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uro\Documents\ORCAMENTO_2016\"/>
    </mc:Choice>
  </mc:AlternateContent>
  <bookViews>
    <workbookView xWindow="0" yWindow="0" windowWidth="12240" windowHeight="9135" tabRatio="580" firstSheet="19" activeTab="27"/>
  </bookViews>
  <sheets>
    <sheet name="CADASTRO BASE RECEITA " sheetId="1" r:id="rId1"/>
    <sheet name="Cresc. Arrec. Transf. Const." sheetId="3" r:id="rId2"/>
    <sheet name="CRESCIMENTO MÉDIO DE ARRECADAÇÃ" sheetId="4" r:id="rId3"/>
    <sheet name="TAXA DE  CRESC. REC. PROP. " sheetId="9" r:id="rId4"/>
    <sheet name="Proj. Retorno e Retenção Fundeb" sheetId="10" r:id="rId5"/>
    <sheet name="Parâmetros" sheetId="58" r:id="rId6"/>
    <sheet name="ORCAMENTO RECEITA ANALITICO" sheetId="75" r:id="rId7"/>
    <sheet name="MEMORIA DE CALCULO DA RECEITA" sheetId="7" r:id="rId8"/>
    <sheet name="RECEITA PARA INVESTIMENTOS " sheetId="74" r:id="rId9"/>
    <sheet name="CADASTRO BASE ORÇ. DESPESA" sheetId="19" r:id="rId10"/>
    <sheet name="CRESCIMENTO MED DA DESPESA O.U." sheetId="97" r:id="rId11"/>
    <sheet name="MEDIA DE AUMENTOS 97 A 2012" sheetId="55" r:id="rId12"/>
    <sheet name="Pasep" sheetId="18" r:id="rId13"/>
    <sheet name="Dem. de gastos do Legislativo" sheetId="12" r:id="rId14"/>
    <sheet name="PTD " sheetId="61" r:id="rId15"/>
    <sheet name="Parâmetros financeiros Despesa" sheetId="23" r:id="rId16"/>
    <sheet name="ORÇAMENTO LEG." sheetId="96" r:id="rId17"/>
    <sheet name="ORÇAM. PODER EXEC. ANALITICO" sheetId="98" r:id="rId18"/>
    <sheet name="ORÇ. PODER EXECUTIVO SINTETICO" sheetId="100" r:id="rId19"/>
    <sheet name="RECEITA E DESP. POR RECURSO" sheetId="101" r:id="rId20"/>
    <sheet name="COMPATIBILIDADE PPA E LDO" sheetId="81" r:id="rId21"/>
    <sheet name="RESUMO DE DESPESA POR ORG. E UN" sheetId="103" r:id="rId22"/>
    <sheet name="ANEXO I ART.2ºLOA " sheetId="34" r:id="rId23"/>
    <sheet name="ART. 3º LOA" sheetId="102" r:id="rId24"/>
    <sheet name="ART.4º ORC FISC E SEG SOC" sheetId="33" r:id="rId25"/>
    <sheet name="RESULTADO NOMINAL" sheetId="104" r:id="rId26"/>
    <sheet name="Dem. Comp Orça. com Metas Fisc" sheetId="8" r:id="rId27"/>
    <sheet name="Demonst. gastos com saude" sheetId="83" r:id="rId28"/>
    <sheet name="Dem evolucao rec. por fonte" sheetId="14" r:id="rId29"/>
    <sheet name="DEM. DE REN. REC REMARG. EXPANS" sheetId="15" r:id="rId30"/>
    <sheet name="DEM. GASTOS PESSOAL" sheetId="46" r:id="rId31"/>
    <sheet name="DEM. REUNCIA RECEITA" sheetId="47" r:id="rId32"/>
    <sheet name="FUNDO DE SAUDE" sheetId="84" r:id="rId33"/>
    <sheet name="FUNDO DE ASSISTENCIA SOCIAL" sheetId="85" r:id="rId34"/>
    <sheet name="FMCA" sheetId="86" r:id="rId35"/>
    <sheet name="FMAG" sheetId="87" r:id="rId36"/>
    <sheet name="FMMAMB" sheetId="88" r:id="rId37"/>
    <sheet name="FHISC" sheetId="89" r:id="rId38"/>
    <sheet name="DEM. DA DIVIDA FUNDADA" sheetId="56" r:id="rId39"/>
    <sheet name="RELAÇÃO DE ORDENS PRECATORIAS" sheetId="57" r:id="rId40"/>
    <sheet name="NOTA EXPLICATIVA" sheetId="67" r:id="rId41"/>
    <sheet name="Plan2" sheetId="69" r:id="rId42"/>
    <sheet name="Plan12" sheetId="90" r:id="rId43"/>
    <sheet name="Plan1" sheetId="105" r:id="rId44"/>
  </sheets>
  <externalReferences>
    <externalReference r:id="rId45"/>
    <externalReference r:id="rId46"/>
    <externalReference r:id="rId47"/>
  </externalReferences>
  <definedNames>
    <definedName name="RECEITA">#REF!</definedName>
    <definedName name="RECURSOS">#REF!</definedName>
  </definedNames>
  <calcPr calcId="152511"/>
</workbook>
</file>

<file path=xl/calcChain.xml><?xml version="1.0" encoding="utf-8"?>
<calcChain xmlns="http://schemas.openxmlformats.org/spreadsheetml/2006/main">
  <c r="B14" i="104" l="1"/>
  <c r="B7" i="104"/>
  <c r="B11" i="104" s="1"/>
  <c r="B9" i="104"/>
  <c r="B8" i="104"/>
  <c r="B6" i="104"/>
  <c r="E11" i="56"/>
  <c r="E13" i="56" s="1"/>
  <c r="C33" i="10" l="1"/>
  <c r="C30" i="10"/>
  <c r="D33" i="10"/>
  <c r="D41" i="103" l="1"/>
  <c r="D34" i="103"/>
  <c r="D23" i="103"/>
  <c r="E23" i="103" s="1"/>
  <c r="D9" i="103"/>
  <c r="E9" i="103" s="1"/>
  <c r="D6" i="103"/>
  <c r="D49" i="103" s="1"/>
  <c r="E49" i="103" l="1"/>
  <c r="E45" i="103"/>
  <c r="E37" i="103"/>
  <c r="E29" i="103"/>
  <c r="E25" i="103"/>
  <c r="E21" i="103"/>
  <c r="E17" i="103"/>
  <c r="E13" i="103"/>
  <c r="E47" i="103"/>
  <c r="E43" i="103"/>
  <c r="E35" i="103"/>
  <c r="E31" i="103"/>
  <c r="E27" i="103"/>
  <c r="E19" i="103"/>
  <c r="E11" i="103"/>
  <c r="E7" i="103"/>
  <c r="E42" i="103"/>
  <c r="E34" i="103"/>
  <c r="E26" i="103"/>
  <c r="E18" i="103"/>
  <c r="E14" i="103"/>
  <c r="E10" i="103"/>
  <c r="E44" i="103"/>
  <c r="E36" i="103"/>
  <c r="E32" i="103"/>
  <c r="E28" i="103"/>
  <c r="E24" i="103"/>
  <c r="E20" i="103"/>
  <c r="E16" i="103"/>
  <c r="E12" i="103"/>
  <c r="E39" i="103"/>
  <c r="E15" i="103"/>
  <c r="E46" i="103"/>
  <c r="E38" i="103"/>
  <c r="E30" i="103"/>
  <c r="E6" i="103"/>
  <c r="E41" i="103"/>
  <c r="C24" i="46"/>
  <c r="C19" i="46"/>
  <c r="E19" i="46"/>
  <c r="D5" i="46"/>
  <c r="F15" i="102"/>
  <c r="F14" i="102"/>
  <c r="F13" i="102"/>
  <c r="F12" i="102"/>
  <c r="F11" i="102"/>
  <c r="F10" i="102"/>
  <c r="L2709" i="98"/>
  <c r="K1804" i="100"/>
  <c r="K1806" i="100" s="1"/>
  <c r="K1803" i="100"/>
  <c r="K1981" i="100"/>
  <c r="K1968" i="100" s="1"/>
  <c r="K1074" i="100"/>
  <c r="K82" i="100"/>
  <c r="L1622" i="98"/>
  <c r="F1116" i="23"/>
  <c r="F351" i="23"/>
  <c r="F1464" i="23"/>
  <c r="L2886" i="98"/>
  <c r="F1087" i="23"/>
  <c r="F1088" i="23"/>
  <c r="F1054" i="23"/>
  <c r="K1073" i="100"/>
  <c r="H339" i="75"/>
  <c r="H340" i="75"/>
  <c r="D292" i="58"/>
  <c r="D161" i="58"/>
  <c r="H197" i="75"/>
  <c r="H203" i="75"/>
  <c r="H202" i="75"/>
  <c r="I44" i="83" l="1"/>
  <c r="D140" i="58"/>
  <c r="E24" i="46" l="1"/>
  <c r="A96" i="23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012" i="23" s="1"/>
  <c r="A1013" i="23" s="1"/>
  <c r="A1014" i="23" s="1"/>
  <c r="A1015" i="23" s="1"/>
  <c r="A1016" i="23" s="1"/>
  <c r="A1017" i="23" s="1"/>
  <c r="A1018" i="23" s="1"/>
  <c r="A1019" i="23" s="1"/>
  <c r="A1020" i="23" s="1"/>
  <c r="A1021" i="23" s="1"/>
  <c r="A1022" i="23" s="1"/>
  <c r="A1023" i="23" s="1"/>
  <c r="A1024" i="23" s="1"/>
  <c r="A1025" i="23" s="1"/>
  <c r="A1026" i="23" s="1"/>
  <c r="A1027" i="23" s="1"/>
  <c r="A1028" i="23" s="1"/>
  <c r="A1029" i="23" s="1"/>
  <c r="A1030" i="23" s="1"/>
  <c r="A1031" i="23" s="1"/>
  <c r="A1032" i="23" s="1"/>
  <c r="A1033" i="23" s="1"/>
  <c r="A1034" i="23" s="1"/>
  <c r="A1035" i="23" s="1"/>
  <c r="A1036" i="23" s="1"/>
  <c r="A1037" i="23" s="1"/>
  <c r="A1038" i="23" s="1"/>
  <c r="A1039" i="23" s="1"/>
  <c r="A1040" i="23" s="1"/>
  <c r="A1041" i="23" s="1"/>
  <c r="A1042" i="23" s="1"/>
  <c r="A1043" i="23" s="1"/>
  <c r="A1044" i="23" s="1"/>
  <c r="A1045" i="23" s="1"/>
  <c r="A1046" i="23" s="1"/>
  <c r="A1047" i="23" s="1"/>
  <c r="A1048" i="23" s="1"/>
  <c r="A1049" i="23" s="1"/>
  <c r="A1050" i="23" s="1"/>
  <c r="A1051" i="23" s="1"/>
  <c r="A1052" i="23" s="1"/>
  <c r="A1053" i="23" s="1"/>
  <c r="A1054" i="23" s="1"/>
  <c r="A1055" i="23" s="1"/>
  <c r="A1056" i="23" s="1"/>
  <c r="A1057" i="23" s="1"/>
  <c r="A1058" i="23" s="1"/>
  <c r="A1059" i="23" s="1"/>
  <c r="A1060" i="23" s="1"/>
  <c r="A1061" i="23" s="1"/>
  <c r="A1062" i="23" s="1"/>
  <c r="A1063" i="23" s="1"/>
  <c r="A1064" i="23" s="1"/>
  <c r="A1065" i="23" s="1"/>
  <c r="A1066" i="23" s="1"/>
  <c r="A1067" i="23" s="1"/>
  <c r="A1068" i="23" s="1"/>
  <c r="A1069" i="23" s="1"/>
  <c r="A1070" i="23" s="1"/>
  <c r="A1071" i="23" s="1"/>
  <c r="A1072" i="23" s="1"/>
  <c r="A1073" i="23" s="1"/>
  <c r="A1074" i="23" s="1"/>
  <c r="A1075" i="23" s="1"/>
  <c r="A1076" i="23" s="1"/>
  <c r="A1077" i="23" s="1"/>
  <c r="A1078" i="23" s="1"/>
  <c r="A1079" i="23" s="1"/>
  <c r="A1080" i="23" s="1"/>
  <c r="A1081" i="23" s="1"/>
  <c r="A1082" i="23" s="1"/>
  <c r="A1083" i="23" s="1"/>
  <c r="A1084" i="23" s="1"/>
  <c r="A1085" i="23" s="1"/>
  <c r="A1086" i="23" s="1"/>
  <c r="A1087" i="23" s="1"/>
  <c r="A1088" i="23" s="1"/>
  <c r="A1089" i="23" s="1"/>
  <c r="A1090" i="23" s="1"/>
  <c r="A1091" i="23" s="1"/>
  <c r="A1092" i="23" s="1"/>
  <c r="A1093" i="23" s="1"/>
  <c r="A1094" i="23" s="1"/>
  <c r="A1095" i="23" s="1"/>
  <c r="A1096" i="23" s="1"/>
  <c r="A1097" i="23" s="1"/>
  <c r="A1098" i="23" s="1"/>
  <c r="A1099" i="23" s="1"/>
  <c r="A1100" i="23" s="1"/>
  <c r="A1101" i="23" s="1"/>
  <c r="A1102" i="23" s="1"/>
  <c r="A1103" i="23" s="1"/>
  <c r="A1104" i="23" s="1"/>
  <c r="A1105" i="23" s="1"/>
  <c r="A1106" i="23" s="1"/>
  <c r="A1107" i="23" s="1"/>
  <c r="A1108" i="23" s="1"/>
  <c r="A1109" i="23" s="1"/>
  <c r="A1110" i="23" s="1"/>
  <c r="A1111" i="23" s="1"/>
  <c r="A1112" i="23" s="1"/>
  <c r="A1113" i="23" s="1"/>
  <c r="A1114" i="23" s="1"/>
  <c r="A1115" i="23" s="1"/>
  <c r="A1116" i="23" s="1"/>
  <c r="A1117" i="23" s="1"/>
  <c r="A1118" i="23" s="1"/>
  <c r="A1119" i="23" s="1"/>
  <c r="A1120" i="23" s="1"/>
  <c r="A1121" i="23" s="1"/>
  <c r="A1122" i="23" s="1"/>
  <c r="A1123" i="23" s="1"/>
  <c r="A1124" i="23" s="1"/>
  <c r="A1125" i="23" s="1"/>
  <c r="A1126" i="23" s="1"/>
  <c r="A1127" i="23" s="1"/>
  <c r="A1128" i="23" s="1"/>
  <c r="A1129" i="23" s="1"/>
  <c r="A1130" i="23" s="1"/>
  <c r="A1131" i="23" s="1"/>
  <c r="A1132" i="23" s="1"/>
  <c r="A1133" i="23" s="1"/>
  <c r="A1134" i="23" s="1"/>
  <c r="A1135" i="23" s="1"/>
  <c r="A1136" i="23" s="1"/>
  <c r="A1137" i="23" s="1"/>
  <c r="A1138" i="23" s="1"/>
  <c r="A1139" i="23" s="1"/>
  <c r="A1140" i="23" s="1"/>
  <c r="A1141" i="23" s="1"/>
  <c r="A1142" i="23" s="1"/>
  <c r="A1143" i="23" s="1"/>
  <c r="A1144" i="23" s="1"/>
  <c r="A1145" i="23" s="1"/>
  <c r="A1146" i="23" s="1"/>
  <c r="A1147" i="23" s="1"/>
  <c r="A1148" i="23" s="1"/>
  <c r="A1149" i="23" s="1"/>
  <c r="A1150" i="23" s="1"/>
  <c r="A1151" i="23" s="1"/>
  <c r="A1152" i="23" s="1"/>
  <c r="A1153" i="23" s="1"/>
  <c r="A1154" i="23" s="1"/>
  <c r="A1155" i="23" s="1"/>
  <c r="A1156" i="23" s="1"/>
  <c r="A1157" i="23" s="1"/>
  <c r="A1158" i="23" s="1"/>
  <c r="A1159" i="23" s="1"/>
  <c r="A1160" i="23" s="1"/>
  <c r="A1161" i="23" s="1"/>
  <c r="A1162" i="23" s="1"/>
  <c r="A1163" i="23" s="1"/>
  <c r="A1164" i="23" s="1"/>
  <c r="A1165" i="23" s="1"/>
  <c r="A1166" i="23" s="1"/>
  <c r="A1167" i="23" s="1"/>
  <c r="A1168" i="23" s="1"/>
  <c r="A1169" i="23" s="1"/>
  <c r="A1170" i="23" s="1"/>
  <c r="A1171" i="23" s="1"/>
  <c r="A1172" i="23" s="1"/>
  <c r="A1173" i="23" s="1"/>
  <c r="A1174" i="23" s="1"/>
  <c r="A1175" i="23" s="1"/>
  <c r="A1176" i="23" s="1"/>
  <c r="A1177" i="23" s="1"/>
  <c r="A1178" i="23" s="1"/>
  <c r="A1179" i="23" s="1"/>
  <c r="A1180" i="23" s="1"/>
  <c r="A1181" i="23" s="1"/>
  <c r="A1182" i="23" s="1"/>
  <c r="A1183" i="23" s="1"/>
  <c r="A1184" i="23" s="1"/>
  <c r="A1185" i="23" s="1"/>
  <c r="A1186" i="23" s="1"/>
  <c r="A1187" i="23" s="1"/>
  <c r="A1188" i="23" s="1"/>
  <c r="A1189" i="23" s="1"/>
  <c r="A1190" i="23" s="1"/>
  <c r="A1191" i="23" s="1"/>
  <c r="A1192" i="23" s="1"/>
  <c r="A1193" i="23" s="1"/>
  <c r="A1194" i="23" s="1"/>
  <c r="A1195" i="23" s="1"/>
  <c r="A1196" i="23" s="1"/>
  <c r="A1197" i="23" s="1"/>
  <c r="A1198" i="23" s="1"/>
  <c r="A1199" i="23" s="1"/>
  <c r="A1200" i="23" s="1"/>
  <c r="A1201" i="23" s="1"/>
  <c r="A1202" i="23" s="1"/>
  <c r="A1203" i="23" s="1"/>
  <c r="A1204" i="23" s="1"/>
  <c r="A1205" i="23" s="1"/>
  <c r="A1206" i="23" s="1"/>
  <c r="A1207" i="23" s="1"/>
  <c r="A1208" i="23" s="1"/>
  <c r="A1209" i="23" s="1"/>
  <c r="A1210" i="23" s="1"/>
  <c r="A1211" i="23" s="1"/>
  <c r="A1212" i="23" s="1"/>
  <c r="A1213" i="23" s="1"/>
  <c r="A1214" i="23" s="1"/>
  <c r="A1215" i="23" s="1"/>
  <c r="A1216" i="23" s="1"/>
  <c r="A1217" i="23" s="1"/>
  <c r="A1218" i="23" s="1"/>
  <c r="A1219" i="23" s="1"/>
  <c r="A1220" i="23" s="1"/>
  <c r="A1221" i="23" s="1"/>
  <c r="A1222" i="23" s="1"/>
  <c r="A1223" i="23" s="1"/>
  <c r="A1224" i="23" s="1"/>
  <c r="A1225" i="23" s="1"/>
  <c r="A1226" i="23" s="1"/>
  <c r="A1227" i="23" s="1"/>
  <c r="A1228" i="23" s="1"/>
  <c r="A1229" i="23" s="1"/>
  <c r="A1230" i="23" s="1"/>
  <c r="A1231" i="23" s="1"/>
  <c r="A1232" i="23" s="1"/>
  <c r="A1233" i="23" s="1"/>
  <c r="A1234" i="23" s="1"/>
  <c r="A1235" i="23" s="1"/>
  <c r="A1236" i="23" s="1"/>
  <c r="A1237" i="23" s="1"/>
  <c r="A1238" i="23" s="1"/>
  <c r="A1239" i="23" s="1"/>
  <c r="A1240" i="23" s="1"/>
  <c r="A1241" i="23" s="1"/>
  <c r="A1242" i="23" s="1"/>
  <c r="A1243" i="23" s="1"/>
  <c r="A1244" i="23" s="1"/>
  <c r="A1245" i="23" s="1"/>
  <c r="A1246" i="23" s="1"/>
  <c r="A1247" i="23" s="1"/>
  <c r="A1248" i="23" s="1"/>
  <c r="A1249" i="23" s="1"/>
  <c r="A1250" i="23" s="1"/>
  <c r="A1251" i="23" s="1"/>
  <c r="A1252" i="23" s="1"/>
  <c r="A1253" i="23" s="1"/>
  <c r="A1254" i="23" s="1"/>
  <c r="A1255" i="23" s="1"/>
  <c r="A1256" i="23" s="1"/>
  <c r="A1257" i="23" s="1"/>
  <c r="A1258" i="23" s="1"/>
  <c r="A1259" i="23" s="1"/>
  <c r="A1260" i="23" s="1"/>
  <c r="A1261" i="23" s="1"/>
  <c r="A1262" i="23" s="1"/>
  <c r="A1263" i="23" s="1"/>
  <c r="A1264" i="23" s="1"/>
  <c r="A1265" i="23" s="1"/>
  <c r="A1266" i="23" s="1"/>
  <c r="A1267" i="23" s="1"/>
  <c r="A1268" i="23" s="1"/>
  <c r="A1269" i="23" s="1"/>
  <c r="A1270" i="23" s="1"/>
  <c r="A1271" i="23" s="1"/>
  <c r="A1272" i="23" s="1"/>
  <c r="A1273" i="23" s="1"/>
  <c r="A1274" i="23" s="1"/>
  <c r="A1275" i="23" s="1"/>
  <c r="A1276" i="23" s="1"/>
  <c r="A1277" i="23" s="1"/>
  <c r="A1278" i="23" s="1"/>
  <c r="A1279" i="23" s="1"/>
  <c r="A1280" i="23" s="1"/>
  <c r="A1281" i="23" s="1"/>
  <c r="A1282" i="23" s="1"/>
  <c r="A1283" i="23" s="1"/>
  <c r="A1284" i="23" s="1"/>
  <c r="A1285" i="23" s="1"/>
  <c r="A1286" i="23" s="1"/>
  <c r="A1287" i="23" s="1"/>
  <c r="A1288" i="23" s="1"/>
  <c r="A1289" i="23" s="1"/>
  <c r="A1290" i="23" s="1"/>
  <c r="A1291" i="23" s="1"/>
  <c r="A1292" i="23" s="1"/>
  <c r="A1293" i="23" s="1"/>
  <c r="A1294" i="23" s="1"/>
  <c r="A1295" i="23" s="1"/>
  <c r="A1296" i="23" s="1"/>
  <c r="A1297" i="23" s="1"/>
  <c r="A1298" i="23" s="1"/>
  <c r="A1299" i="23" s="1"/>
  <c r="A1300" i="23" s="1"/>
  <c r="A1301" i="23" s="1"/>
  <c r="A1302" i="23" s="1"/>
  <c r="A1303" i="23" s="1"/>
  <c r="A1304" i="23" s="1"/>
  <c r="A1305" i="23" s="1"/>
  <c r="A1306" i="23" s="1"/>
  <c r="A1307" i="23" s="1"/>
  <c r="A1308" i="23" s="1"/>
  <c r="A1309" i="23" s="1"/>
  <c r="A1310" i="23" s="1"/>
  <c r="A1311" i="23" s="1"/>
  <c r="A1312" i="23" s="1"/>
  <c r="A1313" i="23" s="1"/>
  <c r="A1314" i="23" s="1"/>
  <c r="A1315" i="23" s="1"/>
  <c r="A1316" i="23" s="1"/>
  <c r="A1317" i="23" s="1"/>
  <c r="A1318" i="23" s="1"/>
  <c r="A1319" i="23" s="1"/>
  <c r="A1320" i="23" s="1"/>
  <c r="A1321" i="23" s="1"/>
  <c r="A1322" i="23" s="1"/>
  <c r="A1323" i="23" s="1"/>
  <c r="A1324" i="23" s="1"/>
  <c r="A1325" i="23" s="1"/>
  <c r="A1326" i="23" s="1"/>
  <c r="A1327" i="23" s="1"/>
  <c r="A1328" i="23" s="1"/>
  <c r="A1329" i="23" s="1"/>
  <c r="A1330" i="23" s="1"/>
  <c r="A1331" i="23" s="1"/>
  <c r="A1332" i="23" s="1"/>
  <c r="A1333" i="23" s="1"/>
  <c r="A1334" i="23" s="1"/>
  <c r="A1335" i="23" s="1"/>
  <c r="A1336" i="23" s="1"/>
  <c r="A1337" i="23" s="1"/>
  <c r="A1338" i="23" s="1"/>
  <c r="A1339" i="23" s="1"/>
  <c r="A1340" i="23" s="1"/>
  <c r="A1341" i="23" s="1"/>
  <c r="A1342" i="23" s="1"/>
  <c r="A1343" i="23" s="1"/>
  <c r="A1344" i="23" s="1"/>
  <c r="A1345" i="23" s="1"/>
  <c r="A1346" i="23" s="1"/>
  <c r="A1347" i="23" s="1"/>
  <c r="A1348" i="23" s="1"/>
  <c r="A1349" i="23" s="1"/>
  <c r="A1350" i="23" s="1"/>
  <c r="A1351" i="23" s="1"/>
  <c r="A1352" i="23" s="1"/>
  <c r="A1353" i="23" s="1"/>
  <c r="A1354" i="23" s="1"/>
  <c r="A1355" i="23" s="1"/>
  <c r="A1356" i="23" s="1"/>
  <c r="A1357" i="23" s="1"/>
  <c r="A1358" i="23" s="1"/>
  <c r="A1359" i="23" s="1"/>
  <c r="A1360" i="23" s="1"/>
  <c r="A1361" i="23" s="1"/>
  <c r="A1362" i="23" s="1"/>
  <c r="A1363" i="23" s="1"/>
  <c r="A1364" i="23" s="1"/>
  <c r="A1365" i="23" s="1"/>
  <c r="A1366" i="23" s="1"/>
  <c r="A1367" i="23" s="1"/>
  <c r="A1368" i="23" s="1"/>
  <c r="A1369" i="23" s="1"/>
  <c r="A1370" i="23" s="1"/>
  <c r="A1371" i="23" s="1"/>
  <c r="A1372" i="23" s="1"/>
  <c r="A1373" i="23" s="1"/>
  <c r="A1374" i="23" s="1"/>
  <c r="A1375" i="23" s="1"/>
  <c r="A1376" i="23" s="1"/>
  <c r="A1377" i="23" s="1"/>
  <c r="A1378" i="23" s="1"/>
  <c r="A1379" i="23" s="1"/>
  <c r="A1380" i="23" s="1"/>
  <c r="A1381" i="23" s="1"/>
  <c r="A1382" i="23" s="1"/>
  <c r="A1383" i="23" s="1"/>
  <c r="A1384" i="23" s="1"/>
  <c r="A1385" i="23" s="1"/>
  <c r="A1386" i="23" s="1"/>
  <c r="A1387" i="23" s="1"/>
  <c r="A1388" i="23" s="1"/>
  <c r="A1389" i="23" s="1"/>
  <c r="A1390" i="23" s="1"/>
  <c r="A1391" i="23" s="1"/>
  <c r="A1392" i="23" s="1"/>
  <c r="A1393" i="23" s="1"/>
  <c r="A1394" i="23" s="1"/>
  <c r="A1395" i="23" s="1"/>
  <c r="A1396" i="23" s="1"/>
  <c r="A1397" i="23" s="1"/>
  <c r="A1398" i="23" s="1"/>
  <c r="A1399" i="23" s="1"/>
  <c r="A1400" i="23" s="1"/>
  <c r="A1401" i="23" s="1"/>
  <c r="A1402" i="23" s="1"/>
  <c r="A1403" i="23" s="1"/>
  <c r="A1404" i="23" s="1"/>
  <c r="A1405" i="23" s="1"/>
  <c r="A1406" i="23" s="1"/>
  <c r="A1407" i="23" s="1"/>
  <c r="A1408" i="23" s="1"/>
  <c r="A1409" i="23" s="1"/>
  <c r="A1410" i="23" s="1"/>
  <c r="A1411" i="23" s="1"/>
  <c r="A1412" i="23" s="1"/>
  <c r="A1413" i="23" s="1"/>
  <c r="A1414" i="23" s="1"/>
  <c r="A1415" i="23" s="1"/>
  <c r="A1416" i="23" s="1"/>
  <c r="A1417" i="23" s="1"/>
  <c r="A1418" i="23" s="1"/>
  <c r="A1419" i="23" s="1"/>
  <c r="A1420" i="23" s="1"/>
  <c r="A1421" i="23" s="1"/>
  <c r="A1422" i="23" s="1"/>
  <c r="A1423" i="23" s="1"/>
  <c r="A1424" i="23" s="1"/>
  <c r="A1425" i="23" s="1"/>
  <c r="A1426" i="23" s="1"/>
  <c r="A1427" i="23" s="1"/>
  <c r="A1428" i="23" s="1"/>
  <c r="A1429" i="23" s="1"/>
  <c r="A1430" i="23" s="1"/>
  <c r="A1431" i="23" s="1"/>
  <c r="A1432" i="23" s="1"/>
  <c r="A1433" i="23" s="1"/>
  <c r="A1434" i="23" s="1"/>
  <c r="A1435" i="23" s="1"/>
  <c r="A1436" i="23" s="1"/>
  <c r="A1437" i="23" s="1"/>
  <c r="A1438" i="23" s="1"/>
  <c r="A1439" i="23" s="1"/>
  <c r="A1440" i="23" s="1"/>
  <c r="A1441" i="23" s="1"/>
  <c r="A1442" i="23" s="1"/>
  <c r="A1443" i="23" s="1"/>
  <c r="A1444" i="23" s="1"/>
  <c r="A1445" i="23" s="1"/>
  <c r="A1446" i="23" s="1"/>
  <c r="A1447" i="23" s="1"/>
  <c r="A1448" i="23" s="1"/>
  <c r="A1449" i="23" s="1"/>
  <c r="A1450" i="23" s="1"/>
  <c r="A1451" i="23" s="1"/>
  <c r="A1452" i="23" s="1"/>
  <c r="A1453" i="23" s="1"/>
  <c r="A1454" i="23" s="1"/>
  <c r="A1455" i="23" s="1"/>
  <c r="A1456" i="23" s="1"/>
  <c r="A1457" i="23" s="1"/>
  <c r="A1458" i="23" s="1"/>
  <c r="A1459" i="23" s="1"/>
  <c r="A1460" i="23" s="1"/>
  <c r="A1461" i="23" s="1"/>
  <c r="A1462" i="23" s="1"/>
  <c r="A1463" i="23" s="1"/>
  <c r="A1464" i="23" s="1"/>
  <c r="A1465" i="23" s="1"/>
  <c r="A1466" i="23" s="1"/>
  <c r="A1467" i="23" s="1"/>
  <c r="A1468" i="23" s="1"/>
  <c r="A1469" i="23" s="1"/>
  <c r="A1470" i="23" s="1"/>
  <c r="A1471" i="23" s="1"/>
  <c r="A1472" i="23" s="1"/>
  <c r="A1473" i="23" s="1"/>
  <c r="A1474" i="23" s="1"/>
  <c r="A1475" i="23" s="1"/>
  <c r="A1476" i="23" s="1"/>
  <c r="A1477" i="23" s="1"/>
  <c r="A1478" i="23" s="1"/>
  <c r="A1479" i="23" s="1"/>
  <c r="A1480" i="23" s="1"/>
  <c r="A1481" i="23" s="1"/>
  <c r="A1482" i="23" s="1"/>
  <c r="A1483" i="23" s="1"/>
  <c r="A1484" i="23" s="1"/>
  <c r="A1485" i="23" s="1"/>
  <c r="A1486" i="23" s="1"/>
  <c r="A1487" i="23" s="1"/>
  <c r="A1488" i="23" s="1"/>
  <c r="A1489" i="23" s="1"/>
  <c r="A1490" i="23" s="1"/>
  <c r="A1491" i="23" s="1"/>
  <c r="A1492" i="23" s="1"/>
  <c r="A1493" i="23" s="1"/>
  <c r="A1494" i="23" s="1"/>
  <c r="A1495" i="23" s="1"/>
  <c r="A1496" i="23" s="1"/>
  <c r="A1497" i="23" s="1"/>
  <c r="A1498" i="23" s="1"/>
  <c r="A1499" i="23" s="1"/>
  <c r="A1500" i="23" s="1"/>
  <c r="A1501" i="23" s="1"/>
  <c r="A1502" i="23" s="1"/>
  <c r="A1503" i="23" s="1"/>
  <c r="A1504" i="23" s="1"/>
  <c r="A1505" i="23" s="1"/>
  <c r="A1506" i="23" s="1"/>
  <c r="A1507" i="23" s="1"/>
  <c r="A1508" i="23" s="1"/>
  <c r="A1509" i="23" s="1"/>
  <c r="A1510" i="23" s="1"/>
  <c r="A1511" i="23" s="1"/>
  <c r="A1512" i="23" s="1"/>
  <c r="A1513" i="23" s="1"/>
  <c r="A1514" i="23" s="1"/>
  <c r="A1515" i="23" s="1"/>
  <c r="A1516" i="23" s="1"/>
  <c r="A1517" i="23" s="1"/>
  <c r="A1518" i="23" s="1"/>
  <c r="A1519" i="23" s="1"/>
  <c r="A1520" i="23" s="1"/>
  <c r="A1521" i="23" s="1"/>
  <c r="A1522" i="23" s="1"/>
  <c r="A1523" i="23" s="1"/>
  <c r="A1524" i="23" s="1"/>
  <c r="A1525" i="23" s="1"/>
  <c r="A1526" i="23" s="1"/>
  <c r="A1527" i="23" s="1"/>
  <c r="A1528" i="23" s="1"/>
  <c r="A1529" i="23" s="1"/>
  <c r="A1530" i="23" s="1"/>
  <c r="A1531" i="23" s="1"/>
  <c r="A1532" i="23" s="1"/>
  <c r="A1533" i="23" s="1"/>
  <c r="A1534" i="23" s="1"/>
  <c r="A1535" i="23" s="1"/>
  <c r="A1536" i="23" s="1"/>
  <c r="A1537" i="23" s="1"/>
  <c r="A1538" i="23" s="1"/>
  <c r="A1539" i="23" s="1"/>
  <c r="A1540" i="23" s="1"/>
  <c r="A1541" i="23" s="1"/>
  <c r="A1542" i="23" s="1"/>
  <c r="A1543" i="23" s="1"/>
  <c r="A1544" i="23" s="1"/>
  <c r="A1545" i="23" s="1"/>
  <c r="A1546" i="23" s="1"/>
  <c r="A1547" i="23" s="1"/>
  <c r="A1548" i="23" s="1"/>
  <c r="A1549" i="23" s="1"/>
  <c r="A1550" i="23" s="1"/>
  <c r="A1551" i="23" s="1"/>
  <c r="A1552" i="23" s="1"/>
  <c r="A1553" i="23" s="1"/>
  <c r="A1554" i="23" s="1"/>
  <c r="A1555" i="23" s="1"/>
  <c r="A1556" i="23" s="1"/>
  <c r="A1557" i="23" s="1"/>
  <c r="A1558" i="23" s="1"/>
  <c r="A1559" i="23" s="1"/>
  <c r="A1560" i="23" s="1"/>
  <c r="A1561" i="23" s="1"/>
  <c r="A1562" i="23" s="1"/>
  <c r="A1563" i="23" s="1"/>
  <c r="A1564" i="23" s="1"/>
  <c r="A1565" i="23" s="1"/>
  <c r="A1566" i="23" s="1"/>
  <c r="A1567" i="23" s="1"/>
  <c r="A1568" i="23" s="1"/>
  <c r="A1569" i="23" s="1"/>
  <c r="A1570" i="23" s="1"/>
  <c r="A1571" i="23" s="1"/>
  <c r="A1572" i="23" s="1"/>
  <c r="A1573" i="23" s="1"/>
  <c r="A1574" i="23" s="1"/>
  <c r="A1575" i="23" s="1"/>
  <c r="A1576" i="23" s="1"/>
  <c r="A1577" i="23" s="1"/>
  <c r="A1578" i="23" s="1"/>
  <c r="A1579" i="23" s="1"/>
  <c r="A1580" i="23" s="1"/>
  <c r="A1581" i="23" s="1"/>
  <c r="A1582" i="23" s="1"/>
  <c r="A1583" i="23" s="1"/>
  <c r="A1584" i="23" s="1"/>
  <c r="A1585" i="23" s="1"/>
  <c r="A1586" i="23" s="1"/>
  <c r="A1587" i="23" s="1"/>
  <c r="A1588" i="23" s="1"/>
  <c r="A1589" i="23" s="1"/>
  <c r="A1590" i="23" s="1"/>
  <c r="A1591" i="23" s="1"/>
  <c r="A1592" i="23" s="1"/>
  <c r="A1593" i="23" s="1"/>
  <c r="A1594" i="23" s="1"/>
  <c r="A1595" i="23" s="1"/>
  <c r="A1596" i="23" s="1"/>
  <c r="A1597" i="23" s="1"/>
  <c r="A1598" i="23" s="1"/>
  <c r="A1599" i="23" s="1"/>
  <c r="A1600" i="23" s="1"/>
  <c r="A1601" i="23" s="1"/>
  <c r="A1602" i="23" s="1"/>
  <c r="A1603" i="23" s="1"/>
  <c r="A1604" i="23" s="1"/>
  <c r="A1605" i="23" s="1"/>
  <c r="A1606" i="23" s="1"/>
  <c r="A1607" i="23" s="1"/>
  <c r="A1608" i="23" s="1"/>
  <c r="A1609" i="23" s="1"/>
  <c r="A1610" i="23" s="1"/>
  <c r="A1611" i="23" s="1"/>
  <c r="A1612" i="23" s="1"/>
  <c r="A1613" i="23" s="1"/>
  <c r="A1614" i="23" s="1"/>
  <c r="A1615" i="23" s="1"/>
  <c r="A1616" i="23" s="1"/>
  <c r="A1617" i="23" s="1"/>
  <c r="A1618" i="23" s="1"/>
  <c r="A1619" i="23" s="1"/>
  <c r="A1620" i="23" s="1"/>
  <c r="A1621" i="23" s="1"/>
  <c r="A1622" i="23" s="1"/>
  <c r="A1623" i="23" s="1"/>
  <c r="A1624" i="23" s="1"/>
  <c r="A1625" i="23" s="1"/>
  <c r="A1626" i="23" s="1"/>
  <c r="A1627" i="23" s="1"/>
  <c r="A1628" i="23" s="1"/>
  <c r="A1629" i="23" s="1"/>
  <c r="A1630" i="23" s="1"/>
  <c r="A1631" i="23" s="1"/>
  <c r="A1632" i="23" s="1"/>
  <c r="A1633" i="23" s="1"/>
  <c r="A1634" i="23" s="1"/>
  <c r="A1635" i="23" s="1"/>
  <c r="A1636" i="23" s="1"/>
  <c r="A1637" i="23" s="1"/>
  <c r="A1638" i="23" s="1"/>
  <c r="A1639" i="23" s="1"/>
  <c r="A1640" i="23" s="1"/>
  <c r="A1641" i="23" s="1"/>
  <c r="A1642" i="23" s="1"/>
  <c r="A1643" i="23" s="1"/>
  <c r="A1644" i="23" s="1"/>
  <c r="A1645" i="23" s="1"/>
  <c r="A1646" i="23" s="1"/>
  <c r="A1647" i="23" s="1"/>
  <c r="A1648" i="23" s="1"/>
  <c r="A1649" i="23" s="1"/>
  <c r="A1650" i="23" s="1"/>
  <c r="A1651" i="23" s="1"/>
  <c r="A1652" i="23" s="1"/>
  <c r="A1653" i="23" s="1"/>
  <c r="A1654" i="23" s="1"/>
  <c r="A1655" i="23" s="1"/>
  <c r="A1656" i="23" s="1"/>
  <c r="A1657" i="23" s="1"/>
  <c r="A1658" i="23" s="1"/>
  <c r="A1659" i="23" s="1"/>
  <c r="A1660" i="23" s="1"/>
  <c r="A1661" i="23" s="1"/>
  <c r="A1662" i="23" s="1"/>
  <c r="A1663" i="23" s="1"/>
  <c r="A1664" i="23" s="1"/>
  <c r="A1665" i="23" s="1"/>
  <c r="A1666" i="23" s="1"/>
  <c r="A1667" i="23" s="1"/>
  <c r="A1668" i="23" s="1"/>
  <c r="A1669" i="23" s="1"/>
  <c r="A1670" i="23" s="1"/>
  <c r="A1671" i="23" s="1"/>
  <c r="A1672" i="23" s="1"/>
  <c r="A1673" i="23" s="1"/>
  <c r="A1674" i="23" s="1"/>
  <c r="A1675" i="23" s="1"/>
  <c r="A1676" i="23" s="1"/>
  <c r="A1677" i="23" s="1"/>
  <c r="A1678" i="23" s="1"/>
  <c r="A1679" i="23" s="1"/>
  <c r="A1680" i="23" s="1"/>
  <c r="A1681" i="23" s="1"/>
  <c r="A1682" i="23" s="1"/>
  <c r="A1683" i="23" s="1"/>
  <c r="A1684" i="23" s="1"/>
  <c r="A1685" i="23" s="1"/>
  <c r="A1686" i="23" s="1"/>
  <c r="A1687" i="23" s="1"/>
  <c r="A1688" i="23" s="1"/>
  <c r="A1689" i="23" s="1"/>
  <c r="A1690" i="23" s="1"/>
  <c r="A1691" i="23" s="1"/>
  <c r="A1692" i="23" s="1"/>
  <c r="A1693" i="23" s="1"/>
  <c r="A1694" i="23" s="1"/>
  <c r="A1695" i="23" s="1"/>
  <c r="A1696" i="23" s="1"/>
  <c r="A1697" i="23" s="1"/>
  <c r="A1698" i="23" s="1"/>
  <c r="A1699" i="23" s="1"/>
  <c r="A1700" i="23" s="1"/>
  <c r="A1701" i="23" s="1"/>
  <c r="A1702" i="23" s="1"/>
  <c r="A1703" i="23" s="1"/>
  <c r="A1704" i="23" s="1"/>
  <c r="A1705" i="23" s="1"/>
  <c r="A1706" i="23" s="1"/>
  <c r="A1707" i="23" s="1"/>
  <c r="A1708" i="23" s="1"/>
  <c r="A1709" i="23" s="1"/>
  <c r="A1710" i="23" s="1"/>
  <c r="A1711" i="23" s="1"/>
  <c r="A1712" i="23" s="1"/>
  <c r="A1713" i="23" s="1"/>
  <c r="A1714" i="23" s="1"/>
  <c r="A1715" i="23" s="1"/>
  <c r="A1716" i="23" s="1"/>
  <c r="A1717" i="23" s="1"/>
  <c r="A1718" i="23" s="1"/>
  <c r="A1719" i="23" s="1"/>
  <c r="A1720" i="23" s="1"/>
  <c r="A1721" i="23" s="1"/>
  <c r="A1722" i="23" s="1"/>
  <c r="A1723" i="23" s="1"/>
  <c r="A1724" i="23" s="1"/>
  <c r="A1725" i="23" s="1"/>
  <c r="A1726" i="23" s="1"/>
  <c r="A1727" i="23" s="1"/>
  <c r="A1728" i="23" s="1"/>
  <c r="A1729" i="23" s="1"/>
  <c r="A1730" i="23" s="1"/>
  <c r="A1731" i="23" s="1"/>
  <c r="A1732" i="23" s="1"/>
  <c r="A1733" i="23" s="1"/>
  <c r="A1734" i="23" s="1"/>
  <c r="A1735" i="23" s="1"/>
  <c r="A1736" i="23" s="1"/>
  <c r="A1737" i="23" s="1"/>
  <c r="A1738" i="23" s="1"/>
  <c r="A1739" i="23" s="1"/>
  <c r="A1740" i="23" s="1"/>
  <c r="A1741" i="23" s="1"/>
  <c r="A1742" i="23" s="1"/>
  <c r="A1743" i="23" s="1"/>
  <c r="A1744" i="23" s="1"/>
  <c r="A1745" i="23" s="1"/>
  <c r="A1746" i="23" s="1"/>
  <c r="A1747" i="23" s="1"/>
  <c r="A1748" i="23" s="1"/>
  <c r="A1749" i="23" s="1"/>
  <c r="A1750" i="23" s="1"/>
  <c r="A1751" i="23" s="1"/>
  <c r="A1752" i="23" s="1"/>
  <c r="A1753" i="23" s="1"/>
  <c r="A1754" i="23" s="1"/>
  <c r="A1755" i="23" s="1"/>
  <c r="A1756" i="23" s="1"/>
  <c r="A1757" i="23" s="1"/>
  <c r="A1758" i="23" s="1"/>
  <c r="A1759" i="23" s="1"/>
  <c r="A1760" i="23" s="1"/>
  <c r="A1761" i="23" s="1"/>
  <c r="A1762" i="23" s="1"/>
  <c r="A1763" i="23" s="1"/>
  <c r="A1764" i="23" s="1"/>
  <c r="A1765" i="23" s="1"/>
  <c r="A1766" i="23" s="1"/>
  <c r="A1767" i="23" s="1"/>
  <c r="A1768" i="23" s="1"/>
  <c r="A1769" i="23" s="1"/>
  <c r="A1770" i="23" s="1"/>
  <c r="A1771" i="23" s="1"/>
  <c r="A1772" i="23" s="1"/>
  <c r="A1773" i="23" s="1"/>
  <c r="A1774" i="23" s="1"/>
  <c r="A1775" i="23" s="1"/>
  <c r="A1776" i="23" s="1"/>
  <c r="A1777" i="23" s="1"/>
  <c r="A1778" i="23" s="1"/>
  <c r="A1779" i="23" s="1"/>
  <c r="A1780" i="23" s="1"/>
  <c r="A1781" i="23" s="1"/>
  <c r="A1782" i="23" s="1"/>
  <c r="A1783" i="23" s="1"/>
  <c r="A1784" i="23" s="1"/>
  <c r="A1785" i="23" s="1"/>
  <c r="A1786" i="23" s="1"/>
  <c r="A1787" i="23" s="1"/>
  <c r="A1788" i="23" s="1"/>
  <c r="A1789" i="23" s="1"/>
  <c r="A1790" i="23" s="1"/>
  <c r="A1791" i="23" s="1"/>
  <c r="A1792" i="23" s="1"/>
  <c r="A1793" i="23" s="1"/>
  <c r="A1794" i="23" s="1"/>
  <c r="A1795" i="23" s="1"/>
  <c r="A1796" i="23" s="1"/>
  <c r="A1797" i="23" s="1"/>
  <c r="A1798" i="23" s="1"/>
  <c r="A1799" i="23" s="1"/>
  <c r="A1800" i="23" s="1"/>
  <c r="A1801" i="23" s="1"/>
  <c r="A1802" i="23" s="1"/>
  <c r="A1803" i="23" s="1"/>
  <c r="A1804" i="23" s="1"/>
  <c r="A1805" i="23" s="1"/>
  <c r="A1806" i="23" s="1"/>
  <c r="A1807" i="23" s="1"/>
  <c r="A1808" i="23" s="1"/>
  <c r="A1809" i="23" s="1"/>
  <c r="A1810" i="23" s="1"/>
  <c r="A1811" i="23" s="1"/>
  <c r="A1812" i="23" s="1"/>
  <c r="A1813" i="23" s="1"/>
  <c r="A1814" i="23" s="1"/>
  <c r="A1815" i="23" s="1"/>
  <c r="A1816" i="23" s="1"/>
  <c r="A1817" i="23" s="1"/>
  <c r="A1818" i="23" s="1"/>
  <c r="A1819" i="23" s="1"/>
  <c r="A1820" i="23" s="1"/>
  <c r="A1821" i="23" s="1"/>
  <c r="A1822" i="23" s="1"/>
  <c r="A1823" i="23" s="1"/>
  <c r="A1824" i="23" s="1"/>
  <c r="A1825" i="23" s="1"/>
  <c r="A1826" i="23" s="1"/>
  <c r="A1827" i="23" s="1"/>
  <c r="A1828" i="23" s="1"/>
  <c r="A1829" i="23" s="1"/>
  <c r="A1830" i="23" s="1"/>
  <c r="A1831" i="23" s="1"/>
  <c r="A1832" i="23" s="1"/>
  <c r="A1833" i="23" s="1"/>
  <c r="A1834" i="23" s="1"/>
  <c r="A1835" i="23" s="1"/>
  <c r="A1836" i="23" s="1"/>
  <c r="A1837" i="23" s="1"/>
  <c r="A1838" i="23" s="1"/>
  <c r="A1839" i="23" s="1"/>
  <c r="A1840" i="23" s="1"/>
  <c r="A1841" i="23" s="1"/>
  <c r="A1842" i="23" s="1"/>
  <c r="A1843" i="23" s="1"/>
  <c r="A1844" i="23" s="1"/>
  <c r="A1845" i="23" s="1"/>
  <c r="A1846" i="23" s="1"/>
  <c r="A1847" i="23" s="1"/>
  <c r="A1848" i="23" s="1"/>
  <c r="A1849" i="23" s="1"/>
  <c r="A1850" i="23" s="1"/>
  <c r="A1851" i="23" s="1"/>
  <c r="A1852" i="23" s="1"/>
  <c r="A1853" i="23" s="1"/>
  <c r="A1854" i="23" s="1"/>
  <c r="A1855" i="23" s="1"/>
  <c r="A1856" i="23" s="1"/>
  <c r="A1857" i="23" s="1"/>
  <c r="A1858" i="23" s="1"/>
  <c r="A1859" i="23" s="1"/>
  <c r="A1860" i="23" s="1"/>
  <c r="A1861" i="23" s="1"/>
  <c r="A1862" i="23" s="1"/>
  <c r="A1863" i="23" s="1"/>
  <c r="A1864" i="23" s="1"/>
  <c r="A1865" i="23" s="1"/>
  <c r="A1866" i="23" s="1"/>
  <c r="A1867" i="23" s="1"/>
  <c r="A1868" i="23" s="1"/>
  <c r="A1869" i="23" s="1"/>
  <c r="A1870" i="23" s="1"/>
  <c r="A1871" i="23" s="1"/>
  <c r="A1872" i="23" s="1"/>
  <c r="A1873" i="23" s="1"/>
  <c r="A1874" i="23" s="1"/>
  <c r="A1875" i="23" s="1"/>
  <c r="A1876" i="23" s="1"/>
  <c r="A1877" i="23" s="1"/>
  <c r="A1878" i="23" s="1"/>
  <c r="A1879" i="23" s="1"/>
  <c r="A1880" i="23" s="1"/>
  <c r="A1881" i="23" s="1"/>
  <c r="A1882" i="23" s="1"/>
  <c r="A1883" i="23" s="1"/>
  <c r="A1884" i="23" s="1"/>
  <c r="A1885" i="23" s="1"/>
  <c r="A1886" i="23" s="1"/>
  <c r="A1887" i="23" s="1"/>
  <c r="A1888" i="23" s="1"/>
  <c r="A1889" i="23" s="1"/>
  <c r="A1890" i="23" s="1"/>
  <c r="A1891" i="23" s="1"/>
  <c r="A1892" i="23" s="1"/>
  <c r="A1893" i="23" s="1"/>
  <c r="A1894" i="23" s="1"/>
  <c r="A1895" i="23" s="1"/>
  <c r="A1896" i="23" s="1"/>
  <c r="A1897" i="23" s="1"/>
  <c r="A1898" i="23" s="1"/>
  <c r="A1899" i="23" s="1"/>
  <c r="A1900" i="23" s="1"/>
  <c r="A1901" i="23" s="1"/>
  <c r="A1902" i="23" s="1"/>
  <c r="A1903" i="23" s="1"/>
  <c r="A1904" i="23" s="1"/>
  <c r="A1905" i="23" s="1"/>
  <c r="A1906" i="23" s="1"/>
  <c r="A1907" i="23" s="1"/>
  <c r="A1908" i="23" s="1"/>
  <c r="A1909" i="23" s="1"/>
  <c r="A1910" i="23" s="1"/>
  <c r="A1911" i="23" s="1"/>
  <c r="A1912" i="23" s="1"/>
  <c r="A1913" i="23" s="1"/>
  <c r="A1914" i="23" s="1"/>
  <c r="A1915" i="23" s="1"/>
  <c r="A1916" i="23" s="1"/>
  <c r="A1917" i="23" s="1"/>
  <c r="A1918" i="23" s="1"/>
  <c r="A1919" i="23" s="1"/>
  <c r="A1920" i="23" s="1"/>
  <c r="A1921" i="23" s="1"/>
  <c r="A1922" i="23" s="1"/>
  <c r="A1923" i="23" s="1"/>
  <c r="A1924" i="23" s="1"/>
  <c r="A1925" i="23" s="1"/>
  <c r="A1926" i="23" s="1"/>
  <c r="A1927" i="23" s="1"/>
  <c r="A1928" i="23" s="1"/>
  <c r="A1929" i="23" s="1"/>
  <c r="A1930" i="23" s="1"/>
  <c r="A1931" i="23" s="1"/>
  <c r="A1932" i="23" s="1"/>
  <c r="A1933" i="23" s="1"/>
  <c r="A1934" i="23" s="1"/>
  <c r="A1935" i="23" s="1"/>
  <c r="A1936" i="23" s="1"/>
  <c r="A1937" i="23" s="1"/>
  <c r="A1938" i="23" s="1"/>
  <c r="A1939" i="23" s="1"/>
  <c r="A1940" i="23" s="1"/>
  <c r="A1941" i="23" s="1"/>
  <c r="A1942" i="23" s="1"/>
  <c r="A1943" i="23" s="1"/>
  <c r="A1944" i="23" s="1"/>
  <c r="A1945" i="23" s="1"/>
  <c r="A1946" i="23" s="1"/>
  <c r="A1947" i="23" s="1"/>
  <c r="A1948" i="23" s="1"/>
  <c r="A1949" i="23" s="1"/>
  <c r="A1950" i="23" s="1"/>
  <c r="A1951" i="23" s="1"/>
  <c r="A1952" i="23" s="1"/>
  <c r="A1953" i="23" s="1"/>
  <c r="A1954" i="23" s="1"/>
  <c r="A1955" i="23" s="1"/>
  <c r="A1956" i="23" s="1"/>
  <c r="A1957" i="23" s="1"/>
  <c r="A1958" i="23" s="1"/>
  <c r="A1959" i="23" s="1"/>
  <c r="A1960" i="23" s="1"/>
  <c r="A1961" i="23" s="1"/>
  <c r="A1962" i="23" s="1"/>
  <c r="A1963" i="23" s="1"/>
  <c r="A1964" i="23" s="1"/>
  <c r="A1965" i="23" s="1"/>
  <c r="A1966" i="23" s="1"/>
  <c r="A1967" i="23" s="1"/>
  <c r="A1968" i="23" s="1"/>
  <c r="A1969" i="23" s="1"/>
  <c r="A1970" i="23" s="1"/>
  <c r="A1971" i="23" s="1"/>
  <c r="A1972" i="23" s="1"/>
  <c r="A1973" i="23" s="1"/>
  <c r="A1974" i="23" s="1"/>
  <c r="A1975" i="23" s="1"/>
  <c r="A1976" i="23" s="1"/>
  <c r="A1977" i="23" s="1"/>
  <c r="A1978" i="23" s="1"/>
  <c r="A1979" i="23" s="1"/>
  <c r="A1980" i="23" s="1"/>
  <c r="A1981" i="23" s="1"/>
  <c r="A1982" i="23" s="1"/>
  <c r="A1983" i="23" s="1"/>
  <c r="A1984" i="23" s="1"/>
  <c r="A1985" i="23" s="1"/>
  <c r="A1986" i="23" s="1"/>
  <c r="A1987" i="23" s="1"/>
  <c r="A1988" i="23" s="1"/>
  <c r="A1989" i="23" s="1"/>
  <c r="A1990" i="23" s="1"/>
  <c r="A1991" i="23" s="1"/>
  <c r="A1992" i="23" s="1"/>
  <c r="A1993" i="23" s="1"/>
  <c r="A1994" i="23" s="1"/>
  <c r="A1995" i="23" s="1"/>
  <c r="A1996" i="23" s="1"/>
  <c r="A1997" i="23" s="1"/>
  <c r="A1998" i="23" s="1"/>
  <c r="A1999" i="23" s="1"/>
  <c r="A2000" i="23" s="1"/>
  <c r="A2001" i="23" s="1"/>
  <c r="A2002" i="23" s="1"/>
  <c r="A2003" i="23" s="1"/>
  <c r="A2004" i="23" s="1"/>
  <c r="A2005" i="23" s="1"/>
  <c r="A2006" i="23" s="1"/>
  <c r="A2007" i="23" s="1"/>
  <c r="A2008" i="23" s="1"/>
  <c r="A2009" i="23" s="1"/>
  <c r="A2010" i="23" s="1"/>
  <c r="A2011" i="23" s="1"/>
  <c r="A2012" i="23" s="1"/>
  <c r="A2013" i="23" s="1"/>
  <c r="A2014" i="23" s="1"/>
  <c r="A2015" i="23" s="1"/>
  <c r="A2016" i="23" s="1"/>
  <c r="A2017" i="23" s="1"/>
  <c r="A2018" i="23" s="1"/>
  <c r="A2019" i="23" s="1"/>
  <c r="A2020" i="23" s="1"/>
  <c r="A2021" i="23" s="1"/>
  <c r="A2022" i="23" s="1"/>
  <c r="A2023" i="23" s="1"/>
  <c r="A2024" i="23" s="1"/>
  <c r="A2025" i="23" s="1"/>
  <c r="A2026" i="23" s="1"/>
  <c r="A2027" i="23" s="1"/>
  <c r="A2028" i="23" s="1"/>
  <c r="A2029" i="23" s="1"/>
  <c r="A2030" i="23" s="1"/>
  <c r="A2031" i="23" s="1"/>
  <c r="A2032" i="23" s="1"/>
  <c r="A2033" i="23" s="1"/>
  <c r="A2034" i="23" s="1"/>
  <c r="A2035" i="23" s="1"/>
  <c r="A2036" i="23" s="1"/>
  <c r="A2037" i="23" s="1"/>
  <c r="A2038" i="23" s="1"/>
  <c r="A2039" i="23" s="1"/>
  <c r="A2040" i="23" s="1"/>
  <c r="A2041" i="23" s="1"/>
  <c r="A2042" i="23" s="1"/>
  <c r="A2043" i="23" s="1"/>
  <c r="A2044" i="23" s="1"/>
  <c r="A2045" i="23" s="1"/>
  <c r="A2046" i="23" s="1"/>
  <c r="A2047" i="23" s="1"/>
  <c r="A2048" i="23" s="1"/>
  <c r="A2049" i="23" s="1"/>
  <c r="A2050" i="23" s="1"/>
  <c r="A2051" i="23" s="1"/>
  <c r="A2052" i="23" s="1"/>
  <c r="A2053" i="23" s="1"/>
  <c r="A2054" i="23" s="1"/>
  <c r="A2055" i="23" s="1"/>
  <c r="A2056" i="23" s="1"/>
  <c r="A2057" i="23" s="1"/>
  <c r="A2058" i="23" s="1"/>
  <c r="A2059" i="23" s="1"/>
  <c r="A2060" i="23" s="1"/>
  <c r="A2061" i="23" s="1"/>
  <c r="A2062" i="23" s="1"/>
  <c r="A2063" i="23" s="1"/>
  <c r="A2064" i="23" s="1"/>
  <c r="A2065" i="23" s="1"/>
  <c r="A2066" i="23" s="1"/>
  <c r="A2067" i="23" s="1"/>
  <c r="A2068" i="23" s="1"/>
  <c r="A2069" i="23" s="1"/>
  <c r="A2070" i="23" s="1"/>
  <c r="A2071" i="23" s="1"/>
  <c r="A2072" i="23" s="1"/>
  <c r="A2073" i="23" s="1"/>
  <c r="A2074" i="23" s="1"/>
  <c r="A2075" i="23" s="1"/>
  <c r="A2076" i="23" s="1"/>
  <c r="A2077" i="23" s="1"/>
  <c r="A2078" i="23" s="1"/>
  <c r="A2079" i="23" s="1"/>
  <c r="A2080" i="23" s="1"/>
  <c r="A2081" i="23" s="1"/>
  <c r="A2082" i="23" s="1"/>
  <c r="A2083" i="23" s="1"/>
  <c r="A2084" i="23" s="1"/>
  <c r="A2085" i="23" s="1"/>
  <c r="A2086" i="23" s="1"/>
  <c r="A2087" i="23" s="1"/>
  <c r="A2088" i="23" s="1"/>
  <c r="A2089" i="23" s="1"/>
  <c r="A2090" i="23" s="1"/>
  <c r="A2091" i="23" s="1"/>
  <c r="A2092" i="23" s="1"/>
  <c r="A2093" i="23" s="1"/>
  <c r="A2094" i="23" s="1"/>
  <c r="A2095" i="23" s="1"/>
  <c r="A2096" i="23" s="1"/>
  <c r="A2097" i="23" s="1"/>
  <c r="A2098" i="23" s="1"/>
  <c r="A2099" i="23" s="1"/>
  <c r="A2100" i="23" s="1"/>
  <c r="A2101" i="23" s="1"/>
  <c r="A2102" i="23" s="1"/>
  <c r="A2103" i="23" s="1"/>
  <c r="A2104" i="23" s="1"/>
  <c r="A2105" i="23" s="1"/>
  <c r="A2106" i="23" s="1"/>
  <c r="A2107" i="23" s="1"/>
  <c r="A2108" i="23" s="1"/>
  <c r="A2109" i="23" s="1"/>
  <c r="A2110" i="23" s="1"/>
  <c r="A2111" i="23" s="1"/>
  <c r="A2112" i="23" s="1"/>
  <c r="A2113" i="23" s="1"/>
  <c r="A2114" i="23" s="1"/>
  <c r="A2115" i="23" s="1"/>
  <c r="A2116" i="23" s="1"/>
  <c r="A2117" i="23" s="1"/>
  <c r="A2118" i="23" s="1"/>
  <c r="A2119" i="23" s="1"/>
  <c r="A2120" i="23" s="1"/>
  <c r="A2121" i="23" s="1"/>
  <c r="A2122" i="23" s="1"/>
  <c r="A2123" i="23" s="1"/>
  <c r="A2124" i="23" s="1"/>
  <c r="A2125" i="23" s="1"/>
  <c r="A2126" i="23" s="1"/>
  <c r="A2127" i="23" s="1"/>
  <c r="A2128" i="23" s="1"/>
  <c r="A2129" i="23" s="1"/>
  <c r="A2130" i="23" s="1"/>
  <c r="A2131" i="23" s="1"/>
  <c r="A95" i="23"/>
  <c r="A94" i="23"/>
  <c r="A93" i="23"/>
  <c r="A78" i="23"/>
  <c r="A79" i="23" s="1"/>
  <c r="A80" i="23" s="1"/>
  <c r="A81" i="23" s="1"/>
  <c r="A82" i="23" s="1"/>
  <c r="A83" i="23" s="1"/>
  <c r="A84" i="23" s="1"/>
  <c r="A85" i="23" s="1"/>
  <c r="A77" i="23"/>
  <c r="A23" i="23"/>
  <c r="A25" i="23" s="1"/>
  <c r="A27" i="23" s="1"/>
  <c r="A29" i="23" s="1"/>
  <c r="A31" i="23" s="1"/>
  <c r="A33" i="23" s="1"/>
  <c r="A35" i="23" s="1"/>
  <c r="A37" i="23" s="1"/>
  <c r="A39" i="23" s="1"/>
  <c r="A41" i="23" s="1"/>
  <c r="A43" i="23" s="1"/>
  <c r="A45" i="23" s="1"/>
  <c r="A47" i="23" s="1"/>
  <c r="A49" i="23" s="1"/>
  <c r="A51" i="23" s="1"/>
  <c r="A53" i="23" s="1"/>
  <c r="A55" i="23" s="1"/>
  <c r="A57" i="23" s="1"/>
  <c r="A59" i="23" s="1"/>
  <c r="A61" i="23" s="1"/>
  <c r="A63" i="23" s="1"/>
  <c r="A65" i="23" s="1"/>
  <c r="A67" i="23" s="1"/>
  <c r="A69" i="23" s="1"/>
  <c r="A71" i="23" s="1"/>
  <c r="A73" i="23" s="1"/>
  <c r="A21" i="23"/>
  <c r="A20" i="23"/>
  <c r="A22" i="23" s="1"/>
  <c r="A24" i="23" s="1"/>
  <c r="A26" i="23" s="1"/>
  <c r="A28" i="23" s="1"/>
  <c r="A30" i="23" s="1"/>
  <c r="A32" i="23" s="1"/>
  <c r="A34" i="23" s="1"/>
  <c r="A36" i="23" s="1"/>
  <c r="A38" i="23" s="1"/>
  <c r="A40" i="23" s="1"/>
  <c r="A42" i="23" s="1"/>
  <c r="A44" i="23" s="1"/>
  <c r="A46" i="23" s="1"/>
  <c r="A48" i="23" s="1"/>
  <c r="A50" i="23" s="1"/>
  <c r="A52" i="23" s="1"/>
  <c r="A54" i="23" s="1"/>
  <c r="A56" i="23" s="1"/>
  <c r="A58" i="23" s="1"/>
  <c r="A60" i="23" s="1"/>
  <c r="A62" i="23" s="1"/>
  <c r="A64" i="23" s="1"/>
  <c r="A66" i="23" s="1"/>
  <c r="A68" i="23" s="1"/>
  <c r="A70" i="23" s="1"/>
  <c r="A72" i="23" s="1"/>
  <c r="A74" i="23" s="1"/>
  <c r="R420" i="19"/>
  <c r="A22" i="58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 s="1"/>
  <c r="A156" i="58" s="1"/>
  <c r="A157" i="58" s="1"/>
  <c r="A158" i="58" s="1"/>
  <c r="A159" i="58" s="1"/>
  <c r="A160" i="58" s="1"/>
  <c r="A161" i="58" s="1"/>
  <c r="A162" i="58" s="1"/>
  <c r="A163" i="58" s="1"/>
  <c r="A164" i="58" s="1"/>
  <c r="A165" i="58" s="1"/>
  <c r="A166" i="58" s="1"/>
  <c r="A167" i="58" s="1"/>
  <c r="A168" i="58" s="1"/>
  <c r="A169" i="58" s="1"/>
  <c r="A170" i="58" s="1"/>
  <c r="A171" i="58" s="1"/>
  <c r="A172" i="58" s="1"/>
  <c r="A173" i="58" s="1"/>
  <c r="A174" i="58" s="1"/>
  <c r="A175" i="58" s="1"/>
  <c r="A176" i="58" s="1"/>
  <c r="A177" i="58" s="1"/>
  <c r="A178" i="58" s="1"/>
  <c r="A179" i="58" s="1"/>
  <c r="A180" i="58" s="1"/>
  <c r="A181" i="58" s="1"/>
  <c r="A182" i="58" s="1"/>
  <c r="A183" i="58" s="1"/>
  <c r="A184" i="58" s="1"/>
  <c r="A185" i="58" s="1"/>
  <c r="A186" i="58" s="1"/>
  <c r="A187" i="58" s="1"/>
  <c r="A188" i="58" s="1"/>
  <c r="A189" i="58" s="1"/>
  <c r="A190" i="58" s="1"/>
  <c r="A191" i="58" s="1"/>
  <c r="A192" i="58" s="1"/>
  <c r="A193" i="58" s="1"/>
  <c r="A194" i="58" s="1"/>
  <c r="A195" i="58" s="1"/>
  <c r="A196" i="58" s="1"/>
  <c r="A197" i="58" s="1"/>
  <c r="A198" i="58" s="1"/>
  <c r="A199" i="58" s="1"/>
  <c r="A200" i="58" s="1"/>
  <c r="A201" i="58" s="1"/>
  <c r="A202" i="58" s="1"/>
  <c r="A203" i="58" s="1"/>
  <c r="A204" i="58" s="1"/>
  <c r="A205" i="58" s="1"/>
  <c r="A206" i="58" s="1"/>
  <c r="A207" i="58" s="1"/>
  <c r="A208" i="58" s="1"/>
  <c r="A209" i="58" s="1"/>
  <c r="A210" i="58" s="1"/>
  <c r="A211" i="58" s="1"/>
  <c r="A212" i="58" s="1"/>
  <c r="A213" i="58" s="1"/>
  <c r="A214" i="58" s="1"/>
  <c r="A215" i="58" s="1"/>
  <c r="A216" i="58" s="1"/>
  <c r="A217" i="58" s="1"/>
  <c r="A218" i="58" s="1"/>
  <c r="A219" i="58" s="1"/>
  <c r="A220" i="58" s="1"/>
  <c r="A221" i="58" s="1"/>
  <c r="A222" i="58" s="1"/>
  <c r="A223" i="58" s="1"/>
  <c r="A224" i="58" s="1"/>
  <c r="A225" i="58" s="1"/>
  <c r="A226" i="58" s="1"/>
  <c r="A227" i="58" s="1"/>
  <c r="A228" i="58" s="1"/>
  <c r="A229" i="58" s="1"/>
  <c r="A230" i="58" s="1"/>
  <c r="A231" i="58" s="1"/>
  <c r="A232" i="58" s="1"/>
  <c r="A233" i="58" s="1"/>
  <c r="A234" i="58" s="1"/>
  <c r="A235" i="58" s="1"/>
  <c r="A236" i="58" s="1"/>
  <c r="A237" i="58" s="1"/>
  <c r="A238" i="58" s="1"/>
  <c r="A239" i="58" s="1"/>
  <c r="A240" i="58" s="1"/>
  <c r="A241" i="58" s="1"/>
  <c r="A242" i="58" s="1"/>
  <c r="A243" i="58" s="1"/>
  <c r="A244" i="58" s="1"/>
  <c r="A245" i="58" s="1"/>
  <c r="A246" i="58" s="1"/>
  <c r="A247" i="58" s="1"/>
  <c r="A248" i="58" s="1"/>
  <c r="A249" i="58" s="1"/>
  <c r="A250" i="58" s="1"/>
  <c r="A251" i="58" s="1"/>
  <c r="A252" i="58" s="1"/>
  <c r="A253" i="58" s="1"/>
  <c r="A254" i="58" s="1"/>
  <c r="A255" i="58" s="1"/>
  <c r="A256" i="58" s="1"/>
  <c r="A257" i="58" s="1"/>
  <c r="A258" i="58" s="1"/>
  <c r="A259" i="58" s="1"/>
  <c r="A260" i="58" s="1"/>
  <c r="A261" i="58" s="1"/>
  <c r="A262" i="58" s="1"/>
  <c r="A263" i="58" s="1"/>
  <c r="A264" i="58" s="1"/>
  <c r="A265" i="58" s="1"/>
  <c r="A266" i="58" s="1"/>
  <c r="A267" i="58" s="1"/>
  <c r="A268" i="58" s="1"/>
  <c r="A269" i="58" s="1"/>
  <c r="A270" i="58" s="1"/>
  <c r="A271" i="58" s="1"/>
  <c r="A272" i="58" s="1"/>
  <c r="A273" i="58" s="1"/>
  <c r="A274" i="58" s="1"/>
  <c r="A275" i="58" s="1"/>
  <c r="A276" i="58" s="1"/>
  <c r="A277" i="58" s="1"/>
  <c r="A278" i="58" s="1"/>
  <c r="A279" i="58" s="1"/>
  <c r="A280" i="58" s="1"/>
  <c r="A281" i="58" s="1"/>
  <c r="A282" i="58" s="1"/>
  <c r="A283" i="58" s="1"/>
  <c r="A284" i="58" s="1"/>
  <c r="A285" i="58" s="1"/>
  <c r="A286" i="58" s="1"/>
  <c r="A287" i="58" s="1"/>
  <c r="A288" i="58" s="1"/>
  <c r="A289" i="58" s="1"/>
  <c r="A290" i="58" s="1"/>
  <c r="A291" i="58" s="1"/>
  <c r="A292" i="58" s="1"/>
  <c r="A21" i="58"/>
  <c r="F60" i="102" l="1"/>
  <c r="AB58" i="101"/>
  <c r="T58" i="101"/>
  <c r="AI57" i="101"/>
  <c r="AI56" i="101"/>
  <c r="AI55" i="101"/>
  <c r="AI54" i="101"/>
  <c r="AI53" i="101"/>
  <c r="AI52" i="101"/>
  <c r="AI51" i="101"/>
  <c r="AI50" i="101"/>
  <c r="AI49" i="101"/>
  <c r="AI48" i="101"/>
  <c r="AI47" i="101"/>
  <c r="AI46" i="101"/>
  <c r="AI45" i="101"/>
  <c r="AI44" i="101"/>
  <c r="AI43" i="101"/>
  <c r="AI42" i="101"/>
  <c r="AI41" i="101"/>
  <c r="AI40" i="101"/>
  <c r="AI39" i="101"/>
  <c r="AI38" i="101"/>
  <c r="AI37" i="101"/>
  <c r="AI36" i="101"/>
  <c r="AI35" i="101"/>
  <c r="AI34" i="101"/>
  <c r="AI33" i="101"/>
  <c r="AI32" i="101"/>
  <c r="AI31" i="101"/>
  <c r="AI30" i="101"/>
  <c r="AI29" i="101"/>
  <c r="AI28" i="101"/>
  <c r="AI27" i="101"/>
  <c r="AI26" i="101"/>
  <c r="AI25" i="101"/>
  <c r="AI24" i="101"/>
  <c r="AI23" i="101"/>
  <c r="AI22" i="101"/>
  <c r="AI21" i="101"/>
  <c r="AI20" i="101"/>
  <c r="AI19" i="101"/>
  <c r="AI18" i="101"/>
  <c r="AI17" i="101"/>
  <c r="AI16" i="101"/>
  <c r="AI15" i="101"/>
  <c r="AI14" i="101"/>
  <c r="AI13" i="101"/>
  <c r="AI12" i="101"/>
  <c r="AI11" i="101"/>
  <c r="AI10" i="101"/>
  <c r="AI9" i="101"/>
  <c r="AI8" i="101"/>
  <c r="F77" i="23"/>
  <c r="AI58" i="101" l="1"/>
  <c r="K2399" i="100"/>
  <c r="J2100" i="100"/>
  <c r="K2100" i="100"/>
  <c r="G21" i="56"/>
  <c r="F21" i="56"/>
  <c r="E21" i="56"/>
  <c r="D21" i="56"/>
  <c r="C21" i="56"/>
  <c r="B21" i="56"/>
  <c r="G20" i="56"/>
  <c r="F20" i="56"/>
  <c r="E20" i="56"/>
  <c r="C20" i="56"/>
  <c r="B20" i="56"/>
  <c r="D19" i="56"/>
  <c r="C19" i="56"/>
  <c r="B19" i="56"/>
  <c r="C17" i="56"/>
  <c r="D17" i="56" s="1"/>
  <c r="E17" i="56" s="1"/>
  <c r="F17" i="56" s="1"/>
  <c r="G17" i="56" s="1"/>
  <c r="C11" i="56"/>
  <c r="C13" i="56" s="1"/>
  <c r="B11" i="56"/>
  <c r="B13" i="56" s="1"/>
  <c r="E10" i="56"/>
  <c r="D10" i="56"/>
  <c r="D11" i="56" s="1"/>
  <c r="D13" i="56" s="1"/>
  <c r="E9" i="56"/>
  <c r="D7" i="56"/>
  <c r="E7" i="56" s="1"/>
  <c r="F7" i="56" s="1"/>
  <c r="G7" i="56" s="1"/>
  <c r="C7" i="56"/>
  <c r="E19" i="15"/>
  <c r="G8" i="14"/>
  <c r="G7" i="14"/>
  <c r="G6" i="14"/>
  <c r="D14" i="56" l="1"/>
  <c r="E14" i="56"/>
  <c r="C14" i="56"/>
  <c r="G10" i="56"/>
  <c r="F9" i="56"/>
  <c r="F10" i="56"/>
  <c r="F910" i="23"/>
  <c r="G9" i="56" l="1"/>
  <c r="G11" i="56" s="1"/>
  <c r="G13" i="56" s="1"/>
  <c r="F11" i="56"/>
  <c r="F13" i="56" s="1"/>
  <c r="F14" i="56" s="1"/>
  <c r="K1871" i="98"/>
  <c r="J1021" i="100" s="1"/>
  <c r="K1870" i="98"/>
  <c r="J1020" i="100" s="1"/>
  <c r="K1869" i="98"/>
  <c r="J1019" i="100" s="1"/>
  <c r="K1868" i="98"/>
  <c r="J1018" i="100" s="1"/>
  <c r="K1867" i="98"/>
  <c r="J1017" i="100" s="1"/>
  <c r="K1866" i="98"/>
  <c r="J1016" i="100" s="1"/>
  <c r="K1865" i="98"/>
  <c r="J1015" i="100" s="1"/>
  <c r="K1864" i="98"/>
  <c r="J1014" i="100" s="1"/>
  <c r="K1862" i="98"/>
  <c r="J1012" i="100" s="1"/>
  <c r="K1863" i="98"/>
  <c r="J1013" i="100" s="1"/>
  <c r="K1861" i="98"/>
  <c r="J1011" i="100" s="1"/>
  <c r="K1860" i="98"/>
  <c r="J1010" i="100" s="1"/>
  <c r="F871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F1570" i="23"/>
  <c r="F1867" i="23"/>
  <c r="D717" i="23"/>
  <c r="K2846" i="100"/>
  <c r="F2083" i="23"/>
  <c r="F1984" i="23"/>
  <c r="F1968" i="23"/>
  <c r="F2068" i="23"/>
  <c r="E653" i="23"/>
  <c r="E646" i="23"/>
  <c r="G14" i="56" l="1"/>
  <c r="K2881" i="100" l="1"/>
  <c r="K2882" i="100" s="1"/>
  <c r="K2872" i="100"/>
  <c r="K2871" i="100"/>
  <c r="K2866" i="100"/>
  <c r="K2865" i="100"/>
  <c r="K2864" i="100"/>
  <c r="K2863" i="100"/>
  <c r="K2862" i="100"/>
  <c r="K2861" i="100"/>
  <c r="K2859" i="100"/>
  <c r="K2858" i="100"/>
  <c r="K2857" i="100"/>
  <c r="K2856" i="100"/>
  <c r="K2855" i="100"/>
  <c r="K2854" i="100"/>
  <c r="K2853" i="100"/>
  <c r="K2852" i="100"/>
  <c r="K2851" i="100"/>
  <c r="K2845" i="100"/>
  <c r="K2844" i="100"/>
  <c r="K2843" i="100"/>
  <c r="K2842" i="100"/>
  <c r="K2839" i="100"/>
  <c r="K2838" i="100"/>
  <c r="K2837" i="100"/>
  <c r="K2836" i="100"/>
  <c r="K2835" i="100"/>
  <c r="K2823" i="100"/>
  <c r="K2822" i="100"/>
  <c r="K2821" i="100"/>
  <c r="K2820" i="100"/>
  <c r="K2818" i="100"/>
  <c r="K2817" i="100"/>
  <c r="K2816" i="100"/>
  <c r="K2815" i="100"/>
  <c r="K2814" i="100"/>
  <c r="K2809" i="100"/>
  <c r="K2808" i="100"/>
  <c r="K2807" i="100"/>
  <c r="K2806" i="100"/>
  <c r="K2804" i="100"/>
  <c r="K2803" i="100"/>
  <c r="K2802" i="100"/>
  <c r="K2801" i="100"/>
  <c r="K2800" i="100"/>
  <c r="K2795" i="100"/>
  <c r="K2794" i="100"/>
  <c r="K2793" i="100"/>
  <c r="K2792" i="100"/>
  <c r="K2790" i="100"/>
  <c r="K2789" i="100"/>
  <c r="K2788" i="100"/>
  <c r="K2787" i="100"/>
  <c r="K2786" i="100"/>
  <c r="J2768" i="100"/>
  <c r="K2761" i="100"/>
  <c r="J2761" i="100"/>
  <c r="K2760" i="100"/>
  <c r="J2760" i="100"/>
  <c r="K2759" i="100"/>
  <c r="J2759" i="100"/>
  <c r="J2758" i="100"/>
  <c r="K2757" i="100"/>
  <c r="J2757" i="100"/>
  <c r="K2756" i="100"/>
  <c r="J2756" i="100"/>
  <c r="K2755" i="100"/>
  <c r="J2755" i="100"/>
  <c r="K2754" i="100"/>
  <c r="J2754" i="100"/>
  <c r="K2753" i="100"/>
  <c r="J2753" i="100"/>
  <c r="K2748" i="100"/>
  <c r="J2748" i="100"/>
  <c r="K2747" i="100"/>
  <c r="J2747" i="100"/>
  <c r="K2746" i="100"/>
  <c r="J2746" i="100"/>
  <c r="K2741" i="100"/>
  <c r="J2741" i="100"/>
  <c r="K2740" i="100"/>
  <c r="J2740" i="100"/>
  <c r="K2739" i="100"/>
  <c r="J2739" i="100"/>
  <c r="J2738" i="100"/>
  <c r="K2737" i="100"/>
  <c r="J2737" i="100"/>
  <c r="K2736" i="100"/>
  <c r="K2764" i="100" s="1"/>
  <c r="J2736" i="100"/>
  <c r="K2735" i="100"/>
  <c r="J2735" i="100"/>
  <c r="K2734" i="100"/>
  <c r="J2734" i="100"/>
  <c r="K2733" i="100"/>
  <c r="J2733" i="100"/>
  <c r="K2732" i="100"/>
  <c r="J2732" i="100"/>
  <c r="J2666" i="100"/>
  <c r="J2636" i="100"/>
  <c r="J2626" i="100"/>
  <c r="J2604" i="100"/>
  <c r="J2603" i="100"/>
  <c r="J2598" i="100"/>
  <c r="J2597" i="100"/>
  <c r="J2566" i="100"/>
  <c r="K2486" i="100"/>
  <c r="K2485" i="100"/>
  <c r="K2484" i="100"/>
  <c r="K2483" i="100"/>
  <c r="K2482" i="100"/>
  <c r="K2480" i="100"/>
  <c r="K2479" i="100"/>
  <c r="K2478" i="100"/>
  <c r="K2477" i="100"/>
  <c r="K2475" i="100"/>
  <c r="K2474" i="100"/>
  <c r="K2473" i="100"/>
  <c r="K2471" i="100"/>
  <c r="K2466" i="100"/>
  <c r="K2465" i="100"/>
  <c r="K2464" i="100"/>
  <c r="K2463" i="100"/>
  <c r="K2458" i="100"/>
  <c r="K2451" i="100"/>
  <c r="K2450" i="100"/>
  <c r="K2449" i="100"/>
  <c r="K2448" i="100"/>
  <c r="K2440" i="100"/>
  <c r="K2439" i="100"/>
  <c r="K2438" i="100"/>
  <c r="K2437" i="100"/>
  <c r="K2430" i="100"/>
  <c r="K2429" i="100"/>
  <c r="K2428" i="100"/>
  <c r="K2427" i="100"/>
  <c r="K2426" i="100"/>
  <c r="K2420" i="100"/>
  <c r="K2419" i="100"/>
  <c r="K2418" i="100"/>
  <c r="K2417" i="100"/>
  <c r="K2416" i="100"/>
  <c r="K2415" i="100"/>
  <c r="K2413" i="100"/>
  <c r="K2412" i="100"/>
  <c r="K2411" i="100"/>
  <c r="K2410" i="100"/>
  <c r="K2409" i="100"/>
  <c r="L2399" i="100"/>
  <c r="K2383" i="100"/>
  <c r="K2382" i="100"/>
  <c r="K2381" i="100"/>
  <c r="K2380" i="100"/>
  <c r="K2379" i="100"/>
  <c r="K2377" i="100"/>
  <c r="K2376" i="100"/>
  <c r="K2375" i="100"/>
  <c r="K2374" i="100"/>
  <c r="K2373" i="100"/>
  <c r="K2372" i="100"/>
  <c r="K2371" i="100"/>
  <c r="K2370" i="100"/>
  <c r="K2369" i="100"/>
  <c r="K2368" i="100"/>
  <c r="K2363" i="100"/>
  <c r="K2362" i="100"/>
  <c r="K2361" i="100"/>
  <c r="K2360" i="100"/>
  <c r="K2356" i="100"/>
  <c r="K2355" i="100"/>
  <c r="K2354" i="100"/>
  <c r="K2353" i="100"/>
  <c r="K2352" i="100"/>
  <c r="J2352" i="100"/>
  <c r="K2343" i="100"/>
  <c r="K2342" i="100"/>
  <c r="K2341" i="100"/>
  <c r="K2340" i="100"/>
  <c r="K2339" i="100"/>
  <c r="K2336" i="100"/>
  <c r="K2335" i="100"/>
  <c r="K2334" i="100"/>
  <c r="K2333" i="100"/>
  <c r="J2333" i="100"/>
  <c r="J2328" i="100"/>
  <c r="J2327" i="100"/>
  <c r="K2326" i="100"/>
  <c r="J2326" i="100"/>
  <c r="K2325" i="100"/>
  <c r="J2325" i="100"/>
  <c r="K2324" i="100"/>
  <c r="J2324" i="100"/>
  <c r="K2323" i="100"/>
  <c r="J2323" i="100"/>
  <c r="K2322" i="100"/>
  <c r="J2322" i="100"/>
  <c r="K2321" i="100"/>
  <c r="J2321" i="100"/>
  <c r="K2320" i="100"/>
  <c r="J2320" i="100"/>
  <c r="K2319" i="100"/>
  <c r="J2319" i="100"/>
  <c r="K2318" i="100"/>
  <c r="J2318" i="100"/>
  <c r="K2317" i="100"/>
  <c r="J2317" i="100"/>
  <c r="J2316" i="100"/>
  <c r="J2315" i="100"/>
  <c r="K2310" i="100"/>
  <c r="J2310" i="100"/>
  <c r="J2309" i="100"/>
  <c r="K2308" i="100"/>
  <c r="J2308" i="100"/>
  <c r="K2303" i="100"/>
  <c r="J2303" i="100"/>
  <c r="J2302" i="100"/>
  <c r="K2301" i="100"/>
  <c r="J2301" i="100"/>
  <c r="J2296" i="100"/>
  <c r="J2295" i="100"/>
  <c r="K2294" i="100"/>
  <c r="J2294" i="100"/>
  <c r="K2293" i="100"/>
  <c r="J2293" i="100"/>
  <c r="K2292" i="100"/>
  <c r="J2292" i="100"/>
  <c r="K2291" i="100"/>
  <c r="J2291" i="100"/>
  <c r="K2290" i="100"/>
  <c r="J2290" i="100"/>
  <c r="K2289" i="100"/>
  <c r="J2289" i="100"/>
  <c r="K2288" i="100"/>
  <c r="J2288" i="100"/>
  <c r="K2287" i="100"/>
  <c r="J2287" i="100"/>
  <c r="K2286" i="100"/>
  <c r="J2286" i="100"/>
  <c r="K2285" i="100"/>
  <c r="J2285" i="100"/>
  <c r="J2284" i="100"/>
  <c r="J2283" i="100"/>
  <c r="J2278" i="100"/>
  <c r="J2277" i="100"/>
  <c r="K2276" i="100"/>
  <c r="J2276" i="100"/>
  <c r="K2275" i="100"/>
  <c r="J2275" i="100"/>
  <c r="K2274" i="100"/>
  <c r="J2274" i="100"/>
  <c r="K2273" i="100"/>
  <c r="J2273" i="100"/>
  <c r="K2272" i="100"/>
  <c r="J2272" i="100"/>
  <c r="K2271" i="100"/>
  <c r="J2271" i="100"/>
  <c r="K2270" i="100"/>
  <c r="J2270" i="100"/>
  <c r="K2269" i="100"/>
  <c r="J2269" i="100"/>
  <c r="K2268" i="100"/>
  <c r="J2268" i="100"/>
  <c r="K2267" i="100"/>
  <c r="J2267" i="100"/>
  <c r="J2266" i="100"/>
  <c r="J2265" i="100"/>
  <c r="J2246" i="100"/>
  <c r="J2245" i="100"/>
  <c r="J2229" i="100"/>
  <c r="J2228" i="100"/>
  <c r="J2227" i="100"/>
  <c r="J2226" i="100"/>
  <c r="K2225" i="100"/>
  <c r="J2224" i="100"/>
  <c r="J2223" i="100"/>
  <c r="J2222" i="100"/>
  <c r="J2221" i="100"/>
  <c r="J2220" i="100"/>
  <c r="J2219" i="100"/>
  <c r="J2218" i="100"/>
  <c r="J2217" i="100"/>
  <c r="J2216" i="100"/>
  <c r="J2215" i="100"/>
  <c r="J2213" i="100"/>
  <c r="J2208" i="100"/>
  <c r="J2207" i="100"/>
  <c r="J2206" i="100"/>
  <c r="J2205" i="100"/>
  <c r="J2204" i="100"/>
  <c r="J2203" i="100"/>
  <c r="J2202" i="100"/>
  <c r="J2201" i="100"/>
  <c r="J2200" i="100"/>
  <c r="J2193" i="100"/>
  <c r="J2192" i="100"/>
  <c r="J2191" i="100"/>
  <c r="J2190" i="100"/>
  <c r="J2189" i="100"/>
  <c r="J2188" i="100"/>
  <c r="J2186" i="100"/>
  <c r="J2185" i="100"/>
  <c r="J2184" i="100"/>
  <c r="J2183" i="100"/>
  <c r="J2181" i="100"/>
  <c r="J2180" i="100"/>
  <c r="J2179" i="100"/>
  <c r="J2178" i="100"/>
  <c r="J2177" i="100"/>
  <c r="J2172" i="100"/>
  <c r="J2171" i="100"/>
  <c r="J2170" i="100"/>
  <c r="J2169" i="100"/>
  <c r="J2168" i="100"/>
  <c r="J2167" i="100"/>
  <c r="J2165" i="100"/>
  <c r="J2164" i="100"/>
  <c r="J2163" i="100"/>
  <c r="J2162" i="100"/>
  <c r="J2160" i="100"/>
  <c r="J2159" i="100"/>
  <c r="J2158" i="100"/>
  <c r="J2157" i="100"/>
  <c r="J2156" i="100"/>
  <c r="J2151" i="100"/>
  <c r="J2150" i="100"/>
  <c r="J2149" i="100"/>
  <c r="J2148" i="100"/>
  <c r="J2147" i="100"/>
  <c r="J2146" i="100"/>
  <c r="J2145" i="100"/>
  <c r="J2144" i="100"/>
  <c r="J2143" i="100"/>
  <c r="J2142" i="100"/>
  <c r="J2141" i="100"/>
  <c r="J2140" i="100"/>
  <c r="J2139" i="100"/>
  <c r="J2138" i="100"/>
  <c r="J2137" i="100"/>
  <c r="J2136" i="100"/>
  <c r="J2135" i="100"/>
  <c r="J2130" i="100"/>
  <c r="J2129" i="100"/>
  <c r="J2128" i="100"/>
  <c r="J2126" i="100"/>
  <c r="J2125" i="100"/>
  <c r="J2124" i="100"/>
  <c r="J2123" i="100"/>
  <c r="J2122" i="100"/>
  <c r="J2117" i="100"/>
  <c r="J2116" i="100"/>
  <c r="J2111" i="100"/>
  <c r="J2110" i="100"/>
  <c r="J2105" i="100"/>
  <c r="J2104" i="100"/>
  <c r="J2102" i="100"/>
  <c r="J2099" i="100"/>
  <c r="J2098" i="100"/>
  <c r="J2096" i="100"/>
  <c r="J2091" i="100"/>
  <c r="J2090" i="100"/>
  <c r="J2089" i="100"/>
  <c r="J2088" i="100"/>
  <c r="J2087" i="100"/>
  <c r="J2086" i="100"/>
  <c r="J2085" i="100"/>
  <c r="J2084" i="100"/>
  <c r="J2083" i="100"/>
  <c r="J2082" i="100"/>
  <c r="J2081" i="100"/>
  <c r="J2080" i="100"/>
  <c r="J2079" i="100"/>
  <c r="J2078" i="100"/>
  <c r="J2076" i="100"/>
  <c r="J2074" i="100"/>
  <c r="J2069" i="100"/>
  <c r="J2068" i="100"/>
  <c r="J2067" i="100"/>
  <c r="J2066" i="100"/>
  <c r="J2065" i="100"/>
  <c r="J2064" i="100"/>
  <c r="J2063" i="100"/>
  <c r="J2062" i="100"/>
  <c r="J2061" i="100"/>
  <c r="J2060" i="100"/>
  <c r="J2059" i="100"/>
  <c r="J2058" i="100"/>
  <c r="J2047" i="100"/>
  <c r="J2046" i="100"/>
  <c r="J2045" i="100"/>
  <c r="J2044" i="100"/>
  <c r="J2042" i="100"/>
  <c r="J2040" i="100"/>
  <c r="J2039" i="100"/>
  <c r="J2038" i="100"/>
  <c r="J2037" i="100"/>
  <c r="J2035" i="100"/>
  <c r="J2034" i="100"/>
  <c r="J2030" i="100"/>
  <c r="J2025" i="100"/>
  <c r="J2024" i="100"/>
  <c r="J2023" i="100"/>
  <c r="J2022" i="100"/>
  <c r="J2021" i="100"/>
  <c r="J2019" i="100"/>
  <c r="J2018" i="100"/>
  <c r="J2017" i="100"/>
  <c r="J2016" i="100"/>
  <c r="J2015" i="100"/>
  <c r="J2013" i="100"/>
  <c r="J2010" i="100"/>
  <c r="J2009" i="100"/>
  <c r="J2004" i="100"/>
  <c r="J2003" i="100"/>
  <c r="J2002" i="100"/>
  <c r="J2000" i="100"/>
  <c r="J1999" i="100"/>
  <c r="J1998" i="100"/>
  <c r="J1997" i="100"/>
  <c r="J1993" i="100"/>
  <c r="J1992" i="100"/>
  <c r="J1989" i="100"/>
  <c r="J1984" i="100"/>
  <c r="J1983" i="100"/>
  <c r="J1978" i="100"/>
  <c r="J1909" i="100"/>
  <c r="J1908" i="100" s="1"/>
  <c r="J1907" i="100" s="1"/>
  <c r="J1906" i="100" s="1"/>
  <c r="J1905" i="100" s="1"/>
  <c r="K1838" i="100"/>
  <c r="K1837" i="100"/>
  <c r="K1836" i="100"/>
  <c r="K1835" i="100"/>
  <c r="K1834" i="100"/>
  <c r="K1833" i="100"/>
  <c r="K1828" i="100"/>
  <c r="K1827" i="100"/>
  <c r="K1826" i="100"/>
  <c r="K1825" i="100"/>
  <c r="K1823" i="100"/>
  <c r="K1822" i="100"/>
  <c r="K1821" i="100"/>
  <c r="K1820" i="100"/>
  <c r="K1819" i="100"/>
  <c r="K1818" i="100"/>
  <c r="K1817" i="100"/>
  <c r="K1801" i="100"/>
  <c r="K1799" i="100"/>
  <c r="K1798" i="100"/>
  <c r="K1797" i="100"/>
  <c r="K1796" i="100"/>
  <c r="K1795" i="100"/>
  <c r="D1779" i="100"/>
  <c r="D1780" i="100" s="1"/>
  <c r="D1781" i="100" s="1"/>
  <c r="D1782" i="100" s="1"/>
  <c r="D1783" i="100" s="1"/>
  <c r="D1784" i="100" s="1"/>
  <c r="D1785" i="100" s="1"/>
  <c r="D1786" i="100" s="1"/>
  <c r="D1787" i="100" s="1"/>
  <c r="D1788" i="100" s="1"/>
  <c r="D1789" i="100" s="1"/>
  <c r="D1790" i="100" s="1"/>
  <c r="B1779" i="100"/>
  <c r="B1780" i="100" s="1"/>
  <c r="B1781" i="100" s="1"/>
  <c r="B1782" i="100" s="1"/>
  <c r="B1783" i="100" s="1"/>
  <c r="B1784" i="100" s="1"/>
  <c r="B1785" i="100" s="1"/>
  <c r="B1786" i="100" s="1"/>
  <c r="B1787" i="100" s="1"/>
  <c r="B1788" i="100" s="1"/>
  <c r="B1789" i="100" s="1"/>
  <c r="B1790" i="100" s="1"/>
  <c r="D1777" i="100"/>
  <c r="B1777" i="100"/>
  <c r="D1756" i="100"/>
  <c r="D1757" i="100" s="1"/>
  <c r="D1758" i="100" s="1"/>
  <c r="D1759" i="100" s="1"/>
  <c r="D1760" i="100" s="1"/>
  <c r="D1761" i="100" s="1"/>
  <c r="D1762" i="100" s="1"/>
  <c r="D1763" i="100" s="1"/>
  <c r="D1764" i="100" s="1"/>
  <c r="D1765" i="100" s="1"/>
  <c r="B1756" i="100"/>
  <c r="B1757" i="100" s="1"/>
  <c r="B1758" i="100" s="1"/>
  <c r="B1759" i="100" s="1"/>
  <c r="B1760" i="100" s="1"/>
  <c r="B1761" i="100" s="1"/>
  <c r="B1762" i="100" s="1"/>
  <c r="B1763" i="100" s="1"/>
  <c r="B1764" i="100" s="1"/>
  <c r="B1765" i="100" s="1"/>
  <c r="L1754" i="100"/>
  <c r="D1745" i="100"/>
  <c r="D1746" i="100" s="1"/>
  <c r="D1747" i="100" s="1"/>
  <c r="D1748" i="100" s="1"/>
  <c r="D1749" i="100" s="1"/>
  <c r="D1750" i="100" s="1"/>
  <c r="D1751" i="100" s="1"/>
  <c r="D1752" i="100" s="1"/>
  <c r="D1753" i="100" s="1"/>
  <c r="D1754" i="100" s="1"/>
  <c r="B1745" i="100"/>
  <c r="B1746" i="100" s="1"/>
  <c r="B1747" i="100" s="1"/>
  <c r="B1748" i="100" s="1"/>
  <c r="B1749" i="100" s="1"/>
  <c r="B1750" i="100" s="1"/>
  <c r="B1751" i="100" s="1"/>
  <c r="B1752" i="100" s="1"/>
  <c r="B1753" i="100" s="1"/>
  <c r="B1754" i="100" s="1"/>
  <c r="D1734" i="100"/>
  <c r="D1735" i="100" s="1"/>
  <c r="D1736" i="100" s="1"/>
  <c r="D1737" i="100" s="1"/>
  <c r="D1738" i="100" s="1"/>
  <c r="D1739" i="100" s="1"/>
  <c r="D1740" i="100" s="1"/>
  <c r="D1741" i="100" s="1"/>
  <c r="D1742" i="100" s="1"/>
  <c r="D1743" i="100" s="1"/>
  <c r="B1734" i="100"/>
  <c r="B1735" i="100" s="1"/>
  <c r="B1736" i="100" s="1"/>
  <c r="B1737" i="100" s="1"/>
  <c r="B1738" i="100" s="1"/>
  <c r="B1739" i="100" s="1"/>
  <c r="B1740" i="100" s="1"/>
  <c r="B1741" i="100" s="1"/>
  <c r="B1742" i="100" s="1"/>
  <c r="B1743" i="100" s="1"/>
  <c r="D1722" i="100"/>
  <c r="D1723" i="100" s="1"/>
  <c r="D1724" i="100" s="1"/>
  <c r="D1725" i="100" s="1"/>
  <c r="D1726" i="100" s="1"/>
  <c r="D1727" i="100" s="1"/>
  <c r="D1728" i="100" s="1"/>
  <c r="D1729" i="100" s="1"/>
  <c r="D1730" i="100" s="1"/>
  <c r="D1731" i="100" s="1"/>
  <c r="B1722" i="100"/>
  <c r="B1723" i="100" s="1"/>
  <c r="B1724" i="100" s="1"/>
  <c r="B1725" i="100" s="1"/>
  <c r="B1726" i="100" s="1"/>
  <c r="B1727" i="100" s="1"/>
  <c r="B1728" i="100" s="1"/>
  <c r="B1729" i="100" s="1"/>
  <c r="B1730" i="100" s="1"/>
  <c r="B1731" i="100" s="1"/>
  <c r="D1711" i="100"/>
  <c r="D1712" i="100" s="1"/>
  <c r="D1713" i="100" s="1"/>
  <c r="D1714" i="100" s="1"/>
  <c r="D1715" i="100" s="1"/>
  <c r="D1716" i="100" s="1"/>
  <c r="D1717" i="100" s="1"/>
  <c r="D1718" i="100" s="1"/>
  <c r="D1719" i="100" s="1"/>
  <c r="D1720" i="100" s="1"/>
  <c r="B1711" i="100"/>
  <c r="B1712" i="100" s="1"/>
  <c r="B1713" i="100" s="1"/>
  <c r="B1714" i="100" s="1"/>
  <c r="B1715" i="100" s="1"/>
  <c r="B1716" i="100" s="1"/>
  <c r="B1717" i="100" s="1"/>
  <c r="B1718" i="100" s="1"/>
  <c r="B1719" i="100" s="1"/>
  <c r="B1720" i="100" s="1"/>
  <c r="J1693" i="100"/>
  <c r="J1682" i="100"/>
  <c r="K1654" i="100"/>
  <c r="K1653" i="100"/>
  <c r="K1650" i="100"/>
  <c r="K1649" i="100"/>
  <c r="K1648" i="100"/>
  <c r="K1647" i="100"/>
  <c r="J1561" i="100"/>
  <c r="J1558" i="100"/>
  <c r="K1517" i="100"/>
  <c r="K1516" i="100"/>
  <c r="J1420" i="100"/>
  <c r="J1419" i="100"/>
  <c r="J1418" i="100"/>
  <c r="J1417" i="100"/>
  <c r="J1371" i="100"/>
  <c r="J1370" i="100"/>
  <c r="J1366" i="100"/>
  <c r="J1365" i="100"/>
  <c r="J1364" i="100"/>
  <c r="J1362" i="100"/>
  <c r="J1361" i="100"/>
  <c r="J1358" i="100"/>
  <c r="K1340" i="100"/>
  <c r="L1340" i="100" s="1"/>
  <c r="K1332" i="100"/>
  <c r="J1332" i="100"/>
  <c r="K1330" i="100"/>
  <c r="J1330" i="100"/>
  <c r="K1325" i="100"/>
  <c r="J1325" i="100"/>
  <c r="K1318" i="100"/>
  <c r="J1318" i="100"/>
  <c r="J1317" i="100"/>
  <c r="K1315" i="100"/>
  <c r="J1315" i="100"/>
  <c r="K1314" i="100"/>
  <c r="J1314" i="100"/>
  <c r="J1309" i="100"/>
  <c r="K1308" i="100"/>
  <c r="J1308" i="100"/>
  <c r="K1307" i="100"/>
  <c r="J1307" i="100"/>
  <c r="K1306" i="100"/>
  <c r="J1306" i="100"/>
  <c r="K1305" i="100"/>
  <c r="J1305" i="100"/>
  <c r="J1304" i="100"/>
  <c r="K1294" i="100"/>
  <c r="L1294" i="100" s="1"/>
  <c r="K1288" i="100"/>
  <c r="J1288" i="100"/>
  <c r="K1286" i="100"/>
  <c r="J1286" i="100"/>
  <c r="J1281" i="100"/>
  <c r="K1280" i="100"/>
  <c r="J1280" i="100"/>
  <c r="K1279" i="100"/>
  <c r="J1279" i="100"/>
  <c r="K1278" i="100"/>
  <c r="J1278" i="100"/>
  <c r="K1277" i="100"/>
  <c r="J1277" i="100"/>
  <c r="K1276" i="100"/>
  <c r="J1276" i="100"/>
  <c r="J1275" i="100"/>
  <c r="J1257" i="100"/>
  <c r="J1251" i="100"/>
  <c r="J1245" i="100"/>
  <c r="J1239" i="100"/>
  <c r="J1201" i="100"/>
  <c r="J1180" i="100"/>
  <c r="J1159" i="100"/>
  <c r="J1037" i="100"/>
  <c r="K921" i="100"/>
  <c r="K920" i="100"/>
  <c r="K919" i="100"/>
  <c r="K837" i="100"/>
  <c r="L837" i="100" s="1"/>
  <c r="J837" i="100"/>
  <c r="K832" i="100"/>
  <c r="K831" i="100"/>
  <c r="K830" i="100"/>
  <c r="K829" i="100"/>
  <c r="K788" i="100"/>
  <c r="K712" i="100"/>
  <c r="K711" i="100" s="1"/>
  <c r="K707" i="100"/>
  <c r="K702" i="100"/>
  <c r="K701" i="100" s="1"/>
  <c r="K696" i="100"/>
  <c r="K695" i="100"/>
  <c r="K690" i="100"/>
  <c r="K689" i="100" s="1"/>
  <c r="J690" i="100"/>
  <c r="J689" i="100" s="1"/>
  <c r="J688" i="100" s="1"/>
  <c r="J687" i="100" s="1"/>
  <c r="J686" i="100" s="1"/>
  <c r="K656" i="100"/>
  <c r="K655" i="100"/>
  <c r="K654" i="100"/>
  <c r="K587" i="100"/>
  <c r="J587" i="100"/>
  <c r="K586" i="100"/>
  <c r="K584" i="100"/>
  <c r="K583" i="100"/>
  <c r="K550" i="100"/>
  <c r="K549" i="100"/>
  <c r="K548" i="100"/>
  <c r="K547" i="100"/>
  <c r="K541" i="100"/>
  <c r="K540" i="100"/>
  <c r="K539" i="100"/>
  <c r="K538" i="100"/>
  <c r="K537" i="100"/>
  <c r="K531" i="100"/>
  <c r="K530" i="100"/>
  <c r="K529" i="100"/>
  <c r="K528" i="100"/>
  <c r="K527" i="100"/>
  <c r="J485" i="100"/>
  <c r="K447" i="100"/>
  <c r="K445" i="100"/>
  <c r="K444" i="100"/>
  <c r="K443" i="100"/>
  <c r="K438" i="100"/>
  <c r="K435" i="100"/>
  <c r="K434" i="100"/>
  <c r="K433" i="100"/>
  <c r="K428" i="100"/>
  <c r="K425" i="100"/>
  <c r="K424" i="100"/>
  <c r="K423" i="100"/>
  <c r="K303" i="100"/>
  <c r="K302" i="100" s="1"/>
  <c r="J156" i="100"/>
  <c r="K145" i="100"/>
  <c r="K143" i="100"/>
  <c r="K142" i="100"/>
  <c r="J38" i="100"/>
  <c r="J35" i="100"/>
  <c r="J34" i="100"/>
  <c r="D46" i="33"/>
  <c r="D41" i="33"/>
  <c r="D40" i="33"/>
  <c r="E18" i="15" s="1"/>
  <c r="B43" i="33"/>
  <c r="L1314" i="100" l="1"/>
  <c r="L1308" i="100"/>
  <c r="K2462" i="100"/>
  <c r="K2461" i="100" s="1"/>
  <c r="J2745" i="100"/>
  <c r="J2744" i="100" s="1"/>
  <c r="J2743" i="100" s="1"/>
  <c r="J2742" i="100" s="1"/>
  <c r="K2492" i="100"/>
  <c r="L1315" i="100"/>
  <c r="J2602" i="100"/>
  <c r="J2601" i="100" s="1"/>
  <c r="J2600" i="100" s="1"/>
  <c r="J2599" i="100" s="1"/>
  <c r="J2244" i="100"/>
  <c r="J2243" i="100" s="1"/>
  <c r="J2242" i="100" s="1"/>
  <c r="J2241" i="100" s="1"/>
  <c r="J2596" i="100"/>
  <c r="J2595" i="100" s="1"/>
  <c r="J2594" i="100" s="1"/>
  <c r="J2593" i="100" s="1"/>
  <c r="J2057" i="100"/>
  <c r="J2056" i="100" s="1"/>
  <c r="J2115" i="100"/>
  <c r="J2114" i="100" s="1"/>
  <c r="J2113" i="100" s="1"/>
  <c r="J2112" i="100" s="1"/>
  <c r="J2307" i="100"/>
  <c r="J2306" i="100" s="1"/>
  <c r="J2305" i="100" s="1"/>
  <c r="J2304" i="100" s="1"/>
  <c r="J2109" i="100"/>
  <c r="J2108" i="100" s="1"/>
  <c r="J2107" i="100" s="1"/>
  <c r="J2106" i="100" s="1"/>
  <c r="J2752" i="100"/>
  <c r="J2751" i="100" s="1"/>
  <c r="J2750" i="100" s="1"/>
  <c r="J2749" i="100" s="1"/>
  <c r="J2731" i="100"/>
  <c r="J2730" i="100" s="1"/>
  <c r="J2729" i="100" s="1"/>
  <c r="J2728" i="100" s="1"/>
  <c r="J1274" i="100"/>
  <c r="J1273" i="100" s="1"/>
  <c r="J1272" i="100" s="1"/>
  <c r="J1271" i="100" s="1"/>
  <c r="L836" i="100"/>
  <c r="L1330" i="100"/>
  <c r="L1332" i="100"/>
  <c r="L2800" i="100"/>
  <c r="L2804" i="100"/>
  <c r="L2809" i="100"/>
  <c r="L2267" i="100"/>
  <c r="L2268" i="100"/>
  <c r="L2286" i="100"/>
  <c r="L2326" i="100"/>
  <c r="L2333" i="100"/>
  <c r="L2334" i="100"/>
  <c r="L2335" i="100"/>
  <c r="L2336" i="100"/>
  <c r="L2339" i="100"/>
  <c r="L2340" i="100"/>
  <c r="L2341" i="100"/>
  <c r="L2342" i="100"/>
  <c r="L2343" i="100"/>
  <c r="L2362" i="100"/>
  <c r="L2387" i="100"/>
  <c r="L829" i="100"/>
  <c r="L830" i="100"/>
  <c r="L831" i="100"/>
  <c r="J2282" i="100"/>
  <c r="J2281" i="100" s="1"/>
  <c r="J2280" i="100" s="1"/>
  <c r="J2279" i="100" s="1"/>
  <c r="L2287" i="100"/>
  <c r="L2288" i="100"/>
  <c r="L2289" i="100"/>
  <c r="L2290" i="100"/>
  <c r="L2291" i="100"/>
  <c r="L2292" i="100"/>
  <c r="L2293" i="100"/>
  <c r="L2294" i="100"/>
  <c r="L2301" i="100"/>
  <c r="L2303" i="100"/>
  <c r="L2308" i="100"/>
  <c r="L2310" i="100"/>
  <c r="L2317" i="100"/>
  <c r="L2318" i="100"/>
  <c r="L2363" i="100"/>
  <c r="L2368" i="100"/>
  <c r="L2369" i="100"/>
  <c r="L2370" i="100"/>
  <c r="L2371" i="100"/>
  <c r="L2372" i="100"/>
  <c r="L2373" i="100"/>
  <c r="L2374" i="100"/>
  <c r="L2375" i="100"/>
  <c r="L2376" i="100"/>
  <c r="L2377" i="100"/>
  <c r="L2379" i="100"/>
  <c r="L2380" i="100"/>
  <c r="L2381" i="100"/>
  <c r="L2382" i="100"/>
  <c r="L2393" i="100"/>
  <c r="L1276" i="100"/>
  <c r="L1277" i="100"/>
  <c r="L1278" i="100"/>
  <c r="L1279" i="100"/>
  <c r="L1280" i="100"/>
  <c r="J1303" i="100"/>
  <c r="J1302" i="100" s="1"/>
  <c r="J1301" i="100" s="1"/>
  <c r="J1300" i="100" s="1"/>
  <c r="J2134" i="100"/>
  <c r="J2133" i="100" s="1"/>
  <c r="J2264" i="100"/>
  <c r="J2263" i="100" s="1"/>
  <c r="J2262" i="100" s="1"/>
  <c r="J2261" i="100" s="1"/>
  <c r="L2269" i="100"/>
  <c r="L2270" i="100"/>
  <c r="L2271" i="100"/>
  <c r="L2272" i="100"/>
  <c r="L2273" i="100"/>
  <c r="L2274" i="100"/>
  <c r="L2275" i="100"/>
  <c r="L2276" i="100"/>
  <c r="L2285" i="100"/>
  <c r="J2314" i="100"/>
  <c r="J2313" i="100" s="1"/>
  <c r="J2312" i="100" s="1"/>
  <c r="J2311" i="100" s="1"/>
  <c r="L2319" i="100"/>
  <c r="L2320" i="100"/>
  <c r="L2321" i="100"/>
  <c r="L2322" i="100"/>
  <c r="L2323" i="100"/>
  <c r="L2324" i="100"/>
  <c r="L2325" i="100"/>
  <c r="L2352" i="100"/>
  <c r="L2353" i="100"/>
  <c r="L2354" i="100"/>
  <c r="L2355" i="100"/>
  <c r="L2356" i="100"/>
  <c r="L2360" i="100"/>
  <c r="L2361" i="100"/>
  <c r="L2383" i="100"/>
  <c r="L2390" i="100"/>
  <c r="L2396" i="100"/>
  <c r="L2786" i="100"/>
  <c r="L2790" i="100"/>
  <c r="L2794" i="100"/>
  <c r="L2852" i="100"/>
  <c r="L2854" i="100"/>
  <c r="L2856" i="100"/>
  <c r="L2858" i="100"/>
  <c r="L2861" i="100"/>
  <c r="L832" i="100"/>
  <c r="L1305" i="100"/>
  <c r="L1306" i="100"/>
  <c r="L1307" i="100"/>
  <c r="L1318" i="100"/>
  <c r="L1336" i="100"/>
  <c r="L2863" i="100"/>
  <c r="L2865" i="100"/>
  <c r="K828" i="100"/>
  <c r="L828" i="100" s="1"/>
  <c r="L1286" i="100"/>
  <c r="L1288" i="100"/>
  <c r="L1325" i="100"/>
  <c r="L1338" i="100"/>
  <c r="J2300" i="100"/>
  <c r="J2299" i="100" s="1"/>
  <c r="J2298" i="100" s="1"/>
  <c r="J2297" i="100" s="1"/>
  <c r="L2817" i="100"/>
  <c r="L2820" i="100"/>
  <c r="L2835" i="100"/>
  <c r="L2836" i="100"/>
  <c r="L2837" i="100"/>
  <c r="L2838" i="100"/>
  <c r="L2839" i="100"/>
  <c r="L2842" i="100"/>
  <c r="L2844" i="100"/>
  <c r="L1293" i="100"/>
  <c r="L2845" i="100"/>
  <c r="L2846" i="100"/>
  <c r="L2871" i="100"/>
  <c r="L1335" i="100"/>
  <c r="L1337" i="100"/>
  <c r="L1339" i="100"/>
  <c r="L2882" i="100"/>
  <c r="L2881" i="100"/>
  <c r="L2880" i="100"/>
  <c r="L2876" i="100"/>
  <c r="L2872" i="100"/>
  <c r="L2866" i="100"/>
  <c r="L2864" i="100"/>
  <c r="L2862" i="100"/>
  <c r="L2859" i="100"/>
  <c r="L2857" i="100"/>
  <c r="L2855" i="100"/>
  <c r="L2853" i="100"/>
  <c r="L2851" i="100"/>
  <c r="L2822" i="100"/>
  <c r="L2815" i="100"/>
  <c r="L2879" i="100"/>
  <c r="L2878" i="100"/>
  <c r="L2877" i="100"/>
  <c r="L2875" i="100"/>
  <c r="L2824" i="100"/>
  <c r="L2807" i="100"/>
  <c r="L2802" i="100"/>
  <c r="L2792" i="100"/>
  <c r="L2788" i="100"/>
  <c r="L2789" i="100"/>
  <c r="L2793" i="100"/>
  <c r="L2803" i="100"/>
  <c r="L2808" i="100"/>
  <c r="L2814" i="100"/>
  <c r="L2818" i="100"/>
  <c r="L2821" i="100"/>
  <c r="K2870" i="100"/>
  <c r="L2394" i="100"/>
  <c r="L2398" i="100"/>
  <c r="L2787" i="100"/>
  <c r="L2795" i="100"/>
  <c r="L2801" i="100"/>
  <c r="L2806" i="100"/>
  <c r="L2816" i="100"/>
  <c r="L2823" i="100"/>
  <c r="K301" i="100"/>
  <c r="K688" i="100"/>
  <c r="K700" i="100"/>
  <c r="K706" i="100"/>
  <c r="K710" i="100"/>
  <c r="L835" i="100"/>
  <c r="L1291" i="100"/>
  <c r="L1292" i="100"/>
  <c r="B1766" i="100"/>
  <c r="B1767" i="100" s="1"/>
  <c r="B1768" i="100" s="1"/>
  <c r="B1769" i="100" s="1"/>
  <c r="B1770" i="100" s="1"/>
  <c r="B1771" i="100" s="1"/>
  <c r="B1772" i="100" s="1"/>
  <c r="B1773" i="100" s="1"/>
  <c r="B1774" i="100" s="1"/>
  <c r="B1775" i="100" s="1"/>
  <c r="D1766" i="100"/>
  <c r="D1767" i="100" s="1"/>
  <c r="D1768" i="100" s="1"/>
  <c r="D1769" i="100" s="1"/>
  <c r="D1770" i="100" s="1"/>
  <c r="D1771" i="100" s="1"/>
  <c r="D1772" i="100" s="1"/>
  <c r="D1773" i="100" s="1"/>
  <c r="D1774" i="100" s="1"/>
  <c r="D1775" i="100" s="1"/>
  <c r="L2386" i="100"/>
  <c r="L2388" i="100"/>
  <c r="L2389" i="100"/>
  <c r="L2391" i="100"/>
  <c r="L2392" i="100"/>
  <c r="L2395" i="100"/>
  <c r="L2397" i="100"/>
  <c r="K2457" i="100"/>
  <c r="K2768" i="100"/>
  <c r="L2734" i="100" s="1"/>
  <c r="K2745" i="100"/>
  <c r="D1118" i="98"/>
  <c r="D1117" i="98"/>
  <c r="D1116" i="98"/>
  <c r="D1115" i="98"/>
  <c r="D1114" i="98"/>
  <c r="D1113" i="98"/>
  <c r="D361" i="98"/>
  <c r="D360" i="98"/>
  <c r="D359" i="98"/>
  <c r="D358" i="98"/>
  <c r="D357" i="98"/>
  <c r="J2055" i="100" l="1"/>
  <c r="J2054" i="100" s="1"/>
  <c r="J2762" i="100"/>
  <c r="L2736" i="100"/>
  <c r="K827" i="100"/>
  <c r="K826" i="100" s="1"/>
  <c r="J2132" i="100"/>
  <c r="J2131" i="100" s="1"/>
  <c r="L2748" i="100"/>
  <c r="L2754" i="100"/>
  <c r="L2746" i="100"/>
  <c r="L2760" i="100"/>
  <c r="L2756" i="100"/>
  <c r="L2740" i="100"/>
  <c r="L2764" i="100"/>
  <c r="L2870" i="100"/>
  <c r="K2869" i="100"/>
  <c r="L2745" i="100"/>
  <c r="K2744" i="100"/>
  <c r="L2767" i="100"/>
  <c r="L2765" i="100"/>
  <c r="L2761" i="100"/>
  <c r="L2759" i="100"/>
  <c r="L2757" i="100"/>
  <c r="L2755" i="100"/>
  <c r="L2753" i="100"/>
  <c r="L2747" i="100"/>
  <c r="L2741" i="100"/>
  <c r="L2739" i="100"/>
  <c r="L2737" i="100"/>
  <c r="L2735" i="100"/>
  <c r="L2733" i="100"/>
  <c r="L2768" i="100"/>
  <c r="L2766" i="100"/>
  <c r="L2732" i="100"/>
  <c r="K2460" i="100"/>
  <c r="K709" i="100"/>
  <c r="K699" i="100"/>
  <c r="K687" i="100"/>
  <c r="K2456" i="100"/>
  <c r="K705" i="100"/>
  <c r="K300" i="100"/>
  <c r="F1993" i="23"/>
  <c r="L827" i="100" l="1"/>
  <c r="L2869" i="100"/>
  <c r="K2868" i="100"/>
  <c r="K299" i="100"/>
  <c r="K704" i="100"/>
  <c r="K833" i="100"/>
  <c r="L833" i="100" s="1"/>
  <c r="L826" i="100"/>
  <c r="K825" i="100"/>
  <c r="L825" i="100" s="1"/>
  <c r="K2455" i="100"/>
  <c r="K686" i="100"/>
  <c r="K698" i="100"/>
  <c r="K708" i="100"/>
  <c r="K2459" i="100"/>
  <c r="L2744" i="100"/>
  <c r="K2743" i="100"/>
  <c r="L2733" i="98"/>
  <c r="L2732" i="98"/>
  <c r="L2731" i="98"/>
  <c r="L2730" i="98"/>
  <c r="L2728" i="98"/>
  <c r="L2727" i="98"/>
  <c r="L2726" i="98"/>
  <c r="L2725" i="98"/>
  <c r="L2724" i="98"/>
  <c r="L2723" i="98"/>
  <c r="L2722" i="98"/>
  <c r="L2868" i="100" l="1"/>
  <c r="K2867" i="100"/>
  <c r="L2867" i="100" s="1"/>
  <c r="L2743" i="100"/>
  <c r="K2742" i="100"/>
  <c r="L2742" i="100" s="1"/>
  <c r="K2454" i="100"/>
  <c r="K703" i="100"/>
  <c r="H346" i="75"/>
  <c r="F1358" i="23"/>
  <c r="E1362" i="23"/>
  <c r="J1828" i="100" s="1"/>
  <c r="E1361" i="23"/>
  <c r="J1827" i="100" s="1"/>
  <c r="E1360" i="23"/>
  <c r="J1826" i="100" s="1"/>
  <c r="E1359" i="23"/>
  <c r="J1825" i="100" s="1"/>
  <c r="E1358" i="23"/>
  <c r="J1824" i="100" s="1"/>
  <c r="E1357" i="23"/>
  <c r="J1823" i="100" s="1"/>
  <c r="E1356" i="23"/>
  <c r="J1822" i="100" s="1"/>
  <c r="E1355" i="23"/>
  <c r="J1821" i="100" s="1"/>
  <c r="E1354" i="23"/>
  <c r="J1820" i="100" s="1"/>
  <c r="E1353" i="23"/>
  <c r="E1352" i="23"/>
  <c r="J1818" i="100" s="1"/>
  <c r="J1819" i="100" l="1"/>
  <c r="K2724" i="98"/>
  <c r="F1350" i="23"/>
  <c r="K1824" i="100"/>
  <c r="K1816" i="100" s="1"/>
  <c r="K1815" i="100" s="1"/>
  <c r="K1814" i="100" s="1"/>
  <c r="K1813" i="100" s="1"/>
  <c r="L2729" i="98"/>
  <c r="L2721" i="98" l="1"/>
  <c r="D973" i="23"/>
  <c r="E973" i="23" s="1"/>
  <c r="F973" i="23" s="1"/>
  <c r="E1009" i="23"/>
  <c r="E991" i="23"/>
  <c r="J1177" i="100" s="1"/>
  <c r="E940" i="23"/>
  <c r="J1110" i="100" s="1"/>
  <c r="D824" i="23"/>
  <c r="E824" i="23" s="1"/>
  <c r="J965" i="100" s="1"/>
  <c r="E882" i="23"/>
  <c r="E901" i="23"/>
  <c r="J1055" i="100" s="1"/>
  <c r="D842" i="23"/>
  <c r="E842" i="23" s="1"/>
  <c r="K1884" i="98" l="1"/>
  <c r="K1960" i="98"/>
  <c r="K1835" i="98"/>
  <c r="J985" i="100"/>
  <c r="F901" i="23"/>
  <c r="F940" i="23"/>
  <c r="F882" i="23"/>
  <c r="J1034" i="100"/>
  <c r="K1905" i="98"/>
  <c r="K2051" i="98"/>
  <c r="F1009" i="23"/>
  <c r="J1198" i="100"/>
  <c r="K2079" i="98"/>
  <c r="F824" i="23"/>
  <c r="F842" i="23"/>
  <c r="K1720" i="98"/>
  <c r="K1922" i="98" l="1"/>
  <c r="J1072" i="100"/>
  <c r="F4" i="23"/>
  <c r="F2130" i="23"/>
  <c r="E2131" i="23"/>
  <c r="J2922" i="100" s="1"/>
  <c r="E2130" i="23"/>
  <c r="E2129" i="23"/>
  <c r="E2128" i="23"/>
  <c r="E2127" i="23"/>
  <c r="J2918" i="100" s="1"/>
  <c r="E2126" i="23"/>
  <c r="E2125" i="23"/>
  <c r="E2119" i="23"/>
  <c r="J2902" i="100" s="1"/>
  <c r="E2118" i="23"/>
  <c r="E2117" i="23"/>
  <c r="E2116" i="23"/>
  <c r="E2115" i="23"/>
  <c r="J2898" i="100" s="1"/>
  <c r="E2114" i="23"/>
  <c r="E2113" i="23"/>
  <c r="E2112" i="23"/>
  <c r="E2111" i="23"/>
  <c r="J2894" i="100" s="1"/>
  <c r="E2110" i="23"/>
  <c r="E2109" i="23"/>
  <c r="E2103" i="23"/>
  <c r="J2872" i="100" s="1"/>
  <c r="E2102" i="23"/>
  <c r="J2871" i="100" s="1"/>
  <c r="E2100" i="23"/>
  <c r="J2866" i="100" s="1"/>
  <c r="E2099" i="23"/>
  <c r="J2865" i="100" s="1"/>
  <c r="E2098" i="23"/>
  <c r="J2864" i="100" s="1"/>
  <c r="E2097" i="23"/>
  <c r="J2863" i="100" s="1"/>
  <c r="E2096" i="23"/>
  <c r="J2862" i="100" s="1"/>
  <c r="E2095" i="23"/>
  <c r="J2861" i="100" s="1"/>
  <c r="E2094" i="23"/>
  <c r="J2860" i="100" s="1"/>
  <c r="E2093" i="23"/>
  <c r="J2859" i="100" s="1"/>
  <c r="E2092" i="23"/>
  <c r="J2858" i="100" s="1"/>
  <c r="E2091" i="23"/>
  <c r="J2857" i="100" s="1"/>
  <c r="E2090" i="23"/>
  <c r="J2856" i="100" s="1"/>
  <c r="E2089" i="23"/>
  <c r="J2855" i="100" s="1"/>
  <c r="E2088" i="23"/>
  <c r="J2854" i="100" s="1"/>
  <c r="E2087" i="23"/>
  <c r="J2853" i="100" s="1"/>
  <c r="E2086" i="23"/>
  <c r="J2852" i="100" s="1"/>
  <c r="E2085" i="23"/>
  <c r="J2851" i="100" s="1"/>
  <c r="E2066" i="23"/>
  <c r="J2829" i="100" s="1"/>
  <c r="E2083" i="23"/>
  <c r="E2082" i="23"/>
  <c r="E2081" i="23"/>
  <c r="E2080" i="23"/>
  <c r="K3874" i="98" s="1"/>
  <c r="E2079" i="23"/>
  <c r="J2842" i="100" s="1"/>
  <c r="E2078" i="23"/>
  <c r="E2077" i="23"/>
  <c r="E2076" i="23"/>
  <c r="J2839" i="100" s="1"/>
  <c r="E2075" i="23"/>
  <c r="J2838" i="100" s="1"/>
  <c r="E2074" i="23"/>
  <c r="E2073" i="23"/>
  <c r="E2072" i="23"/>
  <c r="E2071" i="23"/>
  <c r="J2834" i="100" s="1"/>
  <c r="E2070" i="23"/>
  <c r="E2069" i="23"/>
  <c r="E2068" i="23"/>
  <c r="J2831" i="100" s="1"/>
  <c r="E2067" i="23"/>
  <c r="J2830" i="100" s="1"/>
  <c r="E2064" i="23"/>
  <c r="J2823" i="100" s="1"/>
  <c r="E2063" i="23"/>
  <c r="E2062" i="23"/>
  <c r="E2061" i="23"/>
  <c r="E2060" i="23"/>
  <c r="J2819" i="100" s="1"/>
  <c r="E2059" i="23"/>
  <c r="E2058" i="23"/>
  <c r="E2057" i="23"/>
  <c r="E2056" i="23"/>
  <c r="J2815" i="100" s="1"/>
  <c r="E2055" i="23"/>
  <c r="E2053" i="23"/>
  <c r="J2809" i="100" s="1"/>
  <c r="E2052" i="23"/>
  <c r="E2051" i="23"/>
  <c r="E2050" i="23"/>
  <c r="E2049" i="23"/>
  <c r="J2805" i="100" s="1"/>
  <c r="E2048" i="23"/>
  <c r="E2047" i="23"/>
  <c r="E2046" i="23"/>
  <c r="E2045" i="23"/>
  <c r="J2802" i="100" s="1"/>
  <c r="E2044" i="23"/>
  <c r="J2801" i="100" s="1"/>
  <c r="E2043" i="23"/>
  <c r="E2041" i="23"/>
  <c r="J2795" i="100" s="1"/>
  <c r="E2040" i="23"/>
  <c r="J2794" i="100" s="1"/>
  <c r="E2039" i="23"/>
  <c r="E2038" i="23"/>
  <c r="E2037" i="23"/>
  <c r="E2036" i="23"/>
  <c r="E2035" i="23"/>
  <c r="J2789" i="100" s="1"/>
  <c r="E2034" i="23"/>
  <c r="E2033" i="23"/>
  <c r="J2787" i="100" s="1"/>
  <c r="E2032" i="23"/>
  <c r="K3969" i="98"/>
  <c r="K3923" i="98"/>
  <c r="K3886" i="98"/>
  <c r="K3882" i="98"/>
  <c r="K3834" i="98"/>
  <c r="K3833" i="98"/>
  <c r="K3822" i="98"/>
  <c r="K3818" i="98"/>
  <c r="K3805" i="98"/>
  <c r="K3789" i="98"/>
  <c r="K3784" i="98"/>
  <c r="K3764" i="98"/>
  <c r="K3757" i="98"/>
  <c r="K3756" i="98"/>
  <c r="K3755" i="98"/>
  <c r="K3754" i="98"/>
  <c r="K3753" i="98"/>
  <c r="K3752" i="98"/>
  <c r="K3751" i="98"/>
  <c r="K3750" i="98"/>
  <c r="K3749" i="98"/>
  <c r="K3744" i="98"/>
  <c r="K3743" i="98"/>
  <c r="K3742" i="98"/>
  <c r="K3737" i="98"/>
  <c r="K3736" i="98"/>
  <c r="K3735" i="98"/>
  <c r="K3734" i="98"/>
  <c r="K3733" i="98"/>
  <c r="K3732" i="98"/>
  <c r="K3731" i="98"/>
  <c r="K3730" i="98"/>
  <c r="K3729" i="98"/>
  <c r="K3728" i="98"/>
  <c r="K3560" i="98"/>
  <c r="K3662" i="98"/>
  <c r="K3632" i="98"/>
  <c r="K3622" i="98"/>
  <c r="K3598" i="98"/>
  <c r="K3597" i="98"/>
  <c r="K3592" i="98"/>
  <c r="K3591" i="98"/>
  <c r="E1996" i="23"/>
  <c r="J2718" i="100" s="1"/>
  <c r="E1995" i="23"/>
  <c r="J2717" i="100" s="1"/>
  <c r="E1994" i="23"/>
  <c r="J2716" i="100" s="1"/>
  <c r="E1993" i="23"/>
  <c r="J2715" i="100" s="1"/>
  <c r="E1992" i="23"/>
  <c r="J2714" i="100" s="1"/>
  <c r="E1991" i="23"/>
  <c r="J2713" i="100" s="1"/>
  <c r="E1990" i="23"/>
  <c r="J2712" i="100" s="1"/>
  <c r="E1989" i="23"/>
  <c r="J2711" i="100" s="1"/>
  <c r="E1987" i="23"/>
  <c r="J2706" i="100" s="1"/>
  <c r="E1986" i="23"/>
  <c r="J2705" i="100" s="1"/>
  <c r="E1985" i="23"/>
  <c r="J2704" i="100" s="1"/>
  <c r="E1984" i="23"/>
  <c r="J2703" i="100" s="1"/>
  <c r="E1983" i="23"/>
  <c r="J2702" i="100" s="1"/>
  <c r="E1982" i="23"/>
  <c r="J2701" i="100" s="1"/>
  <c r="E1981" i="23"/>
  <c r="J2700" i="100" s="1"/>
  <c r="E1980" i="23"/>
  <c r="J2699" i="100" s="1"/>
  <c r="E1978" i="23"/>
  <c r="J2694" i="100" s="1"/>
  <c r="E1977" i="23"/>
  <c r="J2693" i="100" s="1"/>
  <c r="E1976" i="23"/>
  <c r="J2692" i="100" s="1"/>
  <c r="E1975" i="23"/>
  <c r="J2691" i="100" s="1"/>
  <c r="E1974" i="23"/>
  <c r="J2690" i="100" s="1"/>
  <c r="E1973" i="23"/>
  <c r="J2689" i="100" s="1"/>
  <c r="E1972" i="23"/>
  <c r="J2688" i="100" s="1"/>
  <c r="E1971" i="23"/>
  <c r="J2687" i="100" s="1"/>
  <c r="E1969" i="23"/>
  <c r="J2682" i="100" s="1"/>
  <c r="E1968" i="23"/>
  <c r="J2681" i="100" s="1"/>
  <c r="E1967" i="23"/>
  <c r="J2680" i="100" s="1"/>
  <c r="E1966" i="23"/>
  <c r="J2679" i="100" s="1"/>
  <c r="E1965" i="23"/>
  <c r="J2678" i="100" s="1"/>
  <c r="E1964" i="23"/>
  <c r="J2677" i="100" s="1"/>
  <c r="E1962" i="23"/>
  <c r="J2672" i="100" s="1"/>
  <c r="E1961" i="23"/>
  <c r="J2671" i="100" s="1"/>
  <c r="E1958" i="23"/>
  <c r="J2665" i="100" s="1"/>
  <c r="E1957" i="23"/>
  <c r="J2664" i="100" s="1"/>
  <c r="E1956" i="23"/>
  <c r="J2663" i="100" s="1"/>
  <c r="E1955" i="23"/>
  <c r="J2662" i="100" s="1"/>
  <c r="E1954" i="23"/>
  <c r="J2661" i="100" s="1"/>
  <c r="E1953" i="23"/>
  <c r="J2660" i="100" s="1"/>
  <c r="E1952" i="23"/>
  <c r="J2659" i="100" s="1"/>
  <c r="E1951" i="23"/>
  <c r="E1950" i="23"/>
  <c r="J2654" i="100" s="1"/>
  <c r="E1949" i="23"/>
  <c r="J2653" i="100" s="1"/>
  <c r="E1948" i="23"/>
  <c r="J2652" i="100" s="1"/>
  <c r="E1947" i="23"/>
  <c r="J2651" i="100" s="1"/>
  <c r="E1946" i="23"/>
  <c r="J2650" i="100" s="1"/>
  <c r="E1945" i="23"/>
  <c r="J2649" i="100" s="1"/>
  <c r="E1944" i="23"/>
  <c r="J2648" i="100" s="1"/>
  <c r="E1942" i="23"/>
  <c r="J2643" i="100" s="1"/>
  <c r="E1941" i="23"/>
  <c r="J2641" i="100" s="1"/>
  <c r="E1938" i="23"/>
  <c r="J2635" i="100" s="1"/>
  <c r="E1937" i="23"/>
  <c r="J2634" i="100" s="1"/>
  <c r="E1936" i="23"/>
  <c r="J2633" i="100" s="1"/>
  <c r="E1935" i="23"/>
  <c r="J2632" i="100" s="1"/>
  <c r="E1934" i="23"/>
  <c r="J2631" i="100" s="1"/>
  <c r="E1933" i="23"/>
  <c r="E1931" i="23"/>
  <c r="J2625" i="100" s="1"/>
  <c r="E1930" i="23"/>
  <c r="J2624" i="100" s="1"/>
  <c r="E1929" i="23"/>
  <c r="J2623" i="100" s="1"/>
  <c r="E1928" i="23"/>
  <c r="J2622" i="100" s="1"/>
  <c r="E1927" i="23"/>
  <c r="J2621" i="100" s="1"/>
  <c r="E1926" i="23"/>
  <c r="J2620" i="100" s="1"/>
  <c r="E1924" i="23"/>
  <c r="J2615" i="100" s="1"/>
  <c r="E1923" i="23"/>
  <c r="J2614" i="100" s="1"/>
  <c r="E1922" i="23"/>
  <c r="J2613" i="100" s="1"/>
  <c r="E1921" i="23"/>
  <c r="J2612" i="100" s="1"/>
  <c r="E1920" i="23"/>
  <c r="J2611" i="100" s="1"/>
  <c r="E1919" i="23"/>
  <c r="J2610" i="100" s="1"/>
  <c r="E1918" i="23"/>
  <c r="J2609" i="100" s="1"/>
  <c r="D1902" i="23"/>
  <c r="E1902" i="23" s="1"/>
  <c r="J2575" i="100" s="1"/>
  <c r="D1899" i="23"/>
  <c r="E1899" i="23" s="1"/>
  <c r="J2572" i="100" s="1"/>
  <c r="E1906" i="23"/>
  <c r="J2579" i="100" s="1"/>
  <c r="E1905" i="23"/>
  <c r="J2578" i="100" s="1"/>
  <c r="E1904" i="23"/>
  <c r="J2577" i="100" s="1"/>
  <c r="E1903" i="23"/>
  <c r="J2576" i="100" s="1"/>
  <c r="E1901" i="23"/>
  <c r="J2574" i="100" s="1"/>
  <c r="E1900" i="23"/>
  <c r="J2573" i="100" s="1"/>
  <c r="E1898" i="23"/>
  <c r="J2571" i="100" s="1"/>
  <c r="E1884" i="23"/>
  <c r="J2553" i="100" s="1"/>
  <c r="E1883" i="23"/>
  <c r="K3546" i="98" s="1"/>
  <c r="E1882" i="23"/>
  <c r="J2551" i="100" s="1"/>
  <c r="E1896" i="23"/>
  <c r="J2565" i="100" s="1"/>
  <c r="E1895" i="23"/>
  <c r="J2564" i="100" s="1"/>
  <c r="E1894" i="23"/>
  <c r="J2563" i="100" s="1"/>
  <c r="E1893" i="23"/>
  <c r="J2562" i="100" s="1"/>
  <c r="E1892" i="23"/>
  <c r="J2561" i="100" s="1"/>
  <c r="E1891" i="23"/>
  <c r="J2560" i="100" s="1"/>
  <c r="E1890" i="23"/>
  <c r="J2559" i="100" s="1"/>
  <c r="E1889" i="23"/>
  <c r="J2558" i="100" s="1"/>
  <c r="E1888" i="23"/>
  <c r="J2557" i="100" s="1"/>
  <c r="E1887" i="23"/>
  <c r="F1887" i="23" s="1"/>
  <c r="E1886" i="23"/>
  <c r="E1885" i="23"/>
  <c r="E1880" i="23"/>
  <c r="J2546" i="100" s="1"/>
  <c r="E1879" i="23"/>
  <c r="J2545" i="100" s="1"/>
  <c r="E1878" i="23"/>
  <c r="J2544" i="100" s="1"/>
  <c r="E1877" i="23"/>
  <c r="J2543" i="100" s="1"/>
  <c r="E1876" i="23"/>
  <c r="J2542" i="100" s="1"/>
  <c r="K3512" i="98"/>
  <c r="K3237" i="98"/>
  <c r="K3236" i="98"/>
  <c r="E1870" i="23"/>
  <c r="J2527" i="100" s="1"/>
  <c r="E1869" i="23"/>
  <c r="J2526" i="100" s="1"/>
  <c r="E1868" i="23"/>
  <c r="J2525" i="100" s="1"/>
  <c r="E1867" i="23"/>
  <c r="J2524" i="100" s="1"/>
  <c r="E1866" i="23"/>
  <c r="J2523" i="100" s="1"/>
  <c r="E1865" i="23"/>
  <c r="J2522" i="100" s="1"/>
  <c r="E1864" i="23"/>
  <c r="J2521" i="100" s="1"/>
  <c r="E1863" i="23"/>
  <c r="J2520" i="100" s="1"/>
  <c r="E1862" i="23"/>
  <c r="J2519" i="100" s="1"/>
  <c r="E1861" i="23"/>
  <c r="J2518" i="100" s="1"/>
  <c r="E1860" i="23"/>
  <c r="J2517" i="100" s="1"/>
  <c r="F1844" i="23"/>
  <c r="K2476" i="100" s="1"/>
  <c r="E1854" i="23"/>
  <c r="J2486" i="100" s="1"/>
  <c r="E1853" i="23"/>
  <c r="J2485" i="100" s="1"/>
  <c r="E1852" i="23"/>
  <c r="J2484" i="100" s="1"/>
  <c r="E1851" i="23"/>
  <c r="J2483" i="100" s="1"/>
  <c r="E1850" i="23"/>
  <c r="J2482" i="100" s="1"/>
  <c r="E1849" i="23"/>
  <c r="J2481" i="100" s="1"/>
  <c r="E1848" i="23"/>
  <c r="J2480" i="100" s="1"/>
  <c r="E1847" i="23"/>
  <c r="J2479" i="100" s="1"/>
  <c r="E1846" i="23"/>
  <c r="J2478" i="100" s="1"/>
  <c r="E1845" i="23"/>
  <c r="J2477" i="100" s="1"/>
  <c r="E1844" i="23"/>
  <c r="J2476" i="100" s="1"/>
  <c r="E1843" i="23"/>
  <c r="J2475" i="100" s="1"/>
  <c r="E1842" i="23"/>
  <c r="J2474" i="100" s="1"/>
  <c r="E1841" i="23"/>
  <c r="J2473" i="100" s="1"/>
  <c r="E1840" i="23"/>
  <c r="J2472" i="100" s="1"/>
  <c r="E1839" i="23"/>
  <c r="J2471" i="100" s="1"/>
  <c r="F1753" i="23"/>
  <c r="K2337" i="100" s="1"/>
  <c r="F1754" i="23"/>
  <c r="K2338" i="100" s="1"/>
  <c r="L2338" i="100" s="1"/>
  <c r="E1759" i="23"/>
  <c r="E1758" i="23"/>
  <c r="E1757" i="23"/>
  <c r="E1756" i="23"/>
  <c r="E1755" i="23"/>
  <c r="J2339" i="100" s="1"/>
  <c r="E1754" i="23"/>
  <c r="E1753" i="23"/>
  <c r="E1752" i="23"/>
  <c r="E1751" i="23"/>
  <c r="E1750" i="23"/>
  <c r="J2334" i="100" s="1"/>
  <c r="F1730" i="23"/>
  <c r="K2309" i="100" s="1"/>
  <c r="E1837" i="23"/>
  <c r="J2466" i="100" s="1"/>
  <c r="E1836" i="23"/>
  <c r="J2465" i="100" s="1"/>
  <c r="E1835" i="23"/>
  <c r="J2464" i="100" s="1"/>
  <c r="J2492" i="100" s="1"/>
  <c r="E1834" i="23"/>
  <c r="J2463" i="100" s="1"/>
  <c r="E1832" i="23"/>
  <c r="J2458" i="100" s="1"/>
  <c r="J2457" i="100" s="1"/>
  <c r="J2456" i="100" s="1"/>
  <c r="J2455" i="100" s="1"/>
  <c r="J2454" i="100" s="1"/>
  <c r="E1830" i="23"/>
  <c r="J2453" i="100" s="1"/>
  <c r="E1829" i="23"/>
  <c r="J2452" i="100" s="1"/>
  <c r="E1828" i="23"/>
  <c r="J2451" i="100" s="1"/>
  <c r="E1827" i="23"/>
  <c r="J2450" i="100" s="1"/>
  <c r="E1826" i="23"/>
  <c r="J2449" i="100" s="1"/>
  <c r="E1824" i="23"/>
  <c r="J2447" i="100" s="1"/>
  <c r="E1825" i="23"/>
  <c r="J2448" i="100" s="1"/>
  <c r="E1822" i="23"/>
  <c r="J2442" i="100" s="1"/>
  <c r="E1821" i="23"/>
  <c r="J2441" i="100" s="1"/>
  <c r="E1820" i="23"/>
  <c r="J2440" i="100" s="1"/>
  <c r="E1819" i="23"/>
  <c r="J2439" i="100" s="1"/>
  <c r="E1818" i="23"/>
  <c r="J2438" i="100" s="1"/>
  <c r="E1817" i="23"/>
  <c r="J2437" i="100" s="1"/>
  <c r="E1816" i="23"/>
  <c r="J2436" i="100" s="1"/>
  <c r="E1814" i="23"/>
  <c r="J2431" i="100" s="1"/>
  <c r="E1813" i="23"/>
  <c r="J2430" i="100" s="1"/>
  <c r="E1812" i="23"/>
  <c r="J2429" i="100" s="1"/>
  <c r="E1811" i="23"/>
  <c r="J2428" i="100" s="1"/>
  <c r="E1810" i="23"/>
  <c r="J2427" i="100" s="1"/>
  <c r="E1809" i="23"/>
  <c r="J2426" i="100" s="1"/>
  <c r="E1808" i="23"/>
  <c r="J2425" i="100" s="1"/>
  <c r="F1800" i="23"/>
  <c r="K2414" i="100" s="1"/>
  <c r="D118" i="58"/>
  <c r="D117" i="58"/>
  <c r="E1795" i="23"/>
  <c r="J2409" i="100" s="1"/>
  <c r="E1806" i="23"/>
  <c r="J2420" i="100" s="1"/>
  <c r="E1805" i="23"/>
  <c r="J2419" i="100" s="1"/>
  <c r="E1804" i="23"/>
  <c r="J2418" i="100" s="1"/>
  <c r="E1803" i="23"/>
  <c r="J2417" i="100" s="1"/>
  <c r="E1802" i="23"/>
  <c r="J2416" i="100" s="1"/>
  <c r="E1801" i="23"/>
  <c r="J2415" i="100" s="1"/>
  <c r="E1800" i="23"/>
  <c r="J2414" i="100" s="1"/>
  <c r="E1799" i="23"/>
  <c r="J2413" i="100" s="1"/>
  <c r="E1798" i="23"/>
  <c r="J2412" i="100" s="1"/>
  <c r="E1797" i="23"/>
  <c r="J2411" i="100" s="1"/>
  <c r="E1796" i="23"/>
  <c r="J2410" i="100" s="1"/>
  <c r="E1793" i="23"/>
  <c r="E1792" i="23"/>
  <c r="E1791" i="23"/>
  <c r="E1790" i="23"/>
  <c r="E1789" i="23"/>
  <c r="J2379" i="100" s="1"/>
  <c r="E1788" i="23"/>
  <c r="E1787" i="23"/>
  <c r="E1786" i="23"/>
  <c r="E1785" i="23"/>
  <c r="E1784" i="23"/>
  <c r="E1783" i="23"/>
  <c r="E1782" i="23"/>
  <c r="E1781" i="23"/>
  <c r="J2371" i="100" s="1"/>
  <c r="E1780" i="23"/>
  <c r="J2370" i="100" s="1"/>
  <c r="E1779" i="23"/>
  <c r="E1778" i="23"/>
  <c r="F1770" i="23"/>
  <c r="K2357" i="100" s="1"/>
  <c r="L2357" i="100" s="1"/>
  <c r="D1772" i="23"/>
  <c r="E1772" i="23" s="1"/>
  <c r="J2359" i="100" s="1"/>
  <c r="E1776" i="23"/>
  <c r="J2363" i="100" s="1"/>
  <c r="E1775" i="23"/>
  <c r="J2362" i="100" s="1"/>
  <c r="E1774" i="23"/>
  <c r="J2361" i="100" s="1"/>
  <c r="E1773" i="23"/>
  <c r="J2360" i="100" s="1"/>
  <c r="E1771" i="23"/>
  <c r="J2358" i="100" s="1"/>
  <c r="E1770" i="23"/>
  <c r="J2357" i="100" s="1"/>
  <c r="E1769" i="23"/>
  <c r="E1768" i="23"/>
  <c r="E1767" i="23"/>
  <c r="E1766" i="23"/>
  <c r="J2353" i="100" s="1"/>
  <c r="E1764" i="23"/>
  <c r="J2351" i="100" s="1"/>
  <c r="E1763" i="23"/>
  <c r="J2350" i="100" s="1"/>
  <c r="E1762" i="23"/>
  <c r="J2349" i="100" s="1"/>
  <c r="E1761" i="23"/>
  <c r="K3370" i="98"/>
  <c r="K3353" i="98"/>
  <c r="K3352" i="98"/>
  <c r="K3343" i="98"/>
  <c r="K3324" i="98"/>
  <c r="K3319" i="98"/>
  <c r="K3318" i="98"/>
  <c r="K3317" i="98"/>
  <c r="K3316" i="98"/>
  <c r="K3315" i="98"/>
  <c r="K3314" i="98"/>
  <c r="K3313" i="98"/>
  <c r="K3312" i="98"/>
  <c r="K3311" i="98"/>
  <c r="K3310" i="98"/>
  <c r="K3309" i="98"/>
  <c r="K3308" i="98"/>
  <c r="K3307" i="98"/>
  <c r="K3306" i="98"/>
  <c r="K3301" i="98"/>
  <c r="K3300" i="98"/>
  <c r="K3299" i="98"/>
  <c r="K3294" i="98"/>
  <c r="K3293" i="98"/>
  <c r="K3292" i="98"/>
  <c r="K3287" i="98"/>
  <c r="K3286" i="98"/>
  <c r="K3285" i="98"/>
  <c r="K3284" i="98"/>
  <c r="K3283" i="98"/>
  <c r="K3282" i="98"/>
  <c r="K3281" i="98"/>
  <c r="K3280" i="98"/>
  <c r="K3279" i="98"/>
  <c r="K3278" i="98"/>
  <c r="K3277" i="98"/>
  <c r="K3276" i="98"/>
  <c r="K3275" i="98"/>
  <c r="K3274" i="98"/>
  <c r="K3269" i="98"/>
  <c r="K3268" i="98"/>
  <c r="K3267" i="98"/>
  <c r="K3266" i="98"/>
  <c r="K3265" i="98"/>
  <c r="K3264" i="98"/>
  <c r="K3263" i="98"/>
  <c r="K3262" i="98"/>
  <c r="K3261" i="98"/>
  <c r="K3260" i="98"/>
  <c r="K3259" i="98"/>
  <c r="K3258" i="98"/>
  <c r="K3257" i="98"/>
  <c r="K3256" i="98"/>
  <c r="D1665" i="23"/>
  <c r="E1665" i="23" s="1"/>
  <c r="J2225" i="100" s="1"/>
  <c r="D1654" i="23"/>
  <c r="E1654" i="23" s="1"/>
  <c r="K3205" i="98" s="1"/>
  <c r="D1543" i="23"/>
  <c r="E1543" i="23" s="1"/>
  <c r="K3220" i="98"/>
  <c r="K3219" i="98"/>
  <c r="K3218" i="98"/>
  <c r="K3217" i="98"/>
  <c r="K3215" i="98"/>
  <c r="K3214" i="98"/>
  <c r="K3213" i="98"/>
  <c r="K3212" i="98"/>
  <c r="K3211" i="98"/>
  <c r="K3210" i="98"/>
  <c r="K3209" i="98"/>
  <c r="K3208" i="98"/>
  <c r="K3207" i="98"/>
  <c r="K3206" i="98"/>
  <c r="K3204" i="98"/>
  <c r="K3199" i="98"/>
  <c r="K3198" i="98"/>
  <c r="K3197" i="98"/>
  <c r="K3196" i="98"/>
  <c r="K3195" i="98"/>
  <c r="K3194" i="98"/>
  <c r="K3193" i="98"/>
  <c r="K3192" i="98"/>
  <c r="K3191" i="98"/>
  <c r="K3184" i="98"/>
  <c r="K3183" i="98"/>
  <c r="K3182" i="98"/>
  <c r="K3181" i="98"/>
  <c r="K3180" i="98"/>
  <c r="K3179" i="98"/>
  <c r="K3177" i="98"/>
  <c r="K3176" i="98"/>
  <c r="K3175" i="98"/>
  <c r="K3174" i="98"/>
  <c r="K3170" i="98"/>
  <c r="K3169" i="98"/>
  <c r="K3168" i="98"/>
  <c r="K3167" i="98"/>
  <c r="K3166" i="98"/>
  <c r="K3161" i="98"/>
  <c r="K3160" i="98"/>
  <c r="K3159" i="98"/>
  <c r="K3158" i="98"/>
  <c r="K3157" i="98"/>
  <c r="K3156" i="98"/>
  <c r="K3154" i="98"/>
  <c r="K3153" i="98"/>
  <c r="K3152" i="98"/>
  <c r="K3151" i="98"/>
  <c r="K3147" i="98"/>
  <c r="K3146" i="98"/>
  <c r="K3145" i="98"/>
  <c r="K3144" i="98"/>
  <c r="K3143" i="98"/>
  <c r="K3138" i="98"/>
  <c r="K3137" i="98"/>
  <c r="K3136" i="98"/>
  <c r="K3135" i="98"/>
  <c r="K3134" i="98"/>
  <c r="K3133" i="98"/>
  <c r="K3132" i="98"/>
  <c r="K3131" i="98"/>
  <c r="K3130" i="98"/>
  <c r="K3129" i="98"/>
  <c r="K3128" i="98"/>
  <c r="K3127" i="98"/>
  <c r="K3126" i="98"/>
  <c r="K3125" i="98"/>
  <c r="K3124" i="98"/>
  <c r="K3123" i="98"/>
  <c r="K3122" i="98"/>
  <c r="K3117" i="98"/>
  <c r="K3116" i="98"/>
  <c r="K3115" i="98"/>
  <c r="K3111" i="98"/>
  <c r="K3110" i="98"/>
  <c r="K3109" i="98"/>
  <c r="K3108" i="98"/>
  <c r="K3107" i="98"/>
  <c r="K3102" i="98"/>
  <c r="K3101" i="98"/>
  <c r="K3096" i="98"/>
  <c r="K3095" i="98"/>
  <c r="K3089" i="98"/>
  <c r="K3090" i="98"/>
  <c r="K3085" i="98"/>
  <c r="K3001" i="98"/>
  <c r="K3048" i="98"/>
  <c r="K3047" i="98"/>
  <c r="K2996" i="98"/>
  <c r="K2995" i="98"/>
  <c r="K2994" i="98"/>
  <c r="K2993" i="98"/>
  <c r="K2992" i="98"/>
  <c r="K2991" i="98"/>
  <c r="K2990" i="98"/>
  <c r="K2989" i="98"/>
  <c r="K2988" i="98"/>
  <c r="K2987" i="98"/>
  <c r="K2986" i="98"/>
  <c r="K2985" i="98"/>
  <c r="K2984" i="98"/>
  <c r="K2983" i="98"/>
  <c r="K2981" i="98"/>
  <c r="E1541" i="23"/>
  <c r="J2075" i="100" s="1"/>
  <c r="K2979" i="98"/>
  <c r="K2974" i="98"/>
  <c r="K2973" i="98"/>
  <c r="K2972" i="98"/>
  <c r="K2971" i="98"/>
  <c r="K2970" i="98"/>
  <c r="K2969" i="98"/>
  <c r="K2968" i="98"/>
  <c r="K2967" i="98"/>
  <c r="K2966" i="98"/>
  <c r="K2965" i="98"/>
  <c r="K2964" i="98"/>
  <c r="K2963" i="98"/>
  <c r="K2952" i="98"/>
  <c r="K2951" i="98"/>
  <c r="K2950" i="98"/>
  <c r="K2949" i="98"/>
  <c r="K2947" i="98"/>
  <c r="K2945" i="98"/>
  <c r="K2944" i="98"/>
  <c r="K2943" i="98"/>
  <c r="K2942" i="98"/>
  <c r="K2940" i="98"/>
  <c r="K2939" i="98"/>
  <c r="E1508" i="23"/>
  <c r="J2033" i="100" s="1"/>
  <c r="K2935" i="98"/>
  <c r="K2930" i="98"/>
  <c r="K2929" i="98"/>
  <c r="K2928" i="98"/>
  <c r="K2927" i="98"/>
  <c r="K2926" i="98"/>
  <c r="K2924" i="98"/>
  <c r="K2923" i="98"/>
  <c r="K2922" i="98"/>
  <c r="K2921" i="98"/>
  <c r="K2920" i="98"/>
  <c r="K2918" i="98"/>
  <c r="E1490" i="23"/>
  <c r="J2012" i="100" s="1"/>
  <c r="E1489" i="23"/>
  <c r="J2011" i="100" s="1"/>
  <c r="K2915" i="98"/>
  <c r="K2914" i="98"/>
  <c r="K2909" i="98"/>
  <c r="K2908" i="98"/>
  <c r="K2907" i="98"/>
  <c r="K2905" i="98"/>
  <c r="K2904" i="98"/>
  <c r="K2903" i="98"/>
  <c r="K2902" i="98"/>
  <c r="K2898" i="98"/>
  <c r="K2897" i="98"/>
  <c r="K2894" i="98"/>
  <c r="K2889" i="98"/>
  <c r="K2888" i="98"/>
  <c r="K2883" i="98"/>
  <c r="K2814" i="98"/>
  <c r="E1642" i="23"/>
  <c r="J2199" i="100" s="1"/>
  <c r="E1641" i="23"/>
  <c r="K3189" i="98" s="1"/>
  <c r="E1633" i="23"/>
  <c r="J2187" i="100" s="1"/>
  <c r="E1628" i="23"/>
  <c r="J2182" i="100" s="1"/>
  <c r="E1615" i="23"/>
  <c r="J2166" i="100" s="1"/>
  <c r="E1610" i="23"/>
  <c r="K2936" i="98" s="1"/>
  <c r="E1565" i="23"/>
  <c r="J2103" i="100" s="1"/>
  <c r="E1563" i="23"/>
  <c r="J2101" i="100" s="1"/>
  <c r="E1562" i="23"/>
  <c r="E1559" i="23"/>
  <c r="J2097" i="100" s="1"/>
  <c r="K3949" i="98" l="1"/>
  <c r="K3341" i="98"/>
  <c r="K3646" i="98"/>
  <c r="K3909" i="98"/>
  <c r="K3340" i="98"/>
  <c r="K3417" i="98"/>
  <c r="K3571" i="98"/>
  <c r="K3813" i="98"/>
  <c r="K3915" i="98"/>
  <c r="J2670" i="100"/>
  <c r="J2669" i="100" s="1"/>
  <c r="J2668" i="100" s="1"/>
  <c r="J2667" i="100" s="1"/>
  <c r="K3433" i="98"/>
  <c r="K3516" i="98"/>
  <c r="K3658" i="98"/>
  <c r="K3881" i="98"/>
  <c r="K3899" i="98"/>
  <c r="K3922" i="98"/>
  <c r="K3921" i="98" s="1"/>
  <c r="K3953" i="98"/>
  <c r="D1457" i="23"/>
  <c r="K3441" i="98"/>
  <c r="F1894" i="23"/>
  <c r="K3539" i="98"/>
  <c r="K3659" i="98"/>
  <c r="K3790" i="98"/>
  <c r="K3349" i="98"/>
  <c r="K3409" i="98"/>
  <c r="K3511" i="98"/>
  <c r="K3570" i="98"/>
  <c r="K3637" i="98"/>
  <c r="K3885" i="98"/>
  <c r="K3914" i="98"/>
  <c r="K3945" i="98"/>
  <c r="J2541" i="100"/>
  <c r="J2540" i="100" s="1"/>
  <c r="J2539" i="100" s="1"/>
  <c r="J2538" i="100" s="1"/>
  <c r="J2870" i="100"/>
  <c r="J2869" i="100" s="1"/>
  <c r="J2868" i="100" s="1"/>
  <c r="J2867" i="100" s="1"/>
  <c r="K3049" i="98"/>
  <c r="K3148" i="98"/>
  <c r="F1562" i="23"/>
  <c r="F1610" i="23"/>
  <c r="K2938" i="98"/>
  <c r="K3325" i="98"/>
  <c r="K3518" i="98"/>
  <c r="K2917" i="98"/>
  <c r="K3002" i="98"/>
  <c r="K3330" i="98"/>
  <c r="K3401" i="98"/>
  <c r="K3421" i="98"/>
  <c r="K3449" i="98"/>
  <c r="K3448" i="98" s="1"/>
  <c r="K3447" i="98" s="1"/>
  <c r="K3446" i="98" s="1"/>
  <c r="K3445" i="98" s="1"/>
  <c r="K3514" i="98"/>
  <c r="K3519" i="98"/>
  <c r="K3566" i="98"/>
  <c r="K3650" i="98"/>
  <c r="K3860" i="98"/>
  <c r="K3342" i="98"/>
  <c r="J2095" i="100"/>
  <c r="J2094" i="100" s="1"/>
  <c r="J2093" i="100" s="1"/>
  <c r="J2092" i="100" s="1"/>
  <c r="J2176" i="100"/>
  <c r="J2175" i="100" s="1"/>
  <c r="J2174" i="100" s="1"/>
  <c r="J2173" i="100" s="1"/>
  <c r="K2916" i="98"/>
  <c r="K3348" i="98"/>
  <c r="K3362" i="98"/>
  <c r="J2462" i="100"/>
  <c r="J2461" i="100" s="1"/>
  <c r="J2460" i="100" s="1"/>
  <c r="J2459" i="100" s="1"/>
  <c r="K3405" i="98"/>
  <c r="K3429" i="98"/>
  <c r="K3457" i="98"/>
  <c r="K3515" i="98"/>
  <c r="K3520" i="98"/>
  <c r="K3567" i="98"/>
  <c r="K3655" i="98"/>
  <c r="K3796" i="98"/>
  <c r="J2077" i="100"/>
  <c r="J2073" i="100" s="1"/>
  <c r="J2072" i="100" s="1"/>
  <c r="J2071" i="100" s="1"/>
  <c r="J2070" i="100" s="1"/>
  <c r="K2982" i="98"/>
  <c r="K3815" i="98"/>
  <c r="J2817" i="100"/>
  <c r="K3820" i="98"/>
  <c r="J2821" i="100"/>
  <c r="K3876" i="98"/>
  <c r="J2846" i="100"/>
  <c r="K3947" i="98"/>
  <c r="J2896" i="100"/>
  <c r="K3968" i="98"/>
  <c r="J2917" i="100"/>
  <c r="K3076" i="98"/>
  <c r="K3347" i="98"/>
  <c r="J2356" i="100"/>
  <c r="K3369" i="98"/>
  <c r="J2378" i="100"/>
  <c r="K2408" i="100"/>
  <c r="J2435" i="100"/>
  <c r="J2434" i="100" s="1"/>
  <c r="J2433" i="100" s="1"/>
  <c r="J2432" i="100" s="1"/>
  <c r="K3329" i="98"/>
  <c r="J2338" i="100"/>
  <c r="K3333" i="98"/>
  <c r="J2342" i="100"/>
  <c r="K3402" i="98"/>
  <c r="K3410" i="98"/>
  <c r="K3422" i="98"/>
  <c r="K3438" i="98"/>
  <c r="K3442" i="98"/>
  <c r="K3462" i="98"/>
  <c r="K3470" i="98"/>
  <c r="J2555" i="100"/>
  <c r="J2554" i="100"/>
  <c r="K3549" i="98"/>
  <c r="F1885" i="23"/>
  <c r="F1884" i="23"/>
  <c r="J2647" i="100"/>
  <c r="J2646" i="100" s="1"/>
  <c r="J2645" i="100" s="1"/>
  <c r="J2644" i="100" s="1"/>
  <c r="J2686" i="100"/>
  <c r="J2685" i="100" s="1"/>
  <c r="J2684" i="100" s="1"/>
  <c r="J2683" i="100" s="1"/>
  <c r="J2710" i="100"/>
  <c r="K3536" i="98"/>
  <c r="K3610" i="98"/>
  <c r="K3639" i="98"/>
  <c r="K3667" i="98"/>
  <c r="K3683" i="98"/>
  <c r="K3695" i="98"/>
  <c r="K3707" i="98"/>
  <c r="K3711" i="98"/>
  <c r="K3552" i="98"/>
  <c r="K3782" i="98"/>
  <c r="K3787" i="98"/>
  <c r="J2792" i="100"/>
  <c r="K3798" i="98"/>
  <c r="J2803" i="100"/>
  <c r="K3810" i="98"/>
  <c r="J2814" i="100"/>
  <c r="K3948" i="98"/>
  <c r="J2897" i="100"/>
  <c r="F1559" i="23"/>
  <c r="K3171" i="98"/>
  <c r="K3354" i="98"/>
  <c r="J2424" i="100"/>
  <c r="J2423" i="100" s="1"/>
  <c r="J2422" i="100" s="1"/>
  <c r="J2421" i="100" s="1"/>
  <c r="K3334" i="98"/>
  <c r="J2343" i="100"/>
  <c r="K3403" i="98"/>
  <c r="K3407" i="98"/>
  <c r="K3419" i="98"/>
  <c r="K3431" i="98"/>
  <c r="K3439" i="98"/>
  <c r="K3455" i="98"/>
  <c r="K3483" i="98" s="1"/>
  <c r="K3467" i="98"/>
  <c r="K3471" i="98"/>
  <c r="J2556" i="100"/>
  <c r="K3550" i="98"/>
  <c r="F1882" i="23"/>
  <c r="F1886" i="23"/>
  <c r="J2630" i="100"/>
  <c r="J2629" i="100" s="1"/>
  <c r="J2628" i="100" s="1"/>
  <c r="J2627" i="100" s="1"/>
  <c r="J2658" i="100"/>
  <c r="J2657" i="100" s="1"/>
  <c r="J2656" i="100" s="1"/>
  <c r="J2655" i="100" s="1"/>
  <c r="K3537" i="98"/>
  <c r="K3545" i="98"/>
  <c r="K3568" i="98"/>
  <c r="K3572" i="98"/>
  <c r="K3607" i="98"/>
  <c r="K3611" i="98"/>
  <c r="K3619" i="98"/>
  <c r="K3627" i="98"/>
  <c r="K3631" i="98"/>
  <c r="K3644" i="98"/>
  <c r="J2031" i="100"/>
  <c r="J2161" i="100"/>
  <c r="J2155" i="100" s="1"/>
  <c r="J2154" i="100" s="1"/>
  <c r="J2153" i="100" s="1"/>
  <c r="J2152" i="100" s="1"/>
  <c r="K2980" i="98"/>
  <c r="K3086" i="98"/>
  <c r="K3178" i="98"/>
  <c r="K3190" i="98"/>
  <c r="K3188" i="98" s="1"/>
  <c r="K3187" i="98" s="1"/>
  <c r="K3186" i="98" s="1"/>
  <c r="K3185" i="98" s="1"/>
  <c r="K3344" i="98"/>
  <c r="K3351" i="98"/>
  <c r="K3361" i="98"/>
  <c r="K3345" i="98"/>
  <c r="J2354" i="100"/>
  <c r="K3359" i="98"/>
  <c r="J2368" i="100"/>
  <c r="K3363" i="98"/>
  <c r="J2372" i="100"/>
  <c r="K3367" i="98"/>
  <c r="J2376" i="100"/>
  <c r="K3371" i="98"/>
  <c r="J2380" i="100"/>
  <c r="K3327" i="98"/>
  <c r="J2336" i="100"/>
  <c r="K3331" i="98"/>
  <c r="J2340" i="100"/>
  <c r="K3400" i="98"/>
  <c r="K3404" i="98"/>
  <c r="K3408" i="98"/>
  <c r="K3416" i="98"/>
  <c r="K3420" i="98"/>
  <c r="K3428" i="98"/>
  <c r="K3432" i="98"/>
  <c r="K3440" i="98"/>
  <c r="K3444" i="98"/>
  <c r="K3456" i="98"/>
  <c r="K3464" i="98"/>
  <c r="K3468" i="98"/>
  <c r="K3472" i="98"/>
  <c r="K3476" i="98"/>
  <c r="K3513" i="98"/>
  <c r="K3517" i="98"/>
  <c r="K3521" i="98"/>
  <c r="F1883" i="23"/>
  <c r="J2552" i="100"/>
  <c r="J2619" i="100"/>
  <c r="J2618" i="100" s="1"/>
  <c r="J2617" i="100" s="1"/>
  <c r="J2616" i="100" s="1"/>
  <c r="J2640" i="100"/>
  <c r="J2639" i="100" s="1"/>
  <c r="J2638" i="100" s="1"/>
  <c r="J2637" i="100" s="1"/>
  <c r="J2676" i="100"/>
  <c r="J2675" i="100" s="1"/>
  <c r="J2674" i="100" s="1"/>
  <c r="J2673" i="100" s="1"/>
  <c r="K3538" i="98"/>
  <c r="K3565" i="98"/>
  <c r="K3569" i="98"/>
  <c r="K3573" i="98"/>
  <c r="K3608" i="98"/>
  <c r="K3616" i="98"/>
  <c r="K3620" i="98"/>
  <c r="K3628" i="98"/>
  <c r="K3645" i="98"/>
  <c r="K3649" i="98"/>
  <c r="K3657" i="98"/>
  <c r="K3661" i="98"/>
  <c r="K3673" i="98"/>
  <c r="K3677" i="98"/>
  <c r="K3685" i="98"/>
  <c r="K3689" i="98"/>
  <c r="K3697" i="98"/>
  <c r="K3701" i="98"/>
  <c r="K3709" i="98"/>
  <c r="K3713" i="98"/>
  <c r="K3548" i="98"/>
  <c r="K3554" i="98"/>
  <c r="K3558" i="98"/>
  <c r="K3801" i="98"/>
  <c r="K3859" i="98"/>
  <c r="K3884" i="98"/>
  <c r="K3896" i="98"/>
  <c r="K3913" i="98"/>
  <c r="K3917" i="98"/>
  <c r="K3781" i="98"/>
  <c r="J2786" i="100"/>
  <c r="K3785" i="98"/>
  <c r="J2790" i="100"/>
  <c r="K3804" i="98"/>
  <c r="J2808" i="100"/>
  <c r="K3814" i="98"/>
  <c r="J2816" i="100"/>
  <c r="K3819" i="98"/>
  <c r="J2820" i="100"/>
  <c r="K3828" i="98"/>
  <c r="K3836" i="98"/>
  <c r="J2833" i="100"/>
  <c r="K3858" i="98"/>
  <c r="J2837" i="100"/>
  <c r="K3867" i="98"/>
  <c r="J2841" i="100"/>
  <c r="K3946" i="98"/>
  <c r="J2895" i="100"/>
  <c r="K3950" i="98"/>
  <c r="J2899" i="100"/>
  <c r="K3967" i="98"/>
  <c r="J2916" i="100"/>
  <c r="K3971" i="98"/>
  <c r="J2920" i="100"/>
  <c r="K68" i="100"/>
  <c r="J2198" i="100"/>
  <c r="J2197" i="100" s="1"/>
  <c r="J2196" i="100" s="1"/>
  <c r="J2195" i="100" s="1"/>
  <c r="J2194" i="100" s="1"/>
  <c r="F1641" i="23"/>
  <c r="K3346" i="98"/>
  <c r="J2355" i="100"/>
  <c r="K3360" i="98"/>
  <c r="J2369" i="100"/>
  <c r="K3364" i="98"/>
  <c r="J2373" i="100"/>
  <c r="K3368" i="98"/>
  <c r="J2377" i="100"/>
  <c r="K3372" i="98"/>
  <c r="J2381" i="100"/>
  <c r="L2309" i="100"/>
  <c r="K2307" i="100"/>
  <c r="K3328" i="98"/>
  <c r="J2337" i="100"/>
  <c r="K3332" i="98"/>
  <c r="J2341" i="100"/>
  <c r="K2332" i="100"/>
  <c r="L2337" i="100"/>
  <c r="K3465" i="98"/>
  <c r="K3469" i="98"/>
  <c r="K3473" i="98"/>
  <c r="K3477" i="98"/>
  <c r="J2608" i="100"/>
  <c r="J2607" i="100"/>
  <c r="J2606" i="100" s="1"/>
  <c r="J2605" i="100" s="1"/>
  <c r="K3603" i="98"/>
  <c r="K3601" i="98" s="1"/>
  <c r="K3600" i="98" s="1"/>
  <c r="K3599" i="98" s="1"/>
  <c r="K3609" i="98"/>
  <c r="K3617" i="98"/>
  <c r="K3621" i="98"/>
  <c r="K3629" i="98"/>
  <c r="K3674" i="98"/>
  <c r="K3678" i="98"/>
  <c r="K3686" i="98"/>
  <c r="K3690" i="98"/>
  <c r="K3698" i="98"/>
  <c r="K3702" i="98"/>
  <c r="K3710" i="98"/>
  <c r="K3714" i="98"/>
  <c r="K3551" i="98"/>
  <c r="K3555" i="98"/>
  <c r="K3559" i="98"/>
  <c r="K3786" i="98"/>
  <c r="J2791" i="100"/>
  <c r="K3943" i="98"/>
  <c r="J2892" i="100"/>
  <c r="K3951" i="98"/>
  <c r="J2900" i="100"/>
  <c r="K3972" i="98"/>
  <c r="J2921" i="100"/>
  <c r="F1654" i="23"/>
  <c r="J2214" i="100"/>
  <c r="J2212" i="100" s="1"/>
  <c r="K3365" i="98"/>
  <c r="J2374" i="100"/>
  <c r="K3373" i="98"/>
  <c r="J2382" i="100"/>
  <c r="J2446" i="100"/>
  <c r="J2445" i="100" s="1"/>
  <c r="J2444" i="100" s="1"/>
  <c r="J2443" i="100" s="1"/>
  <c r="J2470" i="100"/>
  <c r="J2469" i="100" s="1"/>
  <c r="K3406" i="98"/>
  <c r="K3418" i="98"/>
  <c r="K3430" i="98"/>
  <c r="K3454" i="98"/>
  <c r="K3466" i="98"/>
  <c r="K3474" i="98"/>
  <c r="J2570" i="100"/>
  <c r="J2698" i="100"/>
  <c r="J2697" i="100" s="1"/>
  <c r="J2696" i="100" s="1"/>
  <c r="J2695" i="100" s="1"/>
  <c r="K3540" i="98"/>
  <c r="K3606" i="98"/>
  <c r="K3618" i="98"/>
  <c r="K3630" i="98"/>
  <c r="K3647" i="98"/>
  <c r="K3675" i="98"/>
  <c r="K3687" i="98"/>
  <c r="K3699" i="98"/>
  <c r="K3556" i="98"/>
  <c r="K3869" i="98"/>
  <c r="K3783" i="98"/>
  <c r="J2788" i="100"/>
  <c r="K3802" i="98"/>
  <c r="J2806" i="100"/>
  <c r="K3816" i="98"/>
  <c r="J2818" i="100"/>
  <c r="K3821" i="98"/>
  <c r="J2822" i="100"/>
  <c r="K3840" i="98"/>
  <c r="J2835" i="100"/>
  <c r="J2843" i="100"/>
  <c r="J2844" i="100"/>
  <c r="K3944" i="98"/>
  <c r="J2893" i="100"/>
  <c r="K3952" i="98"/>
  <c r="J2901" i="100"/>
  <c r="K3155" i="98"/>
  <c r="K3350" i="98"/>
  <c r="K3339" i="98"/>
  <c r="J2348" i="100"/>
  <c r="K3366" i="98"/>
  <c r="J2375" i="100"/>
  <c r="K3374" i="98"/>
  <c r="J2383" i="100"/>
  <c r="J2408" i="100"/>
  <c r="J2407" i="100" s="1"/>
  <c r="K3326" i="98"/>
  <c r="J2335" i="100"/>
  <c r="J2516" i="100"/>
  <c r="K3411" i="98"/>
  <c r="K3427" i="98"/>
  <c r="K3443" i="98"/>
  <c r="K3463" i="98"/>
  <c r="K3475" i="98"/>
  <c r="K3648" i="98"/>
  <c r="K3656" i="98"/>
  <c r="K3660" i="98"/>
  <c r="K3668" i="98"/>
  <c r="K3676" i="98"/>
  <c r="K3684" i="98"/>
  <c r="K3688" i="98"/>
  <c r="K3696" i="98"/>
  <c r="K3700" i="98"/>
  <c r="K3708" i="98"/>
  <c r="K3712" i="98"/>
  <c r="K3547" i="98"/>
  <c r="K3553" i="98"/>
  <c r="K3557" i="98"/>
  <c r="K3797" i="98"/>
  <c r="K3837" i="98"/>
  <c r="K3870" i="98"/>
  <c r="K3883" i="98"/>
  <c r="K3895" i="98"/>
  <c r="K3912" i="98"/>
  <c r="K3916" i="98"/>
  <c r="K3973" i="98"/>
  <c r="K3788" i="98"/>
  <c r="J2793" i="100"/>
  <c r="K3795" i="98"/>
  <c r="J2800" i="100"/>
  <c r="K3799" i="98"/>
  <c r="J2804" i="100"/>
  <c r="K3803" i="98"/>
  <c r="J2807" i="100"/>
  <c r="K3835" i="98"/>
  <c r="J2832" i="100"/>
  <c r="K3841" i="98"/>
  <c r="J2836" i="100"/>
  <c r="K3864" i="98"/>
  <c r="J2840" i="100"/>
  <c r="K3875" i="98"/>
  <c r="J2845" i="100"/>
  <c r="J2850" i="100"/>
  <c r="J2876" i="100"/>
  <c r="K3970" i="98"/>
  <c r="J2919" i="100"/>
  <c r="K3727" i="98"/>
  <c r="K3726" i="98" s="1"/>
  <c r="K3725" i="98" s="1"/>
  <c r="K3724" i="98" s="1"/>
  <c r="K3596" i="98"/>
  <c r="K3595" i="98" s="1"/>
  <c r="K3594" i="98" s="1"/>
  <c r="K3593" i="98" s="1"/>
  <c r="K3590" i="98"/>
  <c r="K3589" i="98" s="1"/>
  <c r="K3588" i="98" s="1"/>
  <c r="K3587" i="98" s="1"/>
  <c r="K3741" i="98"/>
  <c r="K3740" i="98" s="1"/>
  <c r="K3739" i="98" s="1"/>
  <c r="K3738" i="98" s="1"/>
  <c r="K3748" i="98"/>
  <c r="K3747" i="98" s="1"/>
  <c r="K3746" i="98" s="1"/>
  <c r="K3745" i="98" s="1"/>
  <c r="K3235" i="98"/>
  <c r="K3234" i="98" s="1"/>
  <c r="K3233" i="98" s="1"/>
  <c r="K3232" i="98" s="1"/>
  <c r="K3298" i="98"/>
  <c r="K3297" i="98" s="1"/>
  <c r="K3296" i="98" s="1"/>
  <c r="K3295" i="98" s="1"/>
  <c r="K3305" i="98"/>
  <c r="K3304" i="98" s="1"/>
  <c r="K3303" i="98" s="1"/>
  <c r="K3302" i="98" s="1"/>
  <c r="K3255" i="98"/>
  <c r="K3254" i="98" s="1"/>
  <c r="K3253" i="98" s="1"/>
  <c r="K3252" i="98" s="1"/>
  <c r="K3273" i="98"/>
  <c r="K3272" i="98" s="1"/>
  <c r="K3271" i="98" s="1"/>
  <c r="K3270" i="98" s="1"/>
  <c r="K3291" i="98"/>
  <c r="K3290" i="98" s="1"/>
  <c r="K3289" i="98" s="1"/>
  <c r="K3288" i="98" s="1"/>
  <c r="K3216" i="98"/>
  <c r="K3203" i="98" s="1"/>
  <c r="K3121" i="98"/>
  <c r="K3119" i="98" s="1"/>
  <c r="K3118" i="98" s="1"/>
  <c r="K2962" i="98"/>
  <c r="K2960" i="98" s="1"/>
  <c r="K2959" i="98" s="1"/>
  <c r="K3094" i="98"/>
  <c r="K3093" i="98" s="1"/>
  <c r="K3092" i="98" s="1"/>
  <c r="K3091" i="98" s="1"/>
  <c r="K3100" i="98"/>
  <c r="K3099" i="98" s="1"/>
  <c r="K3098" i="98" s="1"/>
  <c r="K3097" i="98" s="1"/>
  <c r="D1525" i="23"/>
  <c r="E1525" i="23" s="1"/>
  <c r="F1524" i="23"/>
  <c r="E1524" i="23"/>
  <c r="D1460" i="23"/>
  <c r="E1460" i="23" s="1"/>
  <c r="E1477" i="23"/>
  <c r="E1582" i="23"/>
  <c r="F1582" i="23" s="1"/>
  <c r="D1581" i="23"/>
  <c r="E1581" i="23"/>
  <c r="F1581" i="23"/>
  <c r="E1516" i="23"/>
  <c r="F1516" i="23" s="1"/>
  <c r="E1511" i="23"/>
  <c r="D1453" i="23"/>
  <c r="E1453" i="23" s="1"/>
  <c r="E1498" i="23"/>
  <c r="E1476" i="23"/>
  <c r="D1518" i="23"/>
  <c r="E1518" i="23" s="1"/>
  <c r="D1507" i="23"/>
  <c r="E1507" i="23" s="1"/>
  <c r="E1492" i="23"/>
  <c r="E1488" i="23"/>
  <c r="D1482" i="23"/>
  <c r="E1482" i="23" s="1"/>
  <c r="E1475" i="23"/>
  <c r="E1472" i="23"/>
  <c r="F1472" i="23" s="1"/>
  <c r="D1472" i="23"/>
  <c r="D1506" i="23"/>
  <c r="E1506" i="23" s="1"/>
  <c r="F1506" i="23" s="1"/>
  <c r="D1471" i="23"/>
  <c r="E1471" i="23" s="1"/>
  <c r="D1401" i="23"/>
  <c r="E1465" i="23"/>
  <c r="E1464" i="23"/>
  <c r="E1463" i="23"/>
  <c r="E1461" i="23"/>
  <c r="F1461" i="23" s="1"/>
  <c r="E1459" i="23"/>
  <c r="E1458" i="23"/>
  <c r="E1457" i="23"/>
  <c r="E1456" i="23"/>
  <c r="E1451" i="23"/>
  <c r="E1450" i="23"/>
  <c r="E1449" i="23"/>
  <c r="E1448" i="23"/>
  <c r="E1447" i="23"/>
  <c r="E1445" i="23"/>
  <c r="E1444" i="23"/>
  <c r="E1443" i="23"/>
  <c r="E1442" i="23"/>
  <c r="E1441" i="23"/>
  <c r="E1439" i="23"/>
  <c r="E1438" i="23"/>
  <c r="E1437" i="23"/>
  <c r="E1436" i="23"/>
  <c r="E1435" i="23"/>
  <c r="E1433" i="23"/>
  <c r="E1432" i="23"/>
  <c r="E1431" i="23"/>
  <c r="E1430" i="23"/>
  <c r="E1429" i="23"/>
  <c r="D1419" i="23"/>
  <c r="E1419" i="23" s="1"/>
  <c r="E1423" i="23"/>
  <c r="E1422" i="23"/>
  <c r="E1421" i="23"/>
  <c r="E1420" i="23"/>
  <c r="E1404" i="23"/>
  <c r="E1402" i="23"/>
  <c r="E1400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3" i="23"/>
  <c r="E1398" i="23"/>
  <c r="E1397" i="23"/>
  <c r="E1396" i="23"/>
  <c r="E1395" i="23"/>
  <c r="E1394" i="23"/>
  <c r="E1392" i="23"/>
  <c r="E1391" i="23"/>
  <c r="E1390" i="23"/>
  <c r="E1389" i="23"/>
  <c r="E1388" i="23"/>
  <c r="E1386" i="23"/>
  <c r="E1385" i="23"/>
  <c r="E1384" i="23"/>
  <c r="E1383" i="23"/>
  <c r="E1382" i="23"/>
  <c r="E1380" i="23"/>
  <c r="E1379" i="23"/>
  <c r="E1378" i="23"/>
  <c r="E1377" i="23"/>
  <c r="E1376" i="23"/>
  <c r="K2813" i="98"/>
  <c r="K2812" i="98" s="1"/>
  <c r="K2811" i="98" s="1"/>
  <c r="K2810" i="98" s="1"/>
  <c r="E1370" i="23"/>
  <c r="E1369" i="23"/>
  <c r="E1368" i="23"/>
  <c r="E1367" i="23"/>
  <c r="E1366" i="23"/>
  <c r="E1365" i="23"/>
  <c r="E1364" i="23"/>
  <c r="J1833" i="100" s="1"/>
  <c r="K2733" i="98"/>
  <c r="K2732" i="98"/>
  <c r="K2731" i="98"/>
  <c r="K2730" i="98"/>
  <c r="K2729" i="98"/>
  <c r="K2728" i="98"/>
  <c r="K2727" i="98"/>
  <c r="K2726" i="98"/>
  <c r="K2725" i="98"/>
  <c r="E1351" i="23"/>
  <c r="K2723" i="98"/>
  <c r="K2738" i="98"/>
  <c r="E1333" i="23"/>
  <c r="E1345" i="23"/>
  <c r="J1802" i="100" s="1"/>
  <c r="E1344" i="23"/>
  <c r="J1801" i="100" s="1"/>
  <c r="E1343" i="23"/>
  <c r="J1800" i="100" s="1"/>
  <c r="E1342" i="23"/>
  <c r="J1799" i="100" s="1"/>
  <c r="E1341" i="23"/>
  <c r="J1798" i="100" s="1"/>
  <c r="E1340" i="23"/>
  <c r="J1797" i="100" s="1"/>
  <c r="E1339" i="23"/>
  <c r="J1796" i="100" s="1"/>
  <c r="E1338" i="23"/>
  <c r="J1795" i="100" s="1"/>
  <c r="E1334" i="23"/>
  <c r="E1330" i="23"/>
  <c r="E1329" i="23"/>
  <c r="E1336" i="23"/>
  <c r="E1335" i="23"/>
  <c r="E1332" i="23"/>
  <c r="E1331" i="23"/>
  <c r="F1317" i="23"/>
  <c r="E1327" i="23"/>
  <c r="E1326" i="23"/>
  <c r="E1325" i="23"/>
  <c r="E1324" i="23"/>
  <c r="E1323" i="23"/>
  <c r="E1322" i="23"/>
  <c r="E1321" i="23"/>
  <c r="E1320" i="23"/>
  <c r="J1698" i="100" s="1"/>
  <c r="E1319" i="23"/>
  <c r="E1318" i="23"/>
  <c r="E1317" i="23"/>
  <c r="E1316" i="23"/>
  <c r="E1315" i="23"/>
  <c r="E1314" i="23"/>
  <c r="E1313" i="23"/>
  <c r="K2598" i="98"/>
  <c r="E1306" i="23"/>
  <c r="K2587" i="98"/>
  <c r="K3666" i="98" l="1"/>
  <c r="K3665" i="98" s="1"/>
  <c r="K3664" i="98" s="1"/>
  <c r="K3663" i="98" s="1"/>
  <c r="K3636" i="98"/>
  <c r="K3635" i="98" s="1"/>
  <c r="K3634" i="98" s="1"/>
  <c r="K3633" i="98" s="1"/>
  <c r="K1859" i="98"/>
  <c r="K1858" i="98" s="1"/>
  <c r="K1857" i="98" s="1"/>
  <c r="K3626" i="98"/>
  <c r="K3625" i="98" s="1"/>
  <c r="K3624" i="98" s="1"/>
  <c r="K3623" i="98" s="1"/>
  <c r="K3654" i="98"/>
  <c r="K3653" i="98" s="1"/>
  <c r="K3652" i="98" s="1"/>
  <c r="K3651" i="98" s="1"/>
  <c r="K3880" i="98"/>
  <c r="K3879" i="98" s="1"/>
  <c r="K3878" i="98" s="1"/>
  <c r="K3877" i="98" s="1"/>
  <c r="K3338" i="98"/>
  <c r="K3383" i="98" s="1"/>
  <c r="K2978" i="98"/>
  <c r="K2977" i="98" s="1"/>
  <c r="K2976" i="98" s="1"/>
  <c r="K2975" i="98" s="1"/>
  <c r="K3461" i="98"/>
  <c r="K3460" i="98" s="1"/>
  <c r="K3482" i="98" s="1"/>
  <c r="K3399" i="98"/>
  <c r="K3398" i="98" s="1"/>
  <c r="K3397" i="98" s="1"/>
  <c r="K3396" i="98" s="1"/>
  <c r="K3142" i="98"/>
  <c r="K3141" i="98" s="1"/>
  <c r="K3140" i="98" s="1"/>
  <c r="K3139" i="98" s="1"/>
  <c r="K3453" i="98"/>
  <c r="K3452" i="98" s="1"/>
  <c r="K3451" i="98" s="1"/>
  <c r="K3450" i="98" s="1"/>
  <c r="K3809" i="98"/>
  <c r="K3808" i="98" s="1"/>
  <c r="K3807" i="98" s="1"/>
  <c r="K3806" i="98" s="1"/>
  <c r="K3510" i="98"/>
  <c r="K3509" i="98" s="1"/>
  <c r="K3508" i="98" s="1"/>
  <c r="K3507" i="98" s="1"/>
  <c r="K3794" i="98"/>
  <c r="K3932" i="98" s="1"/>
  <c r="K3694" i="98"/>
  <c r="K3693" i="98" s="1"/>
  <c r="K3692" i="98" s="1"/>
  <c r="K3691" i="98" s="1"/>
  <c r="K3672" i="98"/>
  <c r="K3671" i="98" s="1"/>
  <c r="K3670" i="98" s="1"/>
  <c r="K3669" i="98" s="1"/>
  <c r="K3323" i="98"/>
  <c r="K3322" i="98" s="1"/>
  <c r="K3321" i="98" s="1"/>
  <c r="K3320" i="98" s="1"/>
  <c r="K3358" i="98"/>
  <c r="K3357" i="98" s="1"/>
  <c r="K3356" i="98" s="1"/>
  <c r="K3355" i="98" s="1"/>
  <c r="K3643" i="98"/>
  <c r="K3642" i="98" s="1"/>
  <c r="K3641" i="98" s="1"/>
  <c r="K3640" i="98" s="1"/>
  <c r="K3426" i="98"/>
  <c r="K3425" i="98" s="1"/>
  <c r="K3424" i="98" s="1"/>
  <c r="K3423" i="98" s="1"/>
  <c r="K3165" i="98"/>
  <c r="K3164" i="98" s="1"/>
  <c r="K3163" i="98" s="1"/>
  <c r="K3162" i="98" s="1"/>
  <c r="J2332" i="100"/>
  <c r="J2331" i="100" s="1"/>
  <c r="J2389" i="100" s="1"/>
  <c r="K3544" i="98"/>
  <c r="K3543" i="98" s="1"/>
  <c r="K3542" i="98" s="1"/>
  <c r="K3541" i="98" s="1"/>
  <c r="K3615" i="98"/>
  <c r="K3614" i="98" s="1"/>
  <c r="K3613" i="98" s="1"/>
  <c r="K3612" i="98" s="1"/>
  <c r="K3564" i="98"/>
  <c r="K3563" i="98" s="1"/>
  <c r="K3562" i="98" s="1"/>
  <c r="K3561" i="98" s="1"/>
  <c r="K3415" i="98"/>
  <c r="K3414" i="98" s="1"/>
  <c r="K3413" i="98" s="1"/>
  <c r="K3412" i="98" s="1"/>
  <c r="K3827" i="98"/>
  <c r="K3826" i="98" s="1"/>
  <c r="K3825" i="98" s="1"/>
  <c r="K3824" i="98" s="1"/>
  <c r="J2347" i="100"/>
  <c r="J2346" i="100" s="1"/>
  <c r="J2345" i="100" s="1"/>
  <c r="J2344" i="100" s="1"/>
  <c r="K3942" i="98"/>
  <c r="K3941" i="98" s="1"/>
  <c r="K3940" i="98" s="1"/>
  <c r="K3939" i="98" s="1"/>
  <c r="K3682" i="98"/>
  <c r="K3681" i="98" s="1"/>
  <c r="K3680" i="98" s="1"/>
  <c r="K3679" i="98" s="1"/>
  <c r="K3535" i="98"/>
  <c r="K3534" i="98" s="1"/>
  <c r="K3533" i="98" s="1"/>
  <c r="K3532" i="98" s="1"/>
  <c r="K3602" i="98"/>
  <c r="K3966" i="98"/>
  <c r="K3976" i="98" s="1"/>
  <c r="K3977" i="98" s="1"/>
  <c r="J2828" i="100"/>
  <c r="J2879" i="100" s="1"/>
  <c r="K3780" i="98"/>
  <c r="K3779" i="98" s="1"/>
  <c r="K3778" i="98" s="1"/>
  <c r="K3777" i="98" s="1"/>
  <c r="K3000" i="98"/>
  <c r="K2999" i="98" s="1"/>
  <c r="K2998" i="98" s="1"/>
  <c r="K2997" i="98" s="1"/>
  <c r="J2550" i="100"/>
  <c r="J2549" i="100" s="1"/>
  <c r="J2548" i="100" s="1"/>
  <c r="J2547" i="100" s="1"/>
  <c r="K3437" i="98"/>
  <c r="K3436" i="98" s="1"/>
  <c r="K3435" i="98" s="1"/>
  <c r="K3434" i="98" s="1"/>
  <c r="J1914" i="100"/>
  <c r="K2819" i="98"/>
  <c r="J2032" i="100"/>
  <c r="K2937" i="98"/>
  <c r="F1507" i="23"/>
  <c r="J2043" i="100"/>
  <c r="K2948" i="98"/>
  <c r="F1518" i="23"/>
  <c r="J2053" i="100"/>
  <c r="K2958" i="98"/>
  <c r="F1525" i="23"/>
  <c r="K2597" i="98"/>
  <c r="J1692" i="100"/>
  <c r="K2605" i="98"/>
  <c r="J1700" i="100"/>
  <c r="K2638" i="98"/>
  <c r="J1755" i="100"/>
  <c r="J1733" i="100"/>
  <c r="K2742" i="98"/>
  <c r="J1837" i="100"/>
  <c r="J1857" i="100"/>
  <c r="K2762" i="98"/>
  <c r="J1873" i="100"/>
  <c r="K2778" i="98"/>
  <c r="J1892" i="100"/>
  <c r="K2797" i="98"/>
  <c r="J1901" i="100"/>
  <c r="K2806" i="98"/>
  <c r="J1915" i="100"/>
  <c r="K2820" i="98"/>
  <c r="J1936" i="100"/>
  <c r="K2841" i="98"/>
  <c r="J1952" i="100"/>
  <c r="K2857" i="98"/>
  <c r="J1960" i="100"/>
  <c r="K2865" i="98"/>
  <c r="J1974" i="100"/>
  <c r="K2879" i="98"/>
  <c r="J1979" i="100"/>
  <c r="K2884" i="98"/>
  <c r="E1401" i="23"/>
  <c r="K2795" i="98" s="1"/>
  <c r="K2826" i="98" s="1"/>
  <c r="J2001" i="100"/>
  <c r="K2906" i="98"/>
  <c r="J2020" i="100"/>
  <c r="K2925" i="98"/>
  <c r="J2878" i="100"/>
  <c r="J2849" i="100"/>
  <c r="J2848" i="100" s="1"/>
  <c r="J2847" i="100" s="1"/>
  <c r="K2331" i="100"/>
  <c r="L2332" i="100"/>
  <c r="J2785" i="100"/>
  <c r="K2407" i="100"/>
  <c r="K2602" i="98"/>
  <c r="J1697" i="100"/>
  <c r="K2606" i="98"/>
  <c r="J1701" i="100"/>
  <c r="K2681" i="98"/>
  <c r="J1776" i="100"/>
  <c r="K2739" i="98"/>
  <c r="J1834" i="100"/>
  <c r="F1377" i="23"/>
  <c r="J1854" i="100"/>
  <c r="K2759" i="98"/>
  <c r="J1866" i="100"/>
  <c r="K2771" i="98"/>
  <c r="J1882" i="100"/>
  <c r="K2787" i="98"/>
  <c r="J1898" i="100"/>
  <c r="K2803" i="98"/>
  <c r="J1891" i="100"/>
  <c r="K2796" i="98"/>
  <c r="F1402" i="23"/>
  <c r="J1933" i="100"/>
  <c r="K2838" i="98"/>
  <c r="J1945" i="100"/>
  <c r="K2850" i="98"/>
  <c r="J1961" i="100"/>
  <c r="K2866" i="98"/>
  <c r="J1975" i="100"/>
  <c r="K2880" i="98"/>
  <c r="F1471" i="23"/>
  <c r="J1990" i="100"/>
  <c r="F1498" i="23"/>
  <c r="J2036" i="100"/>
  <c r="K2941" i="98"/>
  <c r="F1477" i="23"/>
  <c r="J1996" i="100"/>
  <c r="K2901" i="98"/>
  <c r="K2895" i="98"/>
  <c r="L2307" i="100"/>
  <c r="K2306" i="100"/>
  <c r="K2599" i="98"/>
  <c r="J1694" i="100"/>
  <c r="K2683" i="98"/>
  <c r="J1778" i="100"/>
  <c r="K2722" i="98"/>
  <c r="K2721" i="98" s="1"/>
  <c r="K2720" i="98" s="1"/>
  <c r="K2719" i="98" s="1"/>
  <c r="K2718" i="98" s="1"/>
  <c r="J1817" i="100"/>
  <c r="J1816" i="100" s="1"/>
  <c r="J1815" i="100" s="1"/>
  <c r="J1814" i="100" s="1"/>
  <c r="J1813" i="100" s="1"/>
  <c r="K2740" i="98"/>
  <c r="J1835" i="100"/>
  <c r="J1855" i="100"/>
  <c r="K2760" i="98"/>
  <c r="J1863" i="100"/>
  <c r="K2768" i="98"/>
  <c r="J1875" i="100"/>
  <c r="K2780" i="98"/>
  <c r="J1899" i="100"/>
  <c r="K2804" i="98"/>
  <c r="K2596" i="98"/>
  <c r="J1691" i="100"/>
  <c r="K2600" i="98"/>
  <c r="J1695" i="100"/>
  <c r="K2604" i="98"/>
  <c r="J1699" i="100"/>
  <c r="K2608" i="98"/>
  <c r="J1703" i="100"/>
  <c r="K2637" i="98"/>
  <c r="J1732" i="100"/>
  <c r="K2615" i="98"/>
  <c r="J1710" i="100"/>
  <c r="K2603" i="98"/>
  <c r="K2741" i="98"/>
  <c r="J1836" i="100"/>
  <c r="J1856" i="100"/>
  <c r="K2761" i="98"/>
  <c r="J1864" i="100"/>
  <c r="K2769" i="98"/>
  <c r="J1872" i="100"/>
  <c r="K2777" i="98"/>
  <c r="J1880" i="100"/>
  <c r="K2785" i="98"/>
  <c r="J1884" i="100"/>
  <c r="K2789" i="98"/>
  <c r="J1896" i="100"/>
  <c r="K2801" i="98"/>
  <c r="J1900" i="100"/>
  <c r="K2805" i="98"/>
  <c r="J1904" i="100"/>
  <c r="K2809" i="98"/>
  <c r="J1918" i="100"/>
  <c r="K2823" i="98"/>
  <c r="J1935" i="100"/>
  <c r="K2840" i="98"/>
  <c r="J1943" i="100"/>
  <c r="K2848" i="98"/>
  <c r="J1951" i="100"/>
  <c r="K2856" i="98"/>
  <c r="J1955" i="100"/>
  <c r="K2860" i="98"/>
  <c r="J1963" i="100"/>
  <c r="K2868" i="98"/>
  <c r="K2878" i="98"/>
  <c r="J1973" i="100"/>
  <c r="J1977" i="100"/>
  <c r="K2882" i="98"/>
  <c r="D1455" i="23"/>
  <c r="E1455" i="23" s="1"/>
  <c r="J1994" i="100"/>
  <c r="K2899" i="98"/>
  <c r="J1995" i="100"/>
  <c r="K2900" i="98"/>
  <c r="J2052" i="100"/>
  <c r="K2957" i="98"/>
  <c r="J2490" i="100"/>
  <c r="J2406" i="100"/>
  <c r="J2405" i="100" s="1"/>
  <c r="J2915" i="100"/>
  <c r="J2367" i="100"/>
  <c r="K2601" i="98"/>
  <c r="J1696" i="100"/>
  <c r="K2609" i="98"/>
  <c r="J1704" i="100"/>
  <c r="K2626" i="98"/>
  <c r="J1721" i="100"/>
  <c r="K2758" i="98"/>
  <c r="J1853" i="100"/>
  <c r="J1865" i="100"/>
  <c r="K2770" i="98"/>
  <c r="J1881" i="100"/>
  <c r="K2786" i="98"/>
  <c r="J1897" i="100"/>
  <c r="K2802" i="98"/>
  <c r="J1889" i="100"/>
  <c r="K2794" i="98"/>
  <c r="J1944" i="100"/>
  <c r="K2849" i="98"/>
  <c r="J1964" i="100"/>
  <c r="K2869" i="98"/>
  <c r="J2014" i="100"/>
  <c r="K2919" i="98"/>
  <c r="F1458" i="23"/>
  <c r="D1466" i="23"/>
  <c r="E1466" i="23" s="1"/>
  <c r="J2529" i="100"/>
  <c r="J2531" i="100" s="1"/>
  <c r="J2532" i="100" s="1"/>
  <c r="J2515" i="100"/>
  <c r="J2514" i="100" s="1"/>
  <c r="J2513" i="100" s="1"/>
  <c r="J2211" i="100"/>
  <c r="J2210" i="100" s="1"/>
  <c r="J2209" i="100" s="1"/>
  <c r="K2610" i="98"/>
  <c r="J1705" i="100"/>
  <c r="K2649" i="98"/>
  <c r="J1744" i="100"/>
  <c r="K2743" i="98"/>
  <c r="J1838" i="100"/>
  <c r="J1862" i="100"/>
  <c r="K2767" i="98"/>
  <c r="J1874" i="100"/>
  <c r="K2779" i="98"/>
  <c r="J1894" i="100"/>
  <c r="K2799" i="98"/>
  <c r="J1902" i="100"/>
  <c r="K2807" i="98"/>
  <c r="J1916" i="100"/>
  <c r="K2821" i="98"/>
  <c r="J1937" i="100"/>
  <c r="K2842" i="98"/>
  <c r="J1953" i="100"/>
  <c r="K2858" i="98"/>
  <c r="J1969" i="100"/>
  <c r="K2874" i="98"/>
  <c r="J1980" i="100"/>
  <c r="K2885" i="98"/>
  <c r="F1459" i="23"/>
  <c r="J2127" i="100"/>
  <c r="J2121" i="100" s="1"/>
  <c r="J2120" i="100" s="1"/>
  <c r="J2119" i="100" s="1"/>
  <c r="J2118" i="100" s="1"/>
  <c r="K3112" i="98"/>
  <c r="K3106" i="98" s="1"/>
  <c r="K3105" i="98" s="1"/>
  <c r="K3104" i="98" s="1"/>
  <c r="K3103" i="98" s="1"/>
  <c r="J2799" i="100"/>
  <c r="J2468" i="100"/>
  <c r="J2467" i="100" s="1"/>
  <c r="J2491" i="100"/>
  <c r="J2487" i="100"/>
  <c r="J2813" i="100"/>
  <c r="J2709" i="100"/>
  <c r="J2708" i="100" s="1"/>
  <c r="J2707" i="100" s="1"/>
  <c r="J2719" i="100"/>
  <c r="J2721" i="100" s="1"/>
  <c r="J2722" i="100" s="1"/>
  <c r="K2607" i="98"/>
  <c r="J1702" i="100"/>
  <c r="J1794" i="100"/>
  <c r="J1793" i="100" s="1"/>
  <c r="J1792" i="100" s="1"/>
  <c r="K2744" i="98"/>
  <c r="J1839" i="100"/>
  <c r="J1871" i="100"/>
  <c r="K2776" i="98"/>
  <c r="J1883" i="100"/>
  <c r="K2788" i="98"/>
  <c r="J1895" i="100"/>
  <c r="K2800" i="98"/>
  <c r="J1903" i="100"/>
  <c r="K2808" i="98"/>
  <c r="F1404" i="23"/>
  <c r="J1893" i="100"/>
  <c r="K2798" i="98"/>
  <c r="J1917" i="100"/>
  <c r="K2822" i="98"/>
  <c r="J1934" i="100"/>
  <c r="K2839" i="98"/>
  <c r="J1942" i="100"/>
  <c r="K2847" i="98"/>
  <c r="J1946" i="100"/>
  <c r="K2851" i="98"/>
  <c r="J1954" i="100"/>
  <c r="K2859" i="98"/>
  <c r="J1962" i="100"/>
  <c r="K2867" i="98"/>
  <c r="J1972" i="100"/>
  <c r="K2877" i="98"/>
  <c r="J1976" i="100"/>
  <c r="K2881" i="98"/>
  <c r="J1981" i="100"/>
  <c r="K2886" i="98"/>
  <c r="J1991" i="100"/>
  <c r="K2896" i="98"/>
  <c r="F1482" i="23"/>
  <c r="D1454" i="23"/>
  <c r="E1454" i="23" s="1"/>
  <c r="J2041" i="100"/>
  <c r="K2946" i="98"/>
  <c r="J2569" i="100"/>
  <c r="J2568" i="100" s="1"/>
  <c r="J2567" i="100" s="1"/>
  <c r="J2891" i="100"/>
  <c r="K3706" i="98"/>
  <c r="K3705" i="98" s="1"/>
  <c r="K3704" i="98" s="1"/>
  <c r="K3703" i="98" s="1"/>
  <c r="K3920" i="98"/>
  <c r="K3919" i="98" s="1"/>
  <c r="K3918" i="98" s="1"/>
  <c r="K3927" i="98"/>
  <c r="K3758" i="98"/>
  <c r="K3523" i="98"/>
  <c r="K3525" i="98" s="1"/>
  <c r="K3526" i="98" s="1"/>
  <c r="K3202" i="98"/>
  <c r="K3201" i="98" s="1"/>
  <c r="K3200" i="98" s="1"/>
  <c r="K2961" i="98"/>
  <c r="K3120" i="98"/>
  <c r="F1406" i="23"/>
  <c r="F1378" i="23"/>
  <c r="F1314" i="23"/>
  <c r="F1380" i="23"/>
  <c r="F1419" i="23"/>
  <c r="F1421" i="23"/>
  <c r="F1411" i="23"/>
  <c r="F1412" i="23"/>
  <c r="F1413" i="23"/>
  <c r="F1410" i="23"/>
  <c r="F1414" i="23"/>
  <c r="F1400" i="23"/>
  <c r="K2660" i="98"/>
  <c r="E1311" i="23"/>
  <c r="E1310" i="23"/>
  <c r="E1309" i="23"/>
  <c r="E1308" i="23"/>
  <c r="E1307" i="23"/>
  <c r="K2707" i="98"/>
  <c r="K2706" i="98"/>
  <c r="K2705" i="98"/>
  <c r="K2704" i="98"/>
  <c r="K2703" i="98"/>
  <c r="K2702" i="98"/>
  <c r="K2701" i="98"/>
  <c r="K2700" i="98"/>
  <c r="K2466" i="98"/>
  <c r="K2463" i="98"/>
  <c r="E1300" i="23"/>
  <c r="E1299" i="23"/>
  <c r="E1298" i="23"/>
  <c r="E1297" i="23"/>
  <c r="E1296" i="23"/>
  <c r="E1295" i="23"/>
  <c r="E1294" i="23"/>
  <c r="E1293" i="23"/>
  <c r="E1291" i="23"/>
  <c r="E1290" i="23"/>
  <c r="E1289" i="23"/>
  <c r="E1288" i="23"/>
  <c r="E1287" i="23"/>
  <c r="E1286" i="23"/>
  <c r="E1285" i="23"/>
  <c r="E1283" i="23"/>
  <c r="E1282" i="23"/>
  <c r="E1281" i="23"/>
  <c r="E1280" i="23"/>
  <c r="E1279" i="23"/>
  <c r="E1278" i="23"/>
  <c r="E1277" i="23"/>
  <c r="E1275" i="23"/>
  <c r="E1274" i="23"/>
  <c r="E1273" i="23"/>
  <c r="E1272" i="23"/>
  <c r="E1271" i="23"/>
  <c r="E1270" i="23"/>
  <c r="E1269" i="23"/>
  <c r="E1267" i="23"/>
  <c r="E1266" i="23"/>
  <c r="E1265" i="23"/>
  <c r="E1264" i="23"/>
  <c r="E1263" i="23"/>
  <c r="E1262" i="23"/>
  <c r="E1261" i="23"/>
  <c r="E1255" i="23"/>
  <c r="E1251" i="23"/>
  <c r="E1259" i="23"/>
  <c r="E1258" i="23"/>
  <c r="E1257" i="23"/>
  <c r="E1256" i="23"/>
  <c r="E1254" i="23"/>
  <c r="E1253" i="23"/>
  <c r="E1252" i="23"/>
  <c r="E1250" i="23"/>
  <c r="E1248" i="23"/>
  <c r="E1247" i="23"/>
  <c r="E1246" i="23"/>
  <c r="E1245" i="23"/>
  <c r="E1244" i="23"/>
  <c r="E1243" i="23"/>
  <c r="E1242" i="23"/>
  <c r="E1240" i="23"/>
  <c r="E1239" i="23"/>
  <c r="E1238" i="23"/>
  <c r="E1237" i="23"/>
  <c r="E1236" i="23"/>
  <c r="E1235" i="23"/>
  <c r="E1234" i="23"/>
  <c r="F1229" i="23"/>
  <c r="E1232" i="23"/>
  <c r="E1231" i="23"/>
  <c r="E1230" i="23"/>
  <c r="E1228" i="23"/>
  <c r="E1227" i="23"/>
  <c r="E1224" i="23"/>
  <c r="E1223" i="23"/>
  <c r="E1222" i="23"/>
  <c r="E1221" i="23"/>
  <c r="E1220" i="23"/>
  <c r="E1219" i="23"/>
  <c r="E1218" i="23"/>
  <c r="E1217" i="23"/>
  <c r="E1215" i="23"/>
  <c r="E1214" i="23"/>
  <c r="E1213" i="23"/>
  <c r="E1212" i="23"/>
  <c r="E1211" i="23"/>
  <c r="E1210" i="23"/>
  <c r="E1209" i="23"/>
  <c r="E1208" i="23"/>
  <c r="E1206" i="23"/>
  <c r="E1205" i="23"/>
  <c r="E1204" i="23"/>
  <c r="E1203" i="23"/>
  <c r="E1202" i="23"/>
  <c r="E1201" i="23"/>
  <c r="E1200" i="23"/>
  <c r="E1199" i="23"/>
  <c r="E1197" i="23"/>
  <c r="E1196" i="23"/>
  <c r="E1195" i="23"/>
  <c r="E1194" i="23"/>
  <c r="E1193" i="23"/>
  <c r="E1192" i="23"/>
  <c r="E1191" i="23"/>
  <c r="E1189" i="23"/>
  <c r="E1188" i="23"/>
  <c r="E1187" i="23"/>
  <c r="E1186" i="23"/>
  <c r="E1185" i="23"/>
  <c r="E1184" i="23"/>
  <c r="E1183" i="23"/>
  <c r="E1178" i="23"/>
  <c r="E1181" i="23"/>
  <c r="E1180" i="23"/>
  <c r="E1179" i="23"/>
  <c r="E1177" i="23"/>
  <c r="E1176" i="23"/>
  <c r="E1175" i="23"/>
  <c r="E1174" i="23"/>
  <c r="E1156" i="23"/>
  <c r="E1155" i="23"/>
  <c r="E1154" i="23"/>
  <c r="E1153" i="23"/>
  <c r="E1152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K2318" i="98"/>
  <c r="K2317" i="98"/>
  <c r="K2315" i="98"/>
  <c r="K2316" i="98"/>
  <c r="K2268" i="98"/>
  <c r="K2266" i="98"/>
  <c r="K2257" i="98"/>
  <c r="K2256" i="98"/>
  <c r="K2255" i="98"/>
  <c r="K2253" i="98"/>
  <c r="K2252" i="98"/>
  <c r="E1120" i="23"/>
  <c r="E1118" i="23"/>
  <c r="E1116" i="23"/>
  <c r="E1112" i="23"/>
  <c r="E1114" i="23"/>
  <c r="F1098" i="23"/>
  <c r="D1098" i="23"/>
  <c r="E1098" i="23" s="1"/>
  <c r="E1107" i="23"/>
  <c r="E1108" i="23"/>
  <c r="E1106" i="23"/>
  <c r="E1102" i="23"/>
  <c r="E1099" i="23"/>
  <c r="E1135" i="23"/>
  <c r="E1134" i="23"/>
  <c r="E1144" i="23"/>
  <c r="E1147" i="23"/>
  <c r="E1146" i="23"/>
  <c r="E1145" i="23"/>
  <c r="E1143" i="23"/>
  <c r="E1142" i="23"/>
  <c r="E1141" i="23"/>
  <c r="E1140" i="23"/>
  <c r="E1139" i="23"/>
  <c r="F1139" i="23" s="1"/>
  <c r="E1138" i="23"/>
  <c r="E1137" i="23"/>
  <c r="E1136" i="23"/>
  <c r="E1133" i="23"/>
  <c r="E1130" i="23"/>
  <c r="E1131" i="23"/>
  <c r="E1128" i="23"/>
  <c r="K2249" i="98"/>
  <c r="K2223" i="98"/>
  <c r="K2221" i="98"/>
  <c r="K2216" i="98"/>
  <c r="K2209" i="98"/>
  <c r="K2208" i="98"/>
  <c r="K2206" i="98"/>
  <c r="K2205" i="98"/>
  <c r="K2200" i="98"/>
  <c r="K2199" i="98"/>
  <c r="K2198" i="98"/>
  <c r="K2197" i="98"/>
  <c r="K2196" i="98"/>
  <c r="K2195" i="98"/>
  <c r="L2185" i="98"/>
  <c r="E1092" i="23"/>
  <c r="D1087" i="23"/>
  <c r="E1087" i="23" s="1"/>
  <c r="E1088" i="23"/>
  <c r="E1083" i="23"/>
  <c r="E1068" i="23"/>
  <c r="K2179" i="98"/>
  <c r="K2177" i="98"/>
  <c r="K2172" i="98"/>
  <c r="K2171" i="98"/>
  <c r="K2170" i="98"/>
  <c r="K2169" i="98"/>
  <c r="K2168" i="98"/>
  <c r="K2167" i="98"/>
  <c r="K2166" i="98"/>
  <c r="K2148" i="98"/>
  <c r="K2142" i="98"/>
  <c r="K2136" i="98"/>
  <c r="K2130" i="98"/>
  <c r="K2082" i="98"/>
  <c r="K2054" i="98"/>
  <c r="K2026" i="98"/>
  <c r="E1052" i="23"/>
  <c r="E1049" i="23"/>
  <c r="E1046" i="23"/>
  <c r="E1043" i="23"/>
  <c r="E1036" i="23"/>
  <c r="E1035" i="23"/>
  <c r="J1228" i="100" s="1"/>
  <c r="F1030" i="23"/>
  <c r="E1029" i="23"/>
  <c r="E1026" i="23"/>
  <c r="E1027" i="23"/>
  <c r="E1040" i="23"/>
  <c r="E1039" i="23"/>
  <c r="E1038" i="23"/>
  <c r="E1037" i="23"/>
  <c r="E1034" i="23"/>
  <c r="E1033" i="23"/>
  <c r="E1032" i="23"/>
  <c r="E1031" i="23"/>
  <c r="E1030" i="23"/>
  <c r="E1028" i="23"/>
  <c r="E1041" i="23"/>
  <c r="E1020" i="23"/>
  <c r="E1011" i="23"/>
  <c r="E1010" i="23"/>
  <c r="E1008" i="23"/>
  <c r="E1024" i="23"/>
  <c r="E1023" i="23"/>
  <c r="E1022" i="23"/>
  <c r="E1021" i="23"/>
  <c r="E1019" i="23"/>
  <c r="E1018" i="23"/>
  <c r="E1017" i="23"/>
  <c r="E1016" i="23"/>
  <c r="E1015" i="23"/>
  <c r="E1014" i="23"/>
  <c r="E1013" i="23"/>
  <c r="F1002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3" i="23"/>
  <c r="E992" i="23"/>
  <c r="E990" i="23"/>
  <c r="E983" i="23"/>
  <c r="E988" i="23"/>
  <c r="E987" i="23"/>
  <c r="E986" i="23"/>
  <c r="E985" i="23"/>
  <c r="E984" i="23"/>
  <c r="E982" i="23"/>
  <c r="E981" i="23"/>
  <c r="E980" i="23"/>
  <c r="E979" i="23"/>
  <c r="E978" i="23"/>
  <c r="E977" i="23"/>
  <c r="E974" i="23"/>
  <c r="E972" i="23"/>
  <c r="E975" i="23"/>
  <c r="E965" i="23"/>
  <c r="E956" i="23"/>
  <c r="E970" i="23"/>
  <c r="E969" i="23"/>
  <c r="E968" i="23"/>
  <c r="E967" i="23"/>
  <c r="E966" i="23"/>
  <c r="E963" i="23"/>
  <c r="E961" i="23"/>
  <c r="E960" i="23"/>
  <c r="E959" i="23"/>
  <c r="E958" i="23"/>
  <c r="E957" i="23"/>
  <c r="E954" i="23"/>
  <c r="D951" i="23"/>
  <c r="E951" i="23" s="1"/>
  <c r="D952" i="23"/>
  <c r="E952" i="23" s="1"/>
  <c r="F952" i="23" s="1"/>
  <c r="E950" i="23"/>
  <c r="E942" i="23"/>
  <c r="E941" i="23"/>
  <c r="D939" i="23"/>
  <c r="E939" i="23" s="1"/>
  <c r="E953" i="23"/>
  <c r="E949" i="23"/>
  <c r="E948" i="23"/>
  <c r="E947" i="23"/>
  <c r="E946" i="23"/>
  <c r="E945" i="23"/>
  <c r="E944" i="23"/>
  <c r="E943" i="23"/>
  <c r="E937" i="23"/>
  <c r="E936" i="23"/>
  <c r="E935" i="23"/>
  <c r="E934" i="23"/>
  <c r="E933" i="23"/>
  <c r="E927" i="23"/>
  <c r="E931" i="23"/>
  <c r="E930" i="23"/>
  <c r="E929" i="23"/>
  <c r="E928" i="23"/>
  <c r="E921" i="23"/>
  <c r="E925" i="23"/>
  <c r="E924" i="23"/>
  <c r="E923" i="23"/>
  <c r="E922" i="23"/>
  <c r="K3793" i="98" l="1"/>
  <c r="K3792" i="98" s="1"/>
  <c r="K3791" i="98" s="1"/>
  <c r="K3337" i="98"/>
  <c r="K3336" i="98" s="1"/>
  <c r="K3335" i="98" s="1"/>
  <c r="K2913" i="98"/>
  <c r="K2912" i="98" s="1"/>
  <c r="K2911" i="98" s="1"/>
  <c r="K2910" i="98" s="1"/>
  <c r="K3385" i="98"/>
  <c r="J2330" i="100"/>
  <c r="J2329" i="100" s="1"/>
  <c r="K3459" i="98"/>
  <c r="K3458" i="98" s="1"/>
  <c r="K3929" i="98"/>
  <c r="K3931" i="98"/>
  <c r="K2757" i="98"/>
  <c r="K2756" i="98" s="1"/>
  <c r="K2755" i="98" s="1"/>
  <c r="K2754" i="98" s="1"/>
  <c r="K3380" i="98"/>
  <c r="K3481" i="98"/>
  <c r="K3488" i="98" s="1"/>
  <c r="K3375" i="98"/>
  <c r="K3930" i="98"/>
  <c r="K3928" i="98"/>
  <c r="K3478" i="98"/>
  <c r="K3924" i="98"/>
  <c r="K2893" i="98"/>
  <c r="K2892" i="98" s="1"/>
  <c r="K2891" i="98" s="1"/>
  <c r="K2890" i="98" s="1"/>
  <c r="J2008" i="100"/>
  <c r="J2007" i="100" s="1"/>
  <c r="J2006" i="100" s="1"/>
  <c r="J2005" i="100" s="1"/>
  <c r="J2827" i="100"/>
  <c r="J2826" i="100" s="1"/>
  <c r="J2825" i="100" s="1"/>
  <c r="K3715" i="98"/>
  <c r="K3717" i="98" s="1"/>
  <c r="K3718" i="98" s="1"/>
  <c r="K3965" i="98"/>
  <c r="K3964" i="98" s="1"/>
  <c r="K3963" i="98" s="1"/>
  <c r="K2775" i="98"/>
  <c r="K2774" i="98" s="1"/>
  <c r="K2773" i="98" s="1"/>
  <c r="K2772" i="98" s="1"/>
  <c r="J1168" i="100"/>
  <c r="K3574" i="98"/>
  <c r="K3576" i="98" s="1"/>
  <c r="K3577" i="98" s="1"/>
  <c r="K3954" i="98"/>
  <c r="K3956" i="98" s="1"/>
  <c r="K3957" i="98" s="1"/>
  <c r="K2766" i="98"/>
  <c r="K2765" i="98" s="1"/>
  <c r="K2764" i="98" s="1"/>
  <c r="K2763" i="98" s="1"/>
  <c r="K2784" i="98"/>
  <c r="K2783" i="98" s="1"/>
  <c r="K2782" i="98" s="1"/>
  <c r="K2781" i="98" s="1"/>
  <c r="K2737" i="98"/>
  <c r="K2736" i="98" s="1"/>
  <c r="K2735" i="98" s="1"/>
  <c r="K2734" i="98" s="1"/>
  <c r="J2392" i="100"/>
  <c r="J2497" i="100"/>
  <c r="K3974" i="98"/>
  <c r="J2580" i="100"/>
  <c r="J2582" i="100" s="1"/>
  <c r="J2583" i="100" s="1"/>
  <c r="J2051" i="100"/>
  <c r="J2049" i="100" s="1"/>
  <c r="J2048" i="100" s="1"/>
  <c r="K2818" i="98"/>
  <c r="K2817" i="98" s="1"/>
  <c r="K2816" i="98" s="1"/>
  <c r="K2815" i="98" s="1"/>
  <c r="J1832" i="100"/>
  <c r="J1831" i="100" s="1"/>
  <c r="J1830" i="100" s="1"/>
  <c r="J1829" i="100" s="1"/>
  <c r="J2029" i="100"/>
  <c r="J2028" i="100" s="1"/>
  <c r="J2027" i="100" s="1"/>
  <c r="J2026" i="100" s="1"/>
  <c r="F925" i="23"/>
  <c r="J1088" i="100"/>
  <c r="K1951" i="98"/>
  <c r="J1101" i="100"/>
  <c r="K1968" i="98"/>
  <c r="J1118" i="100"/>
  <c r="J1117" i="100"/>
  <c r="K1959" i="98"/>
  <c r="J1109" i="100"/>
  <c r="K2001" i="98"/>
  <c r="K2000" i="98" s="1"/>
  <c r="K1999" i="98" s="1"/>
  <c r="K1998" i="98" s="1"/>
  <c r="K1997" i="98" s="1"/>
  <c r="J1139" i="100"/>
  <c r="J1138" i="100" s="1"/>
  <c r="J1137" i="100" s="1"/>
  <c r="J1136" i="100" s="1"/>
  <c r="J1135" i="100" s="1"/>
  <c r="K2025" i="98"/>
  <c r="J1158" i="100"/>
  <c r="K2028" i="98"/>
  <c r="J1161" i="100"/>
  <c r="K2043" i="98"/>
  <c r="J1170" i="100"/>
  <c r="K2057" i="98"/>
  <c r="J1183" i="100"/>
  <c r="K2062" i="98"/>
  <c r="J1188" i="100"/>
  <c r="K2084" i="98"/>
  <c r="J1203" i="100"/>
  <c r="K2099" i="98"/>
  <c r="J1212" i="100"/>
  <c r="K2110" i="98"/>
  <c r="J1222" i="100"/>
  <c r="K2207" i="98"/>
  <c r="K2204" i="98" s="1"/>
  <c r="K2203" i="98" s="1"/>
  <c r="K2202" i="98" s="1"/>
  <c r="K2201" i="98" s="1"/>
  <c r="J1316" i="100"/>
  <c r="J1313" i="100" s="1"/>
  <c r="K2334" i="98"/>
  <c r="J1436" i="100"/>
  <c r="K2348" i="98"/>
  <c r="J1445" i="100"/>
  <c r="K2264" i="98"/>
  <c r="J1369" i="100"/>
  <c r="K2294" i="98"/>
  <c r="K2293" i="98" s="1"/>
  <c r="K2292" i="98" s="1"/>
  <c r="K2291" i="98" s="1"/>
  <c r="K2290" i="98" s="1"/>
  <c r="J1396" i="100"/>
  <c r="J1395" i="100" s="1"/>
  <c r="J1394" i="100" s="1"/>
  <c r="J1393" i="100" s="1"/>
  <c r="K2385" i="98"/>
  <c r="J1480" i="100"/>
  <c r="K2393" i="98"/>
  <c r="J1488" i="100"/>
  <c r="K2377" i="98"/>
  <c r="J1472" i="100"/>
  <c r="F1174" i="23"/>
  <c r="J1499" i="100"/>
  <c r="K2409" i="98"/>
  <c r="J1504" i="100"/>
  <c r="K2416" i="98"/>
  <c r="J1511" i="100"/>
  <c r="K2429" i="98"/>
  <c r="J1524" i="100"/>
  <c r="K2433" i="98"/>
  <c r="J1528" i="100"/>
  <c r="K2441" i="98"/>
  <c r="J1536" i="100"/>
  <c r="K2445" i="98"/>
  <c r="J1540" i="100"/>
  <c r="K2453" i="98"/>
  <c r="J1548" i="100"/>
  <c r="K2457" i="98"/>
  <c r="J1552" i="100"/>
  <c r="K2467" i="98"/>
  <c r="J1562" i="100"/>
  <c r="K2477" i="98"/>
  <c r="J1572" i="100"/>
  <c r="K2485" i="98"/>
  <c r="J1580" i="100"/>
  <c r="K2489" i="98"/>
  <c r="J1584" i="100"/>
  <c r="K2497" i="98"/>
  <c r="J1592" i="100"/>
  <c r="K2501" i="98"/>
  <c r="J1596" i="100"/>
  <c r="K2511" i="98"/>
  <c r="J1606" i="100"/>
  <c r="K2519" i="98"/>
  <c r="J1614" i="100"/>
  <c r="K2523" i="98"/>
  <c r="J1618" i="100"/>
  <c r="K2531" i="98"/>
  <c r="J1626" i="100"/>
  <c r="K2535" i="98"/>
  <c r="J1630" i="100"/>
  <c r="K2543" i="98"/>
  <c r="J1638" i="100"/>
  <c r="K2547" i="98"/>
  <c r="J1642" i="100"/>
  <c r="K2555" i="98"/>
  <c r="J1650" i="100"/>
  <c r="K2559" i="98"/>
  <c r="J1654" i="100"/>
  <c r="K2588" i="98"/>
  <c r="J1683" i="100"/>
  <c r="J1970" i="100"/>
  <c r="F1454" i="23"/>
  <c r="K2875" i="98"/>
  <c r="K3223" i="98" s="1"/>
  <c r="J2881" i="100"/>
  <c r="J2798" i="100"/>
  <c r="J2797" i="100" s="1"/>
  <c r="J2796" i="100" s="1"/>
  <c r="J1971" i="100"/>
  <c r="F1455" i="23"/>
  <c r="K2490" i="100"/>
  <c r="K2406" i="100"/>
  <c r="K1935" i="98"/>
  <c r="J1085" i="100"/>
  <c r="K1952" i="98"/>
  <c r="J1102" i="100"/>
  <c r="J1100" i="100"/>
  <c r="K1964" i="98"/>
  <c r="J1114" i="100"/>
  <c r="F948" i="23"/>
  <c r="J1119" i="100"/>
  <c r="J1121" i="100"/>
  <c r="F941" i="23"/>
  <c r="J1111" i="100"/>
  <c r="K1988" i="98"/>
  <c r="J1131" i="100"/>
  <c r="K1936" i="98"/>
  <c r="J1086" i="100"/>
  <c r="J1084" i="100"/>
  <c r="K1943" i="98"/>
  <c r="J1093" i="100"/>
  <c r="K1953" i="98"/>
  <c r="J1103" i="100"/>
  <c r="K1965" i="98"/>
  <c r="J1115" i="100"/>
  <c r="F949" i="23"/>
  <c r="J1120" i="100"/>
  <c r="K1962" i="98"/>
  <c r="J1112" i="100"/>
  <c r="F954" i="23"/>
  <c r="J1124" i="100"/>
  <c r="K1994" i="98"/>
  <c r="J1133" i="100"/>
  <c r="K2007" i="98"/>
  <c r="J1145" i="100"/>
  <c r="K1989" i="98"/>
  <c r="J1132" i="100"/>
  <c r="F974" i="23"/>
  <c r="J1157" i="100"/>
  <c r="K2031" i="98"/>
  <c r="J1164" i="100"/>
  <c r="K2034" i="98"/>
  <c r="J1167" i="100"/>
  <c r="K2055" i="98"/>
  <c r="J1181" i="100"/>
  <c r="K2059" i="98"/>
  <c r="J1185" i="100"/>
  <c r="K2086" i="98"/>
  <c r="J1205" i="100"/>
  <c r="F1008" i="23"/>
  <c r="J1197" i="100"/>
  <c r="K2124" i="98"/>
  <c r="J1233" i="100"/>
  <c r="K2112" i="98"/>
  <c r="J1224" i="100"/>
  <c r="K2106" i="98"/>
  <c r="J1218" i="100"/>
  <c r="K2147" i="98"/>
  <c r="K2146" i="98" s="1"/>
  <c r="K2145" i="98" s="1"/>
  <c r="K2144" i="98" s="1"/>
  <c r="K2143" i="98" s="1"/>
  <c r="J1256" i="100"/>
  <c r="J1255" i="100" s="1"/>
  <c r="J1254" i="100" s="1"/>
  <c r="J1253" i="100" s="1"/>
  <c r="K2214" i="98"/>
  <c r="J1323" i="100"/>
  <c r="K2330" i="98"/>
  <c r="J1432" i="100"/>
  <c r="F1143" i="23"/>
  <c r="J1442" i="100"/>
  <c r="K2341" i="98"/>
  <c r="J1443" i="100"/>
  <c r="F1102" i="23"/>
  <c r="J1363" i="100"/>
  <c r="K2250" i="98"/>
  <c r="J1359" i="100"/>
  <c r="K2284" i="98"/>
  <c r="K2283" i="98" s="1"/>
  <c r="K2282" i="98" s="1"/>
  <c r="K2281" i="98" s="1"/>
  <c r="K2280" i="98" s="1"/>
  <c r="J1386" i="100"/>
  <c r="J1385" i="100" s="1"/>
  <c r="J1384" i="100" s="1"/>
  <c r="J1383" i="100" s="1"/>
  <c r="J1382" i="100" s="1"/>
  <c r="K2387" i="98"/>
  <c r="J1482" i="100"/>
  <c r="K2391" i="98"/>
  <c r="J1486" i="100"/>
  <c r="F1168" i="23"/>
  <c r="J1490" i="100"/>
  <c r="K2399" i="98"/>
  <c r="J1494" i="100"/>
  <c r="K2379" i="98"/>
  <c r="J1474" i="100"/>
  <c r="K2406" i="98"/>
  <c r="J1501" i="100"/>
  <c r="K2411" i="98"/>
  <c r="J1506" i="100"/>
  <c r="K2418" i="98"/>
  <c r="J1513" i="100"/>
  <c r="K2422" i="98"/>
  <c r="J1517" i="100"/>
  <c r="K2427" i="98"/>
  <c r="J1522" i="100"/>
  <c r="K2432" i="98"/>
  <c r="J1527" i="100"/>
  <c r="K2439" i="98"/>
  <c r="J1534" i="100"/>
  <c r="K2443" i="98"/>
  <c r="J1538" i="100"/>
  <c r="K2451" i="98"/>
  <c r="J1546" i="100"/>
  <c r="K2455" i="98"/>
  <c r="J1550" i="100"/>
  <c r="K2464" i="98"/>
  <c r="J1559" i="100"/>
  <c r="K2469" i="98"/>
  <c r="J1564" i="100"/>
  <c r="K2475" i="98"/>
  <c r="J1570" i="100"/>
  <c r="K2479" i="98"/>
  <c r="J1574" i="100"/>
  <c r="F1244" i="23"/>
  <c r="J1582" i="100"/>
  <c r="K2491" i="98"/>
  <c r="J1586" i="100"/>
  <c r="F1254" i="23"/>
  <c r="J1594" i="100"/>
  <c r="F1259" i="23"/>
  <c r="J1598" i="100"/>
  <c r="K2509" i="98"/>
  <c r="J1604" i="100"/>
  <c r="K2513" i="98"/>
  <c r="J1608" i="100"/>
  <c r="K2521" i="98"/>
  <c r="J1616" i="100"/>
  <c r="K2525" i="98"/>
  <c r="J1620" i="100"/>
  <c r="K2533" i="98"/>
  <c r="J1628" i="100"/>
  <c r="K2541" i="98"/>
  <c r="J1636" i="100"/>
  <c r="K2545" i="98"/>
  <c r="J1640" i="100"/>
  <c r="K2553" i="98"/>
  <c r="J1648" i="100"/>
  <c r="K2557" i="98"/>
  <c r="J1652" i="100"/>
  <c r="K2590" i="98"/>
  <c r="J1685" i="100"/>
  <c r="K2876" i="98"/>
  <c r="J2903" i="100"/>
  <c r="J2905" i="100" s="1"/>
  <c r="J2906" i="100" s="1"/>
  <c r="J2890" i="100"/>
  <c r="J2889" i="100" s="1"/>
  <c r="J2888" i="100" s="1"/>
  <c r="J1941" i="100"/>
  <c r="J1940" i="100" s="1"/>
  <c r="J1939" i="100" s="1"/>
  <c r="J1938" i="100" s="1"/>
  <c r="J2880" i="100"/>
  <c r="J2812" i="100"/>
  <c r="J2811" i="100" s="1"/>
  <c r="J2810" i="100" s="1"/>
  <c r="J1861" i="100"/>
  <c r="J1860" i="100" s="1"/>
  <c r="J1859" i="100" s="1"/>
  <c r="J1858" i="100" s="1"/>
  <c r="J1852" i="100"/>
  <c r="J1851" i="100" s="1"/>
  <c r="J1850" i="100" s="1"/>
  <c r="J1849" i="100" s="1"/>
  <c r="J1950" i="100"/>
  <c r="J1949" i="100" s="1"/>
  <c r="J1948" i="100" s="1"/>
  <c r="J1947" i="100" s="1"/>
  <c r="J1879" i="100"/>
  <c r="J1878" i="100" s="1"/>
  <c r="J1877" i="100" s="1"/>
  <c r="J1876" i="100" s="1"/>
  <c r="J1932" i="100"/>
  <c r="J1931" i="100" s="1"/>
  <c r="J1930" i="100" s="1"/>
  <c r="J1929" i="100" s="1"/>
  <c r="D763" i="23"/>
  <c r="E763" i="23" s="1"/>
  <c r="K1614" i="98" s="1"/>
  <c r="J1913" i="100"/>
  <c r="K1945" i="98"/>
  <c r="J1095" i="100"/>
  <c r="K1963" i="98"/>
  <c r="J1113" i="100"/>
  <c r="K1987" i="98"/>
  <c r="J1130" i="100"/>
  <c r="K2016" i="98"/>
  <c r="J1149" i="100"/>
  <c r="K2033" i="98"/>
  <c r="J1166" i="100"/>
  <c r="K2052" i="98"/>
  <c r="J1178" i="100"/>
  <c r="K2071" i="98"/>
  <c r="J1191" i="100"/>
  <c r="K2088" i="98"/>
  <c r="J1207" i="100"/>
  <c r="K2081" i="98"/>
  <c r="J1200" i="100"/>
  <c r="K2115" i="98"/>
  <c r="J1229" i="100"/>
  <c r="J1227" i="100"/>
  <c r="K2122" i="98"/>
  <c r="J1232" i="100"/>
  <c r="J1231" i="100"/>
  <c r="F1046" i="23"/>
  <c r="J1244" i="100"/>
  <c r="J1243" i="100" s="1"/>
  <c r="J1242" i="100" s="1"/>
  <c r="J1241" i="100" s="1"/>
  <c r="J1240" i="100" s="1"/>
  <c r="K2325" i="98"/>
  <c r="J1427" i="100"/>
  <c r="K2338" i="98"/>
  <c r="J1440" i="100"/>
  <c r="K2332" i="98"/>
  <c r="J1434" i="100"/>
  <c r="F1114" i="23"/>
  <c r="J1381" i="100"/>
  <c r="J1380" i="100" s="1"/>
  <c r="J1379" i="100" s="1"/>
  <c r="J1378" i="100" s="1"/>
  <c r="J1377" i="100" s="1"/>
  <c r="K2389" i="98"/>
  <c r="J1484" i="100"/>
  <c r="F1162" i="23"/>
  <c r="K2420" i="98"/>
  <c r="J1515" i="100"/>
  <c r="F924" i="23"/>
  <c r="J1087" i="100"/>
  <c r="K1944" i="98"/>
  <c r="J1094" i="100"/>
  <c r="J1092" i="100"/>
  <c r="K1954" i="98"/>
  <c r="J1104" i="100"/>
  <c r="K1966" i="98"/>
  <c r="J1116" i="100"/>
  <c r="K1978" i="98"/>
  <c r="J1123" i="100"/>
  <c r="K1986" i="98"/>
  <c r="J1129" i="100"/>
  <c r="K1996" i="98"/>
  <c r="J1134" i="100"/>
  <c r="K2014" i="98"/>
  <c r="J1148" i="100"/>
  <c r="J1146" i="100"/>
  <c r="K2009" i="98"/>
  <c r="J1147" i="100"/>
  <c r="K2027" i="98"/>
  <c r="J1160" i="100"/>
  <c r="K2032" i="98"/>
  <c r="J1165" i="100"/>
  <c r="K2041" i="98"/>
  <c r="J1169" i="100"/>
  <c r="K2050" i="98"/>
  <c r="J1176" i="100"/>
  <c r="K2056" i="98"/>
  <c r="J1182" i="100"/>
  <c r="K2060" i="98"/>
  <c r="J1186" i="100"/>
  <c r="K2069" i="98"/>
  <c r="J1190" i="100"/>
  <c r="K2083" i="98"/>
  <c r="J1202" i="100"/>
  <c r="K2087" i="98"/>
  <c r="J1206" i="100"/>
  <c r="K2097" i="98"/>
  <c r="J1211" i="100"/>
  <c r="F1010" i="23"/>
  <c r="J1199" i="100"/>
  <c r="K2108" i="98"/>
  <c r="J1220" i="100"/>
  <c r="K2113" i="98"/>
  <c r="J1225" i="100"/>
  <c r="J1226" i="100"/>
  <c r="F1029" i="23"/>
  <c r="J1221" i="100"/>
  <c r="F1043" i="23"/>
  <c r="J1238" i="100"/>
  <c r="J1237" i="100" s="1"/>
  <c r="J1236" i="100" s="1"/>
  <c r="J1235" i="100" s="1"/>
  <c r="J1234" i="100" s="1"/>
  <c r="K2178" i="98"/>
  <c r="K2183" i="98" s="1"/>
  <c r="K2185" i="98" s="1"/>
  <c r="J1287" i="100"/>
  <c r="K2222" i="98"/>
  <c r="K2220" i="98" s="1"/>
  <c r="J1331" i="100"/>
  <c r="J1329" i="100" s="1"/>
  <c r="F1128" i="23"/>
  <c r="J1421" i="100"/>
  <c r="J1416" i="100" s="1"/>
  <c r="J1415" i="100" s="1"/>
  <c r="J1414" i="100" s="1"/>
  <c r="J1413" i="100" s="1"/>
  <c r="F1136" i="23"/>
  <c r="J1438" i="100"/>
  <c r="J1435" i="100"/>
  <c r="F1140" i="23"/>
  <c r="J1439" i="100"/>
  <c r="F1145" i="23"/>
  <c r="J1492" i="100"/>
  <c r="J1444" i="100"/>
  <c r="K2335" i="98"/>
  <c r="J1437" i="100"/>
  <c r="J1433" i="100"/>
  <c r="F1106" i="23"/>
  <c r="J1367" i="100"/>
  <c r="F1118" i="23"/>
  <c r="J1391" i="100"/>
  <c r="J1390" i="100" s="1"/>
  <c r="J1389" i="100" s="1"/>
  <c r="J1388" i="100" s="1"/>
  <c r="J1387" i="100" s="1"/>
  <c r="K2388" i="98"/>
  <c r="J1483" i="100"/>
  <c r="K2392" i="98"/>
  <c r="J1487" i="100"/>
  <c r="K2396" i="98"/>
  <c r="J1491" i="100"/>
  <c r="K2376" i="98"/>
  <c r="J1471" i="100"/>
  <c r="F1156" i="23"/>
  <c r="J1475" i="100"/>
  <c r="K2407" i="98"/>
  <c r="J1502" i="100"/>
  <c r="K2408" i="98"/>
  <c r="J1503" i="100"/>
  <c r="K2419" i="98"/>
  <c r="J1514" i="100"/>
  <c r="K2428" i="98"/>
  <c r="J1523" i="100"/>
  <c r="K2431" i="98"/>
  <c r="J1526" i="100"/>
  <c r="K2440" i="98"/>
  <c r="J1535" i="100"/>
  <c r="K2444" i="98"/>
  <c r="J1539" i="100"/>
  <c r="K2452" i="98"/>
  <c r="J1547" i="100"/>
  <c r="K2456" i="98"/>
  <c r="J1551" i="100"/>
  <c r="K2465" i="98"/>
  <c r="J1560" i="100"/>
  <c r="K2476" i="98"/>
  <c r="J1571" i="100"/>
  <c r="K2480" i="98"/>
  <c r="J1575" i="100"/>
  <c r="K2488" i="98"/>
  <c r="J1583" i="100"/>
  <c r="F1250" i="23"/>
  <c r="J1591" i="100"/>
  <c r="K2500" i="98"/>
  <c r="J1595" i="100"/>
  <c r="K2510" i="98"/>
  <c r="J1605" i="100"/>
  <c r="K2514" i="98"/>
  <c r="J1609" i="100"/>
  <c r="K2522" i="98"/>
  <c r="J1617" i="100"/>
  <c r="K2530" i="98"/>
  <c r="J1625" i="100"/>
  <c r="K2534" i="98"/>
  <c r="J1629" i="100"/>
  <c r="K2542" i="98"/>
  <c r="J1637" i="100"/>
  <c r="K2546" i="98"/>
  <c r="J1641" i="100"/>
  <c r="K2554" i="98"/>
  <c r="J1649" i="100"/>
  <c r="K2558" i="98"/>
  <c r="J1653" i="100"/>
  <c r="K2591" i="98"/>
  <c r="J1686" i="100"/>
  <c r="J2366" i="100"/>
  <c r="J2365" i="100" s="1"/>
  <c r="J2364" i="100" s="1"/>
  <c r="J2394" i="100"/>
  <c r="J2384" i="100"/>
  <c r="J1690" i="100"/>
  <c r="J1689" i="100" s="1"/>
  <c r="J1688" i="100" s="1"/>
  <c r="J1687" i="100" s="1"/>
  <c r="K2305" i="100"/>
  <c r="L2306" i="100"/>
  <c r="K2330" i="100"/>
  <c r="L2331" i="100"/>
  <c r="K2864" i="98"/>
  <c r="K2863" i="98" s="1"/>
  <c r="K2862" i="98" s="1"/>
  <c r="K2861" i="98" s="1"/>
  <c r="K2934" i="98"/>
  <c r="K2933" i="98" s="1"/>
  <c r="K2932" i="98" s="1"/>
  <c r="K2931" i="98" s="1"/>
  <c r="J1959" i="100"/>
  <c r="J1958" i="100" s="1"/>
  <c r="J1957" i="100" s="1"/>
  <c r="J1956" i="100" s="1"/>
  <c r="K1946" i="98"/>
  <c r="J1096" i="100"/>
  <c r="J1122" i="100"/>
  <c r="K2006" i="98"/>
  <c r="J1144" i="100"/>
  <c r="K2017" i="98"/>
  <c r="J1150" i="100"/>
  <c r="F972" i="23"/>
  <c r="J1155" i="100"/>
  <c r="J1156" i="100"/>
  <c r="J1260" i="100" s="1"/>
  <c r="K2023" i="98"/>
  <c r="K2151" i="98" s="1"/>
  <c r="K2030" i="98"/>
  <c r="J1162" i="100"/>
  <c r="J1163" i="100"/>
  <c r="K2045" i="98"/>
  <c r="J1171" i="100"/>
  <c r="K2053" i="98"/>
  <c r="J1179" i="100"/>
  <c r="K2058" i="98"/>
  <c r="J1184" i="100"/>
  <c r="J1189" i="100"/>
  <c r="J1187" i="100"/>
  <c r="K2073" i="98"/>
  <c r="J1192" i="100"/>
  <c r="K2085" i="98"/>
  <c r="J1204" i="100"/>
  <c r="K2090" i="98"/>
  <c r="J1209" i="100"/>
  <c r="K2101" i="98"/>
  <c r="J1213" i="100"/>
  <c r="F1020" i="23"/>
  <c r="J1210" i="100"/>
  <c r="J1208" i="100"/>
  <c r="F1031" i="23"/>
  <c r="J1223" i="100"/>
  <c r="K2118" i="98"/>
  <c r="J1230" i="100"/>
  <c r="F1027" i="23"/>
  <c r="J1219" i="100"/>
  <c r="F1049" i="23"/>
  <c r="J1250" i="100"/>
  <c r="J1249" i="100" s="1"/>
  <c r="J1248" i="100" s="1"/>
  <c r="J1247" i="100" s="1"/>
  <c r="J1246" i="100" s="1"/>
  <c r="K2215" i="98"/>
  <c r="J1324" i="100"/>
  <c r="K2324" i="98"/>
  <c r="J1426" i="100"/>
  <c r="K2339" i="98"/>
  <c r="J1441" i="100"/>
  <c r="K2350" i="98"/>
  <c r="J1446" i="100"/>
  <c r="K2251" i="98"/>
  <c r="J1360" i="100"/>
  <c r="K2259" i="98"/>
  <c r="J1368" i="100"/>
  <c r="K2274" i="98"/>
  <c r="K2273" i="98" s="1"/>
  <c r="K2272" i="98" s="1"/>
  <c r="K2271" i="98" s="1"/>
  <c r="K2270" i="98" s="1"/>
  <c r="J1376" i="100"/>
  <c r="J1375" i="100" s="1"/>
  <c r="J1374" i="100" s="1"/>
  <c r="J1373" i="100" s="1"/>
  <c r="J1372" i="100" s="1"/>
  <c r="F1159" i="23"/>
  <c r="J1481" i="100"/>
  <c r="F1163" i="23"/>
  <c r="J1485" i="100"/>
  <c r="K2394" i="98"/>
  <c r="J1489" i="100"/>
  <c r="K2398" i="98"/>
  <c r="J1493" i="100"/>
  <c r="K2378" i="98"/>
  <c r="J1473" i="100"/>
  <c r="K2405" i="98"/>
  <c r="J1500" i="100"/>
  <c r="K2410" i="98"/>
  <c r="J1505" i="100"/>
  <c r="K2417" i="98"/>
  <c r="J1512" i="100"/>
  <c r="K2421" i="98"/>
  <c r="J1516" i="100"/>
  <c r="K2430" i="98"/>
  <c r="J1525" i="100"/>
  <c r="K2434" i="98"/>
  <c r="J1529" i="100"/>
  <c r="K2442" i="98"/>
  <c r="J1537" i="100"/>
  <c r="K2446" i="98"/>
  <c r="J1541" i="100"/>
  <c r="K2454" i="98"/>
  <c r="J1549" i="100"/>
  <c r="K2458" i="98"/>
  <c r="J1553" i="100"/>
  <c r="K2468" i="98"/>
  <c r="J1563" i="100"/>
  <c r="K2474" i="98"/>
  <c r="J1569" i="100"/>
  <c r="K2478" i="98"/>
  <c r="J1573" i="100"/>
  <c r="K2486" i="98"/>
  <c r="J1581" i="100"/>
  <c r="K2490" i="98"/>
  <c r="J1585" i="100"/>
  <c r="F1253" i="23"/>
  <c r="J1593" i="100"/>
  <c r="K2502" i="98"/>
  <c r="J1597" i="100"/>
  <c r="K2508" i="98"/>
  <c r="J1603" i="100"/>
  <c r="K2512" i="98"/>
  <c r="J1607" i="100"/>
  <c r="K2520" i="98"/>
  <c r="J1615" i="100"/>
  <c r="K2524" i="98"/>
  <c r="J1619" i="100"/>
  <c r="K2532" i="98"/>
  <c r="J1627" i="100"/>
  <c r="K2536" i="98"/>
  <c r="J1631" i="100"/>
  <c r="K2544" i="98"/>
  <c r="J1639" i="100"/>
  <c r="K2552" i="98"/>
  <c r="J1647" i="100"/>
  <c r="K2556" i="98"/>
  <c r="J1651" i="100"/>
  <c r="K2589" i="98"/>
  <c r="J1684" i="100"/>
  <c r="K2846" i="98"/>
  <c r="K2845" i="98" s="1"/>
  <c r="K2844" i="98" s="1"/>
  <c r="K2843" i="98" s="1"/>
  <c r="J1870" i="100"/>
  <c r="J1869" i="100" s="1"/>
  <c r="J1868" i="100" s="1"/>
  <c r="J1867" i="100" s="1"/>
  <c r="J1791" i="100"/>
  <c r="J2873" i="100"/>
  <c r="F1466" i="23"/>
  <c r="J1982" i="100"/>
  <c r="K2887" i="98"/>
  <c r="J2925" i="100"/>
  <c r="J2926" i="100" s="1"/>
  <c r="J2914" i="100"/>
  <c r="J2913" i="100" s="1"/>
  <c r="J2912" i="100" s="1"/>
  <c r="J2923" i="100"/>
  <c r="K2956" i="98"/>
  <c r="K2855" i="98"/>
  <c r="K2854" i="98" s="1"/>
  <c r="K2853" i="98" s="1"/>
  <c r="K2852" i="98" s="1"/>
  <c r="J1709" i="100"/>
  <c r="J1708" i="100" s="1"/>
  <c r="J1707" i="100" s="1"/>
  <c r="J1706" i="100" s="1"/>
  <c r="J1988" i="100"/>
  <c r="J1987" i="100" s="1"/>
  <c r="J1986" i="100" s="1"/>
  <c r="J1985" i="100" s="1"/>
  <c r="K2837" i="98"/>
  <c r="K2836" i="98" s="1"/>
  <c r="K2835" i="98" s="1"/>
  <c r="K2834" i="98" s="1"/>
  <c r="J2784" i="100"/>
  <c r="J2783" i="100" s="1"/>
  <c r="J2782" i="100" s="1"/>
  <c r="J2877" i="100"/>
  <c r="J1890" i="100"/>
  <c r="J1921" i="100" s="1"/>
  <c r="F1401" i="23"/>
  <c r="M2182" i="98"/>
  <c r="M2183" i="98"/>
  <c r="M2185" i="98"/>
  <c r="M2184" i="98"/>
  <c r="K2487" i="98"/>
  <c r="K2499" i="98"/>
  <c r="F1035" i="23"/>
  <c r="I1035" i="23"/>
  <c r="F1026" i="23"/>
  <c r="K2503" i="98"/>
  <c r="K2793" i="98"/>
  <c r="K2792" i="98" s="1"/>
  <c r="K2791" i="98" s="1"/>
  <c r="K2790" i="98" s="1"/>
  <c r="F1120" i="23"/>
  <c r="K2498" i="98"/>
  <c r="K1976" i="98"/>
  <c r="F1134" i="23"/>
  <c r="K2386" i="98"/>
  <c r="K2614" i="98"/>
  <c r="K2613" i="98" s="1"/>
  <c r="K2612" i="98" s="1"/>
  <c r="K2611" i="98" s="1"/>
  <c r="K2699" i="98"/>
  <c r="K2698" i="98" s="1"/>
  <c r="K2697" i="98" s="1"/>
  <c r="K2696" i="98" s="1"/>
  <c r="K2095" i="98"/>
  <c r="K2380" i="98"/>
  <c r="K2404" i="98"/>
  <c r="K2397" i="98"/>
  <c r="K2390" i="98"/>
  <c r="K2395" i="98"/>
  <c r="K2496" i="98"/>
  <c r="K2595" i="98"/>
  <c r="K2594" i="98" s="1"/>
  <c r="K2593" i="98" s="1"/>
  <c r="K2592" i="98" s="1"/>
  <c r="K2039" i="98"/>
  <c r="K2067" i="98"/>
  <c r="F951" i="23"/>
  <c r="K2022" i="98"/>
  <c r="K2078" i="98"/>
  <c r="K2089" i="98"/>
  <c r="K2107" i="98"/>
  <c r="K2109" i="98"/>
  <c r="K2111" i="98"/>
  <c r="K2120" i="98"/>
  <c r="K2129" i="98"/>
  <c r="K2128" i="98" s="1"/>
  <c r="K2127" i="98" s="1"/>
  <c r="K2126" i="98" s="1"/>
  <c r="K2125" i="98" s="1"/>
  <c r="K2135" i="98"/>
  <c r="K2134" i="98" s="1"/>
  <c r="K2133" i="98" s="1"/>
  <c r="K2132" i="98" s="1"/>
  <c r="K2131" i="98" s="1"/>
  <c r="K2141" i="98"/>
  <c r="K2140" i="98" s="1"/>
  <c r="K2139" i="98" s="1"/>
  <c r="K2138" i="98" s="1"/>
  <c r="K2137" i="98" s="1"/>
  <c r="K2254" i="98"/>
  <c r="K2258" i="98"/>
  <c r="K2279" i="98"/>
  <c r="K2278" i="98" s="1"/>
  <c r="K2277" i="98" s="1"/>
  <c r="K2276" i="98" s="1"/>
  <c r="K2275" i="98" s="1"/>
  <c r="K2289" i="98"/>
  <c r="K2288" i="98" s="1"/>
  <c r="K2287" i="98" s="1"/>
  <c r="K2286" i="98" s="1"/>
  <c r="K2285" i="98" s="1"/>
  <c r="K2319" i="98"/>
  <c r="K2314" i="98" s="1"/>
  <c r="K2313" i="98" s="1"/>
  <c r="K2312" i="98" s="1"/>
  <c r="K2311" i="98" s="1"/>
  <c r="K2331" i="98"/>
  <c r="K2333" i="98"/>
  <c r="K2337" i="98"/>
  <c r="K1961" i="98"/>
  <c r="K2024" i="98"/>
  <c r="K2080" i="98"/>
  <c r="K2116" i="98"/>
  <c r="F1112" i="23"/>
  <c r="K2336" i="98"/>
  <c r="K2340" i="98"/>
  <c r="K2346" i="98"/>
  <c r="K1934" i="98"/>
  <c r="K1938" i="98"/>
  <c r="K1950" i="98"/>
  <c r="K1967" i="98"/>
  <c r="K1969" i="98"/>
  <c r="K1971" i="98"/>
  <c r="K2029" i="98"/>
  <c r="K2061" i="98"/>
  <c r="K2117" i="98"/>
  <c r="K2114" i="98"/>
  <c r="K1937" i="98"/>
  <c r="K1942" i="98"/>
  <c r="K1970" i="98"/>
  <c r="K1980" i="98"/>
  <c r="K2008" i="98"/>
  <c r="K2165" i="98"/>
  <c r="K2164" i="98" s="1"/>
  <c r="K2163" i="98" s="1"/>
  <c r="K2162" i="98" s="1"/>
  <c r="K2194" i="98"/>
  <c r="K2193" i="98" s="1"/>
  <c r="K2192" i="98" s="1"/>
  <c r="K2191" i="98" s="1"/>
  <c r="F1034" i="23"/>
  <c r="F939" i="23"/>
  <c r="F988" i="23"/>
  <c r="F992" i="23"/>
  <c r="F984" i="23"/>
  <c r="F944" i="23"/>
  <c r="F945" i="23"/>
  <c r="D825" i="23"/>
  <c r="E825" i="23" s="1"/>
  <c r="K1887" i="98"/>
  <c r="E915" i="23"/>
  <c r="E914" i="23"/>
  <c r="E913" i="23"/>
  <c r="D911" i="23"/>
  <c r="E911" i="23" s="1"/>
  <c r="F911" i="23" s="1"/>
  <c r="E912" i="23"/>
  <c r="D909" i="23"/>
  <c r="E909" i="23" s="1"/>
  <c r="E910" i="23"/>
  <c r="E908" i="23"/>
  <c r="E907" i="23"/>
  <c r="E906" i="23"/>
  <c r="E905" i="23"/>
  <c r="E904" i="23"/>
  <c r="E903" i="23"/>
  <c r="F903" i="23" s="1"/>
  <c r="E884" i="23"/>
  <c r="E902" i="23"/>
  <c r="E900" i="23"/>
  <c r="E894" i="23"/>
  <c r="E893" i="23"/>
  <c r="D891" i="23"/>
  <c r="E891" i="23" s="1"/>
  <c r="E892" i="23"/>
  <c r="F892" i="23" s="1"/>
  <c r="E887" i="23"/>
  <c r="E881" i="23"/>
  <c r="E883" i="23"/>
  <c r="E898" i="23"/>
  <c r="E897" i="23"/>
  <c r="E896" i="23"/>
  <c r="E895" i="23"/>
  <c r="E890" i="23"/>
  <c r="J1042" i="100" s="1"/>
  <c r="E889" i="23"/>
  <c r="E888" i="23"/>
  <c r="E886" i="23"/>
  <c r="E885" i="23"/>
  <c r="E879" i="23"/>
  <c r="E878" i="23"/>
  <c r="E877" i="23"/>
  <c r="E876" i="23"/>
  <c r="E861" i="23"/>
  <c r="E860" i="23"/>
  <c r="E859" i="23"/>
  <c r="E858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1" i="23"/>
  <c r="E856" i="23"/>
  <c r="E836" i="23"/>
  <c r="D833" i="23"/>
  <c r="E833" i="23" s="1"/>
  <c r="E839" i="23"/>
  <c r="E838" i="23"/>
  <c r="E837" i="23"/>
  <c r="E835" i="23"/>
  <c r="E834" i="23"/>
  <c r="F834" i="23" s="1"/>
  <c r="E832" i="23"/>
  <c r="E831" i="23"/>
  <c r="E830" i="23"/>
  <c r="E829" i="23"/>
  <c r="E828" i="23"/>
  <c r="E826" i="23"/>
  <c r="E823" i="23"/>
  <c r="E821" i="23"/>
  <c r="E820" i="23"/>
  <c r="E819" i="23"/>
  <c r="E818" i="23"/>
  <c r="E816" i="23"/>
  <c r="E815" i="23"/>
  <c r="E814" i="23"/>
  <c r="E813" i="23"/>
  <c r="E811" i="23"/>
  <c r="E810" i="23"/>
  <c r="E809" i="23"/>
  <c r="E808" i="23"/>
  <c r="E802" i="23"/>
  <c r="E801" i="23"/>
  <c r="E800" i="23"/>
  <c r="E799" i="23"/>
  <c r="E792" i="23"/>
  <c r="F768" i="23"/>
  <c r="K1639" i="98"/>
  <c r="K1637" i="98"/>
  <c r="K1635" i="98"/>
  <c r="K1634" i="98"/>
  <c r="K1633" i="98"/>
  <c r="E786" i="23"/>
  <c r="E785" i="23"/>
  <c r="E784" i="23"/>
  <c r="E783" i="23"/>
  <c r="E782" i="23"/>
  <c r="E781" i="23"/>
  <c r="E780" i="23"/>
  <c r="E779" i="23"/>
  <c r="F779" i="23" s="1"/>
  <c r="E778" i="23"/>
  <c r="E777" i="23"/>
  <c r="E776" i="23"/>
  <c r="E775" i="23"/>
  <c r="E774" i="23"/>
  <c r="E773" i="23"/>
  <c r="E772" i="23"/>
  <c r="E771" i="23"/>
  <c r="E770" i="23"/>
  <c r="E769" i="23"/>
  <c r="E767" i="23"/>
  <c r="E766" i="23"/>
  <c r="E765" i="23"/>
  <c r="E764" i="23"/>
  <c r="E744" i="23"/>
  <c r="E758" i="23"/>
  <c r="E751" i="23"/>
  <c r="F751" i="23" s="1"/>
  <c r="E743" i="23"/>
  <c r="K1517" i="98"/>
  <c r="E757" i="23"/>
  <c r="E756" i="23"/>
  <c r="E755" i="23"/>
  <c r="E754" i="23"/>
  <c r="E753" i="23"/>
  <c r="E752" i="23"/>
  <c r="E750" i="23"/>
  <c r="E749" i="23"/>
  <c r="E748" i="23"/>
  <c r="E747" i="23"/>
  <c r="E746" i="23"/>
  <c r="E745" i="23"/>
  <c r="E739" i="23"/>
  <c r="E738" i="23"/>
  <c r="E737" i="23"/>
  <c r="E736" i="23"/>
  <c r="D728" i="23"/>
  <c r="D718" i="23"/>
  <c r="E718" i="23" s="1"/>
  <c r="D596" i="23"/>
  <c r="E717" i="23"/>
  <c r="E716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K1366" i="98"/>
  <c r="E597" i="23"/>
  <c r="F597" i="23" s="1"/>
  <c r="D594" i="23"/>
  <c r="L886" i="97"/>
  <c r="K886" i="97"/>
  <c r="J886" i="97"/>
  <c r="L884" i="97"/>
  <c r="K884" i="97"/>
  <c r="J884" i="97"/>
  <c r="L883" i="97"/>
  <c r="K883" i="97"/>
  <c r="J883" i="97"/>
  <c r="L881" i="97"/>
  <c r="K881" i="97"/>
  <c r="J881" i="97"/>
  <c r="L880" i="97"/>
  <c r="K880" i="97"/>
  <c r="J880" i="97"/>
  <c r="L879" i="97"/>
  <c r="K879" i="97"/>
  <c r="J879" i="97"/>
  <c r="L878" i="97"/>
  <c r="K878" i="97"/>
  <c r="J878" i="97"/>
  <c r="L877" i="97"/>
  <c r="K877" i="97"/>
  <c r="J877" i="97"/>
  <c r="L875" i="97"/>
  <c r="K875" i="97"/>
  <c r="J875" i="97"/>
  <c r="L874" i="97"/>
  <c r="K874" i="97"/>
  <c r="J874" i="97"/>
  <c r="L873" i="97"/>
  <c r="K873" i="97"/>
  <c r="J873" i="97"/>
  <c r="L872" i="97"/>
  <c r="K872" i="97"/>
  <c r="J872" i="97"/>
  <c r="L864" i="97"/>
  <c r="K864" i="97"/>
  <c r="J864" i="97"/>
  <c r="L862" i="97"/>
  <c r="K862" i="97"/>
  <c r="J862" i="97"/>
  <c r="L860" i="97"/>
  <c r="K860" i="97"/>
  <c r="J860" i="97"/>
  <c r="L858" i="97"/>
  <c r="K858" i="97"/>
  <c r="J858" i="97"/>
  <c r="L856" i="97"/>
  <c r="K856" i="97"/>
  <c r="J856" i="97"/>
  <c r="L854" i="97"/>
  <c r="K854" i="97"/>
  <c r="J854" i="97"/>
  <c r="L852" i="97"/>
  <c r="K852" i="97"/>
  <c r="J852" i="97"/>
  <c r="L850" i="97"/>
  <c r="K850" i="97"/>
  <c r="J850" i="97"/>
  <c r="L848" i="97"/>
  <c r="K848" i="97"/>
  <c r="J848" i="97"/>
  <c r="L846" i="97"/>
  <c r="K846" i="97"/>
  <c r="J846" i="97"/>
  <c r="L844" i="97"/>
  <c r="K844" i="97"/>
  <c r="J844" i="97"/>
  <c r="L842" i="97"/>
  <c r="K842" i="97"/>
  <c r="J842" i="97"/>
  <c r="L840" i="97"/>
  <c r="K840" i="97"/>
  <c r="J840" i="97"/>
  <c r="L838" i="97"/>
  <c r="K838" i="97"/>
  <c r="J838" i="97"/>
  <c r="L836" i="97"/>
  <c r="K836" i="97"/>
  <c r="J836" i="97"/>
  <c r="L834" i="97"/>
  <c r="K834" i="97"/>
  <c r="J834" i="97"/>
  <c r="L832" i="97"/>
  <c r="K832" i="97"/>
  <c r="J832" i="97"/>
  <c r="L830" i="97"/>
  <c r="K830" i="97"/>
  <c r="J830" i="97"/>
  <c r="L828" i="97"/>
  <c r="K828" i="97"/>
  <c r="J828" i="97"/>
  <c r="L826" i="97"/>
  <c r="K826" i="97"/>
  <c r="J826" i="97"/>
  <c r="L824" i="97"/>
  <c r="K824" i="97"/>
  <c r="J824" i="97"/>
  <c r="L822" i="97"/>
  <c r="K822" i="97"/>
  <c r="J822" i="97"/>
  <c r="L820" i="97"/>
  <c r="K820" i="97"/>
  <c r="J820" i="97"/>
  <c r="L818" i="97"/>
  <c r="K818" i="97"/>
  <c r="J818" i="97"/>
  <c r="L816" i="97"/>
  <c r="K816" i="97"/>
  <c r="J816" i="97"/>
  <c r="L814" i="97"/>
  <c r="K814" i="97"/>
  <c r="J814" i="97"/>
  <c r="L812" i="97"/>
  <c r="K812" i="97"/>
  <c r="J812" i="97"/>
  <c r="L810" i="97"/>
  <c r="K810" i="97"/>
  <c r="J810" i="97"/>
  <c r="L808" i="97"/>
  <c r="K808" i="97"/>
  <c r="J808" i="97"/>
  <c r="L806" i="97"/>
  <c r="K806" i="97"/>
  <c r="J806" i="97"/>
  <c r="L804" i="97"/>
  <c r="K804" i="97"/>
  <c r="J804" i="97"/>
  <c r="L802" i="97"/>
  <c r="K802" i="97"/>
  <c r="J802" i="97"/>
  <c r="L800" i="97"/>
  <c r="K800" i="97"/>
  <c r="J800" i="97"/>
  <c r="L798" i="97"/>
  <c r="K798" i="97"/>
  <c r="J798" i="97"/>
  <c r="L796" i="97"/>
  <c r="K796" i="97"/>
  <c r="J796" i="97"/>
  <c r="L794" i="97"/>
  <c r="K794" i="97"/>
  <c r="J794" i="97"/>
  <c r="L792" i="97"/>
  <c r="K792" i="97"/>
  <c r="J792" i="97"/>
  <c r="L790" i="97"/>
  <c r="K790" i="97"/>
  <c r="J790" i="97"/>
  <c r="L788" i="97"/>
  <c r="K788" i="97"/>
  <c r="J788" i="97"/>
  <c r="L786" i="97"/>
  <c r="K786" i="97"/>
  <c r="J786" i="97"/>
  <c r="L784" i="97"/>
  <c r="K784" i="97"/>
  <c r="J784" i="97"/>
  <c r="L781" i="97"/>
  <c r="K781" i="97"/>
  <c r="J781" i="97"/>
  <c r="L779" i="97"/>
  <c r="K779" i="97"/>
  <c r="J779" i="97"/>
  <c r="L777" i="97"/>
  <c r="K777" i="97"/>
  <c r="J777" i="97"/>
  <c r="L775" i="97"/>
  <c r="K775" i="97"/>
  <c r="J775" i="97"/>
  <c r="L773" i="97"/>
  <c r="K773" i="97"/>
  <c r="J773" i="97"/>
  <c r="L771" i="97"/>
  <c r="K771" i="97"/>
  <c r="J771" i="97"/>
  <c r="L769" i="97"/>
  <c r="K769" i="97"/>
  <c r="J769" i="97"/>
  <c r="L767" i="97"/>
  <c r="K767" i="97"/>
  <c r="J767" i="97"/>
  <c r="L765" i="97"/>
  <c r="K765" i="97"/>
  <c r="J765" i="97"/>
  <c r="L763" i="97"/>
  <c r="K763" i="97"/>
  <c r="J763" i="97"/>
  <c r="L761" i="97"/>
  <c r="K761" i="97"/>
  <c r="J761" i="97"/>
  <c r="L759" i="97"/>
  <c r="K759" i="97"/>
  <c r="J759" i="97"/>
  <c r="L757" i="97"/>
  <c r="K757" i="97"/>
  <c r="J757" i="97"/>
  <c r="L755" i="97"/>
  <c r="K755" i="97"/>
  <c r="J755" i="97"/>
  <c r="L753" i="97"/>
  <c r="K753" i="97"/>
  <c r="J753" i="97"/>
  <c r="L751" i="97"/>
  <c r="K751" i="97"/>
  <c r="J751" i="97"/>
  <c r="L749" i="97"/>
  <c r="K749" i="97"/>
  <c r="J749" i="97"/>
  <c r="L747" i="97"/>
  <c r="K747" i="97"/>
  <c r="J747" i="97"/>
  <c r="L745" i="97"/>
  <c r="K745" i="97"/>
  <c r="J745" i="97"/>
  <c r="L743" i="97"/>
  <c r="K743" i="97"/>
  <c r="J743" i="97"/>
  <c r="L741" i="97"/>
  <c r="K741" i="97"/>
  <c r="J741" i="97"/>
  <c r="L739" i="97"/>
  <c r="K739" i="97"/>
  <c r="J739" i="97"/>
  <c r="L737" i="97"/>
  <c r="K737" i="97"/>
  <c r="J737" i="97"/>
  <c r="L735" i="97"/>
  <c r="K735" i="97"/>
  <c r="J735" i="97"/>
  <c r="L733" i="97"/>
  <c r="K733" i="97"/>
  <c r="J733" i="97"/>
  <c r="L731" i="97"/>
  <c r="K731" i="97"/>
  <c r="J731" i="97"/>
  <c r="L729" i="97"/>
  <c r="K729" i="97"/>
  <c r="J729" i="97"/>
  <c r="L727" i="97"/>
  <c r="K727" i="97"/>
  <c r="J727" i="97"/>
  <c r="L725" i="97"/>
  <c r="K725" i="97"/>
  <c r="J725" i="97"/>
  <c r="L723" i="97"/>
  <c r="K723" i="97"/>
  <c r="J723" i="97"/>
  <c r="L721" i="97"/>
  <c r="K721" i="97"/>
  <c r="J721" i="97"/>
  <c r="L719" i="97"/>
  <c r="K719" i="97"/>
  <c r="J719" i="97"/>
  <c r="L717" i="97"/>
  <c r="K717" i="97"/>
  <c r="J717" i="97"/>
  <c r="L715" i="97"/>
  <c r="K715" i="97"/>
  <c r="J715" i="97"/>
  <c r="L713" i="97"/>
  <c r="K713" i="97"/>
  <c r="J713" i="97"/>
  <c r="L711" i="97"/>
  <c r="K711" i="97"/>
  <c r="J711" i="97"/>
  <c r="L709" i="97"/>
  <c r="K709" i="97"/>
  <c r="J709" i="97"/>
  <c r="L707" i="97"/>
  <c r="K707" i="97"/>
  <c r="J707" i="97"/>
  <c r="L705" i="97"/>
  <c r="K705" i="97"/>
  <c r="J705" i="97"/>
  <c r="L703" i="97"/>
  <c r="K703" i="97"/>
  <c r="J703" i="97"/>
  <c r="L701" i="97"/>
  <c r="K701" i="97"/>
  <c r="J701" i="97"/>
  <c r="L699" i="97"/>
  <c r="K699" i="97"/>
  <c r="J699" i="97"/>
  <c r="L697" i="97"/>
  <c r="K697" i="97"/>
  <c r="J697" i="97"/>
  <c r="L695" i="97"/>
  <c r="K695" i="97"/>
  <c r="J695" i="97"/>
  <c r="L693" i="97"/>
  <c r="K693" i="97"/>
  <c r="J693" i="97"/>
  <c r="L691" i="97"/>
  <c r="K691" i="97"/>
  <c r="J691" i="97"/>
  <c r="L689" i="97"/>
  <c r="K689" i="97"/>
  <c r="J689" i="97"/>
  <c r="L687" i="97"/>
  <c r="K687" i="97"/>
  <c r="J687" i="97"/>
  <c r="L685" i="97"/>
  <c r="K685" i="97"/>
  <c r="J685" i="97"/>
  <c r="L683" i="97"/>
  <c r="K683" i="97"/>
  <c r="J683" i="97"/>
  <c r="L681" i="97"/>
  <c r="K681" i="97"/>
  <c r="J681" i="97"/>
  <c r="L679" i="97"/>
  <c r="K679" i="97"/>
  <c r="J679" i="97"/>
  <c r="L677" i="97"/>
  <c r="K677" i="97"/>
  <c r="J677" i="97"/>
  <c r="L675" i="97"/>
  <c r="K675" i="97"/>
  <c r="J675" i="97"/>
  <c r="L673" i="97"/>
  <c r="K673" i="97"/>
  <c r="J673" i="97"/>
  <c r="L671" i="97"/>
  <c r="K671" i="97"/>
  <c r="J671" i="97"/>
  <c r="L669" i="97"/>
  <c r="K669" i="97"/>
  <c r="J669" i="97"/>
  <c r="L667" i="97"/>
  <c r="K667" i="97"/>
  <c r="J667" i="97"/>
  <c r="L665" i="97"/>
  <c r="K665" i="97"/>
  <c r="J665" i="97"/>
  <c r="L663" i="97"/>
  <c r="K663" i="97"/>
  <c r="J663" i="97"/>
  <c r="L661" i="97"/>
  <c r="K661" i="97"/>
  <c r="J661" i="97"/>
  <c r="L659" i="97"/>
  <c r="K659" i="97"/>
  <c r="J659" i="97"/>
  <c r="L657" i="97"/>
  <c r="K657" i="97"/>
  <c r="J657" i="97"/>
  <c r="L655" i="97"/>
  <c r="K655" i="97"/>
  <c r="J655" i="97"/>
  <c r="L653" i="97"/>
  <c r="K653" i="97"/>
  <c r="J653" i="97"/>
  <c r="L651" i="97"/>
  <c r="K651" i="97"/>
  <c r="J651" i="97"/>
  <c r="L649" i="97"/>
  <c r="K649" i="97"/>
  <c r="J649" i="97"/>
  <c r="L647" i="97"/>
  <c r="K647" i="97"/>
  <c r="J647" i="97"/>
  <c r="L645" i="97"/>
  <c r="K645" i="97"/>
  <c r="J645" i="97"/>
  <c r="L643" i="97"/>
  <c r="K643" i="97"/>
  <c r="J643" i="97"/>
  <c r="L641" i="97"/>
  <c r="K641" i="97"/>
  <c r="J641" i="97"/>
  <c r="L639" i="97"/>
  <c r="K639" i="97"/>
  <c r="J639" i="97"/>
  <c r="L637" i="97"/>
  <c r="K637" i="97"/>
  <c r="J637" i="97"/>
  <c r="L635" i="97"/>
  <c r="K635" i="97"/>
  <c r="J635" i="97"/>
  <c r="L633" i="97"/>
  <c r="K633" i="97"/>
  <c r="J633" i="97"/>
  <c r="L631" i="97"/>
  <c r="K631" i="97"/>
  <c r="J631" i="97"/>
  <c r="L629" i="97"/>
  <c r="K629" i="97"/>
  <c r="J629" i="97"/>
  <c r="L627" i="97"/>
  <c r="K627" i="97"/>
  <c r="J627" i="97"/>
  <c r="L625" i="97"/>
  <c r="K625" i="97"/>
  <c r="J625" i="97"/>
  <c r="L623" i="97"/>
  <c r="K623" i="97"/>
  <c r="J623" i="97"/>
  <c r="L621" i="97"/>
  <c r="K621" i="97"/>
  <c r="J621" i="97"/>
  <c r="L619" i="97"/>
  <c r="K619" i="97"/>
  <c r="J619" i="97"/>
  <c r="L617" i="97"/>
  <c r="K617" i="97"/>
  <c r="J617" i="97"/>
  <c r="L615" i="97"/>
  <c r="K615" i="97"/>
  <c r="J615" i="97"/>
  <c r="L613" i="97"/>
  <c r="K613" i="97"/>
  <c r="J613" i="97"/>
  <c r="L611" i="97"/>
  <c r="K611" i="97"/>
  <c r="J611" i="97"/>
  <c r="L609" i="97"/>
  <c r="K609" i="97"/>
  <c r="J609" i="97"/>
  <c r="L607" i="97"/>
  <c r="K607" i="97"/>
  <c r="J607" i="97"/>
  <c r="L605" i="97"/>
  <c r="K605" i="97"/>
  <c r="J605" i="97"/>
  <c r="L603" i="97"/>
  <c r="K603" i="97"/>
  <c r="J603" i="97"/>
  <c r="L601" i="97"/>
  <c r="K601" i="97"/>
  <c r="J601" i="97"/>
  <c r="L599" i="97"/>
  <c r="K599" i="97"/>
  <c r="J599" i="97"/>
  <c r="L597" i="97"/>
  <c r="K597" i="97"/>
  <c r="J597" i="97"/>
  <c r="L595" i="97"/>
  <c r="K595" i="97"/>
  <c r="J595" i="97"/>
  <c r="L593" i="97"/>
  <c r="K593" i="97"/>
  <c r="J593" i="97"/>
  <c r="L591" i="97"/>
  <c r="K591" i="97"/>
  <c r="J591" i="97"/>
  <c r="L589" i="97"/>
  <c r="K589" i="97"/>
  <c r="J589" i="97"/>
  <c r="L587" i="97"/>
  <c r="K587" i="97"/>
  <c r="J587" i="97"/>
  <c r="L585" i="97"/>
  <c r="K585" i="97"/>
  <c r="J585" i="97"/>
  <c r="L583" i="97"/>
  <c r="K583" i="97"/>
  <c r="J583" i="97"/>
  <c r="L581" i="97"/>
  <c r="K581" i="97"/>
  <c r="J581" i="97"/>
  <c r="L579" i="97"/>
  <c r="K579" i="97"/>
  <c r="J579" i="97"/>
  <c r="L577" i="97"/>
  <c r="K577" i="97"/>
  <c r="J577" i="97"/>
  <c r="L575" i="97"/>
  <c r="K575" i="97"/>
  <c r="J575" i="97"/>
  <c r="L573" i="97"/>
  <c r="K573" i="97"/>
  <c r="J573" i="97"/>
  <c r="L571" i="97"/>
  <c r="K571" i="97"/>
  <c r="J571" i="97"/>
  <c r="L569" i="97"/>
  <c r="K569" i="97"/>
  <c r="J569" i="97"/>
  <c r="L567" i="97"/>
  <c r="K567" i="97"/>
  <c r="J567" i="97"/>
  <c r="L565" i="97"/>
  <c r="K565" i="97"/>
  <c r="J565" i="97"/>
  <c r="L563" i="97"/>
  <c r="K563" i="97"/>
  <c r="J563" i="97"/>
  <c r="L561" i="97"/>
  <c r="K561" i="97"/>
  <c r="J561" i="97"/>
  <c r="L559" i="97"/>
  <c r="K559" i="97"/>
  <c r="J559" i="97"/>
  <c r="L557" i="97"/>
  <c r="K557" i="97"/>
  <c r="J557" i="97"/>
  <c r="L555" i="97"/>
  <c r="K555" i="97"/>
  <c r="J555" i="97"/>
  <c r="L553" i="97"/>
  <c r="K553" i="97"/>
  <c r="J553" i="97"/>
  <c r="L551" i="97"/>
  <c r="K551" i="97"/>
  <c r="J551" i="97"/>
  <c r="L549" i="97"/>
  <c r="K549" i="97"/>
  <c r="J549" i="97"/>
  <c r="L547" i="97"/>
  <c r="K547" i="97"/>
  <c r="J547" i="97"/>
  <c r="L545" i="97"/>
  <c r="K545" i="97"/>
  <c r="J545" i="97"/>
  <c r="L543" i="97"/>
  <c r="K543" i="97"/>
  <c r="J543" i="97"/>
  <c r="L541" i="97"/>
  <c r="K541" i="97"/>
  <c r="J541" i="97"/>
  <c r="L539" i="97"/>
  <c r="K539" i="97"/>
  <c r="J539" i="97"/>
  <c r="L537" i="97"/>
  <c r="K537" i="97"/>
  <c r="J537" i="97"/>
  <c r="L535" i="97"/>
  <c r="K535" i="97"/>
  <c r="J535" i="97"/>
  <c r="L533" i="97"/>
  <c r="K533" i="97"/>
  <c r="J533" i="97"/>
  <c r="L531" i="97"/>
  <c r="K531" i="97"/>
  <c r="J531" i="97"/>
  <c r="L529" i="97"/>
  <c r="K529" i="97"/>
  <c r="J529" i="97"/>
  <c r="L527" i="97"/>
  <c r="K527" i="97"/>
  <c r="J527" i="97"/>
  <c r="L525" i="97"/>
  <c r="K525" i="97"/>
  <c r="J525" i="97"/>
  <c r="L523" i="97"/>
  <c r="K523" i="97"/>
  <c r="J523" i="97"/>
  <c r="L521" i="97"/>
  <c r="K521" i="97"/>
  <c r="J521" i="97"/>
  <c r="L519" i="97"/>
  <c r="K519" i="97"/>
  <c r="J519" i="97"/>
  <c r="L517" i="97"/>
  <c r="K517" i="97"/>
  <c r="J517" i="97"/>
  <c r="L515" i="97"/>
  <c r="K515" i="97"/>
  <c r="J515" i="97"/>
  <c r="L513" i="97"/>
  <c r="K513" i="97"/>
  <c r="J513" i="97"/>
  <c r="L511" i="97"/>
  <c r="K511" i="97"/>
  <c r="J511" i="97"/>
  <c r="L509" i="97"/>
  <c r="K509" i="97"/>
  <c r="J509" i="97"/>
  <c r="L507" i="97"/>
  <c r="K507" i="97"/>
  <c r="J507" i="97"/>
  <c r="L505" i="97"/>
  <c r="K505" i="97"/>
  <c r="J505" i="97"/>
  <c r="L503" i="97"/>
  <c r="K503" i="97"/>
  <c r="J503" i="97"/>
  <c r="L501" i="97"/>
  <c r="K501" i="97"/>
  <c r="J501" i="97"/>
  <c r="L499" i="97"/>
  <c r="K499" i="97"/>
  <c r="J499" i="97"/>
  <c r="L497" i="97"/>
  <c r="K497" i="97"/>
  <c r="J497" i="97"/>
  <c r="L495" i="97"/>
  <c r="K495" i="97"/>
  <c r="J495" i="97"/>
  <c r="L493" i="97"/>
  <c r="K493" i="97"/>
  <c r="J493" i="97"/>
  <c r="L491" i="97"/>
  <c r="K491" i="97"/>
  <c r="J491" i="97"/>
  <c r="L489" i="97"/>
  <c r="K489" i="97"/>
  <c r="J489" i="97"/>
  <c r="L487" i="97"/>
  <c r="K487" i="97"/>
  <c r="J487" i="97"/>
  <c r="L485" i="97"/>
  <c r="K485" i="97"/>
  <c r="J485" i="97"/>
  <c r="L483" i="97"/>
  <c r="K483" i="97"/>
  <c r="J483" i="97"/>
  <c r="L481" i="97"/>
  <c r="K481" i="97"/>
  <c r="J481" i="97"/>
  <c r="L479" i="97"/>
  <c r="K479" i="97"/>
  <c r="J479" i="97"/>
  <c r="L477" i="97"/>
  <c r="K477" i="97"/>
  <c r="J477" i="97"/>
  <c r="L475" i="97"/>
  <c r="K475" i="97"/>
  <c r="J475" i="97"/>
  <c r="L473" i="97"/>
  <c r="K473" i="97"/>
  <c r="J473" i="97"/>
  <c r="L471" i="97"/>
  <c r="K471" i="97"/>
  <c r="J471" i="97"/>
  <c r="L469" i="97"/>
  <c r="K469" i="97"/>
  <c r="J469" i="97"/>
  <c r="L467" i="97"/>
  <c r="K467" i="97"/>
  <c r="J467" i="97"/>
  <c r="L465" i="97"/>
  <c r="K465" i="97"/>
  <c r="J465" i="97"/>
  <c r="L463" i="97"/>
  <c r="K463" i="97"/>
  <c r="J463" i="97"/>
  <c r="L461" i="97"/>
  <c r="K461" i="97"/>
  <c r="J461" i="97"/>
  <c r="L459" i="97"/>
  <c r="K459" i="97"/>
  <c r="J459" i="97"/>
  <c r="L457" i="97"/>
  <c r="K457" i="97"/>
  <c r="J457" i="97"/>
  <c r="L455" i="97"/>
  <c r="K455" i="97"/>
  <c r="J455" i="97"/>
  <c r="L453" i="97"/>
  <c r="K453" i="97"/>
  <c r="J453" i="97"/>
  <c r="L451" i="97"/>
  <c r="K451" i="97"/>
  <c r="J451" i="97"/>
  <c r="L449" i="97"/>
  <c r="K449" i="97"/>
  <c r="J449" i="97"/>
  <c r="L440" i="97"/>
  <c r="K440" i="97"/>
  <c r="J440" i="97"/>
  <c r="L438" i="97"/>
  <c r="K438" i="97"/>
  <c r="J438" i="97"/>
  <c r="L437" i="97"/>
  <c r="K437" i="97"/>
  <c r="J437" i="97"/>
  <c r="L435" i="97"/>
  <c r="K435" i="97"/>
  <c r="J435" i="97"/>
  <c r="L434" i="97"/>
  <c r="K434" i="97"/>
  <c r="J434" i="97"/>
  <c r="L433" i="97"/>
  <c r="K433" i="97"/>
  <c r="J433" i="97"/>
  <c r="L432" i="97"/>
  <c r="K432" i="97"/>
  <c r="J432" i="97"/>
  <c r="L431" i="97"/>
  <c r="K431" i="97"/>
  <c r="J431" i="97"/>
  <c r="L429" i="97"/>
  <c r="K429" i="97"/>
  <c r="J429" i="97"/>
  <c r="L428" i="97"/>
  <c r="K428" i="97"/>
  <c r="J428" i="97"/>
  <c r="L427" i="97"/>
  <c r="K427" i="97"/>
  <c r="J427" i="97"/>
  <c r="L426" i="97"/>
  <c r="K426" i="97"/>
  <c r="J426" i="97"/>
  <c r="L418" i="97"/>
  <c r="K418" i="97"/>
  <c r="J418" i="97"/>
  <c r="L416" i="97"/>
  <c r="K416" i="97"/>
  <c r="J416" i="97"/>
  <c r="L414" i="97"/>
  <c r="K414" i="97"/>
  <c r="J414" i="97"/>
  <c r="L412" i="97"/>
  <c r="K412" i="97"/>
  <c r="J412" i="97"/>
  <c r="L410" i="97"/>
  <c r="K410" i="97"/>
  <c r="J410" i="97"/>
  <c r="L408" i="97"/>
  <c r="K408" i="97"/>
  <c r="J408" i="97"/>
  <c r="L406" i="97"/>
  <c r="K406" i="97"/>
  <c r="J406" i="97"/>
  <c r="L404" i="97"/>
  <c r="K404" i="97"/>
  <c r="J404" i="97"/>
  <c r="L402" i="97"/>
  <c r="K402" i="97"/>
  <c r="J402" i="97"/>
  <c r="L400" i="97"/>
  <c r="K400" i="97"/>
  <c r="J400" i="97"/>
  <c r="L398" i="97"/>
  <c r="K398" i="97"/>
  <c r="J398" i="97"/>
  <c r="L396" i="97"/>
  <c r="K396" i="97"/>
  <c r="J396" i="97"/>
  <c r="L394" i="97"/>
  <c r="K394" i="97"/>
  <c r="J394" i="97"/>
  <c r="L392" i="97"/>
  <c r="K392" i="97"/>
  <c r="J392" i="97"/>
  <c r="L390" i="97"/>
  <c r="K390" i="97"/>
  <c r="J390" i="97"/>
  <c r="L388" i="97"/>
  <c r="K388" i="97"/>
  <c r="J388" i="97"/>
  <c r="L386" i="97"/>
  <c r="K386" i="97"/>
  <c r="J386" i="97"/>
  <c r="L384" i="97"/>
  <c r="K384" i="97"/>
  <c r="J384" i="97"/>
  <c r="L382" i="97"/>
  <c r="K382" i="97"/>
  <c r="J382" i="97"/>
  <c r="L380" i="97"/>
  <c r="K380" i="97"/>
  <c r="J380" i="97"/>
  <c r="L378" i="97"/>
  <c r="K378" i="97"/>
  <c r="J378" i="97"/>
  <c r="L376" i="97"/>
  <c r="K376" i="97"/>
  <c r="J376" i="97"/>
  <c r="L374" i="97"/>
  <c r="K374" i="97"/>
  <c r="J374" i="97"/>
  <c r="L372" i="97"/>
  <c r="K372" i="97"/>
  <c r="J372" i="97"/>
  <c r="L370" i="97"/>
  <c r="K370" i="97"/>
  <c r="J370" i="97"/>
  <c r="L368" i="97"/>
  <c r="K368" i="97"/>
  <c r="J368" i="97"/>
  <c r="L366" i="97"/>
  <c r="K366" i="97"/>
  <c r="J366" i="97"/>
  <c r="L364" i="97"/>
  <c r="K364" i="97"/>
  <c r="J364" i="97"/>
  <c r="L362" i="97"/>
  <c r="K362" i="97"/>
  <c r="J362" i="97"/>
  <c r="L360" i="97"/>
  <c r="K360" i="97"/>
  <c r="J360" i="97"/>
  <c r="L358" i="97"/>
  <c r="K358" i="97"/>
  <c r="J358" i="97"/>
  <c r="L356" i="97"/>
  <c r="K356" i="97"/>
  <c r="J356" i="97"/>
  <c r="L354" i="97"/>
  <c r="K354" i="97"/>
  <c r="J354" i="97"/>
  <c r="L352" i="97"/>
  <c r="K352" i="97"/>
  <c r="J352" i="97"/>
  <c r="L350" i="97"/>
  <c r="K350" i="97"/>
  <c r="J350" i="97"/>
  <c r="L348" i="97"/>
  <c r="K348" i="97"/>
  <c r="J348" i="97"/>
  <c r="L346" i="97"/>
  <c r="K346" i="97"/>
  <c r="J346" i="97"/>
  <c r="L344" i="97"/>
  <c r="K344" i="97"/>
  <c r="J344" i="97"/>
  <c r="L342" i="97"/>
  <c r="K342" i="97"/>
  <c r="J342" i="97"/>
  <c r="L340" i="97"/>
  <c r="K340" i="97"/>
  <c r="J340" i="97"/>
  <c r="L337" i="97"/>
  <c r="K337" i="97"/>
  <c r="J337" i="97"/>
  <c r="L335" i="97"/>
  <c r="K335" i="97"/>
  <c r="J335" i="97"/>
  <c r="L333" i="97"/>
  <c r="K333" i="97"/>
  <c r="J333" i="97"/>
  <c r="L331" i="97"/>
  <c r="K331" i="97"/>
  <c r="J331" i="97"/>
  <c r="L329" i="97"/>
  <c r="K329" i="97"/>
  <c r="J329" i="97"/>
  <c r="L327" i="97"/>
  <c r="K327" i="97"/>
  <c r="J327" i="97"/>
  <c r="L325" i="97"/>
  <c r="K325" i="97"/>
  <c r="J325" i="97"/>
  <c r="L323" i="97"/>
  <c r="K323" i="97"/>
  <c r="J323" i="97"/>
  <c r="L321" i="97"/>
  <c r="K321" i="97"/>
  <c r="J321" i="97"/>
  <c r="L319" i="97"/>
  <c r="K319" i="97"/>
  <c r="J319" i="97"/>
  <c r="L317" i="97"/>
  <c r="K317" i="97"/>
  <c r="J317" i="97"/>
  <c r="L315" i="97"/>
  <c r="K315" i="97"/>
  <c r="J315" i="97"/>
  <c r="L313" i="97"/>
  <c r="K313" i="97"/>
  <c r="J313" i="97"/>
  <c r="L311" i="97"/>
  <c r="K311" i="97"/>
  <c r="J311" i="97"/>
  <c r="L309" i="97"/>
  <c r="K309" i="97"/>
  <c r="J309" i="97"/>
  <c r="L307" i="97"/>
  <c r="K307" i="97"/>
  <c r="J307" i="97"/>
  <c r="L305" i="97"/>
  <c r="K305" i="97"/>
  <c r="J305" i="97"/>
  <c r="L303" i="97"/>
  <c r="K303" i="97"/>
  <c r="J303" i="97"/>
  <c r="L301" i="97"/>
  <c r="K301" i="97"/>
  <c r="J301" i="97"/>
  <c r="L299" i="97"/>
  <c r="K299" i="97"/>
  <c r="J299" i="97"/>
  <c r="L297" i="97"/>
  <c r="K297" i="97"/>
  <c r="J297" i="97"/>
  <c r="L295" i="97"/>
  <c r="K295" i="97"/>
  <c r="J295" i="97"/>
  <c r="L293" i="97"/>
  <c r="K293" i="97"/>
  <c r="J293" i="97"/>
  <c r="L291" i="97"/>
  <c r="K291" i="97"/>
  <c r="J291" i="97"/>
  <c r="L289" i="97"/>
  <c r="K289" i="97"/>
  <c r="J289" i="97"/>
  <c r="L287" i="97"/>
  <c r="K287" i="97"/>
  <c r="J287" i="97"/>
  <c r="L285" i="97"/>
  <c r="K285" i="97"/>
  <c r="J285" i="97"/>
  <c r="L283" i="97"/>
  <c r="K283" i="97"/>
  <c r="J283" i="97"/>
  <c r="L281" i="97"/>
  <c r="K281" i="97"/>
  <c r="J281" i="97"/>
  <c r="L279" i="97"/>
  <c r="K279" i="97"/>
  <c r="J279" i="97"/>
  <c r="L277" i="97"/>
  <c r="K277" i="97"/>
  <c r="J277" i="97"/>
  <c r="L275" i="97"/>
  <c r="K275" i="97"/>
  <c r="J275" i="97"/>
  <c r="L273" i="97"/>
  <c r="K273" i="97"/>
  <c r="J273" i="97"/>
  <c r="L271" i="97"/>
  <c r="K271" i="97"/>
  <c r="J271" i="97"/>
  <c r="L269" i="97"/>
  <c r="K269" i="97"/>
  <c r="J269" i="97"/>
  <c r="L267" i="97"/>
  <c r="K267" i="97"/>
  <c r="J267" i="97"/>
  <c r="L265" i="97"/>
  <c r="K265" i="97"/>
  <c r="J265" i="97"/>
  <c r="L263" i="97"/>
  <c r="K263" i="97"/>
  <c r="J263" i="97"/>
  <c r="L261" i="97"/>
  <c r="K261" i="97"/>
  <c r="J261" i="97"/>
  <c r="L259" i="97"/>
  <c r="K259" i="97"/>
  <c r="J259" i="97"/>
  <c r="L257" i="97"/>
  <c r="K257" i="97"/>
  <c r="J257" i="97"/>
  <c r="L255" i="97"/>
  <c r="K255" i="97"/>
  <c r="J255" i="97"/>
  <c r="L253" i="97"/>
  <c r="K253" i="97"/>
  <c r="J253" i="97"/>
  <c r="L251" i="97"/>
  <c r="K251" i="97"/>
  <c r="J251" i="97"/>
  <c r="L249" i="97"/>
  <c r="K249" i="97"/>
  <c r="J249" i="97"/>
  <c r="L247" i="97"/>
  <c r="K247" i="97"/>
  <c r="J247" i="97"/>
  <c r="L245" i="97"/>
  <c r="K245" i="97"/>
  <c r="J245" i="97"/>
  <c r="L243" i="97"/>
  <c r="K243" i="97"/>
  <c r="J243" i="97"/>
  <c r="L241" i="97"/>
  <c r="K241" i="97"/>
  <c r="J241" i="97"/>
  <c r="L239" i="97"/>
  <c r="K239" i="97"/>
  <c r="J239" i="97"/>
  <c r="L237" i="97"/>
  <c r="K237" i="97"/>
  <c r="J237" i="97"/>
  <c r="L235" i="97"/>
  <c r="K235" i="97"/>
  <c r="J235" i="97"/>
  <c r="L233" i="97"/>
  <c r="K233" i="97"/>
  <c r="J233" i="97"/>
  <c r="L231" i="97"/>
  <c r="K231" i="97"/>
  <c r="J231" i="97"/>
  <c r="L229" i="97"/>
  <c r="K229" i="97"/>
  <c r="J229" i="97"/>
  <c r="L227" i="97"/>
  <c r="K227" i="97"/>
  <c r="J227" i="97"/>
  <c r="L225" i="97"/>
  <c r="K225" i="97"/>
  <c r="J225" i="97"/>
  <c r="L223" i="97"/>
  <c r="K223" i="97"/>
  <c r="J223" i="97"/>
  <c r="L221" i="97"/>
  <c r="K221" i="97"/>
  <c r="J221" i="97"/>
  <c r="L219" i="97"/>
  <c r="K219" i="97"/>
  <c r="J219" i="97"/>
  <c r="L217" i="97"/>
  <c r="K217" i="97"/>
  <c r="J217" i="97"/>
  <c r="L215" i="97"/>
  <c r="K215" i="97"/>
  <c r="J215" i="97"/>
  <c r="L213" i="97"/>
  <c r="K213" i="97"/>
  <c r="J213" i="97"/>
  <c r="L211" i="97"/>
  <c r="K211" i="97"/>
  <c r="J211" i="97"/>
  <c r="L209" i="97"/>
  <c r="K209" i="97"/>
  <c r="J209" i="97"/>
  <c r="L207" i="97"/>
  <c r="K207" i="97"/>
  <c r="J207" i="97"/>
  <c r="L205" i="97"/>
  <c r="K205" i="97"/>
  <c r="J205" i="97"/>
  <c r="L203" i="97"/>
  <c r="K203" i="97"/>
  <c r="J203" i="97"/>
  <c r="L201" i="97"/>
  <c r="K201" i="97"/>
  <c r="J201" i="97"/>
  <c r="L199" i="97"/>
  <c r="K199" i="97"/>
  <c r="J199" i="97"/>
  <c r="L197" i="97"/>
  <c r="K197" i="97"/>
  <c r="J197" i="97"/>
  <c r="L195" i="97"/>
  <c r="K195" i="97"/>
  <c r="J195" i="97"/>
  <c r="L193" i="97"/>
  <c r="K193" i="97"/>
  <c r="J193" i="97"/>
  <c r="L191" i="97"/>
  <c r="K191" i="97"/>
  <c r="J191" i="97"/>
  <c r="L189" i="97"/>
  <c r="K189" i="97"/>
  <c r="J189" i="97"/>
  <c r="L187" i="97"/>
  <c r="K187" i="97"/>
  <c r="J187" i="97"/>
  <c r="L185" i="97"/>
  <c r="K185" i="97"/>
  <c r="J185" i="97"/>
  <c r="L183" i="97"/>
  <c r="K183" i="97"/>
  <c r="J183" i="97"/>
  <c r="L181" i="97"/>
  <c r="K181" i="97"/>
  <c r="J181" i="97"/>
  <c r="L179" i="97"/>
  <c r="K179" i="97"/>
  <c r="J179" i="97"/>
  <c r="L177" i="97"/>
  <c r="K177" i="97"/>
  <c r="J177" i="97"/>
  <c r="L175" i="97"/>
  <c r="K175" i="97"/>
  <c r="J175" i="97"/>
  <c r="L173" i="97"/>
  <c r="K173" i="97"/>
  <c r="J173" i="97"/>
  <c r="L171" i="97"/>
  <c r="K171" i="97"/>
  <c r="J171" i="97"/>
  <c r="L169" i="97"/>
  <c r="K169" i="97"/>
  <c r="J169" i="97"/>
  <c r="L167" i="97"/>
  <c r="K167" i="97"/>
  <c r="J167" i="97"/>
  <c r="L165" i="97"/>
  <c r="K165" i="97"/>
  <c r="J165" i="97"/>
  <c r="L163" i="97"/>
  <c r="K163" i="97"/>
  <c r="J163" i="97"/>
  <c r="L161" i="97"/>
  <c r="K161" i="97"/>
  <c r="J161" i="97"/>
  <c r="L159" i="97"/>
  <c r="K159" i="97"/>
  <c r="J159" i="97"/>
  <c r="L157" i="97"/>
  <c r="K157" i="97"/>
  <c r="J157" i="97"/>
  <c r="L155" i="97"/>
  <c r="K155" i="97"/>
  <c r="J155" i="97"/>
  <c r="L153" i="97"/>
  <c r="K153" i="97"/>
  <c r="J153" i="97"/>
  <c r="L151" i="97"/>
  <c r="K151" i="97"/>
  <c r="J151" i="97"/>
  <c r="L149" i="97"/>
  <c r="K149" i="97"/>
  <c r="J149" i="97"/>
  <c r="L147" i="97"/>
  <c r="K147" i="97"/>
  <c r="J147" i="97"/>
  <c r="L145" i="97"/>
  <c r="K145" i="97"/>
  <c r="J145" i="97"/>
  <c r="L143" i="97"/>
  <c r="K143" i="97"/>
  <c r="J143" i="97"/>
  <c r="L141" i="97"/>
  <c r="K141" i="97"/>
  <c r="J141" i="97"/>
  <c r="L139" i="97"/>
  <c r="K139" i="97"/>
  <c r="J139" i="97"/>
  <c r="L137" i="97"/>
  <c r="K137" i="97"/>
  <c r="J137" i="97"/>
  <c r="L135" i="97"/>
  <c r="K135" i="97"/>
  <c r="J135" i="97"/>
  <c r="L133" i="97"/>
  <c r="K133" i="97"/>
  <c r="J133" i="97"/>
  <c r="L131" i="97"/>
  <c r="K131" i="97"/>
  <c r="J131" i="97"/>
  <c r="L129" i="97"/>
  <c r="K129" i="97"/>
  <c r="J129" i="97"/>
  <c r="L127" i="97"/>
  <c r="K127" i="97"/>
  <c r="J127" i="97"/>
  <c r="L125" i="97"/>
  <c r="K125" i="97"/>
  <c r="J125" i="97"/>
  <c r="L123" i="97"/>
  <c r="K123" i="97"/>
  <c r="J123" i="97"/>
  <c r="L121" i="97"/>
  <c r="K121" i="97"/>
  <c r="J121" i="97"/>
  <c r="L119" i="97"/>
  <c r="K119" i="97"/>
  <c r="J119" i="97"/>
  <c r="L117" i="97"/>
  <c r="K117" i="97"/>
  <c r="J117" i="97"/>
  <c r="L115" i="97"/>
  <c r="K115" i="97"/>
  <c r="J115" i="97"/>
  <c r="L113" i="97"/>
  <c r="K113" i="97"/>
  <c r="J113" i="97"/>
  <c r="L111" i="97"/>
  <c r="K111" i="97"/>
  <c r="J111" i="97"/>
  <c r="L109" i="97"/>
  <c r="K109" i="97"/>
  <c r="J109" i="97"/>
  <c r="L107" i="97"/>
  <c r="K107" i="97"/>
  <c r="J107" i="97"/>
  <c r="L105" i="97"/>
  <c r="K105" i="97"/>
  <c r="J105" i="97"/>
  <c r="L103" i="97"/>
  <c r="K103" i="97"/>
  <c r="J103" i="97"/>
  <c r="L101" i="97"/>
  <c r="K101" i="97"/>
  <c r="J101" i="97"/>
  <c r="L99" i="97"/>
  <c r="K99" i="97"/>
  <c r="J99" i="97"/>
  <c r="L97" i="97"/>
  <c r="K97" i="97"/>
  <c r="J97" i="97"/>
  <c r="L95" i="97"/>
  <c r="K95" i="97"/>
  <c r="J95" i="97"/>
  <c r="L93" i="97"/>
  <c r="K93" i="97"/>
  <c r="J93" i="97"/>
  <c r="L91" i="97"/>
  <c r="K91" i="97"/>
  <c r="J91" i="97"/>
  <c r="L89" i="97"/>
  <c r="K89" i="97"/>
  <c r="J89" i="97"/>
  <c r="L87" i="97"/>
  <c r="K87" i="97"/>
  <c r="J87" i="97"/>
  <c r="L85" i="97"/>
  <c r="K85" i="97"/>
  <c r="J85" i="97"/>
  <c r="L83" i="97"/>
  <c r="K83" i="97"/>
  <c r="J83" i="97"/>
  <c r="L81" i="97"/>
  <c r="K81" i="97"/>
  <c r="J81" i="97"/>
  <c r="L79" i="97"/>
  <c r="K79" i="97"/>
  <c r="J79" i="97"/>
  <c r="L77" i="97"/>
  <c r="K77" i="97"/>
  <c r="J77" i="97"/>
  <c r="L75" i="97"/>
  <c r="K75" i="97"/>
  <c r="J75" i="97"/>
  <c r="L73" i="97"/>
  <c r="K73" i="97"/>
  <c r="J73" i="97"/>
  <c r="L71" i="97"/>
  <c r="K71" i="97"/>
  <c r="J71" i="97"/>
  <c r="L69" i="97"/>
  <c r="K69" i="97"/>
  <c r="J69" i="97"/>
  <c r="L67" i="97"/>
  <c r="K67" i="97"/>
  <c r="J67" i="97"/>
  <c r="L65" i="97"/>
  <c r="K65" i="97"/>
  <c r="J65" i="97"/>
  <c r="L63" i="97"/>
  <c r="K63" i="97"/>
  <c r="J63" i="97"/>
  <c r="L61" i="97"/>
  <c r="K61" i="97"/>
  <c r="J61" i="97"/>
  <c r="L59" i="97"/>
  <c r="K59" i="97"/>
  <c r="J59" i="97"/>
  <c r="L57" i="97"/>
  <c r="K57" i="97"/>
  <c r="J57" i="97"/>
  <c r="L55" i="97"/>
  <c r="K55" i="97"/>
  <c r="J55" i="97"/>
  <c r="L53" i="97"/>
  <c r="K53" i="97"/>
  <c r="J53" i="97"/>
  <c r="L51" i="97"/>
  <c r="K51" i="97"/>
  <c r="J51" i="97"/>
  <c r="L49" i="97"/>
  <c r="K49" i="97"/>
  <c r="J49" i="97"/>
  <c r="L47" i="97"/>
  <c r="K47" i="97"/>
  <c r="J47" i="97"/>
  <c r="L45" i="97"/>
  <c r="K45" i="97"/>
  <c r="J45" i="97"/>
  <c r="L43" i="97"/>
  <c r="K43" i="97"/>
  <c r="J43" i="97"/>
  <c r="L41" i="97"/>
  <c r="K41" i="97"/>
  <c r="J41" i="97"/>
  <c r="L39" i="97"/>
  <c r="K39" i="97"/>
  <c r="J39" i="97"/>
  <c r="L37" i="97"/>
  <c r="K37" i="97"/>
  <c r="J37" i="97"/>
  <c r="L35" i="97"/>
  <c r="K35" i="97"/>
  <c r="J35" i="97"/>
  <c r="L33" i="97"/>
  <c r="K33" i="97"/>
  <c r="J33" i="97"/>
  <c r="L31" i="97"/>
  <c r="K31" i="97"/>
  <c r="J31" i="97"/>
  <c r="L29" i="97"/>
  <c r="K29" i="97"/>
  <c r="J29" i="97"/>
  <c r="L27" i="97"/>
  <c r="K27" i="97"/>
  <c r="J27" i="97"/>
  <c r="L25" i="97"/>
  <c r="K25" i="97"/>
  <c r="J25" i="97"/>
  <c r="L23" i="97"/>
  <c r="K23" i="97"/>
  <c r="J23" i="97"/>
  <c r="L21" i="97"/>
  <c r="K21" i="97"/>
  <c r="J21" i="97"/>
  <c r="L19" i="97"/>
  <c r="K19" i="97"/>
  <c r="J19" i="97"/>
  <c r="L17" i="97"/>
  <c r="K17" i="97"/>
  <c r="J17" i="97"/>
  <c r="L15" i="97"/>
  <c r="K15" i="97"/>
  <c r="J15" i="97"/>
  <c r="L13" i="97"/>
  <c r="K13" i="97"/>
  <c r="J13" i="97"/>
  <c r="L11" i="97"/>
  <c r="K11" i="97"/>
  <c r="J11" i="97"/>
  <c r="L9" i="97"/>
  <c r="K9" i="97"/>
  <c r="J9" i="97"/>
  <c r="R889" i="19"/>
  <c r="Q889" i="19"/>
  <c r="P889" i="19"/>
  <c r="N889" i="19"/>
  <c r="L889" i="19"/>
  <c r="O888" i="19"/>
  <c r="M888" i="19"/>
  <c r="N888" i="19" s="1"/>
  <c r="K888" i="19"/>
  <c r="L888" i="19" s="1"/>
  <c r="J888" i="19"/>
  <c r="R886" i="19"/>
  <c r="Q886" i="19"/>
  <c r="O886" i="19"/>
  <c r="P886" i="19" s="1"/>
  <c r="M886" i="19"/>
  <c r="N886" i="19" s="1"/>
  <c r="K886" i="19"/>
  <c r="L886" i="19" s="1"/>
  <c r="J886" i="19"/>
  <c r="Q885" i="19"/>
  <c r="O884" i="19"/>
  <c r="P884" i="19" s="1"/>
  <c r="M884" i="19"/>
  <c r="N884" i="19" s="1"/>
  <c r="K884" i="19"/>
  <c r="L884" i="19" s="1"/>
  <c r="J884" i="19"/>
  <c r="Q883" i="19"/>
  <c r="R880" i="19"/>
  <c r="Q880" i="19"/>
  <c r="Q864" i="19"/>
  <c r="P864" i="19"/>
  <c r="N864" i="19"/>
  <c r="L864" i="19"/>
  <c r="Q862" i="19"/>
  <c r="P862" i="19"/>
  <c r="N862" i="19"/>
  <c r="L862" i="19"/>
  <c r="Q860" i="19"/>
  <c r="P860" i="19"/>
  <c r="N860" i="19"/>
  <c r="L860" i="19"/>
  <c r="Q858" i="19"/>
  <c r="P858" i="19"/>
  <c r="N858" i="19"/>
  <c r="L858" i="19"/>
  <c r="Q856" i="19"/>
  <c r="P856" i="19"/>
  <c r="N856" i="19"/>
  <c r="L856" i="19"/>
  <c r="O854" i="19"/>
  <c r="O852" i="19" s="1"/>
  <c r="M854" i="19"/>
  <c r="M852" i="19" s="1"/>
  <c r="M850" i="19" s="1"/>
  <c r="K854" i="19"/>
  <c r="J854" i="19"/>
  <c r="J852" i="19" s="1"/>
  <c r="J850" i="19" s="1"/>
  <c r="J885" i="19" s="1"/>
  <c r="Q848" i="19"/>
  <c r="P848" i="19"/>
  <c r="R848" i="19" s="1"/>
  <c r="N848" i="19"/>
  <c r="L848" i="19"/>
  <c r="O846" i="19"/>
  <c r="M846" i="19"/>
  <c r="N846" i="19" s="1"/>
  <c r="K846" i="19"/>
  <c r="L846" i="19" s="1"/>
  <c r="J846" i="19"/>
  <c r="Q844" i="19"/>
  <c r="P844" i="19"/>
  <c r="N844" i="19"/>
  <c r="L844" i="19"/>
  <c r="P842" i="19"/>
  <c r="K842" i="19"/>
  <c r="Q840" i="19"/>
  <c r="P840" i="19"/>
  <c r="N840" i="19"/>
  <c r="L840" i="19"/>
  <c r="Q838" i="19"/>
  <c r="P838" i="19"/>
  <c r="N838" i="19"/>
  <c r="L838" i="19"/>
  <c r="Q836" i="19"/>
  <c r="P836" i="19"/>
  <c r="N836" i="19"/>
  <c r="L836" i="19"/>
  <c r="M834" i="19"/>
  <c r="K834" i="19"/>
  <c r="Q832" i="19"/>
  <c r="P832" i="19"/>
  <c r="N832" i="19"/>
  <c r="L832" i="19"/>
  <c r="Q830" i="19"/>
  <c r="P830" i="19"/>
  <c r="N830" i="19"/>
  <c r="L830" i="19"/>
  <c r="Q828" i="19"/>
  <c r="P828" i="19"/>
  <c r="N828" i="19"/>
  <c r="L828" i="19"/>
  <c r="Q826" i="19"/>
  <c r="P826" i="19"/>
  <c r="N826" i="19"/>
  <c r="L826" i="19"/>
  <c r="Q824" i="19"/>
  <c r="P824" i="19"/>
  <c r="N824" i="19"/>
  <c r="L824" i="19"/>
  <c r="Q822" i="19"/>
  <c r="P822" i="19"/>
  <c r="N822" i="19"/>
  <c r="L822" i="19"/>
  <c r="O820" i="19"/>
  <c r="J820" i="19"/>
  <c r="P818" i="19"/>
  <c r="K818" i="19"/>
  <c r="N818" i="19" s="1"/>
  <c r="O816" i="19"/>
  <c r="P816" i="19" s="1"/>
  <c r="M816" i="19"/>
  <c r="J816" i="19"/>
  <c r="Q814" i="19"/>
  <c r="P814" i="19"/>
  <c r="N814" i="19"/>
  <c r="L814" i="19"/>
  <c r="O812" i="19"/>
  <c r="M812" i="19"/>
  <c r="K812" i="19"/>
  <c r="J812" i="19"/>
  <c r="Q810" i="19"/>
  <c r="P810" i="19"/>
  <c r="N810" i="19"/>
  <c r="L810" i="19"/>
  <c r="O808" i="19"/>
  <c r="P808" i="19" s="1"/>
  <c r="N808" i="19"/>
  <c r="M808" i="19"/>
  <c r="K808" i="19"/>
  <c r="L808" i="19" s="1"/>
  <c r="J808" i="19"/>
  <c r="M806" i="19"/>
  <c r="L806" i="19"/>
  <c r="Q804" i="19"/>
  <c r="P804" i="19"/>
  <c r="N804" i="19"/>
  <c r="L804" i="19"/>
  <c r="Q802" i="19"/>
  <c r="P802" i="19"/>
  <c r="N802" i="19"/>
  <c r="L802" i="19"/>
  <c r="O800" i="19"/>
  <c r="K800" i="19"/>
  <c r="J800" i="19"/>
  <c r="J798" i="19" s="1"/>
  <c r="Q796" i="19"/>
  <c r="P796" i="19"/>
  <c r="N796" i="19"/>
  <c r="L796" i="19"/>
  <c r="O794" i="19"/>
  <c r="M794" i="19"/>
  <c r="K794" i="19"/>
  <c r="J794" i="19"/>
  <c r="Q792" i="19"/>
  <c r="P792" i="19"/>
  <c r="N792" i="19"/>
  <c r="L792" i="19"/>
  <c r="O790" i="19"/>
  <c r="Q790" i="19" s="1"/>
  <c r="M790" i="19"/>
  <c r="K790" i="19"/>
  <c r="J790" i="19"/>
  <c r="Q783" i="19"/>
  <c r="P783" i="19"/>
  <c r="N783" i="19"/>
  <c r="L783" i="19"/>
  <c r="O781" i="19"/>
  <c r="M781" i="19"/>
  <c r="N781" i="19" s="1"/>
  <c r="K781" i="19"/>
  <c r="L781" i="19" s="1"/>
  <c r="J781" i="19"/>
  <c r="Q779" i="19"/>
  <c r="P779" i="19"/>
  <c r="N779" i="19"/>
  <c r="L779" i="19"/>
  <c r="Q777" i="19"/>
  <c r="P777" i="19"/>
  <c r="N777" i="19"/>
  <c r="L777" i="19"/>
  <c r="Q775" i="19"/>
  <c r="P775" i="19"/>
  <c r="N775" i="19"/>
  <c r="L775" i="19"/>
  <c r="O773" i="19"/>
  <c r="M773" i="19"/>
  <c r="M771" i="19" s="1"/>
  <c r="N771" i="19" s="1"/>
  <c r="K773" i="19"/>
  <c r="J773" i="19"/>
  <c r="P769" i="19"/>
  <c r="K769" i="19"/>
  <c r="N769" i="19" s="1"/>
  <c r="O767" i="19"/>
  <c r="M767" i="19"/>
  <c r="J767" i="19"/>
  <c r="Q765" i="19"/>
  <c r="P765" i="19"/>
  <c r="N765" i="19"/>
  <c r="L765" i="19"/>
  <c r="O763" i="19"/>
  <c r="M763" i="19"/>
  <c r="N763" i="19" s="1"/>
  <c r="K763" i="19"/>
  <c r="J763" i="19"/>
  <c r="Q761" i="19"/>
  <c r="P761" i="19"/>
  <c r="N761" i="19"/>
  <c r="L761" i="19"/>
  <c r="O759" i="19"/>
  <c r="M759" i="19"/>
  <c r="N759" i="19" s="1"/>
  <c r="K759" i="19"/>
  <c r="L759" i="19" s="1"/>
  <c r="J759" i="19"/>
  <c r="P757" i="19"/>
  <c r="K757" i="19"/>
  <c r="L757" i="19" s="1"/>
  <c r="O755" i="19"/>
  <c r="M755" i="19"/>
  <c r="J755" i="19"/>
  <c r="Q753" i="19"/>
  <c r="P753" i="19"/>
  <c r="N753" i="19"/>
  <c r="L753" i="19"/>
  <c r="Q751" i="19"/>
  <c r="P751" i="19"/>
  <c r="N751" i="19"/>
  <c r="L751" i="19"/>
  <c r="Q749" i="19"/>
  <c r="P749" i="19"/>
  <c r="N749" i="19"/>
  <c r="L749" i="19"/>
  <c r="Q747" i="19"/>
  <c r="P747" i="19"/>
  <c r="N747" i="19"/>
  <c r="L747" i="19"/>
  <c r="Q745" i="19"/>
  <c r="P745" i="19"/>
  <c r="N745" i="19"/>
  <c r="L745" i="19"/>
  <c r="O743" i="19"/>
  <c r="M743" i="19"/>
  <c r="K743" i="19"/>
  <c r="J743" i="19"/>
  <c r="Q741" i="19"/>
  <c r="P741" i="19"/>
  <c r="N741" i="19"/>
  <c r="L741" i="19"/>
  <c r="O739" i="19"/>
  <c r="P739" i="19" s="1"/>
  <c r="M739" i="19"/>
  <c r="N739" i="19" s="1"/>
  <c r="K739" i="19"/>
  <c r="L739" i="19" s="1"/>
  <c r="J739" i="19"/>
  <c r="M737" i="19"/>
  <c r="P737" i="19" s="1"/>
  <c r="K737" i="19"/>
  <c r="J737" i="19"/>
  <c r="Q735" i="19"/>
  <c r="P735" i="19"/>
  <c r="N735" i="19"/>
  <c r="L735" i="19"/>
  <c r="Q733" i="19"/>
  <c r="P733" i="19"/>
  <c r="N733" i="19"/>
  <c r="L733" i="19"/>
  <c r="Q731" i="19"/>
  <c r="P731" i="19"/>
  <c r="N731" i="19"/>
  <c r="L731" i="19"/>
  <c r="Q729" i="19"/>
  <c r="P729" i="19"/>
  <c r="N729" i="19"/>
  <c r="L729" i="19"/>
  <c r="Q727" i="19"/>
  <c r="P727" i="19"/>
  <c r="N727" i="19"/>
  <c r="L727" i="19"/>
  <c r="Q725" i="19"/>
  <c r="P725" i="19"/>
  <c r="N725" i="19"/>
  <c r="L725" i="19"/>
  <c r="Q723" i="19"/>
  <c r="P723" i="19"/>
  <c r="N723" i="19"/>
  <c r="L723" i="19"/>
  <c r="Q721" i="19"/>
  <c r="P721" i="19"/>
  <c r="N721" i="19"/>
  <c r="L721" i="19"/>
  <c r="Q719" i="19"/>
  <c r="P719" i="19"/>
  <c r="N719" i="19"/>
  <c r="L719" i="19"/>
  <c r="Q717" i="19"/>
  <c r="P717" i="19"/>
  <c r="N717" i="19"/>
  <c r="L717" i="19"/>
  <c r="Q715" i="19"/>
  <c r="P715" i="19"/>
  <c r="N715" i="19"/>
  <c r="L715" i="19"/>
  <c r="Q713" i="19"/>
  <c r="P713" i="19"/>
  <c r="N713" i="19"/>
  <c r="L713" i="19"/>
  <c r="Q711" i="19"/>
  <c r="P711" i="19"/>
  <c r="N711" i="19"/>
  <c r="L711" i="19"/>
  <c r="Q709" i="19"/>
  <c r="P709" i="19"/>
  <c r="N709" i="19"/>
  <c r="L709" i="19"/>
  <c r="Q707" i="19"/>
  <c r="P707" i="19"/>
  <c r="N707" i="19"/>
  <c r="L707" i="19"/>
  <c r="Q705" i="19"/>
  <c r="P705" i="19"/>
  <c r="N705" i="19"/>
  <c r="L705" i="19"/>
  <c r="Q703" i="19"/>
  <c r="P703" i="19"/>
  <c r="N703" i="19"/>
  <c r="L703" i="19"/>
  <c r="Q701" i="19"/>
  <c r="P701" i="19"/>
  <c r="N701" i="19"/>
  <c r="L701" i="19"/>
  <c r="Q699" i="19"/>
  <c r="P699" i="19"/>
  <c r="N699" i="19"/>
  <c r="L699" i="19"/>
  <c r="Q697" i="19"/>
  <c r="P697" i="19"/>
  <c r="N697" i="19"/>
  <c r="L697" i="19"/>
  <c r="Q695" i="19"/>
  <c r="P695" i="19"/>
  <c r="N695" i="19"/>
  <c r="L695" i="19"/>
  <c r="Q693" i="19"/>
  <c r="P693" i="19"/>
  <c r="N693" i="19"/>
  <c r="L693" i="19"/>
  <c r="Q691" i="19"/>
  <c r="P691" i="19"/>
  <c r="N691" i="19"/>
  <c r="L691" i="19"/>
  <c r="Q689" i="19"/>
  <c r="P689" i="19"/>
  <c r="N689" i="19"/>
  <c r="L689" i="19"/>
  <c r="Q687" i="19"/>
  <c r="P687" i="19"/>
  <c r="N687" i="19"/>
  <c r="L687" i="19"/>
  <c r="Q685" i="19"/>
  <c r="P685" i="19"/>
  <c r="N685" i="19"/>
  <c r="L685" i="19"/>
  <c r="Q683" i="19"/>
  <c r="P683" i="19"/>
  <c r="N683" i="19"/>
  <c r="L683" i="19"/>
  <c r="Q681" i="19"/>
  <c r="P681" i="19"/>
  <c r="N681" i="19"/>
  <c r="L681" i="19"/>
  <c r="O679" i="19"/>
  <c r="M679" i="19"/>
  <c r="K679" i="19"/>
  <c r="J679" i="19"/>
  <c r="Q677" i="19"/>
  <c r="P677" i="19"/>
  <c r="M677" i="19"/>
  <c r="N677" i="19" s="1"/>
  <c r="J677" i="19"/>
  <c r="L677" i="19" s="1"/>
  <c r="Q675" i="19"/>
  <c r="P675" i="19"/>
  <c r="N675" i="19"/>
  <c r="L675" i="19"/>
  <c r="Q673" i="19"/>
  <c r="P673" i="19"/>
  <c r="N673" i="19"/>
  <c r="L673" i="19"/>
  <c r="Q671" i="19"/>
  <c r="P671" i="19"/>
  <c r="N671" i="19"/>
  <c r="L671" i="19"/>
  <c r="Q669" i="19"/>
  <c r="P669" i="19"/>
  <c r="N669" i="19"/>
  <c r="L669" i="19"/>
  <c r="Q667" i="19"/>
  <c r="P667" i="19"/>
  <c r="N667" i="19"/>
  <c r="L667" i="19"/>
  <c r="Q665" i="19"/>
  <c r="P665" i="19"/>
  <c r="N665" i="19"/>
  <c r="L665" i="19"/>
  <c r="Q663" i="19"/>
  <c r="P663" i="19"/>
  <c r="N663" i="19"/>
  <c r="L663" i="19"/>
  <c r="Q661" i="19"/>
  <c r="P661" i="19"/>
  <c r="N661" i="19"/>
  <c r="L661" i="19"/>
  <c r="O659" i="19"/>
  <c r="K659" i="19"/>
  <c r="J659" i="19"/>
  <c r="Q657" i="19"/>
  <c r="P657" i="19"/>
  <c r="N657" i="19"/>
  <c r="L657" i="19"/>
  <c r="O655" i="19"/>
  <c r="M655" i="19"/>
  <c r="K655" i="19"/>
  <c r="J655" i="19"/>
  <c r="Q653" i="19"/>
  <c r="P653" i="19"/>
  <c r="N653" i="19"/>
  <c r="L653" i="19"/>
  <c r="Q651" i="19"/>
  <c r="P651" i="19"/>
  <c r="N651" i="19"/>
  <c r="L651" i="19"/>
  <c r="Q649" i="19"/>
  <c r="P649" i="19"/>
  <c r="N649" i="19"/>
  <c r="L649" i="19"/>
  <c r="O647" i="19"/>
  <c r="M647" i="19"/>
  <c r="K647" i="19"/>
  <c r="L647" i="19" s="1"/>
  <c r="J647" i="19"/>
  <c r="P645" i="19"/>
  <c r="N645" i="19"/>
  <c r="J645" i="19"/>
  <c r="L645" i="19" s="1"/>
  <c r="R645" i="19" s="1"/>
  <c r="Q643" i="19"/>
  <c r="P643" i="19"/>
  <c r="N643" i="19"/>
  <c r="L643" i="19"/>
  <c r="Q641" i="19"/>
  <c r="P641" i="19"/>
  <c r="N641" i="19"/>
  <c r="L641" i="19"/>
  <c r="Q639" i="19"/>
  <c r="P639" i="19"/>
  <c r="N639" i="19"/>
  <c r="L639" i="19"/>
  <c r="Q637" i="19"/>
  <c r="P637" i="19"/>
  <c r="N637" i="19"/>
  <c r="L637" i="19"/>
  <c r="R637" i="19" s="1"/>
  <c r="O635" i="19"/>
  <c r="M635" i="19"/>
  <c r="K635" i="19"/>
  <c r="Q633" i="19"/>
  <c r="P633" i="19"/>
  <c r="N633" i="19"/>
  <c r="L633" i="19"/>
  <c r="Q631" i="19"/>
  <c r="P631" i="19"/>
  <c r="N631" i="19"/>
  <c r="L631" i="19"/>
  <c r="Q629" i="19"/>
  <c r="P629" i="19"/>
  <c r="N629" i="19"/>
  <c r="L629" i="19"/>
  <c r="O627" i="19"/>
  <c r="M627" i="19"/>
  <c r="K627" i="19"/>
  <c r="J627" i="19"/>
  <c r="Q625" i="19"/>
  <c r="P625" i="19"/>
  <c r="M625" i="19"/>
  <c r="N625" i="19" s="1"/>
  <c r="L625" i="19"/>
  <c r="Q623" i="19"/>
  <c r="P623" i="19"/>
  <c r="N623" i="19"/>
  <c r="L623" i="19"/>
  <c r="Q621" i="19"/>
  <c r="P621" i="19"/>
  <c r="N621" i="19"/>
  <c r="L621" i="19"/>
  <c r="Q619" i="19"/>
  <c r="P619" i="19"/>
  <c r="N619" i="19"/>
  <c r="L619" i="19"/>
  <c r="Q617" i="19"/>
  <c r="P617" i="19"/>
  <c r="N617" i="19"/>
  <c r="L617" i="19"/>
  <c r="Q615" i="19"/>
  <c r="P615" i="19"/>
  <c r="N615" i="19"/>
  <c r="L615" i="19"/>
  <c r="Q613" i="19"/>
  <c r="P613" i="19"/>
  <c r="N613" i="19"/>
  <c r="L613" i="19"/>
  <c r="Q611" i="19"/>
  <c r="P611" i="19"/>
  <c r="N611" i="19"/>
  <c r="L611" i="19"/>
  <c r="Q609" i="19"/>
  <c r="P609" i="19"/>
  <c r="N609" i="19"/>
  <c r="L609" i="19"/>
  <c r="Q607" i="19"/>
  <c r="P607" i="19"/>
  <c r="N607" i="19"/>
  <c r="L607" i="19"/>
  <c r="Q605" i="19"/>
  <c r="P605" i="19"/>
  <c r="N605" i="19"/>
  <c r="L605" i="19"/>
  <c r="Q603" i="19"/>
  <c r="P603" i="19"/>
  <c r="N603" i="19"/>
  <c r="L603" i="19"/>
  <c r="Q601" i="19"/>
  <c r="P601" i="19"/>
  <c r="N601" i="19"/>
  <c r="L601" i="19"/>
  <c r="Q599" i="19"/>
  <c r="P599" i="19"/>
  <c r="N599" i="19"/>
  <c r="L599" i="19"/>
  <c r="Q597" i="19"/>
  <c r="P597" i="19"/>
  <c r="N597" i="19"/>
  <c r="L597" i="19"/>
  <c r="Q595" i="19"/>
  <c r="P595" i="19"/>
  <c r="N595" i="19"/>
  <c r="L595" i="19"/>
  <c r="Q593" i="19"/>
  <c r="P593" i="19"/>
  <c r="N593" i="19"/>
  <c r="L593" i="19"/>
  <c r="Q591" i="19"/>
  <c r="P591" i="19"/>
  <c r="N591" i="19"/>
  <c r="L591" i="19"/>
  <c r="Q589" i="19"/>
  <c r="P589" i="19"/>
  <c r="N589" i="19"/>
  <c r="L589" i="19"/>
  <c r="Q587" i="19"/>
  <c r="P587" i="19"/>
  <c r="N587" i="19"/>
  <c r="L587" i="19"/>
  <c r="Q585" i="19"/>
  <c r="P585" i="19"/>
  <c r="N585" i="19"/>
  <c r="L585" i="19"/>
  <c r="Q583" i="19"/>
  <c r="P583" i="19"/>
  <c r="N583" i="19"/>
  <c r="L583" i="19"/>
  <c r="Q581" i="19"/>
  <c r="P581" i="19"/>
  <c r="N581" i="19"/>
  <c r="L581" i="19"/>
  <c r="Q579" i="19"/>
  <c r="P579" i="19"/>
  <c r="N579" i="19"/>
  <c r="L579" i="19"/>
  <c r="Q577" i="19"/>
  <c r="P577" i="19"/>
  <c r="N577" i="19"/>
  <c r="L577" i="19"/>
  <c r="Q575" i="19"/>
  <c r="P575" i="19"/>
  <c r="N575" i="19"/>
  <c r="L575" i="19"/>
  <c r="Q573" i="19"/>
  <c r="P573" i="19"/>
  <c r="N573" i="19"/>
  <c r="L573" i="19"/>
  <c r="P571" i="19"/>
  <c r="N571" i="19"/>
  <c r="J571" i="19"/>
  <c r="L571" i="19" s="1"/>
  <c r="O569" i="19"/>
  <c r="M569" i="19"/>
  <c r="K569" i="19"/>
  <c r="Q567" i="19"/>
  <c r="P567" i="19"/>
  <c r="N567" i="19"/>
  <c r="L567" i="19"/>
  <c r="Q565" i="19"/>
  <c r="P565" i="19"/>
  <c r="N565" i="19"/>
  <c r="L565" i="19"/>
  <c r="O563" i="19"/>
  <c r="M563" i="19"/>
  <c r="K563" i="19"/>
  <c r="J563" i="19"/>
  <c r="Q561" i="19"/>
  <c r="P561" i="19"/>
  <c r="N561" i="19"/>
  <c r="L561" i="19"/>
  <c r="O559" i="19"/>
  <c r="M559" i="19"/>
  <c r="N559" i="19" s="1"/>
  <c r="K559" i="19"/>
  <c r="J559" i="19"/>
  <c r="Q555" i="19"/>
  <c r="P555" i="19"/>
  <c r="N555" i="19"/>
  <c r="L555" i="19"/>
  <c r="O553" i="19"/>
  <c r="P553" i="19" s="1"/>
  <c r="M553" i="19"/>
  <c r="K553" i="19"/>
  <c r="J553" i="19"/>
  <c r="Q551" i="19"/>
  <c r="P551" i="19"/>
  <c r="N551" i="19"/>
  <c r="L551" i="19"/>
  <c r="O549" i="19"/>
  <c r="M549" i="19"/>
  <c r="N549" i="19" s="1"/>
  <c r="K549" i="19"/>
  <c r="L549" i="19" s="1"/>
  <c r="J549" i="19"/>
  <c r="Q547" i="19"/>
  <c r="P547" i="19"/>
  <c r="N547" i="19"/>
  <c r="L547" i="19"/>
  <c r="Q545" i="19"/>
  <c r="P545" i="19"/>
  <c r="N545" i="19"/>
  <c r="L545" i="19"/>
  <c r="O543" i="19"/>
  <c r="O541" i="19" s="1"/>
  <c r="M543" i="19"/>
  <c r="K543" i="19"/>
  <c r="N543" i="19" s="1"/>
  <c r="J543" i="19"/>
  <c r="J541" i="19" s="1"/>
  <c r="M541" i="19"/>
  <c r="Q539" i="19"/>
  <c r="P539" i="19"/>
  <c r="N539" i="19"/>
  <c r="L539" i="19"/>
  <c r="O537" i="19"/>
  <c r="P537" i="19" s="1"/>
  <c r="M537" i="19"/>
  <c r="K537" i="19"/>
  <c r="L537" i="19" s="1"/>
  <c r="J537" i="19"/>
  <c r="Q535" i="19"/>
  <c r="P535" i="19"/>
  <c r="N535" i="19"/>
  <c r="L535" i="19"/>
  <c r="O533" i="19"/>
  <c r="O531" i="19" s="1"/>
  <c r="M533" i="19"/>
  <c r="K533" i="19"/>
  <c r="J533" i="19"/>
  <c r="Q527" i="19"/>
  <c r="P527" i="19"/>
  <c r="N527" i="19"/>
  <c r="L527" i="19"/>
  <c r="Q525" i="19"/>
  <c r="P525" i="19"/>
  <c r="N525" i="19"/>
  <c r="L525" i="19"/>
  <c r="O523" i="19"/>
  <c r="M523" i="19"/>
  <c r="K523" i="19"/>
  <c r="J523" i="19"/>
  <c r="J521" i="19" s="1"/>
  <c r="J879" i="19" s="1"/>
  <c r="O521" i="19"/>
  <c r="Q519" i="19"/>
  <c r="P519" i="19"/>
  <c r="N519" i="19"/>
  <c r="L519" i="19"/>
  <c r="O517" i="19"/>
  <c r="M517" i="19"/>
  <c r="N517" i="19" s="1"/>
  <c r="K517" i="19"/>
  <c r="J517" i="19"/>
  <c r="Q515" i="19"/>
  <c r="P515" i="19"/>
  <c r="N515" i="19"/>
  <c r="L515" i="19"/>
  <c r="O513" i="19"/>
  <c r="M513" i="19"/>
  <c r="K513" i="19"/>
  <c r="J513" i="19"/>
  <c r="M511" i="19"/>
  <c r="M503" i="19" s="1"/>
  <c r="N503" i="19" s="1"/>
  <c r="L511" i="19"/>
  <c r="Q509" i="19"/>
  <c r="P509" i="19"/>
  <c r="N509" i="19"/>
  <c r="L509" i="19"/>
  <c r="P507" i="19"/>
  <c r="N507" i="19"/>
  <c r="J507" i="19"/>
  <c r="Q507" i="19" s="1"/>
  <c r="Q505" i="19"/>
  <c r="P505" i="19"/>
  <c r="N505" i="19"/>
  <c r="L505" i="19"/>
  <c r="O503" i="19"/>
  <c r="K503" i="19"/>
  <c r="Q501" i="19"/>
  <c r="P501" i="19"/>
  <c r="N501" i="19"/>
  <c r="L501" i="19"/>
  <c r="R501" i="19" s="1"/>
  <c r="Q499" i="19"/>
  <c r="P499" i="19"/>
  <c r="N499" i="19"/>
  <c r="L499" i="19"/>
  <c r="R499" i="19" s="1"/>
  <c r="Q497" i="19"/>
  <c r="P497" i="19"/>
  <c r="N497" i="19"/>
  <c r="L497" i="19"/>
  <c r="Q495" i="19"/>
  <c r="P495" i="19"/>
  <c r="N495" i="19"/>
  <c r="L495" i="19"/>
  <c r="Q493" i="19"/>
  <c r="P493" i="19"/>
  <c r="N493" i="19"/>
  <c r="L493" i="19"/>
  <c r="R493" i="19" s="1"/>
  <c r="Q491" i="19"/>
  <c r="P491" i="19"/>
  <c r="N491" i="19"/>
  <c r="L491" i="19"/>
  <c r="R491" i="19" s="1"/>
  <c r="Q489" i="19"/>
  <c r="P489" i="19"/>
  <c r="N489" i="19"/>
  <c r="L489" i="19"/>
  <c r="Q487" i="19"/>
  <c r="P487" i="19"/>
  <c r="N487" i="19"/>
  <c r="L487" i="19"/>
  <c r="R487" i="19" s="1"/>
  <c r="Q485" i="19"/>
  <c r="P485" i="19"/>
  <c r="N485" i="19"/>
  <c r="L485" i="19"/>
  <c r="R485" i="19" s="1"/>
  <c r="Q483" i="19"/>
  <c r="P483" i="19"/>
  <c r="N483" i="19"/>
  <c r="L483" i="19"/>
  <c r="Q481" i="19"/>
  <c r="P481" i="19"/>
  <c r="N481" i="19"/>
  <c r="L481" i="19"/>
  <c r="Q479" i="19"/>
  <c r="P479" i="19"/>
  <c r="N479" i="19"/>
  <c r="L479" i="19"/>
  <c r="R479" i="19" s="1"/>
  <c r="P477" i="19"/>
  <c r="N477" i="19"/>
  <c r="J477" i="19"/>
  <c r="O475" i="19"/>
  <c r="M475" i="19"/>
  <c r="K475" i="19"/>
  <c r="Q473" i="19"/>
  <c r="P473" i="19"/>
  <c r="N473" i="19"/>
  <c r="L473" i="19"/>
  <c r="O471" i="19"/>
  <c r="M471" i="19"/>
  <c r="K471" i="19"/>
  <c r="J471" i="19"/>
  <c r="Q469" i="19"/>
  <c r="P469" i="19"/>
  <c r="N469" i="19"/>
  <c r="L469" i="19"/>
  <c r="Q467" i="19"/>
  <c r="P467" i="19"/>
  <c r="N467" i="19"/>
  <c r="L467" i="19"/>
  <c r="Q465" i="19"/>
  <c r="P465" i="19"/>
  <c r="N465" i="19"/>
  <c r="L465" i="19"/>
  <c r="O463" i="19"/>
  <c r="M463" i="19"/>
  <c r="K463" i="19"/>
  <c r="J463" i="19"/>
  <c r="Q459" i="19"/>
  <c r="P459" i="19"/>
  <c r="N459" i="19"/>
  <c r="L459" i="19"/>
  <c r="Q457" i="19"/>
  <c r="P457" i="19"/>
  <c r="N457" i="19"/>
  <c r="L457" i="19"/>
  <c r="O455" i="19"/>
  <c r="M455" i="19"/>
  <c r="N455" i="19" s="1"/>
  <c r="K455" i="19"/>
  <c r="L455" i="19" s="1"/>
  <c r="J455" i="19"/>
  <c r="R440" i="19"/>
  <c r="Q440" i="19"/>
  <c r="P440" i="19"/>
  <c r="N440" i="19"/>
  <c r="L440" i="19"/>
  <c r="O439" i="19"/>
  <c r="M439" i="19"/>
  <c r="N439" i="19" s="1"/>
  <c r="K439" i="19"/>
  <c r="L439" i="19" s="1"/>
  <c r="J439" i="19"/>
  <c r="R437" i="19"/>
  <c r="Q437" i="19"/>
  <c r="O437" i="19"/>
  <c r="P437" i="19" s="1"/>
  <c r="M437" i="19"/>
  <c r="N437" i="19" s="1"/>
  <c r="L437" i="19"/>
  <c r="K437" i="19"/>
  <c r="J437" i="19"/>
  <c r="J436" i="19"/>
  <c r="O435" i="19"/>
  <c r="M435" i="19"/>
  <c r="N435" i="19" s="1"/>
  <c r="K435" i="19"/>
  <c r="L435" i="19" s="1"/>
  <c r="J435" i="19"/>
  <c r="R431" i="19"/>
  <c r="Q431" i="19"/>
  <c r="Q418" i="19"/>
  <c r="P418" i="19"/>
  <c r="N418" i="19"/>
  <c r="Q416" i="19"/>
  <c r="P416" i="19"/>
  <c r="N416" i="19"/>
  <c r="L416" i="19"/>
  <c r="Q414" i="19"/>
  <c r="P414" i="19"/>
  <c r="N414" i="19"/>
  <c r="L414" i="19"/>
  <c r="Q412" i="19"/>
  <c r="P412" i="19"/>
  <c r="N412" i="19"/>
  <c r="Q410" i="19"/>
  <c r="P410" i="19"/>
  <c r="N410" i="19"/>
  <c r="Q408" i="19"/>
  <c r="P408" i="19"/>
  <c r="N408" i="19"/>
  <c r="O406" i="19"/>
  <c r="Q406" i="19" s="1"/>
  <c r="M406" i="19"/>
  <c r="N406" i="19" s="1"/>
  <c r="K406" i="19"/>
  <c r="J406" i="19"/>
  <c r="J404" i="19" s="1"/>
  <c r="O404" i="19"/>
  <c r="O436" i="19" s="1"/>
  <c r="Q435" i="19" s="1"/>
  <c r="M404" i="19"/>
  <c r="Q402" i="19"/>
  <c r="P402" i="19"/>
  <c r="N402" i="19"/>
  <c r="O400" i="19"/>
  <c r="P400" i="19" s="1"/>
  <c r="M400" i="19"/>
  <c r="N400" i="19" s="1"/>
  <c r="K400" i="19"/>
  <c r="J400" i="19"/>
  <c r="Q398" i="19"/>
  <c r="P398" i="19"/>
  <c r="N398" i="19"/>
  <c r="Q396" i="19"/>
  <c r="P396" i="19"/>
  <c r="N396" i="19"/>
  <c r="Q394" i="19"/>
  <c r="P394" i="19"/>
  <c r="N394" i="19"/>
  <c r="Q392" i="19"/>
  <c r="P392" i="19"/>
  <c r="N392" i="19"/>
  <c r="Q390" i="19"/>
  <c r="P390" i="19"/>
  <c r="N390" i="19"/>
  <c r="Q388" i="19"/>
  <c r="P388" i="19"/>
  <c r="N388" i="19"/>
  <c r="Q386" i="19"/>
  <c r="P386" i="19"/>
  <c r="N386" i="19"/>
  <c r="Q384" i="19"/>
  <c r="P384" i="19"/>
  <c r="N384" i="19"/>
  <c r="Q382" i="19"/>
  <c r="P382" i="19"/>
  <c r="N382" i="19"/>
  <c r="Q380" i="19"/>
  <c r="P380" i="19"/>
  <c r="N380" i="19"/>
  <c r="Q378" i="19"/>
  <c r="P378" i="19"/>
  <c r="N378" i="19"/>
  <c r="O376" i="19"/>
  <c r="M376" i="19"/>
  <c r="K376" i="19"/>
  <c r="J376" i="19"/>
  <c r="Q374" i="19"/>
  <c r="P374" i="19"/>
  <c r="N374" i="19"/>
  <c r="O372" i="19"/>
  <c r="Q372" i="19" s="1"/>
  <c r="M372" i="19"/>
  <c r="N372" i="19" s="1"/>
  <c r="K372" i="19"/>
  <c r="J372" i="19"/>
  <c r="Q370" i="19"/>
  <c r="P370" i="19"/>
  <c r="N370" i="19"/>
  <c r="O368" i="19"/>
  <c r="P368" i="19" s="1"/>
  <c r="M368" i="19"/>
  <c r="N368" i="19" s="1"/>
  <c r="K368" i="19"/>
  <c r="J368" i="19"/>
  <c r="Q366" i="19"/>
  <c r="P366" i="19"/>
  <c r="N366" i="19"/>
  <c r="O364" i="19"/>
  <c r="Q364" i="19" s="1"/>
  <c r="M364" i="19"/>
  <c r="N364" i="19" s="1"/>
  <c r="K364" i="19"/>
  <c r="J364" i="19"/>
  <c r="Q362" i="19"/>
  <c r="P362" i="19"/>
  <c r="N362" i="19"/>
  <c r="L362" i="19"/>
  <c r="Q360" i="19"/>
  <c r="P360" i="19"/>
  <c r="N360" i="19"/>
  <c r="L360" i="19"/>
  <c r="Q358" i="19"/>
  <c r="P358" i="19"/>
  <c r="N358" i="19"/>
  <c r="L358" i="19"/>
  <c r="O356" i="19"/>
  <c r="P356" i="19" s="1"/>
  <c r="M356" i="19"/>
  <c r="N356" i="19" s="1"/>
  <c r="K356" i="19"/>
  <c r="J356" i="19"/>
  <c r="Q352" i="19"/>
  <c r="P352" i="19"/>
  <c r="N352" i="19"/>
  <c r="L352" i="19"/>
  <c r="O350" i="19"/>
  <c r="Q350" i="19" s="1"/>
  <c r="M350" i="19"/>
  <c r="N350" i="19" s="1"/>
  <c r="K350" i="19"/>
  <c r="L350" i="19" s="1"/>
  <c r="J350" i="19"/>
  <c r="Q348" i="19"/>
  <c r="P348" i="19"/>
  <c r="N348" i="19"/>
  <c r="L348" i="19"/>
  <c r="O346" i="19"/>
  <c r="P346" i="19" s="1"/>
  <c r="M346" i="19"/>
  <c r="N346" i="19" s="1"/>
  <c r="L346" i="19"/>
  <c r="K346" i="19"/>
  <c r="J346" i="19"/>
  <c r="Q339" i="19"/>
  <c r="P339" i="19"/>
  <c r="N339" i="19"/>
  <c r="L339" i="19"/>
  <c r="Q337" i="19"/>
  <c r="P337" i="19"/>
  <c r="O337" i="19"/>
  <c r="M337" i="19"/>
  <c r="N337" i="19" s="1"/>
  <c r="K337" i="19"/>
  <c r="L337" i="19" s="1"/>
  <c r="J337" i="19"/>
  <c r="Q335" i="19"/>
  <c r="P335" i="19"/>
  <c r="N335" i="19"/>
  <c r="L335" i="19"/>
  <c r="Q333" i="19"/>
  <c r="P333" i="19"/>
  <c r="N333" i="19"/>
  <c r="L333" i="19"/>
  <c r="Q331" i="19"/>
  <c r="P331" i="19"/>
  <c r="N331" i="19"/>
  <c r="L331" i="19"/>
  <c r="O329" i="19"/>
  <c r="Q329" i="19" s="1"/>
  <c r="M329" i="19"/>
  <c r="N329" i="19" s="1"/>
  <c r="K329" i="19"/>
  <c r="L329" i="19" s="1"/>
  <c r="J329" i="19"/>
  <c r="Q327" i="19"/>
  <c r="P327" i="19"/>
  <c r="N327" i="19"/>
  <c r="L327" i="19"/>
  <c r="Q325" i="19"/>
  <c r="O323" i="19"/>
  <c r="M323" i="19"/>
  <c r="K323" i="19"/>
  <c r="J323" i="19"/>
  <c r="Q321" i="19"/>
  <c r="P321" i="19"/>
  <c r="R321" i="19" s="1"/>
  <c r="N321" i="19"/>
  <c r="L321" i="19"/>
  <c r="O319" i="19"/>
  <c r="P319" i="19" s="1"/>
  <c r="M319" i="19"/>
  <c r="N319" i="19" s="1"/>
  <c r="K319" i="19"/>
  <c r="L319" i="19" s="1"/>
  <c r="J319" i="19"/>
  <c r="Q317" i="19"/>
  <c r="P317" i="19"/>
  <c r="N317" i="19"/>
  <c r="L317" i="19"/>
  <c r="O315" i="19"/>
  <c r="P315" i="19" s="1"/>
  <c r="M315" i="19"/>
  <c r="N315" i="19" s="1"/>
  <c r="K315" i="19"/>
  <c r="L315" i="19" s="1"/>
  <c r="J315" i="19"/>
  <c r="Q313" i="19"/>
  <c r="P313" i="19"/>
  <c r="N313" i="19"/>
  <c r="L313" i="19"/>
  <c r="O311" i="19"/>
  <c r="P311" i="19" s="1"/>
  <c r="M311" i="19"/>
  <c r="N311" i="19" s="1"/>
  <c r="K311" i="19"/>
  <c r="L311" i="19" s="1"/>
  <c r="J311" i="19"/>
  <c r="Q309" i="19"/>
  <c r="P309" i="19"/>
  <c r="N309" i="19"/>
  <c r="L309" i="19"/>
  <c r="Q307" i="19"/>
  <c r="P307" i="19"/>
  <c r="N307" i="19"/>
  <c r="Q305" i="19"/>
  <c r="P305" i="19"/>
  <c r="N305" i="19"/>
  <c r="L305" i="19"/>
  <c r="Q303" i="19"/>
  <c r="P303" i="19"/>
  <c r="N303" i="19"/>
  <c r="L303" i="19"/>
  <c r="Q301" i="19"/>
  <c r="P301" i="19"/>
  <c r="N301" i="19"/>
  <c r="L301" i="19"/>
  <c r="O299" i="19"/>
  <c r="M299" i="19"/>
  <c r="K299" i="19"/>
  <c r="J299" i="19"/>
  <c r="Q297" i="19"/>
  <c r="P297" i="19"/>
  <c r="N297" i="19"/>
  <c r="L297" i="19"/>
  <c r="O295" i="19"/>
  <c r="P295" i="19" s="1"/>
  <c r="M295" i="19"/>
  <c r="N295" i="19" s="1"/>
  <c r="K295" i="19"/>
  <c r="L295" i="19" s="1"/>
  <c r="J295" i="19"/>
  <c r="Q293" i="19"/>
  <c r="P293" i="19"/>
  <c r="N293" i="19"/>
  <c r="L293" i="19"/>
  <c r="Q291" i="19"/>
  <c r="P291" i="19"/>
  <c r="N291" i="19"/>
  <c r="L291" i="19"/>
  <c r="Q289" i="19"/>
  <c r="P289" i="19"/>
  <c r="R289" i="19" s="1"/>
  <c r="N289" i="19"/>
  <c r="L289" i="19"/>
  <c r="Q287" i="19"/>
  <c r="P287" i="19"/>
  <c r="N287" i="19"/>
  <c r="L287" i="19"/>
  <c r="Q285" i="19"/>
  <c r="P285" i="19"/>
  <c r="N285" i="19"/>
  <c r="L285" i="19"/>
  <c r="Q283" i="19"/>
  <c r="P283" i="19"/>
  <c r="N283" i="19"/>
  <c r="L283" i="19"/>
  <c r="Q281" i="19"/>
  <c r="P281" i="19"/>
  <c r="N281" i="19"/>
  <c r="L281" i="19"/>
  <c r="Q279" i="19"/>
  <c r="P279" i="19"/>
  <c r="N279" i="19"/>
  <c r="L279" i="19"/>
  <c r="Q277" i="19"/>
  <c r="P277" i="19"/>
  <c r="R277" i="19" s="1"/>
  <c r="N277" i="19"/>
  <c r="L277" i="19"/>
  <c r="Q275" i="19"/>
  <c r="P275" i="19"/>
  <c r="R275" i="19" s="1"/>
  <c r="N275" i="19"/>
  <c r="L275" i="19"/>
  <c r="Q273" i="19"/>
  <c r="P273" i="19"/>
  <c r="N273" i="19"/>
  <c r="L273" i="19"/>
  <c r="Q271" i="19"/>
  <c r="P271" i="19"/>
  <c r="N271" i="19"/>
  <c r="L271" i="19"/>
  <c r="Q269" i="19"/>
  <c r="P269" i="19"/>
  <c r="R269" i="19" s="1"/>
  <c r="N269" i="19"/>
  <c r="L269" i="19"/>
  <c r="Q267" i="19"/>
  <c r="P267" i="19"/>
  <c r="N267" i="19"/>
  <c r="L267" i="19"/>
  <c r="Q265" i="19"/>
  <c r="P265" i="19"/>
  <c r="R265" i="19" s="1"/>
  <c r="N265" i="19"/>
  <c r="L265" i="19"/>
  <c r="Q263" i="19"/>
  <c r="P263" i="19"/>
  <c r="N263" i="19"/>
  <c r="L263" i="19"/>
  <c r="Q261" i="19"/>
  <c r="P261" i="19"/>
  <c r="N261" i="19"/>
  <c r="L261" i="19"/>
  <c r="Q259" i="19"/>
  <c r="P259" i="19"/>
  <c r="N259" i="19"/>
  <c r="L259" i="19"/>
  <c r="Q257" i="19"/>
  <c r="P257" i="19"/>
  <c r="R257" i="19" s="1"/>
  <c r="N257" i="19"/>
  <c r="L257" i="19"/>
  <c r="Q255" i="19"/>
  <c r="P255" i="19"/>
  <c r="N255" i="19"/>
  <c r="L255" i="19"/>
  <c r="Q253" i="19"/>
  <c r="P253" i="19"/>
  <c r="N253" i="19"/>
  <c r="L253" i="19"/>
  <c r="Q251" i="19"/>
  <c r="P251" i="19"/>
  <c r="N251" i="19"/>
  <c r="L251" i="19"/>
  <c r="Q249" i="19"/>
  <c r="P249" i="19"/>
  <c r="N249" i="19"/>
  <c r="L249" i="19"/>
  <c r="Q247" i="19"/>
  <c r="P247" i="19"/>
  <c r="N247" i="19"/>
  <c r="L247" i="19"/>
  <c r="Q245" i="19"/>
  <c r="P245" i="19"/>
  <c r="R245" i="19" s="1"/>
  <c r="N245" i="19"/>
  <c r="L245" i="19"/>
  <c r="Q243" i="19"/>
  <c r="P243" i="19"/>
  <c r="R243" i="19" s="1"/>
  <c r="N243" i="19"/>
  <c r="L243" i="19"/>
  <c r="Q241" i="19"/>
  <c r="P241" i="19"/>
  <c r="N241" i="19"/>
  <c r="L241" i="19"/>
  <c r="Q239" i="19"/>
  <c r="P239" i="19"/>
  <c r="N239" i="19"/>
  <c r="L239" i="19"/>
  <c r="Q237" i="19"/>
  <c r="P237" i="19"/>
  <c r="R237" i="19" s="1"/>
  <c r="N237" i="19"/>
  <c r="L237" i="19"/>
  <c r="O235" i="19"/>
  <c r="M235" i="19"/>
  <c r="K235" i="19"/>
  <c r="J235" i="19"/>
  <c r="Q233" i="19"/>
  <c r="P233" i="19"/>
  <c r="R233" i="19" s="1"/>
  <c r="N233" i="19"/>
  <c r="L233" i="19"/>
  <c r="Q231" i="19"/>
  <c r="P231" i="19"/>
  <c r="N231" i="19"/>
  <c r="L231" i="19"/>
  <c r="Q229" i="19"/>
  <c r="P229" i="19"/>
  <c r="N229" i="19"/>
  <c r="L229" i="19"/>
  <c r="Q227" i="19"/>
  <c r="P227" i="19"/>
  <c r="N227" i="19"/>
  <c r="L227" i="19"/>
  <c r="Q225" i="19"/>
  <c r="P225" i="19"/>
  <c r="N225" i="19"/>
  <c r="L225" i="19"/>
  <c r="Q223" i="19"/>
  <c r="P223" i="19"/>
  <c r="N223" i="19"/>
  <c r="L223" i="19"/>
  <c r="Q221" i="19"/>
  <c r="P221" i="19"/>
  <c r="R221" i="19" s="1"/>
  <c r="N221" i="19"/>
  <c r="L221" i="19"/>
  <c r="Q219" i="19"/>
  <c r="P219" i="19"/>
  <c r="R219" i="19" s="1"/>
  <c r="N219" i="19"/>
  <c r="L219" i="19"/>
  <c r="Q217" i="19"/>
  <c r="P217" i="19"/>
  <c r="N217" i="19"/>
  <c r="L217" i="19"/>
  <c r="O215" i="19"/>
  <c r="M215" i="19"/>
  <c r="N215" i="19" s="1"/>
  <c r="K215" i="19"/>
  <c r="J215" i="19"/>
  <c r="Q213" i="19"/>
  <c r="P213" i="19"/>
  <c r="N213" i="19"/>
  <c r="L213" i="19"/>
  <c r="O211" i="19"/>
  <c r="P211" i="19" s="1"/>
  <c r="M211" i="19"/>
  <c r="N211" i="19" s="1"/>
  <c r="K211" i="19"/>
  <c r="L211" i="19" s="1"/>
  <c r="J211" i="19"/>
  <c r="Q209" i="19"/>
  <c r="P209" i="19"/>
  <c r="N209" i="19"/>
  <c r="L209" i="19"/>
  <c r="Q207" i="19"/>
  <c r="P207" i="19"/>
  <c r="N207" i="19"/>
  <c r="L207" i="19"/>
  <c r="Q205" i="19"/>
  <c r="P205" i="19"/>
  <c r="N205" i="19"/>
  <c r="L205" i="19"/>
  <c r="O203" i="19"/>
  <c r="Q203" i="19" s="1"/>
  <c r="M203" i="19"/>
  <c r="K203" i="19"/>
  <c r="L203" i="19" s="1"/>
  <c r="J203" i="19"/>
  <c r="Q201" i="19"/>
  <c r="P201" i="19"/>
  <c r="N201" i="19"/>
  <c r="L201" i="19"/>
  <c r="Q199" i="19"/>
  <c r="P199" i="19"/>
  <c r="N199" i="19"/>
  <c r="L199" i="19"/>
  <c r="Q197" i="19"/>
  <c r="P197" i="19"/>
  <c r="N197" i="19"/>
  <c r="L197" i="19"/>
  <c r="Q195" i="19"/>
  <c r="P195" i="19"/>
  <c r="N195" i="19"/>
  <c r="L195" i="19"/>
  <c r="Q193" i="19"/>
  <c r="P193" i="19"/>
  <c r="N193" i="19"/>
  <c r="L193" i="19"/>
  <c r="O191" i="19"/>
  <c r="P191" i="19" s="1"/>
  <c r="M191" i="19"/>
  <c r="N191" i="19" s="1"/>
  <c r="K191" i="19"/>
  <c r="L191" i="19" s="1"/>
  <c r="J191" i="19"/>
  <c r="Q189" i="19"/>
  <c r="P189" i="19"/>
  <c r="N189" i="19"/>
  <c r="L189" i="19"/>
  <c r="Q187" i="19"/>
  <c r="P187" i="19"/>
  <c r="N187" i="19"/>
  <c r="L187" i="19"/>
  <c r="O185" i="19"/>
  <c r="Q185" i="19" s="1"/>
  <c r="M185" i="19"/>
  <c r="N185" i="19" s="1"/>
  <c r="K185" i="19"/>
  <c r="L185" i="19" s="1"/>
  <c r="J185" i="19"/>
  <c r="Q183" i="19"/>
  <c r="P183" i="19"/>
  <c r="N183" i="19"/>
  <c r="L183" i="19"/>
  <c r="Q181" i="19"/>
  <c r="P181" i="19"/>
  <c r="N181" i="19"/>
  <c r="L181" i="19"/>
  <c r="Q179" i="19"/>
  <c r="P179" i="19"/>
  <c r="N179" i="19"/>
  <c r="L179" i="19"/>
  <c r="Q177" i="19"/>
  <c r="P177" i="19"/>
  <c r="N177" i="19"/>
  <c r="L177" i="19"/>
  <c r="Q175" i="19"/>
  <c r="P175" i="19"/>
  <c r="N175" i="19"/>
  <c r="L175" i="19"/>
  <c r="Q173" i="19"/>
  <c r="P173" i="19"/>
  <c r="N173" i="19"/>
  <c r="L173" i="19"/>
  <c r="Q171" i="19"/>
  <c r="P171" i="19"/>
  <c r="N171" i="19"/>
  <c r="L171" i="19"/>
  <c r="Q169" i="19"/>
  <c r="P169" i="19"/>
  <c r="N169" i="19"/>
  <c r="L169" i="19"/>
  <c r="Q167" i="19"/>
  <c r="P167" i="19"/>
  <c r="N167" i="19"/>
  <c r="L167" i="19"/>
  <c r="Q165" i="19"/>
  <c r="P165" i="19"/>
  <c r="N165" i="19"/>
  <c r="L165" i="19"/>
  <c r="Q163" i="19"/>
  <c r="P163" i="19"/>
  <c r="N163" i="19"/>
  <c r="L163" i="19"/>
  <c r="Q161" i="19"/>
  <c r="P161" i="19"/>
  <c r="N161" i="19"/>
  <c r="L161" i="19"/>
  <c r="Q159" i="19"/>
  <c r="P159" i="19"/>
  <c r="N159" i="19"/>
  <c r="L159" i="19"/>
  <c r="Q157" i="19"/>
  <c r="P157" i="19"/>
  <c r="N157" i="19"/>
  <c r="L157" i="19"/>
  <c r="Q155" i="19"/>
  <c r="P155" i="19"/>
  <c r="N155" i="19"/>
  <c r="L155" i="19"/>
  <c r="Q153" i="19"/>
  <c r="P153" i="19"/>
  <c r="N153" i="19"/>
  <c r="L153" i="19"/>
  <c r="Q151" i="19"/>
  <c r="P151" i="19"/>
  <c r="N151" i="19"/>
  <c r="L151" i="19"/>
  <c r="Q149" i="19"/>
  <c r="P149" i="19"/>
  <c r="N149" i="19"/>
  <c r="L149" i="19"/>
  <c r="Q147" i="19"/>
  <c r="P147" i="19"/>
  <c r="N147" i="19"/>
  <c r="L147" i="19"/>
  <c r="Q145" i="19"/>
  <c r="P145" i="19"/>
  <c r="N145" i="19"/>
  <c r="L145" i="19"/>
  <c r="Q143" i="19"/>
  <c r="P143" i="19"/>
  <c r="N143" i="19"/>
  <c r="L143" i="19"/>
  <c r="Q141" i="19"/>
  <c r="P141" i="19"/>
  <c r="N141" i="19"/>
  <c r="L141" i="19"/>
  <c r="Q139" i="19"/>
  <c r="P139" i="19"/>
  <c r="N139" i="19"/>
  <c r="L139" i="19"/>
  <c r="Q137" i="19"/>
  <c r="P137" i="19"/>
  <c r="N137" i="19"/>
  <c r="L137" i="19"/>
  <c r="Q135" i="19"/>
  <c r="P135" i="19"/>
  <c r="N135" i="19"/>
  <c r="L135" i="19"/>
  <c r="Q133" i="19"/>
  <c r="P133" i="19"/>
  <c r="N133" i="19"/>
  <c r="L133" i="19"/>
  <c r="O131" i="19"/>
  <c r="M131" i="19"/>
  <c r="K131" i="19"/>
  <c r="J131" i="19"/>
  <c r="Q129" i="19"/>
  <c r="P129" i="19"/>
  <c r="N129" i="19"/>
  <c r="L129" i="19"/>
  <c r="Q127" i="19"/>
  <c r="P127" i="19"/>
  <c r="N127" i="19"/>
  <c r="L127" i="19"/>
  <c r="O125" i="19"/>
  <c r="M125" i="19"/>
  <c r="N125" i="19" s="1"/>
  <c r="K125" i="19"/>
  <c r="J125" i="19"/>
  <c r="Q123" i="19"/>
  <c r="P123" i="19"/>
  <c r="N123" i="19"/>
  <c r="L123" i="19"/>
  <c r="O121" i="19"/>
  <c r="P121" i="19" s="1"/>
  <c r="M121" i="19"/>
  <c r="N121" i="19" s="1"/>
  <c r="K121" i="19"/>
  <c r="L121" i="19" s="1"/>
  <c r="J121" i="19"/>
  <c r="Q117" i="19"/>
  <c r="P117" i="19"/>
  <c r="N117" i="19"/>
  <c r="L117" i="19"/>
  <c r="O115" i="19"/>
  <c r="P115" i="19" s="1"/>
  <c r="M115" i="19"/>
  <c r="N115" i="19" s="1"/>
  <c r="K115" i="19"/>
  <c r="L115" i="19" s="1"/>
  <c r="J115" i="19"/>
  <c r="Q113" i="19"/>
  <c r="P113" i="19"/>
  <c r="N113" i="19"/>
  <c r="L113" i="19"/>
  <c r="O111" i="19"/>
  <c r="P111" i="19" s="1"/>
  <c r="M111" i="19"/>
  <c r="N111" i="19" s="1"/>
  <c r="K111" i="19"/>
  <c r="L111" i="19" s="1"/>
  <c r="J111" i="19"/>
  <c r="Q109" i="19"/>
  <c r="P109" i="19"/>
  <c r="N109" i="19"/>
  <c r="L109" i="19"/>
  <c r="Q107" i="19"/>
  <c r="P107" i="19"/>
  <c r="N107" i="19"/>
  <c r="L107" i="19"/>
  <c r="O105" i="19"/>
  <c r="O103" i="19" s="1"/>
  <c r="P103" i="19" s="1"/>
  <c r="M105" i="19"/>
  <c r="N105" i="19" s="1"/>
  <c r="K105" i="19"/>
  <c r="K103" i="19" s="1"/>
  <c r="L103" i="19" s="1"/>
  <c r="J105" i="19"/>
  <c r="J103" i="19" s="1"/>
  <c r="Q101" i="19"/>
  <c r="P101" i="19"/>
  <c r="N101" i="19"/>
  <c r="L101" i="19"/>
  <c r="Q99" i="19"/>
  <c r="P99" i="19"/>
  <c r="N99" i="19"/>
  <c r="L99" i="19"/>
  <c r="O97" i="19"/>
  <c r="O95" i="19" s="1"/>
  <c r="P95" i="19" s="1"/>
  <c r="M97" i="19"/>
  <c r="N97" i="19" s="1"/>
  <c r="K97" i="19"/>
  <c r="L97" i="19" s="1"/>
  <c r="J97" i="19"/>
  <c r="J95" i="19" s="1"/>
  <c r="Q91" i="19"/>
  <c r="P91" i="19"/>
  <c r="N91" i="19"/>
  <c r="L91" i="19"/>
  <c r="Q89" i="19"/>
  <c r="P89" i="19"/>
  <c r="N89" i="19"/>
  <c r="L89" i="19"/>
  <c r="O87" i="19"/>
  <c r="P87" i="19" s="1"/>
  <c r="M87" i="19"/>
  <c r="M85" i="19" s="1"/>
  <c r="M430" i="19" s="1"/>
  <c r="N430" i="19" s="1"/>
  <c r="K87" i="19"/>
  <c r="L87" i="19" s="1"/>
  <c r="J87" i="19"/>
  <c r="J85" i="19" s="1"/>
  <c r="J430" i="19" s="1"/>
  <c r="Q83" i="19"/>
  <c r="P83" i="19"/>
  <c r="N83" i="19"/>
  <c r="L83" i="19"/>
  <c r="O81" i="19"/>
  <c r="Q81" i="19" s="1"/>
  <c r="M81" i="19"/>
  <c r="N81" i="19" s="1"/>
  <c r="K81" i="19"/>
  <c r="L81" i="19" s="1"/>
  <c r="J81" i="19"/>
  <c r="Q79" i="19"/>
  <c r="P79" i="19"/>
  <c r="N79" i="19"/>
  <c r="L79" i="19"/>
  <c r="Q77" i="19"/>
  <c r="P77" i="19"/>
  <c r="N77" i="19"/>
  <c r="L77" i="19"/>
  <c r="O75" i="19"/>
  <c r="M75" i="19"/>
  <c r="K75" i="19"/>
  <c r="J75" i="19"/>
  <c r="Q73" i="19"/>
  <c r="P73" i="19"/>
  <c r="N73" i="19"/>
  <c r="L73" i="19"/>
  <c r="Q71" i="19"/>
  <c r="P71" i="19"/>
  <c r="N71" i="19"/>
  <c r="L71" i="19"/>
  <c r="Q69" i="19"/>
  <c r="P69" i="19"/>
  <c r="N69" i="19"/>
  <c r="L69" i="19"/>
  <c r="Q67" i="19"/>
  <c r="P67" i="19"/>
  <c r="N67" i="19"/>
  <c r="L67" i="19"/>
  <c r="O65" i="19"/>
  <c r="M65" i="19"/>
  <c r="K65" i="19"/>
  <c r="N65" i="19" s="1"/>
  <c r="J65" i="19"/>
  <c r="Q63" i="19"/>
  <c r="P63" i="19"/>
  <c r="N63" i="19"/>
  <c r="L63" i="19"/>
  <c r="R63" i="19" s="1"/>
  <c r="Q61" i="19"/>
  <c r="P61" i="19"/>
  <c r="N61" i="19"/>
  <c r="L61" i="19"/>
  <c r="Q59" i="19"/>
  <c r="P59" i="19"/>
  <c r="N59" i="19"/>
  <c r="L59" i="19"/>
  <c r="Q57" i="19"/>
  <c r="P57" i="19"/>
  <c r="N57" i="19"/>
  <c r="L57" i="19"/>
  <c r="R57" i="19" s="1"/>
  <c r="Q55" i="19"/>
  <c r="P55" i="19"/>
  <c r="N55" i="19"/>
  <c r="L55" i="19"/>
  <c r="R55" i="19" s="1"/>
  <c r="Q53" i="19"/>
  <c r="P53" i="19"/>
  <c r="N53" i="19"/>
  <c r="L53" i="19"/>
  <c r="Q51" i="19"/>
  <c r="P51" i="19"/>
  <c r="N51" i="19"/>
  <c r="L51" i="19"/>
  <c r="Q49" i="19"/>
  <c r="P49" i="19"/>
  <c r="N49" i="19"/>
  <c r="L49" i="19"/>
  <c r="Q47" i="19"/>
  <c r="P47" i="19"/>
  <c r="N47" i="19"/>
  <c r="L47" i="19"/>
  <c r="R47" i="19" s="1"/>
  <c r="Q45" i="19"/>
  <c r="P45" i="19"/>
  <c r="N45" i="19"/>
  <c r="L45" i="19"/>
  <c r="R45" i="19" s="1"/>
  <c r="Q43" i="19"/>
  <c r="P43" i="19"/>
  <c r="N43" i="19"/>
  <c r="L43" i="19"/>
  <c r="Q41" i="19"/>
  <c r="P41" i="19"/>
  <c r="N41" i="19"/>
  <c r="L41" i="19"/>
  <c r="Q39" i="19"/>
  <c r="P39" i="19"/>
  <c r="N39" i="19"/>
  <c r="L39" i="19"/>
  <c r="R39" i="19" s="1"/>
  <c r="Q37" i="19"/>
  <c r="P37" i="19"/>
  <c r="N37" i="19"/>
  <c r="L37" i="19"/>
  <c r="R37" i="19" s="1"/>
  <c r="Q35" i="19"/>
  <c r="P35" i="19"/>
  <c r="N35" i="19"/>
  <c r="L35" i="19"/>
  <c r="O33" i="19"/>
  <c r="M33" i="19"/>
  <c r="K33" i="19"/>
  <c r="J33" i="19"/>
  <c r="Q31" i="19"/>
  <c r="P31" i="19"/>
  <c r="N31" i="19"/>
  <c r="L31" i="19"/>
  <c r="O29" i="19"/>
  <c r="Q29" i="19" s="1"/>
  <c r="M29" i="19"/>
  <c r="N29" i="19" s="1"/>
  <c r="K29" i="19"/>
  <c r="L29" i="19" s="1"/>
  <c r="J29" i="19"/>
  <c r="Q27" i="19"/>
  <c r="P27" i="19"/>
  <c r="N27" i="19"/>
  <c r="L27" i="19"/>
  <c r="Q25" i="19"/>
  <c r="P25" i="19"/>
  <c r="N25" i="19"/>
  <c r="L25" i="19"/>
  <c r="Q23" i="19"/>
  <c r="P23" i="19"/>
  <c r="N23" i="19"/>
  <c r="L23" i="19"/>
  <c r="O21" i="19"/>
  <c r="Q21" i="19" s="1"/>
  <c r="M21" i="19"/>
  <c r="N21" i="19" s="1"/>
  <c r="K21" i="19"/>
  <c r="L21" i="19" s="1"/>
  <c r="J21" i="19"/>
  <c r="Q17" i="19"/>
  <c r="P17" i="19"/>
  <c r="N17" i="19"/>
  <c r="L17" i="19"/>
  <c r="Q15" i="19"/>
  <c r="P15" i="19"/>
  <c r="N15" i="19"/>
  <c r="L15" i="19"/>
  <c r="O13" i="19"/>
  <c r="Q13" i="19" s="1"/>
  <c r="M13" i="19"/>
  <c r="N13" i="19" s="1"/>
  <c r="K13" i="19"/>
  <c r="L13" i="19" s="1"/>
  <c r="J13" i="19"/>
  <c r="M9" i="97" l="1"/>
  <c r="M17" i="97"/>
  <c r="M25" i="97"/>
  <c r="M33" i="97"/>
  <c r="M41" i="97"/>
  <c r="M49" i="97"/>
  <c r="M57" i="97"/>
  <c r="M65" i="97"/>
  <c r="M73" i="97"/>
  <c r="M81" i="97"/>
  <c r="M89" i="97"/>
  <c r="M97" i="97"/>
  <c r="J1066" i="100"/>
  <c r="K3390" i="98"/>
  <c r="J1009" i="100"/>
  <c r="J1008" i="100" s="1"/>
  <c r="J1007" i="100" s="1"/>
  <c r="J805" i="100"/>
  <c r="K2438" i="98"/>
  <c r="K2437" i="98" s="1"/>
  <c r="K2436" i="98" s="1"/>
  <c r="K2435" i="98" s="1"/>
  <c r="J986" i="100"/>
  <c r="J801" i="100"/>
  <c r="F717" i="23"/>
  <c r="K3933" i="98"/>
  <c r="J876" i="100"/>
  <c r="K2529" i="98"/>
  <c r="K2528" i="98" s="1"/>
  <c r="K2527" i="98" s="1"/>
  <c r="K2526" i="98" s="1"/>
  <c r="K2873" i="98"/>
  <c r="K2872" i="98" s="1"/>
  <c r="K2871" i="98" s="1"/>
  <c r="K2870" i="98" s="1"/>
  <c r="K2745" i="98"/>
  <c r="K2746" i="98" s="1"/>
  <c r="K2748" i="98" s="1"/>
  <c r="K2213" i="98"/>
  <c r="K2227" i="98" s="1"/>
  <c r="K2507" i="98"/>
  <c r="K2506" i="98" s="1"/>
  <c r="K2505" i="98" s="1"/>
  <c r="K2504" i="98" s="1"/>
  <c r="K2462" i="98"/>
  <c r="K2461" i="98" s="1"/>
  <c r="K2460" i="98" s="1"/>
  <c r="K2459" i="98" s="1"/>
  <c r="K2450" i="98"/>
  <c r="K2449" i="98" s="1"/>
  <c r="K2448" i="98" s="1"/>
  <c r="K2447" i="98" s="1"/>
  <c r="K2426" i="98"/>
  <c r="K2425" i="98" s="1"/>
  <c r="K2424" i="98" s="1"/>
  <c r="K2423" i="98" s="1"/>
  <c r="K2415" i="98"/>
  <c r="K2414" i="98" s="1"/>
  <c r="K2413" i="98" s="1"/>
  <c r="K2412" i="98" s="1"/>
  <c r="K2323" i="98"/>
  <c r="K2322" i="98" s="1"/>
  <c r="K2321" i="98" s="1"/>
  <c r="J2050" i="100"/>
  <c r="J1425" i="100"/>
  <c r="J1422" i="100" s="1"/>
  <c r="J1602" i="100"/>
  <c r="J1601" i="100" s="1"/>
  <c r="J1600" i="100" s="1"/>
  <c r="J1599" i="100" s="1"/>
  <c r="J1568" i="100"/>
  <c r="J1567" i="100" s="1"/>
  <c r="J1566" i="100" s="1"/>
  <c r="J1565" i="100" s="1"/>
  <c r="J1175" i="100"/>
  <c r="J1174" i="100" s="1"/>
  <c r="J1173" i="100" s="1"/>
  <c r="J1172" i="100" s="1"/>
  <c r="J1143" i="100"/>
  <c r="J1142" i="100" s="1"/>
  <c r="J1141" i="100" s="1"/>
  <c r="J1140" i="100" s="1"/>
  <c r="J1968" i="100"/>
  <c r="J1967" i="100" s="1"/>
  <c r="J1966" i="100" s="1"/>
  <c r="J1965" i="100" s="1"/>
  <c r="J1840" i="100"/>
  <c r="J1841" i="100" s="1"/>
  <c r="J1843" i="100" s="1"/>
  <c r="J1083" i="100"/>
  <c r="J1082" i="100" s="1"/>
  <c r="J1081" i="100" s="1"/>
  <c r="J1080" i="100" s="1"/>
  <c r="Q315" i="19"/>
  <c r="P323" i="19"/>
  <c r="R465" i="19"/>
  <c r="N471" i="19"/>
  <c r="K767" i="19"/>
  <c r="R808" i="19"/>
  <c r="M39" i="97"/>
  <c r="M47" i="97"/>
  <c r="M63" i="97"/>
  <c r="M71" i="97"/>
  <c r="M79" i="97"/>
  <c r="M87" i="97"/>
  <c r="M95" i="97"/>
  <c r="M103" i="97"/>
  <c r="K2005" i="98"/>
  <c r="K2004" i="98" s="1"/>
  <c r="K2003" i="98" s="1"/>
  <c r="K2002" i="98" s="1"/>
  <c r="P33" i="19"/>
  <c r="R515" i="19"/>
  <c r="R775" i="19"/>
  <c r="R777" i="19"/>
  <c r="P781" i="19"/>
  <c r="J2232" i="100"/>
  <c r="K2551" i="98"/>
  <c r="K2550" i="98" s="1"/>
  <c r="K2549" i="98" s="1"/>
  <c r="J2399" i="100"/>
  <c r="K1985" i="98"/>
  <c r="K1984" i="98" s="1"/>
  <c r="K1983" i="98" s="1"/>
  <c r="K1982" i="98" s="1"/>
  <c r="K2586" i="98"/>
  <c r="K2585" i="98" s="1"/>
  <c r="K2584" i="98" s="1"/>
  <c r="K2583" i="98" s="1"/>
  <c r="K2540" i="98"/>
  <c r="K2539" i="98" s="1"/>
  <c r="K2538" i="98" s="1"/>
  <c r="K2537" i="98" s="1"/>
  <c r="K2518" i="98"/>
  <c r="K2517" i="98" s="1"/>
  <c r="K2516" i="98" s="1"/>
  <c r="K2515" i="98" s="1"/>
  <c r="K2473" i="98"/>
  <c r="K2472" i="98" s="1"/>
  <c r="K2471" i="98" s="1"/>
  <c r="K2470" i="98" s="1"/>
  <c r="K1941" i="98"/>
  <c r="K1940" i="98" s="1"/>
  <c r="K1939" i="98" s="1"/>
  <c r="Q65" i="19"/>
  <c r="Q115" i="19"/>
  <c r="J503" i="19"/>
  <c r="L503" i="19" s="1"/>
  <c r="M15" i="97"/>
  <c r="M23" i="97"/>
  <c r="M31" i="97"/>
  <c r="M55" i="97"/>
  <c r="M111" i="97"/>
  <c r="K1949" i="98"/>
  <c r="K1948" i="98" s="1"/>
  <c r="K1947" i="98" s="1"/>
  <c r="K2375" i="98"/>
  <c r="K2374" i="98" s="1"/>
  <c r="K2373" i="98" s="1"/>
  <c r="K2372" i="98" s="1"/>
  <c r="R117" i="19"/>
  <c r="Q356" i="19"/>
  <c r="Q563" i="19"/>
  <c r="Q757" i="19"/>
  <c r="Q769" i="19"/>
  <c r="J1128" i="100"/>
  <c r="J1127" i="100" s="1"/>
  <c r="J1126" i="100" s="1"/>
  <c r="J1125" i="100" s="1"/>
  <c r="J1322" i="100"/>
  <c r="J1336" i="100" s="1"/>
  <c r="M95" i="19"/>
  <c r="L75" i="19"/>
  <c r="P81" i="19"/>
  <c r="P125" i="19"/>
  <c r="J354" i="19"/>
  <c r="K1480" i="98"/>
  <c r="J804" i="100"/>
  <c r="K1483" i="98"/>
  <c r="J807" i="100"/>
  <c r="K1476" i="98"/>
  <c r="J800" i="100"/>
  <c r="K1512" i="98"/>
  <c r="J832" i="100"/>
  <c r="K1674" i="98"/>
  <c r="J919" i="100"/>
  <c r="K1703" i="98"/>
  <c r="J948" i="100"/>
  <c r="K1719" i="98"/>
  <c r="J964" i="100"/>
  <c r="K1794" i="98"/>
  <c r="J975" i="100"/>
  <c r="K1845" i="98"/>
  <c r="J995" i="100"/>
  <c r="J993" i="100"/>
  <c r="K1856" i="98"/>
  <c r="J1006" i="100"/>
  <c r="K1891" i="98"/>
  <c r="J1041" i="100"/>
  <c r="K1889" i="98"/>
  <c r="J1039" i="100"/>
  <c r="F894" i="23"/>
  <c r="J1046" i="100"/>
  <c r="K1919" i="98"/>
  <c r="J1069" i="100"/>
  <c r="L2116" i="98"/>
  <c r="K1228" i="100"/>
  <c r="J1154" i="100"/>
  <c r="J1153" i="100" s="1"/>
  <c r="J1152" i="100" s="1"/>
  <c r="J1151" i="100" s="1"/>
  <c r="L2330" i="100"/>
  <c r="K2329" i="100"/>
  <c r="L2329" i="100" s="1"/>
  <c r="J1888" i="100"/>
  <c r="J1887" i="100" s="1"/>
  <c r="J1886" i="100" s="1"/>
  <c r="J1885" i="100" s="1"/>
  <c r="J1217" i="100"/>
  <c r="J1216" i="100" s="1"/>
  <c r="J1215" i="100" s="1"/>
  <c r="J1214" i="100" s="1"/>
  <c r="J1912" i="100"/>
  <c r="J1911" i="100" s="1"/>
  <c r="J1910" i="100" s="1"/>
  <c r="J1635" i="100"/>
  <c r="J1634" i="100" s="1"/>
  <c r="J1633" i="100" s="1"/>
  <c r="J1632" i="100" s="1"/>
  <c r="J1498" i="100"/>
  <c r="J1497" i="100" s="1"/>
  <c r="J1496" i="100" s="1"/>
  <c r="J1495" i="100" s="1"/>
  <c r="J1392" i="100"/>
  <c r="J1337" i="100"/>
  <c r="J1312" i="100"/>
  <c r="J1311" i="100" s="1"/>
  <c r="J1310" i="100" s="1"/>
  <c r="R73" i="19"/>
  <c r="Q97" i="19"/>
  <c r="R127" i="19"/>
  <c r="R23" i="19"/>
  <c r="P65" i="19"/>
  <c r="K95" i="19"/>
  <c r="L95" i="19" s="1"/>
  <c r="M103" i="19"/>
  <c r="N103" i="19" s="1"/>
  <c r="L299" i="19"/>
  <c r="R309" i="19"/>
  <c r="R327" i="19"/>
  <c r="Q346" i="19"/>
  <c r="L364" i="19"/>
  <c r="L406" i="19"/>
  <c r="Q523" i="19"/>
  <c r="R571" i="19"/>
  <c r="R573" i="19"/>
  <c r="R585" i="19"/>
  <c r="R593" i="19"/>
  <c r="R603" i="19"/>
  <c r="R605" i="19"/>
  <c r="R617" i="19"/>
  <c r="N627" i="19"/>
  <c r="N635" i="19"/>
  <c r="R665" i="19"/>
  <c r="R667" i="19"/>
  <c r="R675" i="19"/>
  <c r="R689" i="19"/>
  <c r="R691" i="19"/>
  <c r="R697" i="19"/>
  <c r="R699" i="19"/>
  <c r="R703" i="19"/>
  <c r="R705" i="19"/>
  <c r="R707" i="19"/>
  <c r="R711" i="19"/>
  <c r="R713" i="19"/>
  <c r="R719" i="19"/>
  <c r="R721" i="19"/>
  <c r="R729" i="19"/>
  <c r="R731" i="19"/>
  <c r="R735" i="19"/>
  <c r="R741" i="19"/>
  <c r="R747" i="19"/>
  <c r="R749" i="19"/>
  <c r="L790" i="19"/>
  <c r="R792" i="19"/>
  <c r="L794" i="19"/>
  <c r="K816" i="19"/>
  <c r="R822" i="19"/>
  <c r="R828" i="19"/>
  <c r="R830" i="19"/>
  <c r="Q834" i="19"/>
  <c r="M11" i="97"/>
  <c r="M19" i="97"/>
  <c r="M27" i="97"/>
  <c r="M35" i="97"/>
  <c r="M43" i="97"/>
  <c r="M51" i="97"/>
  <c r="M59" i="97"/>
  <c r="M67" i="97"/>
  <c r="M75" i="97"/>
  <c r="M83" i="97"/>
  <c r="M91" i="97"/>
  <c r="M99" i="97"/>
  <c r="M107" i="97"/>
  <c r="M115" i="97"/>
  <c r="J810" i="100"/>
  <c r="J809" i="100"/>
  <c r="K1493" i="98"/>
  <c r="J813" i="100"/>
  <c r="K1510" i="98"/>
  <c r="J830" i="100"/>
  <c r="F746" i="23"/>
  <c r="J851" i="100"/>
  <c r="K1569" i="98"/>
  <c r="J854" i="100"/>
  <c r="K1597" i="98"/>
  <c r="J858" i="100"/>
  <c r="K1528" i="98"/>
  <c r="J848" i="100"/>
  <c r="K1622" i="98"/>
  <c r="J880" i="100"/>
  <c r="J882" i="100"/>
  <c r="K1636" i="98"/>
  <c r="J883" i="100"/>
  <c r="K1645" i="98"/>
  <c r="J890" i="100"/>
  <c r="K1676" i="98"/>
  <c r="J921" i="100"/>
  <c r="K1697" i="98"/>
  <c r="J942" i="100"/>
  <c r="J941" i="100"/>
  <c r="K1705" i="98"/>
  <c r="J950" i="100"/>
  <c r="K1713" i="98"/>
  <c r="J958" i="100"/>
  <c r="K1743" i="98"/>
  <c r="J969" i="100"/>
  <c r="K1788" i="98"/>
  <c r="J973" i="100"/>
  <c r="F838" i="23"/>
  <c r="J978" i="100"/>
  <c r="K1848" i="98"/>
  <c r="J998" i="100"/>
  <c r="K1841" i="98"/>
  <c r="J991" i="100"/>
  <c r="J996" i="100"/>
  <c r="K1855" i="98"/>
  <c r="J1003" i="100"/>
  <c r="J1005" i="100"/>
  <c r="K1877" i="98"/>
  <c r="J1025" i="100"/>
  <c r="J1027" i="100"/>
  <c r="K1888" i="98"/>
  <c r="J1038" i="100"/>
  <c r="K1885" i="98"/>
  <c r="J1035" i="100"/>
  <c r="J1045" i="100"/>
  <c r="J1043" i="100"/>
  <c r="K1906" i="98"/>
  <c r="J1056" i="100"/>
  <c r="F905" i="23"/>
  <c r="J1059" i="100"/>
  <c r="J1064" i="100"/>
  <c r="K1917" i="98"/>
  <c r="J1067" i="100"/>
  <c r="K1721" i="98"/>
  <c r="J966" i="100"/>
  <c r="K2484" i="98"/>
  <c r="K2483" i="98" s="1"/>
  <c r="K2482" i="98" s="1"/>
  <c r="K2481" i="98" s="1"/>
  <c r="J1646" i="100"/>
  <c r="J1645" i="100" s="1"/>
  <c r="J1644" i="100" s="1"/>
  <c r="J1108" i="100"/>
  <c r="J1107" i="100" s="1"/>
  <c r="J1106" i="100" s="1"/>
  <c r="J1105" i="100" s="1"/>
  <c r="J1590" i="100"/>
  <c r="J1589" i="100" s="1"/>
  <c r="J1588" i="100" s="1"/>
  <c r="J1587" i="100" s="1"/>
  <c r="J1557" i="100"/>
  <c r="J1556" i="100" s="1"/>
  <c r="J1555" i="100" s="1"/>
  <c r="J1554" i="100" s="1"/>
  <c r="J1545" i="100"/>
  <c r="J1544" i="100" s="1"/>
  <c r="J1543" i="100" s="1"/>
  <c r="J1542" i="100" s="1"/>
  <c r="J1533" i="100"/>
  <c r="J1532" i="100" s="1"/>
  <c r="J1531" i="100" s="1"/>
  <c r="J1530" i="100" s="1"/>
  <c r="J1521" i="100"/>
  <c r="J1520" i="100" s="1"/>
  <c r="J1519" i="100" s="1"/>
  <c r="J1518" i="100" s="1"/>
  <c r="J1252" i="100"/>
  <c r="K2405" i="100"/>
  <c r="J1479" i="100"/>
  <c r="J1478" i="100" s="1"/>
  <c r="J1477" i="100" s="1"/>
  <c r="J1476" i="100" s="1"/>
  <c r="J1357" i="100"/>
  <c r="J1356" i="100" s="1"/>
  <c r="J1355" i="100" s="1"/>
  <c r="J1354" i="100" s="1"/>
  <c r="M119" i="19"/>
  <c r="N376" i="19"/>
  <c r="R551" i="19"/>
  <c r="R555" i="19"/>
  <c r="O557" i="19"/>
  <c r="P563" i="19"/>
  <c r="Q571" i="19"/>
  <c r="R649" i="19"/>
  <c r="R651" i="19"/>
  <c r="N816" i="19"/>
  <c r="M105" i="97"/>
  <c r="M113" i="97"/>
  <c r="K1479" i="98"/>
  <c r="J803" i="100"/>
  <c r="K1482" i="98"/>
  <c r="J806" i="100"/>
  <c r="K1494" i="98"/>
  <c r="J814" i="100"/>
  <c r="F718" i="23"/>
  <c r="J802" i="100"/>
  <c r="K1511" i="98"/>
  <c r="J831" i="100"/>
  <c r="J855" i="100"/>
  <c r="K1599" i="98"/>
  <c r="J859" i="100"/>
  <c r="K1616" i="98"/>
  <c r="J875" i="100"/>
  <c r="K1619" i="98"/>
  <c r="J877" i="100"/>
  <c r="J881" i="100"/>
  <c r="K1646" i="98"/>
  <c r="J891" i="100"/>
  <c r="K1660" i="98"/>
  <c r="K1659" i="98" s="1"/>
  <c r="K1658" i="98" s="1"/>
  <c r="K1657" i="98" s="1"/>
  <c r="K1661" i="98" s="1"/>
  <c r="K1663" i="98" s="1"/>
  <c r="K1664" i="98" s="1"/>
  <c r="J905" i="100"/>
  <c r="J904" i="100" s="1"/>
  <c r="J903" i="100" s="1"/>
  <c r="J902" i="100" s="1"/>
  <c r="K1677" i="98"/>
  <c r="J922" i="100"/>
  <c r="K1698" i="98"/>
  <c r="J943" i="100"/>
  <c r="K1706" i="98"/>
  <c r="J951" i="100"/>
  <c r="K1714" i="98"/>
  <c r="J959" i="100"/>
  <c r="K1748" i="98"/>
  <c r="J970" i="100"/>
  <c r="K1828" i="98"/>
  <c r="J979" i="100"/>
  <c r="K1834" i="98"/>
  <c r="J984" i="100"/>
  <c r="K1842" i="98"/>
  <c r="J992" i="100"/>
  <c r="K1854" i="98"/>
  <c r="J1004" i="100"/>
  <c r="K1878" i="98"/>
  <c r="J1028" i="100"/>
  <c r="K1890" i="98"/>
  <c r="J1040" i="100"/>
  <c r="K1897" i="98"/>
  <c r="J1047" i="100"/>
  <c r="K1883" i="98"/>
  <c r="J1033" i="100"/>
  <c r="F893" i="23"/>
  <c r="J1044" i="100"/>
  <c r="K1907" i="98"/>
  <c r="J1057" i="100"/>
  <c r="J1036" i="100"/>
  <c r="F906" i="23"/>
  <c r="J1060" i="100"/>
  <c r="F909" i="23"/>
  <c r="J1063" i="100"/>
  <c r="K1918" i="98"/>
  <c r="J1068" i="100"/>
  <c r="K2176" i="98"/>
  <c r="K2175" i="98" s="1"/>
  <c r="K2174" i="98" s="1"/>
  <c r="K2173" i="98" s="1"/>
  <c r="K2403" i="98"/>
  <c r="K2402" i="98" s="1"/>
  <c r="K2401" i="98" s="1"/>
  <c r="K2400" i="98" s="1"/>
  <c r="L2305" i="100"/>
  <c r="K2304" i="100"/>
  <c r="L2304" i="100" s="1"/>
  <c r="J1470" i="100"/>
  <c r="J1469" i="100" s="1"/>
  <c r="J1468" i="100" s="1"/>
  <c r="J1467" i="100" s="1"/>
  <c r="J1431" i="100"/>
  <c r="J1430" i="100" s="1"/>
  <c r="J1429" i="100" s="1"/>
  <c r="J1292" i="100"/>
  <c r="J1294" i="100" s="1"/>
  <c r="J1285" i="100"/>
  <c r="J1284" i="100" s="1"/>
  <c r="J1283" i="100" s="1"/>
  <c r="J1091" i="100"/>
  <c r="J1090" i="100" s="1"/>
  <c r="J1089" i="100" s="1"/>
  <c r="J874" i="100"/>
  <c r="F763" i="23"/>
  <c r="J1681" i="100"/>
  <c r="J1680" i="100" s="1"/>
  <c r="J1679" i="100" s="1"/>
  <c r="J1678" i="100" s="1"/>
  <c r="J1613" i="100"/>
  <c r="J1612" i="100" s="1"/>
  <c r="J1611" i="100" s="1"/>
  <c r="J1610" i="100" s="1"/>
  <c r="F728" i="23"/>
  <c r="J811" i="100"/>
  <c r="K1562" i="98"/>
  <c r="J852" i="100"/>
  <c r="K1600" i="98"/>
  <c r="J860" i="100"/>
  <c r="F758" i="23"/>
  <c r="J856" i="100"/>
  <c r="K1620" i="98"/>
  <c r="J878" i="100"/>
  <c r="K1638" i="98"/>
  <c r="J884" i="100"/>
  <c r="K1695" i="98"/>
  <c r="J940" i="100"/>
  <c r="K1711" i="98"/>
  <c r="J956" i="100"/>
  <c r="K1779" i="98"/>
  <c r="J971" i="100"/>
  <c r="K1819" i="98"/>
  <c r="J976" i="100"/>
  <c r="J974" i="100"/>
  <c r="K1839" i="98"/>
  <c r="J989" i="100"/>
  <c r="F855" i="23"/>
  <c r="J997" i="100"/>
  <c r="K1879" i="98"/>
  <c r="J1029" i="100"/>
  <c r="F897" i="23"/>
  <c r="J1048" i="100"/>
  <c r="F907" i="23"/>
  <c r="J1061" i="100"/>
  <c r="J1624" i="100"/>
  <c r="J1623" i="100" s="1"/>
  <c r="J1622" i="100" s="1"/>
  <c r="J1621" i="100" s="1"/>
  <c r="J1099" i="100"/>
  <c r="J1098" i="100" s="1"/>
  <c r="J1097" i="100" s="1"/>
  <c r="J1510" i="100"/>
  <c r="J1509" i="100" s="1"/>
  <c r="J1508" i="100" s="1"/>
  <c r="J1507" i="100" s="1"/>
  <c r="R77" i="19"/>
  <c r="R135" i="19"/>
  <c r="R137" i="19"/>
  <c r="R143" i="19"/>
  <c r="R145" i="19"/>
  <c r="R149" i="19"/>
  <c r="R151" i="19"/>
  <c r="R157" i="19"/>
  <c r="R159" i="19"/>
  <c r="R167" i="19"/>
  <c r="R169" i="19"/>
  <c r="R175" i="19"/>
  <c r="R177" i="19"/>
  <c r="R181" i="19"/>
  <c r="R183" i="19"/>
  <c r="R193" i="19"/>
  <c r="R197" i="19"/>
  <c r="R199" i="19"/>
  <c r="R207" i="19"/>
  <c r="R209" i="19"/>
  <c r="R346" i="19"/>
  <c r="K354" i="19"/>
  <c r="L354" i="19" s="1"/>
  <c r="P376" i="19"/>
  <c r="R436" i="19"/>
  <c r="L507" i="19"/>
  <c r="R507" i="19" s="1"/>
  <c r="Q513" i="19"/>
  <c r="P517" i="19"/>
  <c r="R525" i="19"/>
  <c r="R527" i="19"/>
  <c r="N537" i="19"/>
  <c r="R537" i="19" s="1"/>
  <c r="R629" i="19"/>
  <c r="R631" i="19"/>
  <c r="Q739" i="19"/>
  <c r="P790" i="19"/>
  <c r="R856" i="19"/>
  <c r="R862" i="19"/>
  <c r="R864" i="19"/>
  <c r="M13" i="97"/>
  <c r="M21" i="97"/>
  <c r="M29" i="97"/>
  <c r="M37" i="97"/>
  <c r="M45" i="97"/>
  <c r="M53" i="97"/>
  <c r="M61" i="97"/>
  <c r="M69" i="97"/>
  <c r="M77" i="97"/>
  <c r="M85" i="97"/>
  <c r="M93" i="97"/>
  <c r="M101" i="97"/>
  <c r="M109" i="97"/>
  <c r="K1484" i="98"/>
  <c r="J808" i="100"/>
  <c r="K1491" i="98"/>
  <c r="J812" i="100"/>
  <c r="K1509" i="98"/>
  <c r="J829" i="100"/>
  <c r="K1532" i="98"/>
  <c r="J850" i="100"/>
  <c r="K1564" i="98"/>
  <c r="J853" i="100"/>
  <c r="K1595" i="98"/>
  <c r="J857" i="100"/>
  <c r="F744" i="23"/>
  <c r="J849" i="100"/>
  <c r="K1621" i="98"/>
  <c r="J879" i="100"/>
  <c r="K1640" i="98"/>
  <c r="J885" i="100"/>
  <c r="K1675" i="98"/>
  <c r="J920" i="100"/>
  <c r="K1694" i="98"/>
  <c r="J939" i="100"/>
  <c r="K1704" i="98"/>
  <c r="J949" i="100"/>
  <c r="J947" i="100"/>
  <c r="K1710" i="98"/>
  <c r="J957" i="100"/>
  <c r="J955" i="100"/>
  <c r="K1741" i="98"/>
  <c r="J968" i="100"/>
  <c r="K1781" i="98"/>
  <c r="J972" i="100"/>
  <c r="K1824" i="98"/>
  <c r="J977" i="100"/>
  <c r="K1838" i="98"/>
  <c r="J988" i="100"/>
  <c r="K1840" i="98"/>
  <c r="J990" i="100"/>
  <c r="K1844" i="98"/>
  <c r="J994" i="100"/>
  <c r="K1852" i="98"/>
  <c r="J1002" i="100"/>
  <c r="K1876" i="98"/>
  <c r="J1026" i="100"/>
  <c r="K1899" i="98"/>
  <c r="J1049" i="100"/>
  <c r="F900" i="23"/>
  <c r="J1054" i="100"/>
  <c r="F904" i="23"/>
  <c r="J1058" i="100"/>
  <c r="K1912" i="98"/>
  <c r="J1062" i="100"/>
  <c r="J1065" i="100"/>
  <c r="J2882" i="100"/>
  <c r="K2955" i="98"/>
  <c r="K2954" i="98"/>
  <c r="K2953" i="98" s="1"/>
  <c r="F1256" i="23"/>
  <c r="J1196" i="100"/>
  <c r="J1195" i="100" s="1"/>
  <c r="J1194" i="100" s="1"/>
  <c r="J1193" i="100" s="1"/>
  <c r="J1328" i="100"/>
  <c r="J1327" i="100" s="1"/>
  <c r="J1338" i="100"/>
  <c r="J1579" i="100"/>
  <c r="J1578" i="100" s="1"/>
  <c r="J1577" i="100" s="1"/>
  <c r="J1576" i="100" s="1"/>
  <c r="M123" i="97"/>
  <c r="M131" i="97"/>
  <c r="M139" i="97"/>
  <c r="M147" i="97"/>
  <c r="M155" i="97"/>
  <c r="M163" i="97"/>
  <c r="M171" i="97"/>
  <c r="M179" i="97"/>
  <c r="M187" i="97"/>
  <c r="M195" i="97"/>
  <c r="M203" i="97"/>
  <c r="M211" i="97"/>
  <c r="M219" i="97"/>
  <c r="M227" i="97"/>
  <c r="M235" i="97"/>
  <c r="M243" i="97"/>
  <c r="M251" i="97"/>
  <c r="M259" i="97"/>
  <c r="M267" i="97"/>
  <c r="M275" i="97"/>
  <c r="M283" i="97"/>
  <c r="M291" i="97"/>
  <c r="M299" i="97"/>
  <c r="M307" i="97"/>
  <c r="M315" i="97"/>
  <c r="M323" i="97"/>
  <c r="M121" i="97"/>
  <c r="M145" i="97"/>
  <c r="M169" i="97"/>
  <c r="M119" i="97"/>
  <c r="M127" i="97"/>
  <c r="M135" i="97"/>
  <c r="M143" i="97"/>
  <c r="M151" i="97"/>
  <c r="M159" i="97"/>
  <c r="M167" i="97"/>
  <c r="M175" i="97"/>
  <c r="M129" i="97"/>
  <c r="M137" i="97"/>
  <c r="M153" i="97"/>
  <c r="M161" i="97"/>
  <c r="M177" i="97"/>
  <c r="M117" i="97"/>
  <c r="M125" i="97"/>
  <c r="M133" i="97"/>
  <c r="M141" i="97"/>
  <c r="M149" i="97"/>
  <c r="M157" i="97"/>
  <c r="M165" i="97"/>
  <c r="M173" i="97"/>
  <c r="M185" i="97"/>
  <c r="M193" i="97"/>
  <c r="M201" i="97"/>
  <c r="M209" i="97"/>
  <c r="M217" i="97"/>
  <c r="M225" i="97"/>
  <c r="M233" i="97"/>
  <c r="M241" i="97"/>
  <c r="M249" i="97"/>
  <c r="M257" i="97"/>
  <c r="M265" i="97"/>
  <c r="M273" i="97"/>
  <c r="M281" i="97"/>
  <c r="M289" i="97"/>
  <c r="M297" i="97"/>
  <c r="M305" i="97"/>
  <c r="M313" i="97"/>
  <c r="M321" i="97"/>
  <c r="M183" i="97"/>
  <c r="M191" i="97"/>
  <c r="M199" i="97"/>
  <c r="M207" i="97"/>
  <c r="M215" i="97"/>
  <c r="M223" i="97"/>
  <c r="M231" i="97"/>
  <c r="M239" i="97"/>
  <c r="M247" i="97"/>
  <c r="M255" i="97"/>
  <c r="M263" i="97"/>
  <c r="M271" i="97"/>
  <c r="M279" i="97"/>
  <c r="M287" i="97"/>
  <c r="M295" i="97"/>
  <c r="M303" i="97"/>
  <c r="M311" i="97"/>
  <c r="M319" i="97"/>
  <c r="M181" i="97"/>
  <c r="M189" i="97"/>
  <c r="M197" i="97"/>
  <c r="M205" i="97"/>
  <c r="M213" i="97"/>
  <c r="M221" i="97"/>
  <c r="M229" i="97"/>
  <c r="M237" i="97"/>
  <c r="M245" i="97"/>
  <c r="M253" i="97"/>
  <c r="M261" i="97"/>
  <c r="M269" i="97"/>
  <c r="M277" i="97"/>
  <c r="M285" i="97"/>
  <c r="M293" i="97"/>
  <c r="M301" i="97"/>
  <c r="M309" i="97"/>
  <c r="M317" i="97"/>
  <c r="M331" i="97"/>
  <c r="M340" i="97"/>
  <c r="M348" i="97"/>
  <c r="M356" i="97"/>
  <c r="M364" i="97"/>
  <c r="M372" i="97"/>
  <c r="M380" i="97"/>
  <c r="M388" i="97"/>
  <c r="M396" i="97"/>
  <c r="M404" i="97"/>
  <c r="M412" i="97"/>
  <c r="M426" i="97"/>
  <c r="M329" i="97"/>
  <c r="M337" i="97"/>
  <c r="M346" i="97"/>
  <c r="M354" i="97"/>
  <c r="M362" i="97"/>
  <c r="M370" i="97"/>
  <c r="M378" i="97"/>
  <c r="M386" i="97"/>
  <c r="M394" i="97"/>
  <c r="M402" i="97"/>
  <c r="M410" i="97"/>
  <c r="M418" i="97"/>
  <c r="M327" i="97"/>
  <c r="M335" i="97"/>
  <c r="M344" i="97"/>
  <c r="M352" i="97"/>
  <c r="M360" i="97"/>
  <c r="M368" i="97"/>
  <c r="M376" i="97"/>
  <c r="M384" i="97"/>
  <c r="M392" i="97"/>
  <c r="M400" i="97"/>
  <c r="M408" i="97"/>
  <c r="M416" i="97"/>
  <c r="M325" i="97"/>
  <c r="M333" i="97"/>
  <c r="M342" i="97"/>
  <c r="M350" i="97"/>
  <c r="M358" i="97"/>
  <c r="M366" i="97"/>
  <c r="M374" i="97"/>
  <c r="M382" i="97"/>
  <c r="M390" i="97"/>
  <c r="M398" i="97"/>
  <c r="M406" i="97"/>
  <c r="M414" i="97"/>
  <c r="M427" i="97"/>
  <c r="M431" i="97"/>
  <c r="M435" i="97"/>
  <c r="M449" i="97"/>
  <c r="M457" i="97"/>
  <c r="M465" i="97"/>
  <c r="M473" i="97"/>
  <c r="M481" i="97"/>
  <c r="M489" i="97"/>
  <c r="M497" i="97"/>
  <c r="M505" i="97"/>
  <c r="M513" i="97"/>
  <c r="M521" i="97"/>
  <c r="M529" i="97"/>
  <c r="M537" i="97"/>
  <c r="M545" i="97"/>
  <c r="M553" i="97"/>
  <c r="M561" i="97"/>
  <c r="M569" i="97"/>
  <c r="M577" i="97"/>
  <c r="M585" i="97"/>
  <c r="M593" i="97"/>
  <c r="M601" i="97"/>
  <c r="M609" i="97"/>
  <c r="M617" i="97"/>
  <c r="M625" i="97"/>
  <c r="M633" i="97"/>
  <c r="M641" i="97"/>
  <c r="M649" i="97"/>
  <c r="M657" i="97"/>
  <c r="M665" i="97"/>
  <c r="M673" i="97"/>
  <c r="M681" i="97"/>
  <c r="M689" i="97"/>
  <c r="M697" i="97"/>
  <c r="M705" i="97"/>
  <c r="M713" i="97"/>
  <c r="K1892" i="98"/>
  <c r="K2824" i="98"/>
  <c r="K2827" i="98" s="1"/>
  <c r="K2828" i="98" s="1"/>
  <c r="D827" i="23"/>
  <c r="E827" i="23" s="1"/>
  <c r="K1836" i="98"/>
  <c r="K2495" i="98"/>
  <c r="K2494" i="98" s="1"/>
  <c r="K2493" i="98" s="1"/>
  <c r="K2492" i="98" s="1"/>
  <c r="K2248" i="98"/>
  <c r="K2247" i="98" s="1"/>
  <c r="K2246" i="98" s="1"/>
  <c r="K2245" i="98" s="1"/>
  <c r="K2049" i="98"/>
  <c r="K2048" i="98" s="1"/>
  <c r="K2047" i="98" s="1"/>
  <c r="K2046" i="98" s="1"/>
  <c r="R103" i="19"/>
  <c r="R337" i="19"/>
  <c r="Q511" i="19"/>
  <c r="N511" i="19"/>
  <c r="K531" i="19"/>
  <c r="L533" i="19"/>
  <c r="K771" i="19"/>
  <c r="L771" i="19" s="1"/>
  <c r="L773" i="19"/>
  <c r="R17" i="19"/>
  <c r="N33" i="19"/>
  <c r="Q75" i="19"/>
  <c r="R81" i="19"/>
  <c r="N85" i="19"/>
  <c r="N87" i="19"/>
  <c r="P105" i="19"/>
  <c r="R105" i="19" s="1"/>
  <c r="R111" i="19"/>
  <c r="R121" i="19"/>
  <c r="L125" i="19"/>
  <c r="R211" i="19"/>
  <c r="Q319" i="19"/>
  <c r="P463" i="19"/>
  <c r="P503" i="19"/>
  <c r="P511" i="19"/>
  <c r="R511" i="19" s="1"/>
  <c r="P523" i="19"/>
  <c r="N533" i="19"/>
  <c r="R565" i="19"/>
  <c r="R567" i="19"/>
  <c r="R625" i="19"/>
  <c r="L627" i="19"/>
  <c r="L655" i="19"/>
  <c r="L679" i="19"/>
  <c r="L737" i="19"/>
  <c r="P834" i="19"/>
  <c r="M820" i="19"/>
  <c r="P820" i="19" s="1"/>
  <c r="L854" i="19"/>
  <c r="M429" i="97"/>
  <c r="F10" i="23" s="1"/>
  <c r="M434" i="97"/>
  <c r="M440" i="97"/>
  <c r="M455" i="97"/>
  <c r="M463" i="97"/>
  <c r="M471" i="97"/>
  <c r="M479" i="97"/>
  <c r="M487" i="97"/>
  <c r="M495" i="97"/>
  <c r="M503" i="97"/>
  <c r="M511" i="97"/>
  <c r="M519" i="97"/>
  <c r="M527" i="97"/>
  <c r="M535" i="97"/>
  <c r="M543" i="97"/>
  <c r="M551" i="97"/>
  <c r="M559" i="97"/>
  <c r="M567" i="97"/>
  <c r="M575" i="97"/>
  <c r="M583" i="97"/>
  <c r="M591" i="97"/>
  <c r="M599" i="97"/>
  <c r="M607" i="97"/>
  <c r="M615" i="97"/>
  <c r="M623" i="97"/>
  <c r="M631" i="97"/>
  <c r="M639" i="97"/>
  <c r="M647" i="97"/>
  <c r="M655" i="97"/>
  <c r="M663" i="97"/>
  <c r="M671" i="97"/>
  <c r="M679" i="97"/>
  <c r="M687" i="97"/>
  <c r="M695" i="97"/>
  <c r="M703" i="97"/>
  <c r="M711" i="97"/>
  <c r="K2384" i="98"/>
  <c r="K2383" i="98" s="1"/>
  <c r="K2382" i="98" s="1"/>
  <c r="K2381" i="98" s="1"/>
  <c r="R31" i="19"/>
  <c r="L105" i="19"/>
  <c r="Q105" i="19"/>
  <c r="K119" i="19"/>
  <c r="P185" i="19"/>
  <c r="R185" i="19" s="1"/>
  <c r="Q211" i="19"/>
  <c r="Q235" i="19"/>
  <c r="N299" i="19"/>
  <c r="R305" i="19"/>
  <c r="R313" i="19"/>
  <c r="R319" i="19"/>
  <c r="P329" i="19"/>
  <c r="R329" i="19" s="1"/>
  <c r="J344" i="19"/>
  <c r="J434" i="19" s="1"/>
  <c r="J433" i="19" s="1"/>
  <c r="R352" i="19"/>
  <c r="R457" i="19"/>
  <c r="R469" i="19"/>
  <c r="J475" i="19"/>
  <c r="Q475" i="19" s="1"/>
  <c r="L477" i="19"/>
  <c r="R477" i="19" s="1"/>
  <c r="Q503" i="19"/>
  <c r="R519" i="19"/>
  <c r="L523" i="19"/>
  <c r="K521" i="19"/>
  <c r="K879" i="19" s="1"/>
  <c r="L879" i="19" s="1"/>
  <c r="N553" i="19"/>
  <c r="R561" i="19"/>
  <c r="R577" i="19"/>
  <c r="R581" i="19"/>
  <c r="R583" i="19"/>
  <c r="R589" i="19"/>
  <c r="R591" i="19"/>
  <c r="R599" i="19"/>
  <c r="R601" i="19"/>
  <c r="R607" i="19"/>
  <c r="R609" i="19"/>
  <c r="R613" i="19"/>
  <c r="R615" i="19"/>
  <c r="R621" i="19"/>
  <c r="R623" i="19"/>
  <c r="R639" i="19"/>
  <c r="N647" i="19"/>
  <c r="R653" i="19"/>
  <c r="R657" i="19"/>
  <c r="M659" i="19"/>
  <c r="N659" i="19" s="1"/>
  <c r="R661" i="19"/>
  <c r="R669" i="19"/>
  <c r="R677" i="19"/>
  <c r="N679" i="19"/>
  <c r="R681" i="19"/>
  <c r="R693" i="19"/>
  <c r="R695" i="19"/>
  <c r="R701" i="19"/>
  <c r="R715" i="19"/>
  <c r="R723" i="19"/>
  <c r="R725" i="19"/>
  <c r="R727" i="19"/>
  <c r="R733" i="19"/>
  <c r="L743" i="19"/>
  <c r="K755" i="19"/>
  <c r="K557" i="19" s="1"/>
  <c r="N757" i="19"/>
  <c r="R761" i="19"/>
  <c r="P763" i="19"/>
  <c r="O771" i="19"/>
  <c r="P771" i="19" s="1"/>
  <c r="N773" i="19"/>
  <c r="R779" i="19"/>
  <c r="N790" i="19"/>
  <c r="R814" i="19"/>
  <c r="K852" i="19"/>
  <c r="K850" i="19" s="1"/>
  <c r="L850" i="19" s="1"/>
  <c r="R858" i="19"/>
  <c r="R860" i="19"/>
  <c r="M428" i="97"/>
  <c r="M433" i="97"/>
  <c r="M438" i="97"/>
  <c r="M453" i="97"/>
  <c r="M461" i="97"/>
  <c r="M469" i="97"/>
  <c r="M477" i="97"/>
  <c r="M485" i="97"/>
  <c r="M493" i="97"/>
  <c r="M501" i="97"/>
  <c r="M509" i="97"/>
  <c r="M517" i="97"/>
  <c r="M525" i="97"/>
  <c r="M533" i="97"/>
  <c r="M541" i="97"/>
  <c r="M549" i="97"/>
  <c r="M557" i="97"/>
  <c r="M565" i="97"/>
  <c r="M573" i="97"/>
  <c r="M581" i="97"/>
  <c r="M589" i="97"/>
  <c r="M597" i="97"/>
  <c r="M605" i="97"/>
  <c r="M613" i="97"/>
  <c r="M621" i="97"/>
  <c r="M629" i="97"/>
  <c r="M637" i="97"/>
  <c r="M645" i="97"/>
  <c r="M653" i="97"/>
  <c r="M661" i="97"/>
  <c r="M669" i="97"/>
  <c r="M677" i="97"/>
  <c r="M685" i="97"/>
  <c r="M693" i="97"/>
  <c r="M701" i="97"/>
  <c r="M709" i="97"/>
  <c r="M717" i="97"/>
  <c r="R15" i="19"/>
  <c r="M19" i="19"/>
  <c r="M11" i="19" s="1"/>
  <c r="M429" i="19" s="1"/>
  <c r="R25" i="19"/>
  <c r="R83" i="19"/>
  <c r="R89" i="19"/>
  <c r="P97" i="19"/>
  <c r="R97" i="19" s="1"/>
  <c r="Q121" i="19"/>
  <c r="R129" i="19"/>
  <c r="R133" i="19"/>
  <c r="R139" i="19"/>
  <c r="R141" i="19"/>
  <c r="R153" i="19"/>
  <c r="R161" i="19"/>
  <c r="R165" i="19"/>
  <c r="R171" i="19"/>
  <c r="R173" i="19"/>
  <c r="R201" i="19"/>
  <c r="R205" i="19"/>
  <c r="R213" i="19"/>
  <c r="R217" i="19"/>
  <c r="R223" i="19"/>
  <c r="R225" i="19"/>
  <c r="R229" i="19"/>
  <c r="R231" i="19"/>
  <c r="R239" i="19"/>
  <c r="R241" i="19"/>
  <c r="R247" i="19"/>
  <c r="R249" i="19"/>
  <c r="R253" i="19"/>
  <c r="R255" i="19"/>
  <c r="R261" i="19"/>
  <c r="R263" i="19"/>
  <c r="R271" i="19"/>
  <c r="R273" i="19"/>
  <c r="R279" i="19"/>
  <c r="R281" i="19"/>
  <c r="R285" i="19"/>
  <c r="R287" i="19"/>
  <c r="R293" i="19"/>
  <c r="R295" i="19"/>
  <c r="Q299" i="19"/>
  <c r="Q311" i="19"/>
  <c r="R333" i="19"/>
  <c r="R335" i="19"/>
  <c r="K344" i="19"/>
  <c r="L344" i="19" s="1"/>
  <c r="R358" i="19"/>
  <c r="Q436" i="19"/>
  <c r="Q439" i="19"/>
  <c r="P439" i="19"/>
  <c r="R439" i="19" s="1"/>
  <c r="R481" i="19"/>
  <c r="R483" i="19"/>
  <c r="R495" i="19"/>
  <c r="R509" i="19"/>
  <c r="L513" i="19"/>
  <c r="N523" i="19"/>
  <c r="R535" i="19"/>
  <c r="J531" i="19"/>
  <c r="R545" i="19"/>
  <c r="R547" i="19"/>
  <c r="P549" i="19"/>
  <c r="Q549" i="19"/>
  <c r="P773" i="19"/>
  <c r="R773" i="19" s="1"/>
  <c r="R796" i="19"/>
  <c r="R802" i="19"/>
  <c r="Q808" i="19"/>
  <c r="N812" i="19"/>
  <c r="Q818" i="19"/>
  <c r="L818" i="19"/>
  <c r="R818" i="19" s="1"/>
  <c r="R840" i="19"/>
  <c r="P852" i="19"/>
  <c r="O850" i="19"/>
  <c r="O885" i="19" s="1"/>
  <c r="M432" i="97"/>
  <c r="M437" i="97"/>
  <c r="M451" i="97"/>
  <c r="M459" i="97"/>
  <c r="M467" i="97"/>
  <c r="M475" i="97"/>
  <c r="M483" i="97"/>
  <c r="M491" i="97"/>
  <c r="M499" i="97"/>
  <c r="M507" i="97"/>
  <c r="M515" i="97"/>
  <c r="M523" i="97"/>
  <c r="M531" i="97"/>
  <c r="M539" i="97"/>
  <c r="M547" i="97"/>
  <c r="M555" i="97"/>
  <c r="M563" i="97"/>
  <c r="M571" i="97"/>
  <c r="M579" i="97"/>
  <c r="M587" i="97"/>
  <c r="M595" i="97"/>
  <c r="M603" i="97"/>
  <c r="M611" i="97"/>
  <c r="M619" i="97"/>
  <c r="M627" i="97"/>
  <c r="M635" i="97"/>
  <c r="M643" i="97"/>
  <c r="M651" i="97"/>
  <c r="M659" i="97"/>
  <c r="M667" i="97"/>
  <c r="M675" i="97"/>
  <c r="M683" i="97"/>
  <c r="M691" i="97"/>
  <c r="M699" i="97"/>
  <c r="M707" i="97"/>
  <c r="M715" i="97"/>
  <c r="M725" i="97"/>
  <c r="M733" i="97"/>
  <c r="M741" i="97"/>
  <c r="M749" i="97"/>
  <c r="M757" i="97"/>
  <c r="M765" i="97"/>
  <c r="M773" i="97"/>
  <c r="M781" i="97"/>
  <c r="M790" i="97"/>
  <c r="M798" i="97"/>
  <c r="M806" i="97"/>
  <c r="M814" i="97"/>
  <c r="M822" i="97"/>
  <c r="M830" i="97"/>
  <c r="M838" i="97"/>
  <c r="M846" i="97"/>
  <c r="M854" i="97"/>
  <c r="M862" i="97"/>
  <c r="M874" i="97"/>
  <c r="M879" i="97"/>
  <c r="M884" i="97"/>
  <c r="Q33" i="19"/>
  <c r="R41" i="19"/>
  <c r="R49" i="19"/>
  <c r="R53" i="19"/>
  <c r="R59" i="19"/>
  <c r="R61" i="19"/>
  <c r="R69" i="19"/>
  <c r="R71" i="19"/>
  <c r="R79" i="19"/>
  <c r="R87" i="19"/>
  <c r="R101" i="19"/>
  <c r="R109" i="19"/>
  <c r="R113" i="19"/>
  <c r="R115" i="19"/>
  <c r="R123" i="19"/>
  <c r="Q131" i="19"/>
  <c r="F59" i="23" s="1"/>
  <c r="R189" i="19"/>
  <c r="J119" i="19"/>
  <c r="J93" i="19" s="1"/>
  <c r="J431" i="19" s="1"/>
  <c r="R191" i="19"/>
  <c r="L235" i="19"/>
  <c r="R297" i="19"/>
  <c r="R301" i="19"/>
  <c r="R303" i="19"/>
  <c r="R317" i="19"/>
  <c r="Q323" i="19"/>
  <c r="R360" i="19"/>
  <c r="R362" i="19"/>
  <c r="L372" i="19"/>
  <c r="R414" i="19"/>
  <c r="R416" i="19"/>
  <c r="R473" i="19"/>
  <c r="Q517" i="19"/>
  <c r="R539" i="19"/>
  <c r="Q627" i="19"/>
  <c r="Q655" i="19"/>
  <c r="N743" i="19"/>
  <c r="R751" i="19"/>
  <c r="R753" i="19"/>
  <c r="R783" i="19"/>
  <c r="R824" i="19"/>
  <c r="R826" i="19"/>
  <c r="R844" i="19"/>
  <c r="M856" i="97"/>
  <c r="M864" i="97"/>
  <c r="M875" i="97"/>
  <c r="M880" i="97"/>
  <c r="M886" i="97"/>
  <c r="K1896" i="98"/>
  <c r="K2021" i="98"/>
  <c r="K2020" i="98" s="1"/>
  <c r="K2019" i="98" s="1"/>
  <c r="K2018" i="98" s="1"/>
  <c r="K2077" i="98"/>
  <c r="K2076" i="98" s="1"/>
  <c r="K2075" i="98" s="1"/>
  <c r="K2074" i="98" s="1"/>
  <c r="K1933" i="98"/>
  <c r="K1932" i="98" s="1"/>
  <c r="K1931" i="98" s="1"/>
  <c r="K1930" i="98" s="1"/>
  <c r="K2329" i="98"/>
  <c r="K2328" i="98" s="1"/>
  <c r="K2327" i="98" s="1"/>
  <c r="K2326" i="98" s="1"/>
  <c r="K2105" i="98"/>
  <c r="K2104" i="98" s="1"/>
  <c r="K2103" i="98" s="1"/>
  <c r="K2102" i="98" s="1"/>
  <c r="K2228" i="98"/>
  <c r="K2219" i="98"/>
  <c r="K2218" i="98" s="1"/>
  <c r="K2229" i="98"/>
  <c r="K1916" i="98"/>
  <c r="F902" i="23"/>
  <c r="K1958" i="98"/>
  <c r="K1957" i="98" s="1"/>
  <c r="K1956" i="98" s="1"/>
  <c r="K1955" i="98" s="1"/>
  <c r="K1477" i="98"/>
  <c r="K1895" i="98"/>
  <c r="K1893" i="98"/>
  <c r="K1530" i="98"/>
  <c r="K1894" i="98"/>
  <c r="K1904" i="98"/>
  <c r="K1908" i="98"/>
  <c r="K1910" i="98"/>
  <c r="K1914" i="98"/>
  <c r="F912" i="23"/>
  <c r="K1909" i="98"/>
  <c r="K1911" i="98"/>
  <c r="K1846" i="98"/>
  <c r="K1898" i="98"/>
  <c r="K1913" i="98"/>
  <c r="K1843" i="98"/>
  <c r="K1847" i="98"/>
  <c r="K1886" i="98"/>
  <c r="K1915" i="98"/>
  <c r="K1826" i="98"/>
  <c r="F850" i="23"/>
  <c r="K1853" i="98"/>
  <c r="K1875" i="98"/>
  <c r="K1737" i="98"/>
  <c r="K1696" i="98"/>
  <c r="K1712" i="98"/>
  <c r="K1702" i="98"/>
  <c r="F831" i="23"/>
  <c r="F839" i="23"/>
  <c r="F833" i="23"/>
  <c r="F852" i="23"/>
  <c r="K1790" i="98"/>
  <c r="F835" i="23"/>
  <c r="F828" i="23"/>
  <c r="K1628" i="98"/>
  <c r="K1575" i="98"/>
  <c r="F826" i="23"/>
  <c r="K1478" i="98"/>
  <c r="K1590" i="98"/>
  <c r="K1617" i="98"/>
  <c r="K1632" i="98"/>
  <c r="F773" i="23"/>
  <c r="K1537" i="98"/>
  <c r="K1489" i="98"/>
  <c r="K1486" i="98"/>
  <c r="K1485" i="98"/>
  <c r="K1481" i="98"/>
  <c r="M723" i="97"/>
  <c r="M731" i="97"/>
  <c r="M739" i="97"/>
  <c r="M747" i="97"/>
  <c r="M755" i="97"/>
  <c r="M763" i="97"/>
  <c r="M771" i="97"/>
  <c r="M779" i="97"/>
  <c r="M788" i="97"/>
  <c r="M796" i="97"/>
  <c r="M804" i="97"/>
  <c r="M812" i="97"/>
  <c r="M820" i="97"/>
  <c r="M828" i="97"/>
  <c r="M836" i="97"/>
  <c r="M844" i="97"/>
  <c r="M852" i="97"/>
  <c r="M860" i="97"/>
  <c r="M873" i="97"/>
  <c r="M878" i="97"/>
  <c r="M883" i="97"/>
  <c r="M721" i="97"/>
  <c r="M729" i="97"/>
  <c r="M737" i="97"/>
  <c r="M745" i="97"/>
  <c r="M753" i="97"/>
  <c r="M761" i="97"/>
  <c r="M769" i="97"/>
  <c r="M777" i="97"/>
  <c r="M786" i="97"/>
  <c r="F78" i="23" s="1"/>
  <c r="M794" i="97"/>
  <c r="M802" i="97"/>
  <c r="M810" i="97"/>
  <c r="M818" i="97"/>
  <c r="M826" i="97"/>
  <c r="M834" i="97"/>
  <c r="M842" i="97"/>
  <c r="M850" i="97"/>
  <c r="M858" i="97"/>
  <c r="M872" i="97"/>
  <c r="M877" i="97"/>
  <c r="M881" i="97"/>
  <c r="M719" i="97"/>
  <c r="M727" i="97"/>
  <c r="M735" i="97"/>
  <c r="M743" i="97"/>
  <c r="M751" i="97"/>
  <c r="M759" i="97"/>
  <c r="M767" i="97"/>
  <c r="M775" i="97"/>
  <c r="M784" i="97"/>
  <c r="M792" i="97"/>
  <c r="M800" i="97"/>
  <c r="M808" i="97"/>
  <c r="M816" i="97"/>
  <c r="M824" i="97"/>
  <c r="M832" i="97"/>
  <c r="M840" i="97"/>
  <c r="M848" i="97"/>
  <c r="J342" i="19"/>
  <c r="R311" i="19"/>
  <c r="R315" i="19"/>
  <c r="P436" i="19"/>
  <c r="P471" i="19"/>
  <c r="Q471" i="19"/>
  <c r="Q645" i="19"/>
  <c r="P755" i="19"/>
  <c r="P794" i="19"/>
  <c r="P806" i="19"/>
  <c r="N806" i="19"/>
  <c r="M800" i="19"/>
  <c r="P800" i="19" s="1"/>
  <c r="Q806" i="19"/>
  <c r="Q812" i="19"/>
  <c r="P812" i="19"/>
  <c r="N850" i="19"/>
  <c r="M885" i="19"/>
  <c r="P888" i="19"/>
  <c r="R888" i="19" s="1"/>
  <c r="Q888" i="19"/>
  <c r="J19" i="19"/>
  <c r="J11" i="19" s="1"/>
  <c r="R27" i="19"/>
  <c r="P29" i="19"/>
  <c r="R29" i="19" s="1"/>
  <c r="R51" i="19"/>
  <c r="P75" i="19"/>
  <c r="Q95" i="19"/>
  <c r="P131" i="19"/>
  <c r="R163" i="19"/>
  <c r="P203" i="19"/>
  <c r="P235" i="19"/>
  <c r="R267" i="19"/>
  <c r="L323" i="19"/>
  <c r="R348" i="19"/>
  <c r="P350" i="19"/>
  <c r="R350" i="19" s="1"/>
  <c r="L356" i="19"/>
  <c r="R356" i="19" s="1"/>
  <c r="K404" i="19"/>
  <c r="P404" i="19"/>
  <c r="P406" i="19"/>
  <c r="R406" i="19" s="1"/>
  <c r="P455" i="19"/>
  <c r="R455" i="19" s="1"/>
  <c r="Q455" i="19"/>
  <c r="O461" i="19"/>
  <c r="P475" i="19"/>
  <c r="R505" i="19"/>
  <c r="L517" i="19"/>
  <c r="R517" i="19" s="1"/>
  <c r="P541" i="19"/>
  <c r="R549" i="19"/>
  <c r="Q559" i="19"/>
  <c r="P559" i="19"/>
  <c r="R595" i="19"/>
  <c r="R597" i="19"/>
  <c r="J635" i="19"/>
  <c r="Q635" i="19" s="1"/>
  <c r="P655" i="19"/>
  <c r="R745" i="19"/>
  <c r="Q759" i="19"/>
  <c r="P759" i="19"/>
  <c r="R759" i="19" s="1"/>
  <c r="L767" i="19"/>
  <c r="N767" i="19"/>
  <c r="N794" i="19"/>
  <c r="O798" i="19"/>
  <c r="Q816" i="19"/>
  <c r="L816" i="19"/>
  <c r="K820" i="19"/>
  <c r="L820" i="19" s="1"/>
  <c r="L834" i="19"/>
  <c r="L842" i="19"/>
  <c r="R842" i="19" s="1"/>
  <c r="Q842" i="19"/>
  <c r="P846" i="19"/>
  <c r="R846" i="19" s="1"/>
  <c r="Q846" i="19"/>
  <c r="O19" i="19"/>
  <c r="L33" i="19"/>
  <c r="R43" i="19"/>
  <c r="L65" i="19"/>
  <c r="R65" i="19" s="1"/>
  <c r="O85" i="19"/>
  <c r="Q87" i="19"/>
  <c r="M93" i="19"/>
  <c r="R99" i="19"/>
  <c r="Q103" i="19"/>
  <c r="O119" i="19"/>
  <c r="L131" i="19"/>
  <c r="R155" i="19"/>
  <c r="R187" i="19"/>
  <c r="Q191" i="19"/>
  <c r="P215" i="19"/>
  <c r="R259" i="19"/>
  <c r="R291" i="19"/>
  <c r="Q295" i="19"/>
  <c r="P299" i="19"/>
  <c r="N323" i="19"/>
  <c r="R339" i="19"/>
  <c r="M354" i="19"/>
  <c r="P364" i="19"/>
  <c r="L368" i="19"/>
  <c r="R368" i="19" s="1"/>
  <c r="Q368" i="19"/>
  <c r="P372" i="19"/>
  <c r="R372" i="19" s="1"/>
  <c r="L376" i="19"/>
  <c r="Q376" i="19"/>
  <c r="L400" i="19"/>
  <c r="R400" i="19" s="1"/>
  <c r="Q400" i="19"/>
  <c r="Q404" i="19"/>
  <c r="Q463" i="19"/>
  <c r="L521" i="19"/>
  <c r="Q543" i="19"/>
  <c r="P543" i="19"/>
  <c r="L559" i="19"/>
  <c r="N563" i="19"/>
  <c r="L635" i="19"/>
  <c r="R641" i="19"/>
  <c r="R643" i="19"/>
  <c r="P647" i="19"/>
  <c r="Q679" i="19"/>
  <c r="R683" i="19"/>
  <c r="R685" i="19"/>
  <c r="R687" i="19"/>
  <c r="Q743" i="19"/>
  <c r="P743" i="19"/>
  <c r="R743" i="19" s="1"/>
  <c r="Q763" i="19"/>
  <c r="L763" i="19"/>
  <c r="R816" i="19"/>
  <c r="N842" i="19"/>
  <c r="N854" i="19"/>
  <c r="P13" i="19"/>
  <c r="R13" i="19" s="1"/>
  <c r="K19" i="19"/>
  <c r="P21" i="19"/>
  <c r="R21" i="19" s="1"/>
  <c r="R35" i="19"/>
  <c r="R67" i="19"/>
  <c r="N75" i="19"/>
  <c r="K85" i="19"/>
  <c r="R91" i="19"/>
  <c r="N95" i="19"/>
  <c r="R95" i="19" s="1"/>
  <c r="R107" i="19"/>
  <c r="Q111" i="19"/>
  <c r="Q125" i="19"/>
  <c r="F58" i="23" s="1"/>
  <c r="N131" i="19"/>
  <c r="R147" i="19"/>
  <c r="R179" i="19"/>
  <c r="R195" i="19"/>
  <c r="N203" i="19"/>
  <c r="L215" i="19"/>
  <c r="Q215" i="19"/>
  <c r="R227" i="19"/>
  <c r="N235" i="19"/>
  <c r="R251" i="19"/>
  <c r="R283" i="19"/>
  <c r="R331" i="19"/>
  <c r="O354" i="19"/>
  <c r="M436" i="19"/>
  <c r="N436" i="19" s="1"/>
  <c r="N404" i="19"/>
  <c r="P435" i="19"/>
  <c r="R434" i="19" s="1"/>
  <c r="Q434" i="19"/>
  <c r="L463" i="19"/>
  <c r="K461" i="19"/>
  <c r="N513" i="19"/>
  <c r="M521" i="19"/>
  <c r="M531" i="19"/>
  <c r="Q533" i="19"/>
  <c r="L543" i="19"/>
  <c r="K541" i="19"/>
  <c r="M557" i="19"/>
  <c r="P557" i="19" s="1"/>
  <c r="L563" i="19"/>
  <c r="N569" i="19"/>
  <c r="R575" i="19"/>
  <c r="P627" i="19"/>
  <c r="R627" i="19" s="1"/>
  <c r="Q647" i="19"/>
  <c r="L659" i="19"/>
  <c r="R671" i="19"/>
  <c r="R673" i="19"/>
  <c r="N737" i="19"/>
  <c r="R737" i="19" s="1"/>
  <c r="R763" i="19"/>
  <c r="Q767" i="19"/>
  <c r="P767" i="19"/>
  <c r="Q773" i="19"/>
  <c r="R781" i="19"/>
  <c r="R836" i="19"/>
  <c r="R838" i="19"/>
  <c r="K885" i="19"/>
  <c r="M461" i="19"/>
  <c r="N461" i="19" s="1"/>
  <c r="R467" i="19"/>
  <c r="L471" i="19"/>
  <c r="R497" i="19"/>
  <c r="R587" i="19"/>
  <c r="R619" i="19"/>
  <c r="R663" i="19"/>
  <c r="R717" i="19"/>
  <c r="R757" i="19"/>
  <c r="J788" i="19"/>
  <c r="K453" i="19"/>
  <c r="R459" i="19"/>
  <c r="N463" i="19"/>
  <c r="N475" i="19"/>
  <c r="Q477" i="19"/>
  <c r="R489" i="19"/>
  <c r="P513" i="19"/>
  <c r="O879" i="19"/>
  <c r="P533" i="19"/>
  <c r="Q537" i="19"/>
  <c r="L553" i="19"/>
  <c r="Q553" i="19"/>
  <c r="J569" i="19"/>
  <c r="Q569" i="19" s="1"/>
  <c r="P569" i="19"/>
  <c r="R579" i="19"/>
  <c r="R611" i="19"/>
  <c r="R633" i="19"/>
  <c r="P635" i="19"/>
  <c r="N655" i="19"/>
  <c r="P679" i="19"/>
  <c r="R739" i="19"/>
  <c r="L769" i="19"/>
  <c r="R769" i="19" s="1"/>
  <c r="J771" i="19"/>
  <c r="Q794" i="19"/>
  <c r="L800" i="19"/>
  <c r="R810" i="19"/>
  <c r="L812" i="19"/>
  <c r="Q852" i="19"/>
  <c r="Q854" i="19"/>
  <c r="R709" i="19"/>
  <c r="Q737" i="19"/>
  <c r="R765" i="19"/>
  <c r="Q781" i="19"/>
  <c r="R804" i="19"/>
  <c r="R832" i="19"/>
  <c r="N834" i="19"/>
  <c r="P854" i="19"/>
  <c r="D581" i="23"/>
  <c r="D577" i="23"/>
  <c r="D579" i="23" s="1"/>
  <c r="E579" i="23" s="1"/>
  <c r="E596" i="23"/>
  <c r="D595" i="23"/>
  <c r="E595" i="23" s="1"/>
  <c r="E594" i="23"/>
  <c r="E593" i="23"/>
  <c r="E578" i="23"/>
  <c r="E576" i="23"/>
  <c r="E714" i="23"/>
  <c r="E713" i="23"/>
  <c r="E712" i="23"/>
  <c r="E711" i="23"/>
  <c r="E710" i="23"/>
  <c r="E709" i="23"/>
  <c r="E708" i="23"/>
  <c r="E706" i="23"/>
  <c r="E705" i="23"/>
  <c r="E704" i="23"/>
  <c r="E703" i="23"/>
  <c r="E702" i="23"/>
  <c r="E700" i="23"/>
  <c r="E699" i="23"/>
  <c r="E698" i="23"/>
  <c r="E697" i="23"/>
  <c r="E696" i="23"/>
  <c r="E694" i="23"/>
  <c r="E693" i="23"/>
  <c r="E692" i="23"/>
  <c r="E691" i="23"/>
  <c r="E690" i="23"/>
  <c r="E688" i="23"/>
  <c r="E687" i="23"/>
  <c r="E686" i="23"/>
  <c r="E685" i="23"/>
  <c r="E684" i="23"/>
  <c r="E683" i="23"/>
  <c r="E681" i="23"/>
  <c r="E680" i="23"/>
  <c r="E679" i="23"/>
  <c r="E678" i="23"/>
  <c r="E677" i="23"/>
  <c r="E676" i="23"/>
  <c r="E675" i="23"/>
  <c r="E673" i="23"/>
  <c r="E672" i="23"/>
  <c r="E671" i="23"/>
  <c r="E670" i="23"/>
  <c r="E669" i="23"/>
  <c r="E668" i="23"/>
  <c r="E663" i="23"/>
  <c r="E661" i="23"/>
  <c r="E659" i="23"/>
  <c r="E657" i="23"/>
  <c r="E656" i="23"/>
  <c r="E655" i="23"/>
  <c r="K1365" i="98"/>
  <c r="K1364" i="98" s="1"/>
  <c r="K1363" i="98" s="1"/>
  <c r="K1362" i="98" s="1"/>
  <c r="E651" i="23"/>
  <c r="E650" i="23"/>
  <c r="E649" i="23"/>
  <c r="E648" i="23"/>
  <c r="E647" i="23"/>
  <c r="J680" i="100"/>
  <c r="E645" i="23"/>
  <c r="E644" i="23"/>
  <c r="E643" i="23"/>
  <c r="E641" i="23"/>
  <c r="E640" i="23"/>
  <c r="E639" i="23"/>
  <c r="E638" i="23"/>
  <c r="E637" i="23"/>
  <c r="E636" i="23"/>
  <c r="E635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7" i="23"/>
  <c r="E616" i="23"/>
  <c r="E615" i="23"/>
  <c r="E614" i="23"/>
  <c r="E613" i="23"/>
  <c r="E612" i="23"/>
  <c r="E611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4" i="23"/>
  <c r="E573" i="23"/>
  <c r="E572" i="23"/>
  <c r="E571" i="23"/>
  <c r="J593" i="100" s="1"/>
  <c r="E570" i="23"/>
  <c r="E569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0" i="23"/>
  <c r="E549" i="23"/>
  <c r="E548" i="23"/>
  <c r="J565" i="100" s="1"/>
  <c r="E547" i="23"/>
  <c r="E546" i="23"/>
  <c r="E544" i="23"/>
  <c r="E543" i="23"/>
  <c r="E542" i="23"/>
  <c r="E541" i="23"/>
  <c r="E540" i="23"/>
  <c r="E539" i="23"/>
  <c r="E538" i="23"/>
  <c r="E536" i="23"/>
  <c r="E535" i="23"/>
  <c r="E534" i="23"/>
  <c r="E533" i="23"/>
  <c r="E532" i="23"/>
  <c r="E530" i="23"/>
  <c r="E529" i="23"/>
  <c r="E528" i="23"/>
  <c r="E527" i="23"/>
  <c r="E526" i="23"/>
  <c r="E525" i="23"/>
  <c r="E523" i="23"/>
  <c r="E522" i="23"/>
  <c r="E521" i="23"/>
  <c r="E520" i="23"/>
  <c r="E519" i="23"/>
  <c r="E518" i="23"/>
  <c r="K1255" i="98"/>
  <c r="E507" i="23"/>
  <c r="E502" i="23"/>
  <c r="E513" i="23"/>
  <c r="E512" i="23"/>
  <c r="E511" i="23"/>
  <c r="E510" i="23"/>
  <c r="E509" i="23"/>
  <c r="E508" i="23"/>
  <c r="E505" i="23"/>
  <c r="E504" i="23"/>
  <c r="D499" i="23"/>
  <c r="E499" i="23" s="1"/>
  <c r="E501" i="23"/>
  <c r="E500" i="23"/>
  <c r="E498" i="23"/>
  <c r="F498" i="23" s="1"/>
  <c r="E497" i="23"/>
  <c r="E496" i="23"/>
  <c r="E495" i="23"/>
  <c r="E494" i="23"/>
  <c r="E491" i="23"/>
  <c r="E503" i="23"/>
  <c r="D489" i="23"/>
  <c r="E489" i="23" s="1"/>
  <c r="J491" i="100" s="1"/>
  <c r="E488" i="23"/>
  <c r="E493" i="23"/>
  <c r="D492" i="23"/>
  <c r="E492" i="23" s="1"/>
  <c r="E490" i="23"/>
  <c r="K1041" i="98"/>
  <c r="E480" i="23"/>
  <c r="E472" i="23"/>
  <c r="E464" i="23"/>
  <c r="E485" i="23"/>
  <c r="E484" i="23"/>
  <c r="E483" i="23"/>
  <c r="E482" i="23"/>
  <c r="E481" i="23"/>
  <c r="E478" i="23"/>
  <c r="E477" i="23"/>
  <c r="E476" i="23"/>
  <c r="E475" i="23"/>
  <c r="E474" i="23"/>
  <c r="E473" i="23"/>
  <c r="E470" i="23"/>
  <c r="E469" i="23"/>
  <c r="E468" i="23"/>
  <c r="E467" i="23"/>
  <c r="E466" i="23"/>
  <c r="E465" i="23"/>
  <c r="E416" i="23"/>
  <c r="E414" i="23"/>
  <c r="E406" i="23"/>
  <c r="E459" i="23"/>
  <c r="E458" i="23"/>
  <c r="E457" i="23"/>
  <c r="E456" i="23"/>
  <c r="E455" i="23"/>
  <c r="E454" i="23"/>
  <c r="E453" i="23"/>
  <c r="E451" i="23"/>
  <c r="E450" i="23"/>
  <c r="E449" i="23"/>
  <c r="E448" i="23"/>
  <c r="E447" i="23"/>
  <c r="E446" i="23"/>
  <c r="E445" i="23"/>
  <c r="E444" i="23"/>
  <c r="E443" i="23"/>
  <c r="E441" i="23"/>
  <c r="E440" i="23"/>
  <c r="E439" i="23"/>
  <c r="E438" i="23"/>
  <c r="E437" i="23"/>
  <c r="E436" i="23"/>
  <c r="E435" i="23"/>
  <c r="E434" i="23"/>
  <c r="E433" i="23"/>
  <c r="E431" i="23"/>
  <c r="E430" i="23"/>
  <c r="E429" i="23"/>
  <c r="E428" i="23"/>
  <c r="E427" i="23"/>
  <c r="E426" i="23"/>
  <c r="E425" i="23"/>
  <c r="E423" i="23"/>
  <c r="E422" i="23"/>
  <c r="E421" i="23"/>
  <c r="E420" i="23"/>
  <c r="E419" i="23"/>
  <c r="E418" i="23"/>
  <c r="E417" i="23"/>
  <c r="E413" i="23"/>
  <c r="E412" i="23"/>
  <c r="E411" i="23"/>
  <c r="E410" i="23"/>
  <c r="E409" i="23"/>
  <c r="E408" i="23"/>
  <c r="E405" i="23"/>
  <c r="E404" i="23"/>
  <c r="E403" i="23"/>
  <c r="E402" i="23"/>
  <c r="E401" i="23"/>
  <c r="E400" i="23"/>
  <c r="E399" i="23"/>
  <c r="E397" i="23"/>
  <c r="E396" i="23"/>
  <c r="E395" i="23"/>
  <c r="E394" i="23"/>
  <c r="E393" i="23"/>
  <c r="E392" i="23"/>
  <c r="E391" i="23"/>
  <c r="E389" i="23"/>
  <c r="E388" i="23"/>
  <c r="E387" i="23"/>
  <c r="E386" i="23"/>
  <c r="E385" i="23"/>
  <c r="E384" i="23"/>
  <c r="E382" i="23"/>
  <c r="E380" i="23"/>
  <c r="E379" i="23"/>
  <c r="E378" i="23"/>
  <c r="E377" i="23"/>
  <c r="E376" i="23"/>
  <c r="E375" i="23"/>
  <c r="E374" i="23"/>
  <c r="E372" i="23"/>
  <c r="E371" i="23"/>
  <c r="E370" i="23"/>
  <c r="E369" i="23"/>
  <c r="E368" i="23"/>
  <c r="E367" i="23"/>
  <c r="E366" i="23"/>
  <c r="E365" i="23"/>
  <c r="E364" i="23"/>
  <c r="E362" i="23"/>
  <c r="E361" i="23"/>
  <c r="E360" i="23"/>
  <c r="E359" i="23"/>
  <c r="E358" i="23"/>
  <c r="E357" i="23"/>
  <c r="E356" i="23"/>
  <c r="E354" i="23"/>
  <c r="E353" i="23"/>
  <c r="E352" i="23"/>
  <c r="E351" i="23"/>
  <c r="E350" i="23"/>
  <c r="E349" i="23"/>
  <c r="E348" i="23"/>
  <c r="E346" i="23"/>
  <c r="E345" i="23"/>
  <c r="E344" i="23"/>
  <c r="E343" i="23"/>
  <c r="E342" i="23"/>
  <c r="E341" i="23"/>
  <c r="E340" i="23"/>
  <c r="L829" i="98"/>
  <c r="E337" i="23"/>
  <c r="E335" i="23"/>
  <c r="E334" i="23"/>
  <c r="E333" i="23"/>
  <c r="E332" i="23"/>
  <c r="E331" i="23"/>
  <c r="E330" i="23"/>
  <c r="E328" i="23"/>
  <c r="E327" i="23"/>
  <c r="E326" i="23"/>
  <c r="E325" i="23"/>
  <c r="E324" i="23"/>
  <c r="E323" i="23"/>
  <c r="J1655" i="100" l="1"/>
  <c r="J1657" i="100" s="1"/>
  <c r="J1659" i="100" s="1"/>
  <c r="K2548" i="98"/>
  <c r="K2560" i="98"/>
  <c r="K2708" i="98"/>
  <c r="K2709" i="98" s="1"/>
  <c r="K2711" i="98" s="1"/>
  <c r="K2320" i="98"/>
  <c r="K2212" i="98"/>
  <c r="K2211" i="98" s="1"/>
  <c r="K2210" i="98" s="1"/>
  <c r="J288" i="100"/>
  <c r="J297" i="100"/>
  <c r="J331" i="100"/>
  <c r="J342" i="100"/>
  <c r="J377" i="100"/>
  <c r="J405" i="100"/>
  <c r="J413" i="100"/>
  <c r="J426" i="100"/>
  <c r="J433" i="100"/>
  <c r="J445" i="100"/>
  <c r="J475" i="100"/>
  <c r="J510" i="100"/>
  <c r="J558" i="100"/>
  <c r="J625" i="100"/>
  <c r="J640" i="100"/>
  <c r="J653" i="100"/>
  <c r="J733" i="100"/>
  <c r="J739" i="100"/>
  <c r="J1424" i="100"/>
  <c r="J1423" i="100" s="1"/>
  <c r="J1447" i="100" s="1"/>
  <c r="J1449" i="100" s="1"/>
  <c r="J1450" i="100" s="1"/>
  <c r="K3221" i="98"/>
  <c r="K3224" i="98" s="1"/>
  <c r="K3225" i="98" s="1"/>
  <c r="K1709" i="98"/>
  <c r="K1708" i="98" s="1"/>
  <c r="K1707" i="98" s="1"/>
  <c r="K2180" i="98"/>
  <c r="K1644" i="98"/>
  <c r="K1643" i="98" s="1"/>
  <c r="K1642" i="98" s="1"/>
  <c r="K1641" i="98" s="1"/>
  <c r="K1693" i="98"/>
  <c r="K1692" i="98" s="1"/>
  <c r="K1691" i="98" s="1"/>
  <c r="K2295" i="98"/>
  <c r="K2297" i="98" s="1"/>
  <c r="K2298" i="98" s="1"/>
  <c r="K1656" i="98"/>
  <c r="K1701" i="98"/>
  <c r="K1700" i="98" s="1"/>
  <c r="K1699" i="98" s="1"/>
  <c r="K1874" i="98"/>
  <c r="K1873" i="98" s="1"/>
  <c r="K1872" i="98" s="1"/>
  <c r="K1681" i="98"/>
  <c r="J1803" i="100"/>
  <c r="J1804" i="100" s="1"/>
  <c r="J1806" i="100" s="1"/>
  <c r="J1321" i="100"/>
  <c r="J1320" i="100" s="1"/>
  <c r="J1319" i="100" s="1"/>
  <c r="J2230" i="100"/>
  <c r="J2233" i="100" s="1"/>
  <c r="J2234" i="100" s="1"/>
  <c r="J1053" i="100"/>
  <c r="J1052" i="100" s="1"/>
  <c r="J1051" i="100" s="1"/>
  <c r="J1050" i="100" s="1"/>
  <c r="R790" i="19"/>
  <c r="J295" i="100"/>
  <c r="J308" i="100"/>
  <c r="J403" i="100"/>
  <c r="J436" i="100"/>
  <c r="J443" i="100"/>
  <c r="J473" i="100"/>
  <c r="J508" i="100"/>
  <c r="J566" i="100"/>
  <c r="J594" i="100"/>
  <c r="J629" i="100"/>
  <c r="J670" i="100"/>
  <c r="J731" i="100"/>
  <c r="J751" i="100"/>
  <c r="K434" i="19"/>
  <c r="L434" i="19" s="1"/>
  <c r="R323" i="19"/>
  <c r="R503" i="19"/>
  <c r="R125" i="19"/>
  <c r="K1673" i="98"/>
  <c r="K1672" i="98" s="1"/>
  <c r="K1671" i="98" s="1"/>
  <c r="K1670" i="98" s="1"/>
  <c r="J1919" i="100"/>
  <c r="J1922" i="100" s="1"/>
  <c r="J1923" i="100" s="1"/>
  <c r="R771" i="19"/>
  <c r="J1340" i="100"/>
  <c r="J1001" i="100"/>
  <c r="J1000" i="100" s="1"/>
  <c r="J999" i="100" s="1"/>
  <c r="R655" i="19"/>
  <c r="R647" i="19"/>
  <c r="J946" i="100"/>
  <c r="J945" i="100" s="1"/>
  <c r="J944" i="100" s="1"/>
  <c r="K1508" i="98"/>
  <c r="K1507" i="98" s="1"/>
  <c r="K1506" i="98" s="1"/>
  <c r="K1505" i="98" s="1"/>
  <c r="F343" i="23"/>
  <c r="J310" i="100"/>
  <c r="K869" i="98"/>
  <c r="J343" i="100"/>
  <c r="K895" i="98"/>
  <c r="J369" i="100"/>
  <c r="K1013" i="98"/>
  <c r="J467" i="100"/>
  <c r="K1110" i="98"/>
  <c r="J496" i="100"/>
  <c r="K1155" i="98"/>
  <c r="J503" i="100"/>
  <c r="K1192" i="98"/>
  <c r="J528" i="100"/>
  <c r="K1200" i="98"/>
  <c r="J536" i="100"/>
  <c r="K1212" i="98"/>
  <c r="J548" i="100"/>
  <c r="K1244" i="98"/>
  <c r="J576" i="100"/>
  <c r="K1273" i="98"/>
  <c r="J605" i="100"/>
  <c r="K1276" i="98"/>
  <c r="J608" i="100"/>
  <c r="K1282" i="98"/>
  <c r="J612" i="100"/>
  <c r="K1300" i="98"/>
  <c r="J628" i="100"/>
  <c r="K1338" i="98"/>
  <c r="J662" i="100"/>
  <c r="K1345" i="98"/>
  <c r="J669" i="100"/>
  <c r="K1349" i="98"/>
  <c r="J673" i="100"/>
  <c r="K1360" i="98"/>
  <c r="J684" i="100"/>
  <c r="K1426" i="98"/>
  <c r="J750" i="100"/>
  <c r="K1448" i="98"/>
  <c r="J772" i="100"/>
  <c r="K1465" i="98"/>
  <c r="J789" i="100"/>
  <c r="K1292" i="98"/>
  <c r="J620" i="100"/>
  <c r="K803" i="98"/>
  <c r="J286" i="100"/>
  <c r="J321" i="100"/>
  <c r="K848" i="98"/>
  <c r="J322" i="100"/>
  <c r="K859" i="98"/>
  <c r="J333" i="100"/>
  <c r="K870" i="98"/>
  <c r="J344" i="100"/>
  <c r="K877" i="98"/>
  <c r="J351" i="100"/>
  <c r="K893" i="98"/>
  <c r="J367" i="100"/>
  <c r="K943" i="98"/>
  <c r="J417" i="100"/>
  <c r="K1039" i="98"/>
  <c r="J483" i="100"/>
  <c r="K1076" i="98"/>
  <c r="J494" i="100"/>
  <c r="K1193" i="98"/>
  <c r="J529" i="100"/>
  <c r="K1205" i="98"/>
  <c r="J541" i="100"/>
  <c r="K1213" i="98"/>
  <c r="J549" i="100"/>
  <c r="K1220" i="98"/>
  <c r="J556" i="100"/>
  <c r="K1227" i="98"/>
  <c r="J559" i="100"/>
  <c r="K1241" i="98"/>
  <c r="J573" i="100"/>
  <c r="K1245" i="98"/>
  <c r="J577" i="100"/>
  <c r="K1251" i="98"/>
  <c r="J583" i="100"/>
  <c r="K1254" i="98"/>
  <c r="J586" i="100"/>
  <c r="F581" i="23"/>
  <c r="J606" i="100"/>
  <c r="K1277" i="98"/>
  <c r="J609" i="100"/>
  <c r="K1284" i="98"/>
  <c r="J613" i="100"/>
  <c r="K1309" i="98"/>
  <c r="J633" i="100"/>
  <c r="K1320" i="98"/>
  <c r="J644" i="100"/>
  <c r="K1331" i="98"/>
  <c r="J655" i="100"/>
  <c r="K1357" i="98"/>
  <c r="J681" i="100"/>
  <c r="K1373" i="98"/>
  <c r="J697" i="100"/>
  <c r="J287" i="100"/>
  <c r="J294" i="100"/>
  <c r="K824" i="98"/>
  <c r="J298" i="100"/>
  <c r="J311" i="100"/>
  <c r="K838" i="98"/>
  <c r="J312" i="100"/>
  <c r="K845" i="98"/>
  <c r="J319" i="100"/>
  <c r="K849" i="98"/>
  <c r="J323" i="100"/>
  <c r="F359" i="23"/>
  <c r="J330" i="100"/>
  <c r="F364" i="23"/>
  <c r="J338" i="100"/>
  <c r="F368" i="23"/>
  <c r="J341" i="100"/>
  <c r="K871" i="98"/>
  <c r="J345" i="100"/>
  <c r="J352" i="100"/>
  <c r="K886" i="98"/>
  <c r="K885" i="98" s="1"/>
  <c r="K884" i="98" s="1"/>
  <c r="K883" i="98" s="1"/>
  <c r="K882" i="98" s="1"/>
  <c r="J360" i="100"/>
  <c r="J359" i="100" s="1"/>
  <c r="J358" i="100" s="1"/>
  <c r="J357" i="100" s="1"/>
  <c r="J356" i="100" s="1"/>
  <c r="J368" i="100"/>
  <c r="K904" i="98"/>
  <c r="J378" i="100"/>
  <c r="K911" i="98"/>
  <c r="J385" i="100"/>
  <c r="K915" i="98"/>
  <c r="J389" i="100"/>
  <c r="F411" i="23"/>
  <c r="J396" i="100"/>
  <c r="K933" i="98"/>
  <c r="J407" i="100"/>
  <c r="K940" i="98"/>
  <c r="J414" i="100"/>
  <c r="K944" i="98"/>
  <c r="J418" i="100"/>
  <c r="J425" i="100"/>
  <c r="K953" i="98"/>
  <c r="J427" i="100"/>
  <c r="K960" i="98"/>
  <c r="J434" i="100"/>
  <c r="K972" i="98"/>
  <c r="J446" i="100"/>
  <c r="K932" i="98"/>
  <c r="J406" i="100"/>
  <c r="J466" i="100"/>
  <c r="K1031" i="98"/>
  <c r="J476" i="100"/>
  <c r="J484" i="100"/>
  <c r="K1037" i="98"/>
  <c r="J481" i="100"/>
  <c r="F493" i="23"/>
  <c r="J495" i="100"/>
  <c r="F491" i="23"/>
  <c r="J492" i="100"/>
  <c r="F499" i="23"/>
  <c r="J499" i="100"/>
  <c r="K1176" i="98"/>
  <c r="J512" i="100"/>
  <c r="K1190" i="98"/>
  <c r="J526" i="100"/>
  <c r="K1194" i="98"/>
  <c r="J530" i="100"/>
  <c r="K1202" i="98"/>
  <c r="J538" i="100"/>
  <c r="K1210" i="98"/>
  <c r="J546" i="100"/>
  <c r="K1214" i="98"/>
  <c r="J550" i="100"/>
  <c r="J557" i="100"/>
  <c r="J564" i="100"/>
  <c r="J574" i="100"/>
  <c r="J584" i="100"/>
  <c r="J592" i="100"/>
  <c r="J610" i="100"/>
  <c r="K1286" i="98"/>
  <c r="J614" i="100"/>
  <c r="K1298" i="98"/>
  <c r="J626" i="100"/>
  <c r="K1310" i="98"/>
  <c r="J634" i="100"/>
  <c r="K1317" i="98"/>
  <c r="J641" i="100"/>
  <c r="K1321" i="98"/>
  <c r="J645" i="100"/>
  <c r="J652" i="100"/>
  <c r="K1332" i="98"/>
  <c r="J656" i="100"/>
  <c r="K1336" i="98"/>
  <c r="J660" i="100"/>
  <c r="J668" i="100"/>
  <c r="J679" i="100"/>
  <c r="J682" i="100"/>
  <c r="K1378" i="98"/>
  <c r="K1377" i="98" s="1"/>
  <c r="K1376" i="98" s="1"/>
  <c r="K1375" i="98" s="1"/>
  <c r="K1374" i="98" s="1"/>
  <c r="J702" i="100"/>
  <c r="J701" i="100" s="1"/>
  <c r="J700" i="100" s="1"/>
  <c r="J699" i="100" s="1"/>
  <c r="J698" i="100" s="1"/>
  <c r="J730" i="100"/>
  <c r="K1410" i="98"/>
  <c r="J734" i="100"/>
  <c r="J742" i="100"/>
  <c r="J749" i="100"/>
  <c r="K1436" i="98"/>
  <c r="J760" i="100"/>
  <c r="J769" i="100"/>
  <c r="J771" i="100"/>
  <c r="K1454" i="98"/>
  <c r="J778" i="100"/>
  <c r="K1459" i="98"/>
  <c r="J783" i="100"/>
  <c r="K1467" i="98"/>
  <c r="J791" i="100"/>
  <c r="K1269" i="98"/>
  <c r="J601" i="100"/>
  <c r="K1295" i="98"/>
  <c r="J623" i="100"/>
  <c r="L755" i="19"/>
  <c r="R635" i="19"/>
  <c r="R563" i="19"/>
  <c r="R33" i="19"/>
  <c r="Q771" i="19"/>
  <c r="N852" i="19"/>
  <c r="J461" i="19"/>
  <c r="J453" i="19" s="1"/>
  <c r="J878" i="19" s="1"/>
  <c r="L119" i="19"/>
  <c r="J1032" i="100"/>
  <c r="J1031" i="100" s="1"/>
  <c r="J1030" i="100" s="1"/>
  <c r="J983" i="100"/>
  <c r="J982" i="100" s="1"/>
  <c r="J981" i="100" s="1"/>
  <c r="J980" i="100" s="1"/>
  <c r="J926" i="100"/>
  <c r="J889" i="100"/>
  <c r="J888" i="100" s="1"/>
  <c r="J887" i="100" s="1"/>
  <c r="J1397" i="100"/>
  <c r="J1399" i="100" s="1"/>
  <c r="J1400" i="100" s="1"/>
  <c r="J918" i="100"/>
  <c r="J917" i="100" s="1"/>
  <c r="J916" i="100" s="1"/>
  <c r="K815" i="98"/>
  <c r="J289" i="100"/>
  <c r="F348" i="23"/>
  <c r="J318" i="100"/>
  <c r="K964" i="98"/>
  <c r="J438" i="100"/>
  <c r="K1073" i="98"/>
  <c r="J493" i="100"/>
  <c r="K1173" i="98"/>
  <c r="J511" i="100"/>
  <c r="K1334" i="98"/>
  <c r="J658" i="100"/>
  <c r="K1434" i="98"/>
  <c r="J758" i="100"/>
  <c r="K1456" i="98"/>
  <c r="J780" i="100"/>
  <c r="K1271" i="98"/>
  <c r="J603" i="100"/>
  <c r="J906" i="100"/>
  <c r="J908" i="100" s="1"/>
  <c r="J909" i="100" s="1"/>
  <c r="J901" i="100"/>
  <c r="J1024" i="100"/>
  <c r="J1023" i="100" s="1"/>
  <c r="J1022" i="100" s="1"/>
  <c r="J285" i="100"/>
  <c r="K822" i="98"/>
  <c r="J296" i="100"/>
  <c r="K829" i="98"/>
  <c r="K828" i="98" s="1"/>
  <c r="K827" i="98" s="1"/>
  <c r="K826" i="98" s="1"/>
  <c r="K825" i="98" s="1"/>
  <c r="J303" i="100"/>
  <c r="J302" i="100" s="1"/>
  <c r="J301" i="100" s="1"/>
  <c r="J300" i="100" s="1"/>
  <c r="J299" i="100" s="1"/>
  <c r="K835" i="98"/>
  <c r="J309" i="100"/>
  <c r="K839" i="98"/>
  <c r="J313" i="100"/>
  <c r="J320" i="100"/>
  <c r="J328" i="100"/>
  <c r="F365" i="23"/>
  <c r="J339" i="100"/>
  <c r="J350" i="100"/>
  <c r="J366" i="100"/>
  <c r="K902" i="98"/>
  <c r="J376" i="100"/>
  <c r="K905" i="98"/>
  <c r="J379" i="100"/>
  <c r="J386" i="100"/>
  <c r="J394" i="100"/>
  <c r="K930" i="98"/>
  <c r="J404" i="100"/>
  <c r="K934" i="98"/>
  <c r="J408" i="100"/>
  <c r="J415" i="100"/>
  <c r="J423" i="100"/>
  <c r="K954" i="98"/>
  <c r="J428" i="100"/>
  <c r="J435" i="100"/>
  <c r="K963" i="98"/>
  <c r="J437" i="100"/>
  <c r="K970" i="98"/>
  <c r="J444" i="100"/>
  <c r="K973" i="98"/>
  <c r="J447" i="100"/>
  <c r="J464" i="100"/>
  <c r="K1027" i="98"/>
  <c r="J474" i="100"/>
  <c r="J482" i="100"/>
  <c r="K1046" i="98"/>
  <c r="J490" i="100"/>
  <c r="K1153" i="98"/>
  <c r="J502" i="100"/>
  <c r="K1164" i="98"/>
  <c r="J509" i="100"/>
  <c r="K1148" i="98"/>
  <c r="J500" i="100"/>
  <c r="K1191" i="98"/>
  <c r="J527" i="100"/>
  <c r="K1195" i="98"/>
  <c r="J531" i="100"/>
  <c r="K1203" i="98"/>
  <c r="J539" i="100"/>
  <c r="K1211" i="98"/>
  <c r="J547" i="100"/>
  <c r="J555" i="100"/>
  <c r="J567" i="100"/>
  <c r="J572" i="100"/>
  <c r="J582" i="100"/>
  <c r="J595" i="100"/>
  <c r="K1264" i="98"/>
  <c r="J596" i="100"/>
  <c r="K1275" i="98"/>
  <c r="J607" i="100"/>
  <c r="K1287" i="98"/>
  <c r="J615" i="100"/>
  <c r="K1299" i="98"/>
  <c r="J627" i="100"/>
  <c r="K1305" i="98"/>
  <c r="J631" i="100"/>
  <c r="K1311" i="98"/>
  <c r="J635" i="100"/>
  <c r="J642" i="100"/>
  <c r="J650" i="100"/>
  <c r="K1333" i="98"/>
  <c r="J657" i="100"/>
  <c r="K1337" i="98"/>
  <c r="J661" i="100"/>
  <c r="J671" i="100"/>
  <c r="K1348" i="98"/>
  <c r="J672" i="100"/>
  <c r="J683" i="100"/>
  <c r="J678" i="100"/>
  <c r="K1371" i="98"/>
  <c r="J695" i="100"/>
  <c r="K1383" i="98"/>
  <c r="K1382" i="98" s="1"/>
  <c r="K1381" i="98" s="1"/>
  <c r="K1380" i="98" s="1"/>
  <c r="K1379" i="98" s="1"/>
  <c r="J707" i="100"/>
  <c r="J706" i="100" s="1"/>
  <c r="J705" i="100" s="1"/>
  <c r="J704" i="100" s="1"/>
  <c r="J703" i="100" s="1"/>
  <c r="K1408" i="98"/>
  <c r="J732" i="100"/>
  <c r="J740" i="100"/>
  <c r="J752" i="100"/>
  <c r="K1429" i="98"/>
  <c r="J753" i="100"/>
  <c r="K1438" i="98"/>
  <c r="J762" i="100"/>
  <c r="K1446" i="98"/>
  <c r="J770" i="100"/>
  <c r="J781" i="100"/>
  <c r="J779" i="100"/>
  <c r="K1464" i="98"/>
  <c r="J788" i="100"/>
  <c r="K1468" i="98"/>
  <c r="J792" i="100"/>
  <c r="K1272" i="98"/>
  <c r="J604" i="100"/>
  <c r="J624" i="100"/>
  <c r="J622" i="100"/>
  <c r="R767" i="19"/>
  <c r="L19" i="19"/>
  <c r="Q820" i="19"/>
  <c r="R235" i="19"/>
  <c r="Q755" i="19"/>
  <c r="K1851" i="98"/>
  <c r="K1850" i="98" s="1"/>
  <c r="K1849" i="98" s="1"/>
  <c r="N755" i="19"/>
  <c r="P885" i="19"/>
  <c r="R884" i="19" s="1"/>
  <c r="J938" i="100"/>
  <c r="J828" i="100"/>
  <c r="J827" i="100" s="1"/>
  <c r="J826" i="100" s="1"/>
  <c r="J1428" i="100"/>
  <c r="J1643" i="100"/>
  <c r="J799" i="100"/>
  <c r="J798" i="100" s="1"/>
  <c r="J797" i="100" s="1"/>
  <c r="K858" i="98"/>
  <c r="J332" i="100"/>
  <c r="K880" i="98"/>
  <c r="J354" i="100"/>
  <c r="F399" i="23"/>
  <c r="J384" i="100"/>
  <c r="K924" i="98"/>
  <c r="J398" i="100"/>
  <c r="K913" i="98"/>
  <c r="J387" i="100"/>
  <c r="K1204" i="98"/>
  <c r="J540" i="100"/>
  <c r="K1253" i="98"/>
  <c r="J585" i="100"/>
  <c r="K1307" i="98"/>
  <c r="J632" i="100"/>
  <c r="K1330" i="98"/>
  <c r="J654" i="100"/>
  <c r="K1372" i="98"/>
  <c r="J696" i="100"/>
  <c r="K1388" i="98"/>
  <c r="K1387" i="98" s="1"/>
  <c r="K1386" i="98" s="1"/>
  <c r="K1385" i="98" s="1"/>
  <c r="K1384" i="98" s="1"/>
  <c r="J712" i="100"/>
  <c r="J711" i="100" s="1"/>
  <c r="J710" i="100" s="1"/>
  <c r="J709" i="100" s="1"/>
  <c r="K1419" i="98"/>
  <c r="J743" i="100"/>
  <c r="K1439" i="98"/>
  <c r="J763" i="100"/>
  <c r="K1470" i="98"/>
  <c r="J794" i="100"/>
  <c r="R203" i="19"/>
  <c r="J1282" i="100"/>
  <c r="J1289" i="100"/>
  <c r="K855" i="98"/>
  <c r="J329" i="100"/>
  <c r="K866" i="98"/>
  <c r="J340" i="100"/>
  <c r="K881" i="98"/>
  <c r="J355" i="100"/>
  <c r="F391" i="23"/>
  <c r="J375" i="100"/>
  <c r="K914" i="98"/>
  <c r="J388" i="100"/>
  <c r="K921" i="98"/>
  <c r="J395" i="100"/>
  <c r="J416" i="100"/>
  <c r="K950" i="98"/>
  <c r="J424" i="100"/>
  <c r="K923" i="98"/>
  <c r="J397" i="100"/>
  <c r="K1003" i="98"/>
  <c r="J465" i="100"/>
  <c r="K989" i="98"/>
  <c r="J472" i="100"/>
  <c r="J463" i="100"/>
  <c r="F503" i="23"/>
  <c r="J501" i="100"/>
  <c r="J498" i="100"/>
  <c r="J497" i="100"/>
  <c r="K1201" i="98"/>
  <c r="J537" i="100"/>
  <c r="J630" i="100"/>
  <c r="J643" i="100"/>
  <c r="K1327" i="98"/>
  <c r="J651" i="100"/>
  <c r="K1335" i="98"/>
  <c r="J659" i="100"/>
  <c r="K1339" i="98"/>
  <c r="J663" i="100"/>
  <c r="K1361" i="98"/>
  <c r="J685" i="100"/>
  <c r="K1417" i="98"/>
  <c r="J741" i="100"/>
  <c r="K1420" i="98"/>
  <c r="J744" i="100"/>
  <c r="J761" i="100"/>
  <c r="J759" i="100"/>
  <c r="K1444" i="98"/>
  <c r="J768" i="100"/>
  <c r="K1449" i="98"/>
  <c r="J773" i="100"/>
  <c r="K1458" i="98"/>
  <c r="J782" i="100"/>
  <c r="J790" i="100"/>
  <c r="J793" i="100"/>
  <c r="K1471" i="98"/>
  <c r="J795" i="100"/>
  <c r="K1293" i="98"/>
  <c r="J621" i="100"/>
  <c r="R376" i="19"/>
  <c r="R364" i="19"/>
  <c r="R215" i="19"/>
  <c r="F827" i="23"/>
  <c r="J967" i="100"/>
  <c r="J963" i="100" s="1"/>
  <c r="J962" i="100" s="1"/>
  <c r="J961" i="100" s="1"/>
  <c r="J960" i="100" s="1"/>
  <c r="J1326" i="100"/>
  <c r="J954" i="100"/>
  <c r="J953" i="100" s="1"/>
  <c r="J952" i="100" s="1"/>
  <c r="J873" i="100"/>
  <c r="J872" i="100" s="1"/>
  <c r="J871" i="100" s="1"/>
  <c r="J870" i="100" s="1"/>
  <c r="J1258" i="100"/>
  <c r="J1261" i="100" s="1"/>
  <c r="J1262" i="100" s="1"/>
  <c r="J847" i="100"/>
  <c r="J846" i="100" s="1"/>
  <c r="J845" i="100" s="1"/>
  <c r="R523" i="19"/>
  <c r="N119" i="19"/>
  <c r="P850" i="19"/>
  <c r="R850" i="19" s="1"/>
  <c r="R533" i="19"/>
  <c r="Q800" i="19"/>
  <c r="R299" i="19"/>
  <c r="R834" i="19"/>
  <c r="R679" i="19"/>
  <c r="Q850" i="19"/>
  <c r="L852" i="19"/>
  <c r="R463" i="19"/>
  <c r="K93" i="19"/>
  <c r="K431" i="19" s="1"/>
  <c r="L431" i="19" s="1"/>
  <c r="R806" i="19"/>
  <c r="K2562" i="98"/>
  <c r="K2564" i="98" s="1"/>
  <c r="P659" i="19"/>
  <c r="R659" i="19" s="1"/>
  <c r="L531" i="19"/>
  <c r="O529" i="19"/>
  <c r="O880" i="19" s="1"/>
  <c r="R553" i="19"/>
  <c r="R513" i="19"/>
  <c r="Q659" i="19"/>
  <c r="R794" i="19"/>
  <c r="K2231" i="98"/>
  <c r="L475" i="19"/>
  <c r="R475" i="19" s="1"/>
  <c r="K2352" i="98"/>
  <c r="K2354" i="98" s="1"/>
  <c r="K2355" i="98" s="1"/>
  <c r="K2149" i="98"/>
  <c r="K1882" i="98"/>
  <c r="K1881" i="98" s="1"/>
  <c r="K1880" i="98" s="1"/>
  <c r="K2217" i="98"/>
  <c r="E577" i="23"/>
  <c r="F577" i="23" s="1"/>
  <c r="K1903" i="98"/>
  <c r="K1902" i="98" s="1"/>
  <c r="K1901" i="98" s="1"/>
  <c r="K1900" i="98" s="1"/>
  <c r="K1833" i="98"/>
  <c r="K1832" i="98" s="1"/>
  <c r="K1831" i="98" s="1"/>
  <c r="K1830" i="98" s="1"/>
  <c r="K1718" i="98"/>
  <c r="K1717" i="98" s="1"/>
  <c r="K1716" i="98" s="1"/>
  <c r="K1715" i="98" s="1"/>
  <c r="K1234" i="98"/>
  <c r="K1262" i="98"/>
  <c r="K1301" i="98"/>
  <c r="K1346" i="98"/>
  <c r="K1407" i="98"/>
  <c r="K1427" i="98"/>
  <c r="K1527" i="98"/>
  <c r="K1526" i="98" s="1"/>
  <c r="K1525" i="98" s="1"/>
  <c r="K1524" i="98" s="1"/>
  <c r="K1613" i="98"/>
  <c r="K1612" i="98" s="1"/>
  <c r="K1611" i="98" s="1"/>
  <c r="K1610" i="98" s="1"/>
  <c r="F579" i="23"/>
  <c r="K1294" i="98"/>
  <c r="K1296" i="98"/>
  <c r="F593" i="23"/>
  <c r="K1475" i="98"/>
  <c r="K1474" i="98" s="1"/>
  <c r="K1473" i="98" s="1"/>
  <c r="K1472" i="98" s="1"/>
  <c r="K1318" i="98"/>
  <c r="K1347" i="98"/>
  <c r="K1416" i="98"/>
  <c r="K1428" i="98"/>
  <c r="K1161" i="98"/>
  <c r="K1297" i="98"/>
  <c r="K1316" i="98"/>
  <c r="K1409" i="98"/>
  <c r="F619" i="23"/>
  <c r="K1326" i="98"/>
  <c r="K1359" i="98"/>
  <c r="K1354" i="98"/>
  <c r="K1457" i="98"/>
  <c r="K1455" i="98"/>
  <c r="K1224" i="98"/>
  <c r="K1222" i="98"/>
  <c r="K1235" i="98"/>
  <c r="K1263" i="98"/>
  <c r="K1329" i="98"/>
  <c r="F646" i="23"/>
  <c r="K1356" i="98"/>
  <c r="K1415" i="98"/>
  <c r="K1302" i="98"/>
  <c r="K1319" i="98"/>
  <c r="K1435" i="98"/>
  <c r="K1437" i="98"/>
  <c r="K1469" i="98"/>
  <c r="K1466" i="98"/>
  <c r="K1232" i="98"/>
  <c r="K1242" i="98"/>
  <c r="K1252" i="98"/>
  <c r="K1260" i="98"/>
  <c r="K1278" i="98"/>
  <c r="K1328" i="98"/>
  <c r="F622" i="23"/>
  <c r="K1344" i="98"/>
  <c r="K1355" i="98"/>
  <c r="F644" i="23"/>
  <c r="K1358" i="98"/>
  <c r="K1406" i="98"/>
  <c r="K1418" i="98"/>
  <c r="K1425" i="98"/>
  <c r="K1445" i="98"/>
  <c r="K1447" i="98"/>
  <c r="K1233" i="98"/>
  <c r="K1261" i="98"/>
  <c r="K1274" i="98"/>
  <c r="K1219" i="98"/>
  <c r="K1240" i="98"/>
  <c r="K1250" i="98"/>
  <c r="F596" i="23"/>
  <c r="L885" i="19"/>
  <c r="Q884" i="19"/>
  <c r="L541" i="19"/>
  <c r="K529" i="19"/>
  <c r="K451" i="19" s="1"/>
  <c r="K430" i="19"/>
  <c r="L430" i="19" s="1"/>
  <c r="L85" i="19"/>
  <c r="M431" i="19"/>
  <c r="M9" i="19"/>
  <c r="R559" i="19"/>
  <c r="Q541" i="19"/>
  <c r="Q93" i="19"/>
  <c r="J429" i="19"/>
  <c r="J428" i="19" s="1"/>
  <c r="J442" i="19" s="1"/>
  <c r="J9" i="19"/>
  <c r="J420" i="19" s="1"/>
  <c r="R854" i="19"/>
  <c r="N521" i="19"/>
  <c r="M879" i="19"/>
  <c r="N879" i="19" s="1"/>
  <c r="Q521" i="19"/>
  <c r="Q354" i="19"/>
  <c r="P354" i="19"/>
  <c r="R543" i="19"/>
  <c r="N354" i="19"/>
  <c r="M344" i="19"/>
  <c r="P119" i="19"/>
  <c r="R119" i="19" s="1"/>
  <c r="Q119" i="19"/>
  <c r="K436" i="19"/>
  <c r="L436" i="19" s="1"/>
  <c r="R435" i="19" s="1"/>
  <c r="L404" i="19"/>
  <c r="R404" i="19" s="1"/>
  <c r="K342" i="19"/>
  <c r="L342" i="19" s="1"/>
  <c r="O93" i="19"/>
  <c r="N885" i="19"/>
  <c r="P521" i="19"/>
  <c r="M453" i="19"/>
  <c r="J883" i="19"/>
  <c r="J882" i="19" s="1"/>
  <c r="J786" i="19"/>
  <c r="J557" i="19"/>
  <c r="O344" i="19"/>
  <c r="L569" i="19"/>
  <c r="R569" i="19" s="1"/>
  <c r="O788" i="19"/>
  <c r="P461" i="19"/>
  <c r="R75" i="19"/>
  <c r="M798" i="19"/>
  <c r="N800" i="19"/>
  <c r="R800" i="19" s="1"/>
  <c r="N541" i="19"/>
  <c r="K798" i="19"/>
  <c r="Q798" i="19" s="1"/>
  <c r="P879" i="19"/>
  <c r="Q878" i="19"/>
  <c r="K878" i="19"/>
  <c r="L453" i="19"/>
  <c r="N557" i="19"/>
  <c r="N531" i="19"/>
  <c r="M529" i="19"/>
  <c r="Q531" i="19"/>
  <c r="K11" i="19"/>
  <c r="P531" i="19"/>
  <c r="O430" i="19"/>
  <c r="Q85" i="19"/>
  <c r="P85" i="19"/>
  <c r="P19" i="19"/>
  <c r="O11" i="19"/>
  <c r="Q19" i="19"/>
  <c r="N820" i="19"/>
  <c r="R820" i="19" s="1"/>
  <c r="O453" i="19"/>
  <c r="R131" i="19"/>
  <c r="N19" i="19"/>
  <c r="R812" i="19"/>
  <c r="R471" i="19"/>
  <c r="F594" i="23"/>
  <c r="K1151" i="98"/>
  <c r="F673" i="23"/>
  <c r="K1081" i="98"/>
  <c r="K1025" i="98"/>
  <c r="K1119" i="98"/>
  <c r="K1166" i="98"/>
  <c r="K1112" i="98"/>
  <c r="K1125" i="98"/>
  <c r="F488" i="23"/>
  <c r="K1029" i="98"/>
  <c r="K1008" i="98"/>
  <c r="K1040" i="98"/>
  <c r="K878" i="98"/>
  <c r="K894" i="98"/>
  <c r="K951" i="98"/>
  <c r="K998" i="98"/>
  <c r="F489" i="23"/>
  <c r="K1052" i="98"/>
  <c r="K1022" i="98"/>
  <c r="K805" i="98"/>
  <c r="K834" i="98"/>
  <c r="K929" i="98"/>
  <c r="K962" i="98"/>
  <c r="K969" i="98"/>
  <c r="K1038" i="98"/>
  <c r="K1069" i="98"/>
  <c r="K864" i="98"/>
  <c r="K865" i="98"/>
  <c r="K876" i="98"/>
  <c r="K941" i="98"/>
  <c r="K949" i="98"/>
  <c r="K961" i="98"/>
  <c r="K847" i="98"/>
  <c r="K942" i="98"/>
  <c r="K922" i="98"/>
  <c r="K854" i="98"/>
  <c r="K892" i="98"/>
  <c r="K912" i="98"/>
  <c r="K837" i="98"/>
  <c r="K857" i="98"/>
  <c r="K903" i="98"/>
  <c r="K931" i="98"/>
  <c r="K939" i="98"/>
  <c r="K952" i="98"/>
  <c r="K959" i="98"/>
  <c r="K971" i="98"/>
  <c r="K856" i="98"/>
  <c r="K844" i="98"/>
  <c r="K868" i="98"/>
  <c r="K910" i="98"/>
  <c r="K836" i="98"/>
  <c r="K846" i="98"/>
  <c r="K920" i="98"/>
  <c r="K823" i="98"/>
  <c r="K867" i="98"/>
  <c r="K901" i="98"/>
  <c r="K820" i="98"/>
  <c r="K800" i="98"/>
  <c r="F335" i="23"/>
  <c r="K821" i="98"/>
  <c r="K812" i="98"/>
  <c r="E321" i="23"/>
  <c r="F321" i="23" s="1"/>
  <c r="E320" i="23"/>
  <c r="E319" i="23"/>
  <c r="E318" i="23"/>
  <c r="E317" i="23"/>
  <c r="E316" i="23"/>
  <c r="D314" i="23"/>
  <c r="E314" i="23" s="1"/>
  <c r="F314" i="23" s="1"/>
  <c r="E315" i="23"/>
  <c r="F315" i="23" s="1"/>
  <c r="E313" i="23"/>
  <c r="E312" i="23"/>
  <c r="E311" i="23"/>
  <c r="E310" i="23"/>
  <c r="E309" i="23"/>
  <c r="E306" i="23"/>
  <c r="E305" i="23"/>
  <c r="E308" i="23"/>
  <c r="E307" i="23"/>
  <c r="E303" i="23"/>
  <c r="E302" i="23"/>
  <c r="E301" i="23"/>
  <c r="E300" i="23"/>
  <c r="E299" i="23"/>
  <c r="E298" i="23"/>
  <c r="E296" i="23"/>
  <c r="E295" i="23"/>
  <c r="E294" i="23"/>
  <c r="E293" i="23"/>
  <c r="E292" i="23"/>
  <c r="E291" i="23"/>
  <c r="E289" i="23"/>
  <c r="J244" i="100" s="1"/>
  <c r="E288" i="23"/>
  <c r="E287" i="23"/>
  <c r="E286" i="23"/>
  <c r="E285" i="23"/>
  <c r="E284" i="23"/>
  <c r="E279" i="23"/>
  <c r="E278" i="23"/>
  <c r="E277" i="23"/>
  <c r="E276" i="23"/>
  <c r="E275" i="23"/>
  <c r="E274" i="23"/>
  <c r="E273" i="23"/>
  <c r="E272" i="23"/>
  <c r="E270" i="23"/>
  <c r="E269" i="23"/>
  <c r="E268" i="23"/>
  <c r="E267" i="23"/>
  <c r="E266" i="23"/>
  <c r="E265" i="23"/>
  <c r="E263" i="23"/>
  <c r="E262" i="23"/>
  <c r="E260" i="23"/>
  <c r="F260" i="23" s="1"/>
  <c r="E261" i="23"/>
  <c r="E259" i="23"/>
  <c r="E258" i="23"/>
  <c r="E257" i="23"/>
  <c r="E256" i="23"/>
  <c r="E255" i="23"/>
  <c r="E254" i="23"/>
  <c r="E253" i="23"/>
  <c r="E252" i="23"/>
  <c r="E250" i="23"/>
  <c r="E251" i="23"/>
  <c r="E249" i="23"/>
  <c r="E248" i="23"/>
  <c r="F247" i="23"/>
  <c r="E247" i="23"/>
  <c r="E245" i="23"/>
  <c r="J188" i="100" s="1"/>
  <c r="E244" i="23"/>
  <c r="E243" i="23"/>
  <c r="E242" i="23"/>
  <c r="E241" i="23"/>
  <c r="E240" i="23"/>
  <c r="E238" i="23"/>
  <c r="E237" i="23"/>
  <c r="E236" i="23"/>
  <c r="E235" i="23"/>
  <c r="E234" i="23"/>
  <c r="E233" i="23"/>
  <c r="E229" i="23"/>
  <c r="K423" i="98"/>
  <c r="E228" i="23"/>
  <c r="E227" i="23"/>
  <c r="E226" i="23"/>
  <c r="E225" i="23"/>
  <c r="E224" i="23"/>
  <c r="E223" i="23"/>
  <c r="E221" i="23"/>
  <c r="E220" i="23"/>
  <c r="E219" i="23"/>
  <c r="E218" i="23"/>
  <c r="E217" i="23"/>
  <c r="E216" i="23"/>
  <c r="E214" i="23"/>
  <c r="E213" i="23"/>
  <c r="E211" i="23"/>
  <c r="E212" i="23"/>
  <c r="E210" i="23"/>
  <c r="F210" i="23" s="1"/>
  <c r="E209" i="23"/>
  <c r="E208" i="23"/>
  <c r="D206" i="23"/>
  <c r="E206" i="23" s="1"/>
  <c r="E207" i="23"/>
  <c r="F207" i="23" s="1"/>
  <c r="E205" i="23"/>
  <c r="E204" i="23"/>
  <c r="E203" i="23"/>
  <c r="E202" i="23"/>
  <c r="E201" i="23"/>
  <c r="E200" i="23"/>
  <c r="E199" i="23"/>
  <c r="E198" i="23"/>
  <c r="E197" i="23"/>
  <c r="F196" i="23"/>
  <c r="E196" i="23"/>
  <c r="E194" i="23"/>
  <c r="E193" i="23"/>
  <c r="E192" i="23"/>
  <c r="E191" i="23"/>
  <c r="E190" i="23"/>
  <c r="E189" i="23"/>
  <c r="E187" i="23"/>
  <c r="E186" i="23"/>
  <c r="E185" i="23"/>
  <c r="E184" i="23"/>
  <c r="E183" i="23"/>
  <c r="E182" i="23"/>
  <c r="E180" i="23"/>
  <c r="E179" i="23"/>
  <c r="E178" i="23"/>
  <c r="E177" i="23"/>
  <c r="E176" i="23"/>
  <c r="E175" i="23"/>
  <c r="E169" i="23"/>
  <c r="E168" i="23"/>
  <c r="E167" i="23"/>
  <c r="E166" i="23"/>
  <c r="E165" i="23"/>
  <c r="E164" i="23"/>
  <c r="E163" i="23"/>
  <c r="E159" i="23"/>
  <c r="E158" i="23"/>
  <c r="E157" i="23"/>
  <c r="E156" i="23"/>
  <c r="E155" i="23"/>
  <c r="E154" i="23"/>
  <c r="E153" i="23"/>
  <c r="E150" i="23"/>
  <c r="F146" i="23"/>
  <c r="E146" i="23"/>
  <c r="E149" i="23"/>
  <c r="E148" i="23"/>
  <c r="E147" i="23"/>
  <c r="E145" i="23"/>
  <c r="J56" i="100" s="1"/>
  <c r="E142" i="23"/>
  <c r="J51" i="100" s="1"/>
  <c r="J50" i="100" s="1"/>
  <c r="J49" i="100" s="1"/>
  <c r="J48" i="100" s="1"/>
  <c r="J47" i="100" s="1"/>
  <c r="E137" i="23"/>
  <c r="E135" i="23"/>
  <c r="E133" i="23"/>
  <c r="E132" i="23"/>
  <c r="F132" i="23" s="1"/>
  <c r="E131" i="23"/>
  <c r="E129" i="23"/>
  <c r="K123" i="98"/>
  <c r="E127" i="23"/>
  <c r="E125" i="23"/>
  <c r="E120" i="23"/>
  <c r="J37" i="100" s="1"/>
  <c r="E118" i="23"/>
  <c r="K84" i="98"/>
  <c r="K82" i="98"/>
  <c r="E111" i="23"/>
  <c r="E110" i="23"/>
  <c r="E113" i="23"/>
  <c r="E108" i="23"/>
  <c r="E106" i="23"/>
  <c r="E105" i="23"/>
  <c r="E104" i="23"/>
  <c r="E103" i="23"/>
  <c r="E102" i="23"/>
  <c r="E101" i="23"/>
  <c r="E99" i="23"/>
  <c r="E98" i="23"/>
  <c r="E97" i="23"/>
  <c r="E96" i="23"/>
  <c r="E95" i="23"/>
  <c r="E94" i="23"/>
  <c r="E93" i="23"/>
  <c r="L3932" i="98"/>
  <c r="L3933" i="98" s="1"/>
  <c r="F802" i="23"/>
  <c r="K922" i="100" s="1"/>
  <c r="L3799" i="98"/>
  <c r="K1678" i="98" l="1"/>
  <c r="K1680" i="98" s="1"/>
  <c r="K2224" i="98"/>
  <c r="J99" i="100"/>
  <c r="J105" i="100"/>
  <c r="J117" i="100"/>
  <c r="J154" i="100"/>
  <c r="J178" i="100"/>
  <c r="J243" i="100"/>
  <c r="J261" i="100"/>
  <c r="K1199" i="98"/>
  <c r="K1198" i="98" s="1"/>
  <c r="K1197" i="98" s="1"/>
  <c r="K1196" i="98" s="1"/>
  <c r="K1189" i="98"/>
  <c r="K1188" i="98" s="1"/>
  <c r="K1187" i="98" s="1"/>
  <c r="K1186" i="98" s="1"/>
  <c r="K1682" i="98"/>
  <c r="K1370" i="98"/>
  <c r="K1369" i="98" s="1"/>
  <c r="K1368" i="98" s="1"/>
  <c r="K1367" i="98" s="1"/>
  <c r="J284" i="100"/>
  <c r="J283" i="100" s="1"/>
  <c r="J282" i="100" s="1"/>
  <c r="J281" i="100" s="1"/>
  <c r="J1333" i="100"/>
  <c r="J442" i="100"/>
  <c r="J441" i="100" s="1"/>
  <c r="J440" i="100" s="1"/>
  <c r="J439" i="100" s="1"/>
  <c r="J432" i="100"/>
  <c r="J431" i="100" s="1"/>
  <c r="J430" i="100" s="1"/>
  <c r="J429" i="100" s="1"/>
  <c r="J507" i="100"/>
  <c r="J506" i="100" s="1"/>
  <c r="J505" i="100" s="1"/>
  <c r="J504" i="100" s="1"/>
  <c r="J383" i="100"/>
  <c r="J382" i="100" s="1"/>
  <c r="J381" i="100" s="1"/>
  <c r="J380" i="100" s="1"/>
  <c r="J97" i="100"/>
  <c r="J115" i="100"/>
  <c r="J152" i="100"/>
  <c r="J176" i="100"/>
  <c r="J220" i="100"/>
  <c r="J241" i="100"/>
  <c r="J259" i="100"/>
  <c r="K1513" i="98"/>
  <c r="J471" i="100"/>
  <c r="J470" i="100" s="1"/>
  <c r="J469" i="100" s="1"/>
  <c r="J468" i="100" s="1"/>
  <c r="J393" i="100"/>
  <c r="J392" i="100" s="1"/>
  <c r="J391" i="100" s="1"/>
  <c r="J390" i="100" s="1"/>
  <c r="J349" i="100"/>
  <c r="J348" i="100" s="1"/>
  <c r="J347" i="100" s="1"/>
  <c r="J346" i="100" s="1"/>
  <c r="J307" i="100"/>
  <c r="J306" i="100" s="1"/>
  <c r="J305" i="100" s="1"/>
  <c r="J304" i="100" s="1"/>
  <c r="J729" i="100"/>
  <c r="J728" i="100" s="1"/>
  <c r="J727" i="100" s="1"/>
  <c r="J726" i="100" s="1"/>
  <c r="L461" i="19"/>
  <c r="J373" i="100"/>
  <c r="J372" i="100" s="1"/>
  <c r="J371" i="100" s="1"/>
  <c r="J370" i="100" s="1"/>
  <c r="J738" i="100"/>
  <c r="J737" i="100" s="1"/>
  <c r="J736" i="100" s="1"/>
  <c r="J735" i="100" s="1"/>
  <c r="J649" i="100"/>
  <c r="J648" i="100" s="1"/>
  <c r="J647" i="100" s="1"/>
  <c r="J646" i="100" s="1"/>
  <c r="J571" i="100"/>
  <c r="J570" i="100" s="1"/>
  <c r="J569" i="100" s="1"/>
  <c r="J568" i="100" s="1"/>
  <c r="R755" i="19"/>
  <c r="J667" i="100"/>
  <c r="J666" i="100" s="1"/>
  <c r="J665" i="100" s="1"/>
  <c r="J664" i="100" s="1"/>
  <c r="J639" i="100"/>
  <c r="J638" i="100" s="1"/>
  <c r="J637" i="100" s="1"/>
  <c r="J636" i="100" s="1"/>
  <c r="J563" i="100"/>
  <c r="J562" i="100" s="1"/>
  <c r="J561" i="100" s="1"/>
  <c r="J560" i="100" s="1"/>
  <c r="J480" i="100"/>
  <c r="J479" i="100" s="1"/>
  <c r="J478" i="100" s="1"/>
  <c r="J477" i="100" s="1"/>
  <c r="J106" i="100"/>
  <c r="J132" i="100"/>
  <c r="J185" i="100"/>
  <c r="J211" i="100"/>
  <c r="J213" i="100"/>
  <c r="J250" i="100"/>
  <c r="Q461" i="19"/>
  <c r="J402" i="100"/>
  <c r="J401" i="100" s="1"/>
  <c r="J400" i="100" s="1"/>
  <c r="J399" i="100" s="1"/>
  <c r="J412" i="100"/>
  <c r="J411" i="100" s="1"/>
  <c r="J410" i="100" s="1"/>
  <c r="J409" i="100" s="1"/>
  <c r="K1209" i="98"/>
  <c r="K1208" i="98" s="1"/>
  <c r="K1207" i="98" s="1"/>
  <c r="K1206" i="98" s="1"/>
  <c r="K918" i="100"/>
  <c r="K926" i="100"/>
  <c r="K27" i="98"/>
  <c r="J15" i="100"/>
  <c r="K53" i="98"/>
  <c r="J25" i="100"/>
  <c r="K209" i="98"/>
  <c r="J64" i="100"/>
  <c r="K221" i="98"/>
  <c r="J76" i="100"/>
  <c r="J116" i="100"/>
  <c r="J114" i="100"/>
  <c r="F199" i="23"/>
  <c r="J126" i="100"/>
  <c r="K397" i="98"/>
  <c r="J142" i="100"/>
  <c r="K401" i="98"/>
  <c r="J146" i="100"/>
  <c r="K410" i="98"/>
  <c r="J153" i="100"/>
  <c r="F248" i="23"/>
  <c r="J194" i="100"/>
  <c r="F252" i="23"/>
  <c r="J198" i="100"/>
  <c r="K546" i="98"/>
  <c r="J201" i="100"/>
  <c r="F261" i="23"/>
  <c r="J204" i="100"/>
  <c r="K609" i="98"/>
  <c r="J221" i="100"/>
  <c r="K642" i="98"/>
  <c r="J242" i="100"/>
  <c r="K678" i="98"/>
  <c r="J260" i="100"/>
  <c r="F309" i="23"/>
  <c r="J271" i="100"/>
  <c r="M3823" i="98"/>
  <c r="M3811" i="98"/>
  <c r="M3829" i="98"/>
  <c r="M3856" i="98"/>
  <c r="M3852" i="98"/>
  <c r="M3848" i="98"/>
  <c r="M3844" i="98"/>
  <c r="M3862" i="98"/>
  <c r="M3868" i="98"/>
  <c r="M3910" i="98"/>
  <c r="M3906" i="98"/>
  <c r="M3902" i="98"/>
  <c r="M3898" i="98"/>
  <c r="M3894" i="98"/>
  <c r="M3890" i="98"/>
  <c r="M3839" i="98"/>
  <c r="M3851" i="98"/>
  <c r="M3843" i="98"/>
  <c r="M3872" i="98"/>
  <c r="M3905" i="98"/>
  <c r="M3897" i="98"/>
  <c r="M3889" i="98"/>
  <c r="M3812" i="98"/>
  <c r="M3830" i="98"/>
  <c r="M3857" i="98"/>
  <c r="M3853" i="98"/>
  <c r="M3849" i="98"/>
  <c r="M3845" i="98"/>
  <c r="M3863" i="98"/>
  <c r="M3865" i="98"/>
  <c r="M3873" i="98"/>
  <c r="M3911" i="98"/>
  <c r="M3907" i="98"/>
  <c r="M3903" i="98"/>
  <c r="M3891" i="98"/>
  <c r="M3887" i="98"/>
  <c r="M3832" i="98"/>
  <c r="M3855" i="98"/>
  <c r="M3847" i="98"/>
  <c r="M3861" i="98"/>
  <c r="M3901" i="98"/>
  <c r="M3893" i="98"/>
  <c r="M3850" i="98"/>
  <c r="M3871" i="98"/>
  <c r="M3908" i="98"/>
  <c r="M3892" i="98"/>
  <c r="M3831" i="98"/>
  <c r="M3904" i="98"/>
  <c r="M3817" i="98"/>
  <c r="M3838" i="98"/>
  <c r="M3854" i="98"/>
  <c r="M3866" i="98"/>
  <c r="M3800" i="98"/>
  <c r="M3846" i="98"/>
  <c r="M3888" i="98"/>
  <c r="M3842" i="98"/>
  <c r="M3900" i="98"/>
  <c r="K32" i="98"/>
  <c r="J16" i="100"/>
  <c r="K55" i="98"/>
  <c r="J26" i="100"/>
  <c r="K87" i="98"/>
  <c r="J36" i="100"/>
  <c r="K210" i="98"/>
  <c r="J65" i="100"/>
  <c r="K214" i="98"/>
  <c r="J69" i="100"/>
  <c r="K278" i="98"/>
  <c r="J109" i="100"/>
  <c r="K316" i="98"/>
  <c r="J127" i="100"/>
  <c r="F208" i="23"/>
  <c r="J133" i="100"/>
  <c r="K398" i="98"/>
  <c r="J143" i="100"/>
  <c r="J214" i="100"/>
  <c r="K610" i="98"/>
  <c r="J222" i="100"/>
  <c r="K614" i="98"/>
  <c r="J226" i="100"/>
  <c r="J249" i="100"/>
  <c r="K670" i="98"/>
  <c r="J253" i="100"/>
  <c r="F308" i="23"/>
  <c r="J270" i="100"/>
  <c r="F310" i="23"/>
  <c r="J272" i="100"/>
  <c r="F318" i="23"/>
  <c r="J278" i="100"/>
  <c r="J757" i="100"/>
  <c r="J756" i="100" s="1"/>
  <c r="J755" i="100" s="1"/>
  <c r="J754" i="100" s="1"/>
  <c r="J923" i="100"/>
  <c r="J925" i="100" s="1"/>
  <c r="J927" i="100" s="1"/>
  <c r="J915" i="100"/>
  <c r="J545" i="100"/>
  <c r="J544" i="100" s="1"/>
  <c r="J543" i="100" s="1"/>
  <c r="J542" i="100" s="1"/>
  <c r="K13" i="98"/>
  <c r="J13" i="100"/>
  <c r="K49" i="98"/>
  <c r="J23" i="100"/>
  <c r="F129" i="23"/>
  <c r="J41" i="100"/>
  <c r="F147" i="23"/>
  <c r="J57" i="100"/>
  <c r="K215" i="98"/>
  <c r="J70" i="100"/>
  <c r="K276" i="98"/>
  <c r="J107" i="100"/>
  <c r="F197" i="23"/>
  <c r="J124" i="100"/>
  <c r="F205" i="23"/>
  <c r="J131" i="100"/>
  <c r="K477" i="98"/>
  <c r="J186" i="100"/>
  <c r="F251" i="23"/>
  <c r="J197" i="100"/>
  <c r="K537" i="98"/>
  <c r="J199" i="100"/>
  <c r="F258" i="23"/>
  <c r="J202" i="100"/>
  <c r="F262" i="23"/>
  <c r="J205" i="100"/>
  <c r="J203" i="100"/>
  <c r="K591" i="98"/>
  <c r="J212" i="100"/>
  <c r="M3799" i="98"/>
  <c r="K22" i="98"/>
  <c r="J14" i="100"/>
  <c r="K51" i="98"/>
  <c r="J24" i="100"/>
  <c r="K61" i="98"/>
  <c r="J31" i="100"/>
  <c r="K125" i="98"/>
  <c r="J39" i="100"/>
  <c r="F131" i="23"/>
  <c r="J42" i="100"/>
  <c r="K172" i="98"/>
  <c r="J46" i="100"/>
  <c r="J45" i="100"/>
  <c r="F148" i="23"/>
  <c r="J58" i="100"/>
  <c r="K200" i="98"/>
  <c r="J59" i="100"/>
  <c r="K212" i="98"/>
  <c r="J67" i="100"/>
  <c r="K220" i="98"/>
  <c r="J75" i="100"/>
  <c r="K224" i="98"/>
  <c r="J79" i="100"/>
  <c r="J96" i="100"/>
  <c r="K265" i="98"/>
  <c r="J100" i="100"/>
  <c r="J108" i="100"/>
  <c r="K287" i="98"/>
  <c r="J118" i="100"/>
  <c r="F198" i="23"/>
  <c r="J125" i="100"/>
  <c r="K391" i="98"/>
  <c r="J137" i="100"/>
  <c r="K400" i="98"/>
  <c r="J145" i="100"/>
  <c r="J175" i="100"/>
  <c r="K466" i="98"/>
  <c r="J179" i="100"/>
  <c r="J187" i="100"/>
  <c r="F250" i="23"/>
  <c r="J196" i="100"/>
  <c r="F255" i="23"/>
  <c r="J200" i="100"/>
  <c r="F263" i="23"/>
  <c r="J206" i="100"/>
  <c r="J224" i="100"/>
  <c r="J240" i="100"/>
  <c r="J252" i="100"/>
  <c r="J258" i="100"/>
  <c r="K680" i="98"/>
  <c r="J262" i="100"/>
  <c r="F306" i="23"/>
  <c r="J268" i="100"/>
  <c r="K749" i="98"/>
  <c r="J273" i="100"/>
  <c r="F316" i="23"/>
  <c r="J276" i="100"/>
  <c r="F320" i="23"/>
  <c r="J280" i="100"/>
  <c r="R461" i="19"/>
  <c r="K1270" i="98"/>
  <c r="K1268" i="98" s="1"/>
  <c r="K1267" i="98" s="1"/>
  <c r="K1266" i="98" s="1"/>
  <c r="K1265" i="98" s="1"/>
  <c r="J602" i="100"/>
  <c r="J600" i="100" s="1"/>
  <c r="J599" i="100" s="1"/>
  <c r="J598" i="100" s="1"/>
  <c r="J597" i="100" s="1"/>
  <c r="R852" i="19"/>
  <c r="J708" i="100"/>
  <c r="J825" i="100"/>
  <c r="J833" i="100"/>
  <c r="J422" i="100"/>
  <c r="J421" i="100" s="1"/>
  <c r="J420" i="100" s="1"/>
  <c r="J419" i="100" s="1"/>
  <c r="J525" i="100"/>
  <c r="J524" i="100" s="1"/>
  <c r="J523" i="100" s="1"/>
  <c r="J522" i="100" s="1"/>
  <c r="J293" i="100"/>
  <c r="J292" i="100" s="1"/>
  <c r="J291" i="100" s="1"/>
  <c r="J290" i="100" s="1"/>
  <c r="N93" i="19"/>
  <c r="J937" i="100"/>
  <c r="J936" i="100" s="1"/>
  <c r="J1070" i="100" s="1"/>
  <c r="J1073" i="100" s="1"/>
  <c r="J1074" i="100" s="1"/>
  <c r="J935" i="100"/>
  <c r="J677" i="100"/>
  <c r="J676" i="100" s="1"/>
  <c r="J675" i="100" s="1"/>
  <c r="J674" i="100" s="1"/>
  <c r="J581" i="100"/>
  <c r="J580" i="100" s="1"/>
  <c r="J579" i="100" s="1"/>
  <c r="J578" i="100" s="1"/>
  <c r="J554" i="100"/>
  <c r="J553" i="100" s="1"/>
  <c r="J552" i="100" s="1"/>
  <c r="J551" i="100" s="1"/>
  <c r="J489" i="100"/>
  <c r="J488" i="100" s="1"/>
  <c r="J487" i="100" s="1"/>
  <c r="J486" i="100" s="1"/>
  <c r="J364" i="100"/>
  <c r="J363" i="100" s="1"/>
  <c r="J362" i="100" s="1"/>
  <c r="J361" i="100" s="1"/>
  <c r="J327" i="100"/>
  <c r="J326" i="100" s="1"/>
  <c r="J325" i="100" s="1"/>
  <c r="J324" i="100" s="1"/>
  <c r="J748" i="100"/>
  <c r="J747" i="100" s="1"/>
  <c r="J746" i="100" s="1"/>
  <c r="J745" i="100" s="1"/>
  <c r="K132" i="98"/>
  <c r="J40" i="100"/>
  <c r="K213" i="98"/>
  <c r="J68" i="100"/>
  <c r="K225" i="98"/>
  <c r="J80" i="100"/>
  <c r="K255" i="98"/>
  <c r="J98" i="100"/>
  <c r="K292" i="98"/>
  <c r="J123" i="100"/>
  <c r="K345" i="98"/>
  <c r="J129" i="100"/>
  <c r="F212" i="23"/>
  <c r="J135" i="100"/>
  <c r="K456" i="98"/>
  <c r="J177" i="100"/>
  <c r="F307" i="23"/>
  <c r="J269" i="100"/>
  <c r="K751" i="98"/>
  <c r="J274" i="100"/>
  <c r="K46" i="98"/>
  <c r="J22" i="100"/>
  <c r="K62" i="98"/>
  <c r="J32" i="100"/>
  <c r="K163" i="98"/>
  <c r="J43" i="100"/>
  <c r="K222" i="98"/>
  <c r="J77" i="100"/>
  <c r="K226" i="98"/>
  <c r="J81" i="100"/>
  <c r="K347" i="98"/>
  <c r="J130" i="100"/>
  <c r="F211" i="23"/>
  <c r="J134" i="100"/>
  <c r="K402" i="98"/>
  <c r="J147" i="100"/>
  <c r="K420" i="98"/>
  <c r="J155" i="100"/>
  <c r="J184" i="100"/>
  <c r="F249" i="23"/>
  <c r="J195" i="100"/>
  <c r="K603" i="98"/>
  <c r="J215" i="100"/>
  <c r="J619" i="100"/>
  <c r="J618" i="100" s="1"/>
  <c r="J617" i="100" s="1"/>
  <c r="J616" i="100" s="1"/>
  <c r="J317" i="100"/>
  <c r="J316" i="100" s="1"/>
  <c r="J315" i="100" s="1"/>
  <c r="J314" i="100" s="1"/>
  <c r="J886" i="100"/>
  <c r="J892" i="100"/>
  <c r="J894" i="100" s="1"/>
  <c r="J895" i="100" s="1"/>
  <c r="K37" i="98"/>
  <c r="J17" i="100"/>
  <c r="K78" i="98"/>
  <c r="J33" i="100"/>
  <c r="K168" i="98"/>
  <c r="J44" i="100"/>
  <c r="K211" i="98"/>
  <c r="J66" i="100"/>
  <c r="K223" i="98"/>
  <c r="J78" i="100"/>
  <c r="F201" i="23"/>
  <c r="J128" i="100"/>
  <c r="F213" i="23"/>
  <c r="J136" i="100"/>
  <c r="K399" i="98"/>
  <c r="J144" i="100"/>
  <c r="K484" i="98"/>
  <c r="J193" i="100"/>
  <c r="J225" i="100"/>
  <c r="J223" i="100"/>
  <c r="K666" i="98"/>
  <c r="J251" i="100"/>
  <c r="F305" i="23"/>
  <c r="J267" i="100"/>
  <c r="J277" i="100"/>
  <c r="J275" i="100"/>
  <c r="F319" i="23"/>
  <c r="J279" i="100"/>
  <c r="L93" i="19"/>
  <c r="J844" i="100"/>
  <c r="J861" i="100"/>
  <c r="J863" i="100" s="1"/>
  <c r="J864" i="100" s="1"/>
  <c r="J767" i="100"/>
  <c r="J766" i="100" s="1"/>
  <c r="J765" i="100" s="1"/>
  <c r="J764" i="100" s="1"/>
  <c r="J462" i="100"/>
  <c r="J461" i="100" s="1"/>
  <c r="J460" i="100" s="1"/>
  <c r="J459" i="100" s="1"/>
  <c r="J796" i="100"/>
  <c r="J787" i="100"/>
  <c r="J786" i="100" s="1"/>
  <c r="J785" i="100" s="1"/>
  <c r="J784" i="100" s="1"/>
  <c r="J694" i="100"/>
  <c r="J693" i="100" s="1"/>
  <c r="J692" i="100" s="1"/>
  <c r="J691" i="100" s="1"/>
  <c r="J777" i="100"/>
  <c r="J776" i="100" s="1"/>
  <c r="J775" i="100" s="1"/>
  <c r="J774" i="100" s="1"/>
  <c r="J591" i="100"/>
  <c r="J590" i="100" s="1"/>
  <c r="J589" i="100" s="1"/>
  <c r="J588" i="100" s="1"/>
  <c r="J337" i="100"/>
  <c r="J336" i="100" s="1"/>
  <c r="J335" i="100" s="1"/>
  <c r="J334" i="100" s="1"/>
  <c r="J535" i="100"/>
  <c r="J534" i="100" s="1"/>
  <c r="J533" i="100" s="1"/>
  <c r="J532" i="100" s="1"/>
  <c r="K2152" i="98"/>
  <c r="K2153" i="98" s="1"/>
  <c r="K178" i="98"/>
  <c r="K177" i="98" s="1"/>
  <c r="K176" i="98" s="1"/>
  <c r="K175" i="98" s="1"/>
  <c r="K174" i="98" s="1"/>
  <c r="F145" i="23"/>
  <c r="K184" i="98"/>
  <c r="R19" i="19"/>
  <c r="R531" i="19"/>
  <c r="R521" i="19"/>
  <c r="R541" i="19"/>
  <c r="K1920" i="98"/>
  <c r="K1690" i="98"/>
  <c r="K1601" i="98"/>
  <c r="K1603" i="98" s="1"/>
  <c r="K1604" i="98" s="1"/>
  <c r="K1424" i="98"/>
  <c r="K1423" i="98" s="1"/>
  <c r="K1422" i="98" s="1"/>
  <c r="K1421" i="98" s="1"/>
  <c r="K1647" i="98"/>
  <c r="K1649" i="98" s="1"/>
  <c r="K1650" i="98" s="1"/>
  <c r="K1325" i="98"/>
  <c r="K1324" i="98" s="1"/>
  <c r="K1323" i="98" s="1"/>
  <c r="K1322" i="98" s="1"/>
  <c r="K1315" i="98"/>
  <c r="K1314" i="98" s="1"/>
  <c r="K1313" i="98" s="1"/>
  <c r="K1312" i="98" s="1"/>
  <c r="K1405" i="98"/>
  <c r="K1404" i="98" s="1"/>
  <c r="K1403" i="98" s="1"/>
  <c r="K1402" i="98" s="1"/>
  <c r="K1343" i="98"/>
  <c r="K1342" i="98" s="1"/>
  <c r="K1341" i="98" s="1"/>
  <c r="K1340" i="98" s="1"/>
  <c r="K1160" i="98"/>
  <c r="K1159" i="98" s="1"/>
  <c r="K1158" i="98" s="1"/>
  <c r="K1157" i="98" s="1"/>
  <c r="K1414" i="98"/>
  <c r="K1413" i="98" s="1"/>
  <c r="K1412" i="98" s="1"/>
  <c r="K1411" i="98" s="1"/>
  <c r="K1453" i="98"/>
  <c r="K1452" i="98" s="1"/>
  <c r="K1451" i="98" s="1"/>
  <c r="K1450" i="98" s="1"/>
  <c r="K1443" i="98"/>
  <c r="K1442" i="98" s="1"/>
  <c r="K1441" i="98" s="1"/>
  <c r="K1440" i="98" s="1"/>
  <c r="K1218" i="98"/>
  <c r="K1217" i="98" s="1"/>
  <c r="K1216" i="98" s="1"/>
  <c r="K1215" i="98" s="1"/>
  <c r="K1249" i="98"/>
  <c r="K1248" i="98" s="1"/>
  <c r="K1247" i="98" s="1"/>
  <c r="K1246" i="98" s="1"/>
  <c r="K1239" i="98"/>
  <c r="K1238" i="98" s="1"/>
  <c r="K1237" i="98" s="1"/>
  <c r="K1236" i="98" s="1"/>
  <c r="K1433" i="98"/>
  <c r="K1432" i="98" s="1"/>
  <c r="K1431" i="98" s="1"/>
  <c r="K1430" i="98" s="1"/>
  <c r="K1353" i="98"/>
  <c r="K1352" i="98" s="1"/>
  <c r="K1351" i="98" s="1"/>
  <c r="K1350" i="98" s="1"/>
  <c r="K1463" i="98"/>
  <c r="K1462" i="98" s="1"/>
  <c r="K1461" i="98" s="1"/>
  <c r="K1259" i="98"/>
  <c r="K1258" i="98" s="1"/>
  <c r="K1257" i="98" s="1"/>
  <c r="K1256" i="98" s="1"/>
  <c r="K9" i="19"/>
  <c r="N9" i="19" s="1"/>
  <c r="K429" i="19"/>
  <c r="L11" i="19"/>
  <c r="N11" i="19"/>
  <c r="Q557" i="19"/>
  <c r="J529" i="19"/>
  <c r="O878" i="19"/>
  <c r="Q453" i="19"/>
  <c r="P453" i="19"/>
  <c r="O451" i="19"/>
  <c r="O9" i="19"/>
  <c r="O429" i="19"/>
  <c r="P11" i="19"/>
  <c r="Q11" i="19"/>
  <c r="P430" i="19"/>
  <c r="R429" i="19" s="1"/>
  <c r="Q429" i="19"/>
  <c r="M880" i="19"/>
  <c r="N529" i="19"/>
  <c r="P529" i="19"/>
  <c r="L798" i="19"/>
  <c r="K788" i="19"/>
  <c r="N798" i="19"/>
  <c r="M788" i="19"/>
  <c r="P788" i="19" s="1"/>
  <c r="O786" i="19"/>
  <c r="O883" i="19"/>
  <c r="L557" i="19"/>
  <c r="R557" i="19" s="1"/>
  <c r="N431" i="19"/>
  <c r="R885" i="19"/>
  <c r="R85" i="19"/>
  <c r="L878" i="19"/>
  <c r="M428" i="19"/>
  <c r="P798" i="19"/>
  <c r="O434" i="19"/>
  <c r="P344" i="19"/>
  <c r="Q344" i="19"/>
  <c r="O342" i="19"/>
  <c r="M878" i="19"/>
  <c r="M451" i="19"/>
  <c r="N453" i="19"/>
  <c r="O431" i="19"/>
  <c r="P93" i="19"/>
  <c r="M434" i="19"/>
  <c r="M342" i="19"/>
  <c r="N342" i="19" s="1"/>
  <c r="N344" i="19"/>
  <c r="R354" i="19"/>
  <c r="K433" i="19"/>
  <c r="L433" i="19" s="1"/>
  <c r="L529" i="19"/>
  <c r="K880" i="19"/>
  <c r="K877" i="19" s="1"/>
  <c r="K1291" i="98"/>
  <c r="K1290" i="98" s="1"/>
  <c r="K1289" i="98" s="1"/>
  <c r="K1288" i="98" s="1"/>
  <c r="K890" i="98"/>
  <c r="K889" i="98" s="1"/>
  <c r="K888" i="98" s="1"/>
  <c r="K887" i="98" s="1"/>
  <c r="K1231" i="98"/>
  <c r="K1230" i="98" s="1"/>
  <c r="K1229" i="98" s="1"/>
  <c r="K1228" i="98" s="1"/>
  <c r="K1045" i="98"/>
  <c r="K1044" i="98" s="1"/>
  <c r="K1043" i="98" s="1"/>
  <c r="K1042" i="98" s="1"/>
  <c r="K1021" i="98"/>
  <c r="K1020" i="98" s="1"/>
  <c r="K1019" i="98" s="1"/>
  <c r="K1018" i="98" s="1"/>
  <c r="K1036" i="98"/>
  <c r="K1035" i="98" s="1"/>
  <c r="K1034" i="98" s="1"/>
  <c r="K1033" i="98" s="1"/>
  <c r="K875" i="98"/>
  <c r="K874" i="98" s="1"/>
  <c r="K873" i="98" s="1"/>
  <c r="K872" i="98" s="1"/>
  <c r="K988" i="98"/>
  <c r="K987" i="98" s="1"/>
  <c r="K986" i="98" s="1"/>
  <c r="K985" i="98" s="1"/>
  <c r="K968" i="98"/>
  <c r="K967" i="98" s="1"/>
  <c r="K966" i="98" s="1"/>
  <c r="K965" i="98" s="1"/>
  <c r="K899" i="98"/>
  <c r="K898" i="98" s="1"/>
  <c r="K897" i="98" s="1"/>
  <c r="K896" i="98" s="1"/>
  <c r="K958" i="98"/>
  <c r="K957" i="98" s="1"/>
  <c r="K956" i="98" s="1"/>
  <c r="K955" i="98" s="1"/>
  <c r="K938" i="98"/>
  <c r="K937" i="98" s="1"/>
  <c r="K936" i="98" s="1"/>
  <c r="K935" i="98" s="1"/>
  <c r="K928" i="98"/>
  <c r="K927" i="98" s="1"/>
  <c r="K926" i="98" s="1"/>
  <c r="K925" i="98" s="1"/>
  <c r="K685" i="98"/>
  <c r="K863" i="98"/>
  <c r="K862" i="98" s="1"/>
  <c r="K861" i="98" s="1"/>
  <c r="K860" i="98" s="1"/>
  <c r="K948" i="98"/>
  <c r="K947" i="98" s="1"/>
  <c r="K946" i="98" s="1"/>
  <c r="K945" i="98" s="1"/>
  <c r="K909" i="98"/>
  <c r="K908" i="98" s="1"/>
  <c r="K907" i="98" s="1"/>
  <c r="K906" i="98" s="1"/>
  <c r="K853" i="98"/>
  <c r="K852" i="98" s="1"/>
  <c r="K851" i="98" s="1"/>
  <c r="K850" i="98" s="1"/>
  <c r="K919" i="98"/>
  <c r="K918" i="98" s="1"/>
  <c r="K917" i="98" s="1"/>
  <c r="K916" i="98" s="1"/>
  <c r="K843" i="98"/>
  <c r="K842" i="98" s="1"/>
  <c r="K841" i="98" s="1"/>
  <c r="K840" i="98" s="1"/>
  <c r="K833" i="98"/>
  <c r="K832" i="98" s="1"/>
  <c r="K831" i="98" s="1"/>
  <c r="K830" i="98" s="1"/>
  <c r="K819" i="98"/>
  <c r="K818" i="98" s="1"/>
  <c r="K817" i="98" s="1"/>
  <c r="K816" i="98" s="1"/>
  <c r="K799" i="98"/>
  <c r="K798" i="98" s="1"/>
  <c r="K797" i="98" s="1"/>
  <c r="K796" i="98" s="1"/>
  <c r="K647" i="98"/>
  <c r="K661" i="98"/>
  <c r="K679" i="98"/>
  <c r="K613" i="98"/>
  <c r="K637" i="98"/>
  <c r="K677" i="98"/>
  <c r="K92" i="98"/>
  <c r="F120" i="23"/>
  <c r="K790" i="98"/>
  <c r="K652" i="98"/>
  <c r="K539" i="98"/>
  <c r="K612" i="98"/>
  <c r="K676" i="98"/>
  <c r="K712" i="98"/>
  <c r="K794" i="98"/>
  <c r="K286" i="98"/>
  <c r="K461" i="98"/>
  <c r="K664" i="98"/>
  <c r="K668" i="98"/>
  <c r="K758" i="98"/>
  <c r="K787" i="98"/>
  <c r="K580" i="98"/>
  <c r="K593" i="98"/>
  <c r="K720" i="98"/>
  <c r="K764" i="98"/>
  <c r="K552" i="98"/>
  <c r="K582" i="98"/>
  <c r="K628" i="98"/>
  <c r="K792" i="98"/>
  <c r="K277" i="98"/>
  <c r="K478" i="98"/>
  <c r="K588" i="98"/>
  <c r="K578" i="98"/>
  <c r="K708" i="98"/>
  <c r="K575" i="98"/>
  <c r="K691" i="98"/>
  <c r="K715" i="98"/>
  <c r="K608" i="98"/>
  <c r="K611" i="98"/>
  <c r="K600" i="98"/>
  <c r="K412" i="98"/>
  <c r="K442" i="98"/>
  <c r="K476" i="98"/>
  <c r="K507" i="98"/>
  <c r="K356" i="98"/>
  <c r="K475" i="98"/>
  <c r="K509" i="98"/>
  <c r="K407" i="98"/>
  <c r="K451" i="98"/>
  <c r="K514" i="98"/>
  <c r="F226" i="23"/>
  <c r="K479" i="98"/>
  <c r="K320" i="98"/>
  <c r="K503" i="98"/>
  <c r="K485" i="98"/>
  <c r="K260" i="98"/>
  <c r="F200" i="23"/>
  <c r="K241" i="98"/>
  <c r="K384" i="98"/>
  <c r="K275" i="98"/>
  <c r="K354" i="98"/>
  <c r="K387" i="98"/>
  <c r="K283" i="98"/>
  <c r="K274" i="98"/>
  <c r="K314" i="98"/>
  <c r="F204" i="23"/>
  <c r="K362" i="98"/>
  <c r="K389" i="98"/>
  <c r="K310" i="98"/>
  <c r="K250" i="98"/>
  <c r="K284" i="98"/>
  <c r="K285" i="98"/>
  <c r="F206" i="23"/>
  <c r="F125" i="23"/>
  <c r="K293" i="98"/>
  <c r="F110" i="23"/>
  <c r="F111" i="23"/>
  <c r="F118" i="23"/>
  <c r="K189" i="98"/>
  <c r="K192" i="98"/>
  <c r="K170" i="98"/>
  <c r="K138" i="98"/>
  <c r="F142" i="23"/>
  <c r="K134" i="98"/>
  <c r="K219" i="98" l="1"/>
  <c r="K218" i="98" s="1"/>
  <c r="K217" i="98" s="1"/>
  <c r="K216" i="98" s="1"/>
  <c r="K45" i="98"/>
  <c r="K44" i="98" s="1"/>
  <c r="K43" i="98" s="1"/>
  <c r="K42" i="98" s="1"/>
  <c r="K396" i="98"/>
  <c r="K395" i="98" s="1"/>
  <c r="K394" i="98" s="1"/>
  <c r="K393" i="98" s="1"/>
  <c r="K208" i="98"/>
  <c r="K207" i="98" s="1"/>
  <c r="K206" i="98" s="1"/>
  <c r="K205" i="98" s="1"/>
  <c r="J815" i="100"/>
  <c r="J817" i="100" s="1"/>
  <c r="J819" i="100" s="1"/>
  <c r="J219" i="100"/>
  <c r="J218" i="100" s="1"/>
  <c r="J217" i="100" s="1"/>
  <c r="J216" i="100" s="1"/>
  <c r="J21" i="100"/>
  <c r="J20" i="100" s="1"/>
  <c r="J19" i="100" s="1"/>
  <c r="J18" i="100" s="1"/>
  <c r="K12" i="98"/>
  <c r="K11" i="98" s="1"/>
  <c r="K10" i="98" s="1"/>
  <c r="K9" i="98" s="1"/>
  <c r="J151" i="100"/>
  <c r="J150" i="100" s="1"/>
  <c r="J149" i="100" s="1"/>
  <c r="J210" i="100"/>
  <c r="J209" i="100" s="1"/>
  <c r="J208" i="100" s="1"/>
  <c r="J207" i="100" s="1"/>
  <c r="J104" i="100"/>
  <c r="J103" i="100" s="1"/>
  <c r="J102" i="100" s="1"/>
  <c r="J101" i="100" s="1"/>
  <c r="J55" i="100"/>
  <c r="J54" i="100" s="1"/>
  <c r="J53" i="100" s="1"/>
  <c r="J52" i="100" s="1"/>
  <c r="J148" i="100"/>
  <c r="J74" i="100"/>
  <c r="J73" i="100" s="1"/>
  <c r="J72" i="100" s="1"/>
  <c r="K917" i="100"/>
  <c r="J713" i="100"/>
  <c r="J715" i="100" s="1"/>
  <c r="J720" i="100" s="1"/>
  <c r="J192" i="100"/>
  <c r="J191" i="100" s="1"/>
  <c r="J190" i="100" s="1"/>
  <c r="J189" i="100" s="1"/>
  <c r="J122" i="100"/>
  <c r="J121" i="100" s="1"/>
  <c r="J120" i="100" s="1"/>
  <c r="J119" i="100" s="1"/>
  <c r="J12" i="100"/>
  <c r="J11" i="100" s="1"/>
  <c r="J10" i="100" s="1"/>
  <c r="J9" i="100" s="1"/>
  <c r="J248" i="100"/>
  <c r="J247" i="100" s="1"/>
  <c r="J246" i="100" s="1"/>
  <c r="J245" i="100" s="1"/>
  <c r="J113" i="100"/>
  <c r="J112" i="100" s="1"/>
  <c r="J111" i="100" s="1"/>
  <c r="J110" i="100" s="1"/>
  <c r="J513" i="100"/>
  <c r="J515" i="100" s="1"/>
  <c r="J516" i="100" s="1"/>
  <c r="R93" i="19"/>
  <c r="J266" i="100"/>
  <c r="J265" i="100" s="1"/>
  <c r="J264" i="100" s="1"/>
  <c r="J263" i="100" s="1"/>
  <c r="J183" i="100"/>
  <c r="J182" i="100" s="1"/>
  <c r="J181" i="100" s="1"/>
  <c r="J180" i="100" s="1"/>
  <c r="J257" i="100"/>
  <c r="J256" i="100" s="1"/>
  <c r="J255" i="100" s="1"/>
  <c r="J254" i="100" s="1"/>
  <c r="J30" i="100"/>
  <c r="J29" i="100" s="1"/>
  <c r="J28" i="100" s="1"/>
  <c r="J27" i="100" s="1"/>
  <c r="K927" i="100"/>
  <c r="L926" i="100" s="1"/>
  <c r="J141" i="100"/>
  <c r="J140" i="100" s="1"/>
  <c r="J139" i="100" s="1"/>
  <c r="J138" i="100" s="1"/>
  <c r="J63" i="100"/>
  <c r="J62" i="100" s="1"/>
  <c r="J61" i="100" s="1"/>
  <c r="J60" i="100" s="1"/>
  <c r="J239" i="100"/>
  <c r="J238" i="100" s="1"/>
  <c r="J237" i="100" s="1"/>
  <c r="J236" i="100" s="1"/>
  <c r="J174" i="100"/>
  <c r="J173" i="100" s="1"/>
  <c r="J172" i="100" s="1"/>
  <c r="J171" i="100" s="1"/>
  <c r="J95" i="100"/>
  <c r="J94" i="100" s="1"/>
  <c r="J93" i="100" s="1"/>
  <c r="J92" i="100" s="1"/>
  <c r="K60" i="98"/>
  <c r="K59" i="98" s="1"/>
  <c r="K58" i="98" s="1"/>
  <c r="K57" i="98" s="1"/>
  <c r="K406" i="98"/>
  <c r="K405" i="98" s="1"/>
  <c r="K404" i="98" s="1"/>
  <c r="K403" i="98" s="1"/>
  <c r="K1923" i="98"/>
  <c r="K1924" i="98" s="1"/>
  <c r="R344" i="19"/>
  <c r="K1460" i="98"/>
  <c r="K1495" i="98"/>
  <c r="K1497" i="98" s="1"/>
  <c r="K1499" i="98" s="1"/>
  <c r="O866" i="19"/>
  <c r="P451" i="19"/>
  <c r="M420" i="19"/>
  <c r="M433" i="19"/>
  <c r="N433" i="19" s="1"/>
  <c r="N434" i="19"/>
  <c r="N451" i="19"/>
  <c r="M442" i="19"/>
  <c r="N788" i="19"/>
  <c r="M786" i="19"/>
  <c r="M883" i="19"/>
  <c r="P883" i="19" s="1"/>
  <c r="R529" i="19"/>
  <c r="R11" i="19"/>
  <c r="R453" i="19"/>
  <c r="M877" i="19"/>
  <c r="N878" i="19"/>
  <c r="O433" i="19"/>
  <c r="P434" i="19"/>
  <c r="Q788" i="19"/>
  <c r="O428" i="19"/>
  <c r="P429" i="19"/>
  <c r="J880" i="19"/>
  <c r="Q529" i="19"/>
  <c r="J451" i="19"/>
  <c r="Q451" i="19" s="1"/>
  <c r="L429" i="19"/>
  <c r="K428" i="19"/>
  <c r="N428" i="19" s="1"/>
  <c r="N429" i="19"/>
  <c r="P431" i="19"/>
  <c r="R430" i="19" s="1"/>
  <c r="Q430" i="19"/>
  <c r="Q342" i="19"/>
  <c r="P342" i="19"/>
  <c r="R342" i="19" s="1"/>
  <c r="R798" i="19"/>
  <c r="O882" i="19"/>
  <c r="K786" i="19"/>
  <c r="L788" i="19"/>
  <c r="K883" i="19"/>
  <c r="N880" i="19"/>
  <c r="P880" i="19"/>
  <c r="R879" i="19" s="1"/>
  <c r="O420" i="19"/>
  <c r="Q9" i="19"/>
  <c r="P9" i="19"/>
  <c r="P878" i="19"/>
  <c r="O877" i="19"/>
  <c r="K420" i="19"/>
  <c r="L9" i="19"/>
  <c r="K1389" i="98"/>
  <c r="K1391" i="98" s="1"/>
  <c r="K1396" i="98" s="1"/>
  <c r="K1177" i="98"/>
  <c r="K1179" i="98" s="1"/>
  <c r="K1180" i="98" s="1"/>
  <c r="K675" i="98"/>
  <c r="K674" i="98" s="1"/>
  <c r="K673" i="98" s="1"/>
  <c r="K672" i="98" s="1"/>
  <c r="K273" i="98"/>
  <c r="K272" i="98" s="1"/>
  <c r="K271" i="98" s="1"/>
  <c r="K270" i="98" s="1"/>
  <c r="K684" i="98"/>
  <c r="K683" i="98" s="1"/>
  <c r="K682" i="98" s="1"/>
  <c r="K681" i="98" s="1"/>
  <c r="K627" i="98"/>
  <c r="K626" i="98" s="1"/>
  <c r="K625" i="98" s="1"/>
  <c r="K624" i="98" s="1"/>
  <c r="K660" i="98"/>
  <c r="K659" i="98" s="1"/>
  <c r="K658" i="98" s="1"/>
  <c r="K657" i="98" s="1"/>
  <c r="K607" i="98"/>
  <c r="K606" i="98" s="1"/>
  <c r="K605" i="98" s="1"/>
  <c r="K604" i="98" s="1"/>
  <c r="K587" i="98"/>
  <c r="K586" i="98" s="1"/>
  <c r="K585" i="98" s="1"/>
  <c r="K584" i="98" s="1"/>
  <c r="K441" i="98"/>
  <c r="K440" i="98" s="1"/>
  <c r="K439" i="98" s="1"/>
  <c r="K438" i="98" s="1"/>
  <c r="K474" i="98"/>
  <c r="K473" i="98" s="1"/>
  <c r="K472" i="98" s="1"/>
  <c r="K471" i="98" s="1"/>
  <c r="K483" i="98"/>
  <c r="K482" i="98" s="1"/>
  <c r="K481" i="98" s="1"/>
  <c r="K240" i="98"/>
  <c r="K239" i="98" s="1"/>
  <c r="K238" i="98" s="1"/>
  <c r="K237" i="98" s="1"/>
  <c r="K291" i="98"/>
  <c r="K290" i="98" s="1"/>
  <c r="K289" i="98" s="1"/>
  <c r="K288" i="98" s="1"/>
  <c r="K282" i="98"/>
  <c r="K281" i="98" s="1"/>
  <c r="K280" i="98" s="1"/>
  <c r="K279" i="98" s="1"/>
  <c r="K183" i="98"/>
  <c r="K182" i="98" s="1"/>
  <c r="K181" i="98" s="1"/>
  <c r="K180" i="98" s="1"/>
  <c r="L1517" i="98"/>
  <c r="L2231" i="98"/>
  <c r="L3390" i="98"/>
  <c r="F1691" i="23"/>
  <c r="L3314" i="98"/>
  <c r="F1824" i="23"/>
  <c r="K2447" i="100" s="1"/>
  <c r="L3876" i="98"/>
  <c r="M3876" i="98" s="1"/>
  <c r="F2114" i="23"/>
  <c r="L3923" i="98"/>
  <c r="M3923" i="98" s="1"/>
  <c r="L3922" i="98"/>
  <c r="M3922" i="98" s="1"/>
  <c r="L3917" i="98"/>
  <c r="M3917" i="98" s="1"/>
  <c r="L3916" i="98"/>
  <c r="M3916" i="98" s="1"/>
  <c r="L3915" i="98"/>
  <c r="M3915" i="98" s="1"/>
  <c r="L3914" i="98"/>
  <c r="M3914" i="98" s="1"/>
  <c r="L3913" i="98"/>
  <c r="M3913" i="98" s="1"/>
  <c r="L3912" i="98"/>
  <c r="M3912" i="98" s="1"/>
  <c r="L3899" i="98"/>
  <c r="M3899" i="98" s="1"/>
  <c r="L3896" i="98"/>
  <c r="M3896" i="98" s="1"/>
  <c r="L3895" i="98"/>
  <c r="M3895" i="98" s="1"/>
  <c r="L3886" i="98"/>
  <c r="M3886" i="98" s="1"/>
  <c r="L3885" i="98"/>
  <c r="M3885" i="98" s="1"/>
  <c r="L3884" i="98"/>
  <c r="M3884" i="98" s="1"/>
  <c r="L3883" i="98"/>
  <c r="M3883" i="98" s="1"/>
  <c r="L3882" i="98"/>
  <c r="M3882" i="98" s="1"/>
  <c r="L3881" i="98"/>
  <c r="M3881" i="98" s="1"/>
  <c r="F2094" i="23"/>
  <c r="K2860" i="100" s="1"/>
  <c r="M3386" i="98" l="1"/>
  <c r="M3382" i="98"/>
  <c r="M3378" i="98"/>
  <c r="M3381" i="98"/>
  <c r="M3377" i="98"/>
  <c r="M3387" i="98"/>
  <c r="M3383" i="98"/>
  <c r="M3379" i="98"/>
  <c r="M3390" i="98"/>
  <c r="M3385" i="98"/>
  <c r="M3389" i="98"/>
  <c r="M3380" i="98"/>
  <c r="M3388" i="98"/>
  <c r="M3384" i="98"/>
  <c r="M3314" i="98"/>
  <c r="J157" i="100"/>
  <c r="J159" i="100" s="1"/>
  <c r="J161" i="100" s="1"/>
  <c r="J71" i="100"/>
  <c r="J82" i="100"/>
  <c r="J84" i="100" s="1"/>
  <c r="J85" i="100" s="1"/>
  <c r="L920" i="100"/>
  <c r="L925" i="100"/>
  <c r="L921" i="100"/>
  <c r="L927" i="100"/>
  <c r="L919" i="100"/>
  <c r="L922" i="100"/>
  <c r="J448" i="100"/>
  <c r="J450" i="100" s="1"/>
  <c r="J453" i="100" s="1"/>
  <c r="L918" i="100"/>
  <c r="J227" i="100"/>
  <c r="J229" i="100" s="1"/>
  <c r="J230" i="100" s="1"/>
  <c r="L2860" i="100"/>
  <c r="K2850" i="100"/>
  <c r="R788" i="19"/>
  <c r="K916" i="100"/>
  <c r="L917" i="100"/>
  <c r="M2230" i="98"/>
  <c r="M2228" i="98"/>
  <c r="M2226" i="98"/>
  <c r="M2229" i="98"/>
  <c r="M2227" i="98"/>
  <c r="M2231" i="98"/>
  <c r="M1517" i="98"/>
  <c r="M1515" i="98"/>
  <c r="M1516" i="98"/>
  <c r="K227" i="98"/>
  <c r="K229" i="98" s="1"/>
  <c r="K230" i="98" s="1"/>
  <c r="R878" i="19"/>
  <c r="N786" i="19"/>
  <c r="L412" i="19"/>
  <c r="R412" i="19" s="1"/>
  <c r="L396" i="19"/>
  <c r="R396" i="19" s="1"/>
  <c r="L388" i="19"/>
  <c r="R388" i="19" s="1"/>
  <c r="L380" i="19"/>
  <c r="R380" i="19" s="1"/>
  <c r="L307" i="19"/>
  <c r="R307" i="19" s="1"/>
  <c r="L420" i="19"/>
  <c r="L408" i="19"/>
  <c r="R408" i="19" s="1"/>
  <c r="L392" i="19"/>
  <c r="R392" i="19" s="1"/>
  <c r="L418" i="19"/>
  <c r="R418" i="19" s="1"/>
  <c r="L390" i="19"/>
  <c r="R390" i="19" s="1"/>
  <c r="L386" i="19"/>
  <c r="R386" i="19" s="1"/>
  <c r="L325" i="19"/>
  <c r="L384" i="19"/>
  <c r="R384" i="19" s="1"/>
  <c r="L410" i="19"/>
  <c r="R410" i="19" s="1"/>
  <c r="L402" i="19"/>
  <c r="R402" i="19" s="1"/>
  <c r="L398" i="19"/>
  <c r="R398" i="19" s="1"/>
  <c r="L394" i="19"/>
  <c r="R394" i="19" s="1"/>
  <c r="L382" i="19"/>
  <c r="R382" i="19" s="1"/>
  <c r="L378" i="19"/>
  <c r="R378" i="19" s="1"/>
  <c r="L374" i="19"/>
  <c r="R374" i="19" s="1"/>
  <c r="L370" i="19"/>
  <c r="R370" i="19" s="1"/>
  <c r="L366" i="19"/>
  <c r="R366" i="19" s="1"/>
  <c r="L883" i="19"/>
  <c r="K882" i="19"/>
  <c r="N877" i="19"/>
  <c r="M882" i="19"/>
  <c r="N883" i="19"/>
  <c r="O891" i="19"/>
  <c r="P877" i="19"/>
  <c r="P420" i="19"/>
  <c r="Q420" i="19"/>
  <c r="P325" i="19"/>
  <c r="J866" i="19"/>
  <c r="L451" i="19"/>
  <c r="R451" i="19" s="1"/>
  <c r="O442" i="19"/>
  <c r="Q428" i="19"/>
  <c r="P428" i="19"/>
  <c r="L786" i="19"/>
  <c r="K866" i="19"/>
  <c r="Q433" i="19"/>
  <c r="P433" i="19"/>
  <c r="R433" i="19" s="1"/>
  <c r="M866" i="19"/>
  <c r="N325" i="19"/>
  <c r="N420" i="19"/>
  <c r="Q786" i="19"/>
  <c r="R9" i="19"/>
  <c r="K442" i="19"/>
  <c r="L442" i="19" s="1"/>
  <c r="L428" i="19"/>
  <c r="L880" i="19"/>
  <c r="Q879" i="19"/>
  <c r="J877" i="19"/>
  <c r="P786" i="19"/>
  <c r="R786" i="19" s="1"/>
  <c r="K974" i="98"/>
  <c r="K976" i="98" s="1"/>
  <c r="K979" i="98" s="1"/>
  <c r="K480" i="98"/>
  <c r="K615" i="98"/>
  <c r="K617" i="98" s="1"/>
  <c r="K618" i="98" s="1"/>
  <c r="K424" i="98"/>
  <c r="K426" i="98" s="1"/>
  <c r="K428" i="98" s="1"/>
  <c r="L3909" i="98"/>
  <c r="M3909" i="98" s="1"/>
  <c r="L3921" i="98"/>
  <c r="L3875" i="98"/>
  <c r="M3875" i="98" s="1"/>
  <c r="L3874" i="98"/>
  <c r="M3874" i="98" s="1"/>
  <c r="L3870" i="98"/>
  <c r="L3869" i="98"/>
  <c r="M3869" i="98" s="1"/>
  <c r="L3860" i="98"/>
  <c r="M3860" i="98" s="1"/>
  <c r="L3859" i="98"/>
  <c r="M3859" i="98" s="1"/>
  <c r="L3858" i="98"/>
  <c r="M3858" i="98" s="1"/>
  <c r="L3841" i="98"/>
  <c r="M3841" i="98" s="1"/>
  <c r="L3840" i="98"/>
  <c r="M3840" i="98" s="1"/>
  <c r="F2077" i="23"/>
  <c r="K2840" i="100" s="1"/>
  <c r="L2840" i="100" s="1"/>
  <c r="L3822" i="98"/>
  <c r="M3822" i="98" s="1"/>
  <c r="L3821" i="98"/>
  <c r="M3821" i="98" s="1"/>
  <c r="L3820" i="98"/>
  <c r="M3820" i="98" s="1"/>
  <c r="L3819" i="98"/>
  <c r="M3819" i="98" s="1"/>
  <c r="L3816" i="98"/>
  <c r="M3816" i="98" s="1"/>
  <c r="L3815" i="98"/>
  <c r="M3815" i="98" s="1"/>
  <c r="L3814" i="98"/>
  <c r="M3814" i="98" s="1"/>
  <c r="L3813" i="98"/>
  <c r="M3813" i="98" s="1"/>
  <c r="L3810" i="98"/>
  <c r="M3810" i="98" s="1"/>
  <c r="F2060" i="23"/>
  <c r="L3805" i="98"/>
  <c r="M3805" i="98" s="1"/>
  <c r="L3804" i="98"/>
  <c r="M3804" i="98" s="1"/>
  <c r="L3803" i="98"/>
  <c r="M3803" i="98" s="1"/>
  <c r="L3802" i="98"/>
  <c r="M3802" i="98" s="1"/>
  <c r="L3798" i="98"/>
  <c r="M3798" i="98" s="1"/>
  <c r="L3797" i="98"/>
  <c r="M3797" i="98" s="1"/>
  <c r="L3796" i="98"/>
  <c r="M3796" i="98" s="1"/>
  <c r="L3795" i="98"/>
  <c r="M3795" i="98" s="1"/>
  <c r="F2049" i="23"/>
  <c r="L3790" i="98"/>
  <c r="M3790" i="98" s="1"/>
  <c r="L3789" i="98"/>
  <c r="M3789" i="98" s="1"/>
  <c r="L3788" i="98"/>
  <c r="M3788" i="98" s="1"/>
  <c r="L3787" i="98"/>
  <c r="M3787" i="98" s="1"/>
  <c r="L3785" i="98"/>
  <c r="M3785" i="98" s="1"/>
  <c r="L3784" i="98"/>
  <c r="M3784" i="98" s="1"/>
  <c r="L3783" i="98"/>
  <c r="M3783" i="98" s="1"/>
  <c r="L3782" i="98"/>
  <c r="M3782" i="98" s="1"/>
  <c r="L3781" i="98"/>
  <c r="M3781" i="98" s="1"/>
  <c r="F2037" i="23"/>
  <c r="K2791" i="100" s="1"/>
  <c r="L3757" i="98"/>
  <c r="L3756" i="98"/>
  <c r="L3755" i="98"/>
  <c r="L3753" i="98"/>
  <c r="L3752" i="98"/>
  <c r="L3751" i="98"/>
  <c r="L3750" i="98"/>
  <c r="L3749" i="98"/>
  <c r="F2022" i="23"/>
  <c r="K2758" i="100" s="1"/>
  <c r="L3744" i="98"/>
  <c r="L3743" i="98"/>
  <c r="L3742" i="98"/>
  <c r="L3737" i="98"/>
  <c r="L3736" i="98"/>
  <c r="L3735" i="98"/>
  <c r="L3733" i="98"/>
  <c r="L3732" i="98"/>
  <c r="L3731" i="98"/>
  <c r="L3730" i="98"/>
  <c r="L3729" i="98"/>
  <c r="L3728" i="98"/>
  <c r="F2008" i="23"/>
  <c r="K2738" i="100" s="1"/>
  <c r="F1976" i="23"/>
  <c r="F1956" i="23"/>
  <c r="K2819" i="100" l="1"/>
  <c r="K2813" i="100" s="1"/>
  <c r="K2805" i="100"/>
  <c r="F2042" i="23"/>
  <c r="M3742" i="98"/>
  <c r="L2791" i="100"/>
  <c r="K2785" i="100"/>
  <c r="K2731" i="100"/>
  <c r="L2738" i="100"/>
  <c r="Q882" i="19"/>
  <c r="K923" i="100"/>
  <c r="L923" i="100" s="1"/>
  <c r="L916" i="100"/>
  <c r="K915" i="100"/>
  <c r="L915" i="100" s="1"/>
  <c r="K2849" i="100"/>
  <c r="L2850" i="100"/>
  <c r="L3760" i="98"/>
  <c r="L3764" i="98" s="1"/>
  <c r="M3763" i="98" s="1"/>
  <c r="K2752" i="100"/>
  <c r="L2758" i="100"/>
  <c r="L3920" i="98"/>
  <c r="M3921" i="98"/>
  <c r="R428" i="19"/>
  <c r="Q866" i="19"/>
  <c r="L866" i="19"/>
  <c r="L882" i="19"/>
  <c r="K891" i="19"/>
  <c r="N866" i="19"/>
  <c r="R325" i="19"/>
  <c r="N882" i="19"/>
  <c r="R883" i="19"/>
  <c r="J891" i="19"/>
  <c r="L877" i="19"/>
  <c r="R877" i="19" s="1"/>
  <c r="P866" i="19"/>
  <c r="Q442" i="19"/>
  <c r="P442" i="19"/>
  <c r="Q877" i="19"/>
  <c r="M891" i="19"/>
  <c r="P882" i="19"/>
  <c r="N442" i="19"/>
  <c r="L3734" i="98"/>
  <c r="L3786" i="98"/>
  <c r="L3818" i="98"/>
  <c r="M3818" i="98" s="1"/>
  <c r="L3880" i="98"/>
  <c r="L3801" i="98"/>
  <c r="L3864" i="98"/>
  <c r="M3864" i="98" s="1"/>
  <c r="L3754" i="98"/>
  <c r="L3741" i="98"/>
  <c r="F1948" i="23"/>
  <c r="F1938" i="23"/>
  <c r="F1931" i="23"/>
  <c r="F1923" i="23"/>
  <c r="F1903" i="23"/>
  <c r="F1893" i="23"/>
  <c r="F1876" i="23"/>
  <c r="L3467" i="98"/>
  <c r="L3477" i="98"/>
  <c r="L3476" i="98"/>
  <c r="L3475" i="98"/>
  <c r="L3474" i="98"/>
  <c r="L3473" i="98"/>
  <c r="L3471" i="98"/>
  <c r="L3470" i="98"/>
  <c r="L3469" i="98"/>
  <c r="L3468" i="98"/>
  <c r="L3466" i="98"/>
  <c r="L3465" i="98"/>
  <c r="L3464" i="98"/>
  <c r="L3462" i="98"/>
  <c r="F1840" i="23"/>
  <c r="K2472" i="100" s="1"/>
  <c r="F1849" i="23"/>
  <c r="K2481" i="100" s="1"/>
  <c r="L3457" i="98"/>
  <c r="L3456" i="98"/>
  <c r="L3455" i="98"/>
  <c r="L3454" i="98"/>
  <c r="L3449" i="98"/>
  <c r="L3442" i="98"/>
  <c r="L3441" i="98"/>
  <c r="L3440" i="98"/>
  <c r="L3439" i="98"/>
  <c r="F1830" i="23"/>
  <c r="K2453" i="100" s="1"/>
  <c r="F1829" i="23"/>
  <c r="K2452" i="100" s="1"/>
  <c r="F1821" i="23"/>
  <c r="K2441" i="100" s="1"/>
  <c r="L3431" i="98"/>
  <c r="L3430" i="98"/>
  <c r="L3429" i="98"/>
  <c r="L3428" i="98"/>
  <c r="F1816" i="23"/>
  <c r="K2436" i="100" s="1"/>
  <c r="L3421" i="98"/>
  <c r="L3420" i="98"/>
  <c r="L3419" i="98"/>
  <c r="L3418" i="98"/>
  <c r="L3417" i="98"/>
  <c r="F1808" i="23"/>
  <c r="K2425" i="100" s="1"/>
  <c r="L3411" i="98"/>
  <c r="L3410" i="98"/>
  <c r="L3409" i="98"/>
  <c r="L3408" i="98"/>
  <c r="L3407" i="98"/>
  <c r="L3404" i="98"/>
  <c r="L3403" i="98"/>
  <c r="L3402" i="98"/>
  <c r="L3401" i="98"/>
  <c r="L3400" i="98"/>
  <c r="L3374" i="98"/>
  <c r="M3374" i="98" s="1"/>
  <c r="L3373" i="98"/>
  <c r="M3373" i="98" s="1"/>
  <c r="L3372" i="98"/>
  <c r="M3372" i="98" s="1"/>
  <c r="L3371" i="98"/>
  <c r="M3371" i="98" s="1"/>
  <c r="L3370" i="98"/>
  <c r="M3370" i="98" s="1"/>
  <c r="L3368" i="98"/>
  <c r="M3368" i="98" s="1"/>
  <c r="L3367" i="98"/>
  <c r="M3367" i="98" s="1"/>
  <c r="L3366" i="98"/>
  <c r="M3366" i="98" s="1"/>
  <c r="L3365" i="98"/>
  <c r="M3365" i="98" s="1"/>
  <c r="L3364" i="98"/>
  <c r="M3364" i="98" s="1"/>
  <c r="L3363" i="98"/>
  <c r="M3363" i="98" s="1"/>
  <c r="L3362" i="98"/>
  <c r="M3362" i="98" s="1"/>
  <c r="L3361" i="98"/>
  <c r="M3361" i="98" s="1"/>
  <c r="L3360" i="98"/>
  <c r="M3360" i="98" s="1"/>
  <c r="L3359" i="98"/>
  <c r="M3359" i="98" s="1"/>
  <c r="F1788" i="23"/>
  <c r="K2378" i="100" s="1"/>
  <c r="L3354" i="98"/>
  <c r="M3354" i="98" s="1"/>
  <c r="L3353" i="98"/>
  <c r="M3353" i="98" s="1"/>
  <c r="L3352" i="98"/>
  <c r="M3352" i="98" s="1"/>
  <c r="L3351" i="98"/>
  <c r="M3351" i="98" s="1"/>
  <c r="L3348" i="98"/>
  <c r="M3348" i="98" s="1"/>
  <c r="L3347" i="98"/>
  <c r="M3347" i="98" s="1"/>
  <c r="L3346" i="98"/>
  <c r="M3346" i="98" s="1"/>
  <c r="L3345" i="98"/>
  <c r="M3345" i="98" s="1"/>
  <c r="L3344" i="98"/>
  <c r="M3344" i="98" s="1"/>
  <c r="L3343" i="98"/>
  <c r="M3343" i="98" s="1"/>
  <c r="F1771" i="23"/>
  <c r="K2358" i="100" s="1"/>
  <c r="L2358" i="100" s="1"/>
  <c r="L3334" i="98"/>
  <c r="M3334" i="98" s="1"/>
  <c r="L3333" i="98"/>
  <c r="M3333" i="98" s="1"/>
  <c r="L3332" i="98"/>
  <c r="M3332" i="98" s="1"/>
  <c r="L3331" i="98"/>
  <c r="M3331" i="98" s="1"/>
  <c r="L3330" i="98"/>
  <c r="M3330" i="98" s="1"/>
  <c r="L3327" i="98"/>
  <c r="M3327" i="98" s="1"/>
  <c r="L3326" i="98"/>
  <c r="M3326" i="98" s="1"/>
  <c r="L3325" i="98"/>
  <c r="M3325" i="98" s="1"/>
  <c r="L3324" i="98"/>
  <c r="M3324" i="98" s="1"/>
  <c r="L3317" i="98"/>
  <c r="M3317" i="98" s="1"/>
  <c r="L3313" i="98"/>
  <c r="M3313" i="98" s="1"/>
  <c r="L3311" i="98"/>
  <c r="M3311" i="98" s="1"/>
  <c r="L3309" i="98"/>
  <c r="M3309" i="98" s="1"/>
  <c r="F1741" i="23"/>
  <c r="L3316" i="98"/>
  <c r="M3316" i="98" s="1"/>
  <c r="L3315" i="98"/>
  <c r="M3315" i="98" s="1"/>
  <c r="L3312" i="98"/>
  <c r="M3312" i="98" s="1"/>
  <c r="L3310" i="98"/>
  <c r="M3310" i="98" s="1"/>
  <c r="L3308" i="98"/>
  <c r="M3308" i="98" s="1"/>
  <c r="F1733" i="23"/>
  <c r="K2315" i="100" s="1"/>
  <c r="L3301" i="98"/>
  <c r="M3301" i="98" s="1"/>
  <c r="L3299" i="98"/>
  <c r="M3299" i="98" s="1"/>
  <c r="L3294" i="98"/>
  <c r="M3294" i="98" s="1"/>
  <c r="L3292" i="98"/>
  <c r="M3292" i="98" s="1"/>
  <c r="F1726" i="23"/>
  <c r="K2302" i="100" s="1"/>
  <c r="L3285" i="98"/>
  <c r="M3285" i="98" s="1"/>
  <c r="L3283" i="98"/>
  <c r="M3283" i="98" s="1"/>
  <c r="L3281" i="98"/>
  <c r="M3281" i="98" s="1"/>
  <c r="L3279" i="98"/>
  <c r="M3279" i="98" s="1"/>
  <c r="L3277" i="98"/>
  <c r="M3277" i="98" s="1"/>
  <c r="L3284" i="98"/>
  <c r="M3284" i="98" s="1"/>
  <c r="L3282" i="98"/>
  <c r="M3282" i="98" s="1"/>
  <c r="L3280" i="98"/>
  <c r="M3280" i="98" s="1"/>
  <c r="L3278" i="98"/>
  <c r="M3278" i="98" s="1"/>
  <c r="L3276" i="98"/>
  <c r="M3276" i="98" s="1"/>
  <c r="F1717" i="23"/>
  <c r="K2284" i="100" s="1"/>
  <c r="L2284" i="100" s="1"/>
  <c r="F1709" i="23"/>
  <c r="K2283" i="100" s="1"/>
  <c r="L3267" i="98"/>
  <c r="M3267" i="98" s="1"/>
  <c r="L3265" i="98"/>
  <c r="M3265" i="98" s="1"/>
  <c r="L3263" i="98"/>
  <c r="M3263" i="98" s="1"/>
  <c r="L3261" i="98"/>
  <c r="M3261" i="98" s="1"/>
  <c r="L3259" i="98"/>
  <c r="M3259" i="98" s="1"/>
  <c r="F1701" i="23"/>
  <c r="K2266" i="100" s="1"/>
  <c r="L2266" i="100" s="1"/>
  <c r="L3266" i="98"/>
  <c r="M3266" i="98" s="1"/>
  <c r="L3264" i="98"/>
  <c r="M3264" i="98" s="1"/>
  <c r="L3262" i="98"/>
  <c r="M3262" i="98" s="1"/>
  <c r="L3260" i="98"/>
  <c r="M3260" i="98" s="1"/>
  <c r="L3258" i="98"/>
  <c r="M3258" i="98" s="1"/>
  <c r="F1693" i="23"/>
  <c r="K2265" i="100" s="1"/>
  <c r="F1685" i="23"/>
  <c r="L3216" i="98"/>
  <c r="F1664" i="23"/>
  <c r="F1657" i="23"/>
  <c r="F1647" i="23"/>
  <c r="F1634" i="23"/>
  <c r="F1616" i="23"/>
  <c r="F1609" i="23"/>
  <c r="F1598" i="23"/>
  <c r="F1583" i="23"/>
  <c r="F1563" i="23"/>
  <c r="F1551" i="23"/>
  <c r="F1517" i="23"/>
  <c r="F1499" i="23"/>
  <c r="F1481" i="23"/>
  <c r="F1453" i="23"/>
  <c r="F1429" i="23"/>
  <c r="F1447" i="23"/>
  <c r="F1441" i="23"/>
  <c r="F1435" i="23"/>
  <c r="F1417" i="23"/>
  <c r="F1422" i="23"/>
  <c r="F1394" i="23"/>
  <c r="F1388" i="23"/>
  <c r="F1382" i="23"/>
  <c r="F1376" i="23"/>
  <c r="L2743" i="98"/>
  <c r="L2742" i="98"/>
  <c r="L2741" i="98"/>
  <c r="L2740" i="98"/>
  <c r="L2739" i="98"/>
  <c r="L2738" i="98"/>
  <c r="F1370" i="23"/>
  <c r="K1839" i="100" s="1"/>
  <c r="L2706" i="98"/>
  <c r="L2704" i="98"/>
  <c r="L2703" i="98"/>
  <c r="L2702" i="98"/>
  <c r="L2701" i="98"/>
  <c r="L2700" i="98"/>
  <c r="F1343" i="23"/>
  <c r="K1800" i="100" s="1"/>
  <c r="F1331" i="23"/>
  <c r="F1329" i="23"/>
  <c r="F1324" i="23"/>
  <c r="F1307" i="23"/>
  <c r="L2559" i="98"/>
  <c r="L2558" i="98"/>
  <c r="L2555" i="98"/>
  <c r="L2554" i="98"/>
  <c r="L2553" i="98"/>
  <c r="L2552" i="98"/>
  <c r="F1298" i="23"/>
  <c r="K1652" i="100" s="1"/>
  <c r="F1289" i="23"/>
  <c r="F1281" i="23"/>
  <c r="F1273" i="23"/>
  <c r="F1265" i="23"/>
  <c r="F1238" i="23"/>
  <c r="F1230" i="23"/>
  <c r="F1246" i="23"/>
  <c r="F1222" i="23"/>
  <c r="F1213" i="23"/>
  <c r="L2422" i="98"/>
  <c r="L2421" i="98"/>
  <c r="F1177" i="23"/>
  <c r="F1170" i="23"/>
  <c r="F1130" i="23"/>
  <c r="F1097" i="23"/>
  <c r="L2223" i="98"/>
  <c r="M2223" i="98" s="1"/>
  <c r="L2221" i="98"/>
  <c r="M2221" i="98" s="1"/>
  <c r="F1092" i="23"/>
  <c r="K1331" i="100" s="1"/>
  <c r="L2216" i="98"/>
  <c r="M2216" i="98" s="1"/>
  <c r="L2209" i="98"/>
  <c r="M2209" i="98" s="1"/>
  <c r="L2206" i="98"/>
  <c r="M2206" i="98" s="1"/>
  <c r="L2205" i="98"/>
  <c r="M2205" i="98" s="1"/>
  <c r="F1084" i="23"/>
  <c r="K1317" i="100" s="1"/>
  <c r="L1317" i="100" s="1"/>
  <c r="L2199" i="98"/>
  <c r="M2199" i="98" s="1"/>
  <c r="L2198" i="98"/>
  <c r="M2198" i="98" s="1"/>
  <c r="L2197" i="98"/>
  <c r="M2197" i="98" s="1"/>
  <c r="L2196" i="98"/>
  <c r="M2196" i="98" s="1"/>
  <c r="F1059" i="23"/>
  <c r="K1275" i="100" s="1"/>
  <c r="F1074" i="23"/>
  <c r="K1304" i="100" s="1"/>
  <c r="L2179" i="98"/>
  <c r="M2179" i="98" s="1"/>
  <c r="L2177" i="98"/>
  <c r="M2177" i="98" s="1"/>
  <c r="F1068" i="23"/>
  <c r="K1287" i="100" s="1"/>
  <c r="L2171" i="98"/>
  <c r="M2171" i="98" s="1"/>
  <c r="L2170" i="98"/>
  <c r="M2170" i="98" s="1"/>
  <c r="L2169" i="98"/>
  <c r="M2169" i="98" s="1"/>
  <c r="L2168" i="98"/>
  <c r="M2168" i="98" s="1"/>
  <c r="L2167" i="98"/>
  <c r="M2167" i="98" s="1"/>
  <c r="F982" i="23"/>
  <c r="L2819" i="100" l="1"/>
  <c r="M3764" i="98"/>
  <c r="M3757" i="98"/>
  <c r="M3762" i="98"/>
  <c r="M3761" i="98"/>
  <c r="M3737" i="98"/>
  <c r="M3743" i="98"/>
  <c r="M3760" i="98"/>
  <c r="M3752" i="98"/>
  <c r="M3732" i="98"/>
  <c r="M3751" i="98"/>
  <c r="M3730" i="98"/>
  <c r="M3753" i="98"/>
  <c r="M3728" i="98"/>
  <c r="M3755" i="98"/>
  <c r="M3733" i="98"/>
  <c r="M3736" i="98"/>
  <c r="K1832" i="100"/>
  <c r="K2316" i="100"/>
  <c r="L2316" i="100" s="1"/>
  <c r="F1747" i="23"/>
  <c r="K2328" i="100" s="1"/>
  <c r="L2328" i="100" s="1"/>
  <c r="L3780" i="98"/>
  <c r="M3780" i="98" s="1"/>
  <c r="M3786" i="98"/>
  <c r="L2813" i="100"/>
  <c r="K2812" i="100"/>
  <c r="K2751" i="100"/>
  <c r="L2752" i="100"/>
  <c r="K2762" i="100"/>
  <c r="L2762" i="100" s="1"/>
  <c r="K2848" i="100"/>
  <c r="L2849" i="100"/>
  <c r="L2805" i="100"/>
  <c r="K2799" i="100"/>
  <c r="L1304" i="100"/>
  <c r="L1331" i="100"/>
  <c r="K1329" i="100"/>
  <c r="L2265" i="100"/>
  <c r="L2283" i="100"/>
  <c r="K2300" i="100"/>
  <c r="L2302" i="100"/>
  <c r="K2367" i="100"/>
  <c r="L2378" i="100"/>
  <c r="L3794" i="98"/>
  <c r="M3801" i="98"/>
  <c r="L3727" i="98"/>
  <c r="M3734" i="98"/>
  <c r="N891" i="19"/>
  <c r="R866" i="19"/>
  <c r="M3735" i="98"/>
  <c r="M3749" i="98"/>
  <c r="K2730" i="100"/>
  <c r="L2731" i="100"/>
  <c r="M3729" i="98"/>
  <c r="M3756" i="98"/>
  <c r="L1287" i="100"/>
  <c r="K1285" i="100"/>
  <c r="L1275" i="100"/>
  <c r="L2315" i="100"/>
  <c r="L3740" i="98"/>
  <c r="M3741" i="98"/>
  <c r="L3879" i="98"/>
  <c r="M3880" i="98"/>
  <c r="L3919" i="98"/>
  <c r="M3919" i="98" s="1"/>
  <c r="M3920" i="98"/>
  <c r="K2784" i="100"/>
  <c r="L2785" i="100"/>
  <c r="K1323" i="100"/>
  <c r="K1324" i="100"/>
  <c r="L1324" i="100" s="1"/>
  <c r="K2446" i="100"/>
  <c r="K2470" i="100"/>
  <c r="L3748" i="98"/>
  <c r="M3748" i="98" s="1"/>
  <c r="M3754" i="98"/>
  <c r="M3750" i="98"/>
  <c r="M3744" i="98"/>
  <c r="M3731" i="98"/>
  <c r="L3483" i="98"/>
  <c r="Q891" i="19"/>
  <c r="L891" i="19"/>
  <c r="P891" i="19"/>
  <c r="R442" i="19"/>
  <c r="R882" i="19"/>
  <c r="L3369" i="98"/>
  <c r="L3809" i="98"/>
  <c r="L2208" i="98"/>
  <c r="M2208" i="98" s="1"/>
  <c r="L2215" i="98"/>
  <c r="M2215" i="98" s="1"/>
  <c r="L2705" i="98"/>
  <c r="F1345" i="23"/>
  <c r="K1802" i="100" s="1"/>
  <c r="L2744" i="98"/>
  <c r="L3300" i="98"/>
  <c r="L3329" i="98"/>
  <c r="M3329" i="98" s="1"/>
  <c r="L3405" i="98"/>
  <c r="L3444" i="98"/>
  <c r="L3328" i="98"/>
  <c r="M3328" i="98" s="1"/>
  <c r="L3427" i="98"/>
  <c r="L2195" i="98"/>
  <c r="M2195" i="98" s="1"/>
  <c r="L2222" i="98"/>
  <c r="F1297" i="23"/>
  <c r="K1651" i="100" s="1"/>
  <c r="L3432" i="98"/>
  <c r="L2178" i="98"/>
  <c r="M2178" i="98" s="1"/>
  <c r="L2166" i="98"/>
  <c r="M2166" i="98" s="1"/>
  <c r="L3256" i="98"/>
  <c r="M3256" i="98" s="1"/>
  <c r="L3274" i="98"/>
  <c r="M3274" i="98" s="1"/>
  <c r="L3293" i="98"/>
  <c r="L3349" i="98"/>
  <c r="M3349" i="98" s="1"/>
  <c r="L3406" i="98"/>
  <c r="F1814" i="23"/>
  <c r="K2431" i="100" s="1"/>
  <c r="K2424" i="100" s="1"/>
  <c r="L3443" i="98"/>
  <c r="L3463" i="98"/>
  <c r="L3257" i="98"/>
  <c r="M3257" i="98" s="1"/>
  <c r="F1707" i="23"/>
  <c r="K2278" i="100" s="1"/>
  <c r="L2278" i="100" s="1"/>
  <c r="F1739" i="23"/>
  <c r="K2327" i="100" s="1"/>
  <c r="L2327" i="100" s="1"/>
  <c r="L3307" i="98"/>
  <c r="M3307" i="98" s="1"/>
  <c r="L3275" i="98"/>
  <c r="M3275" i="98" s="1"/>
  <c r="F1723" i="23"/>
  <c r="K2296" i="100" s="1"/>
  <c r="L2296" i="100" s="1"/>
  <c r="L3453" i="98"/>
  <c r="L3448" i="98"/>
  <c r="L3472" i="98"/>
  <c r="L3438" i="98"/>
  <c r="F1822" i="23"/>
  <c r="K2442" i="100" s="1"/>
  <c r="K2435" i="100" s="1"/>
  <c r="L3306" i="98"/>
  <c r="M3306" i="98" s="1"/>
  <c r="L3416" i="98"/>
  <c r="F1715" i="23"/>
  <c r="K2295" i="100" s="1"/>
  <c r="L2295" i="100" s="1"/>
  <c r="F1699" i="23"/>
  <c r="K2277" i="100" s="1"/>
  <c r="L2277" i="100" s="1"/>
  <c r="L2557" i="98"/>
  <c r="F1065" i="23"/>
  <c r="K1281" i="100" s="1"/>
  <c r="L1281" i="100" s="1"/>
  <c r="F1079" i="23"/>
  <c r="K1309" i="100" s="1"/>
  <c r="L1309" i="100" s="1"/>
  <c r="F1083" i="23"/>
  <c r="K1316" i="100" s="1"/>
  <c r="F883" i="23"/>
  <c r="L3779" i="98" l="1"/>
  <c r="M3779" i="98" s="1"/>
  <c r="L3758" i="98"/>
  <c r="M3758" i="98" s="1"/>
  <c r="L3287" i="98"/>
  <c r="M3287" i="98" s="1"/>
  <c r="L3747" i="98"/>
  <c r="M3747" i="98" s="1"/>
  <c r="K2434" i="100"/>
  <c r="K2423" i="100"/>
  <c r="L2367" i="100"/>
  <c r="K2366" i="100"/>
  <c r="K2847" i="100"/>
  <c r="L2847" i="100" s="1"/>
  <c r="L2848" i="100"/>
  <c r="K2469" i="100"/>
  <c r="K2314" i="100"/>
  <c r="K1274" i="100"/>
  <c r="L2730" i="100"/>
  <c r="K2729" i="100"/>
  <c r="L3793" i="98"/>
  <c r="M3794" i="98"/>
  <c r="L2300" i="100"/>
  <c r="K2299" i="100"/>
  <c r="L3358" i="98"/>
  <c r="M3358" i="98" s="1"/>
  <c r="M3369" i="98"/>
  <c r="L2812" i="100"/>
  <c r="K2811" i="100"/>
  <c r="L1316" i="100"/>
  <c r="K1313" i="100"/>
  <c r="L3291" i="98"/>
  <c r="M3293" i="98"/>
  <c r="L3808" i="98"/>
  <c r="M3809" i="98"/>
  <c r="R891" i="19"/>
  <c r="L1323" i="100"/>
  <c r="K1322" i="100"/>
  <c r="L3739" i="98"/>
  <c r="M3739" i="98" s="1"/>
  <c r="M3740" i="98"/>
  <c r="L1285" i="100"/>
  <c r="K1284" i="100"/>
  <c r="K2282" i="100"/>
  <c r="K1303" i="100"/>
  <c r="L2751" i="100"/>
  <c r="K2750" i="100"/>
  <c r="L3726" i="98"/>
  <c r="M3727" i="98"/>
  <c r="K1646" i="100"/>
  <c r="L3298" i="98"/>
  <c r="M3300" i="98"/>
  <c r="K2445" i="100"/>
  <c r="K2783" i="100"/>
  <c r="L2784" i="100"/>
  <c r="L3878" i="98"/>
  <c r="M3878" i="98" s="1"/>
  <c r="M3879" i="98"/>
  <c r="K2264" i="100"/>
  <c r="K1794" i="100"/>
  <c r="K1328" i="100"/>
  <c r="L1329" i="100"/>
  <c r="K2798" i="100"/>
  <c r="L2799" i="100"/>
  <c r="K1831" i="100"/>
  <c r="L2220" i="98"/>
  <c r="M2220" i="98" s="1"/>
  <c r="M2222" i="98"/>
  <c r="L3269" i="98"/>
  <c r="M3269" i="98" s="1"/>
  <c r="L3399" i="98"/>
  <c r="L3323" i="98"/>
  <c r="L2172" i="98"/>
  <c r="M2172" i="98" s="1"/>
  <c r="L3318" i="98"/>
  <c r="M3318" i="98" s="1"/>
  <c r="L2207" i="98"/>
  <c r="L3268" i="98"/>
  <c r="M3268" i="98" s="1"/>
  <c r="L3433" i="98"/>
  <c r="L3422" i="98"/>
  <c r="L2200" i="98"/>
  <c r="L2737" i="98"/>
  <c r="L3286" i="98"/>
  <c r="M3286" i="98" s="1"/>
  <c r="L3319" i="98"/>
  <c r="M3319" i="98" s="1"/>
  <c r="L2556" i="98"/>
  <c r="L2176" i="98"/>
  <c r="M2176" i="98" s="1"/>
  <c r="L2214" i="98"/>
  <c r="L2707" i="98"/>
  <c r="L3437" i="98"/>
  <c r="L1676" i="98"/>
  <c r="L1675" i="98"/>
  <c r="L1674" i="98"/>
  <c r="L1677" i="98"/>
  <c r="L1512" i="98"/>
  <c r="M1512" i="98" s="1"/>
  <c r="L1511" i="98"/>
  <c r="M1511" i="98" s="1"/>
  <c r="L1510" i="98"/>
  <c r="M1510" i="98" s="1"/>
  <c r="L1509" i="98"/>
  <c r="M1509" i="98" s="1"/>
  <c r="L1464" i="98"/>
  <c r="F712" i="23"/>
  <c r="K792" i="100" s="1"/>
  <c r="L1205" i="98"/>
  <c r="L1388" i="98"/>
  <c r="L1383" i="98"/>
  <c r="L1378" i="98"/>
  <c r="L1371" i="98"/>
  <c r="L1366" i="98"/>
  <c r="L1372" i="98"/>
  <c r="F657" i="23"/>
  <c r="K697" i="100" s="1"/>
  <c r="L3746" i="98" l="1"/>
  <c r="M3746" i="98" s="1"/>
  <c r="L3778" i="98"/>
  <c r="M3778" i="98" s="1"/>
  <c r="L2750" i="100"/>
  <c r="K2749" i="100"/>
  <c r="L2749" i="100" s="1"/>
  <c r="L3807" i="98"/>
  <c r="M3807" i="98" s="1"/>
  <c r="M3808" i="98"/>
  <c r="L3398" i="98"/>
  <c r="L3397" i="98" s="1"/>
  <c r="L1303" i="100"/>
  <c r="K1302" i="100"/>
  <c r="K2810" i="100"/>
  <c r="L2810" i="100" s="1"/>
  <c r="L2811" i="100"/>
  <c r="L1274" i="100"/>
  <c r="K1273" i="100"/>
  <c r="L1284" i="100"/>
  <c r="K1283" i="100"/>
  <c r="L3290" i="98"/>
  <c r="M3291" i="98"/>
  <c r="L2299" i="100"/>
  <c r="K2298" i="100"/>
  <c r="K2365" i="100"/>
  <c r="L2366" i="100"/>
  <c r="K694" i="100"/>
  <c r="L2699" i="98"/>
  <c r="L3415" i="98"/>
  <c r="K1830" i="100"/>
  <c r="L1328" i="100"/>
  <c r="K1327" i="100"/>
  <c r="K2444" i="100"/>
  <c r="K1645" i="100"/>
  <c r="L2282" i="100"/>
  <c r="K2281" i="100"/>
  <c r="L3792" i="98"/>
  <c r="M3792" i="98" s="1"/>
  <c r="M3793" i="98"/>
  <c r="K2313" i="100"/>
  <c r="L2314" i="100"/>
  <c r="K2422" i="100"/>
  <c r="K1793" i="100"/>
  <c r="K1321" i="100"/>
  <c r="L1322" i="100"/>
  <c r="L1313" i="100"/>
  <c r="K1312" i="100"/>
  <c r="K2728" i="100"/>
  <c r="L2728" i="100" s="1"/>
  <c r="L2729" i="100"/>
  <c r="L3322" i="98"/>
  <c r="M3323" i="98"/>
  <c r="K2797" i="100"/>
  <c r="L2798" i="100"/>
  <c r="K2263" i="100"/>
  <c r="L2264" i="100"/>
  <c r="K2782" i="100"/>
  <c r="L2782" i="100" s="1"/>
  <c r="L2783" i="100"/>
  <c r="L3297" i="98"/>
  <c r="M3298" i="98"/>
  <c r="L3725" i="98"/>
  <c r="M3725" i="98" s="1"/>
  <c r="M3726" i="98"/>
  <c r="K2491" i="100"/>
  <c r="K2468" i="100"/>
  <c r="K2487" i="100"/>
  <c r="K2433" i="100"/>
  <c r="L2213" i="98"/>
  <c r="M2213" i="98" s="1"/>
  <c r="M2214" i="98"/>
  <c r="L2194" i="98"/>
  <c r="M2194" i="98" s="1"/>
  <c r="M2200" i="98"/>
  <c r="L2204" i="98"/>
  <c r="M2204" i="98" s="1"/>
  <c r="M2207" i="98"/>
  <c r="L3273" i="98"/>
  <c r="L3305" i="98"/>
  <c r="L2165" i="98"/>
  <c r="L3426" i="98"/>
  <c r="L2551" i="98"/>
  <c r="L3255" i="98"/>
  <c r="L1373" i="98"/>
  <c r="L1468" i="98"/>
  <c r="L1681" i="98"/>
  <c r="L1365" i="98"/>
  <c r="L1377" i="98"/>
  <c r="L1387" i="98"/>
  <c r="L1382" i="98"/>
  <c r="L1673" i="98"/>
  <c r="L1508" i="98"/>
  <c r="M1508" i="98" s="1"/>
  <c r="F632" i="23"/>
  <c r="K662" i="100" s="1"/>
  <c r="F631" i="23"/>
  <c r="K661" i="100" s="1"/>
  <c r="L1332" i="98"/>
  <c r="L1331" i="98"/>
  <c r="L1330" i="98"/>
  <c r="F633" i="23"/>
  <c r="K663" i="100" s="1"/>
  <c r="F630" i="23"/>
  <c r="K660" i="100" s="1"/>
  <c r="F629" i="23"/>
  <c r="K659" i="100" s="1"/>
  <c r="L1255" i="98"/>
  <c r="L1254" i="98"/>
  <c r="L1252" i="98"/>
  <c r="L1251" i="98"/>
  <c r="F560" i="23"/>
  <c r="K582" i="100" s="1"/>
  <c r="L3481" i="98" l="1"/>
  <c r="L3272" i="98"/>
  <c r="M3273" i="98"/>
  <c r="K1829" i="100"/>
  <c r="K1840" i="100"/>
  <c r="L3289" i="98"/>
  <c r="M3289" i="98" s="1"/>
  <c r="M3290" i="98"/>
  <c r="K2432" i="100"/>
  <c r="K2497" i="100"/>
  <c r="L2433" i="100" s="1"/>
  <c r="L3296" i="98"/>
  <c r="M3297" i="98"/>
  <c r="L2263" i="100"/>
  <c r="K2262" i="100"/>
  <c r="L3321" i="98"/>
  <c r="M3321" i="98" s="1"/>
  <c r="M3322" i="98"/>
  <c r="K1311" i="100"/>
  <c r="L1312" i="100"/>
  <c r="K2421" i="100"/>
  <c r="K1644" i="100"/>
  <c r="L3414" i="98"/>
  <c r="K693" i="100"/>
  <c r="K2796" i="100"/>
  <c r="L2796" i="100" s="1"/>
  <c r="L2797" i="100"/>
  <c r="L2313" i="100"/>
  <c r="K2312" i="100"/>
  <c r="K2443" i="100"/>
  <c r="L2365" i="100"/>
  <c r="K2364" i="100"/>
  <c r="L2364" i="100" s="1"/>
  <c r="L3254" i="98"/>
  <c r="M3255" i="98"/>
  <c r="L3304" i="98"/>
  <c r="M3305" i="98"/>
  <c r="K1792" i="100"/>
  <c r="L2281" i="100"/>
  <c r="K2280" i="100"/>
  <c r="L1273" i="100"/>
  <c r="K1272" i="100"/>
  <c r="K1289" i="100" s="1"/>
  <c r="L1289" i="100" s="1"/>
  <c r="L1302" i="100"/>
  <c r="K1301" i="100"/>
  <c r="K2467" i="100"/>
  <c r="K1320" i="100"/>
  <c r="L1321" i="100"/>
  <c r="K1326" i="100"/>
  <c r="L1326" i="100" s="1"/>
  <c r="L1327" i="100"/>
  <c r="L2298" i="100"/>
  <c r="K2297" i="100"/>
  <c r="L2297" i="100" s="1"/>
  <c r="K1282" i="100"/>
  <c r="L1282" i="100" s="1"/>
  <c r="L1283" i="100"/>
  <c r="L2164" i="98"/>
  <c r="M2165" i="98"/>
  <c r="L1682" i="98"/>
  <c r="M1681" i="98" s="1"/>
  <c r="L1336" i="98"/>
  <c r="L1250" i="98"/>
  <c r="L1339" i="98"/>
  <c r="L1337" i="98"/>
  <c r="L1338" i="98"/>
  <c r="L1335" i="98"/>
  <c r="L1370" i="98"/>
  <c r="F565" i="23"/>
  <c r="K585" i="100" s="1"/>
  <c r="L1213" i="98"/>
  <c r="L1212" i="98"/>
  <c r="L1211" i="98"/>
  <c r="F532" i="23"/>
  <c r="K546" i="100" s="1"/>
  <c r="L1214" i="98"/>
  <c r="L1204" i="98"/>
  <c r="L1203" i="98"/>
  <c r="L1202" i="98"/>
  <c r="L1201" i="98"/>
  <c r="F525" i="23"/>
  <c r="K536" i="100" s="1"/>
  <c r="L1194" i="98"/>
  <c r="L1193" i="98"/>
  <c r="L1192" i="98"/>
  <c r="L1191" i="98"/>
  <c r="F518" i="23"/>
  <c r="K526" i="100" s="1"/>
  <c r="F501" i="23"/>
  <c r="L2467" i="100" l="1"/>
  <c r="L2444" i="100"/>
  <c r="L3253" i="98"/>
  <c r="M3253" i="98" s="1"/>
  <c r="M3254" i="98"/>
  <c r="K2261" i="100"/>
  <c r="L2261" i="100" s="1"/>
  <c r="L2262" i="100"/>
  <c r="L3271" i="98"/>
  <c r="M3271" i="98" s="1"/>
  <c r="M3272" i="98"/>
  <c r="K1333" i="100"/>
  <c r="L1333" i="100" s="1"/>
  <c r="L1320" i="100"/>
  <c r="K1319" i="100"/>
  <c r="L1319" i="100" s="1"/>
  <c r="L3303" i="98"/>
  <c r="M3304" i="98"/>
  <c r="L2312" i="100"/>
  <c r="K2311" i="100"/>
  <c r="L2311" i="100" s="1"/>
  <c r="L2422" i="100"/>
  <c r="L2432" i="100"/>
  <c r="K545" i="100"/>
  <c r="L2468" i="100"/>
  <c r="L2487" i="100"/>
  <c r="K1271" i="100"/>
  <c r="L1271" i="100" s="1"/>
  <c r="L1272" i="100"/>
  <c r="L3413" i="98"/>
  <c r="L2421" i="100"/>
  <c r="L3295" i="98"/>
  <c r="M3295" i="98" s="1"/>
  <c r="M3296" i="98"/>
  <c r="K525" i="100"/>
  <c r="K1791" i="100"/>
  <c r="L2490" i="100"/>
  <c r="L2456" i="100"/>
  <c r="L2497" i="100"/>
  <c r="L2473" i="100"/>
  <c r="L2429" i="100"/>
  <c r="L2417" i="100"/>
  <c r="L2409" i="100"/>
  <c r="L2430" i="100"/>
  <c r="L2410" i="100"/>
  <c r="L2440" i="100"/>
  <c r="L2480" i="100"/>
  <c r="L2428" i="100"/>
  <c r="L2466" i="100"/>
  <c r="L2420" i="100"/>
  <c r="L2474" i="100"/>
  <c r="L2457" i="100"/>
  <c r="L2460" i="100"/>
  <c r="L2479" i="100"/>
  <c r="L2451" i="100"/>
  <c r="L2427" i="100"/>
  <c r="L2493" i="100"/>
  <c r="L2484" i="100"/>
  <c r="L2478" i="100"/>
  <c r="L2455" i="100"/>
  <c r="L2485" i="100"/>
  <c r="L2465" i="100"/>
  <c r="L2437" i="100"/>
  <c r="L2489" i="100"/>
  <c r="L2418" i="100"/>
  <c r="L2464" i="100"/>
  <c r="L2412" i="100"/>
  <c r="L2459" i="100"/>
  <c r="L2494" i="100"/>
  <c r="L2483" i="100"/>
  <c r="L2475" i="100"/>
  <c r="L2463" i="100"/>
  <c r="L2419" i="100"/>
  <c r="L2411" i="100"/>
  <c r="L2426" i="100"/>
  <c r="L2492" i="100"/>
  <c r="L2462" i="100"/>
  <c r="L2416" i="100"/>
  <c r="L2486" i="100"/>
  <c r="L2495" i="100"/>
  <c r="L2471" i="100"/>
  <c r="L2439" i="100"/>
  <c r="L2415" i="100"/>
  <c r="L2448" i="100"/>
  <c r="L2458" i="100"/>
  <c r="L2438" i="100"/>
  <c r="L2461" i="100"/>
  <c r="L2496" i="100"/>
  <c r="L2477" i="100"/>
  <c r="L2449" i="100"/>
  <c r="L2413" i="100"/>
  <c r="L2450" i="100"/>
  <c r="L2482" i="100"/>
  <c r="L2454" i="100"/>
  <c r="L2476" i="100"/>
  <c r="L2414" i="100"/>
  <c r="L2408" i="100"/>
  <c r="L2407" i="100"/>
  <c r="L2406" i="100"/>
  <c r="L2405" i="100"/>
  <c r="L2447" i="100"/>
  <c r="L2436" i="100"/>
  <c r="L2481" i="100"/>
  <c r="L2425" i="100"/>
  <c r="L2472" i="100"/>
  <c r="L2441" i="100"/>
  <c r="L2452" i="100"/>
  <c r="L2453" i="100"/>
  <c r="L2435" i="100"/>
  <c r="L2431" i="100"/>
  <c r="L2442" i="100"/>
  <c r="L2470" i="100"/>
  <c r="L2424" i="100"/>
  <c r="L2446" i="100"/>
  <c r="L2423" i="100"/>
  <c r="L2434" i="100"/>
  <c r="L2445" i="100"/>
  <c r="L2469" i="100"/>
  <c r="K535" i="100"/>
  <c r="K581" i="100"/>
  <c r="K1300" i="100"/>
  <c r="L1300" i="100" s="1"/>
  <c r="L1301" i="100"/>
  <c r="K2279" i="100"/>
  <c r="L2279" i="100" s="1"/>
  <c r="L2280" i="100"/>
  <c r="L2443" i="100"/>
  <c r="K692" i="100"/>
  <c r="K1643" i="100"/>
  <c r="K1310" i="100"/>
  <c r="L1310" i="100" s="1"/>
  <c r="L1311" i="100"/>
  <c r="L2491" i="100"/>
  <c r="K1841" i="100"/>
  <c r="K1843" i="100" s="1"/>
  <c r="L2163" i="98"/>
  <c r="M2164" i="98"/>
  <c r="M1682" i="98"/>
  <c r="M1680" i="98"/>
  <c r="M1675" i="98"/>
  <c r="M1676" i="98"/>
  <c r="M1677" i="98"/>
  <c r="M1674" i="98"/>
  <c r="M1673" i="98"/>
  <c r="L1210" i="98"/>
  <c r="L1253" i="98"/>
  <c r="L1195" i="98"/>
  <c r="L1200" i="98"/>
  <c r="L1190" i="98"/>
  <c r="D1308" i="98"/>
  <c r="B1308" i="98"/>
  <c r="D1306" i="98"/>
  <c r="B1306" i="98"/>
  <c r="D1303" i="98"/>
  <c r="B1303" i="98"/>
  <c r="B1304" i="98" s="1"/>
  <c r="F450" i="23"/>
  <c r="K437" i="100" s="1"/>
  <c r="F440" i="23"/>
  <c r="K427" i="100" s="1"/>
  <c r="K524" i="100" l="1"/>
  <c r="K544" i="100"/>
  <c r="L1841" i="100"/>
  <c r="L1834" i="100"/>
  <c r="L1822" i="100"/>
  <c r="L1819" i="100"/>
  <c r="L1833" i="100"/>
  <c r="L1842" i="100"/>
  <c r="L1820" i="100"/>
  <c r="L1817" i="100"/>
  <c r="L1815" i="100"/>
  <c r="L1838" i="100"/>
  <c r="L1826" i="100"/>
  <c r="L1827" i="100"/>
  <c r="L1813" i="100"/>
  <c r="L1836" i="100"/>
  <c r="L1824" i="100"/>
  <c r="L1843" i="100"/>
  <c r="L1835" i="100"/>
  <c r="L1825" i="100"/>
  <c r="L1816" i="100"/>
  <c r="L1814" i="100"/>
  <c r="L1828" i="100"/>
  <c r="L1823" i="100"/>
  <c r="L1837" i="100"/>
  <c r="L1818" i="100"/>
  <c r="L1821" i="100"/>
  <c r="L1839" i="100"/>
  <c r="L1832" i="100"/>
  <c r="L1831" i="100"/>
  <c r="L1830" i="100"/>
  <c r="L1829" i="100"/>
  <c r="L3302" i="98"/>
  <c r="M3302" i="98" s="1"/>
  <c r="M3303" i="98"/>
  <c r="K580" i="100"/>
  <c r="L1840" i="100"/>
  <c r="K691" i="100"/>
  <c r="K534" i="100"/>
  <c r="L3412" i="98"/>
  <c r="L2162" i="98"/>
  <c r="M2162" i="98" s="1"/>
  <c r="M2163" i="98"/>
  <c r="L1199" i="98"/>
  <c r="L1209" i="98"/>
  <c r="L953" i="98"/>
  <c r="L1189" i="98"/>
  <c r="L1249" i="98"/>
  <c r="F458" i="23"/>
  <c r="K446" i="100" s="1"/>
  <c r="L973" i="98"/>
  <c r="L971" i="98"/>
  <c r="L970" i="98"/>
  <c r="L969" i="98"/>
  <c r="L964" i="98"/>
  <c r="L963" i="98"/>
  <c r="L961" i="98"/>
  <c r="L960" i="98"/>
  <c r="L959" i="98"/>
  <c r="F448" i="23"/>
  <c r="L954" i="98"/>
  <c r="L951" i="98"/>
  <c r="L950" i="98"/>
  <c r="L949" i="98"/>
  <c r="F438" i="23"/>
  <c r="D384" i="7"/>
  <c r="D383" i="7"/>
  <c r="D381" i="7"/>
  <c r="D382" i="7"/>
  <c r="B383" i="7"/>
  <c r="B384" i="7"/>
  <c r="A384" i="7"/>
  <c r="A383" i="7"/>
  <c r="B382" i="7"/>
  <c r="A382" i="7"/>
  <c r="B381" i="7"/>
  <c r="A381" i="7"/>
  <c r="H218" i="75"/>
  <c r="L400" i="98"/>
  <c r="L398" i="98"/>
  <c r="L397" i="98"/>
  <c r="F221" i="23"/>
  <c r="K147" i="100" s="1"/>
  <c r="F218" i="23"/>
  <c r="K144" i="100" s="1"/>
  <c r="B136" i="98"/>
  <c r="F73" i="23"/>
  <c r="F34" i="23"/>
  <c r="K533" i="100" l="1"/>
  <c r="K543" i="100"/>
  <c r="K442" i="100"/>
  <c r="K579" i="100"/>
  <c r="K523" i="100"/>
  <c r="L972" i="98"/>
  <c r="L968" i="98" s="1"/>
  <c r="L399" i="98"/>
  <c r="L402" i="98"/>
  <c r="F220" i="23"/>
  <c r="K146" i="100" s="1"/>
  <c r="K141" i="100" s="1"/>
  <c r="A46" i="61"/>
  <c r="L3918" i="98"/>
  <c r="M3918" i="98" s="1"/>
  <c r="L3877" i="98"/>
  <c r="M3877" i="98" s="1"/>
  <c r="L3806" i="98"/>
  <c r="M3806" i="98" s="1"/>
  <c r="L3791" i="98"/>
  <c r="M3791" i="98" s="1"/>
  <c r="L3777" i="98"/>
  <c r="M3777" i="98" s="1"/>
  <c r="L3745" i="98"/>
  <c r="M3745" i="98" s="1"/>
  <c r="L3738" i="98"/>
  <c r="M3738" i="98" s="1"/>
  <c r="L3724" i="98"/>
  <c r="M3724" i="98" s="1"/>
  <c r="A38" i="61"/>
  <c r="L3396" i="98"/>
  <c r="L3320" i="98"/>
  <c r="M3320" i="98" s="1"/>
  <c r="L3288" i="98"/>
  <c r="M3288" i="98" s="1"/>
  <c r="D2682" i="98"/>
  <c r="B2682" i="98"/>
  <c r="D2684" i="98"/>
  <c r="D2685" i="98" s="1"/>
  <c r="D2686" i="98" s="1"/>
  <c r="D2687" i="98" s="1"/>
  <c r="D2688" i="98" s="1"/>
  <c r="D2689" i="98" s="1"/>
  <c r="D2690" i="98" s="1"/>
  <c r="D2691" i="98" s="1"/>
  <c r="D2692" i="98" s="1"/>
  <c r="D2693" i="98" s="1"/>
  <c r="D2694" i="98" s="1"/>
  <c r="D2695" i="98" s="1"/>
  <c r="B2684" i="98"/>
  <c r="B2685" i="98" s="1"/>
  <c r="B2686" i="98" s="1"/>
  <c r="B2687" i="98" s="1"/>
  <c r="B2688" i="98" s="1"/>
  <c r="B2689" i="98" s="1"/>
  <c r="B2690" i="98" s="1"/>
  <c r="B2691" i="98" s="1"/>
  <c r="B2692" i="98" s="1"/>
  <c r="B2693" i="98" s="1"/>
  <c r="B2694" i="98" s="1"/>
  <c r="B2695" i="98" s="1"/>
  <c r="D2661" i="98"/>
  <c r="D2662" i="98" s="1"/>
  <c r="D2663" i="98" s="1"/>
  <c r="D2664" i="98" s="1"/>
  <c r="D2665" i="98" s="1"/>
  <c r="D2666" i="98" s="1"/>
  <c r="D2667" i="98" s="1"/>
  <c r="D2668" i="98" s="1"/>
  <c r="D2669" i="98" s="1"/>
  <c r="D2670" i="98" s="1"/>
  <c r="B2661" i="98"/>
  <c r="B2662" i="98" s="1"/>
  <c r="B2663" i="98" s="1"/>
  <c r="B2664" i="98" s="1"/>
  <c r="B2665" i="98" s="1"/>
  <c r="B2666" i="98" s="1"/>
  <c r="B2667" i="98" s="1"/>
  <c r="B2668" i="98" s="1"/>
  <c r="B2669" i="98" s="1"/>
  <c r="B2670" i="98" s="1"/>
  <c r="D2650" i="98"/>
  <c r="D2651" i="98" s="1"/>
  <c r="D2652" i="98" s="1"/>
  <c r="D2653" i="98" s="1"/>
  <c r="D2654" i="98" s="1"/>
  <c r="D2655" i="98" s="1"/>
  <c r="D2656" i="98" s="1"/>
  <c r="D2657" i="98" s="1"/>
  <c r="D2658" i="98" s="1"/>
  <c r="D2659" i="98" s="1"/>
  <c r="B2650" i="98"/>
  <c r="B2651" i="98" s="1"/>
  <c r="B2652" i="98" s="1"/>
  <c r="B2653" i="98" s="1"/>
  <c r="B2654" i="98" s="1"/>
  <c r="B2655" i="98" s="1"/>
  <c r="B2656" i="98" s="1"/>
  <c r="B2657" i="98" s="1"/>
  <c r="B2658" i="98" s="1"/>
  <c r="B2659" i="98" s="1"/>
  <c r="D2639" i="98"/>
  <c r="D2640" i="98" s="1"/>
  <c r="D2641" i="98" s="1"/>
  <c r="D2642" i="98" s="1"/>
  <c r="D2643" i="98" s="1"/>
  <c r="D2644" i="98" s="1"/>
  <c r="D2645" i="98" s="1"/>
  <c r="D2646" i="98" s="1"/>
  <c r="D2647" i="98" s="1"/>
  <c r="D2648" i="98" s="1"/>
  <c r="B2639" i="98"/>
  <c r="B2640" i="98" s="1"/>
  <c r="B2641" i="98" s="1"/>
  <c r="B2642" i="98" s="1"/>
  <c r="B2643" i="98" s="1"/>
  <c r="B2644" i="98" s="1"/>
  <c r="B2645" i="98" s="1"/>
  <c r="B2646" i="98" s="1"/>
  <c r="B2647" i="98" s="1"/>
  <c r="B2648" i="98" s="1"/>
  <c r="D2627" i="98"/>
  <c r="D2628" i="98" s="1"/>
  <c r="D2629" i="98" s="1"/>
  <c r="D2630" i="98" s="1"/>
  <c r="D2631" i="98" s="1"/>
  <c r="D2632" i="98" s="1"/>
  <c r="D2633" i="98" s="1"/>
  <c r="D2634" i="98" s="1"/>
  <c r="D2635" i="98" s="1"/>
  <c r="D2636" i="98" s="1"/>
  <c r="B2627" i="98"/>
  <c r="B2628" i="98" s="1"/>
  <c r="B2629" i="98" s="1"/>
  <c r="B2630" i="98" s="1"/>
  <c r="B2631" i="98" s="1"/>
  <c r="B2632" i="98" s="1"/>
  <c r="B2633" i="98" s="1"/>
  <c r="B2634" i="98" s="1"/>
  <c r="B2635" i="98" s="1"/>
  <c r="B2636" i="98" s="1"/>
  <c r="D2616" i="98"/>
  <c r="D2617" i="98" s="1"/>
  <c r="D2618" i="98" s="1"/>
  <c r="D2619" i="98" s="1"/>
  <c r="D2620" i="98" s="1"/>
  <c r="D2621" i="98" s="1"/>
  <c r="D2622" i="98" s="1"/>
  <c r="D2623" i="98" s="1"/>
  <c r="D2624" i="98" s="1"/>
  <c r="D2625" i="98" s="1"/>
  <c r="B2616" i="98"/>
  <c r="B2617" i="98" s="1"/>
  <c r="B2618" i="98" s="1"/>
  <c r="B2619" i="98" s="1"/>
  <c r="B2620" i="98" s="1"/>
  <c r="B2621" i="98" s="1"/>
  <c r="B2622" i="98" s="1"/>
  <c r="B2623" i="98" s="1"/>
  <c r="B2624" i="98" s="1"/>
  <c r="B2625" i="98" s="1"/>
  <c r="D2351" i="98"/>
  <c r="B2351" i="98"/>
  <c r="D2349" i="98"/>
  <c r="B2349" i="98"/>
  <c r="D2347" i="98"/>
  <c r="B2347" i="98"/>
  <c r="D2342" i="98"/>
  <c r="D2343" i="98" s="1"/>
  <c r="D2344" i="98" s="1"/>
  <c r="D2345" i="98" s="1"/>
  <c r="B2342" i="98"/>
  <c r="B2343" i="98" s="1"/>
  <c r="B2344" i="98" s="1"/>
  <c r="B2345" i="98" s="1"/>
  <c r="D2269" i="98"/>
  <c r="B2269" i="98"/>
  <c r="D2267" i="98"/>
  <c r="B2267" i="98"/>
  <c r="D2265" i="98"/>
  <c r="B2265" i="98"/>
  <c r="D2260" i="98"/>
  <c r="D2261" i="98" s="1"/>
  <c r="D2262" i="98" s="1"/>
  <c r="D2263" i="98" s="1"/>
  <c r="B2260" i="98"/>
  <c r="B2261" i="98" s="1"/>
  <c r="B2262" i="98" s="1"/>
  <c r="B2263" i="98" s="1"/>
  <c r="L2219" i="98"/>
  <c r="L2175" i="98"/>
  <c r="D2123" i="98"/>
  <c r="B2123" i="98"/>
  <c r="D2121" i="98"/>
  <c r="B2121" i="98"/>
  <c r="D2119" i="98"/>
  <c r="B2119" i="98"/>
  <c r="D2100" i="98"/>
  <c r="B2100" i="98"/>
  <c r="D2098" i="98"/>
  <c r="B2098" i="98"/>
  <c r="D2096" i="98"/>
  <c r="B2096" i="98"/>
  <c r="D2091" i="98"/>
  <c r="D2092" i="98" s="1"/>
  <c r="D2093" i="98" s="1"/>
  <c r="D2094" i="98" s="1"/>
  <c r="B2091" i="98"/>
  <c r="B2092" i="98" s="1"/>
  <c r="B2093" i="98" s="1"/>
  <c r="B2094" i="98" s="1"/>
  <c r="D2072" i="98"/>
  <c r="B2072" i="98"/>
  <c r="D2070" i="98"/>
  <c r="B2070" i="98"/>
  <c r="D2068" i="98"/>
  <c r="B2068" i="98"/>
  <c r="D2063" i="98"/>
  <c r="D2064" i="98" s="1"/>
  <c r="D2065" i="98" s="1"/>
  <c r="D2066" i="98" s="1"/>
  <c r="B2063" i="98"/>
  <c r="B2064" i="98" s="1"/>
  <c r="B2065" i="98" s="1"/>
  <c r="B2066" i="98" s="1"/>
  <c r="D2044" i="98"/>
  <c r="B2044" i="98"/>
  <c r="D2042" i="98"/>
  <c r="B2042" i="98"/>
  <c r="D2040" i="98"/>
  <c r="B2040" i="98"/>
  <c r="D2035" i="98"/>
  <c r="D2036" i="98" s="1"/>
  <c r="D2037" i="98" s="1"/>
  <c r="D2038" i="98" s="1"/>
  <c r="B2035" i="98"/>
  <c r="B2036" i="98" s="1"/>
  <c r="B2037" i="98" s="1"/>
  <c r="B2038" i="98" s="1"/>
  <c r="D2015" i="98"/>
  <c r="B2015" i="98"/>
  <c r="D2010" i="98"/>
  <c r="D2011" i="98" s="1"/>
  <c r="D2012" i="98" s="1"/>
  <c r="D2013" i="98" s="1"/>
  <c r="B2010" i="98"/>
  <c r="B2011" i="98" s="1"/>
  <c r="B2012" i="98" s="1"/>
  <c r="B2013" i="98" s="1"/>
  <c r="D1995" i="98"/>
  <c r="B1995" i="98"/>
  <c r="D1990" i="98"/>
  <c r="D1991" i="98" s="1"/>
  <c r="D1992" i="98" s="1"/>
  <c r="D1993" i="98" s="1"/>
  <c r="B1990" i="98"/>
  <c r="B1991" i="98" s="1"/>
  <c r="B1992" i="98" s="1"/>
  <c r="B1993" i="98" s="1"/>
  <c r="B1972" i="98"/>
  <c r="B1973" i="98" s="1"/>
  <c r="B1974" i="98" s="1"/>
  <c r="B1975" i="98" s="1"/>
  <c r="D1972" i="98"/>
  <c r="D1973" i="98" s="1"/>
  <c r="D1974" i="98" s="1"/>
  <c r="D1975" i="98" s="1"/>
  <c r="B1977" i="98"/>
  <c r="D1977" i="98"/>
  <c r="B1979" i="98"/>
  <c r="D1979" i="98"/>
  <c r="B1981" i="98"/>
  <c r="D1981" i="98"/>
  <c r="B1792" i="98"/>
  <c r="B1793" i="98" s="1"/>
  <c r="D1829" i="98"/>
  <c r="B1829" i="98"/>
  <c r="D1827" i="98"/>
  <c r="B1827" i="98"/>
  <c r="D1825" i="98"/>
  <c r="B1825" i="98"/>
  <c r="D1820" i="98"/>
  <c r="D1821" i="98" s="1"/>
  <c r="D1822" i="98" s="1"/>
  <c r="D1823" i="98" s="1"/>
  <c r="B1820" i="98"/>
  <c r="B1821" i="98" s="1"/>
  <c r="B1822" i="98" s="1"/>
  <c r="B1823" i="98" s="1"/>
  <c r="D1795" i="98"/>
  <c r="D1796" i="98" s="1"/>
  <c r="D1797" i="98" s="1"/>
  <c r="D1798" i="98" s="1"/>
  <c r="D1799" i="98" s="1"/>
  <c r="D1800" i="98" s="1"/>
  <c r="D1801" i="98" s="1"/>
  <c r="D1802" i="98" s="1"/>
  <c r="D1803" i="98" s="1"/>
  <c r="D1804" i="98" s="1"/>
  <c r="D1805" i="98" s="1"/>
  <c r="D1806" i="98" s="1"/>
  <c r="D1807" i="98" s="1"/>
  <c r="D1808" i="98" s="1"/>
  <c r="D1809" i="98" s="1"/>
  <c r="D1810" i="98" s="1"/>
  <c r="D1811" i="98" s="1"/>
  <c r="D1812" i="98" s="1"/>
  <c r="D1813" i="98" s="1"/>
  <c r="D1814" i="98" s="1"/>
  <c r="D1815" i="98" s="1"/>
  <c r="D1816" i="98" s="1"/>
  <c r="D1817" i="98" s="1"/>
  <c r="D1818" i="98" s="1"/>
  <c r="B1795" i="98"/>
  <c r="B1796" i="98" s="1"/>
  <c r="B1797" i="98" s="1"/>
  <c r="B1798" i="98" s="1"/>
  <c r="B1799" i="98" s="1"/>
  <c r="B1800" i="98" s="1"/>
  <c r="B1801" i="98" s="1"/>
  <c r="B1802" i="98" s="1"/>
  <c r="B1803" i="98" s="1"/>
  <c r="B1804" i="98" s="1"/>
  <c r="B1805" i="98" s="1"/>
  <c r="B1806" i="98" s="1"/>
  <c r="B1807" i="98" s="1"/>
  <c r="B1808" i="98" s="1"/>
  <c r="B1809" i="98" s="1"/>
  <c r="B1810" i="98" s="1"/>
  <c r="B1811" i="98" s="1"/>
  <c r="B1812" i="98" s="1"/>
  <c r="B1813" i="98" s="1"/>
  <c r="B1814" i="98" s="1"/>
  <c r="B1815" i="98" s="1"/>
  <c r="B1816" i="98" s="1"/>
  <c r="B1817" i="98" s="1"/>
  <c r="B1818" i="98" s="1"/>
  <c r="D1791" i="98"/>
  <c r="D1792" i="98" s="1"/>
  <c r="D1793" i="98" s="1"/>
  <c r="D1789" i="98"/>
  <c r="B1789" i="98"/>
  <c r="D1782" i="98"/>
  <c r="D1783" i="98" s="1"/>
  <c r="D1784" i="98" s="1"/>
  <c r="D1785" i="98" s="1"/>
  <c r="D1786" i="98" s="1"/>
  <c r="D1787" i="98" s="1"/>
  <c r="B1782" i="98"/>
  <c r="B1783" i="98" s="1"/>
  <c r="B1784" i="98" s="1"/>
  <c r="B1785" i="98" s="1"/>
  <c r="B1786" i="98" s="1"/>
  <c r="B1787" i="98" s="1"/>
  <c r="D1780" i="98"/>
  <c r="B1780" i="98"/>
  <c r="D1749" i="98"/>
  <c r="D1750" i="98" s="1"/>
  <c r="D1751" i="98" s="1"/>
  <c r="D1752" i="98" s="1"/>
  <c r="D1753" i="98" s="1"/>
  <c r="D1754" i="98" s="1"/>
  <c r="D1755" i="98" s="1"/>
  <c r="D1756" i="98" s="1"/>
  <c r="D1757" i="98" s="1"/>
  <c r="D1758" i="98" s="1"/>
  <c r="D1759" i="98" s="1"/>
  <c r="D1760" i="98" s="1"/>
  <c r="D1761" i="98" s="1"/>
  <c r="D1762" i="98" s="1"/>
  <c r="D1763" i="98" s="1"/>
  <c r="D1764" i="98" s="1"/>
  <c r="D1765" i="98" s="1"/>
  <c r="D1766" i="98" s="1"/>
  <c r="D1767" i="98" s="1"/>
  <c r="D1768" i="98" s="1"/>
  <c r="D1769" i="98" s="1"/>
  <c r="D1770" i="98" s="1"/>
  <c r="D1771" i="98" s="1"/>
  <c r="D1772" i="98" s="1"/>
  <c r="D1773" i="98" s="1"/>
  <c r="D1774" i="98" s="1"/>
  <c r="D1775" i="98" s="1"/>
  <c r="D1776" i="98" s="1"/>
  <c r="D1777" i="98" s="1"/>
  <c r="D1778" i="98" s="1"/>
  <c r="B1749" i="98"/>
  <c r="B1750" i="98" s="1"/>
  <c r="B1751" i="98" s="1"/>
  <c r="B1752" i="98" s="1"/>
  <c r="B1753" i="98" s="1"/>
  <c r="B1754" i="98" s="1"/>
  <c r="B1755" i="98" s="1"/>
  <c r="B1756" i="98" s="1"/>
  <c r="B1757" i="98" s="1"/>
  <c r="B1758" i="98" s="1"/>
  <c r="B1759" i="98" s="1"/>
  <c r="B1760" i="98" s="1"/>
  <c r="B1761" i="98" s="1"/>
  <c r="B1762" i="98" s="1"/>
  <c r="B1763" i="98" s="1"/>
  <c r="B1764" i="98" s="1"/>
  <c r="B1765" i="98" s="1"/>
  <c r="B1766" i="98" s="1"/>
  <c r="B1767" i="98" s="1"/>
  <c r="B1768" i="98" s="1"/>
  <c r="B1769" i="98" s="1"/>
  <c r="B1770" i="98" s="1"/>
  <c r="B1771" i="98" s="1"/>
  <c r="B1772" i="98" s="1"/>
  <c r="B1773" i="98" s="1"/>
  <c r="B1774" i="98" s="1"/>
  <c r="B1775" i="98" s="1"/>
  <c r="B1776" i="98" s="1"/>
  <c r="B1777" i="98" s="1"/>
  <c r="B1778" i="98" s="1"/>
  <c r="D1744" i="98"/>
  <c r="B1744" i="98"/>
  <c r="B1745" i="98" s="1"/>
  <c r="B1746" i="98" s="1"/>
  <c r="B1747" i="98" s="1"/>
  <c r="D1738" i="98"/>
  <c r="D1739" i="98" s="1"/>
  <c r="D1740" i="98" s="1"/>
  <c r="B1738" i="98"/>
  <c r="B1739" i="98" s="1"/>
  <c r="B1740" i="98" s="1"/>
  <c r="D1722" i="98"/>
  <c r="D1723" i="98" s="1"/>
  <c r="D1724" i="98" s="1"/>
  <c r="D1725" i="98" s="1"/>
  <c r="D1726" i="98" s="1"/>
  <c r="D1727" i="98" s="1"/>
  <c r="D1728" i="98" s="1"/>
  <c r="D1729" i="98" s="1"/>
  <c r="D1730" i="98" s="1"/>
  <c r="D1731" i="98" s="1"/>
  <c r="D1732" i="98" s="1"/>
  <c r="D1733" i="98" s="1"/>
  <c r="D1734" i="98" s="1"/>
  <c r="D1735" i="98" s="1"/>
  <c r="D1736" i="98" s="1"/>
  <c r="B1722" i="98"/>
  <c r="B1723" i="98" s="1"/>
  <c r="B1724" i="98" s="1"/>
  <c r="B1725" i="98" s="1"/>
  <c r="B1726" i="98" s="1"/>
  <c r="B1727" i="98" s="1"/>
  <c r="B1728" i="98" s="1"/>
  <c r="B1729" i="98" s="1"/>
  <c r="B1730" i="98" s="1"/>
  <c r="B1731" i="98" s="1"/>
  <c r="B1732" i="98" s="1"/>
  <c r="B1733" i="98" s="1"/>
  <c r="B1734" i="98" s="1"/>
  <c r="B1735" i="98" s="1"/>
  <c r="B1736" i="98" s="1"/>
  <c r="A4393" i="61"/>
  <c r="A4392" i="61"/>
  <c r="L1639" i="98"/>
  <c r="L1637" i="98"/>
  <c r="L1635" i="98"/>
  <c r="L1634" i="98"/>
  <c r="L1633" i="98"/>
  <c r="L1631" i="98"/>
  <c r="L1630" i="98"/>
  <c r="L1629" i="98"/>
  <c r="L1627" i="98"/>
  <c r="L1626" i="98"/>
  <c r="L1625" i="98"/>
  <c r="L1624" i="98"/>
  <c r="L1623" i="98"/>
  <c r="D1639" i="98"/>
  <c r="B1639" i="98"/>
  <c r="D1637" i="98"/>
  <c r="B1637" i="98"/>
  <c r="D1633" i="98"/>
  <c r="B1633" i="98"/>
  <c r="B1634" i="98" s="1"/>
  <c r="B1635" i="98" s="1"/>
  <c r="D1629" i="98"/>
  <c r="B1629" i="98"/>
  <c r="B1630" i="98" s="1"/>
  <c r="B1631" i="98" s="1"/>
  <c r="D1623" i="98"/>
  <c r="B1623" i="98"/>
  <c r="B1624" i="98" s="1"/>
  <c r="B1625" i="98" s="1"/>
  <c r="B1626" i="98" s="1"/>
  <c r="B1627" i="98" s="1"/>
  <c r="D1618" i="98"/>
  <c r="B1618" i="98"/>
  <c r="D1615" i="98"/>
  <c r="B1615" i="98"/>
  <c r="L1618" i="98"/>
  <c r="D1538" i="98"/>
  <c r="D1539" i="98" s="1"/>
  <c r="D1540" i="98" s="1"/>
  <c r="D1541" i="98" s="1"/>
  <c r="D1542" i="98" s="1"/>
  <c r="D1543" i="98" s="1"/>
  <c r="D1544" i="98" s="1"/>
  <c r="D1545" i="98" s="1"/>
  <c r="D1546" i="98" s="1"/>
  <c r="D1547" i="98" s="1"/>
  <c r="D1548" i="98" s="1"/>
  <c r="D1549" i="98" s="1"/>
  <c r="D1550" i="98" s="1"/>
  <c r="D1551" i="98" s="1"/>
  <c r="D1552" i="98" s="1"/>
  <c r="D1553" i="98" s="1"/>
  <c r="D1554" i="98" s="1"/>
  <c r="D1555" i="98" s="1"/>
  <c r="D1556" i="98" s="1"/>
  <c r="D1557" i="98" s="1"/>
  <c r="D1558" i="98" s="1"/>
  <c r="D1559" i="98" s="1"/>
  <c r="D1560" i="98" s="1"/>
  <c r="D1561" i="98" s="1"/>
  <c r="L1507" i="98"/>
  <c r="B408" i="7"/>
  <c r="D408" i="7"/>
  <c r="A408" i="7"/>
  <c r="D407" i="7"/>
  <c r="D410" i="7"/>
  <c r="B410" i="7"/>
  <c r="H251" i="75"/>
  <c r="H249" i="75"/>
  <c r="A2730" i="61"/>
  <c r="D586" i="7"/>
  <c r="B586" i="7"/>
  <c r="A586" i="7"/>
  <c r="D585" i="7"/>
  <c r="B585" i="7"/>
  <c r="A585" i="7"/>
  <c r="D584" i="7"/>
  <c r="B584" i="7"/>
  <c r="A584" i="7"/>
  <c r="D583" i="7"/>
  <c r="B583" i="7"/>
  <c r="A583" i="7"/>
  <c r="D582" i="7"/>
  <c r="B582" i="7"/>
  <c r="A582" i="7"/>
  <c r="D553" i="7"/>
  <c r="B553" i="7"/>
  <c r="A553" i="7"/>
  <c r="D552" i="7"/>
  <c r="B552" i="7"/>
  <c r="A552" i="7"/>
  <c r="D551" i="7"/>
  <c r="B551" i="7"/>
  <c r="A551" i="7"/>
  <c r="D550" i="7"/>
  <c r="B550" i="7"/>
  <c r="A550" i="7"/>
  <c r="D543" i="7"/>
  <c r="B543" i="7"/>
  <c r="A543" i="7"/>
  <c r="D547" i="7"/>
  <c r="H413" i="75"/>
  <c r="H412" i="75"/>
  <c r="H411" i="75"/>
  <c r="H410" i="75"/>
  <c r="H409" i="75"/>
  <c r="H375" i="75"/>
  <c r="H374" i="75"/>
  <c r="H373" i="75"/>
  <c r="H372" i="75"/>
  <c r="H362" i="75"/>
  <c r="D1492" i="98"/>
  <c r="B1492" i="98"/>
  <c r="D1490" i="98"/>
  <c r="B1490" i="98"/>
  <c r="D1487" i="98"/>
  <c r="B1487" i="98"/>
  <c r="B1488" i="98" s="1"/>
  <c r="L1386" i="98"/>
  <c r="L1381" i="98"/>
  <c r="L1369" i="98"/>
  <c r="D1285" i="98"/>
  <c r="B1285" i="98"/>
  <c r="D1283" i="98"/>
  <c r="B1283" i="98"/>
  <c r="D1280" i="98"/>
  <c r="B1280" i="98"/>
  <c r="B1281" i="98" s="1"/>
  <c r="A4191" i="61"/>
  <c r="A4190" i="61"/>
  <c r="D27" i="12"/>
  <c r="E27" i="12" s="1"/>
  <c r="D13" i="12"/>
  <c r="E13" i="12" s="1"/>
  <c r="D14" i="12"/>
  <c r="E14" i="12" s="1"/>
  <c r="D16" i="12"/>
  <c r="E16" i="12" s="1"/>
  <c r="D17" i="12"/>
  <c r="E17" i="12" s="1"/>
  <c r="D18" i="12"/>
  <c r="E18" i="12" s="1"/>
  <c r="D19" i="12"/>
  <c r="E19" i="12" s="1"/>
  <c r="D20" i="12"/>
  <c r="E20" i="12" s="1"/>
  <c r="D21" i="12"/>
  <c r="E21" i="12" s="1"/>
  <c r="D22" i="12"/>
  <c r="E22" i="12" s="1"/>
  <c r="D23" i="12"/>
  <c r="E23" i="12" s="1"/>
  <c r="D24" i="12"/>
  <c r="E24" i="12" s="1"/>
  <c r="D25" i="12"/>
  <c r="E25" i="12" s="1"/>
  <c r="C8" i="12"/>
  <c r="D8" i="12" s="1"/>
  <c r="C11" i="12"/>
  <c r="D15" i="12"/>
  <c r="E15" i="12" s="1"/>
  <c r="D26" i="12"/>
  <c r="E26" i="12" s="1"/>
  <c r="A4189" i="61"/>
  <c r="B1223" i="98"/>
  <c r="D1225" i="98"/>
  <c r="B1225" i="98"/>
  <c r="A4188" i="61"/>
  <c r="A404" i="61"/>
  <c r="D1168" i="98"/>
  <c r="D1169" i="98" s="1"/>
  <c r="D1170" i="98" s="1"/>
  <c r="D1171" i="98" s="1"/>
  <c r="D1172" i="98" s="1"/>
  <c r="D1126" i="98"/>
  <c r="D1127" i="98" s="1"/>
  <c r="D1128" i="98" s="1"/>
  <c r="D1129" i="98" s="1"/>
  <c r="D1130" i="98" s="1"/>
  <c r="D1131" i="98" s="1"/>
  <c r="D1132" i="98" s="1"/>
  <c r="D1133" i="98" s="1"/>
  <c r="D1134" i="98" s="1"/>
  <c r="D1135" i="98" s="1"/>
  <c r="D1136" i="98" s="1"/>
  <c r="D1137" i="98" s="1"/>
  <c r="D1138" i="98" s="1"/>
  <c r="D1139" i="98" s="1"/>
  <c r="D1140" i="98" s="1"/>
  <c r="D1141" i="98" s="1"/>
  <c r="D1142" i="98" s="1"/>
  <c r="D1143" i="98" s="1"/>
  <c r="D1144" i="98" s="1"/>
  <c r="D1145" i="98" s="1"/>
  <c r="D1146" i="98" s="1"/>
  <c r="D1147" i="98" s="1"/>
  <c r="A4187" i="61"/>
  <c r="D1174" i="98"/>
  <c r="B1174" i="98"/>
  <c r="B1167" i="98"/>
  <c r="B1168" i="98" s="1"/>
  <c r="B1169" i="98" s="1"/>
  <c r="B1170" i="98" s="1"/>
  <c r="B1171" i="98" s="1"/>
  <c r="B1172" i="98" s="1"/>
  <c r="B1162" i="98"/>
  <c r="B1163" i="98" s="1"/>
  <c r="D1156" i="98"/>
  <c r="B1156" i="98"/>
  <c r="D1154" i="98"/>
  <c r="B1154" i="98"/>
  <c r="D1152" i="98"/>
  <c r="B1152" i="98"/>
  <c r="D1149" i="98"/>
  <c r="B1149" i="98"/>
  <c r="B1150" i="98" s="1"/>
  <c r="B1126" i="98"/>
  <c r="B1127" i="98" s="1"/>
  <c r="B1128" i="98" s="1"/>
  <c r="B1129" i="98" s="1"/>
  <c r="B1130" i="98" s="1"/>
  <c r="B1131" i="98" s="1"/>
  <c r="B1132" i="98" s="1"/>
  <c r="B1133" i="98" s="1"/>
  <c r="B1134" i="98" s="1"/>
  <c r="B1135" i="98" s="1"/>
  <c r="B1136" i="98" s="1"/>
  <c r="B1137" i="98" s="1"/>
  <c r="B1138" i="98" s="1"/>
  <c r="B1139" i="98" s="1"/>
  <c r="B1140" i="98" s="1"/>
  <c r="B1141" i="98" s="1"/>
  <c r="B1142" i="98" s="1"/>
  <c r="B1143" i="98" s="1"/>
  <c r="B1144" i="98" s="1"/>
  <c r="B1145" i="98" s="1"/>
  <c r="B1146" i="98" s="1"/>
  <c r="B1147" i="98" s="1"/>
  <c r="D1120" i="98"/>
  <c r="D1121" i="98" s="1"/>
  <c r="D1122" i="98" s="1"/>
  <c r="D1123" i="98" s="1"/>
  <c r="D1124" i="98" s="1"/>
  <c r="B1120" i="98"/>
  <c r="B1121" i="98" s="1"/>
  <c r="B1122" i="98" s="1"/>
  <c r="B1123" i="98" s="1"/>
  <c r="B1124" i="98" s="1"/>
  <c r="B1113" i="98"/>
  <c r="B1114" i="98" s="1"/>
  <c r="B1115" i="98" s="1"/>
  <c r="B1116" i="98" s="1"/>
  <c r="D1111" i="98"/>
  <c r="B1111" i="98"/>
  <c r="B1087" i="98"/>
  <c r="B1088" i="98" s="1"/>
  <c r="B1089" i="98" s="1"/>
  <c r="B1090" i="98" s="1"/>
  <c r="B1091" i="98" s="1"/>
  <c r="B1092" i="98" s="1"/>
  <c r="B1093" i="98" s="1"/>
  <c r="B1094" i="98" s="1"/>
  <c r="B1095" i="98" s="1"/>
  <c r="B1096" i="98" s="1"/>
  <c r="B1097" i="98" s="1"/>
  <c r="B1098" i="98" s="1"/>
  <c r="B1099" i="98" s="1"/>
  <c r="B1100" i="98" s="1"/>
  <c r="B1101" i="98" s="1"/>
  <c r="B1102" i="98" s="1"/>
  <c r="B1103" i="98" s="1"/>
  <c r="B1104" i="98" s="1"/>
  <c r="B1105" i="98" s="1"/>
  <c r="B1106" i="98" s="1"/>
  <c r="B1107" i="98" s="1"/>
  <c r="B1108" i="98" s="1"/>
  <c r="B1109" i="98" s="1"/>
  <c r="B1082" i="98"/>
  <c r="B1083" i="98" s="1"/>
  <c r="B1084" i="98" s="1"/>
  <c r="B1085" i="98" s="1"/>
  <c r="D1079" i="98"/>
  <c r="D1080" i="98" s="1"/>
  <c r="D1077" i="98"/>
  <c r="B1077" i="98"/>
  <c r="B1078" i="98" s="1"/>
  <c r="B1079" i="98" s="1"/>
  <c r="B1080" i="98" s="1"/>
  <c r="D1070" i="98"/>
  <c r="D1071" i="98" s="1"/>
  <c r="D1072" i="98" s="1"/>
  <c r="B1070" i="98"/>
  <c r="B1071" i="98" s="1"/>
  <c r="B1072" i="98" s="1"/>
  <c r="D1053" i="98"/>
  <c r="D1054" i="98" s="1"/>
  <c r="D1055" i="98" s="1"/>
  <c r="D1056" i="98" s="1"/>
  <c r="D1057" i="98" s="1"/>
  <c r="D1058" i="98" s="1"/>
  <c r="D1059" i="98" s="1"/>
  <c r="D1060" i="98" s="1"/>
  <c r="D1061" i="98" s="1"/>
  <c r="D1062" i="98" s="1"/>
  <c r="D1063" i="98" s="1"/>
  <c r="D1064" i="98" s="1"/>
  <c r="D1065" i="98" s="1"/>
  <c r="D1066" i="98" s="1"/>
  <c r="D1067" i="98" s="1"/>
  <c r="D1068" i="98" s="1"/>
  <c r="B1053" i="98"/>
  <c r="B1054" i="98" s="1"/>
  <c r="B1055" i="98" s="1"/>
  <c r="B1056" i="98" s="1"/>
  <c r="B1057" i="98" s="1"/>
  <c r="B1058" i="98" s="1"/>
  <c r="B1059" i="98" s="1"/>
  <c r="B1060" i="98" s="1"/>
  <c r="B1061" i="98" s="1"/>
  <c r="B1062" i="98" s="1"/>
  <c r="B1063" i="98" s="1"/>
  <c r="B1064" i="98" s="1"/>
  <c r="B1065" i="98" s="1"/>
  <c r="B1066" i="98" s="1"/>
  <c r="B1067" i="98" s="1"/>
  <c r="B1068" i="98" s="1"/>
  <c r="D1050" i="98"/>
  <c r="D1051" i="98" s="1"/>
  <c r="D1047" i="98"/>
  <c r="D1048" i="98" s="1"/>
  <c r="B1047" i="98"/>
  <c r="B1048" i="98" s="1"/>
  <c r="B1049" i="98" s="1"/>
  <c r="B1050" i="98" s="1"/>
  <c r="B1051" i="98" s="1"/>
  <c r="D1026" i="98"/>
  <c r="B1026" i="98"/>
  <c r="D1023" i="98"/>
  <c r="D1024" i="98" s="1"/>
  <c r="B1023" i="98"/>
  <c r="B1024" i="98" s="1"/>
  <c r="D1014" i="98"/>
  <c r="D1015" i="98" s="1"/>
  <c r="D1016" i="98" s="1"/>
  <c r="D1017" i="98" s="1"/>
  <c r="B1014" i="98"/>
  <c r="B1015" i="98" s="1"/>
  <c r="B1016" i="98" s="1"/>
  <c r="B1017" i="98" s="1"/>
  <c r="D1009" i="98"/>
  <c r="D1010" i="98" s="1"/>
  <c r="D1011" i="98" s="1"/>
  <c r="D1012" i="98" s="1"/>
  <c r="B1009" i="98"/>
  <c r="B1010" i="98" s="1"/>
  <c r="B1011" i="98" s="1"/>
  <c r="B1012" i="98" s="1"/>
  <c r="D1004" i="98"/>
  <c r="D1005" i="98" s="1"/>
  <c r="D1006" i="98" s="1"/>
  <c r="D1007" i="98" s="1"/>
  <c r="B1004" i="98"/>
  <c r="B1005" i="98" s="1"/>
  <c r="B1006" i="98" s="1"/>
  <c r="B1007" i="98" s="1"/>
  <c r="D999" i="98"/>
  <c r="D1000" i="98" s="1"/>
  <c r="D1001" i="98" s="1"/>
  <c r="D1002" i="98" s="1"/>
  <c r="B999" i="98"/>
  <c r="B1000" i="98" s="1"/>
  <c r="B1001" i="98" s="1"/>
  <c r="B1002" i="98" s="1"/>
  <c r="D990" i="98"/>
  <c r="D991" i="98" s="1"/>
  <c r="D992" i="98" s="1"/>
  <c r="D993" i="98" s="1"/>
  <c r="D994" i="98" s="1"/>
  <c r="D995" i="98" s="1"/>
  <c r="D996" i="98" s="1"/>
  <c r="D997" i="98" s="1"/>
  <c r="B990" i="98"/>
  <c r="B991" i="98" s="1"/>
  <c r="B992" i="98" s="1"/>
  <c r="B993" i="98" s="1"/>
  <c r="B994" i="98" s="1"/>
  <c r="B995" i="98" s="1"/>
  <c r="B996" i="98" s="1"/>
  <c r="B997" i="98" s="1"/>
  <c r="A3150" i="61"/>
  <c r="A3149" i="61"/>
  <c r="A3148" i="61"/>
  <c r="B806" i="98"/>
  <c r="B807" i="98" s="1"/>
  <c r="B808" i="98" s="1"/>
  <c r="B809" i="98" s="1"/>
  <c r="B810" i="98" s="1"/>
  <c r="B811" i="98" s="1"/>
  <c r="D813" i="98"/>
  <c r="B813" i="98"/>
  <c r="B801" i="98"/>
  <c r="B802" i="98" s="1"/>
  <c r="B788" i="98"/>
  <c r="B789" i="98" s="1"/>
  <c r="A2972" i="61"/>
  <c r="B721" i="98"/>
  <c r="B722" i="98" s="1"/>
  <c r="B723" i="98" s="1"/>
  <c r="B724" i="98" s="1"/>
  <c r="D692" i="98"/>
  <c r="D693" i="98" s="1"/>
  <c r="D694" i="98" s="1"/>
  <c r="D695" i="98" s="1"/>
  <c r="D696" i="98" s="1"/>
  <c r="D697" i="98" s="1"/>
  <c r="D698" i="98" s="1"/>
  <c r="D699" i="98" s="1"/>
  <c r="D700" i="98" s="1"/>
  <c r="D701" i="98" s="1"/>
  <c r="D702" i="98" s="1"/>
  <c r="D703" i="98" s="1"/>
  <c r="D704" i="98" s="1"/>
  <c r="D705" i="98" s="1"/>
  <c r="D706" i="98" s="1"/>
  <c r="D707" i="98" s="1"/>
  <c r="B421" i="98"/>
  <c r="B422" i="98" s="1"/>
  <c r="D421" i="98"/>
  <c r="D550" i="98"/>
  <c r="D686" i="98"/>
  <c r="D687" i="98" s="1"/>
  <c r="B686" i="98"/>
  <c r="B687" i="98" s="1"/>
  <c r="B688" i="98" s="1"/>
  <c r="B689" i="98" s="1"/>
  <c r="B690" i="98" s="1"/>
  <c r="D665" i="98"/>
  <c r="B665" i="98"/>
  <c r="D662" i="98"/>
  <c r="D663" i="98" s="1"/>
  <c r="B662" i="98"/>
  <c r="B663" i="98" s="1"/>
  <c r="A19" i="61"/>
  <c r="D795" i="98"/>
  <c r="B795" i="98"/>
  <c r="D793" i="98"/>
  <c r="B793" i="98"/>
  <c r="D791" i="98"/>
  <c r="B791" i="98"/>
  <c r="D788" i="98"/>
  <c r="B765" i="98"/>
  <c r="B766" i="98" s="1"/>
  <c r="B767" i="98" s="1"/>
  <c r="B768" i="98" s="1"/>
  <c r="B769" i="98" s="1"/>
  <c r="B770" i="98" s="1"/>
  <c r="B771" i="98" s="1"/>
  <c r="B772" i="98" s="1"/>
  <c r="B773" i="98" s="1"/>
  <c r="B774" i="98" s="1"/>
  <c r="B775" i="98" s="1"/>
  <c r="B776" i="98" s="1"/>
  <c r="B777" i="98" s="1"/>
  <c r="B778" i="98" s="1"/>
  <c r="B779" i="98" s="1"/>
  <c r="B780" i="98" s="1"/>
  <c r="B781" i="98" s="1"/>
  <c r="B782" i="98" s="1"/>
  <c r="B783" i="98" s="1"/>
  <c r="B784" i="98" s="1"/>
  <c r="B785" i="98" s="1"/>
  <c r="B786" i="98" s="1"/>
  <c r="D759" i="98"/>
  <c r="B759" i="98"/>
  <c r="B760" i="98" s="1"/>
  <c r="B761" i="98" s="1"/>
  <c r="B762" i="98" s="1"/>
  <c r="B763" i="98" s="1"/>
  <c r="D752" i="98"/>
  <c r="B752" i="98"/>
  <c r="B753" i="98" s="1"/>
  <c r="B754" i="98" s="1"/>
  <c r="B755" i="98" s="1"/>
  <c r="B756" i="98" s="1"/>
  <c r="B757" i="98" s="1"/>
  <c r="D750" i="98"/>
  <c r="B750" i="98"/>
  <c r="B726" i="98"/>
  <c r="B727" i="98" s="1"/>
  <c r="B728" i="98" s="1"/>
  <c r="B729" i="98" s="1"/>
  <c r="B730" i="98" s="1"/>
  <c r="B731" i="98" s="1"/>
  <c r="B732" i="98" s="1"/>
  <c r="B733" i="98" s="1"/>
  <c r="B734" i="98" s="1"/>
  <c r="B735" i="98" s="1"/>
  <c r="B736" i="98" s="1"/>
  <c r="B737" i="98" s="1"/>
  <c r="B738" i="98" s="1"/>
  <c r="B739" i="98" s="1"/>
  <c r="B740" i="98" s="1"/>
  <c r="B741" i="98" s="1"/>
  <c r="B742" i="98" s="1"/>
  <c r="B743" i="98" s="1"/>
  <c r="B744" i="98" s="1"/>
  <c r="B745" i="98" s="1"/>
  <c r="B746" i="98" s="1"/>
  <c r="B747" i="98" s="1"/>
  <c r="B748" i="98" s="1"/>
  <c r="D716" i="98"/>
  <c r="B716" i="98"/>
  <c r="B717" i="98" s="1"/>
  <c r="B718" i="98" s="1"/>
  <c r="B719" i="98" s="1"/>
  <c r="D718" i="98"/>
  <c r="D719" i="98" s="1"/>
  <c r="D709" i="98"/>
  <c r="D710" i="98" s="1"/>
  <c r="D711" i="98" s="1"/>
  <c r="B709" i="98"/>
  <c r="B710" i="98" s="1"/>
  <c r="B711" i="98" s="1"/>
  <c r="B692" i="98"/>
  <c r="B693" i="98" s="1"/>
  <c r="B694" i="98" s="1"/>
  <c r="B695" i="98" s="1"/>
  <c r="B696" i="98" s="1"/>
  <c r="B697" i="98" s="1"/>
  <c r="B698" i="98" s="1"/>
  <c r="B699" i="98" s="1"/>
  <c r="B700" i="98" s="1"/>
  <c r="B701" i="98" s="1"/>
  <c r="B702" i="98" s="1"/>
  <c r="B703" i="98" s="1"/>
  <c r="B704" i="98" s="1"/>
  <c r="B705" i="98" s="1"/>
  <c r="B706" i="98" s="1"/>
  <c r="B707" i="98" s="1"/>
  <c r="D653" i="98"/>
  <c r="D654" i="98" s="1"/>
  <c r="D655" i="98" s="1"/>
  <c r="D656" i="98" s="1"/>
  <c r="B653" i="98"/>
  <c r="B654" i="98" s="1"/>
  <c r="B655" i="98" s="1"/>
  <c r="B656" i="98" s="1"/>
  <c r="D648" i="98"/>
  <c r="D649" i="98" s="1"/>
  <c r="D650" i="98" s="1"/>
  <c r="D651" i="98" s="1"/>
  <c r="B648" i="98"/>
  <c r="B649" i="98" s="1"/>
  <c r="B650" i="98" s="1"/>
  <c r="B651" i="98" s="1"/>
  <c r="D643" i="98"/>
  <c r="D644" i="98" s="1"/>
  <c r="D645" i="98" s="1"/>
  <c r="D646" i="98" s="1"/>
  <c r="B643" i="98"/>
  <c r="B644" i="98" s="1"/>
  <c r="B645" i="98" s="1"/>
  <c r="B646" i="98" s="1"/>
  <c r="D638" i="98"/>
  <c r="D639" i="98" s="1"/>
  <c r="D640" i="98" s="1"/>
  <c r="D641" i="98" s="1"/>
  <c r="B638" i="98"/>
  <c r="B639" i="98" s="1"/>
  <c r="B640" i="98" s="1"/>
  <c r="B641" i="98" s="1"/>
  <c r="D629" i="98"/>
  <c r="D630" i="98" s="1"/>
  <c r="D631" i="98" s="1"/>
  <c r="D632" i="98" s="1"/>
  <c r="D633" i="98" s="1"/>
  <c r="D634" i="98" s="1"/>
  <c r="D635" i="98" s="1"/>
  <c r="D636" i="98" s="1"/>
  <c r="B629" i="98"/>
  <c r="B630" i="98" s="1"/>
  <c r="B631" i="98" s="1"/>
  <c r="B632" i="98" s="1"/>
  <c r="B633" i="98" s="1"/>
  <c r="B634" i="98" s="1"/>
  <c r="B635" i="98" s="1"/>
  <c r="B636" i="98" s="1"/>
  <c r="D601" i="98"/>
  <c r="B601" i="98"/>
  <c r="B594" i="98"/>
  <c r="B595" i="98" s="1"/>
  <c r="B596" i="98" s="1"/>
  <c r="B597" i="98" s="1"/>
  <c r="B598" i="98" s="1"/>
  <c r="B599" i="98" s="1"/>
  <c r="D590" i="98"/>
  <c r="B589" i="98"/>
  <c r="B590" i="98" s="1"/>
  <c r="D689" i="98"/>
  <c r="D690" i="98" s="1"/>
  <c r="D583" i="98"/>
  <c r="B583" i="98"/>
  <c r="D581" i="98"/>
  <c r="B581" i="98"/>
  <c r="D579" i="98"/>
  <c r="B579" i="98"/>
  <c r="D576" i="98"/>
  <c r="B576" i="98"/>
  <c r="B577" i="98" s="1"/>
  <c r="D553" i="98"/>
  <c r="D554" i="98" s="1"/>
  <c r="D555" i="98" s="1"/>
  <c r="D556" i="98" s="1"/>
  <c r="D557" i="98" s="1"/>
  <c r="D558" i="98" s="1"/>
  <c r="D559" i="98" s="1"/>
  <c r="D560" i="98" s="1"/>
  <c r="D561" i="98" s="1"/>
  <c r="D562" i="98" s="1"/>
  <c r="D563" i="98" s="1"/>
  <c r="D564" i="98" s="1"/>
  <c r="D565" i="98" s="1"/>
  <c r="D566" i="98" s="1"/>
  <c r="D567" i="98" s="1"/>
  <c r="D568" i="98" s="1"/>
  <c r="D569" i="98" s="1"/>
  <c r="D570" i="98" s="1"/>
  <c r="D571" i="98" s="1"/>
  <c r="D572" i="98" s="1"/>
  <c r="D573" i="98" s="1"/>
  <c r="D574" i="98" s="1"/>
  <c r="B553" i="98"/>
  <c r="B554" i="98" s="1"/>
  <c r="B555" i="98" s="1"/>
  <c r="B556" i="98" s="1"/>
  <c r="B557" i="98" s="1"/>
  <c r="B558" i="98" s="1"/>
  <c r="B559" i="98" s="1"/>
  <c r="B560" i="98" s="1"/>
  <c r="B561" i="98" s="1"/>
  <c r="B562" i="98" s="1"/>
  <c r="B563" i="98" s="1"/>
  <c r="B564" i="98" s="1"/>
  <c r="B565" i="98" s="1"/>
  <c r="B566" i="98" s="1"/>
  <c r="B567" i="98" s="1"/>
  <c r="B568" i="98" s="1"/>
  <c r="B569" i="98" s="1"/>
  <c r="B570" i="98" s="1"/>
  <c r="B571" i="98" s="1"/>
  <c r="B572" i="98" s="1"/>
  <c r="B573" i="98" s="1"/>
  <c r="B574" i="98" s="1"/>
  <c r="D547" i="98"/>
  <c r="D549" i="98" s="1"/>
  <c r="D551" i="98" s="1"/>
  <c r="B547" i="98"/>
  <c r="D540" i="98"/>
  <c r="B540" i="98"/>
  <c r="B541" i="98" s="1"/>
  <c r="B542" i="98" s="1"/>
  <c r="B543" i="98" s="1"/>
  <c r="B544" i="98" s="1"/>
  <c r="B545" i="98" s="1"/>
  <c r="D538" i="98"/>
  <c r="B538" i="98"/>
  <c r="D516" i="98"/>
  <c r="D517" i="98" s="1"/>
  <c r="D518" i="98" s="1"/>
  <c r="D519" i="98" s="1"/>
  <c r="D520" i="98" s="1"/>
  <c r="D521" i="98" s="1"/>
  <c r="D522" i="98" s="1"/>
  <c r="D523" i="98" s="1"/>
  <c r="D524" i="98" s="1"/>
  <c r="D525" i="98" s="1"/>
  <c r="D526" i="98" s="1"/>
  <c r="D527" i="98" s="1"/>
  <c r="D528" i="98" s="1"/>
  <c r="D529" i="98" s="1"/>
  <c r="D530" i="98" s="1"/>
  <c r="D531" i="98" s="1"/>
  <c r="D532" i="98" s="1"/>
  <c r="D533" i="98" s="1"/>
  <c r="D534" i="98" s="1"/>
  <c r="D536" i="98"/>
  <c r="B516" i="98"/>
  <c r="B517" i="98" s="1"/>
  <c r="B518" i="98" s="1"/>
  <c r="B519" i="98" s="1"/>
  <c r="B520" i="98" s="1"/>
  <c r="B521" i="98" s="1"/>
  <c r="B522" i="98" s="1"/>
  <c r="B523" i="98" s="1"/>
  <c r="B524" i="98" s="1"/>
  <c r="B525" i="98" s="1"/>
  <c r="B526" i="98" s="1"/>
  <c r="B527" i="98" s="1"/>
  <c r="B528" i="98" s="1"/>
  <c r="B529" i="98" s="1"/>
  <c r="B530" i="98" s="1"/>
  <c r="B531" i="98" s="1"/>
  <c r="B532" i="98" s="1"/>
  <c r="B533" i="98" s="1"/>
  <c r="B534" i="98" s="1"/>
  <c r="B535" i="98" s="1"/>
  <c r="B536" i="98" s="1"/>
  <c r="D511" i="98"/>
  <c r="D513" i="98"/>
  <c r="D504" i="98"/>
  <c r="D505" i="98" s="1"/>
  <c r="D506" i="98" s="1"/>
  <c r="B504" i="98"/>
  <c r="B505" i="98" s="1"/>
  <c r="B506" i="98" s="1"/>
  <c r="D486" i="98"/>
  <c r="D487" i="98" s="1"/>
  <c r="D488" i="98" s="1"/>
  <c r="D489" i="98" s="1"/>
  <c r="B486" i="98"/>
  <c r="B487" i="98" s="1"/>
  <c r="B488" i="98" s="1"/>
  <c r="B489" i="98" s="1"/>
  <c r="B493" i="98"/>
  <c r="B494" i="98" s="1"/>
  <c r="B495" i="98" s="1"/>
  <c r="B496" i="98" s="1"/>
  <c r="B497" i="98" s="1"/>
  <c r="B498" i="98" s="1"/>
  <c r="B499" i="98" s="1"/>
  <c r="B500" i="98" s="1"/>
  <c r="B501" i="98" s="1"/>
  <c r="B502" i="98" s="1"/>
  <c r="D467" i="98"/>
  <c r="D468" i="98" s="1"/>
  <c r="D469" i="98" s="1"/>
  <c r="D470" i="98" s="1"/>
  <c r="B467" i="98"/>
  <c r="B468" i="98" s="1"/>
  <c r="B469" i="98" s="1"/>
  <c r="B470" i="98" s="1"/>
  <c r="D462" i="98"/>
  <c r="D463" i="98" s="1"/>
  <c r="D464" i="98" s="1"/>
  <c r="D465" i="98" s="1"/>
  <c r="B462" i="98"/>
  <c r="B463" i="98" s="1"/>
  <c r="B464" i="98" s="1"/>
  <c r="B465" i="98" s="1"/>
  <c r="D457" i="98"/>
  <c r="D458" i="98" s="1"/>
  <c r="D459" i="98" s="1"/>
  <c r="D460" i="98" s="1"/>
  <c r="B457" i="98"/>
  <c r="B458" i="98" s="1"/>
  <c r="B459" i="98" s="1"/>
  <c r="B460" i="98" s="1"/>
  <c r="D452" i="98"/>
  <c r="D453" i="98" s="1"/>
  <c r="D454" i="98" s="1"/>
  <c r="D455" i="98" s="1"/>
  <c r="B452" i="98"/>
  <c r="B453" i="98" s="1"/>
  <c r="B454" i="98" s="1"/>
  <c r="B455" i="98" s="1"/>
  <c r="D443" i="98"/>
  <c r="D444" i="98" s="1"/>
  <c r="D445" i="98" s="1"/>
  <c r="D446" i="98" s="1"/>
  <c r="D447" i="98" s="1"/>
  <c r="D448" i="98" s="1"/>
  <c r="D449" i="98" s="1"/>
  <c r="D450" i="98" s="1"/>
  <c r="B443" i="98"/>
  <c r="B444" i="98" s="1"/>
  <c r="B445" i="98" s="1"/>
  <c r="B446" i="98" s="1"/>
  <c r="B447" i="98" s="1"/>
  <c r="B448" i="98" s="1"/>
  <c r="B449" i="98" s="1"/>
  <c r="B450" i="98" s="1"/>
  <c r="D414" i="98"/>
  <c r="D415" i="98" s="1"/>
  <c r="D416" i="98" s="1"/>
  <c r="D417" i="98" s="1"/>
  <c r="D418" i="98" s="1"/>
  <c r="D419" i="98" s="1"/>
  <c r="B413" i="98"/>
  <c r="B414" i="98" s="1"/>
  <c r="B415" i="98" s="1"/>
  <c r="B416" i="98" s="1"/>
  <c r="B417" i="98" s="1"/>
  <c r="B418" i="98" s="1"/>
  <c r="B419" i="98" s="1"/>
  <c r="D411" i="98"/>
  <c r="B411" i="98"/>
  <c r="D409" i="98"/>
  <c r="B408" i="98"/>
  <c r="B409" i="98" s="1"/>
  <c r="D392" i="98"/>
  <c r="B392" i="98"/>
  <c r="D390" i="98"/>
  <c r="B390" i="98"/>
  <c r="D388" i="98"/>
  <c r="B388" i="98"/>
  <c r="D385" i="98"/>
  <c r="B385" i="98"/>
  <c r="D363" i="98"/>
  <c r="D364" i="98" s="1"/>
  <c r="D365" i="98" s="1"/>
  <c r="D366" i="98" s="1"/>
  <c r="D367" i="98" s="1"/>
  <c r="D368" i="98" s="1"/>
  <c r="D369" i="98" s="1"/>
  <c r="D370" i="98" s="1"/>
  <c r="D371" i="98" s="1"/>
  <c r="D372" i="98" s="1"/>
  <c r="D373" i="98" s="1"/>
  <c r="D374" i="98" s="1"/>
  <c r="D375" i="98" s="1"/>
  <c r="D376" i="98" s="1"/>
  <c r="D377" i="98" s="1"/>
  <c r="D378" i="98" s="1"/>
  <c r="D379" i="98" s="1"/>
  <c r="D380" i="98" s="1"/>
  <c r="D381" i="98" s="1"/>
  <c r="D382" i="98" s="1"/>
  <c r="D383" i="98" s="1"/>
  <c r="B363" i="98"/>
  <c r="B364" i="98" s="1"/>
  <c r="B365" i="98" s="1"/>
  <c r="B366" i="98" s="1"/>
  <c r="B367" i="98" s="1"/>
  <c r="B368" i="98" s="1"/>
  <c r="B369" i="98" s="1"/>
  <c r="B370" i="98" s="1"/>
  <c r="B371" i="98" s="1"/>
  <c r="B372" i="98" s="1"/>
  <c r="B373" i="98" s="1"/>
  <c r="B374" i="98" s="1"/>
  <c r="B375" i="98" s="1"/>
  <c r="B376" i="98" s="1"/>
  <c r="B377" i="98" s="1"/>
  <c r="B378" i="98" s="1"/>
  <c r="B379" i="98" s="1"/>
  <c r="B380" i="98" s="1"/>
  <c r="B381" i="98" s="1"/>
  <c r="B382" i="98" s="1"/>
  <c r="B383" i="98" s="1"/>
  <c r="B357" i="98"/>
  <c r="D355" i="98"/>
  <c r="B355" i="98"/>
  <c r="D348" i="98"/>
  <c r="B348" i="98"/>
  <c r="D346" i="98"/>
  <c r="B346" i="98"/>
  <c r="D322" i="98"/>
  <c r="D323" i="98" s="1"/>
  <c r="D324" i="98" s="1"/>
  <c r="D325" i="98" s="1"/>
  <c r="D326" i="98" s="1"/>
  <c r="D327" i="98" s="1"/>
  <c r="D328" i="98" s="1"/>
  <c r="D329" i="98" s="1"/>
  <c r="D330" i="98" s="1"/>
  <c r="D331" i="98" s="1"/>
  <c r="D332" i="98" s="1"/>
  <c r="D333" i="98" s="1"/>
  <c r="D334" i="98" s="1"/>
  <c r="D335" i="98" s="1"/>
  <c r="D336" i="98" s="1"/>
  <c r="D337" i="98" s="1"/>
  <c r="D338" i="98" s="1"/>
  <c r="D339" i="98" s="1"/>
  <c r="D340" i="98" s="1"/>
  <c r="D341" i="98" s="1"/>
  <c r="D342" i="98" s="1"/>
  <c r="D343" i="98" s="1"/>
  <c r="D344" i="98" s="1"/>
  <c r="B322" i="98"/>
  <c r="B323" i="98" s="1"/>
  <c r="B324" i="98" s="1"/>
  <c r="B325" i="98" s="1"/>
  <c r="B326" i="98" s="1"/>
  <c r="B327" i="98" s="1"/>
  <c r="B328" i="98" s="1"/>
  <c r="B329" i="98" s="1"/>
  <c r="B330" i="98" s="1"/>
  <c r="B331" i="98" s="1"/>
  <c r="B332" i="98" s="1"/>
  <c r="B333" i="98" s="1"/>
  <c r="B334" i="98" s="1"/>
  <c r="B335" i="98" s="1"/>
  <c r="B336" i="98" s="1"/>
  <c r="B337" i="98" s="1"/>
  <c r="B338" i="98" s="1"/>
  <c r="B339" i="98" s="1"/>
  <c r="B340" i="98" s="1"/>
  <c r="B341" i="98" s="1"/>
  <c r="B342" i="98" s="1"/>
  <c r="B343" i="98" s="1"/>
  <c r="B344" i="98" s="1"/>
  <c r="D317" i="98"/>
  <c r="B317" i="98"/>
  <c r="B318" i="98" s="1"/>
  <c r="B319" i="98" s="1"/>
  <c r="D311" i="98"/>
  <c r="D312" i="98" s="1"/>
  <c r="D313" i="98" s="1"/>
  <c r="B311" i="98"/>
  <c r="B312" i="98" s="1"/>
  <c r="B313" i="98" s="1"/>
  <c r="D294" i="98"/>
  <c r="D295" i="98" s="1"/>
  <c r="D296" i="98" s="1"/>
  <c r="D297" i="98" s="1"/>
  <c r="D299" i="98" s="1"/>
  <c r="D300" i="98" s="1"/>
  <c r="D301" i="98" s="1"/>
  <c r="D302" i="98" s="1"/>
  <c r="D303" i="98" s="1"/>
  <c r="D304" i="98" s="1"/>
  <c r="D305" i="98" s="1"/>
  <c r="D306" i="98" s="1"/>
  <c r="D307" i="98" s="1"/>
  <c r="D308" i="98" s="1"/>
  <c r="D309" i="98" s="1"/>
  <c r="B294" i="98"/>
  <c r="B295" i="98" s="1"/>
  <c r="B296" i="98" s="1"/>
  <c r="B297" i="98" s="1"/>
  <c r="B299" i="98" s="1"/>
  <c r="B300" i="98" s="1"/>
  <c r="B301" i="98" s="1"/>
  <c r="B302" i="98" s="1"/>
  <c r="B303" i="98" s="1"/>
  <c r="B304" i="98" s="1"/>
  <c r="B305" i="98" s="1"/>
  <c r="B306" i="98" s="1"/>
  <c r="B307" i="98" s="1"/>
  <c r="B308" i="98" s="1"/>
  <c r="B309" i="98" s="1"/>
  <c r="D266" i="98"/>
  <c r="D267" i="98" s="1"/>
  <c r="D268" i="98" s="1"/>
  <c r="D269" i="98" s="1"/>
  <c r="B266" i="98"/>
  <c r="B267" i="98" s="1"/>
  <c r="B268" i="98" s="1"/>
  <c r="B269" i="98" s="1"/>
  <c r="D261" i="98"/>
  <c r="D262" i="98" s="1"/>
  <c r="D263" i="98" s="1"/>
  <c r="D264" i="98" s="1"/>
  <c r="B261" i="98"/>
  <c r="B262" i="98" s="1"/>
  <c r="B263" i="98" s="1"/>
  <c r="B264" i="98" s="1"/>
  <c r="D256" i="98"/>
  <c r="D257" i="98" s="1"/>
  <c r="D258" i="98" s="1"/>
  <c r="D259" i="98" s="1"/>
  <c r="B256" i="98"/>
  <c r="B257" i="98" s="1"/>
  <c r="B258" i="98" s="1"/>
  <c r="B259" i="98" s="1"/>
  <c r="D251" i="98"/>
  <c r="D252" i="98" s="1"/>
  <c r="D253" i="98" s="1"/>
  <c r="D254" i="98" s="1"/>
  <c r="B251" i="98"/>
  <c r="B252" i="98" s="1"/>
  <c r="B253" i="98" s="1"/>
  <c r="B254" i="98" s="1"/>
  <c r="D242" i="98"/>
  <c r="D243" i="98" s="1"/>
  <c r="D244" i="98" s="1"/>
  <c r="D245" i="98" s="1"/>
  <c r="D246" i="98" s="1"/>
  <c r="D247" i="98" s="1"/>
  <c r="D248" i="98" s="1"/>
  <c r="D249" i="98" s="1"/>
  <c r="B242" i="98"/>
  <c r="B243" i="98" s="1"/>
  <c r="B244" i="98" s="1"/>
  <c r="B245" i="98" s="1"/>
  <c r="B246" i="98" s="1"/>
  <c r="B247" i="98" s="1"/>
  <c r="B248" i="98" s="1"/>
  <c r="B249" i="98" s="1"/>
  <c r="B512" i="98"/>
  <c r="B513" i="98" s="1"/>
  <c r="F26" i="23"/>
  <c r="A18" i="61"/>
  <c r="D93" i="98"/>
  <c r="D94" i="98" s="1"/>
  <c r="D95" i="98" s="1"/>
  <c r="D96" i="98" s="1"/>
  <c r="D97" i="98" s="1"/>
  <c r="D98" i="98" s="1"/>
  <c r="D99" i="98" s="1"/>
  <c r="D100" i="98" s="1"/>
  <c r="D101" i="98" s="1"/>
  <c r="D102" i="98" s="1"/>
  <c r="D103" i="98" s="1"/>
  <c r="D104" i="98" s="1"/>
  <c r="D105" i="98" s="1"/>
  <c r="D106" i="98" s="1"/>
  <c r="D107" i="98" s="1"/>
  <c r="D108" i="98" s="1"/>
  <c r="D109" i="98" s="1"/>
  <c r="D110" i="98" s="1"/>
  <c r="D111" i="98" s="1"/>
  <c r="D112" i="98" s="1"/>
  <c r="D113" i="98" s="1"/>
  <c r="D114" i="98" s="1"/>
  <c r="D115" i="98" s="1"/>
  <c r="D116" i="98" s="1"/>
  <c r="D117" i="98" s="1"/>
  <c r="D118" i="98" s="1"/>
  <c r="D119" i="98" s="1"/>
  <c r="D120" i="98" s="1"/>
  <c r="D121" i="98" s="1"/>
  <c r="D122" i="98" s="1"/>
  <c r="B93" i="98"/>
  <c r="B94" i="98" s="1"/>
  <c r="B95" i="98" s="1"/>
  <c r="B96" i="98" s="1"/>
  <c r="B97" i="98" s="1"/>
  <c r="B98" i="98" s="1"/>
  <c r="B99" i="98" s="1"/>
  <c r="B100" i="98" s="1"/>
  <c r="B101" i="98" s="1"/>
  <c r="B102" i="98" s="1"/>
  <c r="B103" i="98" s="1"/>
  <c r="B104" i="98" s="1"/>
  <c r="B105" i="98" s="1"/>
  <c r="B106" i="98" s="1"/>
  <c r="B107" i="98" s="1"/>
  <c r="B108" i="98" s="1"/>
  <c r="B109" i="98" s="1"/>
  <c r="B110" i="98" s="1"/>
  <c r="B111" i="98" s="1"/>
  <c r="B112" i="98" s="1"/>
  <c r="B113" i="98" s="1"/>
  <c r="B114" i="98" s="1"/>
  <c r="B115" i="98" s="1"/>
  <c r="B116" i="98" s="1"/>
  <c r="B117" i="98" s="1"/>
  <c r="B118" i="98" s="1"/>
  <c r="B119" i="98" s="1"/>
  <c r="B120" i="98" s="1"/>
  <c r="B121" i="98" s="1"/>
  <c r="B122" i="98" s="1"/>
  <c r="D185" i="98"/>
  <c r="D186" i="98" s="1"/>
  <c r="D187" i="98" s="1"/>
  <c r="D188" i="98" s="1"/>
  <c r="B185" i="98"/>
  <c r="B186" i="98" s="1"/>
  <c r="B187" i="98" s="1"/>
  <c r="B188" i="98" s="1"/>
  <c r="D50" i="98"/>
  <c r="B50" i="98"/>
  <c r="D47" i="98"/>
  <c r="D48" i="98" s="1"/>
  <c r="B47" i="98"/>
  <c r="B48" i="98" s="1"/>
  <c r="A45" i="61"/>
  <c r="A44" i="61"/>
  <c r="A43" i="61"/>
  <c r="A42" i="61"/>
  <c r="A41" i="61"/>
  <c r="A40" i="61"/>
  <c r="A37" i="61"/>
  <c r="A36" i="61"/>
  <c r="A35" i="61"/>
  <c r="A34" i="61"/>
  <c r="A33" i="61"/>
  <c r="A31" i="61"/>
  <c r="A30" i="61"/>
  <c r="A29" i="61"/>
  <c r="A28" i="61"/>
  <c r="A27" i="61"/>
  <c r="A26" i="61"/>
  <c r="A25" i="61"/>
  <c r="A24" i="61"/>
  <c r="A23" i="61"/>
  <c r="A22" i="61"/>
  <c r="A17" i="61"/>
  <c r="A16" i="61"/>
  <c r="A15" i="61"/>
  <c r="A14" i="61"/>
  <c r="A13" i="61"/>
  <c r="A12" i="61"/>
  <c r="A11" i="61"/>
  <c r="A10" i="61"/>
  <c r="A9" i="61"/>
  <c r="F53" i="23"/>
  <c r="F46" i="23"/>
  <c r="F45" i="23"/>
  <c r="D10" i="12"/>
  <c r="E10" i="12" s="1"/>
  <c r="D9" i="12"/>
  <c r="D26" i="55"/>
  <c r="F47" i="23"/>
  <c r="F48" i="23" s="1"/>
  <c r="D588" i="7"/>
  <c r="B588" i="7"/>
  <c r="A588" i="7"/>
  <c r="D581" i="7"/>
  <c r="B581" i="7"/>
  <c r="A581" i="7"/>
  <c r="D580" i="7"/>
  <c r="B580" i="7"/>
  <c r="A580" i="7"/>
  <c r="D579" i="7"/>
  <c r="B579" i="7"/>
  <c r="A579" i="7"/>
  <c r="D578" i="7"/>
  <c r="B578" i="7"/>
  <c r="A578" i="7"/>
  <c r="D577" i="7"/>
  <c r="B577" i="7"/>
  <c r="A577" i="7"/>
  <c r="D576" i="7"/>
  <c r="B576" i="7"/>
  <c r="A576" i="7"/>
  <c r="D575" i="7"/>
  <c r="B575" i="7"/>
  <c r="A575" i="7"/>
  <c r="D574" i="7"/>
  <c r="B574" i="7"/>
  <c r="A574" i="7"/>
  <c r="D573" i="7"/>
  <c r="B573" i="7"/>
  <c r="A573" i="7"/>
  <c r="D572" i="7"/>
  <c r="B572" i="7"/>
  <c r="A572" i="7"/>
  <c r="D571" i="7"/>
  <c r="B571" i="7"/>
  <c r="A571" i="7"/>
  <c r="D570" i="7"/>
  <c r="B570" i="7"/>
  <c r="A570" i="7"/>
  <c r="D569" i="7"/>
  <c r="B569" i="7"/>
  <c r="A569" i="7"/>
  <c r="D568" i="7"/>
  <c r="B568" i="7"/>
  <c r="A568" i="7"/>
  <c r="D567" i="7"/>
  <c r="B567" i="7"/>
  <c r="A567" i="7"/>
  <c r="D566" i="7"/>
  <c r="B566" i="7"/>
  <c r="A566" i="7"/>
  <c r="D565" i="7"/>
  <c r="B565" i="7"/>
  <c r="A565" i="7"/>
  <c r="D564" i="7"/>
  <c r="B564" i="7"/>
  <c r="A564" i="7"/>
  <c r="D563" i="7"/>
  <c r="B563" i="7"/>
  <c r="A563" i="7"/>
  <c r="D562" i="7"/>
  <c r="B562" i="7"/>
  <c r="A562" i="7"/>
  <c r="D561" i="7"/>
  <c r="B561" i="7"/>
  <c r="A561" i="7"/>
  <c r="A560" i="7"/>
  <c r="D560" i="7"/>
  <c r="B560" i="7"/>
  <c r="D559" i="7"/>
  <c r="B559" i="7"/>
  <c r="D558" i="7"/>
  <c r="B558" i="7"/>
  <c r="D557" i="7"/>
  <c r="B557" i="7"/>
  <c r="D556" i="7"/>
  <c r="B556" i="7"/>
  <c r="A559" i="7"/>
  <c r="A558" i="7"/>
  <c r="A557" i="7"/>
  <c r="A556" i="7"/>
  <c r="A555" i="7"/>
  <c r="D555" i="7"/>
  <c r="B555" i="7"/>
  <c r="D554" i="7"/>
  <c r="B554" i="7"/>
  <c r="A554" i="7"/>
  <c r="D549" i="7"/>
  <c r="D548" i="7"/>
  <c r="B549" i="7"/>
  <c r="B548" i="7"/>
  <c r="B547" i="7"/>
  <c r="A549" i="7"/>
  <c r="A548" i="7"/>
  <c r="A547" i="7"/>
  <c r="D546" i="7"/>
  <c r="D545" i="7"/>
  <c r="D544" i="7"/>
  <c r="B546" i="7"/>
  <c r="B545" i="7"/>
  <c r="B544" i="7"/>
  <c r="A544" i="7"/>
  <c r="B538" i="7"/>
  <c r="D541" i="7"/>
  <c r="B541" i="7"/>
  <c r="A541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B535" i="7"/>
  <c r="A535" i="7"/>
  <c r="B532" i="7"/>
  <c r="A532" i="7"/>
  <c r="B529" i="7"/>
  <c r="A529" i="7"/>
  <c r="B526" i="7"/>
  <c r="A526" i="7"/>
  <c r="B523" i="7"/>
  <c r="B520" i="7"/>
  <c r="B517" i="7"/>
  <c r="B514" i="7"/>
  <c r="D516" i="7"/>
  <c r="D515" i="7"/>
  <c r="D514" i="7"/>
  <c r="D513" i="7"/>
  <c r="D512" i="7"/>
  <c r="B511" i="7"/>
  <c r="A523" i="7"/>
  <c r="A520" i="7"/>
  <c r="A517" i="7"/>
  <c r="A514" i="7"/>
  <c r="A511" i="7"/>
  <c r="D510" i="7"/>
  <c r="B509" i="7"/>
  <c r="A509" i="7"/>
  <c r="D505" i="7"/>
  <c r="D504" i="7"/>
  <c r="D503" i="7"/>
  <c r="B506" i="7"/>
  <c r="B503" i="7"/>
  <c r="A506" i="7"/>
  <c r="A503" i="7"/>
  <c r="D496" i="7"/>
  <c r="D487" i="7"/>
  <c r="D480" i="7"/>
  <c r="D478" i="7"/>
  <c r="D471" i="7"/>
  <c r="D467" i="7"/>
  <c r="D463" i="7"/>
  <c r="D461" i="7"/>
  <c r="D459" i="7"/>
  <c r="D457" i="7"/>
  <c r="D455" i="7"/>
  <c r="D453" i="7"/>
  <c r="D445" i="7"/>
  <c r="D438" i="7"/>
  <c r="D436" i="7"/>
  <c r="D429" i="7"/>
  <c r="D412" i="7"/>
  <c r="D409" i="7"/>
  <c r="B409" i="7"/>
  <c r="B407" i="7"/>
  <c r="B406" i="7"/>
  <c r="A410" i="7"/>
  <c r="A409" i="7"/>
  <c r="A407" i="7"/>
  <c r="D398" i="7"/>
  <c r="D401" i="7"/>
  <c r="D181" i="58"/>
  <c r="H239" i="75" s="1"/>
  <c r="A401" i="7"/>
  <c r="B401" i="7" s="1"/>
  <c r="D386" i="7"/>
  <c r="D374" i="7"/>
  <c r="D364" i="7"/>
  <c r="D362" i="7"/>
  <c r="D363" i="7"/>
  <c r="D354" i="7"/>
  <c r="D347" i="7"/>
  <c r="A343" i="7"/>
  <c r="D342" i="7"/>
  <c r="D300" i="7"/>
  <c r="A300" i="7"/>
  <c r="B300" i="7"/>
  <c r="D302" i="7"/>
  <c r="D301" i="7"/>
  <c r="B298" i="7"/>
  <c r="D299" i="7"/>
  <c r="D298" i="7"/>
  <c r="B291" i="7"/>
  <c r="D292" i="7"/>
  <c r="D291" i="7"/>
  <c r="A286" i="7"/>
  <c r="A289" i="7"/>
  <c r="B289" i="7" s="1"/>
  <c r="A288" i="7"/>
  <c r="B288" i="7" s="1"/>
  <c r="A287" i="7"/>
  <c r="B287" i="7" s="1"/>
  <c r="D286" i="7"/>
  <c r="B286" i="7"/>
  <c r="D290" i="7"/>
  <c r="D289" i="7"/>
  <c r="D288" i="7"/>
  <c r="D287" i="7"/>
  <c r="A284" i="7"/>
  <c r="B284" i="7" s="1"/>
  <c r="D285" i="7"/>
  <c r="D284" i="7"/>
  <c r="D283" i="7"/>
  <c r="D282" i="7"/>
  <c r="D281" i="7"/>
  <c r="D274" i="7"/>
  <c r="D271" i="7"/>
  <c r="D268" i="7"/>
  <c r="D265" i="7"/>
  <c r="D262" i="7"/>
  <c r="D259" i="7"/>
  <c r="D256" i="7"/>
  <c r="D253" i="7"/>
  <c r="D250" i="7"/>
  <c r="D247" i="7"/>
  <c r="D244" i="7"/>
  <c r="D241" i="7"/>
  <c r="D238" i="7"/>
  <c r="D235" i="7"/>
  <c r="D232" i="7"/>
  <c r="D229" i="7"/>
  <c r="D226" i="7"/>
  <c r="D223" i="7"/>
  <c r="D220" i="7"/>
  <c r="D217" i="7"/>
  <c r="D214" i="7"/>
  <c r="D211" i="7"/>
  <c r="D208" i="7"/>
  <c r="D205" i="7"/>
  <c r="D202" i="7"/>
  <c r="D199" i="7"/>
  <c r="D196" i="7"/>
  <c r="D193" i="7"/>
  <c r="D190" i="7"/>
  <c r="D187" i="7"/>
  <c r="D184" i="7"/>
  <c r="D181" i="7"/>
  <c r="D178" i="7"/>
  <c r="D175" i="7"/>
  <c r="D172" i="7"/>
  <c r="D169" i="7"/>
  <c r="D166" i="7"/>
  <c r="D163" i="7"/>
  <c r="D160" i="7"/>
  <c r="D157" i="7"/>
  <c r="D154" i="7"/>
  <c r="D151" i="7"/>
  <c r="D148" i="7"/>
  <c r="D145" i="7"/>
  <c r="D142" i="7"/>
  <c r="D139" i="7"/>
  <c r="D136" i="7"/>
  <c r="D133" i="7"/>
  <c r="D130" i="7"/>
  <c r="D127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B35" i="7"/>
  <c r="B40" i="7" s="1"/>
  <c r="D29" i="7"/>
  <c r="D22" i="7"/>
  <c r="D14" i="7"/>
  <c r="D7" i="7"/>
  <c r="D5" i="58"/>
  <c r="H356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3" i="75"/>
  <c r="H371" i="75"/>
  <c r="H370" i="75"/>
  <c r="H369" i="75"/>
  <c r="H382" i="75"/>
  <c r="H381" i="75"/>
  <c r="H248" i="75"/>
  <c r="H380" i="75"/>
  <c r="H379" i="75"/>
  <c r="H377" i="75"/>
  <c r="H366" i="75"/>
  <c r="H365" i="75"/>
  <c r="H364" i="75"/>
  <c r="D213" i="58"/>
  <c r="H250" i="75"/>
  <c r="H151" i="75"/>
  <c r="H147" i="75"/>
  <c r="D107" i="58"/>
  <c r="D104" i="58"/>
  <c r="D105" i="58"/>
  <c r="D103" i="58"/>
  <c r="D102" i="58"/>
  <c r="D101" i="58"/>
  <c r="D100" i="58"/>
  <c r="D99" i="58"/>
  <c r="D95" i="58"/>
  <c r="D94" i="58"/>
  <c r="C10" i="10"/>
  <c r="E16" i="3"/>
  <c r="D16" i="3"/>
  <c r="C16" i="3"/>
  <c r="E124" i="1"/>
  <c r="G124" i="1" s="1"/>
  <c r="H124" i="1" s="1"/>
  <c r="D149" i="58" s="1"/>
  <c r="D12" i="58"/>
  <c r="B54" i="1"/>
  <c r="B11" i="9" s="1"/>
  <c r="B53" i="1"/>
  <c r="B10" i="9" s="1"/>
  <c r="H115" i="1"/>
  <c r="I115" i="1" s="1"/>
  <c r="G137" i="1"/>
  <c r="H137" i="1" s="1"/>
  <c r="D156" i="58" s="1"/>
  <c r="H216" i="75" s="1"/>
  <c r="G136" i="1"/>
  <c r="H136" i="1" s="1"/>
  <c r="D158" i="58" s="1"/>
  <c r="H217" i="75" s="1"/>
  <c r="G176" i="1"/>
  <c r="H176" i="1" s="1"/>
  <c r="G175" i="1"/>
  <c r="H175" i="1" s="1"/>
  <c r="G174" i="1"/>
  <c r="H174" i="1" s="1"/>
  <c r="D195" i="58" s="1"/>
  <c r="G173" i="1"/>
  <c r="H173" i="1" s="1"/>
  <c r="G172" i="1"/>
  <c r="H172" i="1" s="1"/>
  <c r="D192" i="58" s="1"/>
  <c r="G171" i="1"/>
  <c r="H171" i="1" s="1"/>
  <c r="D191" i="58" s="1"/>
  <c r="G170" i="1"/>
  <c r="H170" i="1" s="1"/>
  <c r="F164" i="1"/>
  <c r="G164" i="1" s="1"/>
  <c r="F159" i="1"/>
  <c r="G159" i="1" s="1"/>
  <c r="G143" i="1"/>
  <c r="H143" i="1" s="1"/>
  <c r="F158" i="1"/>
  <c r="G158" i="1" s="1"/>
  <c r="F157" i="1"/>
  <c r="G157" i="1" s="1"/>
  <c r="F156" i="1"/>
  <c r="G156" i="1" s="1"/>
  <c r="F155" i="1"/>
  <c r="G155" i="1" s="1"/>
  <c r="F154" i="1"/>
  <c r="G154" i="1" s="1"/>
  <c r="D179" i="58" s="1"/>
  <c r="H238" i="75" s="1"/>
  <c r="F153" i="1"/>
  <c r="F152" i="1"/>
  <c r="G152" i="1" s="1"/>
  <c r="F151" i="1"/>
  <c r="G151" i="1" s="1"/>
  <c r="F150" i="1"/>
  <c r="G150" i="1" s="1"/>
  <c r="D175" i="58" s="1"/>
  <c r="F149" i="1"/>
  <c r="G149" i="1" s="1"/>
  <c r="D174" i="58" s="1"/>
  <c r="F148" i="1"/>
  <c r="G148" i="1" s="1"/>
  <c r="G135" i="1"/>
  <c r="H135" i="1" s="1"/>
  <c r="D155" i="58" s="1"/>
  <c r="H215" i="75" s="1"/>
  <c r="G134" i="1"/>
  <c r="H134" i="1" s="1"/>
  <c r="G133" i="1"/>
  <c r="H133" i="1" s="1"/>
  <c r="G132" i="1"/>
  <c r="H132" i="1" s="1"/>
  <c r="D152" i="58" s="1"/>
  <c r="H212" i="75" s="1"/>
  <c r="G131" i="1"/>
  <c r="H131" i="1" s="1"/>
  <c r="G130" i="1"/>
  <c r="G129" i="1"/>
  <c r="H129" i="1" s="1"/>
  <c r="D151" i="58" s="1"/>
  <c r="H210" i="75" s="1"/>
  <c r="G128" i="1"/>
  <c r="H128" i="1" s="1"/>
  <c r="D150" i="58" s="1"/>
  <c r="H209" i="75" s="1"/>
  <c r="H119" i="1"/>
  <c r="I119" i="1" s="1"/>
  <c r="H118" i="1"/>
  <c r="I118" i="1" s="1"/>
  <c r="H117" i="1"/>
  <c r="I117" i="1" s="1"/>
  <c r="H116" i="1"/>
  <c r="I116" i="1" s="1"/>
  <c r="H114" i="1"/>
  <c r="I114" i="1" s="1"/>
  <c r="H113" i="1"/>
  <c r="I113" i="1" s="1"/>
  <c r="H108" i="1"/>
  <c r="I108" i="1" s="1"/>
  <c r="H79" i="1"/>
  <c r="I79" i="1" s="1"/>
  <c r="H104" i="1"/>
  <c r="I104" i="1" s="1"/>
  <c r="H103" i="1"/>
  <c r="I103" i="1" s="1"/>
  <c r="D85" i="58" s="1"/>
  <c r="H102" i="1"/>
  <c r="I102" i="1" s="1"/>
  <c r="D77" i="58" s="1"/>
  <c r="H101" i="1"/>
  <c r="I101" i="1" s="1"/>
  <c r="H100" i="1"/>
  <c r="I100" i="1" s="1"/>
  <c r="H99" i="1"/>
  <c r="I99" i="1" s="1"/>
  <c r="H98" i="1"/>
  <c r="I98" i="1" s="1"/>
  <c r="D80" i="58" s="1"/>
  <c r="H97" i="1"/>
  <c r="I97" i="1" s="1"/>
  <c r="D79" i="58" s="1"/>
  <c r="H96" i="1"/>
  <c r="I96" i="1" s="1"/>
  <c r="H95" i="1"/>
  <c r="I95" i="1" s="1"/>
  <c r="H94" i="1"/>
  <c r="H93" i="1"/>
  <c r="I93" i="1" s="1"/>
  <c r="D73" i="58" s="1"/>
  <c r="H92" i="1"/>
  <c r="I92" i="1" s="1"/>
  <c r="H91" i="1"/>
  <c r="I91" i="1" s="1"/>
  <c r="D72" i="58" s="1"/>
  <c r="H90" i="1"/>
  <c r="I90" i="1" s="1"/>
  <c r="D71" i="58" s="1"/>
  <c r="H89" i="1"/>
  <c r="I89" i="1" s="1"/>
  <c r="H88" i="1"/>
  <c r="I88" i="1" s="1"/>
  <c r="H87" i="1"/>
  <c r="I87" i="1" s="1"/>
  <c r="H86" i="1"/>
  <c r="I86" i="1" s="1"/>
  <c r="H85" i="1"/>
  <c r="I85" i="1" s="1"/>
  <c r="D70" i="58" s="1"/>
  <c r="H84" i="1"/>
  <c r="I84" i="1" s="1"/>
  <c r="D69" i="58" s="1"/>
  <c r="H83" i="1"/>
  <c r="I83" i="1" s="1"/>
  <c r="D68" i="58" s="1"/>
  <c r="H82" i="1"/>
  <c r="I82" i="1" s="1"/>
  <c r="D67" i="58" s="1"/>
  <c r="H81" i="1"/>
  <c r="I81" i="1" s="1"/>
  <c r="D66" i="58" s="1"/>
  <c r="H80" i="1"/>
  <c r="I80" i="1" s="1"/>
  <c r="D65" i="58" s="1"/>
  <c r="H78" i="1"/>
  <c r="I78" i="1" s="1"/>
  <c r="H77" i="1"/>
  <c r="I77" i="1" s="1"/>
  <c r="H76" i="1"/>
  <c r="I76" i="1" s="1"/>
  <c r="H75" i="1"/>
  <c r="I75" i="1" s="1"/>
  <c r="D60" i="58" s="1"/>
  <c r="H74" i="1"/>
  <c r="I74" i="1" s="1"/>
  <c r="H73" i="1"/>
  <c r="I73" i="1" s="1"/>
  <c r="H72" i="1"/>
  <c r="H71" i="1"/>
  <c r="I71" i="1" s="1"/>
  <c r="D58" i="58" s="1"/>
  <c r="H70" i="1"/>
  <c r="I70" i="1" s="1"/>
  <c r="D57" i="58" s="1"/>
  <c r="H69" i="1"/>
  <c r="H68" i="1"/>
  <c r="I68" i="1" s="1"/>
  <c r="D56" i="58" s="1"/>
  <c r="H67" i="1"/>
  <c r="I67" i="1" s="1"/>
  <c r="D55" i="58" s="1"/>
  <c r="H66" i="1"/>
  <c r="I66" i="1" s="1"/>
  <c r="D54" i="58" s="1"/>
  <c r="H65" i="1"/>
  <c r="I65" i="1" s="1"/>
  <c r="D53" i="58" s="1"/>
  <c r="F46" i="1"/>
  <c r="G19" i="3" s="1"/>
  <c r="F45" i="1"/>
  <c r="G12" i="3" s="1"/>
  <c r="F44" i="1"/>
  <c r="G18" i="3" s="1"/>
  <c r="F43" i="1"/>
  <c r="G14" i="3" s="1"/>
  <c r="F42" i="1"/>
  <c r="G8" i="3" s="1"/>
  <c r="F41" i="1"/>
  <c r="G13" i="3" s="1"/>
  <c r="F40" i="1"/>
  <c r="G11" i="3" s="1"/>
  <c r="F39" i="1"/>
  <c r="G15" i="3" s="1"/>
  <c r="F38" i="1"/>
  <c r="G16" i="3" s="1"/>
  <c r="F37" i="1"/>
  <c r="G17" i="3" s="1"/>
  <c r="F36" i="1"/>
  <c r="F35" i="1"/>
  <c r="G10" i="3" s="1"/>
  <c r="F62" i="1"/>
  <c r="F16" i="9" s="1"/>
  <c r="F61" i="1"/>
  <c r="G61" i="1" s="1"/>
  <c r="F57" i="1"/>
  <c r="F60" i="1"/>
  <c r="G60" i="1" s="1"/>
  <c r="F59" i="1"/>
  <c r="G59" i="1" s="1"/>
  <c r="F58" i="1"/>
  <c r="F56" i="1"/>
  <c r="G56" i="1" s="1"/>
  <c r="D24" i="58" s="1"/>
  <c r="F54" i="1"/>
  <c r="F11" i="9" s="1"/>
  <c r="F53" i="1"/>
  <c r="F55" i="1"/>
  <c r="F52" i="1"/>
  <c r="G52" i="1" s="1"/>
  <c r="D21" i="58" s="1"/>
  <c r="F28" i="1"/>
  <c r="F27" i="14" s="1"/>
  <c r="F27" i="1"/>
  <c r="F26" i="14" s="1"/>
  <c r="F26" i="1"/>
  <c r="F25" i="14" s="1"/>
  <c r="F24" i="1"/>
  <c r="F23" i="14" s="1"/>
  <c r="F23" i="1"/>
  <c r="F22" i="14" s="1"/>
  <c r="F22" i="1"/>
  <c r="F20" i="1"/>
  <c r="F22" i="4" s="1"/>
  <c r="F19" i="1"/>
  <c r="F18" i="1"/>
  <c r="F17" i="14" s="1"/>
  <c r="F17" i="1"/>
  <c r="F16" i="14" s="1"/>
  <c r="F16" i="1"/>
  <c r="F18" i="4" s="1"/>
  <c r="F14" i="1"/>
  <c r="F13" i="1"/>
  <c r="F15" i="4" s="1"/>
  <c r="F12" i="1"/>
  <c r="F11" i="14" s="1"/>
  <c r="F11" i="1"/>
  <c r="F13" i="4" s="1"/>
  <c r="F10" i="1"/>
  <c r="F9" i="1"/>
  <c r="F8" i="14" s="1"/>
  <c r="F8" i="1"/>
  <c r="F10" i="4" s="1"/>
  <c r="F7" i="1"/>
  <c r="B28" i="98"/>
  <c r="B29" i="98" s="1"/>
  <c r="B30" i="98" s="1"/>
  <c r="B31" i="98" s="1"/>
  <c r="A2687" i="61"/>
  <c r="F18" i="23"/>
  <c r="A8" i="61"/>
  <c r="A7" i="61"/>
  <c r="A5" i="61"/>
  <c r="A4" i="61"/>
  <c r="A3" i="61"/>
  <c r="A2" i="61"/>
  <c r="A342" i="61"/>
  <c r="A323" i="61"/>
  <c r="A2265" i="61"/>
  <c r="A2264" i="61"/>
  <c r="A2263" i="61"/>
  <c r="A2262" i="61"/>
  <c r="A2261" i="61"/>
  <c r="A2260" i="61"/>
  <c r="A2259" i="61"/>
  <c r="A2258" i="61"/>
  <c r="A2257" i="61"/>
  <c r="A2256" i="61"/>
  <c r="A2255" i="61"/>
  <c r="A2254" i="61"/>
  <c r="A2253" i="61"/>
  <c r="A2252" i="61"/>
  <c r="A2251" i="61"/>
  <c r="A2250" i="61"/>
  <c r="A2249" i="61"/>
  <c r="A2248" i="61"/>
  <c r="A2247" i="61"/>
  <c r="A2246" i="61"/>
  <c r="A2245" i="61"/>
  <c r="A2244" i="61"/>
  <c r="A2243" i="61"/>
  <c r="A2242" i="61"/>
  <c r="A2241" i="61"/>
  <c r="A2240" i="61"/>
  <c r="A2239" i="61"/>
  <c r="A2238" i="61"/>
  <c r="A2237" i="61"/>
  <c r="A2236" i="61"/>
  <c r="A2235" i="61"/>
  <c r="A2234" i="61"/>
  <c r="A2233" i="61"/>
  <c r="A2232" i="61"/>
  <c r="A2231" i="61"/>
  <c r="A2230" i="61"/>
  <c r="A2229" i="61"/>
  <c r="A2228" i="61"/>
  <c r="A2227" i="61"/>
  <c r="A2226" i="61"/>
  <c r="A2225" i="61"/>
  <c r="A2224" i="61"/>
  <c r="A2223" i="61"/>
  <c r="A2222" i="61"/>
  <c r="A2221" i="61"/>
  <c r="A2220" i="61"/>
  <c r="A2219" i="61"/>
  <c r="A2218" i="61"/>
  <c r="A2217" i="61"/>
  <c r="A2216" i="61"/>
  <c r="A2215" i="61"/>
  <c r="A2214" i="61"/>
  <c r="A2213" i="61"/>
  <c r="A2212" i="61"/>
  <c r="A2211" i="61"/>
  <c r="A2210" i="61"/>
  <c r="A2209" i="61"/>
  <c r="A2208" i="61"/>
  <c r="A2207" i="61"/>
  <c r="A2206" i="61"/>
  <c r="A2205" i="61"/>
  <c r="A2204" i="61"/>
  <c r="A2203" i="61"/>
  <c r="A2202" i="61"/>
  <c r="A2201" i="61"/>
  <c r="A2200" i="61"/>
  <c r="A2199" i="61"/>
  <c r="A2198" i="61"/>
  <c r="A2197" i="61"/>
  <c r="A2196" i="61"/>
  <c r="A2195" i="61"/>
  <c r="A2194" i="61"/>
  <c r="A2193" i="61"/>
  <c r="A2192" i="61"/>
  <c r="A2191" i="61"/>
  <c r="A2190" i="61"/>
  <c r="A2189" i="61"/>
  <c r="A2188" i="61"/>
  <c r="A2187" i="61"/>
  <c r="A2186" i="61"/>
  <c r="A2185" i="61"/>
  <c r="A2184" i="61"/>
  <c r="A2183" i="61"/>
  <c r="A2182" i="61"/>
  <c r="A2181" i="61"/>
  <c r="A2180" i="61"/>
  <c r="A2179" i="61"/>
  <c r="A2178" i="61"/>
  <c r="A2177" i="61"/>
  <c r="A2176" i="61"/>
  <c r="A2175" i="61"/>
  <c r="A2174" i="61"/>
  <c r="A2173" i="61"/>
  <c r="A2172" i="61"/>
  <c r="A2171" i="61"/>
  <c r="A2170" i="61"/>
  <c r="A2169" i="61"/>
  <c r="A2168" i="61"/>
  <c r="A2167" i="61"/>
  <c r="A2166" i="61"/>
  <c r="A2165" i="61"/>
  <c r="A2164" i="61"/>
  <c r="A2163" i="61"/>
  <c r="A2162" i="61"/>
  <c r="A2161" i="61"/>
  <c r="A2160" i="61"/>
  <c r="A2159" i="61"/>
  <c r="A2158" i="61"/>
  <c r="A2157" i="61"/>
  <c r="A2156" i="61"/>
  <c r="A2155" i="61"/>
  <c r="A2154" i="61"/>
  <c r="A2153" i="61"/>
  <c r="A2152" i="61"/>
  <c r="A2151" i="61"/>
  <c r="A2150" i="61"/>
  <c r="A2149" i="61"/>
  <c r="A2148" i="61"/>
  <c r="A2147" i="61"/>
  <c r="A2146" i="61"/>
  <c r="A2145" i="61"/>
  <c r="A2144" i="61"/>
  <c r="A2143" i="61"/>
  <c r="A2142" i="61"/>
  <c r="A2141" i="61"/>
  <c r="A2140" i="61"/>
  <c r="A2139" i="61"/>
  <c r="A2138" i="61"/>
  <c r="A2137" i="61"/>
  <c r="A2136" i="61"/>
  <c r="A2135" i="61"/>
  <c r="A2134" i="61"/>
  <c r="A2133" i="61"/>
  <c r="A2132" i="61"/>
  <c r="A2131" i="61"/>
  <c r="A2130" i="61"/>
  <c r="A2129" i="61"/>
  <c r="A2128" i="61"/>
  <c r="A2127" i="61"/>
  <c r="A2126" i="61"/>
  <c r="A2125" i="61"/>
  <c r="A2124" i="61"/>
  <c r="A2123" i="61"/>
  <c r="A2122" i="61"/>
  <c r="A2121" i="61"/>
  <c r="A2120" i="61"/>
  <c r="A2119" i="61"/>
  <c r="A2118" i="61"/>
  <c r="A2117" i="61"/>
  <c r="A2116" i="61"/>
  <c r="A2115" i="61"/>
  <c r="A2114" i="61"/>
  <c r="A2113" i="61"/>
  <c r="A2112" i="61"/>
  <c r="A2111" i="61"/>
  <c r="A2110" i="61"/>
  <c r="A2109" i="61"/>
  <c r="A2108" i="61"/>
  <c r="A2107" i="61"/>
  <c r="A2106" i="61"/>
  <c r="A2105" i="61"/>
  <c r="A2104" i="61"/>
  <c r="A2103" i="61"/>
  <c r="A2102" i="61"/>
  <c r="A2101" i="61"/>
  <c r="A2100" i="61"/>
  <c r="A2099" i="61"/>
  <c r="A2098" i="61"/>
  <c r="A2097" i="61"/>
  <c r="A2096" i="61"/>
  <c r="A2095" i="61"/>
  <c r="A2094" i="61"/>
  <c r="A2093" i="61"/>
  <c r="A2092" i="61"/>
  <c r="A2091" i="61"/>
  <c r="A2090" i="61"/>
  <c r="A2089" i="61"/>
  <c r="A2088" i="61"/>
  <c r="A2087" i="61"/>
  <c r="A2086" i="61"/>
  <c r="A2085" i="61"/>
  <c r="A2084" i="61"/>
  <c r="A2083" i="61"/>
  <c r="A2082" i="61"/>
  <c r="A2081" i="61"/>
  <c r="A2080" i="61"/>
  <c r="A2079" i="61"/>
  <c r="A2078" i="61"/>
  <c r="A2077" i="61"/>
  <c r="A2076" i="61"/>
  <c r="A2075" i="61"/>
  <c r="A2074" i="61"/>
  <c r="A2073" i="61"/>
  <c r="A2072" i="61"/>
  <c r="A2071" i="61"/>
  <c r="A2070" i="61"/>
  <c r="A2069" i="61"/>
  <c r="A2068" i="61"/>
  <c r="A2067" i="61"/>
  <c r="A2066" i="61"/>
  <c r="A2065" i="61"/>
  <c r="A2064" i="61"/>
  <c r="A2063" i="61"/>
  <c r="A2062" i="61"/>
  <c r="A2061" i="61"/>
  <c r="A2060" i="61"/>
  <c r="A2059" i="61"/>
  <c r="A2058" i="61"/>
  <c r="A2057" i="61"/>
  <c r="A2056" i="61"/>
  <c r="A2055" i="61"/>
  <c r="A2054" i="61"/>
  <c r="A2053" i="61"/>
  <c r="A2052" i="61"/>
  <c r="A2051" i="61"/>
  <c r="A2050" i="61"/>
  <c r="A2049" i="61"/>
  <c r="A2048" i="61"/>
  <c r="A2047" i="61"/>
  <c r="A2046" i="61"/>
  <c r="A2045" i="61"/>
  <c r="A2044" i="61"/>
  <c r="A2043" i="61"/>
  <c r="A2042" i="61"/>
  <c r="A2041" i="61"/>
  <c r="A2040" i="61"/>
  <c r="A2039" i="61"/>
  <c r="A2038" i="61"/>
  <c r="A2037" i="61"/>
  <c r="A2036" i="61"/>
  <c r="A2035" i="61"/>
  <c r="A2034" i="61"/>
  <c r="A2033" i="61"/>
  <c r="A2032" i="61"/>
  <c r="A2031" i="61"/>
  <c r="A2030" i="61"/>
  <c r="A2029" i="61"/>
  <c r="A2028" i="61"/>
  <c r="A2027" i="61"/>
  <c r="A2026" i="61"/>
  <c r="A2025" i="61"/>
  <c r="A2024" i="61"/>
  <c r="A2023" i="61"/>
  <c r="A2022" i="61"/>
  <c r="A2021" i="61"/>
  <c r="A2020" i="61"/>
  <c r="A2019" i="61"/>
  <c r="A2018" i="61"/>
  <c r="A2017" i="61"/>
  <c r="A2016" i="61"/>
  <c r="A2015" i="61"/>
  <c r="A2014" i="61"/>
  <c r="A2013" i="61"/>
  <c r="A2012" i="61"/>
  <c r="A2011" i="61"/>
  <c r="A2010" i="61"/>
  <c r="A2009" i="61"/>
  <c r="A2008" i="61"/>
  <c r="A2007" i="61"/>
  <c r="A2006" i="61"/>
  <c r="A2005" i="61"/>
  <c r="A2004" i="61"/>
  <c r="A2003" i="61"/>
  <c r="A2002" i="61"/>
  <c r="A2001" i="61"/>
  <c r="A2000" i="61"/>
  <c r="A1999" i="61"/>
  <c r="A1998" i="61"/>
  <c r="A1997" i="61"/>
  <c r="A1996" i="61"/>
  <c r="A1995" i="61"/>
  <c r="A1994" i="61"/>
  <c r="A1993" i="61"/>
  <c r="A1992" i="61"/>
  <c r="A1991" i="61"/>
  <c r="A1990" i="61"/>
  <c r="A1989" i="61"/>
  <c r="A1988" i="61"/>
  <c r="A1987" i="61"/>
  <c r="A1986" i="61"/>
  <c r="A1985" i="61"/>
  <c r="A1984" i="61"/>
  <c r="A1983" i="61"/>
  <c r="A1982" i="61"/>
  <c r="A1981" i="61"/>
  <c r="A1980" i="61"/>
  <c r="A1979" i="61"/>
  <c r="A1978" i="61"/>
  <c r="A1977" i="61"/>
  <c r="A1976" i="61"/>
  <c r="A1975" i="61"/>
  <c r="A1974" i="61"/>
  <c r="A1973" i="61"/>
  <c r="A1972" i="61"/>
  <c r="A1971" i="61"/>
  <c r="A1970" i="61"/>
  <c r="A1969" i="61"/>
  <c r="A1968" i="61"/>
  <c r="A1967" i="61"/>
  <c r="A1966" i="61"/>
  <c r="A1965" i="61"/>
  <c r="A1964" i="61"/>
  <c r="A1963" i="61"/>
  <c r="A1962" i="61"/>
  <c r="A1961" i="61"/>
  <c r="A1960" i="61"/>
  <c r="A1959" i="61"/>
  <c r="A1958" i="61"/>
  <c r="A1957" i="61"/>
  <c r="A1956" i="61"/>
  <c r="A1955" i="61"/>
  <c r="A1954" i="61"/>
  <c r="A1953" i="61"/>
  <c r="A1952" i="61"/>
  <c r="A1951" i="61"/>
  <c r="A1950" i="61"/>
  <c r="A1949" i="61"/>
  <c r="A1948" i="61"/>
  <c r="A1947" i="61"/>
  <c r="A1946" i="61"/>
  <c r="A1945" i="61"/>
  <c r="A1944" i="61"/>
  <c r="A1943" i="61"/>
  <c r="A1942" i="61"/>
  <c r="A1941" i="61"/>
  <c r="A1940" i="61"/>
  <c r="A1939" i="61"/>
  <c r="A1938" i="61"/>
  <c r="A1937" i="61"/>
  <c r="A1936" i="61"/>
  <c r="A1935" i="61"/>
  <c r="A1934" i="61"/>
  <c r="A1933" i="61"/>
  <c r="A1932" i="61"/>
  <c r="A1931" i="61"/>
  <c r="A1930" i="61"/>
  <c r="A1929" i="61"/>
  <c r="A1928" i="61"/>
  <c r="A1927" i="61"/>
  <c r="A1926" i="61"/>
  <c r="A1925" i="61"/>
  <c r="A1924" i="61"/>
  <c r="A1923" i="61"/>
  <c r="A1922" i="61"/>
  <c r="A1921" i="61"/>
  <c r="A1920" i="61"/>
  <c r="A1919" i="61"/>
  <c r="A1918" i="61"/>
  <c r="A1917" i="61"/>
  <c r="A1916" i="61"/>
  <c r="A1915" i="61"/>
  <c r="A1914" i="61"/>
  <c r="A1913" i="61"/>
  <c r="A1912" i="61"/>
  <c r="A1911" i="61"/>
  <c r="A1910" i="61"/>
  <c r="A1909" i="61"/>
  <c r="A1908" i="61"/>
  <c r="A1907" i="61"/>
  <c r="A1906" i="61"/>
  <c r="A1905" i="61"/>
  <c r="A1904" i="61"/>
  <c r="A1903" i="61"/>
  <c r="A1902" i="61"/>
  <c r="A1901" i="61"/>
  <c r="A1900" i="61"/>
  <c r="A1899" i="61"/>
  <c r="A1898" i="61"/>
  <c r="A1897" i="61"/>
  <c r="A1896" i="61"/>
  <c r="A1895" i="61"/>
  <c r="A1894" i="61"/>
  <c r="A1893" i="61"/>
  <c r="A1892" i="61"/>
  <c r="A1891" i="61"/>
  <c r="A1890" i="61"/>
  <c r="A1889" i="61"/>
  <c r="A1888" i="61"/>
  <c r="A1887" i="61"/>
  <c r="A1886" i="61"/>
  <c r="A1885" i="61"/>
  <c r="A1884" i="61"/>
  <c r="A1883" i="61"/>
  <c r="A1882" i="61"/>
  <c r="A1881" i="61"/>
  <c r="A1880" i="61"/>
  <c r="A1879" i="61"/>
  <c r="A1878" i="61"/>
  <c r="A1877" i="61"/>
  <c r="A1876" i="61"/>
  <c r="A1875" i="61"/>
  <c r="A1874" i="61"/>
  <c r="A1873" i="61"/>
  <c r="A1872" i="61"/>
  <c r="A1871" i="61"/>
  <c r="A1870" i="61"/>
  <c r="A1869" i="61"/>
  <c r="A1868" i="61"/>
  <c r="A1867" i="61"/>
  <c r="A1866" i="61"/>
  <c r="A1865" i="61"/>
  <c r="A1864" i="61"/>
  <c r="A1863" i="61"/>
  <c r="A1862" i="61"/>
  <c r="A1861" i="61"/>
  <c r="A1860" i="61"/>
  <c r="A1859" i="61"/>
  <c r="A1858" i="61"/>
  <c r="A1857" i="61"/>
  <c r="A1856" i="61"/>
  <c r="A1855" i="61"/>
  <c r="A1854" i="61"/>
  <c r="A1853" i="61"/>
  <c r="A1852" i="61"/>
  <c r="A1851" i="61"/>
  <c r="A1850" i="61"/>
  <c r="A1849" i="61"/>
  <c r="A1848" i="61"/>
  <c r="A1847" i="61"/>
  <c r="A1846" i="61"/>
  <c r="A1845" i="61"/>
  <c r="A1844" i="61"/>
  <c r="A1843" i="61"/>
  <c r="A1842" i="61"/>
  <c r="A1841" i="61"/>
  <c r="A1840" i="61"/>
  <c r="A1839" i="61"/>
  <c r="A1838" i="61"/>
  <c r="A1837" i="61"/>
  <c r="A1836" i="61"/>
  <c r="A1835" i="61"/>
  <c r="A1834" i="61"/>
  <c r="A1833" i="61"/>
  <c r="A1832" i="61"/>
  <c r="A1831" i="61"/>
  <c r="A1830" i="61"/>
  <c r="A1829" i="61"/>
  <c r="A1828" i="61"/>
  <c r="A1827" i="61"/>
  <c r="A1826" i="61"/>
  <c r="A1825" i="61"/>
  <c r="A1824" i="61"/>
  <c r="A1823" i="61"/>
  <c r="A1822" i="61"/>
  <c r="A1821" i="61"/>
  <c r="A1820" i="61"/>
  <c r="A1819" i="61"/>
  <c r="A1818" i="61"/>
  <c r="A1817" i="61"/>
  <c r="A1816" i="61"/>
  <c r="A1815" i="61"/>
  <c r="A1814" i="61"/>
  <c r="A1813" i="61"/>
  <c r="A1812" i="61"/>
  <c r="A1811" i="61"/>
  <c r="A1810" i="61"/>
  <c r="A1809" i="61"/>
  <c r="A1808" i="61"/>
  <c r="A1807" i="61"/>
  <c r="A1806" i="61"/>
  <c r="A1805" i="61"/>
  <c r="A1804" i="61"/>
  <c r="A1803" i="61"/>
  <c r="A1802" i="61"/>
  <c r="A1801" i="61"/>
  <c r="A1800" i="61"/>
  <c r="A1799" i="61"/>
  <c r="A1798" i="61"/>
  <c r="A1797" i="61"/>
  <c r="A1796" i="61"/>
  <c r="A1795" i="61"/>
  <c r="A1794" i="61"/>
  <c r="A1793" i="61"/>
  <c r="A1792" i="61"/>
  <c r="A1791" i="61"/>
  <c r="A1790" i="61"/>
  <c r="A1789" i="61"/>
  <c r="A1788" i="61"/>
  <c r="A1787" i="61"/>
  <c r="A1786" i="61"/>
  <c r="A1785" i="61"/>
  <c r="A1784" i="61"/>
  <c r="A1783" i="61"/>
  <c r="A1782" i="61"/>
  <c r="A1781" i="61"/>
  <c r="A1780" i="61"/>
  <c r="A1779" i="61"/>
  <c r="A1778" i="61"/>
  <c r="A1777" i="61"/>
  <c r="A1776" i="61"/>
  <c r="A1775" i="61"/>
  <c r="A1774" i="61"/>
  <c r="A1773" i="61"/>
  <c r="A1772" i="61"/>
  <c r="A1771" i="61"/>
  <c r="A1770" i="61"/>
  <c r="A1769" i="61"/>
  <c r="A1768" i="61"/>
  <c r="A1767" i="61"/>
  <c r="A1766" i="61"/>
  <c r="A1765" i="61"/>
  <c r="A1764" i="61"/>
  <c r="A1763" i="61"/>
  <c r="A1762" i="61"/>
  <c r="A1761" i="61"/>
  <c r="A1760" i="61"/>
  <c r="A1759" i="61"/>
  <c r="A1758" i="61"/>
  <c r="A1757" i="61"/>
  <c r="A1756" i="61"/>
  <c r="A1755" i="61"/>
  <c r="A1754" i="61"/>
  <c r="A1753" i="61"/>
  <c r="A1752" i="61"/>
  <c r="A1751" i="61"/>
  <c r="A1750" i="61"/>
  <c r="A1749" i="61"/>
  <c r="A1748" i="61"/>
  <c r="A1747" i="61"/>
  <c r="A1746" i="61"/>
  <c r="A1745" i="61"/>
  <c r="A1744" i="61"/>
  <c r="A1743" i="61"/>
  <c r="A1742" i="61"/>
  <c r="A1741" i="61"/>
  <c r="A1740" i="61"/>
  <c r="A1739" i="61"/>
  <c r="A1738" i="61"/>
  <c r="A1737" i="61"/>
  <c r="A1736" i="61"/>
  <c r="A1735" i="61"/>
  <c r="A1734" i="61"/>
  <c r="A1733" i="61"/>
  <c r="A1732" i="61"/>
  <c r="A1731" i="61"/>
  <c r="A1730" i="61"/>
  <c r="A1729" i="61"/>
  <c r="A1728" i="61"/>
  <c r="A1727" i="61"/>
  <c r="A1726" i="61"/>
  <c r="A1725" i="61"/>
  <c r="A1724" i="61"/>
  <c r="A1723" i="61"/>
  <c r="A1722" i="61"/>
  <c r="A1721" i="61"/>
  <c r="A1720" i="61"/>
  <c r="A1719" i="61"/>
  <c r="A1718" i="61"/>
  <c r="A1717" i="61"/>
  <c r="A1716" i="61"/>
  <c r="A1715" i="61"/>
  <c r="A1714" i="61"/>
  <c r="A1713" i="61"/>
  <c r="A1712" i="61"/>
  <c r="A1711" i="61"/>
  <c r="A1710" i="61"/>
  <c r="A1709" i="61"/>
  <c r="A1708" i="61"/>
  <c r="A1707" i="61"/>
  <c r="A1706" i="61"/>
  <c r="A1705" i="61"/>
  <c r="A1704" i="61"/>
  <c r="A1703" i="61"/>
  <c r="A1702" i="61"/>
  <c r="A1701" i="61"/>
  <c r="A1700" i="61"/>
  <c r="A1699" i="61"/>
  <c r="A1698" i="61"/>
  <c r="A1697" i="61"/>
  <c r="A1696" i="61"/>
  <c r="A1695" i="61"/>
  <c r="A1694" i="61"/>
  <c r="A1693" i="61"/>
  <c r="A1692" i="61"/>
  <c r="A1691" i="61"/>
  <c r="A1690" i="61"/>
  <c r="A1689" i="61"/>
  <c r="A1688" i="61"/>
  <c r="A1687" i="61"/>
  <c r="A1686" i="61"/>
  <c r="A1685" i="61"/>
  <c r="A1684" i="61"/>
  <c r="A1683" i="61"/>
  <c r="A1682" i="61"/>
  <c r="A1681" i="61"/>
  <c r="A1680" i="61"/>
  <c r="A1679" i="61"/>
  <c r="A1678" i="61"/>
  <c r="A1677" i="61"/>
  <c r="A1676" i="61"/>
  <c r="A1675" i="61"/>
  <c r="A1674" i="61"/>
  <c r="A1673" i="61"/>
  <c r="A1672" i="61"/>
  <c r="A1671" i="61"/>
  <c r="A1670" i="61"/>
  <c r="A1669" i="61"/>
  <c r="A1668" i="61"/>
  <c r="A1667" i="61"/>
  <c r="A1666" i="61"/>
  <c r="A1665" i="61"/>
  <c r="A1664" i="61"/>
  <c r="A1663" i="61"/>
  <c r="A1662" i="61"/>
  <c r="A1661" i="61"/>
  <c r="A1660" i="61"/>
  <c r="A1659" i="61"/>
  <c r="A1658" i="61"/>
  <c r="A1657" i="61"/>
  <c r="A1656" i="61"/>
  <c r="A1655" i="61"/>
  <c r="A1654" i="61"/>
  <c r="A1653" i="61"/>
  <c r="A1652" i="61"/>
  <c r="A1651" i="61"/>
  <c r="A1650" i="61"/>
  <c r="A1649" i="61"/>
  <c r="A1648" i="61"/>
  <c r="A1647" i="61"/>
  <c r="A1646" i="61"/>
  <c r="A1645" i="61"/>
  <c r="A1644" i="61"/>
  <c r="A1643" i="61"/>
  <c r="A1642" i="61"/>
  <c r="A1641" i="61"/>
  <c r="A1640" i="61"/>
  <c r="A1639" i="61"/>
  <c r="A1638" i="61"/>
  <c r="A1637" i="61"/>
  <c r="A1636" i="61"/>
  <c r="A1635" i="61"/>
  <c r="A1634" i="61"/>
  <c r="A1633" i="61"/>
  <c r="A1632" i="61"/>
  <c r="A1631" i="61"/>
  <c r="A1630" i="61"/>
  <c r="A1629" i="61"/>
  <c r="A1628" i="61"/>
  <c r="A1627" i="61"/>
  <c r="A1626" i="61"/>
  <c r="A1625" i="61"/>
  <c r="A1624" i="61"/>
  <c r="A1623" i="61"/>
  <c r="A1622" i="61"/>
  <c r="A1621" i="61"/>
  <c r="A1620" i="61"/>
  <c r="A1619" i="61"/>
  <c r="A1618" i="61"/>
  <c r="A1617" i="61"/>
  <c r="A1616" i="61"/>
  <c r="A1615" i="61"/>
  <c r="A1614" i="61"/>
  <c r="A1613" i="61"/>
  <c r="A1612" i="61"/>
  <c r="A1611" i="61"/>
  <c r="A1610" i="61"/>
  <c r="A1609" i="61"/>
  <c r="A1608" i="61"/>
  <c r="A1607" i="61"/>
  <c r="A1606" i="61"/>
  <c r="A1605" i="61"/>
  <c r="A1604" i="61"/>
  <c r="A1603" i="61"/>
  <c r="A1602" i="61"/>
  <c r="A1601" i="61"/>
  <c r="A1600" i="61"/>
  <c r="A1599" i="61"/>
  <c r="A1598" i="61"/>
  <c r="A1597" i="61"/>
  <c r="A1596" i="61"/>
  <c r="A1595" i="61"/>
  <c r="A1594" i="61"/>
  <c r="A1593" i="61"/>
  <c r="A1592" i="61"/>
  <c r="A1591" i="61"/>
  <c r="A1590" i="61"/>
  <c r="A1589" i="61"/>
  <c r="A1588" i="61"/>
  <c r="A1587" i="61"/>
  <c r="A1586" i="61"/>
  <c r="A1585" i="61"/>
  <c r="A1584" i="61"/>
  <c r="A1583" i="61"/>
  <c r="A1582" i="61"/>
  <c r="A1581" i="61"/>
  <c r="A1580" i="61"/>
  <c r="A1579" i="61"/>
  <c r="A1578" i="61"/>
  <c r="A1577" i="61"/>
  <c r="A1576" i="61"/>
  <c r="A1575" i="61"/>
  <c r="A1574" i="61"/>
  <c r="A1573" i="61"/>
  <c r="A1572" i="61"/>
  <c r="A1571" i="61"/>
  <c r="A1570" i="61"/>
  <c r="A1569" i="61"/>
  <c r="A1568" i="61"/>
  <c r="A1567" i="61"/>
  <c r="A1566" i="61"/>
  <c r="A1565" i="61"/>
  <c r="A1564" i="61"/>
  <c r="A1563" i="61"/>
  <c r="A1562" i="61"/>
  <c r="A1561" i="61"/>
  <c r="A1560" i="61"/>
  <c r="A1559" i="61"/>
  <c r="A1558" i="61"/>
  <c r="A1557" i="61"/>
  <c r="A1556" i="61"/>
  <c r="A1555" i="61"/>
  <c r="A1554" i="61"/>
  <c r="A1553" i="61"/>
  <c r="A1552" i="61"/>
  <c r="A1551" i="61"/>
  <c r="A1550" i="61"/>
  <c r="A1549" i="61"/>
  <c r="A1548" i="61"/>
  <c r="A1547" i="61"/>
  <c r="A1546" i="61"/>
  <c r="A1545" i="61"/>
  <c r="A1544" i="61"/>
  <c r="A1543" i="61"/>
  <c r="A1542" i="61"/>
  <c r="A1541" i="61"/>
  <c r="A1540" i="61"/>
  <c r="A1539" i="61"/>
  <c r="A1538" i="61"/>
  <c r="A1537" i="61"/>
  <c r="A1536" i="61"/>
  <c r="A1535" i="61"/>
  <c r="A1534" i="61"/>
  <c r="A1533" i="61"/>
  <c r="A1532" i="61"/>
  <c r="A1531" i="61"/>
  <c r="A1530" i="61"/>
  <c r="A1529" i="61"/>
  <c r="A1528" i="61"/>
  <c r="A1527" i="61"/>
  <c r="A1526" i="61"/>
  <c r="A1525" i="61"/>
  <c r="A1524" i="61"/>
  <c r="A1523" i="61"/>
  <c r="A1522" i="61"/>
  <c r="A1521" i="61"/>
  <c r="A1520" i="61"/>
  <c r="A1519" i="61"/>
  <c r="A1518" i="61"/>
  <c r="A1517" i="61"/>
  <c r="A1516" i="61"/>
  <c r="A1515" i="61"/>
  <c r="A1514" i="61"/>
  <c r="A1513" i="61"/>
  <c r="A1512" i="61"/>
  <c r="A1511" i="61"/>
  <c r="A1510" i="61"/>
  <c r="A1509" i="61"/>
  <c r="A1508" i="61"/>
  <c r="A1507" i="61"/>
  <c r="A1506" i="61"/>
  <c r="A1505" i="61"/>
  <c r="A1504" i="61"/>
  <c r="A1503" i="61"/>
  <c r="A1502" i="61"/>
  <c r="A1501" i="61"/>
  <c r="A1500" i="61"/>
  <c r="A1499" i="61"/>
  <c r="A1498" i="61"/>
  <c r="A1497" i="61"/>
  <c r="A1496" i="61"/>
  <c r="A1495" i="61"/>
  <c r="A1494" i="61"/>
  <c r="A1493" i="61"/>
  <c r="A1492" i="61"/>
  <c r="A1491" i="61"/>
  <c r="A1490" i="61"/>
  <c r="A1489" i="61"/>
  <c r="A1488" i="61"/>
  <c r="A1487" i="61"/>
  <c r="A1486" i="61"/>
  <c r="A1485" i="61"/>
  <c r="A1484" i="61"/>
  <c r="A1483" i="61"/>
  <c r="A1482" i="61"/>
  <c r="A1481" i="61"/>
  <c r="A1480" i="61"/>
  <c r="A1479" i="61"/>
  <c r="A1478" i="61"/>
  <c r="A1477" i="61"/>
  <c r="A1476" i="61"/>
  <c r="A1475" i="61"/>
  <c r="A1474" i="61"/>
  <c r="A1473" i="61"/>
  <c r="A1472" i="61"/>
  <c r="A1471" i="61"/>
  <c r="A1470" i="61"/>
  <c r="A1469" i="61"/>
  <c r="A1468" i="61"/>
  <c r="A1467" i="61"/>
  <c r="A1466" i="61"/>
  <c r="A1465" i="61"/>
  <c r="A1464" i="61"/>
  <c r="A1463" i="61"/>
  <c r="A1462" i="61"/>
  <c r="A1461" i="61"/>
  <c r="A1460" i="61"/>
  <c r="A1459" i="61"/>
  <c r="A1458" i="61"/>
  <c r="A1457" i="61"/>
  <c r="A1456" i="61"/>
  <c r="A1455" i="61"/>
  <c r="A1454" i="61"/>
  <c r="A1453" i="61"/>
  <c r="A1452" i="61"/>
  <c r="A1451" i="61"/>
  <c r="A1450" i="61"/>
  <c r="A1449" i="61"/>
  <c r="A1448" i="61"/>
  <c r="A1447" i="61"/>
  <c r="A1446" i="61"/>
  <c r="A1445" i="61"/>
  <c r="A1444" i="61"/>
  <c r="A1443" i="61"/>
  <c r="A1442" i="61"/>
  <c r="A1441" i="61"/>
  <c r="A1440" i="61"/>
  <c r="A1439" i="61"/>
  <c r="A1438" i="61"/>
  <c r="A1437" i="61"/>
  <c r="A1436" i="61"/>
  <c r="A1435" i="61"/>
  <c r="A1434" i="61"/>
  <c r="A1433" i="61"/>
  <c r="A1432" i="61"/>
  <c r="A1431" i="61"/>
  <c r="A1430" i="61"/>
  <c r="A1429" i="61"/>
  <c r="A1428" i="61"/>
  <c r="A1427" i="61"/>
  <c r="A1426" i="61"/>
  <c r="A1425" i="61"/>
  <c r="A1424" i="61"/>
  <c r="A1423" i="61"/>
  <c r="A1422" i="61"/>
  <c r="A1421" i="61"/>
  <c r="A1420" i="61"/>
  <c r="A1419" i="61"/>
  <c r="A1418" i="61"/>
  <c r="A1417" i="61"/>
  <c r="A1416" i="61"/>
  <c r="A1415" i="61"/>
  <c r="A1414" i="61"/>
  <c r="A1413" i="61"/>
  <c r="A1412" i="61"/>
  <c r="A1411" i="61"/>
  <c r="A1410" i="61"/>
  <c r="A1409" i="61"/>
  <c r="A1408" i="61"/>
  <c r="A1407" i="61"/>
  <c r="A1406" i="61"/>
  <c r="A1405" i="61"/>
  <c r="A1404" i="61"/>
  <c r="A1403" i="61"/>
  <c r="A1402" i="61"/>
  <c r="A1401" i="61"/>
  <c r="A1400" i="61"/>
  <c r="A1399" i="61"/>
  <c r="A1398" i="61"/>
  <c r="A1397" i="61"/>
  <c r="A1396" i="61"/>
  <c r="A1395" i="61"/>
  <c r="A1394" i="61"/>
  <c r="A1393" i="61"/>
  <c r="A1392" i="61"/>
  <c r="A1391" i="61"/>
  <c r="A1390" i="61"/>
  <c r="A1389" i="61"/>
  <c r="A1388" i="61"/>
  <c r="A1387" i="61"/>
  <c r="A1386" i="61"/>
  <c r="A1385" i="61"/>
  <c r="A1384" i="61"/>
  <c r="A1383" i="61"/>
  <c r="A1382" i="61"/>
  <c r="A1381" i="61"/>
  <c r="A1380" i="61"/>
  <c r="A1379" i="61"/>
  <c r="A1378" i="61"/>
  <c r="A1377" i="61"/>
  <c r="A1376" i="61"/>
  <c r="A1375" i="61"/>
  <c r="A1374" i="61"/>
  <c r="A1373" i="61"/>
  <c r="A1372" i="61"/>
  <c r="A1371" i="61"/>
  <c r="A1370" i="61"/>
  <c r="A1369" i="61"/>
  <c r="A1368" i="61"/>
  <c r="A1367" i="61"/>
  <c r="A1366" i="61"/>
  <c r="A1365" i="61"/>
  <c r="A1364" i="61"/>
  <c r="A1363" i="61"/>
  <c r="A1362" i="61"/>
  <c r="A1361" i="61"/>
  <c r="A1360" i="61"/>
  <c r="A1359" i="61"/>
  <c r="A1358" i="61"/>
  <c r="A1357" i="61"/>
  <c r="A1356" i="61"/>
  <c r="A1355" i="61"/>
  <c r="A1354" i="61"/>
  <c r="A1353" i="61"/>
  <c r="A1352" i="61"/>
  <c r="A1351" i="61"/>
  <c r="A1350" i="61"/>
  <c r="A1349" i="61"/>
  <c r="A1348" i="61"/>
  <c r="A1347" i="61"/>
  <c r="A1346" i="61"/>
  <c r="A1345" i="61"/>
  <c r="A1344" i="61"/>
  <c r="A1343" i="61"/>
  <c r="A1342" i="61"/>
  <c r="A1341" i="61"/>
  <c r="A1340" i="61"/>
  <c r="A1339" i="61"/>
  <c r="A1338" i="61"/>
  <c r="A1337" i="61"/>
  <c r="A1336" i="61"/>
  <c r="A1335" i="61"/>
  <c r="A1334" i="61"/>
  <c r="A1333" i="61"/>
  <c r="A1332" i="61"/>
  <c r="A1331" i="61"/>
  <c r="A1330" i="61"/>
  <c r="A1329" i="61"/>
  <c r="A1328" i="61"/>
  <c r="A1327" i="61"/>
  <c r="A1326" i="61"/>
  <c r="A1325" i="61"/>
  <c r="A1324" i="61"/>
  <c r="A1323" i="61"/>
  <c r="A1322" i="61"/>
  <c r="A1321" i="61"/>
  <c r="A1320" i="61"/>
  <c r="A1319" i="61"/>
  <c r="A1318" i="61"/>
  <c r="A1317" i="61"/>
  <c r="A1316" i="61"/>
  <c r="A1315" i="61"/>
  <c r="A1314" i="61"/>
  <c r="A1313" i="61"/>
  <c r="A1312" i="61"/>
  <c r="A1311" i="61"/>
  <c r="A1310" i="61"/>
  <c r="A1309" i="61"/>
  <c r="A1308" i="61"/>
  <c r="A1307" i="61"/>
  <c r="A1306" i="61"/>
  <c r="A1305" i="61"/>
  <c r="A1304" i="61"/>
  <c r="A1303" i="61"/>
  <c r="A1302" i="61"/>
  <c r="A1301" i="61"/>
  <c r="A1300" i="61"/>
  <c r="A1299" i="61"/>
  <c r="A1298" i="61"/>
  <c r="A1297" i="61"/>
  <c r="A1296" i="61"/>
  <c r="A1295" i="61"/>
  <c r="A1294" i="61"/>
  <c r="A1293" i="61"/>
  <c r="A1292" i="61"/>
  <c r="A1291" i="61"/>
  <c r="A1290" i="61"/>
  <c r="A1289" i="61"/>
  <c r="A1288" i="61"/>
  <c r="A1287" i="61"/>
  <c r="A1286" i="61"/>
  <c r="A1285" i="61"/>
  <c r="A1284" i="61"/>
  <c r="A1283" i="61"/>
  <c r="A1282" i="61"/>
  <c r="A1281" i="61"/>
  <c r="A1280" i="61"/>
  <c r="A1279" i="61"/>
  <c r="A1278" i="61"/>
  <c r="A1277" i="61"/>
  <c r="A1276" i="61"/>
  <c r="A1275" i="61"/>
  <c r="A1274" i="61"/>
  <c r="A1273" i="61"/>
  <c r="A1272" i="61"/>
  <c r="A1271" i="61"/>
  <c r="A1270" i="61"/>
  <c r="A1269" i="61"/>
  <c r="A1268" i="61"/>
  <c r="A1267" i="61"/>
  <c r="A1266" i="61"/>
  <c r="A1265" i="61"/>
  <c r="A1264" i="61"/>
  <c r="A1263" i="61"/>
  <c r="A1262" i="61"/>
  <c r="A1261" i="61"/>
  <c r="A1260" i="61"/>
  <c r="A1259" i="61"/>
  <c r="A1258" i="61"/>
  <c r="A1257" i="61"/>
  <c r="A1256" i="61"/>
  <c r="A1255" i="61"/>
  <c r="A1254" i="61"/>
  <c r="A1253" i="61"/>
  <c r="A1252" i="61"/>
  <c r="A1251" i="61"/>
  <c r="A1250" i="61"/>
  <c r="A1249" i="61"/>
  <c r="A1248" i="61"/>
  <c r="A1247" i="61"/>
  <c r="A1246" i="61"/>
  <c r="A1245" i="61"/>
  <c r="A1244" i="61"/>
  <c r="A1243" i="61"/>
  <c r="A1242" i="61"/>
  <c r="A1241" i="61"/>
  <c r="A1240" i="61"/>
  <c r="A1239" i="61"/>
  <c r="A1238" i="61"/>
  <c r="A1237" i="61"/>
  <c r="A1236" i="61"/>
  <c r="A1235" i="61"/>
  <c r="A1234" i="61"/>
  <c r="A1233" i="61"/>
  <c r="A1232" i="61"/>
  <c r="A1231" i="61"/>
  <c r="A1230" i="61"/>
  <c r="A1229" i="61"/>
  <c r="A1228" i="61"/>
  <c r="A1227" i="61"/>
  <c r="A1226" i="61"/>
  <c r="A1225" i="61"/>
  <c r="A1224" i="61"/>
  <c r="A1223" i="61"/>
  <c r="A1222" i="61"/>
  <c r="A1221" i="61"/>
  <c r="A1220" i="61"/>
  <c r="A1219" i="61"/>
  <c r="A1218" i="61"/>
  <c r="A1217" i="61"/>
  <c r="A1216" i="61"/>
  <c r="A1215" i="61"/>
  <c r="A1214" i="61"/>
  <c r="A1213" i="61"/>
  <c r="A1212" i="61"/>
  <c r="A1211" i="61"/>
  <c r="A1210" i="61"/>
  <c r="A1209" i="61"/>
  <c r="A1208" i="61"/>
  <c r="A1207" i="61"/>
  <c r="A1206" i="61"/>
  <c r="A1205" i="61"/>
  <c r="A1204" i="61"/>
  <c r="A1203" i="61"/>
  <c r="A1202" i="61"/>
  <c r="A1201" i="61"/>
  <c r="A1200" i="61"/>
  <c r="A1199" i="61"/>
  <c r="A1198" i="61"/>
  <c r="A1197" i="61"/>
  <c r="A1196" i="61"/>
  <c r="A1195" i="61"/>
  <c r="A1194" i="61"/>
  <c r="A1193" i="61"/>
  <c r="A1192" i="61"/>
  <c r="A1191" i="61"/>
  <c r="A1190" i="61"/>
  <c r="A1189" i="61"/>
  <c r="A1188" i="61"/>
  <c r="A1187" i="61"/>
  <c r="A1186" i="61"/>
  <c r="A1185" i="61"/>
  <c r="A1184" i="61"/>
  <c r="A1183" i="61"/>
  <c r="A1182" i="61"/>
  <c r="A1181" i="61"/>
  <c r="A1180" i="61"/>
  <c r="A1179" i="61"/>
  <c r="A1178" i="61"/>
  <c r="A1177" i="61"/>
  <c r="A1176" i="61"/>
  <c r="A1175" i="61"/>
  <c r="A1174" i="61"/>
  <c r="A1173" i="61"/>
  <c r="A1172" i="61"/>
  <c r="A1171" i="61"/>
  <c r="A1170" i="61"/>
  <c r="A1169" i="61"/>
  <c r="A1168" i="61"/>
  <c r="A1167" i="61"/>
  <c r="A1166" i="61"/>
  <c r="A1165" i="61"/>
  <c r="A1164" i="61"/>
  <c r="A1163" i="61"/>
  <c r="A1162" i="61"/>
  <c r="A1161" i="61"/>
  <c r="A1160" i="61"/>
  <c r="A1159" i="61"/>
  <c r="A1158" i="61"/>
  <c r="A1157" i="61"/>
  <c r="A1156" i="61"/>
  <c r="A1155" i="61"/>
  <c r="A1154" i="61"/>
  <c r="A1153" i="61"/>
  <c r="A1152" i="61"/>
  <c r="A1151" i="61"/>
  <c r="A1150" i="61"/>
  <c r="A1149" i="61"/>
  <c r="A1148" i="61"/>
  <c r="A1147" i="61"/>
  <c r="A1146" i="61"/>
  <c r="A1145" i="61"/>
  <c r="A1144" i="61"/>
  <c r="A1143" i="61"/>
  <c r="A1142" i="61"/>
  <c r="A1141" i="61"/>
  <c r="A1140" i="61"/>
  <c r="A1139" i="61"/>
  <c r="A1138" i="61"/>
  <c r="A1137" i="61"/>
  <c r="A1136" i="61"/>
  <c r="A1135" i="61"/>
  <c r="A1134" i="61"/>
  <c r="A1133" i="61"/>
  <c r="A1132" i="61"/>
  <c r="A1131" i="61"/>
  <c r="A1130" i="61"/>
  <c r="A1129" i="61"/>
  <c r="A1128" i="61"/>
  <c r="A1127" i="61"/>
  <c r="A1126" i="61"/>
  <c r="A1125" i="61"/>
  <c r="A1124" i="61"/>
  <c r="A1123" i="61"/>
  <c r="A1122" i="61"/>
  <c r="A1121" i="61"/>
  <c r="A1120" i="61"/>
  <c r="A1119" i="61"/>
  <c r="A1118" i="61"/>
  <c r="A1117" i="61"/>
  <c r="A1116" i="61"/>
  <c r="A1115" i="61"/>
  <c r="A1114" i="61"/>
  <c r="A1113" i="61"/>
  <c r="A1112" i="61"/>
  <c r="A1111" i="61"/>
  <c r="A1110" i="61"/>
  <c r="A1109" i="61"/>
  <c r="A1108" i="61"/>
  <c r="A1107" i="61"/>
  <c r="A1106" i="61"/>
  <c r="A1105" i="61"/>
  <c r="A1104" i="61"/>
  <c r="A1103" i="61"/>
  <c r="A1102" i="61"/>
  <c r="A1101" i="61"/>
  <c r="A1100" i="61"/>
  <c r="A1099" i="61"/>
  <c r="A1098" i="61"/>
  <c r="A1097" i="61"/>
  <c r="A1096" i="61"/>
  <c r="A1095" i="61"/>
  <c r="A1094" i="61"/>
  <c r="A1093" i="61"/>
  <c r="A1092" i="61"/>
  <c r="A1091" i="61"/>
  <c r="A1090" i="61"/>
  <c r="A1089" i="61"/>
  <c r="A1088" i="61"/>
  <c r="A1087" i="61"/>
  <c r="A1086" i="61"/>
  <c r="A1085" i="61"/>
  <c r="A1084" i="61"/>
  <c r="A1083" i="61"/>
  <c r="A1082" i="61"/>
  <c r="A1081" i="61"/>
  <c r="A1080" i="61"/>
  <c r="A1079" i="61"/>
  <c r="A1078" i="61"/>
  <c r="A1077" i="61"/>
  <c r="A1076" i="61"/>
  <c r="A1075" i="61"/>
  <c r="A1074" i="61"/>
  <c r="A1073" i="61"/>
  <c r="A1072" i="61"/>
  <c r="A1071" i="61"/>
  <c r="A1070" i="61"/>
  <c r="A1069" i="61"/>
  <c r="A1068" i="61"/>
  <c r="A1067" i="61"/>
  <c r="A1066" i="61"/>
  <c r="A1065" i="61"/>
  <c r="A1064" i="61"/>
  <c r="A1063" i="61"/>
  <c r="A1062" i="61"/>
  <c r="A1061" i="61"/>
  <c r="A1060" i="61"/>
  <c r="A1059" i="61"/>
  <c r="A1058" i="61"/>
  <c r="A1057" i="61"/>
  <c r="A1056" i="61"/>
  <c r="A1055" i="61"/>
  <c r="A1054" i="61"/>
  <c r="A1053" i="61"/>
  <c r="A1052" i="61"/>
  <c r="A1051" i="61"/>
  <c r="A1050" i="61"/>
  <c r="A1049" i="61"/>
  <c r="A1048" i="61"/>
  <c r="A1047" i="61"/>
  <c r="A1046" i="61"/>
  <c r="A1045" i="61"/>
  <c r="A1044" i="61"/>
  <c r="A1043" i="61"/>
  <c r="A1042" i="61"/>
  <c r="A1041" i="61"/>
  <c r="A1040" i="61"/>
  <c r="A1039" i="61"/>
  <c r="A1038" i="61"/>
  <c r="A1037" i="61"/>
  <c r="A1036" i="61"/>
  <c r="A1035" i="61"/>
  <c r="A1034" i="61"/>
  <c r="A1033" i="61"/>
  <c r="A1032" i="61"/>
  <c r="A1031" i="61"/>
  <c r="A1030" i="61"/>
  <c r="A1029" i="61"/>
  <c r="A1028" i="61"/>
  <c r="A1027" i="61"/>
  <c r="A1026" i="61"/>
  <c r="A1025" i="61"/>
  <c r="A1024" i="61"/>
  <c r="A1023" i="61"/>
  <c r="A1022" i="61"/>
  <c r="A1021" i="61"/>
  <c r="A1020" i="61"/>
  <c r="A1019" i="61"/>
  <c r="A1018" i="61"/>
  <c r="A1017" i="61"/>
  <c r="A1016" i="61"/>
  <c r="A1015" i="61"/>
  <c r="A1014" i="61"/>
  <c r="A1013" i="61"/>
  <c r="A1012" i="61"/>
  <c r="A1011" i="61"/>
  <c r="A1010" i="61"/>
  <c r="A1009" i="61"/>
  <c r="A1008" i="61"/>
  <c r="A1007" i="61"/>
  <c r="A1006" i="61"/>
  <c r="A1005" i="61"/>
  <c r="A1004" i="61"/>
  <c r="A1003" i="61"/>
  <c r="A1002" i="61"/>
  <c r="A1001" i="61"/>
  <c r="A1000" i="61"/>
  <c r="A999" i="61"/>
  <c r="A998" i="61"/>
  <c r="A997" i="61"/>
  <c r="A996" i="61"/>
  <c r="A995" i="61"/>
  <c r="A994" i="61"/>
  <c r="A993" i="61"/>
  <c r="A992" i="61"/>
  <c r="A991" i="61"/>
  <c r="A990" i="61"/>
  <c r="A989" i="61"/>
  <c r="A988" i="61"/>
  <c r="A987" i="61"/>
  <c r="A986" i="61"/>
  <c r="A985" i="61"/>
  <c r="A984" i="61"/>
  <c r="A983" i="61"/>
  <c r="A982" i="61"/>
  <c r="A981" i="61"/>
  <c r="A980" i="61"/>
  <c r="A979" i="61"/>
  <c r="A978" i="61"/>
  <c r="A977" i="61"/>
  <c r="A976" i="61"/>
  <c r="A975" i="61"/>
  <c r="A974" i="61"/>
  <c r="A973" i="61"/>
  <c r="A972" i="61"/>
  <c r="A971" i="61"/>
  <c r="A970" i="61"/>
  <c r="A969" i="61"/>
  <c r="A968" i="61"/>
  <c r="A967" i="61"/>
  <c r="A966" i="61"/>
  <c r="A965" i="61"/>
  <c r="A964" i="61"/>
  <c r="A963" i="61"/>
  <c r="A962" i="61"/>
  <c r="A961" i="61"/>
  <c r="A960" i="61"/>
  <c r="A959" i="61"/>
  <c r="A958" i="61"/>
  <c r="A957" i="61"/>
  <c r="A956" i="61"/>
  <c r="A955" i="61"/>
  <c r="A954" i="61"/>
  <c r="A953" i="61"/>
  <c r="A952" i="61"/>
  <c r="A951" i="61"/>
  <c r="A950" i="61"/>
  <c r="A949" i="61"/>
  <c r="A948" i="61"/>
  <c r="A947" i="61"/>
  <c r="A946" i="61"/>
  <c r="A945" i="61"/>
  <c r="A944" i="61"/>
  <c r="A943" i="61"/>
  <c r="A942" i="61"/>
  <c r="A941" i="61"/>
  <c r="A940" i="61"/>
  <c r="A939" i="61"/>
  <c r="A938" i="61"/>
  <c r="A937" i="61"/>
  <c r="A936" i="61"/>
  <c r="A935" i="61"/>
  <c r="A934" i="61"/>
  <c r="A933" i="61"/>
  <c r="A932" i="61"/>
  <c r="A931" i="61"/>
  <c r="A930" i="61"/>
  <c r="A929" i="61"/>
  <c r="A928" i="61"/>
  <c r="A927" i="61"/>
  <c r="A926" i="61"/>
  <c r="A925" i="61"/>
  <c r="A924" i="61"/>
  <c r="A923" i="61"/>
  <c r="A922" i="61"/>
  <c r="A921" i="61"/>
  <c r="A920" i="61"/>
  <c r="A919" i="61"/>
  <c r="A918" i="61"/>
  <c r="A917" i="61"/>
  <c r="A916" i="61"/>
  <c r="A915" i="61"/>
  <c r="A914" i="61"/>
  <c r="A913" i="61"/>
  <c r="A912" i="61"/>
  <c r="A911" i="61"/>
  <c r="A910" i="61"/>
  <c r="A909" i="61"/>
  <c r="A908" i="61"/>
  <c r="A907" i="61"/>
  <c r="A906" i="61"/>
  <c r="A905" i="61"/>
  <c r="A904" i="61"/>
  <c r="A903" i="61"/>
  <c r="A902" i="61"/>
  <c r="A901" i="61"/>
  <c r="A900" i="61"/>
  <c r="A899" i="61"/>
  <c r="A898" i="61"/>
  <c r="A897" i="61"/>
  <c r="A896" i="61"/>
  <c r="A895" i="61"/>
  <c r="A894" i="61"/>
  <c r="A893" i="61"/>
  <c r="A892" i="61"/>
  <c r="A891" i="61"/>
  <c r="A890" i="61"/>
  <c r="A889" i="61"/>
  <c r="A888" i="61"/>
  <c r="A887" i="61"/>
  <c r="A886" i="61"/>
  <c r="A885" i="61"/>
  <c r="A884" i="61"/>
  <c r="A883" i="61"/>
  <c r="A882" i="61"/>
  <c r="A881" i="61"/>
  <c r="A880" i="61"/>
  <c r="A879" i="61"/>
  <c r="A878" i="61"/>
  <c r="A877" i="61"/>
  <c r="A876" i="61"/>
  <c r="A875" i="61"/>
  <c r="A874" i="61"/>
  <c r="A873" i="61"/>
  <c r="A872" i="61"/>
  <c r="A871" i="61"/>
  <c r="A870" i="61"/>
  <c r="A869" i="61"/>
  <c r="A868" i="61"/>
  <c r="A867" i="61"/>
  <c r="A866" i="61"/>
  <c r="A865" i="61"/>
  <c r="A864" i="61"/>
  <c r="A863" i="61"/>
  <c r="A862" i="61"/>
  <c r="A861" i="61"/>
  <c r="A860" i="61"/>
  <c r="A859" i="61"/>
  <c r="A858" i="61"/>
  <c r="A857" i="61"/>
  <c r="A856" i="61"/>
  <c r="A855" i="61"/>
  <c r="A854" i="61"/>
  <c r="A853" i="61"/>
  <c r="A852" i="61"/>
  <c r="A851" i="61"/>
  <c r="A850" i="61"/>
  <c r="A849" i="61"/>
  <c r="A848" i="61"/>
  <c r="A847" i="61"/>
  <c r="A846" i="61"/>
  <c r="A845" i="61"/>
  <c r="A844" i="61"/>
  <c r="A843" i="61"/>
  <c r="A842" i="61"/>
  <c r="A841" i="61"/>
  <c r="A840" i="61"/>
  <c r="A839" i="61"/>
  <c r="A838" i="61"/>
  <c r="A837" i="61"/>
  <c r="A836" i="61"/>
  <c r="A835" i="61"/>
  <c r="A834" i="61"/>
  <c r="A833" i="61"/>
  <c r="A832" i="61"/>
  <c r="A831" i="61"/>
  <c r="A830" i="61"/>
  <c r="A829" i="61"/>
  <c r="A828" i="61"/>
  <c r="A827" i="61"/>
  <c r="A826" i="61"/>
  <c r="A825" i="61"/>
  <c r="A824" i="61"/>
  <c r="A823" i="61"/>
  <c r="A822" i="61"/>
  <c r="A821" i="61"/>
  <c r="A820" i="61"/>
  <c r="A819" i="61"/>
  <c r="A818" i="61"/>
  <c r="A817" i="61"/>
  <c r="A816" i="61"/>
  <c r="A815" i="61"/>
  <c r="A814" i="61"/>
  <c r="A813" i="61"/>
  <c r="A812" i="61"/>
  <c r="A811" i="61"/>
  <c r="A810" i="61"/>
  <c r="A809" i="61"/>
  <c r="A808" i="61"/>
  <c r="A807" i="61"/>
  <c r="A806" i="61"/>
  <c r="A805" i="61"/>
  <c r="A804" i="61"/>
  <c r="A803" i="61"/>
  <c r="A802" i="61"/>
  <c r="A801" i="61"/>
  <c r="A800" i="61"/>
  <c r="A799" i="61"/>
  <c r="A798" i="61"/>
  <c r="A797" i="61"/>
  <c r="A796" i="61"/>
  <c r="A795" i="61"/>
  <c r="A794" i="61"/>
  <c r="A793" i="61"/>
  <c r="A792" i="61"/>
  <c r="A791" i="61"/>
  <c r="A790" i="61"/>
  <c r="A789" i="61"/>
  <c r="A788" i="61"/>
  <c r="A787" i="61"/>
  <c r="A786" i="61"/>
  <c r="A785" i="61"/>
  <c r="A784" i="61"/>
  <c r="A783" i="61"/>
  <c r="A782" i="61"/>
  <c r="A781" i="61"/>
  <c r="A780" i="61"/>
  <c r="A779" i="61"/>
  <c r="A778" i="61"/>
  <c r="A777" i="61"/>
  <c r="A776" i="61"/>
  <c r="A775" i="61"/>
  <c r="A774" i="61"/>
  <c r="A773" i="61"/>
  <c r="A772" i="61"/>
  <c r="A771" i="61"/>
  <c r="A770" i="61"/>
  <c r="A769" i="61"/>
  <c r="A768" i="61"/>
  <c r="A767" i="61"/>
  <c r="A766" i="61"/>
  <c r="A765" i="61"/>
  <c r="A764" i="61"/>
  <c r="A763" i="61"/>
  <c r="A762" i="61"/>
  <c r="A761" i="61"/>
  <c r="A760" i="61"/>
  <c r="A759" i="61"/>
  <c r="A758" i="61"/>
  <c r="A757" i="61"/>
  <c r="A756" i="61"/>
  <c r="A755" i="61"/>
  <c r="A754" i="61"/>
  <c r="A753" i="61"/>
  <c r="A752" i="61"/>
  <c r="A751" i="61"/>
  <c r="A750" i="61"/>
  <c r="A749" i="61"/>
  <c r="A748" i="61"/>
  <c r="A747" i="61"/>
  <c r="A746" i="61"/>
  <c r="A745" i="61"/>
  <c r="A744" i="61"/>
  <c r="A743" i="61"/>
  <c r="A742" i="61"/>
  <c r="A741" i="61"/>
  <c r="A740" i="61"/>
  <c r="A739" i="61"/>
  <c r="A738" i="61"/>
  <c r="A737" i="61"/>
  <c r="A736" i="61"/>
  <c r="A735" i="61"/>
  <c r="A734" i="61"/>
  <c r="A733" i="61"/>
  <c r="A732" i="61"/>
  <c r="A731" i="61"/>
  <c r="A730" i="61"/>
  <c r="A729" i="61"/>
  <c r="A728" i="61"/>
  <c r="A727" i="61"/>
  <c r="A726" i="61"/>
  <c r="A725" i="61"/>
  <c r="A724" i="61"/>
  <c r="A723" i="61"/>
  <c r="A722" i="61"/>
  <c r="A721" i="61"/>
  <c r="A720" i="61"/>
  <c r="A719" i="61"/>
  <c r="A718" i="61"/>
  <c r="A717" i="61"/>
  <c r="A716" i="61"/>
  <c r="A715" i="61"/>
  <c r="A714" i="61"/>
  <c r="A713" i="61"/>
  <c r="A712" i="61"/>
  <c r="A711" i="61"/>
  <c r="A710" i="61"/>
  <c r="A709" i="61"/>
  <c r="A708" i="61"/>
  <c r="A707" i="61"/>
  <c r="A706" i="61"/>
  <c r="A705" i="61"/>
  <c r="A704" i="61"/>
  <c r="A703" i="61"/>
  <c r="A702" i="61"/>
  <c r="A701" i="61"/>
  <c r="A700" i="61"/>
  <c r="A699" i="61"/>
  <c r="A698" i="61"/>
  <c r="A697" i="61"/>
  <c r="A696" i="61"/>
  <c r="A695" i="61"/>
  <c r="A694" i="61"/>
  <c r="A693" i="61"/>
  <c r="A692" i="61"/>
  <c r="A691" i="61"/>
  <c r="A690" i="61"/>
  <c r="A689" i="61"/>
  <c r="A688" i="61"/>
  <c r="A687" i="61"/>
  <c r="A686" i="61"/>
  <c r="A685" i="61"/>
  <c r="A684" i="61"/>
  <c r="A683" i="61"/>
  <c r="A682" i="61"/>
  <c r="A681" i="61"/>
  <c r="A680" i="61"/>
  <c r="A679" i="61"/>
  <c r="A678" i="61"/>
  <c r="A677" i="61"/>
  <c r="A676" i="61"/>
  <c r="A675" i="61"/>
  <c r="A674" i="61"/>
  <c r="A673" i="61"/>
  <c r="A672" i="61"/>
  <c r="A671" i="61"/>
  <c r="A670" i="61"/>
  <c r="A669" i="61"/>
  <c r="A668" i="61"/>
  <c r="A667" i="61"/>
  <c r="A666" i="61"/>
  <c r="A665" i="61"/>
  <c r="A664" i="61"/>
  <c r="A663" i="61"/>
  <c r="A662" i="61"/>
  <c r="A661" i="61"/>
  <c r="A660" i="61"/>
  <c r="A659" i="61"/>
  <c r="A658" i="61"/>
  <c r="A657" i="61"/>
  <c r="A656" i="61"/>
  <c r="A655" i="61"/>
  <c r="A654" i="61"/>
  <c r="A653" i="61"/>
  <c r="A652" i="61"/>
  <c r="A651" i="61"/>
  <c r="A650" i="61"/>
  <c r="A649" i="61"/>
  <c r="A648" i="61"/>
  <c r="A647" i="61"/>
  <c r="A646" i="61"/>
  <c r="A645" i="61"/>
  <c r="A644" i="61"/>
  <c r="A643" i="61"/>
  <c r="A642" i="61"/>
  <c r="A641" i="61"/>
  <c r="A640" i="61"/>
  <c r="A639" i="61"/>
  <c r="A638" i="61"/>
  <c r="A637" i="61"/>
  <c r="A636" i="61"/>
  <c r="A635" i="61"/>
  <c r="A634" i="61"/>
  <c r="A633" i="61"/>
  <c r="A632" i="61"/>
  <c r="A631" i="61"/>
  <c r="A630" i="61"/>
  <c r="A629" i="61"/>
  <c r="A628" i="61"/>
  <c r="A627" i="61"/>
  <c r="A626" i="61"/>
  <c r="A625" i="61"/>
  <c r="A624" i="61"/>
  <c r="A623" i="61"/>
  <c r="A2961" i="61"/>
  <c r="A4391" i="61"/>
  <c r="A4390" i="61"/>
  <c r="A4389" i="61"/>
  <c r="D173" i="98"/>
  <c r="B173" i="98"/>
  <c r="D126" i="98"/>
  <c r="D127" i="98" s="1"/>
  <c r="D128" i="98" s="1"/>
  <c r="D129" i="98" s="1"/>
  <c r="D130" i="98" s="1"/>
  <c r="D131" i="98" s="1"/>
  <c r="B171" i="98"/>
  <c r="A2836" i="61"/>
  <c r="A2786" i="61"/>
  <c r="A2785" i="61"/>
  <c r="A2784" i="61"/>
  <c r="A2783" i="61"/>
  <c r="A2782" i="61"/>
  <c r="A2781" i="61"/>
  <c r="A2780" i="61"/>
  <c r="A2779" i="61"/>
  <c r="A2778" i="61"/>
  <c r="A2777" i="61"/>
  <c r="A2776" i="61"/>
  <c r="A2775" i="61"/>
  <c r="A2774" i="61"/>
  <c r="A2773" i="61"/>
  <c r="A2772" i="61"/>
  <c r="A2771" i="61"/>
  <c r="A2770" i="61"/>
  <c r="A2769" i="61"/>
  <c r="A2768" i="61"/>
  <c r="A2767" i="61"/>
  <c r="A2766" i="61"/>
  <c r="A2765" i="61"/>
  <c r="A2764" i="61"/>
  <c r="D1598" i="98"/>
  <c r="B1598" i="98"/>
  <c r="D1596" i="98"/>
  <c r="B1596" i="98"/>
  <c r="D1591" i="98"/>
  <c r="D1592" i="98" s="1"/>
  <c r="D1593" i="98" s="1"/>
  <c r="D1594" i="98" s="1"/>
  <c r="B1591" i="98"/>
  <c r="B1592" i="98" s="1"/>
  <c r="B1593" i="98" s="1"/>
  <c r="B1594" i="98" s="1"/>
  <c r="D1576" i="98"/>
  <c r="D1577" i="98" s="1"/>
  <c r="D1578" i="98" s="1"/>
  <c r="D1579" i="98" s="1"/>
  <c r="D1580" i="98" s="1"/>
  <c r="D1581" i="98" s="1"/>
  <c r="D1582" i="98" s="1"/>
  <c r="D1583" i="98" s="1"/>
  <c r="D1584" i="98" s="1"/>
  <c r="D1585" i="98" s="1"/>
  <c r="D1586" i="98" s="1"/>
  <c r="D1587" i="98" s="1"/>
  <c r="D1588" i="98" s="1"/>
  <c r="D1589" i="98" s="1"/>
  <c r="B1576" i="98"/>
  <c r="B1577" i="98" s="1"/>
  <c r="B1578" i="98" s="1"/>
  <c r="B1579" i="98" s="1"/>
  <c r="B1580" i="98" s="1"/>
  <c r="B1581" i="98" s="1"/>
  <c r="B1582" i="98" s="1"/>
  <c r="B1583" i="98" s="1"/>
  <c r="B1584" i="98" s="1"/>
  <c r="B1585" i="98" s="1"/>
  <c r="B1586" i="98" s="1"/>
  <c r="B1587" i="98" s="1"/>
  <c r="B1588" i="98" s="1"/>
  <c r="B1589" i="98" s="1"/>
  <c r="D1570" i="98"/>
  <c r="D1571" i="98" s="1"/>
  <c r="D1572" i="98" s="1"/>
  <c r="D1573" i="98" s="1"/>
  <c r="D1574" i="98" s="1"/>
  <c r="B1570" i="98"/>
  <c r="B1571" i="98" s="1"/>
  <c r="B1572" i="98" s="1"/>
  <c r="B1573" i="98" s="1"/>
  <c r="B1574" i="98" s="1"/>
  <c r="D1565" i="98"/>
  <c r="D1566" i="98" s="1"/>
  <c r="D1567" i="98" s="1"/>
  <c r="D1568" i="98" s="1"/>
  <c r="B1565" i="98"/>
  <c r="B1566" i="98" s="1"/>
  <c r="B1567" i="98" s="1"/>
  <c r="B1568" i="98" s="1"/>
  <c r="D1563" i="98"/>
  <c r="B1563" i="98"/>
  <c r="B1538" i="98"/>
  <c r="B1539" i="98" s="1"/>
  <c r="B1540" i="98" s="1"/>
  <c r="B1541" i="98" s="1"/>
  <c r="B1542" i="98" s="1"/>
  <c r="B1543" i="98" s="1"/>
  <c r="B1544" i="98" s="1"/>
  <c r="B1545" i="98" s="1"/>
  <c r="B1546" i="98" s="1"/>
  <c r="B1547" i="98" s="1"/>
  <c r="B1548" i="98" s="1"/>
  <c r="B1549" i="98" s="1"/>
  <c r="B1550" i="98" s="1"/>
  <c r="B1551" i="98" s="1"/>
  <c r="B1552" i="98" s="1"/>
  <c r="B1553" i="98" s="1"/>
  <c r="B1554" i="98" s="1"/>
  <c r="B1555" i="98" s="1"/>
  <c r="B1556" i="98" s="1"/>
  <c r="B1557" i="98" s="1"/>
  <c r="B1558" i="98" s="1"/>
  <c r="B1559" i="98" s="1"/>
  <c r="B1560" i="98" s="1"/>
  <c r="B1561" i="98" s="1"/>
  <c r="D1531" i="98"/>
  <c r="B1531" i="98"/>
  <c r="D1529" i="98"/>
  <c r="B1529" i="98"/>
  <c r="D1533" i="98"/>
  <c r="B1533" i="98"/>
  <c r="B1534" i="98" s="1"/>
  <c r="B1535" i="98" s="1"/>
  <c r="B1536" i="98" s="1"/>
  <c r="D201" i="98"/>
  <c r="D202" i="98" s="1"/>
  <c r="D203" i="98" s="1"/>
  <c r="D204" i="98" s="1"/>
  <c r="B201" i="98"/>
  <c r="B202" i="98" s="1"/>
  <c r="B203" i="98" s="1"/>
  <c r="B204" i="98" s="1"/>
  <c r="D193" i="98"/>
  <c r="D194" i="98" s="1"/>
  <c r="D195" i="98" s="1"/>
  <c r="D196" i="98" s="1"/>
  <c r="D197" i="98" s="1"/>
  <c r="D198" i="98" s="1"/>
  <c r="D199" i="98" s="1"/>
  <c r="B193" i="98"/>
  <c r="B194" i="98" s="1"/>
  <c r="B195" i="98" s="1"/>
  <c r="B196" i="98" s="1"/>
  <c r="B197" i="98" s="1"/>
  <c r="B198" i="98" s="1"/>
  <c r="B199" i="98" s="1"/>
  <c r="D190" i="98"/>
  <c r="D191" i="98" s="1"/>
  <c r="B190" i="98"/>
  <c r="B191" i="98" s="1"/>
  <c r="D179" i="98"/>
  <c r="B179" i="98"/>
  <c r="D171" i="98"/>
  <c r="D169" i="98"/>
  <c r="B169" i="98"/>
  <c r="D164" i="98"/>
  <c r="D165" i="98" s="1"/>
  <c r="D166" i="98" s="1"/>
  <c r="D167" i="98" s="1"/>
  <c r="B164" i="98"/>
  <c r="B165" i="98" s="1"/>
  <c r="B166" i="98" s="1"/>
  <c r="B167" i="98" s="1"/>
  <c r="D139" i="98"/>
  <c r="D140" i="98" s="1"/>
  <c r="D141" i="98" s="1"/>
  <c r="D142" i="98" s="1"/>
  <c r="D143" i="98" s="1"/>
  <c r="D144" i="98" s="1"/>
  <c r="D145" i="98" s="1"/>
  <c r="D146" i="98" s="1"/>
  <c r="D147" i="98" s="1"/>
  <c r="D148" i="98" s="1"/>
  <c r="D149" i="98" s="1"/>
  <c r="D150" i="98" s="1"/>
  <c r="D151" i="98" s="1"/>
  <c r="D152" i="98" s="1"/>
  <c r="D153" i="98" s="1"/>
  <c r="D154" i="98" s="1"/>
  <c r="D155" i="98" s="1"/>
  <c r="D156" i="98" s="1"/>
  <c r="D157" i="98" s="1"/>
  <c r="D158" i="98" s="1"/>
  <c r="D159" i="98" s="1"/>
  <c r="D160" i="98" s="1"/>
  <c r="D161" i="98" s="1"/>
  <c r="D162" i="98" s="1"/>
  <c r="B139" i="98"/>
  <c r="B140" i="98" s="1"/>
  <c r="B141" i="98" s="1"/>
  <c r="B142" i="98" s="1"/>
  <c r="B143" i="98" s="1"/>
  <c r="B144" i="98" s="1"/>
  <c r="B145" i="98" s="1"/>
  <c r="B146" i="98" s="1"/>
  <c r="B147" i="98" s="1"/>
  <c r="B148" i="98" s="1"/>
  <c r="B149" i="98" s="1"/>
  <c r="B150" i="98" s="1"/>
  <c r="B151" i="98" s="1"/>
  <c r="B152" i="98" s="1"/>
  <c r="B153" i="98" s="1"/>
  <c r="B154" i="98" s="1"/>
  <c r="B155" i="98" s="1"/>
  <c r="B156" i="98" s="1"/>
  <c r="B157" i="98" s="1"/>
  <c r="B158" i="98" s="1"/>
  <c r="B159" i="98" s="1"/>
  <c r="B160" i="98" s="1"/>
  <c r="B161" i="98" s="1"/>
  <c r="B162" i="98" s="1"/>
  <c r="D135" i="98"/>
  <c r="D136" i="98" s="1"/>
  <c r="D137" i="98" s="1"/>
  <c r="B137" i="98"/>
  <c r="D133" i="98"/>
  <c r="B133" i="98"/>
  <c r="B126" i="98"/>
  <c r="B127" i="98" s="1"/>
  <c r="B128" i="98" s="1"/>
  <c r="B129" i="98" s="1"/>
  <c r="B130" i="98" s="1"/>
  <c r="B131" i="98" s="1"/>
  <c r="D124" i="98"/>
  <c r="B124" i="98"/>
  <c r="D88" i="98"/>
  <c r="B88" i="98"/>
  <c r="B89" i="98" s="1"/>
  <c r="B90" i="98" s="1"/>
  <c r="B91" i="98" s="1"/>
  <c r="D85" i="98"/>
  <c r="D86" i="98" s="1"/>
  <c r="B85" i="98"/>
  <c r="B86" i="98" s="1"/>
  <c r="D79" i="98"/>
  <c r="D80" i="98" s="1"/>
  <c r="D81" i="98" s="1"/>
  <c r="B79" i="98"/>
  <c r="B80" i="98" s="1"/>
  <c r="B81" i="98" s="1"/>
  <c r="D14" i="98"/>
  <c r="D15" i="98" s="1"/>
  <c r="D16" i="98" s="1"/>
  <c r="D17" i="98" s="1"/>
  <c r="D18" i="98" s="1"/>
  <c r="D19" i="98" s="1"/>
  <c r="D20" i="98" s="1"/>
  <c r="D21" i="98" s="1"/>
  <c r="B14" i="98"/>
  <c r="B15" i="98" s="1"/>
  <c r="B16" i="98" s="1"/>
  <c r="B17" i="98" s="1"/>
  <c r="B18" i="98" s="1"/>
  <c r="B19" i="98" s="1"/>
  <c r="B20" i="98" s="1"/>
  <c r="B21" i="98" s="1"/>
  <c r="D23" i="98"/>
  <c r="D24" i="98" s="1"/>
  <c r="D25" i="98" s="1"/>
  <c r="D26" i="98" s="1"/>
  <c r="B23" i="98"/>
  <c r="B24" i="98" s="1"/>
  <c r="B25" i="98" s="1"/>
  <c r="B26" i="98" s="1"/>
  <c r="D28" i="98"/>
  <c r="D29" i="98" s="1"/>
  <c r="D30" i="98" s="1"/>
  <c r="D31" i="98" s="1"/>
  <c r="B33" i="98"/>
  <c r="B34" i="98" s="1"/>
  <c r="B35" i="98" s="1"/>
  <c r="B36" i="98" s="1"/>
  <c r="D63" i="98"/>
  <c r="D64" i="98" s="1"/>
  <c r="D65" i="98" s="1"/>
  <c r="D66" i="98" s="1"/>
  <c r="D67" i="98" s="1"/>
  <c r="D68" i="98" s="1"/>
  <c r="D69" i="98" s="1"/>
  <c r="D70" i="98" s="1"/>
  <c r="D71" i="98" s="1"/>
  <c r="D72" i="98" s="1"/>
  <c r="D73" i="98" s="1"/>
  <c r="D74" i="98" s="1"/>
  <c r="D75" i="98" s="1"/>
  <c r="D76" i="98" s="1"/>
  <c r="D77" i="98" s="1"/>
  <c r="B63" i="98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38" i="98"/>
  <c r="B39" i="98" s="1"/>
  <c r="B40" i="98" s="1"/>
  <c r="B41" i="98" s="1"/>
  <c r="D38" i="98"/>
  <c r="D39" i="98" s="1"/>
  <c r="D40" i="98" s="1"/>
  <c r="D41" i="98" s="1"/>
  <c r="D33" i="98"/>
  <c r="D34" i="98" s="1"/>
  <c r="D35" i="98" s="1"/>
  <c r="D36" i="98" s="1"/>
  <c r="A456" i="61"/>
  <c r="A455" i="61"/>
  <c r="A454" i="61"/>
  <c r="A453" i="61"/>
  <c r="A452" i="61"/>
  <c r="A451" i="61"/>
  <c r="A450" i="61"/>
  <c r="A449" i="61"/>
  <c r="A448" i="61"/>
  <c r="A447" i="61"/>
  <c r="A446" i="61"/>
  <c r="A445" i="61"/>
  <c r="A444" i="61"/>
  <c r="A443" i="61"/>
  <c r="A442" i="61"/>
  <c r="A441" i="61"/>
  <c r="A440" i="61"/>
  <c r="A439" i="61"/>
  <c r="A438" i="61"/>
  <c r="A437" i="61"/>
  <c r="A436" i="61"/>
  <c r="A435" i="61"/>
  <c r="A434" i="61"/>
  <c r="A433" i="61"/>
  <c r="A432" i="61"/>
  <c r="A431" i="61"/>
  <c r="A430" i="61"/>
  <c r="A429" i="61"/>
  <c r="A428" i="61"/>
  <c r="A427" i="61"/>
  <c r="A426" i="61"/>
  <c r="A425" i="61"/>
  <c r="A424" i="61"/>
  <c r="A423" i="61"/>
  <c r="A422" i="61"/>
  <c r="A421" i="61"/>
  <c r="A420" i="61"/>
  <c r="A419" i="61"/>
  <c r="A418" i="61"/>
  <c r="A417" i="61"/>
  <c r="A416" i="61"/>
  <c r="A415" i="61"/>
  <c r="A414" i="61"/>
  <c r="A413" i="61"/>
  <c r="A412" i="61"/>
  <c r="A411" i="61"/>
  <c r="A410" i="61"/>
  <c r="A409" i="61"/>
  <c r="A408" i="61"/>
  <c r="A407" i="61"/>
  <c r="A406" i="61"/>
  <c r="A405" i="61"/>
  <c r="A403" i="61"/>
  <c r="A402" i="61"/>
  <c r="A401" i="61"/>
  <c r="A400" i="61"/>
  <c r="A399" i="61"/>
  <c r="A398" i="61"/>
  <c r="A397" i="61"/>
  <c r="A396" i="61"/>
  <c r="A395" i="61"/>
  <c r="A394" i="61"/>
  <c r="A393" i="61"/>
  <c r="A392" i="61"/>
  <c r="A391" i="61"/>
  <c r="A390" i="61"/>
  <c r="A389" i="61"/>
  <c r="A388" i="61"/>
  <c r="A387" i="61"/>
  <c r="A386" i="61"/>
  <c r="A385" i="61"/>
  <c r="A384" i="61"/>
  <c r="A383" i="61"/>
  <c r="A382" i="61"/>
  <c r="A381" i="61"/>
  <c r="A380" i="61"/>
  <c r="A379" i="61"/>
  <c r="A378" i="61"/>
  <c r="A377" i="61"/>
  <c r="A376" i="61"/>
  <c r="A375" i="61"/>
  <c r="A374" i="61"/>
  <c r="A373" i="61"/>
  <c r="A372" i="61"/>
  <c r="A371" i="61"/>
  <c r="A370" i="61"/>
  <c r="A369" i="61"/>
  <c r="A368" i="61"/>
  <c r="A367" i="61"/>
  <c r="A366" i="61"/>
  <c r="A365" i="61"/>
  <c r="A364" i="61"/>
  <c r="A363" i="61"/>
  <c r="A362" i="61"/>
  <c r="A361" i="61"/>
  <c r="A360" i="61"/>
  <c r="A359" i="61"/>
  <c r="A358" i="61"/>
  <c r="A357" i="61"/>
  <c r="A356" i="61"/>
  <c r="A355" i="61"/>
  <c r="A354" i="61"/>
  <c r="A353" i="61"/>
  <c r="A352" i="61"/>
  <c r="A351" i="61"/>
  <c r="A350" i="61"/>
  <c r="A349" i="61"/>
  <c r="A348" i="61"/>
  <c r="A347" i="61"/>
  <c r="A346" i="61"/>
  <c r="A345" i="61"/>
  <c r="A344" i="61"/>
  <c r="A343" i="61"/>
  <c r="A341" i="61"/>
  <c r="A340" i="61"/>
  <c r="A339" i="61"/>
  <c r="A338" i="61"/>
  <c r="A337" i="61"/>
  <c r="A336" i="61"/>
  <c r="A335" i="61"/>
  <c r="A334" i="61"/>
  <c r="A333" i="61"/>
  <c r="A332" i="61"/>
  <c r="A331" i="61"/>
  <c r="A330" i="61"/>
  <c r="A329" i="61"/>
  <c r="A328" i="61"/>
  <c r="A327" i="61"/>
  <c r="A326" i="61"/>
  <c r="A325" i="61"/>
  <c r="A324" i="61"/>
  <c r="A322" i="61"/>
  <c r="A321" i="61"/>
  <c r="A320" i="61"/>
  <c r="A319" i="61"/>
  <c r="A318" i="61"/>
  <c r="A317" i="61"/>
  <c r="A316" i="61"/>
  <c r="A2722" i="61"/>
  <c r="A2721" i="61"/>
  <c r="A2720" i="61"/>
  <c r="A2719" i="61"/>
  <c r="A2718" i="61"/>
  <c r="A2717" i="61"/>
  <c r="A2716" i="61"/>
  <c r="A2715" i="61"/>
  <c r="A2714" i="61"/>
  <c r="A2713" i="61"/>
  <c r="A2712" i="61"/>
  <c r="A2711" i="61"/>
  <c r="A2710" i="61"/>
  <c r="A2709" i="61"/>
  <c r="A2708" i="61"/>
  <c r="A2707" i="61"/>
  <c r="A2706" i="61"/>
  <c r="A2705" i="61"/>
  <c r="A2704" i="61"/>
  <c r="A2703" i="61"/>
  <c r="A2702" i="61"/>
  <c r="A2631" i="61"/>
  <c r="A2630" i="61"/>
  <c r="A2629" i="61"/>
  <c r="A2628" i="61"/>
  <c r="A2627" i="61"/>
  <c r="A2626" i="61"/>
  <c r="A2625" i="61"/>
  <c r="A2624" i="61"/>
  <c r="A2623" i="61"/>
  <c r="A2622" i="61"/>
  <c r="A2621" i="61"/>
  <c r="A2620" i="61"/>
  <c r="A2619" i="61"/>
  <c r="A2618" i="61"/>
  <c r="A2689" i="61"/>
  <c r="A2688" i="61"/>
  <c r="A2686" i="61"/>
  <c r="A2664" i="61"/>
  <c r="A1" i="74"/>
  <c r="A19" i="23"/>
  <c r="A2685" i="61"/>
  <c r="A2684" i="61"/>
  <c r="A2683" i="61"/>
  <c r="A2682" i="61"/>
  <c r="A2681" i="61"/>
  <c r="A2680" i="61"/>
  <c r="A2679" i="61"/>
  <c r="A2678" i="61"/>
  <c r="A2677" i="61"/>
  <c r="A2676" i="61"/>
  <c r="A2675" i="61"/>
  <c r="A2674" i="61"/>
  <c r="A2673" i="61"/>
  <c r="A2672" i="61"/>
  <c r="A4394" i="61"/>
  <c r="A4388" i="61"/>
  <c r="A4387" i="61"/>
  <c r="A4386" i="61"/>
  <c r="A4385" i="61"/>
  <c r="A4384" i="61"/>
  <c r="A4383" i="61"/>
  <c r="A4382" i="61"/>
  <c r="A4381" i="61"/>
  <c r="A4380" i="61"/>
  <c r="A4379" i="61"/>
  <c r="A4378" i="61"/>
  <c r="A4377" i="61"/>
  <c r="A4376" i="61"/>
  <c r="A4375" i="61"/>
  <c r="A4374" i="61"/>
  <c r="A4373" i="61"/>
  <c r="A4372" i="61"/>
  <c r="A4371" i="61"/>
  <c r="A4370" i="61"/>
  <c r="A4369" i="61"/>
  <c r="A4368" i="61"/>
  <c r="A4367" i="61"/>
  <c r="A4366" i="61"/>
  <c r="A4365" i="61"/>
  <c r="A4364" i="61"/>
  <c r="A4363" i="61"/>
  <c r="A4362" i="61"/>
  <c r="A4361" i="61"/>
  <c r="A4360" i="61"/>
  <c r="A4359" i="61"/>
  <c r="A4358" i="61"/>
  <c r="A4357" i="61"/>
  <c r="A4356" i="61"/>
  <c r="A4355" i="61"/>
  <c r="A4354" i="61"/>
  <c r="A4353" i="61"/>
  <c r="A4352" i="61"/>
  <c r="A4351" i="61"/>
  <c r="A4350" i="61"/>
  <c r="A4349" i="61"/>
  <c r="A4348" i="61"/>
  <c r="A4347" i="61"/>
  <c r="A4346" i="61"/>
  <c r="A4345" i="61"/>
  <c r="A4344" i="61"/>
  <c r="A4343" i="61"/>
  <c r="A4342" i="61"/>
  <c r="A4341" i="61"/>
  <c r="A4340" i="61"/>
  <c r="A4339" i="61"/>
  <c r="A4338" i="61"/>
  <c r="A4337" i="61"/>
  <c r="A4336" i="61"/>
  <c r="A4335" i="61"/>
  <c r="A4334" i="61"/>
  <c r="A4333" i="61"/>
  <c r="A4332" i="61"/>
  <c r="A4331" i="61"/>
  <c r="A4330" i="61"/>
  <c r="A4329" i="61"/>
  <c r="A4328" i="61"/>
  <c r="A4327" i="61"/>
  <c r="A4326" i="61"/>
  <c r="A4325" i="61"/>
  <c r="A4324" i="61"/>
  <c r="A4323" i="61"/>
  <c r="A4322" i="61"/>
  <c r="A4321" i="61"/>
  <c r="A4320" i="61"/>
  <c r="A4319" i="61"/>
  <c r="A4318" i="61"/>
  <c r="A4317" i="61"/>
  <c r="A4316" i="61"/>
  <c r="A4315" i="61"/>
  <c r="A4314" i="61"/>
  <c r="A4313" i="61"/>
  <c r="A4312" i="61"/>
  <c r="A4311" i="61"/>
  <c r="A4310" i="61"/>
  <c r="A4309" i="61"/>
  <c r="A4308" i="61"/>
  <c r="A4307" i="61"/>
  <c r="A4306" i="61"/>
  <c r="A4305" i="61"/>
  <c r="A4304" i="61"/>
  <c r="A4303" i="61"/>
  <c r="A4302" i="61"/>
  <c r="A4301" i="61"/>
  <c r="A4300" i="61"/>
  <c r="A4299" i="61"/>
  <c r="A4298" i="61"/>
  <c r="A4297" i="61"/>
  <c r="A4296" i="61"/>
  <c r="A4295" i="61"/>
  <c r="A4294" i="61"/>
  <c r="A4293" i="61"/>
  <c r="A4292" i="61"/>
  <c r="A4291" i="61"/>
  <c r="A4290" i="61"/>
  <c r="A4289" i="61"/>
  <c r="A4288" i="61"/>
  <c r="A4287" i="61"/>
  <c r="A4286" i="61"/>
  <c r="A4285" i="61"/>
  <c r="A4284" i="61"/>
  <c r="A4283" i="61"/>
  <c r="A4282" i="61"/>
  <c r="A4281" i="61"/>
  <c r="A4280" i="61"/>
  <c r="A4279" i="61"/>
  <c r="A4278" i="61"/>
  <c r="A4277" i="61"/>
  <c r="A4276" i="61"/>
  <c r="A4275" i="61"/>
  <c r="A4274" i="61"/>
  <c r="A4273" i="61"/>
  <c r="A4272" i="61"/>
  <c r="A4271" i="61"/>
  <c r="A4270" i="61"/>
  <c r="A4269" i="61"/>
  <c r="A4268" i="61"/>
  <c r="A4267" i="61"/>
  <c r="A4266" i="61"/>
  <c r="A4265" i="61"/>
  <c r="A4264" i="61"/>
  <c r="A4263" i="61"/>
  <c r="A4262" i="61"/>
  <c r="A4261" i="61"/>
  <c r="A4260" i="61"/>
  <c r="A4259" i="61"/>
  <c r="A4258" i="61"/>
  <c r="A4257" i="61"/>
  <c r="A4256" i="61"/>
  <c r="A4255" i="61"/>
  <c r="A4254" i="61"/>
  <c r="A4253" i="61"/>
  <c r="A4252" i="61"/>
  <c r="A4251" i="61"/>
  <c r="A4250" i="61"/>
  <c r="A4249" i="61"/>
  <c r="A4248" i="61"/>
  <c r="A4247" i="61"/>
  <c r="A4246" i="61"/>
  <c r="A4245" i="61"/>
  <c r="A4244" i="61"/>
  <c r="A4243" i="61"/>
  <c r="A4242" i="61"/>
  <c r="A4241" i="61"/>
  <c r="A4240" i="61"/>
  <c r="A4239" i="61"/>
  <c r="A4238" i="61"/>
  <c r="A4237" i="61"/>
  <c r="A4236" i="61"/>
  <c r="A4235" i="61"/>
  <c r="A4234" i="61"/>
  <c r="A4233" i="61"/>
  <c r="A4232" i="61"/>
  <c r="A4231" i="61"/>
  <c r="A4230" i="61"/>
  <c r="A4229" i="61"/>
  <c r="A4228" i="61"/>
  <c r="A4227" i="61"/>
  <c r="A4226" i="61"/>
  <c r="A4225" i="61"/>
  <c r="A4224" i="61"/>
  <c r="A4223" i="61"/>
  <c r="A4222" i="61"/>
  <c r="A4221" i="61"/>
  <c r="A4220" i="61"/>
  <c r="A4219" i="61"/>
  <c r="A4218" i="61"/>
  <c r="A4217" i="61"/>
  <c r="A4216" i="61"/>
  <c r="A4215" i="61"/>
  <c r="A4214" i="61"/>
  <c r="A4213" i="61"/>
  <c r="A4212" i="61"/>
  <c r="A4211" i="61"/>
  <c r="A4210" i="61"/>
  <c r="A4209" i="61"/>
  <c r="A4208" i="61"/>
  <c r="A4207" i="61"/>
  <c r="A4206" i="61"/>
  <c r="A4205" i="61"/>
  <c r="A4204" i="61"/>
  <c r="A4203" i="61"/>
  <c r="A4202" i="61"/>
  <c r="A4201" i="61"/>
  <c r="A4200" i="61"/>
  <c r="A4199" i="61"/>
  <c r="A4198" i="61"/>
  <c r="A4197" i="61"/>
  <c r="A4196" i="61"/>
  <c r="A4195" i="61"/>
  <c r="A4194" i="61"/>
  <c r="A4193" i="61"/>
  <c r="A4192" i="61"/>
  <c r="A4186" i="61"/>
  <c r="A4185" i="61"/>
  <c r="A4184" i="61"/>
  <c r="A4183" i="61"/>
  <c r="A4182" i="61"/>
  <c r="A4181" i="61"/>
  <c r="A4180" i="61"/>
  <c r="A4179" i="61"/>
  <c r="A4178" i="61"/>
  <c r="A4177" i="61"/>
  <c r="A4176" i="61"/>
  <c r="A4175" i="61"/>
  <c r="A4174" i="61"/>
  <c r="A4173" i="61"/>
  <c r="A4172" i="61"/>
  <c r="A4171" i="61"/>
  <c r="A4170" i="61"/>
  <c r="A4169" i="61"/>
  <c r="A4168" i="61"/>
  <c r="A4167" i="61"/>
  <c r="A4166" i="61"/>
  <c r="A4165" i="61"/>
  <c r="A4164" i="61"/>
  <c r="A4163" i="61"/>
  <c r="A4162" i="61"/>
  <c r="A4161" i="61"/>
  <c r="A4160" i="61"/>
  <c r="A4159" i="61"/>
  <c r="A4158" i="61"/>
  <c r="A4157" i="61"/>
  <c r="A4156" i="61"/>
  <c r="A4155" i="61"/>
  <c r="A4154" i="61"/>
  <c r="A4153" i="61"/>
  <c r="A4152" i="61"/>
  <c r="A4151" i="61"/>
  <c r="A4150" i="61"/>
  <c r="A4149" i="61"/>
  <c r="A4148" i="61"/>
  <c r="A4147" i="61"/>
  <c r="A4146" i="61"/>
  <c r="A4145" i="61"/>
  <c r="A4144" i="61"/>
  <c r="A4143" i="61"/>
  <c r="A4142" i="61"/>
  <c r="A4141" i="61"/>
  <c r="A4140" i="61"/>
  <c r="A4139" i="61"/>
  <c r="A4138" i="61"/>
  <c r="A4137" i="61"/>
  <c r="A4136" i="61"/>
  <c r="A4135" i="61"/>
  <c r="A4134" i="61"/>
  <c r="A4133" i="61"/>
  <c r="A4132" i="61"/>
  <c r="A4131" i="61"/>
  <c r="A4130" i="61"/>
  <c r="A4129" i="61"/>
  <c r="A4128" i="61"/>
  <c r="A4127" i="61"/>
  <c r="A4126" i="61"/>
  <c r="A4125" i="61"/>
  <c r="A4124" i="61"/>
  <c r="A4123" i="61"/>
  <c r="A4122" i="61"/>
  <c r="A4121" i="61"/>
  <c r="A4120" i="61"/>
  <c r="A4119" i="61"/>
  <c r="A4118" i="61"/>
  <c r="A4117" i="61"/>
  <c r="A4116" i="61"/>
  <c r="A4115" i="61"/>
  <c r="A4114" i="61"/>
  <c r="A4113" i="61"/>
  <c r="A4112" i="61"/>
  <c r="A4111" i="61"/>
  <c r="A4110" i="61"/>
  <c r="A4109" i="61"/>
  <c r="A4108" i="61"/>
  <c r="A4107" i="61"/>
  <c r="A4106" i="61"/>
  <c r="A4105" i="61"/>
  <c r="A4104" i="61"/>
  <c r="A4103" i="61"/>
  <c r="A4102" i="61"/>
  <c r="A4101" i="61"/>
  <c r="A4100" i="61"/>
  <c r="A4099" i="61"/>
  <c r="A4098" i="61"/>
  <c r="A4097" i="61"/>
  <c r="A4096" i="61"/>
  <c r="A4095" i="61"/>
  <c r="A4094" i="61"/>
  <c r="A4093" i="61"/>
  <c r="A4092" i="61"/>
  <c r="A4091" i="61"/>
  <c r="A4090" i="61"/>
  <c r="A4089" i="61"/>
  <c r="A4088" i="61"/>
  <c r="A4087" i="61"/>
  <c r="A4086" i="61"/>
  <c r="A4085" i="61"/>
  <c r="A4084" i="61"/>
  <c r="A4083" i="61"/>
  <c r="A4082" i="61"/>
  <c r="A4081" i="61"/>
  <c r="A4080" i="61"/>
  <c r="A4079" i="61"/>
  <c r="A4078" i="61"/>
  <c r="A4077" i="61"/>
  <c r="A4076" i="61"/>
  <c r="A4075" i="61"/>
  <c r="A4074" i="61"/>
  <c r="A4073" i="61"/>
  <c r="A4072" i="61"/>
  <c r="A4071" i="61"/>
  <c r="A4070" i="61"/>
  <c r="A4069" i="61"/>
  <c r="A4068" i="61"/>
  <c r="A4067" i="61"/>
  <c r="A4066" i="61"/>
  <c r="A4065" i="61"/>
  <c r="A4064" i="61"/>
  <c r="A4063" i="61"/>
  <c r="A4062" i="61"/>
  <c r="A4061" i="61"/>
  <c r="A4060" i="61"/>
  <c r="A4059" i="61"/>
  <c r="A4058" i="61"/>
  <c r="A4057" i="61"/>
  <c r="A4056" i="61"/>
  <c r="A4055" i="61"/>
  <c r="A4054" i="61"/>
  <c r="A4053" i="61"/>
  <c r="A4052" i="61"/>
  <c r="A4051" i="61"/>
  <c r="A4050" i="61"/>
  <c r="A4049" i="61"/>
  <c r="A4048" i="61"/>
  <c r="A4047" i="61"/>
  <c r="A4046" i="61"/>
  <c r="A4045" i="61"/>
  <c r="A4044" i="61"/>
  <c r="A4043" i="61"/>
  <c r="A4042" i="61"/>
  <c r="A4041" i="61"/>
  <c r="A4040" i="61"/>
  <c r="A4039" i="61"/>
  <c r="A4038" i="61"/>
  <c r="A4037" i="61"/>
  <c r="A4036" i="61"/>
  <c r="A4035" i="61"/>
  <c r="A4034" i="61"/>
  <c r="A4033" i="61"/>
  <c r="A4032" i="61"/>
  <c r="A4031" i="61"/>
  <c r="A4030" i="61"/>
  <c r="A4029" i="61"/>
  <c r="A4028" i="61"/>
  <c r="A4027" i="61"/>
  <c r="A4026" i="61"/>
  <c r="A4025" i="61"/>
  <c r="A4024" i="61"/>
  <c r="A4023" i="61"/>
  <c r="A4022" i="61"/>
  <c r="A4021" i="61"/>
  <c r="A4020" i="61"/>
  <c r="A4019" i="61"/>
  <c r="A4018" i="61"/>
  <c r="A4017" i="61"/>
  <c r="A4016" i="61"/>
  <c r="A4015" i="61"/>
  <c r="A4014" i="61"/>
  <c r="A4013" i="61"/>
  <c r="A4012" i="61"/>
  <c r="A4011" i="61"/>
  <c r="A4010" i="61"/>
  <c r="A4009" i="61"/>
  <c r="A4008" i="61"/>
  <c r="A4007" i="61"/>
  <c r="A4006" i="61"/>
  <c r="A4005" i="61"/>
  <c r="A4004" i="61"/>
  <c r="A4003" i="61"/>
  <c r="A4002" i="61"/>
  <c r="A4001" i="61"/>
  <c r="A4000" i="61"/>
  <c r="A3999" i="61"/>
  <c r="A3998" i="61"/>
  <c r="A3997" i="61"/>
  <c r="A3996" i="61"/>
  <c r="A3995" i="61"/>
  <c r="A3994" i="61"/>
  <c r="A3993" i="61"/>
  <c r="A3992" i="61"/>
  <c r="A3991" i="61"/>
  <c r="A3990" i="61"/>
  <c r="A3989" i="61"/>
  <c r="A3988" i="61"/>
  <c r="A3987" i="61"/>
  <c r="A3986" i="61"/>
  <c r="A3985" i="61"/>
  <c r="A3984" i="61"/>
  <c r="A3983" i="61"/>
  <c r="A3982" i="61"/>
  <c r="A3981" i="61"/>
  <c r="A3980" i="61"/>
  <c r="A3979" i="61"/>
  <c r="A3978" i="61"/>
  <c r="A3977" i="61"/>
  <c r="A3976" i="61"/>
  <c r="A3975" i="61"/>
  <c r="A3974" i="61"/>
  <c r="A3973" i="61"/>
  <c r="A3972" i="61"/>
  <c r="A3971" i="61"/>
  <c r="A3970" i="61"/>
  <c r="A3969" i="61"/>
  <c r="A3968" i="61"/>
  <c r="A3967" i="61"/>
  <c r="A3966" i="61"/>
  <c r="A3965" i="61"/>
  <c r="A3964" i="61"/>
  <c r="A3963" i="61"/>
  <c r="A3962" i="61"/>
  <c r="A3961" i="61"/>
  <c r="A3960" i="61"/>
  <c r="A3959" i="61"/>
  <c r="A3958" i="61"/>
  <c r="A3957" i="61"/>
  <c r="A3956" i="61"/>
  <c r="A3955" i="61"/>
  <c r="A3954" i="61"/>
  <c r="A3953" i="61"/>
  <c r="A3952" i="61"/>
  <c r="A3951" i="61"/>
  <c r="A3950" i="61"/>
  <c r="A3949" i="61"/>
  <c r="A3948" i="61"/>
  <c r="A3947" i="61"/>
  <c r="A3946" i="61"/>
  <c r="A3945" i="61"/>
  <c r="A3944" i="61"/>
  <c r="A3943" i="61"/>
  <c r="A3942" i="61"/>
  <c r="A3941" i="61"/>
  <c r="A3940" i="61"/>
  <c r="A3939" i="61"/>
  <c r="A3938" i="61"/>
  <c r="A3937" i="61"/>
  <c r="A3936" i="61"/>
  <c r="A3935" i="61"/>
  <c r="A3934" i="61"/>
  <c r="A3933" i="61"/>
  <c r="A3932" i="61"/>
  <c r="A3931" i="61"/>
  <c r="A3930" i="61"/>
  <c r="A3929" i="61"/>
  <c r="A3928" i="61"/>
  <c r="A3927" i="61"/>
  <c r="A3926" i="61"/>
  <c r="A3925" i="61"/>
  <c r="A3924" i="61"/>
  <c r="A3923" i="61"/>
  <c r="A3922" i="61"/>
  <c r="A3921" i="61"/>
  <c r="A3920" i="61"/>
  <c r="A3919" i="61"/>
  <c r="A3918" i="61"/>
  <c r="A3917" i="61"/>
  <c r="A3916" i="61"/>
  <c r="A3915" i="61"/>
  <c r="A3914" i="61"/>
  <c r="A3913" i="61"/>
  <c r="A3912" i="61"/>
  <c r="A3911" i="61"/>
  <c r="A3910" i="61"/>
  <c r="A3909" i="61"/>
  <c r="A3908" i="61"/>
  <c r="A3907" i="61"/>
  <c r="A3906" i="61"/>
  <c r="A3905" i="61"/>
  <c r="A3904" i="61"/>
  <c r="A3903" i="61"/>
  <c r="A3902" i="61"/>
  <c r="A3901" i="61"/>
  <c r="A3900" i="61"/>
  <c r="A3899" i="61"/>
  <c r="A3898" i="61"/>
  <c r="A3897" i="61"/>
  <c r="A3896" i="61"/>
  <c r="A3895" i="61"/>
  <c r="A3894" i="61"/>
  <c r="A3893" i="61"/>
  <c r="A3892" i="61"/>
  <c r="A3891" i="61"/>
  <c r="A3890" i="61"/>
  <c r="A3889" i="61"/>
  <c r="A3888" i="61"/>
  <c r="A3887" i="61"/>
  <c r="A3886" i="61"/>
  <c r="A3885" i="61"/>
  <c r="A3884" i="61"/>
  <c r="A3883" i="61"/>
  <c r="A3882" i="61"/>
  <c r="A3881" i="61"/>
  <c r="A3880" i="61"/>
  <c r="A3879" i="61"/>
  <c r="A3878" i="61"/>
  <c r="A3877" i="61"/>
  <c r="A3876" i="61"/>
  <c r="A3875" i="61"/>
  <c r="A3874" i="61"/>
  <c r="A3873" i="61"/>
  <c r="A3872" i="61"/>
  <c r="A3871" i="61"/>
  <c r="A3870" i="61"/>
  <c r="A3869" i="61"/>
  <c r="A3868" i="61"/>
  <c r="A3867" i="61"/>
  <c r="A3866" i="61"/>
  <c r="A3865" i="61"/>
  <c r="A3864" i="61"/>
  <c r="A3863" i="61"/>
  <c r="A3862" i="61"/>
  <c r="A3861" i="61"/>
  <c r="A3860" i="61"/>
  <c r="A3859" i="61"/>
  <c r="A3858" i="61"/>
  <c r="A3857" i="61"/>
  <c r="A3856" i="61"/>
  <c r="A3855" i="61"/>
  <c r="A3854" i="61"/>
  <c r="A3853" i="61"/>
  <c r="A3852" i="61"/>
  <c r="A3851" i="61"/>
  <c r="A3850" i="61"/>
  <c r="A3849" i="61"/>
  <c r="A3848" i="61"/>
  <c r="A3847" i="61"/>
  <c r="A3846" i="61"/>
  <c r="A3845" i="61"/>
  <c r="A3844" i="61"/>
  <c r="A3843" i="61"/>
  <c r="A3842" i="61"/>
  <c r="A3841" i="61"/>
  <c r="A3840" i="61"/>
  <c r="A3839" i="61"/>
  <c r="A3838" i="61"/>
  <c r="A3837" i="61"/>
  <c r="A3836" i="61"/>
  <c r="A3835" i="61"/>
  <c r="A3834" i="61"/>
  <c r="A3833" i="61"/>
  <c r="A3832" i="61"/>
  <c r="A3831" i="61"/>
  <c r="A3830" i="61"/>
  <c r="A3829" i="61"/>
  <c r="A3828" i="61"/>
  <c r="A3827" i="61"/>
  <c r="A3826" i="61"/>
  <c r="A3825" i="61"/>
  <c r="A3824" i="61"/>
  <c r="A3823" i="61"/>
  <c r="A3822" i="61"/>
  <c r="A3821" i="61"/>
  <c r="A3820" i="61"/>
  <c r="A3819" i="61"/>
  <c r="A3818" i="61"/>
  <c r="A3817" i="61"/>
  <c r="A3816" i="61"/>
  <c r="A3815" i="61"/>
  <c r="A3814" i="61"/>
  <c r="A3813" i="61"/>
  <c r="A3812" i="61"/>
  <c r="A3811" i="61"/>
  <c r="A3810" i="61"/>
  <c r="A3809" i="61"/>
  <c r="A3808" i="61"/>
  <c r="A3807" i="61"/>
  <c r="A3806" i="61"/>
  <c r="A3805" i="61"/>
  <c r="A3804" i="61"/>
  <c r="A3803" i="61"/>
  <c r="A3802" i="61"/>
  <c r="A3801" i="61"/>
  <c r="A3800" i="61"/>
  <c r="A3799" i="61"/>
  <c r="A3798" i="61"/>
  <c r="A3797" i="61"/>
  <c r="A3796" i="61"/>
  <c r="A3795" i="61"/>
  <c r="A3794" i="61"/>
  <c r="A3793" i="61"/>
  <c r="A3792" i="61"/>
  <c r="A3791" i="61"/>
  <c r="A3790" i="61"/>
  <c r="A3789" i="61"/>
  <c r="A3788" i="61"/>
  <c r="A3787" i="61"/>
  <c r="A3786" i="61"/>
  <c r="A3785" i="61"/>
  <c r="A3784" i="61"/>
  <c r="A3783" i="61"/>
  <c r="A3782" i="61"/>
  <c r="A3781" i="61"/>
  <c r="A3780" i="61"/>
  <c r="A3779" i="61"/>
  <c r="A3778" i="61"/>
  <c r="A3777" i="61"/>
  <c r="A3776" i="61"/>
  <c r="A3775" i="61"/>
  <c r="A3774" i="61"/>
  <c r="A3773" i="61"/>
  <c r="A3772" i="61"/>
  <c r="A3771" i="61"/>
  <c r="A3770" i="61"/>
  <c r="A3769" i="61"/>
  <c r="A3768" i="61"/>
  <c r="A3767" i="61"/>
  <c r="A3766" i="61"/>
  <c r="A3765" i="61"/>
  <c r="A3764" i="61"/>
  <c r="A3763" i="61"/>
  <c r="A3762" i="61"/>
  <c r="A3761" i="61"/>
  <c r="A3760" i="61"/>
  <c r="A3759" i="61"/>
  <c r="A3758" i="61"/>
  <c r="A3757" i="61"/>
  <c r="A3756" i="61"/>
  <c r="A3755" i="61"/>
  <c r="A3754" i="61"/>
  <c r="A3753" i="61"/>
  <c r="A3752" i="61"/>
  <c r="A3751" i="61"/>
  <c r="A3750" i="61"/>
  <c r="A3749" i="61"/>
  <c r="A3748" i="61"/>
  <c r="A3747" i="61"/>
  <c r="A3746" i="61"/>
  <c r="A3745" i="61"/>
  <c r="A3744" i="61"/>
  <c r="A3743" i="61"/>
  <c r="A3742" i="61"/>
  <c r="A3741" i="61"/>
  <c r="A3740" i="61"/>
  <c r="A3739" i="61"/>
  <c r="A3738" i="61"/>
  <c r="A3737" i="61"/>
  <c r="A3736" i="61"/>
  <c r="A3735" i="61"/>
  <c r="A3734" i="61"/>
  <c r="A3733" i="61"/>
  <c r="A3732" i="61"/>
  <c r="A3731" i="61"/>
  <c r="A3730" i="61"/>
  <c r="A3729" i="61"/>
  <c r="A3728" i="61"/>
  <c r="A3727" i="61"/>
  <c r="A3726" i="61"/>
  <c r="A3725" i="61"/>
  <c r="A3724" i="61"/>
  <c r="A3723" i="61"/>
  <c r="A3722" i="61"/>
  <c r="A3721" i="61"/>
  <c r="A3720" i="61"/>
  <c r="A3719" i="61"/>
  <c r="A3718" i="61"/>
  <c r="A3717" i="61"/>
  <c r="A3716" i="61"/>
  <c r="A3715" i="61"/>
  <c r="A3714" i="61"/>
  <c r="A3713" i="61"/>
  <c r="A3712" i="61"/>
  <c r="A3711" i="61"/>
  <c r="A3710" i="61"/>
  <c r="A3709" i="61"/>
  <c r="A3708" i="61"/>
  <c r="A3707" i="61"/>
  <c r="A3706" i="61"/>
  <c r="A3705" i="61"/>
  <c r="A3704" i="61"/>
  <c r="A3703" i="61"/>
  <c r="A3702" i="61"/>
  <c r="A3701" i="61"/>
  <c r="A3700" i="61"/>
  <c r="A3699" i="61"/>
  <c r="A3698" i="61"/>
  <c r="A3697" i="61"/>
  <c r="A3696" i="61"/>
  <c r="A3695" i="61"/>
  <c r="A3694" i="61"/>
  <c r="A3693" i="61"/>
  <c r="A3692" i="61"/>
  <c r="A3691" i="61"/>
  <c r="A3690" i="61"/>
  <c r="A3689" i="61"/>
  <c r="A3688" i="61"/>
  <c r="A3687" i="61"/>
  <c r="A3686" i="61"/>
  <c r="A3685" i="61"/>
  <c r="A3684" i="61"/>
  <c r="A3683" i="61"/>
  <c r="A3682" i="61"/>
  <c r="A3681" i="61"/>
  <c r="A3680" i="61"/>
  <c r="A3679" i="61"/>
  <c r="A3678" i="61"/>
  <c r="A3677" i="61"/>
  <c r="A3676" i="61"/>
  <c r="A3675" i="61"/>
  <c r="A3674" i="61"/>
  <c r="A3673" i="61"/>
  <c r="A3672" i="61"/>
  <c r="A3671" i="61"/>
  <c r="A3670" i="61"/>
  <c r="A3669" i="61"/>
  <c r="A3668" i="61"/>
  <c r="A3667" i="61"/>
  <c r="A3666" i="61"/>
  <c r="A3665" i="61"/>
  <c r="A3664" i="61"/>
  <c r="A3663" i="61"/>
  <c r="A3662" i="61"/>
  <c r="A3661" i="61"/>
  <c r="A3660" i="61"/>
  <c r="A3659" i="61"/>
  <c r="A3658" i="61"/>
  <c r="A3657" i="61"/>
  <c r="A3656" i="61"/>
  <c r="A3655" i="61"/>
  <c r="A3654" i="61"/>
  <c r="A3653" i="61"/>
  <c r="A3652" i="61"/>
  <c r="A3651" i="61"/>
  <c r="A3650" i="61"/>
  <c r="A3649" i="61"/>
  <c r="A3648" i="61"/>
  <c r="A3647" i="61"/>
  <c r="A3646" i="61"/>
  <c r="A3645" i="61"/>
  <c r="A3644" i="61"/>
  <c r="A3643" i="61"/>
  <c r="A3642" i="61"/>
  <c r="A3641" i="61"/>
  <c r="A3640" i="61"/>
  <c r="A3639" i="61"/>
  <c r="A3638" i="61"/>
  <c r="A3637" i="61"/>
  <c r="A3636" i="61"/>
  <c r="A3635" i="61"/>
  <c r="A3634" i="61"/>
  <c r="A3633" i="61"/>
  <c r="A3632" i="61"/>
  <c r="A3631" i="61"/>
  <c r="A3630" i="61"/>
  <c r="A3629" i="61"/>
  <c r="A3628" i="61"/>
  <c r="A3627" i="61"/>
  <c r="A3626" i="61"/>
  <c r="A3625" i="61"/>
  <c r="A3624" i="61"/>
  <c r="A3623" i="61"/>
  <c r="A3622" i="61"/>
  <c r="A3621" i="61"/>
  <c r="A3620" i="61"/>
  <c r="A3619" i="61"/>
  <c r="A3618" i="61"/>
  <c r="A3617" i="61"/>
  <c r="A3616" i="61"/>
  <c r="A3615" i="61"/>
  <c r="A3614" i="61"/>
  <c r="A3613" i="61"/>
  <c r="A3612" i="61"/>
  <c r="A3611" i="61"/>
  <c r="A3610" i="61"/>
  <c r="A3609" i="61"/>
  <c r="A3608" i="61"/>
  <c r="A3607" i="61"/>
  <c r="A3606" i="61"/>
  <c r="A3605" i="61"/>
  <c r="A3604" i="61"/>
  <c r="A3603" i="61"/>
  <c r="A3602" i="61"/>
  <c r="A3601" i="61"/>
  <c r="A3600" i="61"/>
  <c r="A3599" i="61"/>
  <c r="A3598" i="61"/>
  <c r="A3597" i="61"/>
  <c r="A3596" i="61"/>
  <c r="A3595" i="61"/>
  <c r="A3594" i="61"/>
  <c r="A3593" i="61"/>
  <c r="A3592" i="61"/>
  <c r="A3591" i="61"/>
  <c r="A3590" i="61"/>
  <c r="A3589" i="61"/>
  <c r="A3588" i="61"/>
  <c r="A3587" i="61"/>
  <c r="A3586" i="61"/>
  <c r="A3585" i="61"/>
  <c r="A3584" i="61"/>
  <c r="A3583" i="61"/>
  <c r="A3582" i="61"/>
  <c r="A3581" i="61"/>
  <c r="A3580" i="61"/>
  <c r="A3579" i="61"/>
  <c r="A3578" i="61"/>
  <c r="A3577" i="61"/>
  <c r="A3576" i="61"/>
  <c r="A3575" i="61"/>
  <c r="A3574" i="61"/>
  <c r="A3573" i="61"/>
  <c r="A3572" i="61"/>
  <c r="A3571" i="61"/>
  <c r="A3570" i="61"/>
  <c r="A3569" i="61"/>
  <c r="A3568" i="61"/>
  <c r="A3567" i="61"/>
  <c r="A3566" i="61"/>
  <c r="A3565" i="61"/>
  <c r="A3564" i="61"/>
  <c r="A3563" i="61"/>
  <c r="A3562" i="61"/>
  <c r="A3561" i="61"/>
  <c r="A3560" i="61"/>
  <c r="A3559" i="61"/>
  <c r="A3558" i="61"/>
  <c r="A3557" i="61"/>
  <c r="A3556" i="61"/>
  <c r="A3555" i="61"/>
  <c r="A3554" i="61"/>
  <c r="A3553" i="61"/>
  <c r="A3552" i="61"/>
  <c r="A3551" i="61"/>
  <c r="A3550" i="61"/>
  <c r="A3549" i="61"/>
  <c r="A3548" i="61"/>
  <c r="A3547" i="61"/>
  <c r="A3546" i="61"/>
  <c r="A3545" i="61"/>
  <c r="A3544" i="61"/>
  <c r="A3543" i="61"/>
  <c r="A3542" i="61"/>
  <c r="A3541" i="61"/>
  <c r="A3540" i="61"/>
  <c r="A3539" i="61"/>
  <c r="A3538" i="61"/>
  <c r="A3537" i="61"/>
  <c r="A3536" i="61"/>
  <c r="A3535" i="61"/>
  <c r="A3534" i="61"/>
  <c r="A3533" i="61"/>
  <c r="A3532" i="61"/>
  <c r="A3531" i="61"/>
  <c r="A3530" i="61"/>
  <c r="A3529" i="61"/>
  <c r="A3528" i="61"/>
  <c r="A3527" i="61"/>
  <c r="A3526" i="61"/>
  <c r="A3525" i="61"/>
  <c r="A3524" i="61"/>
  <c r="A3523" i="61"/>
  <c r="A3522" i="61"/>
  <c r="A3521" i="61"/>
  <c r="A3520" i="61"/>
  <c r="A3519" i="61"/>
  <c r="A3518" i="61"/>
  <c r="A3517" i="61"/>
  <c r="A3516" i="61"/>
  <c r="A3515" i="61"/>
  <c r="A3514" i="61"/>
  <c r="A3513" i="61"/>
  <c r="A3512" i="61"/>
  <c r="A3511" i="61"/>
  <c r="A3510" i="61"/>
  <c r="A3509" i="61"/>
  <c r="A3508" i="61"/>
  <c r="A3507" i="61"/>
  <c r="A3506" i="61"/>
  <c r="A3505" i="61"/>
  <c r="A3504" i="61"/>
  <c r="A3503" i="61"/>
  <c r="A3502" i="61"/>
  <c r="A3501" i="61"/>
  <c r="A3500" i="61"/>
  <c r="A3499" i="61"/>
  <c r="A3498" i="61"/>
  <c r="A3497" i="61"/>
  <c r="A3496" i="61"/>
  <c r="A3495" i="61"/>
  <c r="A3494" i="61"/>
  <c r="A3493" i="61"/>
  <c r="A3492" i="61"/>
  <c r="A3491" i="61"/>
  <c r="A3490" i="61"/>
  <c r="A3489" i="61"/>
  <c r="A3488" i="61"/>
  <c r="A3487" i="61"/>
  <c r="A3486" i="61"/>
  <c r="A3485" i="61"/>
  <c r="A3484" i="61"/>
  <c r="A3483" i="61"/>
  <c r="A3482" i="61"/>
  <c r="A3481" i="61"/>
  <c r="A3480" i="61"/>
  <c r="A3479" i="61"/>
  <c r="A3478" i="61"/>
  <c r="A3477" i="61"/>
  <c r="A3476" i="61"/>
  <c r="A3475" i="61"/>
  <c r="A3474" i="61"/>
  <c r="A3473" i="61"/>
  <c r="A3472" i="61"/>
  <c r="A3471" i="61"/>
  <c r="A3470" i="61"/>
  <c r="A3469" i="61"/>
  <c r="A3468" i="61"/>
  <c r="A3467" i="61"/>
  <c r="A3466" i="61"/>
  <c r="A3465" i="61"/>
  <c r="A3464" i="61"/>
  <c r="A3463" i="61"/>
  <c r="A3462" i="61"/>
  <c r="A3461" i="61"/>
  <c r="A3460" i="61"/>
  <c r="A3459" i="61"/>
  <c r="A3458" i="61"/>
  <c r="A3457" i="61"/>
  <c r="A3456" i="61"/>
  <c r="A3455" i="61"/>
  <c r="A3454" i="61"/>
  <c r="A3453" i="61"/>
  <c r="A3452" i="61"/>
  <c r="A3451" i="61"/>
  <c r="A3450" i="61"/>
  <c r="A3449" i="61"/>
  <c r="A3448" i="61"/>
  <c r="A3447" i="61"/>
  <c r="A3446" i="61"/>
  <c r="A3445" i="61"/>
  <c r="A3444" i="61"/>
  <c r="A3443" i="61"/>
  <c r="A3442" i="61"/>
  <c r="A3441" i="61"/>
  <c r="A3440" i="61"/>
  <c r="A3439" i="61"/>
  <c r="A3438" i="61"/>
  <c r="A3437" i="61"/>
  <c r="A3436" i="61"/>
  <c r="A3435" i="61"/>
  <c r="A3434" i="61"/>
  <c r="A3433" i="61"/>
  <c r="A3432" i="61"/>
  <c r="A3431" i="61"/>
  <c r="A3430" i="61"/>
  <c r="A3429" i="61"/>
  <c r="A3428" i="61"/>
  <c r="A3427" i="61"/>
  <c r="A3426" i="61"/>
  <c r="A3425" i="61"/>
  <c r="A3424" i="61"/>
  <c r="A3423" i="61"/>
  <c r="A3422" i="61"/>
  <c r="A3421" i="61"/>
  <c r="A3420" i="61"/>
  <c r="A3419" i="61"/>
  <c r="A3418" i="61"/>
  <c r="A3417" i="61"/>
  <c r="A3416" i="61"/>
  <c r="A3415" i="61"/>
  <c r="A3414" i="61"/>
  <c r="A3413" i="61"/>
  <c r="A3412" i="61"/>
  <c r="A3411" i="61"/>
  <c r="A3410" i="61"/>
  <c r="A3409" i="61"/>
  <c r="A3408" i="61"/>
  <c r="A3407" i="61"/>
  <c r="A3406" i="61"/>
  <c r="A3405" i="61"/>
  <c r="A3404" i="61"/>
  <c r="A3403" i="61"/>
  <c r="A3402" i="61"/>
  <c r="A3401" i="61"/>
  <c r="A3400" i="61"/>
  <c r="A3399" i="61"/>
  <c r="A3398" i="61"/>
  <c r="A3397" i="61"/>
  <c r="A3396" i="61"/>
  <c r="A3395" i="61"/>
  <c r="A3394" i="61"/>
  <c r="A3393" i="61"/>
  <c r="A3392" i="61"/>
  <c r="A3391" i="61"/>
  <c r="A3390" i="61"/>
  <c r="A3389" i="61"/>
  <c r="A3388" i="61"/>
  <c r="A3387" i="61"/>
  <c r="A3386" i="61"/>
  <c r="A3385" i="61"/>
  <c r="A3384" i="61"/>
  <c r="A3383" i="61"/>
  <c r="A3382" i="61"/>
  <c r="A3381" i="61"/>
  <c r="A3380" i="61"/>
  <c r="A3379" i="61"/>
  <c r="A3378" i="61"/>
  <c r="A3377" i="61"/>
  <c r="A3376" i="61"/>
  <c r="A3375" i="61"/>
  <c r="A3374" i="61"/>
  <c r="A3373" i="61"/>
  <c r="A3372" i="61"/>
  <c r="A3371" i="61"/>
  <c r="A3370" i="61"/>
  <c r="A3369" i="61"/>
  <c r="A3368" i="61"/>
  <c r="A3367" i="61"/>
  <c r="A3366" i="61"/>
  <c r="A3365" i="61"/>
  <c r="A3364" i="61"/>
  <c r="A3363" i="61"/>
  <c r="A3362" i="61"/>
  <c r="A3361" i="61"/>
  <c r="A3360" i="61"/>
  <c r="A3359" i="61"/>
  <c r="A3358" i="61"/>
  <c r="A3357" i="61"/>
  <c r="A3356" i="61"/>
  <c r="A3355" i="61"/>
  <c r="A3354" i="61"/>
  <c r="A3353" i="61"/>
  <c r="A3352" i="61"/>
  <c r="A3351" i="61"/>
  <c r="A3350" i="61"/>
  <c r="A3349" i="61"/>
  <c r="A3348" i="61"/>
  <c r="A3347" i="61"/>
  <c r="A3346" i="61"/>
  <c r="A3345" i="61"/>
  <c r="A3344" i="61"/>
  <c r="A3343" i="61"/>
  <c r="A3342" i="61"/>
  <c r="A3341" i="61"/>
  <c r="A3340" i="61"/>
  <c r="A3339" i="61"/>
  <c r="A3338" i="61"/>
  <c r="A3337" i="61"/>
  <c r="A3336" i="61"/>
  <c r="A3335" i="61"/>
  <c r="A3334" i="61"/>
  <c r="A3333" i="61"/>
  <c r="A3332" i="61"/>
  <c r="A3331" i="61"/>
  <c r="A3330" i="61"/>
  <c r="A3329" i="61"/>
  <c r="A3328" i="61"/>
  <c r="A3327" i="61"/>
  <c r="A3326" i="61"/>
  <c r="A3325" i="61"/>
  <c r="A3324" i="61"/>
  <c r="A3323" i="61"/>
  <c r="A3322" i="61"/>
  <c r="A3321" i="61"/>
  <c r="A3320" i="61"/>
  <c r="A3319" i="61"/>
  <c r="A3318" i="61"/>
  <c r="A3317" i="61"/>
  <c r="A3316" i="61"/>
  <c r="A3315" i="61"/>
  <c r="A3314" i="61"/>
  <c r="A3313" i="61"/>
  <c r="A3312" i="61"/>
  <c r="A3311" i="61"/>
  <c r="A3310" i="61"/>
  <c r="A3309" i="61"/>
  <c r="A3308" i="61"/>
  <c r="A3307" i="61"/>
  <c r="A3306" i="61"/>
  <c r="A3305" i="61"/>
  <c r="A3304" i="61"/>
  <c r="A3303" i="61"/>
  <c r="A3302" i="61"/>
  <c r="A3301" i="61"/>
  <c r="A3300" i="61"/>
  <c r="A3299" i="61"/>
  <c r="A3298" i="61"/>
  <c r="A3297" i="61"/>
  <c r="A3296" i="61"/>
  <c r="A3295" i="61"/>
  <c r="A3294" i="61"/>
  <c r="A3293" i="61"/>
  <c r="A3292" i="61"/>
  <c r="A3291" i="61"/>
  <c r="A3290" i="61"/>
  <c r="A3289" i="61"/>
  <c r="A3288" i="61"/>
  <c r="A3287" i="61"/>
  <c r="A3286" i="61"/>
  <c r="A3285" i="61"/>
  <c r="A3284" i="61"/>
  <c r="A3283" i="61"/>
  <c r="A3282" i="61"/>
  <c r="A3281" i="61"/>
  <c r="A3280" i="61"/>
  <c r="A3279" i="61"/>
  <c r="A3278" i="61"/>
  <c r="A3277" i="61"/>
  <c r="A3276" i="61"/>
  <c r="A3275" i="61"/>
  <c r="A3274" i="61"/>
  <c r="A3273" i="61"/>
  <c r="A3272" i="61"/>
  <c r="A3271" i="61"/>
  <c r="A3270" i="61"/>
  <c r="A3269" i="61"/>
  <c r="A3268" i="61"/>
  <c r="A3267" i="61"/>
  <c r="A3266" i="61"/>
  <c r="A3265" i="61"/>
  <c r="A3264" i="61"/>
  <c r="A3263" i="61"/>
  <c r="A3262" i="61"/>
  <c r="A3261" i="61"/>
  <c r="A3260" i="61"/>
  <c r="A3259" i="61"/>
  <c r="A3258" i="61"/>
  <c r="A3257" i="61"/>
  <c r="A3256" i="61"/>
  <c r="A3255" i="61"/>
  <c r="A3254" i="61"/>
  <c r="A3253" i="61"/>
  <c r="A3252" i="61"/>
  <c r="A3251" i="61"/>
  <c r="A3250" i="61"/>
  <c r="A3249" i="61"/>
  <c r="A3248" i="61"/>
  <c r="A3247" i="61"/>
  <c r="A3246" i="61"/>
  <c r="A3245" i="61"/>
  <c r="A3244" i="61"/>
  <c r="A3243" i="61"/>
  <c r="A3242" i="61"/>
  <c r="A3241" i="61"/>
  <c r="A3240" i="61"/>
  <c r="A3239" i="61"/>
  <c r="A3238" i="61"/>
  <c r="A3237" i="61"/>
  <c r="A3236" i="61"/>
  <c r="A3235" i="61"/>
  <c r="A3234" i="61"/>
  <c r="A3233" i="61"/>
  <c r="A3232" i="61"/>
  <c r="A3231" i="61"/>
  <c r="A3230" i="61"/>
  <c r="A3229" i="61"/>
  <c r="A3228" i="61"/>
  <c r="A3227" i="61"/>
  <c r="A3226" i="61"/>
  <c r="A3225" i="61"/>
  <c r="A3224" i="61"/>
  <c r="A3223" i="61"/>
  <c r="A3222" i="61"/>
  <c r="A3221" i="61"/>
  <c r="A3220" i="61"/>
  <c r="A3219" i="61"/>
  <c r="A3218" i="61"/>
  <c r="A3217" i="61"/>
  <c r="A3216" i="61"/>
  <c r="A3215" i="61"/>
  <c r="A3214" i="61"/>
  <c r="A3213" i="61"/>
  <c r="A3212" i="61"/>
  <c r="A3211" i="61"/>
  <c r="A3210" i="61"/>
  <c r="A3209" i="61"/>
  <c r="A3208" i="61"/>
  <c r="A3207" i="61"/>
  <c r="A3206" i="61"/>
  <c r="A3205" i="61"/>
  <c r="A3204" i="61"/>
  <c r="A3203" i="61"/>
  <c r="A3202" i="61"/>
  <c r="A3201" i="61"/>
  <c r="A3200" i="61"/>
  <c r="A3199" i="61"/>
  <c r="A3198" i="61"/>
  <c r="A3197" i="61"/>
  <c r="A3196" i="61"/>
  <c r="A3195" i="61"/>
  <c r="A3194" i="61"/>
  <c r="A3193" i="61"/>
  <c r="A3192" i="61"/>
  <c r="A3191" i="61"/>
  <c r="A3190" i="61"/>
  <c r="A3189" i="61"/>
  <c r="A3188" i="61"/>
  <c r="A3187" i="61"/>
  <c r="A3186" i="61"/>
  <c r="A3185" i="61"/>
  <c r="A3184" i="61"/>
  <c r="A3183" i="61"/>
  <c r="A3182" i="61"/>
  <c r="A3181" i="61"/>
  <c r="A3180" i="61"/>
  <c r="A3179" i="61"/>
  <c r="A3178" i="61"/>
  <c r="A3177" i="61"/>
  <c r="A3176" i="61"/>
  <c r="A3175" i="61"/>
  <c r="A3174" i="61"/>
  <c r="A3173" i="61"/>
  <c r="A3172" i="61"/>
  <c r="A3171" i="61"/>
  <c r="A3170" i="61"/>
  <c r="A3169" i="61"/>
  <c r="A3168" i="61"/>
  <c r="A3167" i="61"/>
  <c r="A3166" i="61"/>
  <c r="A3165" i="61"/>
  <c r="A3164" i="61"/>
  <c r="A3163" i="61"/>
  <c r="A3162" i="61"/>
  <c r="A3161" i="61"/>
  <c r="A3160" i="61"/>
  <c r="A3159" i="61"/>
  <c r="A3158" i="61"/>
  <c r="A3157" i="61"/>
  <c r="A3156" i="61"/>
  <c r="A3155" i="61"/>
  <c r="A3154" i="61"/>
  <c r="A3153" i="61"/>
  <c r="A3152" i="61"/>
  <c r="A3151" i="61"/>
  <c r="A3147" i="61"/>
  <c r="A3146" i="61"/>
  <c r="A3145" i="61"/>
  <c r="A3144" i="61"/>
  <c r="A3143" i="61"/>
  <c r="A3142" i="61"/>
  <c r="A3141" i="61"/>
  <c r="A3140" i="61"/>
  <c r="A3139" i="61"/>
  <c r="A3138" i="61"/>
  <c r="A3137" i="61"/>
  <c r="A3136" i="61"/>
  <c r="A3135" i="61"/>
  <c r="A3134" i="61"/>
  <c r="A3133" i="61"/>
  <c r="A3132" i="61"/>
  <c r="A3131" i="61"/>
  <c r="A3130" i="61"/>
  <c r="A3129" i="61"/>
  <c r="A3128" i="61"/>
  <c r="A3127" i="61"/>
  <c r="A3126" i="61"/>
  <c r="A3125" i="61"/>
  <c r="A3124" i="61"/>
  <c r="A3123" i="61"/>
  <c r="A3122" i="61"/>
  <c r="A3121" i="61"/>
  <c r="A3120" i="61"/>
  <c r="A3119" i="61"/>
  <c r="A3118" i="61"/>
  <c r="A3117" i="61"/>
  <c r="A3116" i="61"/>
  <c r="A3115" i="61"/>
  <c r="A3114" i="61"/>
  <c r="A3113" i="61"/>
  <c r="A3112" i="61"/>
  <c r="A3111" i="61"/>
  <c r="A3110" i="61"/>
  <c r="A3109" i="61"/>
  <c r="A3108" i="61"/>
  <c r="A3107" i="61"/>
  <c r="A3106" i="61"/>
  <c r="A3105" i="61"/>
  <c r="A3104" i="61"/>
  <c r="A3103" i="61"/>
  <c r="A3102" i="61"/>
  <c r="A3101" i="61"/>
  <c r="A3100" i="61"/>
  <c r="A3099" i="61"/>
  <c r="A3098" i="61"/>
  <c r="A3097" i="61"/>
  <c r="A3096" i="61"/>
  <c r="A3095" i="61"/>
  <c r="A3094" i="61"/>
  <c r="A3093" i="61"/>
  <c r="A3092" i="61"/>
  <c r="A3091" i="61"/>
  <c r="A3090" i="61"/>
  <c r="A3089" i="61"/>
  <c r="A3088" i="61"/>
  <c r="A3087" i="61"/>
  <c r="A3086" i="61"/>
  <c r="A3085" i="61"/>
  <c r="A3084" i="61"/>
  <c r="A3083" i="61"/>
  <c r="A3082" i="61"/>
  <c r="A3081" i="61"/>
  <c r="A3080" i="61"/>
  <c r="A3079" i="61"/>
  <c r="A3078" i="61"/>
  <c r="A3077" i="61"/>
  <c r="A3076" i="61"/>
  <c r="A3075" i="61"/>
  <c r="A3074" i="61"/>
  <c r="A3073" i="61"/>
  <c r="A3072" i="61"/>
  <c r="A3071" i="61"/>
  <c r="A3070" i="61"/>
  <c r="A3069" i="61"/>
  <c r="A3068" i="61"/>
  <c r="A3067" i="61"/>
  <c r="A3066" i="61"/>
  <c r="A3065" i="61"/>
  <c r="A3064" i="61"/>
  <c r="A3063" i="61"/>
  <c r="A3062" i="61"/>
  <c r="A3061" i="61"/>
  <c r="A3060" i="61"/>
  <c r="A3059" i="61"/>
  <c r="A3058" i="61"/>
  <c r="A3057" i="61"/>
  <c r="A3056" i="61"/>
  <c r="A3055" i="61"/>
  <c r="A3054" i="61"/>
  <c r="A3053" i="61"/>
  <c r="A3052" i="61"/>
  <c r="A3051" i="61"/>
  <c r="A3050" i="61"/>
  <c r="A3049" i="61"/>
  <c r="A3048" i="61"/>
  <c r="A3047" i="61"/>
  <c r="A3046" i="61"/>
  <c r="A3045" i="61"/>
  <c r="A3044" i="61"/>
  <c r="A3043" i="61"/>
  <c r="A3042" i="61"/>
  <c r="A3041" i="61"/>
  <c r="A3040" i="61"/>
  <c r="A3039" i="61"/>
  <c r="A3038" i="61"/>
  <c r="A3037" i="61"/>
  <c r="A3036" i="61"/>
  <c r="A3035" i="61"/>
  <c r="A3034" i="61"/>
  <c r="A3033" i="61"/>
  <c r="A3032" i="61"/>
  <c r="A3031" i="61"/>
  <c r="A3030" i="61"/>
  <c r="A3029" i="61"/>
  <c r="A3028" i="61"/>
  <c r="A3027" i="61"/>
  <c r="A3026" i="61"/>
  <c r="A3025" i="61"/>
  <c r="A3024" i="61"/>
  <c r="A3023" i="61"/>
  <c r="A3022" i="61"/>
  <c r="A3021" i="61"/>
  <c r="A3020" i="61"/>
  <c r="A3019" i="61"/>
  <c r="A3018" i="61"/>
  <c r="A3017" i="61"/>
  <c r="A3016" i="61"/>
  <c r="A3015" i="61"/>
  <c r="A3014" i="61"/>
  <c r="A3013" i="61"/>
  <c r="A3012" i="61"/>
  <c r="A3011" i="61"/>
  <c r="A3010" i="61"/>
  <c r="A3009" i="61"/>
  <c r="A3008" i="61"/>
  <c r="A3007" i="61"/>
  <c r="A3006" i="61"/>
  <c r="A3005" i="61"/>
  <c r="A3004" i="61"/>
  <c r="A3003" i="61"/>
  <c r="A3002" i="61"/>
  <c r="A3001" i="61"/>
  <c r="A3000" i="61"/>
  <c r="A2999" i="61"/>
  <c r="A2998" i="61"/>
  <c r="A2997" i="61"/>
  <c r="A2996" i="61"/>
  <c r="A2995" i="61"/>
  <c r="A2994" i="61"/>
  <c r="A2993" i="61"/>
  <c r="A2992" i="61"/>
  <c r="A2991" i="61"/>
  <c r="A2990" i="61"/>
  <c r="A2989" i="61"/>
  <c r="A2988" i="61"/>
  <c r="A2987" i="61"/>
  <c r="A2986" i="61"/>
  <c r="A2985" i="61"/>
  <c r="A2984" i="61"/>
  <c r="A2983" i="61"/>
  <c r="A2982" i="61"/>
  <c r="A2981" i="61"/>
  <c r="A2980" i="61"/>
  <c r="A2979" i="61"/>
  <c r="A2978" i="61"/>
  <c r="A2977" i="61"/>
  <c r="A2976" i="61"/>
  <c r="A2975" i="61"/>
  <c r="A2974" i="61"/>
  <c r="A2973" i="61"/>
  <c r="A2971" i="61"/>
  <c r="A2970" i="61"/>
  <c r="A2969" i="61"/>
  <c r="A2968" i="61"/>
  <c r="A2967" i="61"/>
  <c r="A2966" i="61"/>
  <c r="A2965" i="61"/>
  <c r="A2964" i="61"/>
  <c r="A2963" i="61"/>
  <c r="A2962" i="61"/>
  <c r="A2960" i="61"/>
  <c r="A2959" i="61"/>
  <c r="A2958" i="61"/>
  <c r="A2957" i="61"/>
  <c r="A2956" i="61"/>
  <c r="A2955" i="61"/>
  <c r="A2954" i="61"/>
  <c r="A2953" i="61"/>
  <c r="A2952" i="61"/>
  <c r="A2951" i="61"/>
  <c r="A2950" i="61"/>
  <c r="A2949" i="61"/>
  <c r="A2948" i="61"/>
  <c r="A2947" i="61"/>
  <c r="A2946" i="61"/>
  <c r="A2945" i="61"/>
  <c r="A2944" i="61"/>
  <c r="A2943" i="61"/>
  <c r="A2942" i="61"/>
  <c r="A2941" i="61"/>
  <c r="A2940" i="61"/>
  <c r="A2939" i="61"/>
  <c r="A2938" i="61"/>
  <c r="A2937" i="61"/>
  <c r="A2936" i="61"/>
  <c r="A2935" i="61"/>
  <c r="A2934" i="61"/>
  <c r="A2933" i="61"/>
  <c r="A2932" i="61"/>
  <c r="A2931" i="61"/>
  <c r="A2930" i="61"/>
  <c r="A2929" i="61"/>
  <c r="A2928" i="61"/>
  <c r="A2927" i="61"/>
  <c r="A2926" i="61"/>
  <c r="A2925" i="61"/>
  <c r="A2924" i="61"/>
  <c r="A2923" i="61"/>
  <c r="A2922" i="61"/>
  <c r="A2921" i="61"/>
  <c r="A2920" i="61"/>
  <c r="A2919" i="61"/>
  <c r="A2918" i="61"/>
  <c r="A2917" i="61"/>
  <c r="A2916" i="61"/>
  <c r="A2915" i="61"/>
  <c r="A2914" i="61"/>
  <c r="A2913" i="61"/>
  <c r="A2912" i="61"/>
  <c r="A2911" i="61"/>
  <c r="A2910" i="61"/>
  <c r="A2909" i="61"/>
  <c r="A2908" i="61"/>
  <c r="A2907" i="61"/>
  <c r="A2906" i="61"/>
  <c r="A2905" i="61"/>
  <c r="A2904" i="61"/>
  <c r="A2903" i="61"/>
  <c r="A2902" i="61"/>
  <c r="A2901" i="61"/>
  <c r="A2900" i="61"/>
  <c r="A2899" i="61"/>
  <c r="A2898" i="61"/>
  <c r="A2897" i="61"/>
  <c r="A2896" i="61"/>
  <c r="A2895" i="61"/>
  <c r="A2894" i="61"/>
  <c r="A2893" i="61"/>
  <c r="A2892" i="61"/>
  <c r="A2891" i="61"/>
  <c r="A2890" i="61"/>
  <c r="A2889" i="61"/>
  <c r="A2888" i="61"/>
  <c r="A2887" i="61"/>
  <c r="A2886" i="61"/>
  <c r="A2885" i="61"/>
  <c r="A2884" i="61"/>
  <c r="A2883" i="61"/>
  <c r="A2882" i="61"/>
  <c r="A2881" i="61"/>
  <c r="A2880" i="61"/>
  <c r="A2879" i="61"/>
  <c r="A2878" i="61"/>
  <c r="A2877" i="61"/>
  <c r="A2876" i="61"/>
  <c r="A2875" i="61"/>
  <c r="A2874" i="61"/>
  <c r="A2873" i="61"/>
  <c r="A2872" i="61"/>
  <c r="A2871" i="61"/>
  <c r="A2870" i="61"/>
  <c r="A2869" i="61"/>
  <c r="A2868" i="61"/>
  <c r="A2867" i="61"/>
  <c r="A2866" i="61"/>
  <c r="A2865" i="61"/>
  <c r="A2864" i="61"/>
  <c r="A2863" i="61"/>
  <c r="A2862" i="61"/>
  <c r="A2861" i="61"/>
  <c r="A2860" i="61"/>
  <c r="A2859" i="61"/>
  <c r="A2858" i="61"/>
  <c r="A2857" i="61"/>
  <c r="A2856" i="61"/>
  <c r="A2855" i="61"/>
  <c r="A2854" i="61"/>
  <c r="A2853" i="61"/>
  <c r="A2852" i="61"/>
  <c r="A2851" i="61"/>
  <c r="A2850" i="61"/>
  <c r="A2849" i="61"/>
  <c r="A2848" i="61"/>
  <c r="A2847" i="61"/>
  <c r="A2846" i="61"/>
  <c r="A2845" i="61"/>
  <c r="A2844" i="61"/>
  <c r="A2843" i="61"/>
  <c r="A2842" i="61"/>
  <c r="A2841" i="61"/>
  <c r="A2840" i="61"/>
  <c r="A2839" i="61"/>
  <c r="A2838" i="61"/>
  <c r="A2837" i="61"/>
  <c r="A2835" i="61"/>
  <c r="A2834" i="61"/>
  <c r="A2833" i="61"/>
  <c r="A2832" i="61"/>
  <c r="A2831" i="61"/>
  <c r="A2830" i="61"/>
  <c r="A2829" i="61"/>
  <c r="A2828" i="61"/>
  <c r="A2827" i="61"/>
  <c r="A2826" i="61"/>
  <c r="A2825" i="61"/>
  <c r="A2824" i="61"/>
  <c r="A2823" i="61"/>
  <c r="A2822" i="61"/>
  <c r="A2821" i="61"/>
  <c r="A2820" i="61"/>
  <c r="A2819" i="61"/>
  <c r="A2818" i="61"/>
  <c r="A2817" i="61"/>
  <c r="A2816" i="61"/>
  <c r="A2815" i="61"/>
  <c r="A2814" i="61"/>
  <c r="A2813" i="61"/>
  <c r="A2812" i="61"/>
  <c r="A2811" i="61"/>
  <c r="A2810" i="61"/>
  <c r="A2809" i="61"/>
  <c r="A2808" i="61"/>
  <c r="A2807" i="61"/>
  <c r="A2806" i="61"/>
  <c r="A2805" i="61"/>
  <c r="A2804" i="61"/>
  <c r="A2803" i="61"/>
  <c r="A2802" i="61"/>
  <c r="A2801" i="61"/>
  <c r="A2800" i="61"/>
  <c r="A2799" i="61"/>
  <c r="A2798" i="61"/>
  <c r="A2797" i="61"/>
  <c r="A2796" i="61"/>
  <c r="A2795" i="61"/>
  <c r="A2794" i="61"/>
  <c r="A2793" i="61"/>
  <c r="A2792" i="61"/>
  <c r="A2791" i="61"/>
  <c r="A2790" i="61"/>
  <c r="A2789" i="61"/>
  <c r="A2788" i="61"/>
  <c r="A2787" i="61"/>
  <c r="A2763" i="61"/>
  <c r="A2762" i="61"/>
  <c r="A2761" i="61"/>
  <c r="A2760" i="61"/>
  <c r="A2759" i="61"/>
  <c r="A2758" i="61"/>
  <c r="A2757" i="61"/>
  <c r="A2756" i="61"/>
  <c r="A2755" i="61"/>
  <c r="A2754" i="61"/>
  <c r="A2753" i="61"/>
  <c r="A2752" i="61"/>
  <c r="A2751" i="61"/>
  <c r="A2750" i="61"/>
  <c r="A2749" i="61"/>
  <c r="A2748" i="61"/>
  <c r="A2747" i="61"/>
  <c r="A2746" i="61"/>
  <c r="A2745" i="61"/>
  <c r="A2744" i="61"/>
  <c r="A2743" i="61"/>
  <c r="A2742" i="61"/>
  <c r="A2741" i="61"/>
  <c r="A2740" i="61"/>
  <c r="A2739" i="61"/>
  <c r="A2738" i="61"/>
  <c r="A2737" i="61"/>
  <c r="A2736" i="61"/>
  <c r="A2735" i="61"/>
  <c r="A2734" i="61"/>
  <c r="A2733" i="61"/>
  <c r="A2732" i="61"/>
  <c r="A2731" i="61"/>
  <c r="A2729" i="61"/>
  <c r="A2728" i="61"/>
  <c r="A2727" i="61"/>
  <c r="A2726" i="61"/>
  <c r="A2725" i="61"/>
  <c r="A2724" i="61"/>
  <c r="A2723" i="61"/>
  <c r="A2701" i="61"/>
  <c r="A2700" i="61"/>
  <c r="A2699" i="61"/>
  <c r="A2698" i="61"/>
  <c r="A2697" i="61"/>
  <c r="A2696" i="61"/>
  <c r="A2695" i="61"/>
  <c r="A2694" i="61"/>
  <c r="A2693" i="61"/>
  <c r="A2692" i="61"/>
  <c r="A2691" i="61"/>
  <c r="A2690" i="61"/>
  <c r="A2671" i="61"/>
  <c r="A2670" i="61"/>
  <c r="A2669" i="61"/>
  <c r="A2668" i="61"/>
  <c r="A2667" i="61"/>
  <c r="A2666" i="61"/>
  <c r="A2665" i="61"/>
  <c r="A2663" i="61"/>
  <c r="A2662" i="61"/>
  <c r="A2661" i="61"/>
  <c r="A2660" i="61"/>
  <c r="A2659" i="61"/>
  <c r="A2658" i="61"/>
  <c r="A2657" i="61"/>
  <c r="A2656" i="61"/>
  <c r="A2655" i="61"/>
  <c r="A2654" i="61"/>
  <c r="A2653" i="61"/>
  <c r="A2652" i="61"/>
  <c r="A2651" i="61"/>
  <c r="A2650" i="61"/>
  <c r="A2649" i="61"/>
  <c r="A2648" i="61"/>
  <c r="A2647" i="61"/>
  <c r="A2646" i="61"/>
  <c r="A2645" i="61"/>
  <c r="A2644" i="61"/>
  <c r="A2643" i="61"/>
  <c r="A2642" i="61"/>
  <c r="A2641" i="61"/>
  <c r="A2640" i="61"/>
  <c r="A2639" i="61"/>
  <c r="A2638" i="61"/>
  <c r="A2637" i="61"/>
  <c r="A2636" i="61"/>
  <c r="A2635" i="61"/>
  <c r="A2634" i="61"/>
  <c r="A2633" i="61"/>
  <c r="A2632" i="61"/>
  <c r="A2617" i="61"/>
  <c r="A2616" i="61"/>
  <c r="A2615" i="61"/>
  <c r="A2614" i="61"/>
  <c r="A2613" i="61"/>
  <c r="A2612" i="61"/>
  <c r="C25" i="1"/>
  <c r="B25" i="1"/>
  <c r="C21" i="1"/>
  <c r="B21" i="1"/>
  <c r="C15" i="1"/>
  <c r="B15" i="1"/>
  <c r="C6" i="1"/>
  <c r="B6" i="1"/>
  <c r="C49" i="33"/>
  <c r="B49" i="33"/>
  <c r="C47" i="33"/>
  <c r="B47" i="33"/>
  <c r="C43" i="33"/>
  <c r="C39" i="33"/>
  <c r="B39" i="33"/>
  <c r="C31" i="33"/>
  <c r="B31" i="33"/>
  <c r="C23" i="33"/>
  <c r="B23" i="33"/>
  <c r="C15" i="33"/>
  <c r="B15" i="33"/>
  <c r="C6" i="33"/>
  <c r="B6" i="33"/>
  <c r="A1" i="89"/>
  <c r="A1" i="88"/>
  <c r="A1" i="87"/>
  <c r="A1" i="86"/>
  <c r="A1" i="85"/>
  <c r="A1" i="84"/>
  <c r="E14" i="15"/>
  <c r="D10" i="8"/>
  <c r="D26" i="8" s="1"/>
  <c r="W40" i="83"/>
  <c r="Q32" i="83"/>
  <c r="Q18" i="83"/>
  <c r="Q16" i="83"/>
  <c r="D11" i="58"/>
  <c r="A538" i="7"/>
  <c r="A539" i="7"/>
  <c r="B539" i="7"/>
  <c r="D538" i="7"/>
  <c r="D539" i="7"/>
  <c r="A322" i="7"/>
  <c r="B322" i="7"/>
  <c r="D324" i="7"/>
  <c r="D323" i="7"/>
  <c r="D322" i="7"/>
  <c r="A325" i="7"/>
  <c r="B325" i="7"/>
  <c r="D325" i="7"/>
  <c r="D318" i="7"/>
  <c r="H176" i="75"/>
  <c r="H177" i="75"/>
  <c r="D593" i="7"/>
  <c r="D592" i="7"/>
  <c r="D591" i="7"/>
  <c r="D590" i="7"/>
  <c r="D589" i="7"/>
  <c r="A594" i="7"/>
  <c r="B592" i="7"/>
  <c r="B590" i="7"/>
  <c r="H419" i="75"/>
  <c r="H421" i="75" s="1"/>
  <c r="E13" i="74"/>
  <c r="F13" i="74" s="1"/>
  <c r="G13" i="74" s="1"/>
  <c r="E12" i="74"/>
  <c r="F12" i="74" s="1"/>
  <c r="G12" i="74" s="1"/>
  <c r="E11" i="74"/>
  <c r="F11" i="74" s="1"/>
  <c r="E9" i="74"/>
  <c r="E8" i="74" s="1"/>
  <c r="C10" i="74"/>
  <c r="C8" i="74"/>
  <c r="A9" i="58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D153" i="58"/>
  <c r="H213" i="75" s="1"/>
  <c r="H142" i="75"/>
  <c r="B600" i="7"/>
  <c r="B599" i="7"/>
  <c r="B598" i="7"/>
  <c r="A600" i="7"/>
  <c r="A599" i="7"/>
  <c r="A598" i="7"/>
  <c r="B597" i="7"/>
  <c r="A597" i="7"/>
  <c r="A596" i="7"/>
  <c r="B596" i="7"/>
  <c r="B595" i="7"/>
  <c r="A595" i="7"/>
  <c r="D594" i="7"/>
  <c r="A592" i="7"/>
  <c r="A590" i="7"/>
  <c r="A589" i="7"/>
  <c r="D587" i="7"/>
  <c r="B587" i="7"/>
  <c r="A587" i="7"/>
  <c r="A546" i="7"/>
  <c r="A545" i="7"/>
  <c r="D542" i="7"/>
  <c r="B542" i="7"/>
  <c r="A542" i="7"/>
  <c r="D540" i="7"/>
  <c r="B540" i="7"/>
  <c r="A540" i="7"/>
  <c r="D511" i="7"/>
  <c r="D509" i="7"/>
  <c r="D508" i="7"/>
  <c r="D507" i="7"/>
  <c r="D506" i="7"/>
  <c r="D502" i="7"/>
  <c r="D501" i="7"/>
  <c r="D500" i="7"/>
  <c r="A500" i="7"/>
  <c r="D499" i="7"/>
  <c r="D498" i="7"/>
  <c r="D497" i="7"/>
  <c r="A497" i="7"/>
  <c r="D495" i="7"/>
  <c r="D494" i="7"/>
  <c r="D493" i="7"/>
  <c r="A493" i="7"/>
  <c r="A491" i="7"/>
  <c r="A489" i="7"/>
  <c r="A488" i="7"/>
  <c r="D486" i="7"/>
  <c r="A486" i="7"/>
  <c r="B491" i="7" s="1"/>
  <c r="A484" i="7"/>
  <c r="A482" i="7"/>
  <c r="A481" i="7"/>
  <c r="D479" i="7"/>
  <c r="A479" i="7"/>
  <c r="B481" i="7" s="1"/>
  <c r="B482" i="7" s="1"/>
  <c r="B484" i="7" s="1"/>
  <c r="A477" i="7"/>
  <c r="A476" i="7"/>
  <c r="D477" i="7"/>
  <c r="D476" i="7"/>
  <c r="D475" i="7"/>
  <c r="A475" i="7"/>
  <c r="D474" i="7"/>
  <c r="D473" i="7"/>
  <c r="D472" i="7"/>
  <c r="A472" i="7"/>
  <c r="A468" i="7"/>
  <c r="D466" i="7"/>
  <c r="D465" i="7"/>
  <c r="D470" i="7"/>
  <c r="D469" i="7"/>
  <c r="B464" i="7"/>
  <c r="A464" i="7"/>
  <c r="D464" i="7"/>
  <c r="D468" i="7"/>
  <c r="D462" i="7"/>
  <c r="A462" i="7"/>
  <c r="D460" i="7"/>
  <c r="A460" i="7"/>
  <c r="D458" i="7"/>
  <c r="A458" i="7"/>
  <c r="D456" i="7"/>
  <c r="A456" i="7"/>
  <c r="D454" i="7"/>
  <c r="A454" i="7"/>
  <c r="D452" i="7"/>
  <c r="A452" i="7"/>
  <c r="A450" i="7"/>
  <c r="A448" i="7"/>
  <c r="A447" i="7"/>
  <c r="D444" i="7"/>
  <c r="A444" i="7"/>
  <c r="A442" i="7"/>
  <c r="A440" i="7"/>
  <c r="A439" i="7"/>
  <c r="D437" i="7"/>
  <c r="A437" i="7"/>
  <c r="D435" i="7"/>
  <c r="B435" i="7"/>
  <c r="A435" i="7"/>
  <c r="A433" i="7"/>
  <c r="A431" i="7"/>
  <c r="A430" i="7"/>
  <c r="D428" i="7"/>
  <c r="A428" i="7"/>
  <c r="A423" i="7"/>
  <c r="A418" i="7"/>
  <c r="A413" i="7"/>
  <c r="B411" i="7"/>
  <c r="A411" i="7"/>
  <c r="D411" i="7"/>
  <c r="D406" i="7"/>
  <c r="D405" i="7"/>
  <c r="A406" i="7"/>
  <c r="H246" i="75"/>
  <c r="H247" i="75"/>
  <c r="B405" i="7"/>
  <c r="A405" i="7"/>
  <c r="A404" i="7"/>
  <c r="D404" i="7"/>
  <c r="D403" i="7"/>
  <c r="A403" i="7"/>
  <c r="D402" i="7"/>
  <c r="A402" i="7"/>
  <c r="D399" i="7"/>
  <c r="D400" i="7"/>
  <c r="B400" i="7"/>
  <c r="A400" i="7"/>
  <c r="B399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H221" i="75"/>
  <c r="A387" i="7"/>
  <c r="D385" i="7"/>
  <c r="A385" i="7"/>
  <c r="D380" i="7"/>
  <c r="A380" i="7"/>
  <c r="D379" i="7"/>
  <c r="B379" i="7"/>
  <c r="A379" i="7"/>
  <c r="D378" i="7"/>
  <c r="A378" i="7"/>
  <c r="B377" i="7"/>
  <c r="D377" i="7"/>
  <c r="A377" i="7"/>
  <c r="D376" i="7"/>
  <c r="A376" i="7"/>
  <c r="B376" i="7"/>
  <c r="D375" i="7"/>
  <c r="A375" i="7"/>
  <c r="B375" i="7"/>
  <c r="D371" i="7"/>
  <c r="D372" i="7"/>
  <c r="D373" i="7"/>
  <c r="D370" i="7"/>
  <c r="A370" i="7"/>
  <c r="A369" i="7"/>
  <c r="A367" i="7"/>
  <c r="A366" i="7"/>
  <c r="A365" i="7"/>
  <c r="D361" i="7"/>
  <c r="A360" i="7"/>
  <c r="B365" i="7" s="1"/>
  <c r="B366" i="7" s="1"/>
  <c r="B367" i="7" s="1"/>
  <c r="B369" i="7" s="1"/>
  <c r="D353" i="7"/>
  <c r="A359" i="7"/>
  <c r="A357" i="7"/>
  <c r="A356" i="7"/>
  <c r="A355" i="7"/>
  <c r="A353" i="7"/>
  <c r="B355" i="7" s="1"/>
  <c r="B356" i="7" s="1"/>
  <c r="B357" i="7" s="1"/>
  <c r="B359" i="7" s="1"/>
  <c r="A352" i="7"/>
  <c r="B353" i="7"/>
  <c r="A350" i="7"/>
  <c r="A349" i="7"/>
  <c r="A348" i="7"/>
  <c r="D346" i="7"/>
  <c r="D345" i="7"/>
  <c r="D344" i="7"/>
  <c r="D341" i="7"/>
  <c r="D340" i="7"/>
  <c r="D339" i="7"/>
  <c r="D338" i="7"/>
  <c r="A338" i="7"/>
  <c r="H188" i="75"/>
  <c r="A337" i="7"/>
  <c r="A336" i="7"/>
  <c r="A334" i="7"/>
  <c r="A333" i="7"/>
  <c r="A332" i="7"/>
  <c r="A328" i="7"/>
  <c r="B332" i="7" s="1"/>
  <c r="B333" i="7" s="1"/>
  <c r="B334" i="7" s="1"/>
  <c r="B336" i="7" s="1"/>
  <c r="B328" i="7"/>
  <c r="D331" i="7"/>
  <c r="D330" i="7"/>
  <c r="D329" i="7"/>
  <c r="A327" i="7"/>
  <c r="A326" i="7"/>
  <c r="H181" i="75"/>
  <c r="B326" i="7"/>
  <c r="H180" i="75"/>
  <c r="H179" i="75"/>
  <c r="D320" i="7"/>
  <c r="D315" i="7"/>
  <c r="H175" i="75"/>
  <c r="H174" i="75"/>
  <c r="B318" i="7"/>
  <c r="A318" i="7"/>
  <c r="D316" i="7"/>
  <c r="B316" i="7"/>
  <c r="A316" i="7"/>
  <c r="D314" i="7"/>
  <c r="B314" i="7"/>
  <c r="A314" i="7"/>
  <c r="D308" i="7"/>
  <c r="D307" i="7"/>
  <c r="A307" i="7"/>
  <c r="D306" i="7"/>
  <c r="H170" i="75"/>
  <c r="A306" i="7"/>
  <c r="A305" i="7"/>
  <c r="D304" i="7"/>
  <c r="B304" i="7"/>
  <c r="A304" i="7"/>
  <c r="B303" i="7"/>
  <c r="A303" i="7"/>
  <c r="B302" i="7"/>
  <c r="A302" i="7"/>
  <c r="A298" i="7"/>
  <c r="A297" i="7"/>
  <c r="A295" i="7"/>
  <c r="A294" i="7"/>
  <c r="A293" i="7"/>
  <c r="A291" i="7"/>
  <c r="B293" i="7" s="1"/>
  <c r="B294" i="7" s="1"/>
  <c r="B295" i="7" s="1"/>
  <c r="B297" i="7" s="1"/>
  <c r="A283" i="7"/>
  <c r="B283" i="7" s="1"/>
  <c r="A282" i="7"/>
  <c r="B282" i="7" s="1"/>
  <c r="A281" i="7"/>
  <c r="D275" i="7"/>
  <c r="A280" i="7"/>
  <c r="A278" i="7"/>
  <c r="A277" i="7"/>
  <c r="A276" i="7"/>
  <c r="A275" i="7"/>
  <c r="B276" i="7" s="1"/>
  <c r="B277" i="7" s="1"/>
  <c r="B278" i="7" s="1"/>
  <c r="B280" i="7" s="1"/>
  <c r="A272" i="7"/>
  <c r="B272" i="7"/>
  <c r="D273" i="7"/>
  <c r="D272" i="7"/>
  <c r="B269" i="7"/>
  <c r="A269" i="7"/>
  <c r="D270" i="7"/>
  <c r="D269" i="7"/>
  <c r="B266" i="7"/>
  <c r="A266" i="7"/>
  <c r="D267" i="7"/>
  <c r="D266" i="7"/>
  <c r="B263" i="7"/>
  <c r="B260" i="7"/>
  <c r="A263" i="7"/>
  <c r="D264" i="7"/>
  <c r="D263" i="7"/>
  <c r="A260" i="7"/>
  <c r="D261" i="7"/>
  <c r="D260" i="7"/>
  <c r="B257" i="7"/>
  <c r="A257" i="7"/>
  <c r="D258" i="7"/>
  <c r="D257" i="7"/>
  <c r="B254" i="7"/>
  <c r="A254" i="7"/>
  <c r="D255" i="7"/>
  <c r="D254" i="7"/>
  <c r="B251" i="7"/>
  <c r="A251" i="7"/>
  <c r="D252" i="7"/>
  <c r="D251" i="7"/>
  <c r="B248" i="7"/>
  <c r="A248" i="7"/>
  <c r="D249" i="7"/>
  <c r="D248" i="7"/>
  <c r="B245" i="7"/>
  <c r="A245" i="7"/>
  <c r="D246" i="7"/>
  <c r="D245" i="7"/>
  <c r="B242" i="7"/>
  <c r="A242" i="7"/>
  <c r="D243" i="7"/>
  <c r="D242" i="7"/>
  <c r="B239" i="7"/>
  <c r="A239" i="7"/>
  <c r="D240" i="7"/>
  <c r="D239" i="7"/>
  <c r="B236" i="7"/>
  <c r="A236" i="7"/>
  <c r="D237" i="7"/>
  <c r="D236" i="7"/>
  <c r="B233" i="7"/>
  <c r="A233" i="7"/>
  <c r="D234" i="7"/>
  <c r="D233" i="7"/>
  <c r="B230" i="7"/>
  <c r="A230" i="7"/>
  <c r="D231" i="7"/>
  <c r="D230" i="7"/>
  <c r="B227" i="7"/>
  <c r="A227" i="7"/>
  <c r="D228" i="7"/>
  <c r="D227" i="7"/>
  <c r="B224" i="7"/>
  <c r="A224" i="7"/>
  <c r="D225" i="7"/>
  <c r="D224" i="7"/>
  <c r="B275" i="7"/>
  <c r="A221" i="7"/>
  <c r="A218" i="7"/>
  <c r="B221" i="7"/>
  <c r="D222" i="7"/>
  <c r="D221" i="7"/>
  <c r="B218" i="7"/>
  <c r="D219" i="7"/>
  <c r="D218" i="7"/>
  <c r="B215" i="7"/>
  <c r="A215" i="7"/>
  <c r="D216" i="7"/>
  <c r="D215" i="7"/>
  <c r="A212" i="7"/>
  <c r="D213" i="7"/>
  <c r="D212" i="7"/>
  <c r="B209" i="7"/>
  <c r="A209" i="7"/>
  <c r="D210" i="7"/>
  <c r="D209" i="7"/>
  <c r="B206" i="7"/>
  <c r="D207" i="7"/>
  <c r="D206" i="7"/>
  <c r="A206" i="7"/>
  <c r="B203" i="7"/>
  <c r="A203" i="7"/>
  <c r="D204" i="7"/>
  <c r="D203" i="7"/>
  <c r="B200" i="7"/>
  <c r="A200" i="7"/>
  <c r="D201" i="7"/>
  <c r="D200" i="7"/>
  <c r="B197" i="7"/>
  <c r="A197" i="7"/>
  <c r="D198" i="7"/>
  <c r="D197" i="7"/>
  <c r="B194" i="7"/>
  <c r="A194" i="7"/>
  <c r="D195" i="7"/>
  <c r="D194" i="7"/>
  <c r="B191" i="7"/>
  <c r="A191" i="7"/>
  <c r="D192" i="7"/>
  <c r="D191" i="7"/>
  <c r="B188" i="7"/>
  <c r="A188" i="7"/>
  <c r="D189" i="7"/>
  <c r="D188" i="7"/>
  <c r="B185" i="7"/>
  <c r="A185" i="7"/>
  <c r="D186" i="7"/>
  <c r="D185" i="7"/>
  <c r="B182" i="7"/>
  <c r="A182" i="7"/>
  <c r="D183" i="7"/>
  <c r="D182" i="7"/>
  <c r="B179" i="7"/>
  <c r="A179" i="7"/>
  <c r="D180" i="7"/>
  <c r="D179" i="7"/>
  <c r="A176" i="7"/>
  <c r="B176" i="7"/>
  <c r="B173" i="7"/>
  <c r="A173" i="7"/>
  <c r="D177" i="7"/>
  <c r="D176" i="7"/>
  <c r="D174" i="7"/>
  <c r="D173" i="7"/>
  <c r="B170" i="7"/>
  <c r="A170" i="7"/>
  <c r="D171" i="7"/>
  <c r="D170" i="7"/>
  <c r="B167" i="7"/>
  <c r="A167" i="7"/>
  <c r="D168" i="7"/>
  <c r="D167" i="7"/>
  <c r="B164" i="7"/>
  <c r="A164" i="7"/>
  <c r="D165" i="7"/>
  <c r="D164" i="7"/>
  <c r="B161" i="7"/>
  <c r="A161" i="7"/>
  <c r="D162" i="7"/>
  <c r="D161" i="7"/>
  <c r="B158" i="7"/>
  <c r="A158" i="7"/>
  <c r="D159" i="7"/>
  <c r="D158" i="7"/>
  <c r="B155" i="7"/>
  <c r="A155" i="7"/>
  <c r="D156" i="7"/>
  <c r="D155" i="7"/>
  <c r="B152" i="7"/>
  <c r="A152" i="7"/>
  <c r="D153" i="7"/>
  <c r="D152" i="7"/>
  <c r="B149" i="7"/>
  <c r="A149" i="7"/>
  <c r="D150" i="7"/>
  <c r="D149" i="7"/>
  <c r="B146" i="7"/>
  <c r="A146" i="7"/>
  <c r="D147" i="7"/>
  <c r="D146" i="7"/>
  <c r="B143" i="7"/>
  <c r="A143" i="7"/>
  <c r="D144" i="7"/>
  <c r="D143" i="7"/>
  <c r="B140" i="7"/>
  <c r="A140" i="7"/>
  <c r="D141" i="7"/>
  <c r="D140" i="7"/>
  <c r="B137" i="7"/>
  <c r="A137" i="7"/>
  <c r="D138" i="7"/>
  <c r="D137" i="7"/>
  <c r="D135" i="7"/>
  <c r="D134" i="7"/>
  <c r="D132" i="7"/>
  <c r="D131" i="7"/>
  <c r="D129" i="7"/>
  <c r="D128" i="7"/>
  <c r="A134" i="7"/>
  <c r="A131" i="7"/>
  <c r="B134" i="7"/>
  <c r="B131" i="7"/>
  <c r="B128" i="7"/>
  <c r="A128" i="7"/>
  <c r="D126" i="7"/>
  <c r="D125" i="7"/>
  <c r="B125" i="7"/>
  <c r="A125" i="7"/>
  <c r="A122" i="7"/>
  <c r="B122" i="7"/>
  <c r="B119" i="7"/>
  <c r="B116" i="7"/>
  <c r="B113" i="7"/>
  <c r="B110" i="7"/>
  <c r="B107" i="7"/>
  <c r="B104" i="7"/>
  <c r="B101" i="7"/>
  <c r="B98" i="7"/>
  <c r="B95" i="7"/>
  <c r="B92" i="7"/>
  <c r="B89" i="7"/>
  <c r="B86" i="7"/>
  <c r="B83" i="7"/>
  <c r="B74" i="7"/>
  <c r="B77" i="7"/>
  <c r="B80" i="7"/>
  <c r="A119" i="7"/>
  <c r="A116" i="7"/>
  <c r="A113" i="7"/>
  <c r="A110" i="7"/>
  <c r="A107" i="7"/>
  <c r="A104" i="7"/>
  <c r="A101" i="7"/>
  <c r="A98" i="7"/>
  <c r="A95" i="7"/>
  <c r="A92" i="7"/>
  <c r="A89" i="7"/>
  <c r="A86" i="7"/>
  <c r="A83" i="7"/>
  <c r="A80" i="7"/>
  <c r="A77" i="7"/>
  <c r="A74" i="7"/>
  <c r="B71" i="7"/>
  <c r="A71" i="7"/>
  <c r="B68" i="7"/>
  <c r="A68" i="7"/>
  <c r="B65" i="7"/>
  <c r="A65" i="7"/>
  <c r="B62" i="7"/>
  <c r="A62" i="7"/>
  <c r="B59" i="7"/>
  <c r="A59" i="7"/>
  <c r="B56" i="7"/>
  <c r="A56" i="7"/>
  <c r="B53" i="7"/>
  <c r="A53" i="7"/>
  <c r="B50" i="7"/>
  <c r="A50" i="7"/>
  <c r="B44" i="7"/>
  <c r="B47" i="7"/>
  <c r="A47" i="7"/>
  <c r="A44" i="7"/>
  <c r="D38" i="7"/>
  <c r="D37" i="7"/>
  <c r="D36" i="7"/>
  <c r="D35" i="7"/>
  <c r="A42" i="7"/>
  <c r="A40" i="7"/>
  <c r="A39" i="7"/>
  <c r="A35" i="7"/>
  <c r="D28" i="7"/>
  <c r="A33" i="7"/>
  <c r="A31" i="7"/>
  <c r="A30" i="7"/>
  <c r="A28" i="7"/>
  <c r="B28" i="7"/>
  <c r="A26" i="7"/>
  <c r="A24" i="7"/>
  <c r="A23" i="7"/>
  <c r="D13" i="7"/>
  <c r="D21" i="7"/>
  <c r="D20" i="7"/>
  <c r="B20" i="7"/>
  <c r="A20" i="7"/>
  <c r="B13" i="7"/>
  <c r="B18" i="7" s="1"/>
  <c r="A18" i="7"/>
  <c r="A16" i="7"/>
  <c r="A15" i="7"/>
  <c r="A13" i="7"/>
  <c r="A11" i="7"/>
  <c r="A9" i="7"/>
  <c r="A8" i="7"/>
  <c r="A5" i="7"/>
  <c r="D5" i="7"/>
  <c r="F5" i="58"/>
  <c r="E5" i="58"/>
  <c r="H336" i="75"/>
  <c r="H304" i="75"/>
  <c r="H424" i="75"/>
  <c r="H414" i="75"/>
  <c r="H387" i="75"/>
  <c r="H361" i="75"/>
  <c r="H355" i="75"/>
  <c r="H354" i="75"/>
  <c r="H353" i="75"/>
  <c r="A1" i="75"/>
  <c r="H7" i="23"/>
  <c r="H6" i="23"/>
  <c r="H5" i="23"/>
  <c r="H4" i="23"/>
  <c r="H8" i="23" s="1"/>
  <c r="G7" i="23"/>
  <c r="G6" i="23"/>
  <c r="G5" i="23"/>
  <c r="G4" i="23"/>
  <c r="G8" i="23" s="1"/>
  <c r="F7" i="23"/>
  <c r="F6" i="23"/>
  <c r="F1764" i="23" s="1"/>
  <c r="K2351" i="100" s="1"/>
  <c r="L2351" i="100" s="1"/>
  <c r="F5" i="23"/>
  <c r="H172" i="75"/>
  <c r="D15" i="1"/>
  <c r="D6" i="1"/>
  <c r="C26" i="8"/>
  <c r="C25" i="8"/>
  <c r="C24" i="8"/>
  <c r="C23" i="8"/>
  <c r="B452" i="7"/>
  <c r="B450" i="7"/>
  <c r="B448" i="7"/>
  <c r="B447" i="7"/>
  <c r="D451" i="7"/>
  <c r="D450" i="7"/>
  <c r="D449" i="7"/>
  <c r="D448" i="7"/>
  <c r="D447" i="7"/>
  <c r="B444" i="7"/>
  <c r="D446" i="7"/>
  <c r="D441" i="7"/>
  <c r="D443" i="7"/>
  <c r="D442" i="7"/>
  <c r="B442" i="7"/>
  <c r="B440" i="7"/>
  <c r="B439" i="7"/>
  <c r="D440" i="7"/>
  <c r="D439" i="7"/>
  <c r="B437" i="7"/>
  <c r="D397" i="7"/>
  <c r="D396" i="7"/>
  <c r="D395" i="7"/>
  <c r="D394" i="7"/>
  <c r="D393" i="7"/>
  <c r="D392" i="7"/>
  <c r="D391" i="7"/>
  <c r="D390" i="7"/>
  <c r="D389" i="7"/>
  <c r="D388" i="7"/>
  <c r="D387" i="7"/>
  <c r="B387" i="7"/>
  <c r="B378" i="7"/>
  <c r="D337" i="7"/>
  <c r="D305" i="7"/>
  <c r="B305" i="7"/>
  <c r="D159" i="58"/>
  <c r="H211" i="75" s="1"/>
  <c r="D178" i="58"/>
  <c r="H237" i="75" s="1"/>
  <c r="D120" i="58"/>
  <c r="H168" i="75" s="1"/>
  <c r="D27" i="55"/>
  <c r="C27" i="55" s="1"/>
  <c r="E25" i="1"/>
  <c r="E21" i="1"/>
  <c r="E15" i="1"/>
  <c r="E6" i="1"/>
  <c r="A1" i="57"/>
  <c r="C9" i="57"/>
  <c r="D9" i="57"/>
  <c r="E9" i="57"/>
  <c r="F9" i="57"/>
  <c r="A1" i="56"/>
  <c r="B1" i="47"/>
  <c r="B1" i="46"/>
  <c r="B1" i="15"/>
  <c r="B1" i="14"/>
  <c r="C6" i="14"/>
  <c r="D6" i="14"/>
  <c r="E6" i="14"/>
  <c r="C7" i="14"/>
  <c r="D7" i="14"/>
  <c r="E7" i="14"/>
  <c r="C8" i="14"/>
  <c r="D8" i="14"/>
  <c r="E8" i="14"/>
  <c r="C9" i="14"/>
  <c r="D9" i="14"/>
  <c r="E9" i="14"/>
  <c r="C10" i="14"/>
  <c r="D10" i="14"/>
  <c r="E10" i="14"/>
  <c r="C11" i="14"/>
  <c r="D11" i="14"/>
  <c r="E11" i="14"/>
  <c r="C12" i="14"/>
  <c r="D12" i="14"/>
  <c r="E12" i="14"/>
  <c r="C13" i="14"/>
  <c r="D13" i="14"/>
  <c r="E13" i="14"/>
  <c r="C15" i="14"/>
  <c r="D15" i="14"/>
  <c r="E15" i="14"/>
  <c r="C16" i="14"/>
  <c r="D16" i="14"/>
  <c r="E16" i="14"/>
  <c r="C17" i="14"/>
  <c r="D17" i="14"/>
  <c r="E17" i="14"/>
  <c r="C18" i="14"/>
  <c r="D18" i="14"/>
  <c r="E18" i="14"/>
  <c r="C19" i="14"/>
  <c r="D19" i="14"/>
  <c r="E19" i="14"/>
  <c r="G20" i="14"/>
  <c r="C21" i="14"/>
  <c r="D21" i="14"/>
  <c r="E21" i="14"/>
  <c r="C22" i="14"/>
  <c r="D22" i="14"/>
  <c r="E22" i="14"/>
  <c r="C23" i="14"/>
  <c r="D23" i="14"/>
  <c r="E23" i="14"/>
  <c r="G24" i="14"/>
  <c r="C25" i="14"/>
  <c r="D25" i="14"/>
  <c r="E25" i="14"/>
  <c r="C26" i="14"/>
  <c r="D26" i="14"/>
  <c r="E26" i="14"/>
  <c r="C27" i="14"/>
  <c r="D27" i="14"/>
  <c r="E27" i="14"/>
  <c r="C28" i="14"/>
  <c r="D28" i="14"/>
  <c r="E28" i="14"/>
  <c r="E9" i="12"/>
  <c r="D11" i="12"/>
  <c r="D12" i="12"/>
  <c r="E12" i="12" s="1"/>
  <c r="B1" i="8"/>
  <c r="A1" i="23"/>
  <c r="A1" i="18"/>
  <c r="A1" i="55"/>
  <c r="C20" i="55"/>
  <c r="C21" i="55" s="1"/>
  <c r="C22" i="55" s="1"/>
  <c r="A1" i="7"/>
  <c r="B5" i="7"/>
  <c r="D6" i="7"/>
  <c r="D8" i="7"/>
  <c r="D9" i="7"/>
  <c r="D10" i="7"/>
  <c r="D11" i="7"/>
  <c r="D12" i="7"/>
  <c r="D15" i="7"/>
  <c r="D16" i="7"/>
  <c r="D17" i="7"/>
  <c r="D18" i="7"/>
  <c r="D19" i="7"/>
  <c r="D23" i="7"/>
  <c r="D24" i="7"/>
  <c r="D25" i="7"/>
  <c r="D26" i="7"/>
  <c r="D27" i="7"/>
  <c r="D30" i="7"/>
  <c r="D31" i="7"/>
  <c r="D32" i="7"/>
  <c r="D33" i="7"/>
  <c r="D34" i="7"/>
  <c r="D39" i="7"/>
  <c r="D40" i="7"/>
  <c r="D41" i="7"/>
  <c r="D42" i="7"/>
  <c r="D43" i="7"/>
  <c r="B212" i="7"/>
  <c r="D276" i="7"/>
  <c r="D277" i="7"/>
  <c r="D278" i="7"/>
  <c r="D279" i="7"/>
  <c r="D280" i="7"/>
  <c r="B281" i="7"/>
  <c r="D293" i="7"/>
  <c r="D294" i="7"/>
  <c r="D295" i="7"/>
  <c r="D296" i="7"/>
  <c r="D297" i="7"/>
  <c r="D303" i="7"/>
  <c r="B306" i="7"/>
  <c r="B307" i="7"/>
  <c r="D309" i="7"/>
  <c r="D310" i="7"/>
  <c r="D311" i="7"/>
  <c r="D312" i="7"/>
  <c r="D313" i="7"/>
  <c r="D317" i="7"/>
  <c r="D319" i="7"/>
  <c r="D321" i="7"/>
  <c r="D326" i="7"/>
  <c r="B327" i="7"/>
  <c r="D327" i="7"/>
  <c r="D328" i="7"/>
  <c r="D332" i="7"/>
  <c r="D333" i="7"/>
  <c r="D334" i="7"/>
  <c r="D335" i="7"/>
  <c r="D336" i="7"/>
  <c r="B337" i="7"/>
  <c r="B338" i="7"/>
  <c r="B343" i="7"/>
  <c r="B348" i="7" s="1"/>
  <c r="B349" i="7" s="1"/>
  <c r="B350" i="7" s="1"/>
  <c r="B352" i="7" s="1"/>
  <c r="D343" i="7"/>
  <c r="D348" i="7"/>
  <c r="D349" i="7"/>
  <c r="D350" i="7"/>
  <c r="D351" i="7"/>
  <c r="D352" i="7"/>
  <c r="D355" i="7"/>
  <c r="D356" i="7"/>
  <c r="D357" i="7"/>
  <c r="D358" i="7"/>
  <c r="D359" i="7"/>
  <c r="B360" i="7"/>
  <c r="D360" i="7"/>
  <c r="D365" i="7"/>
  <c r="D366" i="7"/>
  <c r="D367" i="7"/>
  <c r="D368" i="7"/>
  <c r="D369" i="7"/>
  <c r="B370" i="7"/>
  <c r="B380" i="7"/>
  <c r="B385" i="7"/>
  <c r="B388" i="7"/>
  <c r="B389" i="7"/>
  <c r="B390" i="7"/>
  <c r="B391" i="7"/>
  <c r="B392" i="7"/>
  <c r="B393" i="7"/>
  <c r="B394" i="7"/>
  <c r="B395" i="7"/>
  <c r="B396" i="7"/>
  <c r="B397" i="7"/>
  <c r="B398" i="7"/>
  <c r="B402" i="7"/>
  <c r="B403" i="7"/>
  <c r="B404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B428" i="7"/>
  <c r="D430" i="7"/>
  <c r="D431" i="7"/>
  <c r="D432" i="7"/>
  <c r="D433" i="7"/>
  <c r="D434" i="7"/>
  <c r="B454" i="7"/>
  <c r="B456" i="7"/>
  <c r="B458" i="7"/>
  <c r="B460" i="7"/>
  <c r="B462" i="7"/>
  <c r="B468" i="7"/>
  <c r="B472" i="7"/>
  <c r="B475" i="7"/>
  <c r="B476" i="7"/>
  <c r="B477" i="7"/>
  <c r="B479" i="7"/>
  <c r="D481" i="7"/>
  <c r="D482" i="7"/>
  <c r="D483" i="7"/>
  <c r="D484" i="7"/>
  <c r="D485" i="7"/>
  <c r="B486" i="7"/>
  <c r="D488" i="7"/>
  <c r="D489" i="7"/>
  <c r="D490" i="7"/>
  <c r="D491" i="7"/>
  <c r="D492" i="7"/>
  <c r="B493" i="7"/>
  <c r="B497" i="7"/>
  <c r="B500" i="7"/>
  <c r="B589" i="7"/>
  <c r="B594" i="7"/>
  <c r="D595" i="7"/>
  <c r="D596" i="7"/>
  <c r="D597" i="7"/>
  <c r="D598" i="7"/>
  <c r="D599" i="7"/>
  <c r="D600" i="7"/>
  <c r="B1" i="58"/>
  <c r="D116" i="58"/>
  <c r="H164" i="75" s="1"/>
  <c r="I164" i="75" s="1"/>
  <c r="J164" i="75" s="1"/>
  <c r="D177" i="58"/>
  <c r="H236" i="75" s="1"/>
  <c r="B1" i="10"/>
  <c r="C6" i="10"/>
  <c r="C7" i="10"/>
  <c r="C8" i="10"/>
  <c r="C9" i="10"/>
  <c r="A1" i="9"/>
  <c r="B8" i="9"/>
  <c r="C8" i="9"/>
  <c r="D8" i="9"/>
  <c r="B9" i="9"/>
  <c r="C9" i="9"/>
  <c r="D9" i="9"/>
  <c r="C10" i="9"/>
  <c r="D10" i="9"/>
  <c r="C11" i="9"/>
  <c r="D11" i="9"/>
  <c r="B12" i="9"/>
  <c r="C12" i="9"/>
  <c r="D12" i="9"/>
  <c r="B13" i="9"/>
  <c r="C13" i="9"/>
  <c r="D13" i="9"/>
  <c r="B14" i="9"/>
  <c r="C14" i="9"/>
  <c r="D14" i="9"/>
  <c r="B15" i="9"/>
  <c r="C15" i="9"/>
  <c r="D15" i="9"/>
  <c r="B16" i="9"/>
  <c r="C16" i="9"/>
  <c r="D16" i="9"/>
  <c r="A1" i="4"/>
  <c r="B9" i="4"/>
  <c r="C9" i="4"/>
  <c r="D9" i="4"/>
  <c r="B10" i="4"/>
  <c r="C10" i="4"/>
  <c r="D10" i="4"/>
  <c r="H10" i="4"/>
  <c r="B11" i="4"/>
  <c r="C11" i="4"/>
  <c r="D11" i="4"/>
  <c r="B12" i="4"/>
  <c r="C12" i="4"/>
  <c r="D12" i="4"/>
  <c r="H12" i="4"/>
  <c r="B13" i="4"/>
  <c r="C13" i="4"/>
  <c r="D13" i="4"/>
  <c r="H13" i="4"/>
  <c r="B14" i="4"/>
  <c r="C14" i="4"/>
  <c r="D14" i="4"/>
  <c r="B15" i="4"/>
  <c r="C15" i="4"/>
  <c r="D15" i="4"/>
  <c r="B16" i="4"/>
  <c r="C16" i="4"/>
  <c r="D16" i="4"/>
  <c r="B18" i="4"/>
  <c r="C18" i="4"/>
  <c r="D18" i="4"/>
  <c r="H18" i="4"/>
  <c r="B19" i="4"/>
  <c r="C19" i="4"/>
  <c r="D19" i="4"/>
  <c r="B20" i="4"/>
  <c r="C20" i="4"/>
  <c r="D20" i="4"/>
  <c r="H20" i="4"/>
  <c r="B21" i="4"/>
  <c r="C21" i="4"/>
  <c r="D21" i="4"/>
  <c r="B22" i="4"/>
  <c r="C22" i="4"/>
  <c r="D22" i="4"/>
  <c r="B23" i="4"/>
  <c r="C23" i="4"/>
  <c r="D23" i="4"/>
  <c r="B1" i="3"/>
  <c r="C8" i="3"/>
  <c r="D8" i="3"/>
  <c r="E8" i="3"/>
  <c r="C9" i="3"/>
  <c r="D9" i="3"/>
  <c r="E9" i="3"/>
  <c r="C10" i="3"/>
  <c r="D10" i="3"/>
  <c r="E10" i="3"/>
  <c r="C11" i="3"/>
  <c r="D11" i="3"/>
  <c r="E11" i="3"/>
  <c r="C12" i="3"/>
  <c r="D12" i="3"/>
  <c r="E12" i="3"/>
  <c r="C13" i="3"/>
  <c r="D13" i="3"/>
  <c r="E13" i="3"/>
  <c r="C14" i="3"/>
  <c r="D14" i="3"/>
  <c r="E14" i="3"/>
  <c r="C15" i="3"/>
  <c r="D15" i="3"/>
  <c r="E15" i="3"/>
  <c r="C17" i="3"/>
  <c r="D17" i="3"/>
  <c r="E17" i="3"/>
  <c r="C18" i="3"/>
  <c r="D18" i="3"/>
  <c r="E18" i="3"/>
  <c r="C19" i="3"/>
  <c r="D19" i="3"/>
  <c r="E19" i="3"/>
  <c r="F19" i="14"/>
  <c r="D21" i="1"/>
  <c r="D25" i="1"/>
  <c r="F29" i="1"/>
  <c r="G9" i="3"/>
  <c r="I69" i="1"/>
  <c r="I72" i="1"/>
  <c r="I94" i="1"/>
  <c r="G153" i="1"/>
  <c r="E34" i="12"/>
  <c r="F10" i="9"/>
  <c r="D25" i="8"/>
  <c r="E25" i="46"/>
  <c r="E24" i="14" l="1"/>
  <c r="K1606" i="100"/>
  <c r="L1868" i="98"/>
  <c r="K1018" i="100" s="1"/>
  <c r="L1871" i="98"/>
  <c r="K1021" i="100" s="1"/>
  <c r="L1870" i="98"/>
  <c r="K1020" i="100" s="1"/>
  <c r="L1867" i="98"/>
  <c r="K1017" i="100" s="1"/>
  <c r="L1866" i="98"/>
  <c r="K1016" i="100" s="1"/>
  <c r="L1865" i="98"/>
  <c r="K1015" i="100" s="1"/>
  <c r="M1871" i="98"/>
  <c r="K2111" i="100"/>
  <c r="M1868" i="98"/>
  <c r="M1867" i="98"/>
  <c r="M1866" i="98"/>
  <c r="M1865" i="98"/>
  <c r="B51" i="33"/>
  <c r="B34" i="33"/>
  <c r="F15" i="9"/>
  <c r="H167" i="75"/>
  <c r="I249" i="75"/>
  <c r="D31" i="33"/>
  <c r="K140" i="100"/>
  <c r="K2918" i="100"/>
  <c r="K2895" i="100"/>
  <c r="K2902" i="100"/>
  <c r="K2894" i="100"/>
  <c r="K2700" i="100"/>
  <c r="K2664" i="100"/>
  <c r="K2634" i="100"/>
  <c r="K2713" i="100"/>
  <c r="K2688" i="100"/>
  <c r="K2648" i="100"/>
  <c r="K2622" i="100"/>
  <c r="K2603" i="100"/>
  <c r="K2703" i="100"/>
  <c r="K2643" i="100"/>
  <c r="K2544" i="100"/>
  <c r="K2518" i="100"/>
  <c r="K2689" i="100"/>
  <c r="K2609" i="100"/>
  <c r="K2701" i="100"/>
  <c r="K2571" i="100"/>
  <c r="K2517" i="100"/>
  <c r="K2208" i="100"/>
  <c r="K2192" i="100"/>
  <c r="K2182" i="100"/>
  <c r="K2149" i="100"/>
  <c r="K2141" i="100"/>
  <c r="K2102" i="100"/>
  <c r="K2714" i="100"/>
  <c r="K2611" i="100"/>
  <c r="K2251" i="100"/>
  <c r="L2251" i="100" s="1"/>
  <c r="K2223" i="100"/>
  <c r="K2172" i="100"/>
  <c r="K2164" i="100"/>
  <c r="K2125" i="100"/>
  <c r="K2089" i="100"/>
  <c r="K2081" i="100"/>
  <c r="K2523" i="100"/>
  <c r="K2222" i="100"/>
  <c r="K2183" i="100"/>
  <c r="K2144" i="100"/>
  <c r="K2080" i="100"/>
  <c r="K2017" i="100"/>
  <c r="K1980" i="100"/>
  <c r="K1952" i="100"/>
  <c r="K1875" i="100"/>
  <c r="K1744" i="100"/>
  <c r="K1701" i="100"/>
  <c r="K1617" i="100"/>
  <c r="K1603" i="100"/>
  <c r="K1572" i="100"/>
  <c r="K2597" i="100"/>
  <c r="K2228" i="100"/>
  <c r="K2142" i="100"/>
  <c r="K2105" i="100"/>
  <c r="K2067" i="100"/>
  <c r="K2059" i="100"/>
  <c r="K2038" i="100"/>
  <c r="K1995" i="100"/>
  <c r="K1937" i="100"/>
  <c r="K1881" i="100"/>
  <c r="K1639" i="100"/>
  <c r="K1625" i="100"/>
  <c r="K1559" i="100"/>
  <c r="K1541" i="100"/>
  <c r="K1527" i="100"/>
  <c r="K2116" i="100"/>
  <c r="K2047" i="100"/>
  <c r="K1963" i="100"/>
  <c r="K1704" i="100"/>
  <c r="K1614" i="100"/>
  <c r="K1571" i="100"/>
  <c r="K1540" i="100"/>
  <c r="K1514" i="100"/>
  <c r="K1500" i="100"/>
  <c r="K1427" i="100"/>
  <c r="K1206" i="100"/>
  <c r="K1170" i="100"/>
  <c r="K1163" i="100"/>
  <c r="K2661" i="100"/>
  <c r="K2226" i="100"/>
  <c r="K2103" i="100"/>
  <c r="K2037" i="100"/>
  <c r="K1896" i="100"/>
  <c r="K1642" i="100"/>
  <c r="K1564" i="100"/>
  <c r="K1440" i="100"/>
  <c r="K1370" i="100"/>
  <c r="L1370" i="100" s="1"/>
  <c r="K1192" i="100"/>
  <c r="K1186" i="100"/>
  <c r="K1149" i="100"/>
  <c r="K1139" i="100"/>
  <c r="K1130" i="100"/>
  <c r="K2099" i="100"/>
  <c r="K1874" i="100"/>
  <c r="K1471" i="100"/>
  <c r="K1417" i="100"/>
  <c r="K1123" i="100"/>
  <c r="L1123" i="100" s="1"/>
  <c r="K1096" i="100"/>
  <c r="K1069" i="100"/>
  <c r="K1027" i="100"/>
  <c r="K998" i="100"/>
  <c r="K860" i="100"/>
  <c r="K789" i="100"/>
  <c r="K742" i="100"/>
  <c r="K684" i="100"/>
  <c r="K575" i="100"/>
  <c r="K496" i="100"/>
  <c r="K376" i="100"/>
  <c r="K343" i="100"/>
  <c r="K323" i="100"/>
  <c r="K311" i="100"/>
  <c r="K2185" i="100"/>
  <c r="K1686" i="100"/>
  <c r="K1546" i="100"/>
  <c r="K1505" i="100"/>
  <c r="K1209" i="100"/>
  <c r="K1045" i="100"/>
  <c r="K951" i="100"/>
  <c r="K940" i="100"/>
  <c r="K879" i="100"/>
  <c r="K810" i="100"/>
  <c r="K782" i="100"/>
  <c r="K770" i="100"/>
  <c r="K758" i="100"/>
  <c r="K657" i="100"/>
  <c r="K643" i="100"/>
  <c r="K632" i="100"/>
  <c r="K626" i="100"/>
  <c r="K573" i="100"/>
  <c r="K558" i="100"/>
  <c r="K500" i="100"/>
  <c r="K476" i="100"/>
  <c r="K467" i="100"/>
  <c r="K463" i="100"/>
  <c r="K408" i="100"/>
  <c r="K368" i="100"/>
  <c r="K294" i="100"/>
  <c r="K2527" i="100"/>
  <c r="K1636" i="100"/>
  <c r="K1226" i="100"/>
  <c r="K1118" i="100"/>
  <c r="K1026" i="100"/>
  <c r="K753" i="100"/>
  <c r="K685" i="100"/>
  <c r="K629" i="100"/>
  <c r="K576" i="100"/>
  <c r="K483" i="100"/>
  <c r="K377" i="100"/>
  <c r="K340" i="100"/>
  <c r="K308" i="100"/>
  <c r="K249" i="100"/>
  <c r="K212" i="100"/>
  <c r="K75" i="100"/>
  <c r="K45" i="100"/>
  <c r="K2060" i="100"/>
  <c r="K1604" i="100"/>
  <c r="K1511" i="100"/>
  <c r="K1233" i="100"/>
  <c r="K1117" i="100"/>
  <c r="K1086" i="100"/>
  <c r="K959" i="100"/>
  <c r="K878" i="100"/>
  <c r="K807" i="100"/>
  <c r="K771" i="100"/>
  <c r="K668" i="100"/>
  <c r="K574" i="100"/>
  <c r="K395" i="100"/>
  <c r="K2082" i="100"/>
  <c r="K1961" i="100"/>
  <c r="K1569" i="100"/>
  <c r="K1491" i="100"/>
  <c r="K1207" i="100"/>
  <c r="K1084" i="100"/>
  <c r="K950" i="100"/>
  <c r="K858" i="100"/>
  <c r="K809" i="100"/>
  <c r="K769" i="100"/>
  <c r="K614" i="100"/>
  <c r="K413" i="100"/>
  <c r="K365" i="100"/>
  <c r="K222" i="100"/>
  <c r="K156" i="100"/>
  <c r="K415" i="100"/>
  <c r="K1042" i="100"/>
  <c r="K790" i="100"/>
  <c r="K485" i="100"/>
  <c r="K175" i="100"/>
  <c r="K350" i="100"/>
  <c r="K40" i="100"/>
  <c r="K481" i="100"/>
  <c r="K853" i="100"/>
  <c r="K287" i="100"/>
  <c r="K211" i="100"/>
  <c r="K66" i="100"/>
  <c r="K739" i="100"/>
  <c r="K199" i="100"/>
  <c r="K731" i="100"/>
  <c r="K226" i="100"/>
  <c r="L3699" i="98"/>
  <c r="L3700" i="98"/>
  <c r="K2921" i="100"/>
  <c r="K2916" i="100"/>
  <c r="K2900" i="100"/>
  <c r="K2679" i="100"/>
  <c r="K2632" i="100"/>
  <c r="K2671" i="100"/>
  <c r="K2620" i="100"/>
  <c r="K2631" i="100"/>
  <c r="K2716" i="100"/>
  <c r="K2565" i="100"/>
  <c r="K2543" i="100"/>
  <c r="K2206" i="100"/>
  <c r="K2578" i="100"/>
  <c r="K2221" i="100"/>
  <c r="K2162" i="100"/>
  <c r="K2260" i="100"/>
  <c r="L2260" i="100" s="1"/>
  <c r="K2025" i="100"/>
  <c r="K1978" i="100"/>
  <c r="K1873" i="100"/>
  <c r="K1699" i="100"/>
  <c r="K1586" i="100"/>
  <c r="K2566" i="100"/>
  <c r="K2171" i="100"/>
  <c r="K2046" i="100"/>
  <c r="K2003" i="100"/>
  <c r="K1935" i="100"/>
  <c r="K1778" i="100"/>
  <c r="K1637" i="100"/>
  <c r="K1553" i="100"/>
  <c r="K2718" i="100"/>
  <c r="K2090" i="100"/>
  <c r="K1936" i="100"/>
  <c r="K1536" i="100"/>
  <c r="K1494" i="100"/>
  <c r="K1161" i="100"/>
  <c r="K1872" i="100"/>
  <c r="K1523" i="100"/>
  <c r="K1368" i="100"/>
  <c r="L1368" i="100" s="1"/>
  <c r="K1191" i="100"/>
  <c r="K1148" i="100"/>
  <c r="K2574" i="100"/>
  <c r="K2068" i="100"/>
  <c r="K1446" i="100"/>
  <c r="K1116" i="100"/>
  <c r="K1025" i="100"/>
  <c r="K795" i="100"/>
  <c r="K752" i="100"/>
  <c r="K595" i="100"/>
  <c r="K388" i="100"/>
  <c r="K333" i="100"/>
  <c r="K309" i="100"/>
  <c r="K2062" i="100"/>
  <c r="K1534" i="100"/>
  <c r="K1205" i="100"/>
  <c r="K1041" i="100"/>
  <c r="K949" i="100"/>
  <c r="K891" i="100"/>
  <c r="K808" i="100"/>
  <c r="K768" i="100"/>
  <c r="K653" i="100"/>
  <c r="K567" i="100"/>
  <c r="K418" i="100"/>
  <c r="K406" i="100"/>
  <c r="K1955" i="100"/>
  <c r="K1441" i="100"/>
  <c r="K890" i="100"/>
  <c r="K681" i="100"/>
  <c r="K557" i="100"/>
  <c r="K360" i="100"/>
  <c r="K332" i="100"/>
  <c r="K240" i="100"/>
  <c r="K69" i="100"/>
  <c r="K1487" i="100"/>
  <c r="K1104" i="100"/>
  <c r="K955" i="100"/>
  <c r="K2002" i="100"/>
  <c r="K1538" i="100"/>
  <c r="K1144" i="100"/>
  <c r="K943" i="100"/>
  <c r="K805" i="100"/>
  <c r="K607" i="100"/>
  <c r="K353" i="100"/>
  <c r="K213" i="100"/>
  <c r="K152" i="100"/>
  <c r="K1943" i="100"/>
  <c r="K743" i="100"/>
  <c r="K214" i="100"/>
  <c r="K2573" i="100"/>
  <c r="K2024" i="100"/>
  <c r="K129" i="100"/>
  <c r="K1597" i="100"/>
  <c r="K613" i="100"/>
  <c r="K379" i="100"/>
  <c r="K627" i="100"/>
  <c r="L3603" i="98"/>
  <c r="K2557" i="100"/>
  <c r="K2922" i="100"/>
  <c r="K2919" i="100"/>
  <c r="K2706" i="100"/>
  <c r="K2677" i="100"/>
  <c r="K2598" i="100"/>
  <c r="K2654" i="100"/>
  <c r="K2612" i="100"/>
  <c r="K2680" i="100"/>
  <c r="K2522" i="100"/>
  <c r="K2621" i="100"/>
  <c r="K2665" i="100"/>
  <c r="K2254" i="100"/>
  <c r="L2254" i="100" s="1"/>
  <c r="K2186" i="100"/>
  <c r="K2145" i="100"/>
  <c r="K2560" i="100"/>
  <c r="K2219" i="100"/>
  <c r="K2085" i="100"/>
  <c r="K2252" i="100"/>
  <c r="L2252" i="100" s="1"/>
  <c r="K2023" i="100"/>
  <c r="K1976" i="100"/>
  <c r="K1705" i="100"/>
  <c r="K1697" i="100"/>
  <c r="K2653" i="100"/>
  <c r="K2558" i="100"/>
  <c r="K2165" i="100"/>
  <c r="K2044" i="100"/>
  <c r="K1999" i="100"/>
  <c r="K1915" i="100"/>
  <c r="K1683" i="100"/>
  <c r="K1592" i="100"/>
  <c r="K2672" i="100"/>
  <c r="K2191" i="100"/>
  <c r="K1583" i="100"/>
  <c r="K1528" i="100"/>
  <c r="K1488" i="100"/>
  <c r="K2064" i="100"/>
  <c r="K1630" i="100"/>
  <c r="K1474" i="100"/>
  <c r="K1366" i="100"/>
  <c r="L1366" i="100" s="1"/>
  <c r="K1245" i="100"/>
  <c r="K1147" i="100"/>
  <c r="K2201" i="100"/>
  <c r="K1628" i="100"/>
  <c r="K1146" i="100"/>
  <c r="K1103" i="100"/>
  <c r="K1065" i="100"/>
  <c r="K990" i="100"/>
  <c r="K750" i="100"/>
  <c r="K678" i="100"/>
  <c r="K386" i="100"/>
  <c r="K331" i="100"/>
  <c r="K1608" i="100"/>
  <c r="K1049" i="100"/>
  <c r="K958" i="100"/>
  <c r="K885" i="100"/>
  <c r="K778" i="100"/>
  <c r="K671" i="100"/>
  <c r="K635" i="100"/>
  <c r="K630" i="100"/>
  <c r="K503" i="100"/>
  <c r="K473" i="100"/>
  <c r="K416" i="100"/>
  <c r="K354" i="100"/>
  <c r="K993" i="100"/>
  <c r="K741" i="100"/>
  <c r="K611" i="100"/>
  <c r="K389" i="100"/>
  <c r="K328" i="100"/>
  <c r="K224" i="100"/>
  <c r="K67" i="100"/>
  <c r="K2705" i="100"/>
  <c r="K1550" i="100"/>
  <c r="K1150" i="100"/>
  <c r="K852" i="100"/>
  <c r="K759" i="100"/>
  <c r="K511" i="100"/>
  <c r="K1998" i="100"/>
  <c r="K1515" i="100"/>
  <c r="K1102" i="100"/>
  <c r="K939" i="100"/>
  <c r="K781" i="100"/>
  <c r="K564" i="100"/>
  <c r="K289" i="100"/>
  <c r="K201" i="100"/>
  <c r="K683" i="100"/>
  <c r="K223" i="100"/>
  <c r="K76" i="100"/>
  <c r="K258" i="100"/>
  <c r="K1211" i="100"/>
  <c r="K592" i="100"/>
  <c r="K38" i="100"/>
  <c r="K596" i="100"/>
  <c r="L1646" i="98"/>
  <c r="K2920" i="100"/>
  <c r="K2899" i="100"/>
  <c r="K2917" i="100"/>
  <c r="K2896" i="100"/>
  <c r="K2702" i="100"/>
  <c r="K2666" i="100"/>
  <c r="K2636" i="100"/>
  <c r="K2717" i="100"/>
  <c r="K2690" i="100"/>
  <c r="K2650" i="100"/>
  <c r="K2624" i="100"/>
  <c r="K2610" i="100"/>
  <c r="K2575" i="100"/>
  <c r="K2651" i="100"/>
  <c r="K2546" i="100"/>
  <c r="K2520" i="100"/>
  <c r="K2693" i="100"/>
  <c r="K2613" i="100"/>
  <c r="K2559" i="100"/>
  <c r="K2633" i="100"/>
  <c r="K2521" i="100"/>
  <c r="K2250" i="100"/>
  <c r="L2250" i="100" s="1"/>
  <c r="K2200" i="100"/>
  <c r="K2184" i="100"/>
  <c r="K2151" i="100"/>
  <c r="K2143" i="100"/>
  <c r="K2104" i="100"/>
  <c r="K2623" i="100"/>
  <c r="K2259" i="100"/>
  <c r="L2259" i="100" s="1"/>
  <c r="K2227" i="100"/>
  <c r="K2166" i="100"/>
  <c r="K2129" i="100"/>
  <c r="K2091" i="100"/>
  <c r="K2083" i="100"/>
  <c r="K2545" i="100"/>
  <c r="K2088" i="100"/>
  <c r="K2019" i="100"/>
  <c r="K1984" i="100"/>
  <c r="K1954" i="100"/>
  <c r="K1897" i="100"/>
  <c r="K1863" i="100"/>
  <c r="K1619" i="100"/>
  <c r="K1605" i="100"/>
  <c r="K1574" i="100"/>
  <c r="K2604" i="100"/>
  <c r="K2253" i="100"/>
  <c r="L2253" i="100" s="1"/>
  <c r="K2187" i="100"/>
  <c r="K2150" i="100"/>
  <c r="K2069" i="100"/>
  <c r="K2061" i="100"/>
  <c r="K2040" i="100"/>
  <c r="K1997" i="100"/>
  <c r="K1962" i="100"/>
  <c r="K1883" i="100"/>
  <c r="K1755" i="100"/>
  <c r="K1641" i="100"/>
  <c r="K1627" i="100"/>
  <c r="K1563" i="100"/>
  <c r="K1547" i="100"/>
  <c r="K1529" i="100"/>
  <c r="K2562" i="100"/>
  <c r="K2058" i="100"/>
  <c r="K1983" i="100"/>
  <c r="K1882" i="100"/>
  <c r="K1684" i="100"/>
  <c r="K1575" i="100"/>
  <c r="K1548" i="100"/>
  <c r="K1525" i="100"/>
  <c r="K1504" i="100"/>
  <c r="K1486" i="100"/>
  <c r="K1239" i="100"/>
  <c r="K1165" i="100"/>
  <c r="K2682" i="100"/>
  <c r="K2148" i="100"/>
  <c r="K2045" i="100"/>
  <c r="K1904" i="100"/>
  <c r="K1856" i="100"/>
  <c r="K1626" i="100"/>
  <c r="K1472" i="100"/>
  <c r="K1418" i="100"/>
  <c r="K1364" i="100"/>
  <c r="L1364" i="100" s="1"/>
  <c r="K1225" i="100"/>
  <c r="K1188" i="100"/>
  <c r="K1145" i="100"/>
  <c r="K1132" i="100"/>
  <c r="K2140" i="100"/>
  <c r="K1898" i="100"/>
  <c r="K1522" i="100"/>
  <c r="K1443" i="100"/>
  <c r="K1129" i="100"/>
  <c r="K1101" i="100"/>
  <c r="K1085" i="100"/>
  <c r="K1029" i="100"/>
  <c r="K1003" i="100"/>
  <c r="K791" i="100"/>
  <c r="K744" i="100"/>
  <c r="K730" i="100"/>
  <c r="K615" i="100"/>
  <c r="K577" i="100"/>
  <c r="K497" i="100"/>
  <c r="K378" i="100"/>
  <c r="K345" i="100"/>
  <c r="K329" i="100"/>
  <c r="K313" i="100"/>
  <c r="K2193" i="100"/>
  <c r="K2004" i="100"/>
  <c r="K1585" i="100"/>
  <c r="K1513" i="100"/>
  <c r="K1489" i="100"/>
  <c r="K1213" i="100"/>
  <c r="K1185" i="100"/>
  <c r="K1047" i="100"/>
  <c r="K956" i="100"/>
  <c r="K942" i="100"/>
  <c r="K883" i="100"/>
  <c r="K812" i="100"/>
  <c r="K804" i="100"/>
  <c r="K772" i="100"/>
  <c r="K760" i="100"/>
  <c r="K669" i="100"/>
  <c r="K645" i="100"/>
  <c r="K633" i="100"/>
  <c r="K628" i="100"/>
  <c r="K559" i="100"/>
  <c r="K502" i="100"/>
  <c r="K482" i="100"/>
  <c r="K472" i="100"/>
  <c r="K464" i="100"/>
  <c r="K414" i="100"/>
  <c r="K398" i="100"/>
  <c r="K296" i="100"/>
  <c r="K274" i="100"/>
  <c r="K1866" i="100"/>
  <c r="K1232" i="100"/>
  <c r="K1164" i="100"/>
  <c r="K855" i="100"/>
  <c r="K733" i="100"/>
  <c r="K634" i="100"/>
  <c r="K594" i="100"/>
  <c r="K385" i="100"/>
  <c r="K344" i="100"/>
  <c r="K312" i="100"/>
  <c r="K215" i="100"/>
  <c r="K77" i="100"/>
  <c r="K65" i="100"/>
  <c r="K2257" i="100"/>
  <c r="L2257" i="100" s="1"/>
  <c r="K1884" i="100"/>
  <c r="K1526" i="100"/>
  <c r="K1257" i="100"/>
  <c r="K1131" i="100"/>
  <c r="K1093" i="100"/>
  <c r="K973" i="100"/>
  <c r="K941" i="100"/>
  <c r="K779" i="100"/>
  <c r="K672" i="100"/>
  <c r="K605" i="100"/>
  <c r="K407" i="100"/>
  <c r="K2163" i="100"/>
  <c r="K1979" i="100"/>
  <c r="K1616" i="100"/>
  <c r="K1503" i="100"/>
  <c r="K1212" i="100"/>
  <c r="K1095" i="100"/>
  <c r="K957" i="100"/>
  <c r="K875" i="100"/>
  <c r="K814" i="100"/>
  <c r="K773" i="100"/>
  <c r="K658" i="100"/>
  <c r="K417" i="100"/>
  <c r="K369" i="100"/>
  <c r="K225" i="100"/>
  <c r="K13" i="100"/>
  <c r="K297" i="100"/>
  <c r="K970" i="100"/>
  <c r="K555" i="100"/>
  <c r="K22" i="100"/>
  <c r="K1524" i="100"/>
  <c r="K884" i="100"/>
  <c r="K153" i="100"/>
  <c r="K64" i="100"/>
  <c r="K644" i="100"/>
  <c r="K221" i="100"/>
  <c r="K2203" i="100"/>
  <c r="K995" i="100"/>
  <c r="K640" i="100"/>
  <c r="K512" i="100"/>
  <c r="K220" i="100"/>
  <c r="K70" i="100"/>
  <c r="K80" i="100"/>
  <c r="K1002" i="100"/>
  <c r="K273" i="100"/>
  <c r="K2715" i="100"/>
  <c r="K2161" i="100"/>
  <c r="K2704" i="100"/>
  <c r="K2893" i="100"/>
  <c r="K2892" i="100"/>
  <c r="K2662" i="100"/>
  <c r="K2711" i="100"/>
  <c r="K2641" i="100"/>
  <c r="K2579" i="100"/>
  <c r="K2699" i="100"/>
  <c r="K2526" i="100"/>
  <c r="K2659" i="100"/>
  <c r="K2678" i="100"/>
  <c r="K2258" i="100"/>
  <c r="L2258" i="100" s="1"/>
  <c r="K2190" i="100"/>
  <c r="K2098" i="100"/>
  <c r="K2691" i="100"/>
  <c r="K2170" i="100"/>
  <c r="K2123" i="100"/>
  <c r="K2207" i="100"/>
  <c r="K2015" i="100"/>
  <c r="K1946" i="100"/>
  <c r="K1733" i="100"/>
  <c r="K1615" i="100"/>
  <c r="K1570" i="100"/>
  <c r="K2220" i="100"/>
  <c r="K2130" i="100"/>
  <c r="K2065" i="100"/>
  <c r="K2036" i="100"/>
  <c r="K1685" i="100"/>
  <c r="K1596" i="100"/>
  <c r="K1537" i="100"/>
  <c r="K2039" i="100"/>
  <c r="K1700" i="100"/>
  <c r="K1560" i="100"/>
  <c r="K1512" i="100"/>
  <c r="K1204" i="100"/>
  <c r="K1169" i="100"/>
  <c r="K2615" i="100"/>
  <c r="K2084" i="100"/>
  <c r="K1953" i="100"/>
  <c r="K1638" i="100"/>
  <c r="K1251" i="100"/>
  <c r="K1184" i="100"/>
  <c r="K1134" i="100"/>
  <c r="K1224" i="100"/>
  <c r="K1094" i="100"/>
  <c r="K1067" i="100"/>
  <c r="K740" i="100"/>
  <c r="K682" i="100"/>
  <c r="K556" i="100"/>
  <c r="K374" i="100"/>
  <c r="K321" i="100"/>
  <c r="K1620" i="100"/>
  <c r="K1501" i="100"/>
  <c r="K1371" i="100"/>
  <c r="L1371" i="100" s="1"/>
  <c r="K1162" i="100"/>
  <c r="K877" i="100"/>
  <c r="K780" i="100"/>
  <c r="K673" i="100"/>
  <c r="K641" i="100"/>
  <c r="K610" i="100"/>
  <c r="K508" i="100"/>
  <c r="K474" i="100"/>
  <c r="K466" i="100"/>
  <c r="K366" i="100"/>
  <c r="K288" i="100"/>
  <c r="K1183" i="100"/>
  <c r="K1004" i="100"/>
  <c r="K749" i="100"/>
  <c r="K625" i="100"/>
  <c r="K475" i="100"/>
  <c r="K295" i="100"/>
  <c r="K203" i="100"/>
  <c r="K81" i="100"/>
  <c r="K35" i="100"/>
  <c r="K1581" i="100"/>
  <c r="K1203" i="100"/>
  <c r="K1068" i="100"/>
  <c r="K856" i="100"/>
  <c r="K763" i="100"/>
  <c r="K566" i="100"/>
  <c r="K355" i="100"/>
  <c r="K1934" i="100"/>
  <c r="K1062" i="100"/>
  <c r="K854" i="100"/>
  <c r="K761" i="100"/>
  <c r="K405" i="100"/>
  <c r="K184" i="100"/>
  <c r="K403" i="100"/>
  <c r="K1028" i="100"/>
  <c r="K387" i="100"/>
  <c r="K1006" i="100"/>
  <c r="K342" i="100"/>
  <c r="K794" i="100"/>
  <c r="K155" i="100"/>
  <c r="K46" i="100"/>
  <c r="K2901" i="100"/>
  <c r="K2898" i="100"/>
  <c r="K2660" i="100"/>
  <c r="K2694" i="100"/>
  <c r="K2626" i="100"/>
  <c r="K2577" i="100"/>
  <c r="K2572" i="100"/>
  <c r="K2712" i="100"/>
  <c r="K2561" i="100"/>
  <c r="K2525" i="100"/>
  <c r="K2202" i="100"/>
  <c r="K2117" i="100"/>
  <c r="K2649" i="100"/>
  <c r="K2229" i="100"/>
  <c r="K2110" i="100"/>
  <c r="K2687" i="100"/>
  <c r="K2199" i="100"/>
  <c r="K2126" i="100"/>
  <c r="K1944" i="100"/>
  <c r="K1865" i="100"/>
  <c r="K1609" i="100"/>
  <c r="K1580" i="100"/>
  <c r="K2205" i="100"/>
  <c r="K2124" i="100"/>
  <c r="K2063" i="100"/>
  <c r="K1964" i="100"/>
  <c r="K1776" i="100"/>
  <c r="K1631" i="100"/>
  <c r="K1549" i="100"/>
  <c r="K1535" i="100"/>
  <c r="K2066" i="100"/>
  <c r="K1918" i="100"/>
  <c r="K1696" i="100"/>
  <c r="K1552" i="100"/>
  <c r="K1506" i="100"/>
  <c r="K1256" i="100"/>
  <c r="K1167" i="100"/>
  <c r="K2519" i="100"/>
  <c r="K2169" i="100"/>
  <c r="K1945" i="100"/>
  <c r="K1864" i="100"/>
  <c r="K1420" i="100"/>
  <c r="K1190" i="100"/>
  <c r="K1182" i="100"/>
  <c r="K1133" i="100"/>
  <c r="K2016" i="100"/>
  <c r="K1445" i="100"/>
  <c r="K1092" i="100"/>
  <c r="K1005" i="100"/>
  <c r="K793" i="100"/>
  <c r="K732" i="100"/>
  <c r="K593" i="100"/>
  <c r="K509" i="100"/>
  <c r="K351" i="100"/>
  <c r="K319" i="100"/>
  <c r="K1493" i="100"/>
  <c r="K1039" i="100"/>
  <c r="K947" i="100"/>
  <c r="K813" i="100"/>
  <c r="K806" i="100"/>
  <c r="K762" i="100"/>
  <c r="K651" i="100"/>
  <c r="K608" i="100"/>
  <c r="K565" i="100"/>
  <c r="K484" i="100"/>
  <c r="K465" i="100"/>
  <c r="K404" i="100"/>
  <c r="K286" i="100"/>
  <c r="K1419" i="100"/>
  <c r="K1040" i="100"/>
  <c r="K859" i="100"/>
  <c r="K642" i="100"/>
  <c r="K510" i="100"/>
  <c r="K352" i="100"/>
  <c r="K79" i="100"/>
  <c r="K2018" i="100"/>
  <c r="K1365" i="100"/>
  <c r="L1365" i="100" s="1"/>
  <c r="K1100" i="100"/>
  <c r="K948" i="100"/>
  <c r="K783" i="100"/>
  <c r="K609" i="100"/>
  <c r="K2218" i="100"/>
  <c r="K1698" i="100"/>
  <c r="K1231" i="100"/>
  <c r="K971" i="100"/>
  <c r="K670" i="100"/>
  <c r="K397" i="100"/>
  <c r="K367" i="100"/>
  <c r="K991" i="100"/>
  <c r="K285" i="100"/>
  <c r="K751" i="100"/>
  <c r="K78" i="100"/>
  <c r="K322" i="100"/>
  <c r="K1473" i="100"/>
  <c r="K137" i="100"/>
  <c r="K2041" i="100"/>
  <c r="K2052" i="100"/>
  <c r="K1977" i="100"/>
  <c r="K2097" i="100"/>
  <c r="K2127" i="100"/>
  <c r="K1561" i="100"/>
  <c r="K1914" i="100"/>
  <c r="K1855" i="100"/>
  <c r="K2053" i="100"/>
  <c r="K1895" i="100"/>
  <c r="K1903" i="100"/>
  <c r="K1899" i="100"/>
  <c r="K1857" i="100"/>
  <c r="K1975" i="100"/>
  <c r="K1187" i="100"/>
  <c r="K1900" i="100"/>
  <c r="K1558" i="100"/>
  <c r="K1916" i="100"/>
  <c r="K2020" i="100"/>
  <c r="K1996" i="100"/>
  <c r="K1854" i="100"/>
  <c r="K1901" i="100"/>
  <c r="K1376" i="100"/>
  <c r="L1376" i="100" s="1"/>
  <c r="K876" i="100"/>
  <c r="K1229" i="100"/>
  <c r="K1438" i="100"/>
  <c r="K1223" i="100"/>
  <c r="K1087" i="100"/>
  <c r="K1490" i="100"/>
  <c r="K1115" i="100"/>
  <c r="K1442" i="100"/>
  <c r="K1121" i="100"/>
  <c r="K1088" i="100"/>
  <c r="K882" i="100"/>
  <c r="K1250" i="100"/>
  <c r="K1421" i="100"/>
  <c r="K1238" i="100"/>
  <c r="K1396" i="100"/>
  <c r="L1396" i="100" s="1"/>
  <c r="K1485" i="100"/>
  <c r="K1381" i="100"/>
  <c r="L1381" i="100" s="1"/>
  <c r="K1594" i="100"/>
  <c r="K1598" i="100"/>
  <c r="K1124" i="100"/>
  <c r="K1367" i="100"/>
  <c r="L1367" i="100" s="1"/>
  <c r="K1386" i="100"/>
  <c r="L1386" i="100" s="1"/>
  <c r="K1171" i="100"/>
  <c r="K1437" i="100"/>
  <c r="K1208" i="100"/>
  <c r="K1475" i="100"/>
  <c r="K1591" i="100"/>
  <c r="K1439" i="100"/>
  <c r="K1244" i="100"/>
  <c r="K1582" i="100"/>
  <c r="K1043" i="100"/>
  <c r="K1593" i="100"/>
  <c r="K1363" i="100"/>
  <c r="L1363" i="100" s="1"/>
  <c r="K1120" i="100"/>
  <c r="K1499" i="100"/>
  <c r="K1391" i="100"/>
  <c r="L1391" i="100" s="1"/>
  <c r="K1227" i="100"/>
  <c r="K1119" i="100"/>
  <c r="K992" i="100"/>
  <c r="K1064" i="100"/>
  <c r="K994" i="100"/>
  <c r="K1063" i="100"/>
  <c r="K1595" i="100"/>
  <c r="K1061" i="100"/>
  <c r="K997" i="100"/>
  <c r="K851" i="100"/>
  <c r="K976" i="100"/>
  <c r="K1060" i="100"/>
  <c r="K975" i="100"/>
  <c r="K880" i="100"/>
  <c r="K974" i="100"/>
  <c r="K978" i="100"/>
  <c r="K1044" i="100"/>
  <c r="K979" i="100"/>
  <c r="K498" i="100"/>
  <c r="K972" i="100"/>
  <c r="K1048" i="100"/>
  <c r="K375" i="100"/>
  <c r="K339" i="100"/>
  <c r="K280" i="100"/>
  <c r="K624" i="100"/>
  <c r="K396" i="100"/>
  <c r="K680" i="100"/>
  <c r="K495" i="100"/>
  <c r="K275" i="100"/>
  <c r="K320" i="100"/>
  <c r="K394" i="100"/>
  <c r="K652" i="100"/>
  <c r="K650" i="100"/>
  <c r="K606" i="100"/>
  <c r="K43" i="100"/>
  <c r="K679" i="100"/>
  <c r="K318" i="100"/>
  <c r="K384" i="100"/>
  <c r="K277" i="100"/>
  <c r="K572" i="100"/>
  <c r="K310" i="100"/>
  <c r="K330" i="100"/>
  <c r="K298" i="100"/>
  <c r="K341" i="100"/>
  <c r="K734" i="100"/>
  <c r="K279" i="100"/>
  <c r="K130" i="100"/>
  <c r="K136" i="100"/>
  <c r="K58" i="100"/>
  <c r="K42" i="100"/>
  <c r="K154" i="100"/>
  <c r="K131" i="100"/>
  <c r="K206" i="100"/>
  <c r="K51" i="100"/>
  <c r="K56" i="100"/>
  <c r="K200" i="100"/>
  <c r="K59" i="100"/>
  <c r="K204" i="100"/>
  <c r="K39" i="100"/>
  <c r="K134" i="100"/>
  <c r="K205" i="100"/>
  <c r="K37" i="100"/>
  <c r="K133" i="100"/>
  <c r="K57" i="100"/>
  <c r="K202" i="100"/>
  <c r="K128" i="100"/>
  <c r="K132" i="100"/>
  <c r="K41" i="100"/>
  <c r="K276" i="100"/>
  <c r="K272" i="100"/>
  <c r="K2897" i="100"/>
  <c r="K2681" i="100"/>
  <c r="K2692" i="100"/>
  <c r="K2663" i="100"/>
  <c r="K1909" i="100"/>
  <c r="K2204" i="100"/>
  <c r="K2563" i="100"/>
  <c r="K1607" i="100"/>
  <c r="K2086" i="100"/>
  <c r="K1640" i="100"/>
  <c r="K1618" i="100"/>
  <c r="K1880" i="100"/>
  <c r="K2167" i="100"/>
  <c r="K2524" i="100"/>
  <c r="K1502" i="100"/>
  <c r="K1960" i="100"/>
  <c r="K2542" i="100"/>
  <c r="K1951" i="100"/>
  <c r="K2614" i="100"/>
  <c r="K1732" i="100"/>
  <c r="K2042" i="100"/>
  <c r="K1942" i="100"/>
  <c r="K2652" i="100"/>
  <c r="K1539" i="100"/>
  <c r="K2000" i="100"/>
  <c r="K1562" i="100"/>
  <c r="K1721" i="100"/>
  <c r="K1853" i="100"/>
  <c r="K2128" i="100"/>
  <c r="K1871" i="100"/>
  <c r="K2576" i="100"/>
  <c r="K2625" i="100"/>
  <c r="K1862" i="100"/>
  <c r="K2146" i="100"/>
  <c r="K1551" i="100"/>
  <c r="K1702" i="100"/>
  <c r="K1166" i="100"/>
  <c r="K1573" i="100"/>
  <c r="K1584" i="100"/>
  <c r="K1710" i="100"/>
  <c r="K2101" i="100"/>
  <c r="K1629" i="100"/>
  <c r="K1917" i="100"/>
  <c r="K2188" i="100"/>
  <c r="K1682" i="100"/>
  <c r="K1933" i="100"/>
  <c r="K2255" i="100"/>
  <c r="L2255" i="100" s="1"/>
  <c r="K2635" i="100"/>
  <c r="K1426" i="100"/>
  <c r="K2224" i="100"/>
  <c r="K2021" i="100"/>
  <c r="K499" i="100"/>
  <c r="H15" i="3"/>
  <c r="I15" i="3" s="1"/>
  <c r="F20" i="4"/>
  <c r="F12" i="14"/>
  <c r="I172" i="75"/>
  <c r="J172" i="75" s="1"/>
  <c r="I361" i="75"/>
  <c r="C51" i="33"/>
  <c r="F11" i="4"/>
  <c r="G11" i="4" s="1"/>
  <c r="K109" i="100"/>
  <c r="K97" i="100"/>
  <c r="K259" i="100"/>
  <c r="K186" i="100"/>
  <c r="K23" i="100"/>
  <c r="K242" i="100"/>
  <c r="K14" i="100"/>
  <c r="K177" i="100"/>
  <c r="K100" i="100"/>
  <c r="K107" i="100"/>
  <c r="K17" i="100"/>
  <c r="K260" i="100"/>
  <c r="K187" i="100"/>
  <c r="K116" i="100"/>
  <c r="K106" i="100"/>
  <c r="K252" i="100"/>
  <c r="K115" i="100"/>
  <c r="K99" i="100"/>
  <c r="K262" i="100"/>
  <c r="K188" i="100"/>
  <c r="K176" i="100"/>
  <c r="K25" i="100"/>
  <c r="K251" i="100"/>
  <c r="K179" i="100"/>
  <c r="K108" i="100"/>
  <c r="K241" i="100"/>
  <c r="K24" i="100"/>
  <c r="K250" i="100"/>
  <c r="K98" i="100"/>
  <c r="K253" i="100"/>
  <c r="K118" i="100"/>
  <c r="K185" i="100"/>
  <c r="K261" i="100"/>
  <c r="K117" i="100"/>
  <c r="K243" i="100"/>
  <c r="K178" i="100"/>
  <c r="K15" i="100"/>
  <c r="K26" i="100"/>
  <c r="K16" i="100"/>
  <c r="K244" i="100"/>
  <c r="I336" i="75"/>
  <c r="J336" i="75" s="1"/>
  <c r="K522" i="100"/>
  <c r="F15" i="3"/>
  <c r="E15" i="4"/>
  <c r="E8" i="9"/>
  <c r="I236" i="75"/>
  <c r="J236" i="75" s="1"/>
  <c r="I373" i="75"/>
  <c r="B15" i="7"/>
  <c r="I177" i="75"/>
  <c r="J177" i="75" s="1"/>
  <c r="F21" i="1"/>
  <c r="I395" i="75"/>
  <c r="I407" i="75"/>
  <c r="K542" i="100"/>
  <c r="K578" i="100"/>
  <c r="I211" i="75"/>
  <c r="K441" i="100"/>
  <c r="K532" i="100"/>
  <c r="C34" i="33"/>
  <c r="L2218" i="98"/>
  <c r="M2218" i="98" s="1"/>
  <c r="M2219" i="98"/>
  <c r="L2174" i="98"/>
  <c r="M2174" i="98" s="1"/>
  <c r="M2175" i="98"/>
  <c r="L1368" i="98"/>
  <c r="L1367" i="98" s="1"/>
  <c r="L1385" i="98"/>
  <c r="L1384" i="98" s="1"/>
  <c r="L1380" i="98"/>
  <c r="L1379" i="98" s="1"/>
  <c r="L1506" i="98"/>
  <c r="M1506" i="98" s="1"/>
  <c r="M1507" i="98"/>
  <c r="L2434" i="98"/>
  <c r="L2274" i="98"/>
  <c r="L1970" i="98"/>
  <c r="L1950" i="98"/>
  <c r="L3516" i="98"/>
  <c r="L3511" i="98"/>
  <c r="L3513" i="98"/>
  <c r="L3512" i="98"/>
  <c r="L3519" i="98"/>
  <c r="L3520" i="98"/>
  <c r="L3514" i="98"/>
  <c r="L3521" i="98"/>
  <c r="L3515" i="98"/>
  <c r="L3517" i="98"/>
  <c r="L3518" i="98"/>
  <c r="L170" i="98"/>
  <c r="L46" i="98"/>
  <c r="L13" i="98"/>
  <c r="L163" i="98"/>
  <c r="F14" i="4"/>
  <c r="F7" i="14"/>
  <c r="H152" i="75"/>
  <c r="G62" i="1"/>
  <c r="F21" i="14"/>
  <c r="J211" i="75"/>
  <c r="L1971" i="98"/>
  <c r="L2142" i="98"/>
  <c r="L1946" i="98"/>
  <c r="L2147" i="98"/>
  <c r="L2115" i="98"/>
  <c r="L2122" i="98"/>
  <c r="L2148" i="98"/>
  <c r="L2114" i="98"/>
  <c r="L2141" i="98"/>
  <c r="L1910" i="98"/>
  <c r="L1914" i="98"/>
  <c r="L1636" i="98"/>
  <c r="L1617" i="98"/>
  <c r="L1110" i="98"/>
  <c r="L1081" i="98"/>
  <c r="L1166" i="98"/>
  <c r="L1148" i="98"/>
  <c r="L1119" i="98"/>
  <c r="L1125" i="98"/>
  <c r="L920" i="98"/>
  <c r="L838" i="98"/>
  <c r="L837" i="98"/>
  <c r="L835" i="98"/>
  <c r="L839" i="98"/>
  <c r="L834" i="98"/>
  <c r="L836" i="98"/>
  <c r="L824" i="98"/>
  <c r="L815" i="98"/>
  <c r="L820" i="98"/>
  <c r="L823" i="98"/>
  <c r="L803" i="98"/>
  <c r="L821" i="98"/>
  <c r="L805" i="98"/>
  <c r="L812" i="98"/>
  <c r="L800" i="98"/>
  <c r="L822" i="98"/>
  <c r="F24" i="14"/>
  <c r="E11" i="9"/>
  <c r="I381" i="75"/>
  <c r="J381" i="75" s="1"/>
  <c r="L764" i="98"/>
  <c r="L792" i="98"/>
  <c r="L749" i="98"/>
  <c r="L794" i="98"/>
  <c r="L787" i="98"/>
  <c r="L758" i="98"/>
  <c r="L720" i="98"/>
  <c r="F19" i="4"/>
  <c r="I168" i="75"/>
  <c r="J168" i="75" s="1"/>
  <c r="H182" i="75"/>
  <c r="H185" i="75" s="1"/>
  <c r="I185" i="75" s="1"/>
  <c r="J185" i="75" s="1"/>
  <c r="I353" i="75"/>
  <c r="I369" i="75"/>
  <c r="F15" i="14"/>
  <c r="F19" i="3"/>
  <c r="H17" i="3"/>
  <c r="E28" i="3"/>
  <c r="E27" i="3"/>
  <c r="E21" i="4"/>
  <c r="E14" i="4"/>
  <c r="E13" i="9"/>
  <c r="D24" i="14"/>
  <c r="I237" i="75"/>
  <c r="J237" i="75" s="1"/>
  <c r="I354" i="75"/>
  <c r="I387" i="75"/>
  <c r="B16" i="7"/>
  <c r="I179" i="75"/>
  <c r="I421" i="75"/>
  <c r="D43" i="33"/>
  <c r="D49" i="33"/>
  <c r="I238" i="75"/>
  <c r="J238" i="75" s="1"/>
  <c r="L637" i="98"/>
  <c r="L677" i="98"/>
  <c r="L664" i="98"/>
  <c r="L676" i="98"/>
  <c r="L661" i="98"/>
  <c r="L613" i="98"/>
  <c r="L610" i="98"/>
  <c r="L608" i="98"/>
  <c r="L600" i="98"/>
  <c r="L591" i="98"/>
  <c r="L611" i="98"/>
  <c r="L588" i="98"/>
  <c r="L603" i="98"/>
  <c r="L552" i="98"/>
  <c r="L609" i="98"/>
  <c r="L593" i="98"/>
  <c r="L546" i="98"/>
  <c r="L537" i="98"/>
  <c r="L407" i="98"/>
  <c r="L475" i="98"/>
  <c r="L442" i="98"/>
  <c r="L451" i="98"/>
  <c r="L384" i="98"/>
  <c r="L356" i="98"/>
  <c r="L362" i="98"/>
  <c r="L287" i="98"/>
  <c r="L275" i="98"/>
  <c r="L286" i="98"/>
  <c r="L278" i="98"/>
  <c r="L265" i="98"/>
  <c r="L250" i="98"/>
  <c r="L276" i="98"/>
  <c r="L255" i="98"/>
  <c r="L285" i="98"/>
  <c r="L260" i="98"/>
  <c r="L284" i="98"/>
  <c r="L277" i="98"/>
  <c r="L226" i="98"/>
  <c r="L84" i="98"/>
  <c r="L225" i="98"/>
  <c r="L222" i="98"/>
  <c r="L184" i="98"/>
  <c r="L220" i="98"/>
  <c r="L223" i="98"/>
  <c r="L224" i="98"/>
  <c r="L221" i="98"/>
  <c r="L172" i="98"/>
  <c r="L178" i="98"/>
  <c r="L123" i="98"/>
  <c r="L125" i="98"/>
  <c r="L132" i="98"/>
  <c r="L134" i="98"/>
  <c r="L92" i="98"/>
  <c r="L138" i="98"/>
  <c r="L401" i="98"/>
  <c r="F9" i="14"/>
  <c r="F12" i="4"/>
  <c r="F13" i="14"/>
  <c r="F16" i="4"/>
  <c r="G16" i="4" s="1"/>
  <c r="F21" i="4"/>
  <c r="F18" i="14"/>
  <c r="G57" i="1"/>
  <c r="F14" i="9"/>
  <c r="G14" i="9" s="1"/>
  <c r="L2001" i="98"/>
  <c r="L1025" i="98"/>
  <c r="L3968" i="98"/>
  <c r="L3952" i="98"/>
  <c r="L3944" i="98"/>
  <c r="L1037" i="98"/>
  <c r="L2487" i="98"/>
  <c r="L3971" i="98"/>
  <c r="L3967" i="98"/>
  <c r="L3951" i="98"/>
  <c r="L3947" i="98"/>
  <c r="L3943" i="98"/>
  <c r="L3970" i="98"/>
  <c r="L3950" i="98"/>
  <c r="L3946" i="98"/>
  <c r="L3620" i="98"/>
  <c r="L2925" i="98"/>
  <c r="L3973" i="98"/>
  <c r="L3969" i="98"/>
  <c r="L3953" i="98"/>
  <c r="L3949" i="98"/>
  <c r="L3945" i="98"/>
  <c r="L3948" i="98"/>
  <c r="L3972" i="98"/>
  <c r="L3112" i="98"/>
  <c r="D17" i="4"/>
  <c r="F9" i="4"/>
  <c r="F6" i="14"/>
  <c r="F6" i="1"/>
  <c r="F9" i="9"/>
  <c r="G55" i="1"/>
  <c r="D25" i="58" s="1"/>
  <c r="F13" i="9"/>
  <c r="G13" i="9" s="1"/>
  <c r="H13" i="9" s="1"/>
  <c r="G58" i="1"/>
  <c r="H335" i="75"/>
  <c r="I335" i="75" s="1"/>
  <c r="J335" i="75" s="1"/>
  <c r="H305" i="75"/>
  <c r="I305" i="75" s="1"/>
  <c r="J305" i="75" s="1"/>
  <c r="H334" i="75"/>
  <c r="G54" i="1"/>
  <c r="D23" i="58" s="1"/>
  <c r="E24" i="3"/>
  <c r="D112" i="58" s="1"/>
  <c r="H155" i="75" s="1"/>
  <c r="H157" i="75" s="1"/>
  <c r="I157" i="75" s="1"/>
  <c r="J157" i="75" s="1"/>
  <c r="F20" i="14"/>
  <c r="E30" i="1"/>
  <c r="H337" i="75"/>
  <c r="I337" i="75" s="1"/>
  <c r="J337" i="75" s="1"/>
  <c r="F9" i="74"/>
  <c r="F8" i="74" s="1"/>
  <c r="F8" i="9"/>
  <c r="G8" i="9" s="1"/>
  <c r="H8" i="9" s="1"/>
  <c r="G53" i="1"/>
  <c r="D22" i="58" s="1"/>
  <c r="F10" i="14"/>
  <c r="G9" i="9"/>
  <c r="H244" i="75"/>
  <c r="I244" i="75" s="1"/>
  <c r="J244" i="75" s="1"/>
  <c r="F11" i="3"/>
  <c r="D5" i="14"/>
  <c r="C14" i="74"/>
  <c r="E34" i="3"/>
  <c r="D30" i="1"/>
  <c r="I181" i="75"/>
  <c r="J181" i="75" s="1"/>
  <c r="I213" i="75"/>
  <c r="B30" i="1"/>
  <c r="L3713" i="98"/>
  <c r="L3709" i="98"/>
  <c r="L3702" i="98"/>
  <c r="L3698" i="98"/>
  <c r="L3687" i="98"/>
  <c r="L3683" i="98"/>
  <c r="L3677" i="98"/>
  <c r="L3673" i="98"/>
  <c r="L3661" i="98"/>
  <c r="L3657" i="98"/>
  <c r="L3714" i="98"/>
  <c r="L3710" i="98"/>
  <c r="L3678" i="98"/>
  <c r="L3712" i="98"/>
  <c r="L3708" i="98"/>
  <c r="L3701" i="98"/>
  <c r="L3697" i="98"/>
  <c r="L3690" i="98"/>
  <c r="L3686" i="98"/>
  <c r="L3676" i="98"/>
  <c r="L3668" i="98"/>
  <c r="L3660" i="98"/>
  <c r="L3656" i="98"/>
  <c r="L3695" i="98"/>
  <c r="L3684" i="98"/>
  <c r="L3662" i="98"/>
  <c r="L3711" i="98"/>
  <c r="L3707" i="98"/>
  <c r="L3696" i="98"/>
  <c r="L3689" i="98"/>
  <c r="L3685" i="98"/>
  <c r="L3675" i="98"/>
  <c r="L3667" i="98"/>
  <c r="L3659" i="98"/>
  <c r="L3655" i="98"/>
  <c r="L3688" i="98"/>
  <c r="L3674" i="98"/>
  <c r="L3658" i="98"/>
  <c r="L3650" i="98"/>
  <c r="L3646" i="98"/>
  <c r="L3639" i="98"/>
  <c r="L3645" i="98"/>
  <c r="L3637" i="98"/>
  <c r="L3648" i="98"/>
  <c r="L3644" i="98"/>
  <c r="L3647" i="98"/>
  <c r="L3649" i="98"/>
  <c r="L3630" i="98"/>
  <c r="L3619" i="98"/>
  <c r="L3609" i="98"/>
  <c r="L3629" i="98"/>
  <c r="L3622" i="98"/>
  <c r="L3618" i="98"/>
  <c r="L3608" i="98"/>
  <c r="L3632" i="98"/>
  <c r="L3628" i="98"/>
  <c r="L3621" i="98"/>
  <c r="L3617" i="98"/>
  <c r="L3611" i="98"/>
  <c r="L3607" i="98"/>
  <c r="L3631" i="98"/>
  <c r="L3627" i="98"/>
  <c r="L3616" i="98"/>
  <c r="L3610" i="98"/>
  <c r="L3606" i="98"/>
  <c r="L3565" i="98"/>
  <c r="L3598" i="98"/>
  <c r="L3597" i="98"/>
  <c r="L3592" i="98"/>
  <c r="L3591" i="98"/>
  <c r="L3566" i="98"/>
  <c r="L3554" i="98"/>
  <c r="L3537" i="98"/>
  <c r="L3559" i="98"/>
  <c r="L3573" i="98"/>
  <c r="L3569" i="98"/>
  <c r="L3553" i="98"/>
  <c r="L3540" i="98"/>
  <c r="L3536" i="98"/>
  <c r="L3567" i="98"/>
  <c r="L2860" i="98"/>
  <c r="L3572" i="98"/>
  <c r="L3568" i="98"/>
  <c r="L3560" i="98"/>
  <c r="L3552" i="98"/>
  <c r="L3539" i="98"/>
  <c r="L3571" i="98"/>
  <c r="L3551" i="98"/>
  <c r="L3538" i="98"/>
  <c r="L3152" i="98"/>
  <c r="L3570" i="98"/>
  <c r="L3555" i="98"/>
  <c r="L3557" i="98"/>
  <c r="L3556" i="98"/>
  <c r="L3251" i="98"/>
  <c r="M3251" i="98" s="1"/>
  <c r="L3242" i="98"/>
  <c r="M3242" i="98" s="1"/>
  <c r="L3220" i="98"/>
  <c r="L3212" i="98"/>
  <c r="L3196" i="98"/>
  <c r="L3192" i="98"/>
  <c r="L3182" i="98"/>
  <c r="L3177" i="98"/>
  <c r="L3171" i="98"/>
  <c r="L3250" i="98"/>
  <c r="M3250" i="98" s="1"/>
  <c r="L3245" i="98"/>
  <c r="M3245" i="98" s="1"/>
  <c r="L3219" i="98"/>
  <c r="L3211" i="98"/>
  <c r="L3199" i="98"/>
  <c r="L3191" i="98"/>
  <c r="L3181" i="98"/>
  <c r="L3176" i="98"/>
  <c r="L3249" i="98"/>
  <c r="M3249" i="98" s="1"/>
  <c r="L3244" i="98"/>
  <c r="M3244" i="98" s="1"/>
  <c r="L3218" i="98"/>
  <c r="L3214" i="98"/>
  <c r="L3210" i="98"/>
  <c r="L3198" i="98"/>
  <c r="L3194" i="98"/>
  <c r="L3190" i="98"/>
  <c r="L3175" i="98"/>
  <c r="L3241" i="98"/>
  <c r="M3241" i="98" s="1"/>
  <c r="L3248" i="98"/>
  <c r="M3248" i="98" s="1"/>
  <c r="L3243" i="98"/>
  <c r="M3243" i="98" s="1"/>
  <c r="L3217" i="98"/>
  <c r="L3213" i="98"/>
  <c r="L3209" i="98"/>
  <c r="L3197" i="98"/>
  <c r="L3193" i="98"/>
  <c r="L3184" i="98"/>
  <c r="L3183" i="98"/>
  <c r="L3178" i="98"/>
  <c r="L3174" i="98"/>
  <c r="L3246" i="98"/>
  <c r="M3246" i="98" s="1"/>
  <c r="L3215" i="98"/>
  <c r="L3195" i="98"/>
  <c r="L3179" i="98"/>
  <c r="L3161" i="98"/>
  <c r="L3137" i="98"/>
  <c r="L3132" i="98"/>
  <c r="L3128" i="98"/>
  <c r="L3116" i="98"/>
  <c r="L3108" i="98"/>
  <c r="L3096" i="98"/>
  <c r="L3160" i="98"/>
  <c r="L3155" i="98"/>
  <c r="L3151" i="98"/>
  <c r="L3136" i="98"/>
  <c r="L3131" i="98"/>
  <c r="L3127" i="98"/>
  <c r="L3115" i="98"/>
  <c r="L3111" i="98"/>
  <c r="L3095" i="98"/>
  <c r="L3159" i="98"/>
  <c r="L3154" i="98"/>
  <c r="L3135" i="98"/>
  <c r="L3130" i="98"/>
  <c r="L3110" i="98"/>
  <c r="L3102" i="98"/>
  <c r="L3158" i="98"/>
  <c r="L3153" i="98"/>
  <c r="L3148" i="98"/>
  <c r="L3138" i="98"/>
  <c r="L3129" i="98"/>
  <c r="L3117" i="98"/>
  <c r="L3109" i="98"/>
  <c r="L3101" i="98"/>
  <c r="L3133" i="98"/>
  <c r="L3156" i="98"/>
  <c r="L3089" i="98"/>
  <c r="L3049" i="98"/>
  <c r="L2996" i="98"/>
  <c r="L2988" i="98"/>
  <c r="L2972" i="98"/>
  <c r="L2968" i="98"/>
  <c r="L2964" i="98"/>
  <c r="L2951" i="98"/>
  <c r="L2947" i="98"/>
  <c r="L2943" i="98"/>
  <c r="L2930" i="98"/>
  <c r="L2921" i="98"/>
  <c r="L2908" i="98"/>
  <c r="L2904" i="98"/>
  <c r="L2900" i="98"/>
  <c r="L2889" i="98"/>
  <c r="L2885" i="98"/>
  <c r="L2881" i="98"/>
  <c r="L2868" i="98"/>
  <c r="L2856" i="98"/>
  <c r="L2848" i="98"/>
  <c r="L2840" i="98"/>
  <c r="L2822" i="98"/>
  <c r="L2814" i="98"/>
  <c r="L2806" i="98"/>
  <c r="L2802" i="98"/>
  <c r="L3086" i="98"/>
  <c r="L3048" i="98"/>
  <c r="L2995" i="98"/>
  <c r="L2991" i="98"/>
  <c r="L2987" i="98"/>
  <c r="L2971" i="98"/>
  <c r="L2967" i="98"/>
  <c r="L2963" i="98"/>
  <c r="L2950" i="98"/>
  <c r="L2946" i="98"/>
  <c r="L2942" i="98"/>
  <c r="L2926" i="98"/>
  <c r="L2929" i="98"/>
  <c r="L2924" i="98"/>
  <c r="L2920" i="98"/>
  <c r="L2907" i="98"/>
  <c r="L2903" i="98"/>
  <c r="L2888" i="98"/>
  <c r="L2884" i="98"/>
  <c r="L2880" i="98"/>
  <c r="L2867" i="98"/>
  <c r="L2859" i="98"/>
  <c r="L2851" i="98"/>
  <c r="L2847" i="98"/>
  <c r="L2839" i="98"/>
  <c r="L2821" i="98"/>
  <c r="L2805" i="98"/>
  <c r="L2801" i="98"/>
  <c r="L3085" i="98"/>
  <c r="L3047" i="98"/>
  <c r="L2994" i="98"/>
  <c r="L2990" i="98"/>
  <c r="L2986" i="98"/>
  <c r="L2974" i="98"/>
  <c r="L2970" i="98"/>
  <c r="L2966" i="98"/>
  <c r="L2958" i="98"/>
  <c r="L2957" i="98"/>
  <c r="L2949" i="98"/>
  <c r="L3090" i="98"/>
  <c r="L2985" i="98"/>
  <c r="L2969" i="98"/>
  <c r="L2952" i="98"/>
  <c r="L2941" i="98"/>
  <c r="L2905" i="98"/>
  <c r="L2866" i="98"/>
  <c r="L2850" i="98"/>
  <c r="L2838" i="98"/>
  <c r="L2803" i="98"/>
  <c r="L3076" i="98"/>
  <c r="L2965" i="98"/>
  <c r="L2902" i="98"/>
  <c r="L2849" i="98"/>
  <c r="L2809" i="98"/>
  <c r="L3002" i="98"/>
  <c r="L2993" i="98"/>
  <c r="L2945" i="98"/>
  <c r="L2922" i="98"/>
  <c r="L2909" i="98"/>
  <c r="L2901" i="98"/>
  <c r="L2883" i="98"/>
  <c r="L2858" i="98"/>
  <c r="L2842" i="98"/>
  <c r="L2820" i="98"/>
  <c r="L2808" i="98"/>
  <c r="L2989" i="98"/>
  <c r="L2973" i="98"/>
  <c r="L2944" i="98"/>
  <c r="L2928" i="98"/>
  <c r="L2882" i="98"/>
  <c r="L2869" i="98"/>
  <c r="L2857" i="98"/>
  <c r="L2841" i="98"/>
  <c r="L2819" i="98"/>
  <c r="L2804" i="98"/>
  <c r="L2923" i="98"/>
  <c r="L2865" i="98"/>
  <c r="L2823" i="98"/>
  <c r="L2800" i="98"/>
  <c r="L2786" i="98"/>
  <c r="L2780" i="98"/>
  <c r="L2770" i="98"/>
  <c r="L2761" i="98"/>
  <c r="L2683" i="98"/>
  <c r="L2638" i="98"/>
  <c r="L2789" i="98"/>
  <c r="L2785" i="98"/>
  <c r="L2779" i="98"/>
  <c r="L2769" i="98"/>
  <c r="L2760" i="98"/>
  <c r="L2681" i="98"/>
  <c r="L2637" i="98"/>
  <c r="L2788" i="98"/>
  <c r="L2778" i="98"/>
  <c r="L2768" i="98"/>
  <c r="L2759" i="98"/>
  <c r="L2660" i="98"/>
  <c r="L2787" i="98"/>
  <c r="L2777" i="98"/>
  <c r="L2771" i="98"/>
  <c r="L2762" i="98"/>
  <c r="L2758" i="98"/>
  <c r="L2649" i="98"/>
  <c r="L2626" i="98"/>
  <c r="L2767" i="98"/>
  <c r="L2776" i="98"/>
  <c r="L2615" i="98"/>
  <c r="L2610" i="98"/>
  <c r="L2606" i="98"/>
  <c r="L2602" i="98"/>
  <c r="L2588" i="98"/>
  <c r="L2547" i="98"/>
  <c r="L2543" i="98"/>
  <c r="L2534" i="98"/>
  <c r="L2530" i="98"/>
  <c r="L2519" i="98"/>
  <c r="L2513" i="98"/>
  <c r="L2509" i="98"/>
  <c r="L2500" i="98"/>
  <c r="L2496" i="98"/>
  <c r="L2485" i="98"/>
  <c r="L2480" i="98"/>
  <c r="L2476" i="98"/>
  <c r="L2468" i="98"/>
  <c r="L2464" i="98"/>
  <c r="L2457" i="98"/>
  <c r="L2453" i="98"/>
  <c r="L2445" i="98"/>
  <c r="L2441" i="98"/>
  <c r="L2430" i="98"/>
  <c r="L2609" i="98"/>
  <c r="L2605" i="98"/>
  <c r="L2601" i="98"/>
  <c r="L2591" i="98"/>
  <c r="L2546" i="98"/>
  <c r="L2542" i="98"/>
  <c r="L2533" i="98"/>
  <c r="L2522" i="98"/>
  <c r="L2508" i="98"/>
  <c r="L2503" i="98"/>
  <c r="L2488" i="98"/>
  <c r="L2479" i="98"/>
  <c r="L2475" i="98"/>
  <c r="L2463" i="98"/>
  <c r="L2452" i="98"/>
  <c r="L2440" i="98"/>
  <c r="L2433" i="98"/>
  <c r="L2429" i="98"/>
  <c r="L2604" i="98"/>
  <c r="L2590" i="98"/>
  <c r="L2541" i="98"/>
  <c r="L2536" i="98"/>
  <c r="L2532" i="98"/>
  <c r="L2525" i="98"/>
  <c r="L2521" i="98"/>
  <c r="L2511" i="98"/>
  <c r="L2502" i="98"/>
  <c r="L2498" i="98"/>
  <c r="L2491" i="98"/>
  <c r="L2478" i="98"/>
  <c r="L2474" i="98"/>
  <c r="L2466" i="98"/>
  <c r="L2455" i="98"/>
  <c r="L2451" i="98"/>
  <c r="L2443" i="98"/>
  <c r="L2439" i="98"/>
  <c r="L2432" i="98"/>
  <c r="L2428" i="98"/>
  <c r="L2607" i="98"/>
  <c r="L2535" i="98"/>
  <c r="L2465" i="98"/>
  <c r="L2446" i="98"/>
  <c r="L2427" i="98"/>
  <c r="L2603" i="98"/>
  <c r="L2589" i="98"/>
  <c r="L2544" i="98"/>
  <c r="L2531" i="98"/>
  <c r="L2514" i="98"/>
  <c r="L2490" i="98"/>
  <c r="L2442" i="98"/>
  <c r="L2524" i="98"/>
  <c r="L2510" i="98"/>
  <c r="L2501" i="98"/>
  <c r="L2486" i="98"/>
  <c r="L2477" i="98"/>
  <c r="L2458" i="98"/>
  <c r="L2520" i="98"/>
  <c r="L2497" i="98"/>
  <c r="L2469" i="98"/>
  <c r="L2454" i="98"/>
  <c r="L2431" i="98"/>
  <c r="L2512" i="98"/>
  <c r="L2587" i="98"/>
  <c r="L2499" i="98"/>
  <c r="L2444" i="98"/>
  <c r="L2456" i="98"/>
  <c r="L2523" i="98"/>
  <c r="L2545" i="98"/>
  <c r="L2489" i="98"/>
  <c r="L2467" i="98"/>
  <c r="L2419" i="98"/>
  <c r="L2418" i="98"/>
  <c r="L2416" i="98"/>
  <c r="L2417" i="98"/>
  <c r="L2420" i="98"/>
  <c r="L2409" i="98"/>
  <c r="L2406" i="98"/>
  <c r="L2408" i="98"/>
  <c r="L2405" i="98"/>
  <c r="L2411" i="98"/>
  <c r="L2404" i="98"/>
  <c r="L2410" i="98"/>
  <c r="L2407" i="98"/>
  <c r="L2399" i="98"/>
  <c r="L2398" i="98"/>
  <c r="L2396" i="98"/>
  <c r="L2393" i="98"/>
  <c r="L2391" i="98"/>
  <c r="L2395" i="98"/>
  <c r="L2390" i="98"/>
  <c r="L2394" i="98"/>
  <c r="L2392" i="98"/>
  <c r="L2377" i="98"/>
  <c r="L2380" i="98"/>
  <c r="L2379" i="98"/>
  <c r="L2378" i="98"/>
  <c r="L2376" i="98"/>
  <c r="L2337" i="98"/>
  <c r="L2341" i="98"/>
  <c r="L2339" i="98"/>
  <c r="L2350" i="98"/>
  <c r="L2340" i="98"/>
  <c r="L2336" i="98"/>
  <c r="L2348" i="98"/>
  <c r="L2338" i="98"/>
  <c r="L2335" i="98"/>
  <c r="L2316" i="98"/>
  <c r="L2279" i="98"/>
  <c r="L2325" i="98"/>
  <c r="L2319" i="98"/>
  <c r="L2315" i="98"/>
  <c r="L2284" i="98"/>
  <c r="L2324" i="98"/>
  <c r="L2318" i="98"/>
  <c r="L2294" i="98"/>
  <c r="L2317" i="98"/>
  <c r="L2289" i="98"/>
  <c r="L2259" i="98"/>
  <c r="L2255" i="98"/>
  <c r="L2266" i="98"/>
  <c r="L2256" i="98"/>
  <c r="L2268" i="98"/>
  <c r="L2258" i="98"/>
  <c r="L2254" i="98"/>
  <c r="L2257" i="98"/>
  <c r="L2129" i="98"/>
  <c r="L2135" i="98"/>
  <c r="L2130" i="98"/>
  <c r="L2136" i="98"/>
  <c r="L2124" i="98"/>
  <c r="L2117" i="98"/>
  <c r="L2112" i="98"/>
  <c r="L2113" i="98"/>
  <c r="L2111" i="98"/>
  <c r="L2120" i="98"/>
  <c r="L2101" i="98"/>
  <c r="L2090" i="98"/>
  <c r="L2086" i="98"/>
  <c r="L2069" i="98"/>
  <c r="L2060" i="98"/>
  <c r="L2056" i="98"/>
  <c r="L2099" i="98"/>
  <c r="L2089" i="98"/>
  <c r="L2085" i="98"/>
  <c r="L2097" i="98"/>
  <c r="L2088" i="98"/>
  <c r="L2084" i="98"/>
  <c r="L2073" i="98"/>
  <c r="L2062" i="98"/>
  <c r="L2058" i="98"/>
  <c r="L2087" i="98"/>
  <c r="L2071" i="98"/>
  <c r="L2061" i="98"/>
  <c r="L2057" i="98"/>
  <c r="L2059" i="98"/>
  <c r="L2045" i="98"/>
  <c r="L2034" i="98"/>
  <c r="L2030" i="98"/>
  <c r="L2016" i="98"/>
  <c r="L2006" i="98"/>
  <c r="L1994" i="98"/>
  <c r="L1989" i="98"/>
  <c r="L1968" i="98"/>
  <c r="L1965" i="98"/>
  <c r="L2043" i="98"/>
  <c r="L2033" i="98"/>
  <c r="L2029" i="98"/>
  <c r="L2014" i="98"/>
  <c r="L2009" i="98"/>
  <c r="L1988" i="98"/>
  <c r="L1980" i="98"/>
  <c r="L1969" i="98"/>
  <c r="L2041" i="98"/>
  <c r="L2032" i="98"/>
  <c r="L2028" i="98"/>
  <c r="L2008" i="98"/>
  <c r="L1987" i="98"/>
  <c r="L1978" i="98"/>
  <c r="L1967" i="98"/>
  <c r="L2031" i="98"/>
  <c r="L2017" i="98"/>
  <c r="L2007" i="98"/>
  <c r="L1996" i="98"/>
  <c r="L1986" i="98"/>
  <c r="L1966" i="98"/>
  <c r="L1952" i="98"/>
  <c r="L1945" i="98"/>
  <c r="L1938" i="98"/>
  <c r="L1934" i="98"/>
  <c r="L1954" i="98"/>
  <c r="L1943" i="98"/>
  <c r="L1935" i="98"/>
  <c r="L1951" i="98"/>
  <c r="L1944" i="98"/>
  <c r="L1937" i="98"/>
  <c r="L1915" i="98"/>
  <c r="L1936" i="98"/>
  <c r="L1953" i="98"/>
  <c r="L1942" i="98"/>
  <c r="L1852" i="98"/>
  <c r="C24" i="14"/>
  <c r="J213" i="75"/>
  <c r="C11" i="8"/>
  <c r="C27" i="8" s="1"/>
  <c r="J395" i="75"/>
  <c r="J373" i="75"/>
  <c r="E9" i="4"/>
  <c r="F28" i="14"/>
  <c r="F23" i="4"/>
  <c r="G23" i="4" s="1"/>
  <c r="H10" i="3"/>
  <c r="G22" i="4"/>
  <c r="E22" i="4"/>
  <c r="G21" i="4"/>
  <c r="B17" i="4"/>
  <c r="E15" i="9"/>
  <c r="G15" i="9"/>
  <c r="G11" i="9"/>
  <c r="H11" i="9" s="1"/>
  <c r="H166" i="75"/>
  <c r="I166" i="75" s="1"/>
  <c r="J166" i="75" s="1"/>
  <c r="D154" i="58"/>
  <c r="H214" i="75" s="1"/>
  <c r="H208" i="75" s="1"/>
  <c r="C20" i="14"/>
  <c r="J354" i="75"/>
  <c r="J387" i="75"/>
  <c r="E26" i="3"/>
  <c r="H234" i="75"/>
  <c r="I234" i="75" s="1"/>
  <c r="H235" i="75"/>
  <c r="I235" i="75" s="1"/>
  <c r="J235" i="75" s="1"/>
  <c r="H18" i="3"/>
  <c r="F18" i="3"/>
  <c r="E29" i="3"/>
  <c r="E25" i="3"/>
  <c r="E20" i="3"/>
  <c r="H9" i="3"/>
  <c r="F8" i="3"/>
  <c r="H8" i="3"/>
  <c r="C17" i="4"/>
  <c r="D8" i="4"/>
  <c r="D24" i="4" s="1"/>
  <c r="E11" i="4"/>
  <c r="C8" i="4"/>
  <c r="G16" i="9"/>
  <c r="G10" i="9"/>
  <c r="B17" i="9"/>
  <c r="E20" i="14"/>
  <c r="J407" i="75"/>
  <c r="J179" i="75"/>
  <c r="H242" i="75"/>
  <c r="I242" i="75" s="1"/>
  <c r="H245" i="75"/>
  <c r="I245" i="75" s="1"/>
  <c r="C28" i="12"/>
  <c r="E8" i="12"/>
  <c r="F12" i="9"/>
  <c r="E10" i="9"/>
  <c r="D20" i="14"/>
  <c r="C14" i="14"/>
  <c r="E14" i="14"/>
  <c r="D14" i="14"/>
  <c r="E5" i="14"/>
  <c r="H306" i="75"/>
  <c r="I306" i="75" s="1"/>
  <c r="J306" i="75" s="1"/>
  <c r="D6" i="33"/>
  <c r="D47" i="33"/>
  <c r="H154" i="75"/>
  <c r="H153" i="75"/>
  <c r="I340" i="75"/>
  <c r="J340" i="75" s="1"/>
  <c r="F15" i="1"/>
  <c r="F25" i="1"/>
  <c r="J421" i="75"/>
  <c r="D28" i="12"/>
  <c r="C5" i="14"/>
  <c r="J249" i="75"/>
  <c r="I396" i="75"/>
  <c r="J396" i="75" s="1"/>
  <c r="H420" i="75"/>
  <c r="I420" i="75" s="1"/>
  <c r="J420" i="75" s="1"/>
  <c r="D15" i="33"/>
  <c r="C30" i="1"/>
  <c r="E31" i="3"/>
  <c r="D114" i="58" s="1"/>
  <c r="H161" i="75" s="1"/>
  <c r="I161" i="75" s="1"/>
  <c r="J161" i="75" s="1"/>
  <c r="L1919" i="98"/>
  <c r="L1918" i="98"/>
  <c r="L1913" i="98"/>
  <c r="L1917" i="98"/>
  <c r="L1912" i="98"/>
  <c r="L1911" i="98"/>
  <c r="L1898" i="98"/>
  <c r="L1894" i="98"/>
  <c r="L1892" i="98"/>
  <c r="L1890" i="98"/>
  <c r="L1899" i="98"/>
  <c r="L1897" i="98"/>
  <c r="L1895" i="98"/>
  <c r="L1893" i="98"/>
  <c r="L1891" i="98"/>
  <c r="L1889" i="98"/>
  <c r="L1878" i="98"/>
  <c r="L1876" i="98"/>
  <c r="L1879" i="98"/>
  <c r="L1877" i="98"/>
  <c r="L1875" i="98"/>
  <c r="L1856" i="98"/>
  <c r="L1854" i="98"/>
  <c r="L1855" i="98"/>
  <c r="L1853" i="98"/>
  <c r="L1848" i="98"/>
  <c r="L1844" i="98"/>
  <c r="L1842" i="98"/>
  <c r="L1840" i="98"/>
  <c r="L1845" i="98"/>
  <c r="L1847" i="98"/>
  <c r="L1843" i="98"/>
  <c r="L1841" i="98"/>
  <c r="L1826" i="98"/>
  <c r="L1790" i="98"/>
  <c r="L1828" i="98"/>
  <c r="L1819" i="98"/>
  <c r="L1794" i="98"/>
  <c r="L1788" i="98"/>
  <c r="L1781" i="98"/>
  <c r="L1779" i="98"/>
  <c r="L1748" i="98"/>
  <c r="L1714" i="98"/>
  <c r="L1712" i="98"/>
  <c r="L1710" i="98"/>
  <c r="L1713" i="98"/>
  <c r="L1711" i="98"/>
  <c r="L1705" i="98"/>
  <c r="L1703" i="98"/>
  <c r="L1696" i="98"/>
  <c r="L1697" i="98"/>
  <c r="L1694" i="98"/>
  <c r="L1706" i="98"/>
  <c r="L1704" i="98"/>
  <c r="L1702" i="98"/>
  <c r="L1698" i="98"/>
  <c r="L1695" i="98"/>
  <c r="L1645" i="98"/>
  <c r="L1638" i="98"/>
  <c r="L1632" i="98"/>
  <c r="L1640" i="98"/>
  <c r="L1620" i="98"/>
  <c r="L1619" i="98"/>
  <c r="L1621" i="98"/>
  <c r="L1616" i="98"/>
  <c r="L1600" i="98"/>
  <c r="L1590" i="98"/>
  <c r="L1564" i="98"/>
  <c r="L1480" i="98"/>
  <c r="L1599" i="98"/>
  <c r="L1486" i="98"/>
  <c r="L1562" i="98"/>
  <c r="L1597" i="98"/>
  <c r="L1575" i="98"/>
  <c r="L1537" i="98"/>
  <c r="L1569" i="98"/>
  <c r="L1493" i="98"/>
  <c r="L1481" i="98"/>
  <c r="L1483" i="98"/>
  <c r="L1482" i="98"/>
  <c r="L1491" i="98"/>
  <c r="L1484" i="98"/>
  <c r="L1485" i="98"/>
  <c r="L1494" i="98"/>
  <c r="L1471" i="98"/>
  <c r="L1465" i="98"/>
  <c r="L1470" i="98"/>
  <c r="L1469" i="98"/>
  <c r="L1467" i="98"/>
  <c r="L1466" i="98"/>
  <c r="L1458" i="98"/>
  <c r="L1454" i="98"/>
  <c r="L1457" i="98"/>
  <c r="L1456" i="98"/>
  <c r="L1459" i="98"/>
  <c r="L1455" i="98"/>
  <c r="L1447" i="98"/>
  <c r="L1446" i="98"/>
  <c r="L1449" i="98"/>
  <c r="L1445" i="98"/>
  <c r="L1448" i="98"/>
  <c r="L1444" i="98"/>
  <c r="L1436" i="98"/>
  <c r="L1434" i="98"/>
  <c r="L1437" i="98"/>
  <c r="L1439" i="98"/>
  <c r="L1435" i="98"/>
  <c r="L1438" i="98"/>
  <c r="L1429" i="98"/>
  <c r="L1425" i="98"/>
  <c r="L1428" i="98"/>
  <c r="L1427" i="98"/>
  <c r="L1426" i="98"/>
  <c r="L1419" i="98"/>
  <c r="L1415" i="98"/>
  <c r="L1418" i="98"/>
  <c r="L1417" i="98"/>
  <c r="L1420" i="98"/>
  <c r="L1416" i="98"/>
  <c r="L1410" i="98"/>
  <c r="L1407" i="98"/>
  <c r="L1409" i="98"/>
  <c r="L1406" i="98"/>
  <c r="L1408" i="98"/>
  <c r="L1347" i="98"/>
  <c r="L1310" i="98"/>
  <c r="L1311" i="98"/>
  <c r="L1334" i="98"/>
  <c r="L1361" i="98"/>
  <c r="L1357" i="98"/>
  <c r="L1360" i="98"/>
  <c r="L1356" i="98"/>
  <c r="L1359" i="98"/>
  <c r="L1355" i="98"/>
  <c r="L1358" i="98"/>
  <c r="L1354" i="98"/>
  <c r="L1349" i="98"/>
  <c r="L1345" i="98"/>
  <c r="L1346" i="98"/>
  <c r="L1348" i="98"/>
  <c r="L1344" i="98"/>
  <c r="L1328" i="98"/>
  <c r="L1327" i="98"/>
  <c r="L1326" i="98"/>
  <c r="L1329" i="98"/>
  <c r="L1333" i="98"/>
  <c r="L1318" i="98"/>
  <c r="L1316" i="98"/>
  <c r="L1319" i="98"/>
  <c r="L1321" i="98"/>
  <c r="L1317" i="98"/>
  <c r="L1320" i="98"/>
  <c r="L1302" i="98"/>
  <c r="L1298" i="98"/>
  <c r="L1309" i="98"/>
  <c r="L1301" i="98"/>
  <c r="L1297" i="98"/>
  <c r="L1307" i="98"/>
  <c r="L1300" i="98"/>
  <c r="L1296" i="98"/>
  <c r="L1299" i="98"/>
  <c r="L1287" i="98"/>
  <c r="L1279" i="98"/>
  <c r="L1274" i="98"/>
  <c r="L1286" i="98"/>
  <c r="L1275" i="98"/>
  <c r="L1284" i="98"/>
  <c r="L1276" i="98"/>
  <c r="L1273" i="98"/>
  <c r="L1277" i="98"/>
  <c r="L1278" i="98"/>
  <c r="L1261" i="98"/>
  <c r="L1264" i="98"/>
  <c r="L1260" i="98"/>
  <c r="L1263" i="98"/>
  <c r="L1262" i="98"/>
  <c r="L1242" i="98"/>
  <c r="L1243" i="98"/>
  <c r="L1240" i="98"/>
  <c r="L1244" i="98"/>
  <c r="L1241" i="98"/>
  <c r="L1245" i="98"/>
  <c r="L1233" i="98"/>
  <c r="L1232" i="98"/>
  <c r="L1235" i="98"/>
  <c r="L1234" i="98"/>
  <c r="L1220" i="98"/>
  <c r="L1227" i="98"/>
  <c r="L1219" i="98"/>
  <c r="L1224" i="98"/>
  <c r="L1222" i="98"/>
  <c r="L1153" i="98"/>
  <c r="L1164" i="98"/>
  <c r="L1176" i="98"/>
  <c r="L1161" i="98"/>
  <c r="L1173" i="98"/>
  <c r="L1155" i="98"/>
  <c r="L1112" i="98"/>
  <c r="I209" i="75"/>
  <c r="J209" i="75" s="1"/>
  <c r="I215" i="75"/>
  <c r="J215" i="75" s="1"/>
  <c r="I216" i="75"/>
  <c r="J216" i="75" s="1"/>
  <c r="I239" i="75"/>
  <c r="J239" i="75" s="1"/>
  <c r="E32" i="3"/>
  <c r="D113" i="58" s="1"/>
  <c r="E30" i="3"/>
  <c r="F13" i="3"/>
  <c r="F17" i="3"/>
  <c r="G9" i="4"/>
  <c r="H9" i="4" s="1"/>
  <c r="E17" i="15"/>
  <c r="I176" i="75"/>
  <c r="J176" i="75" s="1"/>
  <c r="H418" i="75"/>
  <c r="E10" i="74"/>
  <c r="E14" i="74" s="1"/>
  <c r="E23" i="3"/>
  <c r="D146" i="58" s="1"/>
  <c r="D17" i="9"/>
  <c r="D20" i="3"/>
  <c r="B8" i="4"/>
  <c r="F10" i="3"/>
  <c r="G15" i="4"/>
  <c r="H15" i="4" s="1"/>
  <c r="G14" i="4"/>
  <c r="H14" i="4" s="1"/>
  <c r="I355" i="75"/>
  <c r="J355" i="75" s="1"/>
  <c r="I392" i="75"/>
  <c r="J392" i="75" s="1"/>
  <c r="B33" i="7"/>
  <c r="B31" i="7"/>
  <c r="B431" i="7"/>
  <c r="B430" i="7"/>
  <c r="D39" i="33"/>
  <c r="F10" i="74"/>
  <c r="C20" i="3"/>
  <c r="F9" i="3"/>
  <c r="E14" i="9"/>
  <c r="I218" i="75"/>
  <c r="J218" i="75" s="1"/>
  <c r="I404" i="75"/>
  <c r="J404" i="75" s="1"/>
  <c r="I400" i="75"/>
  <c r="J400" i="75" s="1"/>
  <c r="I380" i="75"/>
  <c r="J380" i="75" s="1"/>
  <c r="I221" i="75"/>
  <c r="J221" i="75" s="1"/>
  <c r="I390" i="75"/>
  <c r="J390" i="75" s="1"/>
  <c r="H422" i="75"/>
  <c r="I422" i="75" s="1"/>
  <c r="J422" i="75" s="1"/>
  <c r="C17" i="9"/>
  <c r="E33" i="3"/>
  <c r="E23" i="4"/>
  <c r="E16" i="4"/>
  <c r="I210" i="75"/>
  <c r="J210" i="75" s="1"/>
  <c r="G20" i="3"/>
  <c r="H19" i="3"/>
  <c r="H14" i="3"/>
  <c r="F14" i="3"/>
  <c r="C20" i="10"/>
  <c r="I304" i="75"/>
  <c r="J304" i="75" s="1"/>
  <c r="I151" i="75"/>
  <c r="I408" i="75"/>
  <c r="J408" i="75" s="1"/>
  <c r="D23" i="33"/>
  <c r="E12" i="9"/>
  <c r="H11" i="3"/>
  <c r="H13" i="3"/>
  <c r="E9" i="9"/>
  <c r="E11" i="12"/>
  <c r="E16" i="9"/>
  <c r="H16" i="9" s="1"/>
  <c r="I388" i="75"/>
  <c r="J388" i="75" s="1"/>
  <c r="I414" i="75"/>
  <c r="J414" i="75" s="1"/>
  <c r="I366" i="75"/>
  <c r="J366" i="75" s="1"/>
  <c r="I403" i="75"/>
  <c r="J403" i="75" s="1"/>
  <c r="I410" i="75"/>
  <c r="J410" i="75" s="1"/>
  <c r="B24" i="7"/>
  <c r="B26" i="7"/>
  <c r="B23" i="7"/>
  <c r="I174" i="75"/>
  <c r="J174" i="75" s="1"/>
  <c r="I188" i="75"/>
  <c r="J188" i="75" s="1"/>
  <c r="I247" i="75"/>
  <c r="J247" i="75" s="1"/>
  <c r="I142" i="75"/>
  <c r="J142" i="75" s="1"/>
  <c r="I377" i="75"/>
  <c r="H376" i="75"/>
  <c r="I371" i="75"/>
  <c r="J371" i="75" s="1"/>
  <c r="I394" i="75"/>
  <c r="J394" i="75" s="1"/>
  <c r="I398" i="75"/>
  <c r="J398" i="75" s="1"/>
  <c r="I402" i="75"/>
  <c r="J402" i="75" s="1"/>
  <c r="I406" i="75"/>
  <c r="J406" i="75" s="1"/>
  <c r="I364" i="75"/>
  <c r="J364" i="75" s="1"/>
  <c r="I217" i="75"/>
  <c r="J217" i="75" s="1"/>
  <c r="I382" i="75"/>
  <c r="J382" i="75" s="1"/>
  <c r="I383" i="75"/>
  <c r="J383" i="75" s="1"/>
  <c r="I391" i="75"/>
  <c r="J391" i="75" s="1"/>
  <c r="I399" i="75"/>
  <c r="J399" i="75" s="1"/>
  <c r="I250" i="75"/>
  <c r="J250" i="75" s="1"/>
  <c r="I147" i="75"/>
  <c r="I149" i="75" s="1"/>
  <c r="I248" i="75"/>
  <c r="J248" i="75" s="1"/>
  <c r="I393" i="75"/>
  <c r="J393" i="75" s="1"/>
  <c r="I397" i="75"/>
  <c r="J397" i="75" s="1"/>
  <c r="I401" i="75"/>
  <c r="J401" i="75" s="1"/>
  <c r="I405" i="75"/>
  <c r="J405" i="75" s="1"/>
  <c r="I356" i="75"/>
  <c r="J356" i="75" s="1"/>
  <c r="I362" i="75"/>
  <c r="J362" i="75" s="1"/>
  <c r="I375" i="75"/>
  <c r="J375" i="75" s="1"/>
  <c r="I412" i="75"/>
  <c r="J412" i="75" s="1"/>
  <c r="I372" i="75"/>
  <c r="J372" i="75" s="1"/>
  <c r="I409" i="75"/>
  <c r="J409" i="75" s="1"/>
  <c r="I413" i="75"/>
  <c r="J413" i="75" s="1"/>
  <c r="I374" i="75"/>
  <c r="J374" i="75" s="1"/>
  <c r="I411" i="75"/>
  <c r="J411" i="75" s="1"/>
  <c r="I251" i="75"/>
  <c r="J251" i="75" s="1"/>
  <c r="L1040" i="98"/>
  <c r="L1038" i="98"/>
  <c r="L1041" i="98"/>
  <c r="L1039" i="98"/>
  <c r="L1029" i="98"/>
  <c r="L1031" i="98"/>
  <c r="L1027" i="98"/>
  <c r="L1022" i="98"/>
  <c r="L1008" i="98"/>
  <c r="L1013" i="98"/>
  <c r="L1003" i="98"/>
  <c r="L989" i="98"/>
  <c r="L998" i="98"/>
  <c r="L943" i="98"/>
  <c r="L939" i="98"/>
  <c r="L941" i="98"/>
  <c r="L940" i="98"/>
  <c r="L942" i="98"/>
  <c r="L944" i="98"/>
  <c r="L934" i="98"/>
  <c r="L930" i="98"/>
  <c r="L932" i="98"/>
  <c r="L933" i="98"/>
  <c r="L929" i="98"/>
  <c r="L931" i="98"/>
  <c r="L921" i="98"/>
  <c r="L924" i="98"/>
  <c r="L923" i="98"/>
  <c r="L922" i="98"/>
  <c r="L913" i="98"/>
  <c r="L914" i="98"/>
  <c r="L911" i="98"/>
  <c r="L915" i="98"/>
  <c r="L912" i="98"/>
  <c r="L910" i="98"/>
  <c r="L902" i="98"/>
  <c r="L905" i="98"/>
  <c r="L901" i="98"/>
  <c r="L904" i="98"/>
  <c r="L900" i="98"/>
  <c r="L903" i="98"/>
  <c r="L895" i="98"/>
  <c r="L891" i="98"/>
  <c r="L894" i="98"/>
  <c r="L893" i="98"/>
  <c r="L892" i="98"/>
  <c r="L886" i="98"/>
  <c r="L879" i="98"/>
  <c r="L878" i="98"/>
  <c r="L881" i="98"/>
  <c r="L877" i="98"/>
  <c r="L880" i="98"/>
  <c r="L876" i="98"/>
  <c r="L867" i="98"/>
  <c r="L871" i="98"/>
  <c r="L868" i="98"/>
  <c r="L865" i="98"/>
  <c r="L869" i="98"/>
  <c r="L866" i="98"/>
  <c r="L870" i="98"/>
  <c r="L854" i="98"/>
  <c r="L857" i="98"/>
  <c r="L858" i="98"/>
  <c r="L856" i="98"/>
  <c r="L859" i="98"/>
  <c r="L855" i="98"/>
  <c r="L845" i="98"/>
  <c r="L849" i="98"/>
  <c r="L848" i="98"/>
  <c r="L847" i="98"/>
  <c r="L844" i="98"/>
  <c r="L846" i="98"/>
  <c r="L751" i="98"/>
  <c r="L680" i="98"/>
  <c r="L679" i="98"/>
  <c r="L678" i="98"/>
  <c r="L666" i="98"/>
  <c r="L647" i="98"/>
  <c r="L642" i="98"/>
  <c r="L670" i="98"/>
  <c r="L668" i="98"/>
  <c r="L652" i="98"/>
  <c r="L628" i="98"/>
  <c r="L614" i="98"/>
  <c r="L612" i="98"/>
  <c r="L582" i="98"/>
  <c r="L477" i="98"/>
  <c r="L456" i="98"/>
  <c r="L479" i="98"/>
  <c r="L466" i="98"/>
  <c r="L478" i="98"/>
  <c r="L580" i="98"/>
  <c r="L476" i="98"/>
  <c r="L461" i="98"/>
  <c r="L578" i="98"/>
  <c r="L539" i="98"/>
  <c r="L575" i="98"/>
  <c r="L420" i="98"/>
  <c r="L412" i="98"/>
  <c r="L410" i="98"/>
  <c r="L423" i="98"/>
  <c r="L391" i="98"/>
  <c r="L389" i="98"/>
  <c r="L320" i="98"/>
  <c r="L354" i="98"/>
  <c r="L345" i="98"/>
  <c r="L347" i="98"/>
  <c r="B42" i="7"/>
  <c r="B433" i="7"/>
  <c r="B488" i="7"/>
  <c r="B489" i="7"/>
  <c r="B39" i="7"/>
  <c r="B30" i="7"/>
  <c r="B423" i="7"/>
  <c r="B418" i="7"/>
  <c r="B413" i="7"/>
  <c r="H148" i="75"/>
  <c r="C11" i="10"/>
  <c r="D6" i="10" s="1"/>
  <c r="I424" i="75"/>
  <c r="H423" i="75"/>
  <c r="H150" i="75"/>
  <c r="H149" i="75"/>
  <c r="B8" i="7"/>
  <c r="B11" i="7"/>
  <c r="G11" i="74"/>
  <c r="G10" i="74" s="1"/>
  <c r="B9" i="7"/>
  <c r="H360" i="75"/>
  <c r="H368" i="75"/>
  <c r="I370" i="75"/>
  <c r="J370" i="75" s="1"/>
  <c r="H386" i="75"/>
  <c r="H385" i="75" s="1"/>
  <c r="H384" i="75" s="1"/>
  <c r="G19" i="14" s="1"/>
  <c r="I389" i="75"/>
  <c r="I167" i="75"/>
  <c r="J234" i="75"/>
  <c r="J353" i="75"/>
  <c r="H352" i="75"/>
  <c r="H351" i="75" s="1"/>
  <c r="H173" i="75"/>
  <c r="I175" i="75"/>
  <c r="J175" i="75" s="1"/>
  <c r="H178" i="75"/>
  <c r="I180" i="75"/>
  <c r="I246" i="75"/>
  <c r="J246" i="75" s="1"/>
  <c r="H233" i="75"/>
  <c r="H232" i="75" s="1"/>
  <c r="J361" i="75"/>
  <c r="C15" i="10"/>
  <c r="I212" i="75"/>
  <c r="J212" i="75" s="1"/>
  <c r="H363" i="75"/>
  <c r="I365" i="75"/>
  <c r="J365" i="75" s="1"/>
  <c r="H378" i="75"/>
  <c r="I379" i="75"/>
  <c r="H169" i="75"/>
  <c r="I170" i="75"/>
  <c r="H145" i="75"/>
  <c r="I145" i="75" s="1"/>
  <c r="J145" i="75" s="1"/>
  <c r="H146" i="75"/>
  <c r="I146" i="75" s="1"/>
  <c r="J146" i="75" s="1"/>
  <c r="H143" i="75"/>
  <c r="I143" i="75" s="1"/>
  <c r="J143" i="75" s="1"/>
  <c r="C14" i="10"/>
  <c r="L20" i="83"/>
  <c r="Q20" i="83" s="1"/>
  <c r="H430" i="75"/>
  <c r="H144" i="75"/>
  <c r="I144" i="75" s="1"/>
  <c r="J144" i="75" s="1"/>
  <c r="J369" i="75"/>
  <c r="J377" i="75"/>
  <c r="L214" i="98"/>
  <c r="L211" i="98"/>
  <c r="L213" i="98"/>
  <c r="L210" i="98"/>
  <c r="L209" i="98"/>
  <c r="L215" i="98"/>
  <c r="L212" i="98"/>
  <c r="D89" i="98"/>
  <c r="D90" i="98" s="1"/>
  <c r="D91" i="98" s="1"/>
  <c r="B1117" i="98"/>
  <c r="B386" i="98"/>
  <c r="D490" i="98"/>
  <c r="D491" i="98" s="1"/>
  <c r="D492" i="98"/>
  <c r="D493" i="98" s="1"/>
  <c r="D494" i="98" s="1"/>
  <c r="D495" i="98" s="1"/>
  <c r="D496" i="98" s="1"/>
  <c r="D497" i="98" s="1"/>
  <c r="D498" i="98" s="1"/>
  <c r="D499" i="98" s="1"/>
  <c r="D500" i="98" s="1"/>
  <c r="D501" i="98" s="1"/>
  <c r="D502" i="98" s="1"/>
  <c r="D2671" i="98"/>
  <c r="D2672" i="98" s="1"/>
  <c r="D2673" i="98" s="1"/>
  <c r="D2674" i="98" s="1"/>
  <c r="D2675" i="98" s="1"/>
  <c r="D2676" i="98" s="1"/>
  <c r="D2677" i="98" s="1"/>
  <c r="D2678" i="98" s="1"/>
  <c r="D2679" i="98" s="1"/>
  <c r="D2680" i="98" s="1"/>
  <c r="B2671" i="98"/>
  <c r="B2672" i="98" s="1"/>
  <c r="B2673" i="98" s="1"/>
  <c r="B2674" i="98" s="1"/>
  <c r="B2675" i="98" s="1"/>
  <c r="B2676" i="98" s="1"/>
  <c r="B2677" i="98" s="1"/>
  <c r="B2678" i="98" s="1"/>
  <c r="B2679" i="98" s="1"/>
  <c r="B2680" i="98" s="1"/>
  <c r="B349" i="98"/>
  <c r="B358" i="98"/>
  <c r="D318" i="98"/>
  <c r="D319" i="98" s="1"/>
  <c r="L37" i="98"/>
  <c r="L32" i="98"/>
  <c r="L49" i="98"/>
  <c r="L51" i="98"/>
  <c r="L192" i="98"/>
  <c r="L189" i="98"/>
  <c r="L200" i="98"/>
  <c r="F8" i="23"/>
  <c r="L53" i="98"/>
  <c r="L27" i="98"/>
  <c r="L22" i="98"/>
  <c r="L55" i="98"/>
  <c r="F44" i="23"/>
  <c r="F42" i="23" s="1"/>
  <c r="L828" i="98"/>
  <c r="L24" i="83" l="1"/>
  <c r="Q24" i="83" s="1"/>
  <c r="H141" i="75"/>
  <c r="L22" i="83"/>
  <c r="Q22" i="83" s="1"/>
  <c r="I17" i="3"/>
  <c r="H158" i="75"/>
  <c r="I158" i="75" s="1"/>
  <c r="J158" i="75" s="1"/>
  <c r="K2698" i="100"/>
  <c r="K2670" i="100"/>
  <c r="D34" i="33"/>
  <c r="K2676" i="100"/>
  <c r="K2630" i="100"/>
  <c r="K2602" i="100"/>
  <c r="K2710" i="100"/>
  <c r="K2619" i="100"/>
  <c r="K2596" i="100"/>
  <c r="K74" i="100"/>
  <c r="L1863" i="98"/>
  <c r="K1013" i="100" s="1"/>
  <c r="L1869" i="98"/>
  <c r="L1860" i="98"/>
  <c r="K1010" i="100" s="1"/>
  <c r="L1864" i="98"/>
  <c r="L1861" i="98"/>
  <c r="M1870" i="98"/>
  <c r="M1860" i="98"/>
  <c r="L2217" i="98"/>
  <c r="M2217" i="98" s="1"/>
  <c r="L1513" i="98"/>
  <c r="M1513" i="98" s="1"/>
  <c r="L1505" i="98"/>
  <c r="M1505" i="98" s="1"/>
  <c r="K591" i="100"/>
  <c r="K2516" i="100"/>
  <c r="K677" i="100"/>
  <c r="E29" i="14"/>
  <c r="F17" i="4"/>
  <c r="C24" i="4"/>
  <c r="D51" i="33"/>
  <c r="L2173" i="98"/>
  <c r="M2173" i="98" s="1"/>
  <c r="L3706" i="98"/>
  <c r="K174" i="100"/>
  <c r="K1425" i="100"/>
  <c r="K1681" i="100"/>
  <c r="K1861" i="100"/>
  <c r="K2541" i="100"/>
  <c r="K1908" i="100"/>
  <c r="K571" i="100"/>
  <c r="K1243" i="100"/>
  <c r="K1380" i="100"/>
  <c r="L1380" i="100" s="1"/>
  <c r="K2109" i="100"/>
  <c r="K373" i="100"/>
  <c r="K2658" i="100"/>
  <c r="K2640" i="100"/>
  <c r="K219" i="100"/>
  <c r="K554" i="100"/>
  <c r="K471" i="100"/>
  <c r="K1110" i="100"/>
  <c r="K985" i="100"/>
  <c r="K1034" i="100"/>
  <c r="K2181" i="100"/>
  <c r="K2009" i="100"/>
  <c r="K1691" i="100"/>
  <c r="K2249" i="100"/>
  <c r="L2249" i="100" s="1"/>
  <c r="K1973" i="100"/>
  <c r="K1362" i="100"/>
  <c r="L1362" i="100" s="1"/>
  <c r="K601" i="100"/>
  <c r="K1432" i="100"/>
  <c r="K1181" i="100"/>
  <c r="K966" i="100"/>
  <c r="K984" i="100"/>
  <c r="K2122" i="100"/>
  <c r="K1230" i="100"/>
  <c r="K2074" i="100"/>
  <c r="K623" i="100"/>
  <c r="L2899" i="98"/>
  <c r="K2564" i="100"/>
  <c r="K2180" i="100"/>
  <c r="K2139" i="100"/>
  <c r="K2087" i="100"/>
  <c r="K2177" i="100"/>
  <c r="K2078" i="100"/>
  <c r="K1369" i="100"/>
  <c r="L1369" i="100" s="1"/>
  <c r="K2213" i="100"/>
  <c r="K2030" i="100"/>
  <c r="K1480" i="100"/>
  <c r="K631" i="100"/>
  <c r="K493" i="100"/>
  <c r="K1113" i="100"/>
  <c r="K2022" i="100"/>
  <c r="K803" i="100"/>
  <c r="K612" i="100"/>
  <c r="K44" i="100"/>
  <c r="K2096" i="100"/>
  <c r="K2135" i="100"/>
  <c r="K2159" i="100"/>
  <c r="K2075" i="100"/>
  <c r="K2014" i="100"/>
  <c r="K1202" i="100"/>
  <c r="K1159" i="100"/>
  <c r="K2010" i="100"/>
  <c r="K2035" i="100"/>
  <c r="K1361" i="100"/>
  <c r="L1361" i="100" s="1"/>
  <c r="K1894" i="100"/>
  <c r="K1176" i="100"/>
  <c r="K977" i="100"/>
  <c r="K31" i="100"/>
  <c r="K1989" i="100"/>
  <c r="K965" i="100"/>
  <c r="K2076" i="100"/>
  <c r="K2178" i="100"/>
  <c r="K2245" i="100"/>
  <c r="K2189" i="100"/>
  <c r="K2156" i="100"/>
  <c r="K1703" i="100"/>
  <c r="K2011" i="100"/>
  <c r="K2138" i="100"/>
  <c r="K1177" i="100"/>
  <c r="K2256" i="100"/>
  <c r="L2256" i="100" s="1"/>
  <c r="K1994" i="100"/>
  <c r="K1180" i="100"/>
  <c r="K988" i="100"/>
  <c r="K1037" i="100"/>
  <c r="K604" i="100"/>
  <c r="K1033" i="100"/>
  <c r="K989" i="100"/>
  <c r="K494" i="100"/>
  <c r="K848" i="100"/>
  <c r="K1160" i="100"/>
  <c r="K1038" i="100"/>
  <c r="K2147" i="100"/>
  <c r="K2246" i="100"/>
  <c r="L2246" i="100" s="1"/>
  <c r="K2079" i="100"/>
  <c r="K2136" i="100"/>
  <c r="K1993" i="100"/>
  <c r="K2216" i="100"/>
  <c r="K1436" i="100"/>
  <c r="K1694" i="100"/>
  <c r="K996" i="100"/>
  <c r="K964" i="100"/>
  <c r="K1483" i="100"/>
  <c r="K34" i="100"/>
  <c r="K1198" i="100"/>
  <c r="K1055" i="100"/>
  <c r="K2157" i="100"/>
  <c r="K2168" i="100"/>
  <c r="K2013" i="100"/>
  <c r="K2034" i="100"/>
  <c r="K2248" i="100"/>
  <c r="K1201" i="100"/>
  <c r="K850" i="100"/>
  <c r="K986" i="100"/>
  <c r="K857" i="100"/>
  <c r="K2214" i="100"/>
  <c r="K1991" i="100"/>
  <c r="K2198" i="100"/>
  <c r="K1695" i="100"/>
  <c r="K2556" i="100"/>
  <c r="K2551" i="100"/>
  <c r="K2555" i="100"/>
  <c r="K2553" i="100"/>
  <c r="K2552" i="100"/>
  <c r="K2031" i="100"/>
  <c r="K1692" i="100"/>
  <c r="K1974" i="100"/>
  <c r="K2032" i="100"/>
  <c r="K1359" i="100"/>
  <c r="L1359" i="100" s="1"/>
  <c r="K1891" i="100"/>
  <c r="K1889" i="100"/>
  <c r="K1893" i="100"/>
  <c r="K1189" i="100"/>
  <c r="K1990" i="100"/>
  <c r="K1222" i="100"/>
  <c r="K1902" i="100"/>
  <c r="L2895" i="98"/>
  <c r="K2043" i="100"/>
  <c r="K2001" i="100"/>
  <c r="K1971" i="100"/>
  <c r="K1218" i="100"/>
  <c r="K1210" i="100"/>
  <c r="K1970" i="100"/>
  <c r="K1890" i="100"/>
  <c r="K1109" i="100"/>
  <c r="K1481" i="100"/>
  <c r="K1156" i="100"/>
  <c r="K1111" i="100"/>
  <c r="K1433" i="100"/>
  <c r="K1199" i="100"/>
  <c r="K1982" i="100"/>
  <c r="K1197" i="100"/>
  <c r="K1157" i="100"/>
  <c r="K1221" i="100"/>
  <c r="K1168" i="100"/>
  <c r="K1178" i="100"/>
  <c r="K1219" i="100"/>
  <c r="K1114" i="100"/>
  <c r="K1155" i="100"/>
  <c r="K1444" i="100"/>
  <c r="K1435" i="100"/>
  <c r="K1484" i="100"/>
  <c r="K1122" i="100"/>
  <c r="K1059" i="100"/>
  <c r="K969" i="100"/>
  <c r="K1066" i="100"/>
  <c r="K801" i="100"/>
  <c r="K968" i="100"/>
  <c r="K1058" i="100"/>
  <c r="K874" i="100"/>
  <c r="K800" i="100"/>
  <c r="K811" i="100"/>
  <c r="K1046" i="100"/>
  <c r="L1614" i="98"/>
  <c r="K1056" i="100"/>
  <c r="K1054" i="100"/>
  <c r="K491" i="100"/>
  <c r="K193" i="100"/>
  <c r="K490" i="100"/>
  <c r="K621" i="100"/>
  <c r="K123" i="100"/>
  <c r="K338" i="100"/>
  <c r="K620" i="100"/>
  <c r="K602" i="100"/>
  <c r="K501" i="100"/>
  <c r="K267" i="100"/>
  <c r="K127" i="100"/>
  <c r="K196" i="100"/>
  <c r="K278" i="100"/>
  <c r="K126" i="100"/>
  <c r="K271" i="100"/>
  <c r="K32" i="100"/>
  <c r="K270" i="100"/>
  <c r="K197" i="100"/>
  <c r="K135" i="100"/>
  <c r="K124" i="100"/>
  <c r="K268" i="100"/>
  <c r="K36" i="100"/>
  <c r="K194" i="100"/>
  <c r="K1358" i="100"/>
  <c r="L1358" i="100" s="1"/>
  <c r="K2217" i="100"/>
  <c r="K1969" i="100"/>
  <c r="K2160" i="100"/>
  <c r="K1492" i="100"/>
  <c r="K1035" i="100"/>
  <c r="K412" i="100"/>
  <c r="K248" i="100"/>
  <c r="K787" i="100"/>
  <c r="K1138" i="100"/>
  <c r="K2570" i="100"/>
  <c r="I9" i="3"/>
  <c r="L3666" i="98"/>
  <c r="K440" i="100"/>
  <c r="K1709" i="100"/>
  <c r="K1852" i="100"/>
  <c r="K1959" i="100"/>
  <c r="K1879" i="100"/>
  <c r="K55" i="100"/>
  <c r="K393" i="100"/>
  <c r="K1390" i="100"/>
  <c r="L1390" i="100" s="1"/>
  <c r="K1249" i="100"/>
  <c r="K1375" i="100"/>
  <c r="L1375" i="100" s="1"/>
  <c r="K1913" i="100"/>
  <c r="K1635" i="100"/>
  <c r="K1470" i="100"/>
  <c r="L3636" i="98"/>
  <c r="F5" i="14"/>
  <c r="K1932" i="100"/>
  <c r="K1870" i="100"/>
  <c r="K1941" i="100"/>
  <c r="K1950" i="100"/>
  <c r="K317" i="100"/>
  <c r="K649" i="100"/>
  <c r="K1385" i="100"/>
  <c r="L1385" i="100" s="1"/>
  <c r="K1237" i="100"/>
  <c r="K1557" i="100"/>
  <c r="K2051" i="100"/>
  <c r="K284" i="100"/>
  <c r="K1099" i="100"/>
  <c r="K327" i="100"/>
  <c r="K777" i="100"/>
  <c r="K359" i="100"/>
  <c r="K1533" i="100"/>
  <c r="K1024" i="100"/>
  <c r="K2915" i="100"/>
  <c r="K480" i="100"/>
  <c r="K50" i="100"/>
  <c r="K383" i="100"/>
  <c r="K1498" i="100"/>
  <c r="K1590" i="100"/>
  <c r="K1395" i="100"/>
  <c r="L1395" i="100" s="1"/>
  <c r="K1091" i="100"/>
  <c r="K402" i="100"/>
  <c r="K748" i="100"/>
  <c r="K639" i="100"/>
  <c r="K729" i="100"/>
  <c r="K2057" i="100"/>
  <c r="K257" i="100"/>
  <c r="K954" i="100"/>
  <c r="K239" i="100"/>
  <c r="K767" i="100"/>
  <c r="K1083" i="100"/>
  <c r="K667" i="100"/>
  <c r="K1510" i="100"/>
  <c r="K293" i="100"/>
  <c r="K1613" i="100"/>
  <c r="K2115" i="100"/>
  <c r="K1624" i="100"/>
  <c r="K2607" i="100"/>
  <c r="K2608" i="100"/>
  <c r="K2647" i="100"/>
  <c r="K946" i="100"/>
  <c r="K1255" i="100"/>
  <c r="K2686" i="100"/>
  <c r="K183" i="100"/>
  <c r="K2891" i="100"/>
  <c r="K63" i="100"/>
  <c r="K21" i="100"/>
  <c r="K12" i="100"/>
  <c r="K1521" i="100"/>
  <c r="K938" i="100"/>
  <c r="K1143" i="100"/>
  <c r="K889" i="100"/>
  <c r="K738" i="100"/>
  <c r="K349" i="100"/>
  <c r="K364" i="100"/>
  <c r="K757" i="100"/>
  <c r="K1416" i="100"/>
  <c r="K1602" i="100"/>
  <c r="K1579" i="100"/>
  <c r="K507" i="100"/>
  <c r="K1001" i="100"/>
  <c r="K1128" i="100"/>
  <c r="K563" i="100"/>
  <c r="K151" i="100"/>
  <c r="K210" i="100"/>
  <c r="K1568" i="100"/>
  <c r="K307" i="100"/>
  <c r="K462" i="100"/>
  <c r="K1545" i="100"/>
  <c r="K139" i="100"/>
  <c r="L3615" i="98"/>
  <c r="L2140" i="98"/>
  <c r="L3596" i="98"/>
  <c r="L3626" i="98"/>
  <c r="L396" i="98"/>
  <c r="L3694" i="98"/>
  <c r="L2962" i="98"/>
  <c r="L2960" i="98" s="1"/>
  <c r="L3564" i="98"/>
  <c r="L3672" i="98"/>
  <c r="L3682" i="98"/>
  <c r="L3966" i="98"/>
  <c r="L3510" i="98"/>
  <c r="L3535" i="98"/>
  <c r="L3602" i="98"/>
  <c r="L3643" i="98"/>
  <c r="L3654" i="98"/>
  <c r="L1218" i="98"/>
  <c r="L1985" i="98"/>
  <c r="L1905" i="98"/>
  <c r="L1906" i="98"/>
  <c r="L1960" i="98"/>
  <c r="L2023" i="98"/>
  <c r="L1959" i="98"/>
  <c r="L1528" i="98"/>
  <c r="L2051" i="98"/>
  <c r="L2079" i="98"/>
  <c r="L2403" i="98"/>
  <c r="L2426" i="98"/>
  <c r="L2529" i="98"/>
  <c r="L2507" i="98"/>
  <c r="L2495" i="98"/>
  <c r="L2473" i="98"/>
  <c r="L2614" i="98"/>
  <c r="L2314" i="98"/>
  <c r="L2540" i="98"/>
  <c r="L2462" i="98"/>
  <c r="L2484" i="98"/>
  <c r="L406" i="98"/>
  <c r="L441" i="98"/>
  <c r="L1353" i="98"/>
  <c r="L1352" i="98" s="1"/>
  <c r="L1709" i="98"/>
  <c r="L587" i="98"/>
  <c r="L607" i="98"/>
  <c r="L1884" i="98"/>
  <c r="L1720" i="98"/>
  <c r="L1835" i="98"/>
  <c r="L3546" i="98"/>
  <c r="F1762" i="23"/>
  <c r="K2349" i="100" s="1"/>
  <c r="L2349" i="100" s="1"/>
  <c r="L2876" i="98"/>
  <c r="F1772" i="23"/>
  <c r="K2359" i="100" s="1"/>
  <c r="L2359" i="100" s="1"/>
  <c r="L2937" i="98"/>
  <c r="F1761" i="23"/>
  <c r="K2348" i="100" s="1"/>
  <c r="L2936" i="98"/>
  <c r="L2980" i="98"/>
  <c r="L2875" i="98"/>
  <c r="L2896" i="98"/>
  <c r="L2915" i="98"/>
  <c r="L2794" i="98"/>
  <c r="L2795" i="98"/>
  <c r="L2118" i="98"/>
  <c r="L61" i="98"/>
  <c r="L168" i="98"/>
  <c r="L62" i="98"/>
  <c r="H9" i="9"/>
  <c r="H156" i="75"/>
  <c r="I156" i="75" s="1"/>
  <c r="J156" i="75" s="1"/>
  <c r="H159" i="75"/>
  <c r="I159" i="75" s="1"/>
  <c r="J159" i="75" s="1"/>
  <c r="H165" i="75"/>
  <c r="H163" i="75" s="1"/>
  <c r="I155" i="75"/>
  <c r="J155" i="75" s="1"/>
  <c r="F14" i="14"/>
  <c r="H434" i="75"/>
  <c r="H433" i="75" s="1"/>
  <c r="H241" i="75"/>
  <c r="H432" i="75"/>
  <c r="I432" i="75" s="1"/>
  <c r="I10" i="3"/>
  <c r="I18" i="3"/>
  <c r="I87" i="96"/>
  <c r="L1272" i="98"/>
  <c r="L1076" i="98"/>
  <c r="L1052" i="98"/>
  <c r="L864" i="98"/>
  <c r="L863" i="98" s="1"/>
  <c r="H186" i="75"/>
  <c r="I186" i="75" s="1"/>
  <c r="J186" i="75" s="1"/>
  <c r="I182" i="75"/>
  <c r="J182" i="75" s="1"/>
  <c r="E28" i="12"/>
  <c r="E33" i="12" s="1"/>
  <c r="E36" i="12" s="1"/>
  <c r="E37" i="12" s="1"/>
  <c r="I19" i="3"/>
  <c r="F17" i="9"/>
  <c r="G17" i="9" s="1"/>
  <c r="F8" i="4"/>
  <c r="C16" i="10"/>
  <c r="C26" i="10" s="1"/>
  <c r="F14" i="74"/>
  <c r="G17" i="4"/>
  <c r="L685" i="98"/>
  <c r="L712" i="98"/>
  <c r="L790" i="98"/>
  <c r="G9" i="74"/>
  <c r="G8" i="74" s="1"/>
  <c r="G14" i="74" s="1"/>
  <c r="H183" i="75"/>
  <c r="I183" i="75" s="1"/>
  <c r="J183" i="75" s="1"/>
  <c r="H184" i="75"/>
  <c r="I184" i="75" s="1"/>
  <c r="J184" i="75" s="1"/>
  <c r="J363" i="75"/>
  <c r="J359" i="75" s="1"/>
  <c r="H21" i="4"/>
  <c r="H333" i="75"/>
  <c r="H332" i="75" s="1"/>
  <c r="H331" i="75" s="1"/>
  <c r="L507" i="98"/>
  <c r="L509" i="98"/>
  <c r="L485" i="98"/>
  <c r="L484" i="98"/>
  <c r="L387" i="98"/>
  <c r="L316" i="98"/>
  <c r="L314" i="98"/>
  <c r="L293" i="98"/>
  <c r="L292" i="98"/>
  <c r="L87" i="98"/>
  <c r="L82" i="98"/>
  <c r="F57" i="23"/>
  <c r="L1239" i="98"/>
  <c r="L1259" i="98"/>
  <c r="L1343" i="98"/>
  <c r="L1231" i="98"/>
  <c r="L1315" i="98"/>
  <c r="L1325" i="98"/>
  <c r="L2874" i="98"/>
  <c r="K2829" i="100"/>
  <c r="F2067" i="23"/>
  <c r="K2830" i="100" s="1"/>
  <c r="L2830" i="100" s="1"/>
  <c r="H16" i="4"/>
  <c r="J360" i="75"/>
  <c r="B24" i="4"/>
  <c r="E17" i="4"/>
  <c r="J419" i="75"/>
  <c r="J418" i="75" s="1"/>
  <c r="C29" i="14"/>
  <c r="F30" i="1"/>
  <c r="I334" i="75"/>
  <c r="D29" i="14"/>
  <c r="I8" i="3"/>
  <c r="H243" i="75"/>
  <c r="I419" i="75"/>
  <c r="I418" i="75" s="1"/>
  <c r="I11" i="3"/>
  <c r="I14" i="3"/>
  <c r="H14" i="9"/>
  <c r="H22" i="4"/>
  <c r="L3942" i="98"/>
  <c r="L3100" i="98"/>
  <c r="L2757" i="98"/>
  <c r="L2813" i="98"/>
  <c r="L2288" i="98"/>
  <c r="L2287" i="98" s="1"/>
  <c r="L2286" i="98" s="1"/>
  <c r="L2285" i="98" s="1"/>
  <c r="L1021" i="98"/>
  <c r="L1020" i="98" s="1"/>
  <c r="L1019" i="98" s="1"/>
  <c r="L1018" i="98" s="1"/>
  <c r="L2273" i="98"/>
  <c r="L2272" i="98" s="1"/>
  <c r="L2271" i="98" s="1"/>
  <c r="L2270" i="98" s="1"/>
  <c r="L2293" i="98"/>
  <c r="L2292" i="98" s="1"/>
  <c r="L2291" i="98" s="1"/>
  <c r="L2290" i="98" s="1"/>
  <c r="L2283" i="98"/>
  <c r="L2282" i="98" s="1"/>
  <c r="L2281" i="98" s="1"/>
  <c r="L2280" i="98" s="1"/>
  <c r="L2278" i="98"/>
  <c r="L2277" i="98" s="1"/>
  <c r="L2276" i="98" s="1"/>
  <c r="L2275" i="98" s="1"/>
  <c r="L208" i="98"/>
  <c r="L219" i="98"/>
  <c r="L675" i="98"/>
  <c r="L938" i="98"/>
  <c r="L899" i="98"/>
  <c r="L890" i="98"/>
  <c r="L909" i="98"/>
  <c r="L919" i="98"/>
  <c r="L928" i="98"/>
  <c r="L1036" i="98"/>
  <c r="L1433" i="98"/>
  <c r="L1405" i="98"/>
  <c r="L1414" i="98"/>
  <c r="L1424" i="98"/>
  <c r="L2323" i="98"/>
  <c r="L2438" i="98"/>
  <c r="L2375" i="98"/>
  <c r="L2415" i="98"/>
  <c r="L2518" i="98"/>
  <c r="L2450" i="98"/>
  <c r="L2586" i="98"/>
  <c r="L2775" i="98"/>
  <c r="L2766" i="98"/>
  <c r="L2784" i="98"/>
  <c r="L2818" i="98"/>
  <c r="L2956" i="98"/>
  <c r="L3094" i="98"/>
  <c r="L2864" i="98"/>
  <c r="L2855" i="98"/>
  <c r="L2837" i="98"/>
  <c r="L2846" i="98"/>
  <c r="L1949" i="98"/>
  <c r="L2005" i="98"/>
  <c r="L1941" i="98"/>
  <c r="L1933" i="98"/>
  <c r="F2078" i="23"/>
  <c r="K2841" i="100" s="1"/>
  <c r="L2841" i="100" s="1"/>
  <c r="K2831" i="100"/>
  <c r="L2831" i="100" s="1"/>
  <c r="F2071" i="23"/>
  <c r="L3601" i="98"/>
  <c r="L3549" i="98"/>
  <c r="L3590" i="98"/>
  <c r="L3558" i="98"/>
  <c r="L3550" i="98"/>
  <c r="L3547" i="98"/>
  <c r="L3545" i="98"/>
  <c r="L3167" i="98"/>
  <c r="L3237" i="98"/>
  <c r="M3237" i="98" s="1"/>
  <c r="L3157" i="98"/>
  <c r="L3107" i="98"/>
  <c r="L3205" i="98"/>
  <c r="L3247" i="98"/>
  <c r="M3247" i="98" s="1"/>
  <c r="L3166" i="98"/>
  <c r="L3189" i="98"/>
  <c r="L3144" i="98"/>
  <c r="L3207" i="98"/>
  <c r="L3240" i="98"/>
  <c r="M3240" i="98" s="1"/>
  <c r="L3239" i="98"/>
  <c r="M3239" i="98" s="1"/>
  <c r="L2906" i="98"/>
  <c r="L3180" i="98"/>
  <c r="L3208" i="98"/>
  <c r="L3204" i="98"/>
  <c r="L3169" i="98"/>
  <c r="L3236" i="98"/>
  <c r="M3236" i="98" s="1"/>
  <c r="L3170" i="98"/>
  <c r="L2948" i="98"/>
  <c r="L3123" i="98"/>
  <c r="L3134" i="98"/>
  <c r="L3126" i="98"/>
  <c r="L3147" i="98"/>
  <c r="L3125" i="98"/>
  <c r="L3143" i="98"/>
  <c r="L3122" i="98"/>
  <c r="L3146" i="98"/>
  <c r="L2887" i="98"/>
  <c r="L2796" i="98"/>
  <c r="L2807" i="98"/>
  <c r="L2927" i="98"/>
  <c r="L2979" i="98"/>
  <c r="L2919" i="98"/>
  <c r="L2878" i="98"/>
  <c r="L2798" i="98"/>
  <c r="L2914" i="98"/>
  <c r="L2983" i="98"/>
  <c r="L2894" i="98"/>
  <c r="L2916" i="98"/>
  <c r="L2939" i="98"/>
  <c r="L2984" i="98"/>
  <c r="L3001" i="98"/>
  <c r="L2981" i="98"/>
  <c r="L2898" i="98"/>
  <c r="L2935" i="98"/>
  <c r="L2940" i="98"/>
  <c r="L2879" i="98"/>
  <c r="L2918" i="98"/>
  <c r="L2799" i="98"/>
  <c r="L2992" i="98"/>
  <c r="L2608" i="98"/>
  <c r="L2597" i="98"/>
  <c r="L2600" i="98"/>
  <c r="L2599" i="98"/>
  <c r="L2596" i="98"/>
  <c r="L2397" i="98"/>
  <c r="L2386" i="98"/>
  <c r="L2388" i="98"/>
  <c r="L2389" i="98"/>
  <c r="L2385" i="98"/>
  <c r="L2346" i="98"/>
  <c r="L2330" i="98"/>
  <c r="L2331" i="98"/>
  <c r="L2333" i="98"/>
  <c r="L2334" i="98"/>
  <c r="L2253" i="98"/>
  <c r="L2250" i="98"/>
  <c r="L2252" i="98"/>
  <c r="L2264" i="98"/>
  <c r="L2249" i="98"/>
  <c r="L2110" i="98"/>
  <c r="L2107" i="98"/>
  <c r="L2106" i="98"/>
  <c r="L2109" i="98"/>
  <c r="L2052" i="98"/>
  <c r="L2083" i="98"/>
  <c r="L2080" i="98"/>
  <c r="L2050" i="98"/>
  <c r="L2082" i="98"/>
  <c r="L2055" i="98"/>
  <c r="L2095" i="98"/>
  <c r="L2054" i="98"/>
  <c r="L2078" i="98"/>
  <c r="L2067" i="98"/>
  <c r="L1904" i="98"/>
  <c r="L2039" i="98"/>
  <c r="L1964" i="98"/>
  <c r="L2026" i="98"/>
  <c r="L1976" i="98"/>
  <c r="L1963" i="98"/>
  <c r="L2027" i="98"/>
  <c r="L2024" i="98"/>
  <c r="L1721" i="98"/>
  <c r="L2022" i="98"/>
  <c r="L1961" i="98"/>
  <c r="L1908" i="98"/>
  <c r="L1851" i="98"/>
  <c r="L1874" i="98"/>
  <c r="L1693" i="98"/>
  <c r="L1701" i="98"/>
  <c r="J245" i="75"/>
  <c r="J243" i="75" s="1"/>
  <c r="I243" i="75"/>
  <c r="G12" i="9"/>
  <c r="H12" i="9" s="1"/>
  <c r="I360" i="75"/>
  <c r="J352" i="75"/>
  <c r="J351" i="75" s="1"/>
  <c r="H417" i="75"/>
  <c r="I214" i="75"/>
  <c r="J214" i="75" s="1"/>
  <c r="J208" i="75" s="1"/>
  <c r="L1916" i="98"/>
  <c r="L1909" i="98"/>
  <c r="H11" i="4"/>
  <c r="H15" i="9"/>
  <c r="H23" i="4"/>
  <c r="G8" i="4"/>
  <c r="H10" i="9"/>
  <c r="L1887" i="98"/>
  <c r="L1888" i="98"/>
  <c r="L1896" i="98"/>
  <c r="L1883" i="98"/>
  <c r="L1885" i="98"/>
  <c r="L1834" i="98"/>
  <c r="L1836" i="98"/>
  <c r="L1846" i="98"/>
  <c r="L1838" i="98"/>
  <c r="L1839" i="98"/>
  <c r="L1824" i="98"/>
  <c r="L1743" i="98"/>
  <c r="L1741" i="98"/>
  <c r="L1719" i="98"/>
  <c r="L1644" i="98"/>
  <c r="L1595" i="98"/>
  <c r="L1532" i="98"/>
  <c r="L1476" i="98"/>
  <c r="L1479" i="98"/>
  <c r="L1477" i="98"/>
  <c r="L1489" i="98"/>
  <c r="L1463" i="98"/>
  <c r="L1443" i="98"/>
  <c r="L1160" i="98"/>
  <c r="L1295" i="98"/>
  <c r="L1305" i="98"/>
  <c r="L1292" i="98"/>
  <c r="L1293" i="98"/>
  <c r="L1282" i="98"/>
  <c r="L1269" i="98"/>
  <c r="L1270" i="98"/>
  <c r="L1151" i="98"/>
  <c r="L988" i="98"/>
  <c r="L1073" i="98"/>
  <c r="L1046" i="98"/>
  <c r="I150" i="75"/>
  <c r="I352" i="75"/>
  <c r="I351" i="75" s="1"/>
  <c r="E17" i="9"/>
  <c r="I148" i="75"/>
  <c r="J148" i="75" s="1"/>
  <c r="I13" i="3"/>
  <c r="J147" i="75"/>
  <c r="I152" i="75"/>
  <c r="J152" i="75" s="1"/>
  <c r="J151" i="75"/>
  <c r="I153" i="75"/>
  <c r="I154" i="75"/>
  <c r="F20" i="3"/>
  <c r="H20" i="3"/>
  <c r="E8" i="4"/>
  <c r="L885" i="98"/>
  <c r="L875" i="98"/>
  <c r="L853" i="98"/>
  <c r="L843" i="98"/>
  <c r="L833" i="98"/>
  <c r="L819" i="98"/>
  <c r="L799" i="98"/>
  <c r="L715" i="98"/>
  <c r="L691" i="98"/>
  <c r="L627" i="98"/>
  <c r="L660" i="98"/>
  <c r="L474" i="98"/>
  <c r="L1672" i="98"/>
  <c r="D8" i="10"/>
  <c r="D9" i="10"/>
  <c r="D10" i="10"/>
  <c r="H359" i="75"/>
  <c r="I173" i="75"/>
  <c r="J233" i="75"/>
  <c r="J232" i="75" s="1"/>
  <c r="I423" i="75"/>
  <c r="J424" i="75"/>
  <c r="J423" i="75" s="1"/>
  <c r="D7" i="10"/>
  <c r="I430" i="75"/>
  <c r="H429" i="75"/>
  <c r="G16" i="14"/>
  <c r="H367" i="75"/>
  <c r="J368" i="75"/>
  <c r="H240" i="75"/>
  <c r="H231" i="75" s="1"/>
  <c r="C25" i="10"/>
  <c r="J173" i="75"/>
  <c r="H171" i="75"/>
  <c r="I233" i="75"/>
  <c r="I232" i="75" s="1"/>
  <c r="J389" i="75"/>
  <c r="J386" i="75" s="1"/>
  <c r="J385" i="75" s="1"/>
  <c r="J384" i="75" s="1"/>
  <c r="I386" i="75"/>
  <c r="I385" i="75" s="1"/>
  <c r="I384" i="75" s="1"/>
  <c r="I241" i="75"/>
  <c r="J242" i="75"/>
  <c r="J241" i="75" s="1"/>
  <c r="I368" i="75"/>
  <c r="C24" i="10"/>
  <c r="J170" i="75"/>
  <c r="J169" i="75" s="1"/>
  <c r="I169" i="75"/>
  <c r="I378" i="75"/>
  <c r="I376" i="75" s="1"/>
  <c r="J379" i="75"/>
  <c r="J378" i="75" s="1"/>
  <c r="J376" i="75" s="1"/>
  <c r="I363" i="75"/>
  <c r="J180" i="75"/>
  <c r="J178" i="75" s="1"/>
  <c r="I178" i="75"/>
  <c r="J167" i="75"/>
  <c r="J165" i="75" s="1"/>
  <c r="I165" i="75"/>
  <c r="L967" i="98"/>
  <c r="B1118" i="98"/>
  <c r="B350" i="98"/>
  <c r="B359" i="98"/>
  <c r="L183" i="98"/>
  <c r="I168" i="96"/>
  <c r="I165" i="96" s="1"/>
  <c r="I164" i="96" s="1"/>
  <c r="I163" i="96" s="1"/>
  <c r="I162" i="96" s="1"/>
  <c r="F29" i="14" l="1"/>
  <c r="I434" i="75"/>
  <c r="K2709" i="100"/>
  <c r="K2719" i="100"/>
  <c r="K1014" i="100"/>
  <c r="M1864" i="98"/>
  <c r="K1019" i="100"/>
  <c r="M1869" i="98"/>
  <c r="K1011" i="100"/>
  <c r="M1861" i="98"/>
  <c r="K2834" i="100"/>
  <c r="L2834" i="100" s="1"/>
  <c r="F2069" i="23"/>
  <c r="K2832" i="100" s="1"/>
  <c r="L2832" i="100" s="1"/>
  <c r="H431" i="75"/>
  <c r="F24" i="4"/>
  <c r="G24" i="4" s="1"/>
  <c r="H24" i="4" s="1"/>
  <c r="D20" i="58" s="1"/>
  <c r="I141" i="75"/>
  <c r="H17" i="4"/>
  <c r="L3188" i="98"/>
  <c r="L2836" i="98"/>
  <c r="L2774" i="98"/>
  <c r="L2826" i="98"/>
  <c r="K461" i="100"/>
  <c r="K1127" i="100"/>
  <c r="K182" i="100"/>
  <c r="K238" i="100"/>
  <c r="K1090" i="100"/>
  <c r="L3000" i="98"/>
  <c r="L2854" i="98"/>
  <c r="L2853" i="98" s="1"/>
  <c r="L2863" i="98"/>
  <c r="L2783" i="98"/>
  <c r="L2782" i="98" s="1"/>
  <c r="L2756" i="98"/>
  <c r="J417" i="75"/>
  <c r="K2595" i="100"/>
  <c r="K1415" i="100"/>
  <c r="K2606" i="100"/>
  <c r="K382" i="100"/>
  <c r="K326" i="100"/>
  <c r="K648" i="100"/>
  <c r="K1869" i="100"/>
  <c r="K1567" i="100"/>
  <c r="K506" i="100"/>
  <c r="K756" i="100"/>
  <c r="K1236" i="100"/>
  <c r="K1469" i="100"/>
  <c r="K439" i="100"/>
  <c r="L2845" i="98"/>
  <c r="L3093" i="98"/>
  <c r="L2765" i="98"/>
  <c r="L3099" i="98"/>
  <c r="K138" i="100"/>
  <c r="K1000" i="100"/>
  <c r="K737" i="100"/>
  <c r="K945" i="100"/>
  <c r="K766" i="100"/>
  <c r="K2669" i="100"/>
  <c r="K1248" i="100"/>
  <c r="K2569" i="100"/>
  <c r="K1424" i="100"/>
  <c r="K1422" i="100"/>
  <c r="L3106" i="98"/>
  <c r="L2954" i="98"/>
  <c r="L2829" i="100"/>
  <c r="K306" i="100"/>
  <c r="K2618" i="100"/>
  <c r="K2646" i="100"/>
  <c r="K470" i="100"/>
  <c r="L2817" i="98"/>
  <c r="K1509" i="100"/>
  <c r="K728" i="100"/>
  <c r="K2697" i="100"/>
  <c r="K776" i="100"/>
  <c r="K1634" i="100"/>
  <c r="K392" i="100"/>
  <c r="K1137" i="100"/>
  <c r="K195" i="100"/>
  <c r="K603" i="100"/>
  <c r="K600" i="100" s="1"/>
  <c r="K622" i="100"/>
  <c r="K967" i="100"/>
  <c r="K1921" i="100"/>
  <c r="K1892" i="100"/>
  <c r="K1888" i="100" s="1"/>
  <c r="K1200" i="100"/>
  <c r="K1196" i="100" s="1"/>
  <c r="K33" i="100"/>
  <c r="K1693" i="100"/>
  <c r="K1260" i="100"/>
  <c r="K2095" i="100"/>
  <c r="K2077" i="100"/>
  <c r="K2179" i="100"/>
  <c r="L2348" i="100"/>
  <c r="K1544" i="100"/>
  <c r="K209" i="100"/>
  <c r="K150" i="100"/>
  <c r="K562" i="100"/>
  <c r="K1578" i="100"/>
  <c r="K2515" i="100"/>
  <c r="K2529" i="100"/>
  <c r="K1601" i="100"/>
  <c r="K363" i="100"/>
  <c r="K937" i="100"/>
  <c r="K2903" i="100"/>
  <c r="K2890" i="100"/>
  <c r="K73" i="100"/>
  <c r="K1082" i="100"/>
  <c r="K953" i="100"/>
  <c r="K1394" i="100"/>
  <c r="L1394" i="100" s="1"/>
  <c r="K1497" i="100"/>
  <c r="K479" i="100"/>
  <c r="K2925" i="100"/>
  <c r="K2914" i="100"/>
  <c r="K2923" i="100"/>
  <c r="K1532" i="100"/>
  <c r="K1098" i="100"/>
  <c r="K283" i="100"/>
  <c r="K1556" i="100"/>
  <c r="K1384" i="100"/>
  <c r="L1384" i="100" s="1"/>
  <c r="K316" i="100"/>
  <c r="K1389" i="100"/>
  <c r="L1389" i="100" s="1"/>
  <c r="K2601" i="100"/>
  <c r="K786" i="100"/>
  <c r="K411" i="100"/>
  <c r="K125" i="100"/>
  <c r="K337" i="100"/>
  <c r="K1220" i="100"/>
  <c r="K2554" i="100"/>
  <c r="K2550" i="100" s="1"/>
  <c r="K2197" i="100"/>
  <c r="K987" i="100"/>
  <c r="K983" i="100" s="1"/>
  <c r="K2033" i="100"/>
  <c r="K2029" i="100" s="1"/>
  <c r="K1072" i="100"/>
  <c r="K2215" i="100"/>
  <c r="K2212" i="100" s="1"/>
  <c r="K849" i="100"/>
  <c r="K847" i="100" s="1"/>
  <c r="L2245" i="100"/>
  <c r="K1158" i="100"/>
  <c r="K2158" i="100"/>
  <c r="K492" i="100"/>
  <c r="K2121" i="100"/>
  <c r="K372" i="100"/>
  <c r="K1860" i="100"/>
  <c r="K1680" i="100"/>
  <c r="K888" i="100"/>
  <c r="K1142" i="100"/>
  <c r="K1520" i="100"/>
  <c r="K20" i="100"/>
  <c r="K2685" i="100"/>
  <c r="K1623" i="100"/>
  <c r="K1612" i="100"/>
  <c r="K666" i="100"/>
  <c r="K2629" i="100"/>
  <c r="K2055" i="100"/>
  <c r="K2056" i="100"/>
  <c r="K638" i="100"/>
  <c r="K747" i="100"/>
  <c r="K1589" i="100"/>
  <c r="K1023" i="100"/>
  <c r="K358" i="100"/>
  <c r="K2675" i="100"/>
  <c r="K1949" i="100"/>
  <c r="K1912" i="100"/>
  <c r="K1374" i="100"/>
  <c r="L1374" i="100" s="1"/>
  <c r="K54" i="100"/>
  <c r="K1878" i="100"/>
  <c r="K247" i="100"/>
  <c r="K269" i="100"/>
  <c r="K1057" i="100"/>
  <c r="K1434" i="100"/>
  <c r="K1431" i="100" s="1"/>
  <c r="K2012" i="100"/>
  <c r="K1992" i="100"/>
  <c r="K1036" i="100"/>
  <c r="K1360" i="100"/>
  <c r="L1360" i="100" s="1"/>
  <c r="K590" i="100"/>
  <c r="K2657" i="100"/>
  <c r="K1379" i="100"/>
  <c r="L1379" i="100" s="1"/>
  <c r="K1242" i="100"/>
  <c r="K570" i="100"/>
  <c r="K348" i="100"/>
  <c r="K676" i="100"/>
  <c r="K11" i="100"/>
  <c r="K62" i="100"/>
  <c r="K1254" i="100"/>
  <c r="K2114" i="100"/>
  <c r="K292" i="100"/>
  <c r="K256" i="100"/>
  <c r="K401" i="100"/>
  <c r="K49" i="100"/>
  <c r="K2049" i="100"/>
  <c r="K2050" i="100"/>
  <c r="K1940" i="100"/>
  <c r="K1931" i="100"/>
  <c r="K1958" i="100"/>
  <c r="K1851" i="100"/>
  <c r="K1708" i="100"/>
  <c r="K802" i="100"/>
  <c r="K799" i="100" s="1"/>
  <c r="L2248" i="100"/>
  <c r="K2247" i="100"/>
  <c r="K1482" i="100"/>
  <c r="K1179" i="100"/>
  <c r="K2137" i="100"/>
  <c r="K2232" i="100"/>
  <c r="K1112" i="100"/>
  <c r="K1972" i="100"/>
  <c r="K553" i="100"/>
  <c r="K218" i="100"/>
  <c r="K2639" i="100"/>
  <c r="K2108" i="100"/>
  <c r="K1907" i="100"/>
  <c r="K2540" i="100"/>
  <c r="K173" i="100"/>
  <c r="L2320" i="98"/>
  <c r="L1671" i="98"/>
  <c r="M1671" i="98" s="1"/>
  <c r="M1672" i="98"/>
  <c r="L1643" i="98"/>
  <c r="L1404" i="98"/>
  <c r="L1351" i="98"/>
  <c r="L1350" i="98" s="1"/>
  <c r="L182" i="98"/>
  <c r="L218" i="98"/>
  <c r="L395" i="98"/>
  <c r="L3715" i="98"/>
  <c r="L3223" i="98"/>
  <c r="L2151" i="98"/>
  <c r="L1922" i="98"/>
  <c r="L2938" i="98"/>
  <c r="L2877" i="98"/>
  <c r="D11" i="10"/>
  <c r="H8" i="4"/>
  <c r="L1478" i="98"/>
  <c r="F55" i="23"/>
  <c r="F52" i="23" s="1"/>
  <c r="F50" i="23" s="1"/>
  <c r="I185" i="96"/>
  <c r="I186" i="96" s="1"/>
  <c r="F17" i="23"/>
  <c r="I240" i="75"/>
  <c r="I231" i="75" s="1"/>
  <c r="I417" i="75"/>
  <c r="L310" i="98"/>
  <c r="L3350" i="98"/>
  <c r="M3350" i="98" s="1"/>
  <c r="L3339" i="98"/>
  <c r="M3339" i="98" s="1"/>
  <c r="L3867" i="98"/>
  <c r="M3867" i="98" s="1"/>
  <c r="L3828" i="98"/>
  <c r="M3828" i="98" s="1"/>
  <c r="L3340" i="98"/>
  <c r="M3340" i="98" s="1"/>
  <c r="L3834" i="98"/>
  <c r="M3834" i="98" s="1"/>
  <c r="J141" i="75"/>
  <c r="L3954" i="98"/>
  <c r="L3941" i="98"/>
  <c r="E24" i="4"/>
  <c r="L3965" i="98"/>
  <c r="L3974" i="98"/>
  <c r="L3976" i="98"/>
  <c r="J334" i="75"/>
  <c r="J333" i="75" s="1"/>
  <c r="J332" i="75" s="1"/>
  <c r="J331" i="75" s="1"/>
  <c r="I333" i="75"/>
  <c r="I332" i="75" s="1"/>
  <c r="I331" i="75" s="1"/>
  <c r="L3168" i="98"/>
  <c r="L2797" i="98"/>
  <c r="L207" i="98"/>
  <c r="L3523" i="98"/>
  <c r="L3595" i="98"/>
  <c r="L3614" i="98"/>
  <c r="L3589" i="98"/>
  <c r="L3600" i="98"/>
  <c r="L1271" i="98"/>
  <c r="L3833" i="98"/>
  <c r="M3833" i="98" s="1"/>
  <c r="F2070" i="23"/>
  <c r="K2833" i="100" s="1"/>
  <c r="L2833" i="100" s="1"/>
  <c r="L3837" i="98"/>
  <c r="M3837" i="98" s="1"/>
  <c r="L3548" i="98"/>
  <c r="L3238" i="98"/>
  <c r="M3238" i="98" s="1"/>
  <c r="L3461" i="98"/>
  <c r="L3145" i="98"/>
  <c r="L3206" i="98"/>
  <c r="L2917" i="98"/>
  <c r="L2897" i="98"/>
  <c r="L3124" i="98"/>
  <c r="L2982" i="98"/>
  <c r="L2598" i="98"/>
  <c r="L2387" i="98"/>
  <c r="L2332" i="98"/>
  <c r="L2251" i="98"/>
  <c r="L2248" i="98" s="1"/>
  <c r="L2108" i="98"/>
  <c r="L2081" i="98"/>
  <c r="L1962" i="98"/>
  <c r="L2053" i="98"/>
  <c r="L2025" i="98"/>
  <c r="H428" i="75"/>
  <c r="H427" i="75" s="1"/>
  <c r="J149" i="75"/>
  <c r="J150" i="75"/>
  <c r="I359" i="75"/>
  <c r="I208" i="75"/>
  <c r="I20" i="3"/>
  <c r="L1886" i="98"/>
  <c r="L1837" i="98"/>
  <c r="L1737" i="98"/>
  <c r="L1530" i="98"/>
  <c r="L1294" i="98"/>
  <c r="L1069" i="98"/>
  <c r="L1045" i="98" s="1"/>
  <c r="L987" i="98"/>
  <c r="L708" i="98"/>
  <c r="J171" i="75"/>
  <c r="J153" i="75"/>
  <c r="J154" i="75"/>
  <c r="J163" i="75"/>
  <c r="H17" i="9"/>
  <c r="H187" i="96"/>
  <c r="L626" i="98"/>
  <c r="L674" i="98"/>
  <c r="L818" i="98"/>
  <c r="L842" i="98"/>
  <c r="L862" i="98"/>
  <c r="L898" i="98"/>
  <c r="L889" i="98"/>
  <c r="L927" i="98"/>
  <c r="L966" i="98"/>
  <c r="L659" i="98"/>
  <c r="L798" i="98"/>
  <c r="L832" i="98"/>
  <c r="L852" i="98"/>
  <c r="L874" i="98"/>
  <c r="L918" i="98"/>
  <c r="L937" i="98"/>
  <c r="L827" i="98"/>
  <c r="L473" i="98"/>
  <c r="L440" i="98"/>
  <c r="L586" i="98"/>
  <c r="L503" i="98"/>
  <c r="L405" i="98"/>
  <c r="I171" i="75"/>
  <c r="J240" i="75"/>
  <c r="J231" i="75" s="1"/>
  <c r="I163" i="75"/>
  <c r="H358" i="75"/>
  <c r="H357" i="75" s="1"/>
  <c r="G18" i="14" s="1"/>
  <c r="G14" i="14" s="1"/>
  <c r="J434" i="75"/>
  <c r="J433" i="75" s="1"/>
  <c r="I433" i="75"/>
  <c r="I429" i="75"/>
  <c r="J430" i="75"/>
  <c r="J429" i="75" s="1"/>
  <c r="J432" i="75"/>
  <c r="J431" i="75" s="1"/>
  <c r="I431" i="75"/>
  <c r="I367" i="75"/>
  <c r="J367" i="75"/>
  <c r="J358" i="75" s="1"/>
  <c r="J357" i="75" s="1"/>
  <c r="J350" i="75" s="1"/>
  <c r="B360" i="98"/>
  <c r="B351" i="98"/>
  <c r="L606" i="98"/>
  <c r="I180" i="96"/>
  <c r="I161" i="96"/>
  <c r="I61" i="96"/>
  <c r="K2828" i="100" l="1"/>
  <c r="L1678" i="98"/>
  <c r="M1678" i="98" s="1"/>
  <c r="L1670" i="98"/>
  <c r="M1670" i="98" s="1"/>
  <c r="K1430" i="100"/>
  <c r="K2028" i="100"/>
  <c r="K1887" i="100"/>
  <c r="K1850" i="100"/>
  <c r="K2113" i="100"/>
  <c r="K982" i="100"/>
  <c r="K266" i="100"/>
  <c r="K1919" i="100"/>
  <c r="K2628" i="100"/>
  <c r="K315" i="100"/>
  <c r="L2978" i="98"/>
  <c r="L2913" i="98"/>
  <c r="L2873" i="98"/>
  <c r="K1108" i="100"/>
  <c r="K1957" i="100"/>
  <c r="K48" i="100"/>
  <c r="K1253" i="100"/>
  <c r="K675" i="100"/>
  <c r="K1357" i="100"/>
  <c r="L1357" i="100" s="1"/>
  <c r="K2008" i="100"/>
  <c r="K1948" i="100"/>
  <c r="K746" i="100"/>
  <c r="K19" i="100"/>
  <c r="K1859" i="100"/>
  <c r="K2120" i="100"/>
  <c r="K2196" i="100"/>
  <c r="K410" i="100"/>
  <c r="K1388" i="100"/>
  <c r="L1388" i="100" s="1"/>
  <c r="K1097" i="100"/>
  <c r="K2913" i="100"/>
  <c r="K2889" i="100"/>
  <c r="K1543" i="100"/>
  <c r="K1690" i="100"/>
  <c r="K1136" i="100"/>
  <c r="K1423" i="100"/>
  <c r="K1247" i="100"/>
  <c r="L2764" i="98"/>
  <c r="K505" i="100"/>
  <c r="K2605" i="100"/>
  <c r="L2595" i="98"/>
  <c r="L3142" i="98"/>
  <c r="K347" i="100"/>
  <c r="K1032" i="100"/>
  <c r="K246" i="100"/>
  <c r="K2674" i="100"/>
  <c r="K1611" i="100"/>
  <c r="K1679" i="100"/>
  <c r="K478" i="100"/>
  <c r="K936" i="100"/>
  <c r="K2696" i="100"/>
  <c r="K469" i="100"/>
  <c r="L2384" i="98"/>
  <c r="L3121" i="98"/>
  <c r="L3203" i="98"/>
  <c r="L3544" i="98"/>
  <c r="L3098" i="98"/>
  <c r="L2934" i="98"/>
  <c r="K172" i="100"/>
  <c r="K1906" i="100"/>
  <c r="K2638" i="100"/>
  <c r="K552" i="100"/>
  <c r="K2134" i="100"/>
  <c r="K1479" i="100"/>
  <c r="K1707" i="100"/>
  <c r="K291" i="100"/>
  <c r="K61" i="100"/>
  <c r="K1241" i="100"/>
  <c r="K2656" i="100"/>
  <c r="K1988" i="100"/>
  <c r="K1053" i="100"/>
  <c r="K1022" i="100"/>
  <c r="K637" i="100"/>
  <c r="K887" i="100"/>
  <c r="K371" i="100"/>
  <c r="K489" i="100"/>
  <c r="K1195" i="100"/>
  <c r="K1555" i="100"/>
  <c r="K1081" i="100"/>
  <c r="K2905" i="100"/>
  <c r="K1600" i="100"/>
  <c r="K149" i="100"/>
  <c r="K2073" i="100"/>
  <c r="K1508" i="100"/>
  <c r="K1235" i="100"/>
  <c r="K381" i="100"/>
  <c r="L2893" i="98"/>
  <c r="L3165" i="98"/>
  <c r="K1930" i="100"/>
  <c r="K400" i="100"/>
  <c r="K589" i="100"/>
  <c r="K53" i="100"/>
  <c r="K1588" i="100"/>
  <c r="K1519" i="100"/>
  <c r="K1577" i="100"/>
  <c r="L2816" i="98"/>
  <c r="K305" i="100"/>
  <c r="K736" i="100"/>
  <c r="K647" i="100"/>
  <c r="L2755" i="98"/>
  <c r="L2781" i="98"/>
  <c r="L2852" i="98"/>
  <c r="K2539" i="100"/>
  <c r="K2107" i="100"/>
  <c r="K217" i="100"/>
  <c r="K1175" i="100"/>
  <c r="L2247" i="100"/>
  <c r="K2244" i="100"/>
  <c r="K2048" i="100"/>
  <c r="K255" i="100"/>
  <c r="K10" i="100"/>
  <c r="K569" i="100"/>
  <c r="K2549" i="100"/>
  <c r="K1911" i="100"/>
  <c r="K357" i="100"/>
  <c r="K2684" i="100"/>
  <c r="K1141" i="100"/>
  <c r="K2211" i="100"/>
  <c r="K846" i="100"/>
  <c r="K1217" i="100"/>
  <c r="K336" i="100"/>
  <c r="K2600" i="100"/>
  <c r="K1383" i="100"/>
  <c r="L1383" i="100" s="1"/>
  <c r="K2155" i="100"/>
  <c r="K1633" i="100"/>
  <c r="K2645" i="100"/>
  <c r="K765" i="100"/>
  <c r="L2844" i="98"/>
  <c r="K2594" i="100"/>
  <c r="K2593" i="100" s="1"/>
  <c r="L2999" i="98"/>
  <c r="K1089" i="100"/>
  <c r="K181" i="100"/>
  <c r="K460" i="100"/>
  <c r="L2773" i="98"/>
  <c r="K785" i="100"/>
  <c r="K282" i="100"/>
  <c r="K1531" i="100"/>
  <c r="K2926" i="100"/>
  <c r="L2914" i="100" s="1"/>
  <c r="K1496" i="100"/>
  <c r="K952" i="100"/>
  <c r="K72" i="100"/>
  <c r="K362" i="100"/>
  <c r="K2531" i="100"/>
  <c r="K2532" i="100" s="1"/>
  <c r="L2529" i="100" s="1"/>
  <c r="K2094" i="100"/>
  <c r="K30" i="100"/>
  <c r="K391" i="100"/>
  <c r="K775" i="100"/>
  <c r="K727" i="100"/>
  <c r="K2721" i="100"/>
  <c r="K2617" i="100"/>
  <c r="L3092" i="98"/>
  <c r="K1939" i="100"/>
  <c r="K1378" i="100"/>
  <c r="L1378" i="100" s="1"/>
  <c r="K1877" i="100"/>
  <c r="K1373" i="100"/>
  <c r="L1373" i="100" s="1"/>
  <c r="K2054" i="100"/>
  <c r="K665" i="100"/>
  <c r="K1622" i="100"/>
  <c r="K1154" i="100"/>
  <c r="K122" i="100"/>
  <c r="K1393" i="100"/>
  <c r="L1393" i="100" s="1"/>
  <c r="K2514" i="100"/>
  <c r="K561" i="100"/>
  <c r="K208" i="100"/>
  <c r="K2176" i="100"/>
  <c r="K963" i="100"/>
  <c r="K619" i="100"/>
  <c r="K2708" i="100"/>
  <c r="K2568" i="100"/>
  <c r="K2668" i="100"/>
  <c r="K944" i="100"/>
  <c r="K999" i="100"/>
  <c r="K1468" i="100"/>
  <c r="K755" i="100"/>
  <c r="K1566" i="100"/>
  <c r="K1868" i="100"/>
  <c r="K325" i="100"/>
  <c r="K1414" i="100"/>
  <c r="L2862" i="98"/>
  <c r="K237" i="100"/>
  <c r="K1126" i="100"/>
  <c r="L2835" i="98"/>
  <c r="L2049" i="98"/>
  <c r="L2077" i="98"/>
  <c r="L2021" i="98"/>
  <c r="L1958" i="98"/>
  <c r="L2105" i="98"/>
  <c r="L2329" i="98"/>
  <c r="L1833" i="98"/>
  <c r="L1832" i="98" s="1"/>
  <c r="L1268" i="98"/>
  <c r="L1291" i="98"/>
  <c r="L1527" i="98"/>
  <c r="L1718" i="98"/>
  <c r="L1882" i="98"/>
  <c r="L1475" i="98"/>
  <c r="L1403" i="98"/>
  <c r="L1642" i="98"/>
  <c r="L585" i="98"/>
  <c r="L206" i="98"/>
  <c r="L205" i="98" s="1"/>
  <c r="L394" i="98"/>
  <c r="L217" i="98"/>
  <c r="L181" i="98"/>
  <c r="M3931" i="98"/>
  <c r="I358" i="75"/>
  <c r="I357" i="75" s="1"/>
  <c r="I350" i="75" s="1"/>
  <c r="L2793" i="98"/>
  <c r="L3835" i="98"/>
  <c r="M3835" i="98" s="1"/>
  <c r="L3964" i="98"/>
  <c r="L3956" i="98"/>
  <c r="L3977" i="98"/>
  <c r="L3940" i="98"/>
  <c r="L684" i="98"/>
  <c r="L965" i="98"/>
  <c r="L3235" i="98"/>
  <c r="L3525" i="98"/>
  <c r="L3599" i="98"/>
  <c r="L3717" i="98"/>
  <c r="L3613" i="98"/>
  <c r="L3588" i="98"/>
  <c r="L3594" i="98"/>
  <c r="L3836" i="98"/>
  <c r="M3836" i="98" s="1"/>
  <c r="F2084" i="23"/>
  <c r="L986" i="98"/>
  <c r="H317" i="75"/>
  <c r="I317" i="75" s="1"/>
  <c r="J317" i="75" s="1"/>
  <c r="H52" i="75"/>
  <c r="I52" i="75" s="1"/>
  <c r="J52" i="75" s="1"/>
  <c r="H105" i="75"/>
  <c r="I105" i="75" s="1"/>
  <c r="J105" i="75" s="1"/>
  <c r="H347" i="75"/>
  <c r="I347" i="75" s="1"/>
  <c r="J347" i="75" s="1"/>
  <c r="H329" i="75"/>
  <c r="I329" i="75" s="1"/>
  <c r="J329" i="75" s="1"/>
  <c r="H312" i="75"/>
  <c r="H276" i="75"/>
  <c r="I276" i="75" s="1"/>
  <c r="J276" i="75" s="1"/>
  <c r="H275" i="75"/>
  <c r="H313" i="75"/>
  <c r="I313" i="75" s="1"/>
  <c r="J313" i="75" s="1"/>
  <c r="H307" i="75"/>
  <c r="I307" i="75" s="1"/>
  <c r="J307" i="75" s="1"/>
  <c r="H308" i="75"/>
  <c r="I308" i="75" s="1"/>
  <c r="J308" i="75" s="1"/>
  <c r="H300" i="75"/>
  <c r="I300" i="75" s="1"/>
  <c r="H295" i="75"/>
  <c r="I295" i="75" s="1"/>
  <c r="J295" i="75" s="1"/>
  <c r="H289" i="75"/>
  <c r="I289" i="75" s="1"/>
  <c r="J289" i="75" s="1"/>
  <c r="H284" i="75"/>
  <c r="I284" i="75" s="1"/>
  <c r="J284" i="75" s="1"/>
  <c r="H273" i="75"/>
  <c r="I273" i="75" s="1"/>
  <c r="J273" i="75" s="1"/>
  <c r="H66" i="75"/>
  <c r="H51" i="75"/>
  <c r="I51" i="75" s="1"/>
  <c r="J51" i="75" s="1"/>
  <c r="H37" i="75"/>
  <c r="I37" i="75" s="1"/>
  <c r="J37" i="75" s="1"/>
  <c r="H35" i="75"/>
  <c r="H63" i="75"/>
  <c r="I63" i="75" s="1"/>
  <c r="J63" i="75" s="1"/>
  <c r="H50" i="75"/>
  <c r="H36" i="75"/>
  <c r="I36" i="75" s="1"/>
  <c r="J36" i="75" s="1"/>
  <c r="H120" i="75"/>
  <c r="I120" i="75" s="1"/>
  <c r="J120" i="75" s="1"/>
  <c r="H96" i="75"/>
  <c r="I96" i="75" s="1"/>
  <c r="J96" i="75" s="1"/>
  <c r="H129" i="75"/>
  <c r="I129" i="75" s="1"/>
  <c r="J129" i="75" s="1"/>
  <c r="H282" i="75"/>
  <c r="H135" i="75"/>
  <c r="I135" i="75" s="1"/>
  <c r="J135" i="75" s="1"/>
  <c r="H127" i="75"/>
  <c r="I127" i="75" s="1"/>
  <c r="J127" i="75" s="1"/>
  <c r="H118" i="75"/>
  <c r="I118" i="75" s="1"/>
  <c r="J118" i="75" s="1"/>
  <c r="H134" i="75"/>
  <c r="I134" i="75" s="1"/>
  <c r="J134" i="75" s="1"/>
  <c r="H293" i="75"/>
  <c r="I293" i="75" s="1"/>
  <c r="J293" i="75" s="1"/>
  <c r="H207" i="75"/>
  <c r="H345" i="75"/>
  <c r="I345" i="75" s="1"/>
  <c r="J345" i="75" s="1"/>
  <c r="H343" i="75"/>
  <c r="I343" i="75" s="1"/>
  <c r="J343" i="75" s="1"/>
  <c r="H322" i="75"/>
  <c r="I322" i="75" s="1"/>
  <c r="J322" i="75" s="1"/>
  <c r="H315" i="75"/>
  <c r="I315" i="75" s="1"/>
  <c r="J315" i="75" s="1"/>
  <c r="H323" i="75"/>
  <c r="I323" i="75" s="1"/>
  <c r="J323" i="75" s="1"/>
  <c r="H60" i="75"/>
  <c r="H53" i="75"/>
  <c r="I53" i="75" s="1"/>
  <c r="J53" i="75" s="1"/>
  <c r="H58" i="75"/>
  <c r="I58" i="75" s="1"/>
  <c r="J58" i="75" s="1"/>
  <c r="H61" i="75"/>
  <c r="I61" i="75" s="1"/>
  <c r="J61" i="75" s="1"/>
  <c r="H294" i="75"/>
  <c r="I294" i="75" s="1"/>
  <c r="J294" i="75" s="1"/>
  <c r="H109" i="75"/>
  <c r="I109" i="75" s="1"/>
  <c r="J109" i="75" s="1"/>
  <c r="H130" i="75"/>
  <c r="I130" i="75" s="1"/>
  <c r="J130" i="75" s="1"/>
  <c r="H126" i="75"/>
  <c r="I126" i="75" s="1"/>
  <c r="J126" i="75" s="1"/>
  <c r="H78" i="75"/>
  <c r="I78" i="75" s="1"/>
  <c r="J78" i="75" s="1"/>
  <c r="H319" i="75"/>
  <c r="H342" i="75"/>
  <c r="I342" i="75" s="1"/>
  <c r="J342" i="75" s="1"/>
  <c r="H316" i="75"/>
  <c r="I316" i="75" s="1"/>
  <c r="J316" i="75" s="1"/>
  <c r="H303" i="75"/>
  <c r="H288" i="75"/>
  <c r="H268" i="75"/>
  <c r="H55" i="75"/>
  <c r="I55" i="75" s="1"/>
  <c r="J55" i="75" s="1"/>
  <c r="H47" i="75"/>
  <c r="I47" i="75" s="1"/>
  <c r="J47" i="75" s="1"/>
  <c r="H62" i="75"/>
  <c r="I62" i="75" s="1"/>
  <c r="J62" i="75" s="1"/>
  <c r="H124" i="75"/>
  <c r="I124" i="75" s="1"/>
  <c r="J124" i="75" s="1"/>
  <c r="H220" i="75"/>
  <c r="H97" i="75"/>
  <c r="I97" i="75" s="1"/>
  <c r="J97" i="75" s="1"/>
  <c r="H113" i="75"/>
  <c r="H117" i="75"/>
  <c r="H348" i="75"/>
  <c r="I348" i="75" s="1"/>
  <c r="J348" i="75" s="1"/>
  <c r="H330" i="75"/>
  <c r="I330" i="75" s="1"/>
  <c r="J330" i="75" s="1"/>
  <c r="H278" i="75"/>
  <c r="I278" i="75" s="1"/>
  <c r="J278" i="75" s="1"/>
  <c r="H301" i="75"/>
  <c r="H269" i="75"/>
  <c r="I269" i="75" s="1"/>
  <c r="J269" i="75" s="1"/>
  <c r="H38" i="75"/>
  <c r="I38" i="75" s="1"/>
  <c r="J38" i="75" s="1"/>
  <c r="H20" i="75"/>
  <c r="H81" i="75"/>
  <c r="I81" i="75" s="1"/>
  <c r="J81" i="75" s="1"/>
  <c r="H84" i="75"/>
  <c r="I84" i="75" s="1"/>
  <c r="J84" i="75" s="1"/>
  <c r="H265" i="75"/>
  <c r="I265" i="75" s="1"/>
  <c r="J265" i="75" s="1"/>
  <c r="H344" i="75"/>
  <c r="I344" i="75" s="1"/>
  <c r="J344" i="75" s="1"/>
  <c r="H328" i="75"/>
  <c r="I328" i="75" s="1"/>
  <c r="J328" i="75" s="1"/>
  <c r="H324" i="75"/>
  <c r="I324" i="75" s="1"/>
  <c r="J324" i="75" s="1"/>
  <c r="H279" i="75"/>
  <c r="I279" i="75" s="1"/>
  <c r="J279" i="75" s="1"/>
  <c r="H271" i="75"/>
  <c r="I271" i="75" s="1"/>
  <c r="J271" i="75" s="1"/>
  <c r="H83" i="75"/>
  <c r="I83" i="75" s="1"/>
  <c r="J83" i="75" s="1"/>
  <c r="H56" i="75"/>
  <c r="I56" i="75" s="1"/>
  <c r="J56" i="75" s="1"/>
  <c r="H44" i="75"/>
  <c r="I44" i="75" s="1"/>
  <c r="J44" i="75" s="1"/>
  <c r="H48" i="75"/>
  <c r="I48" i="75" s="1"/>
  <c r="J48" i="75" s="1"/>
  <c r="H292" i="75"/>
  <c r="H119" i="75"/>
  <c r="I119" i="75" s="1"/>
  <c r="J119" i="75" s="1"/>
  <c r="H80" i="75"/>
  <c r="I80" i="75" s="1"/>
  <c r="J80" i="75" s="1"/>
  <c r="H137" i="75"/>
  <c r="I137" i="75" s="1"/>
  <c r="J137" i="75" s="1"/>
  <c r="H133" i="75"/>
  <c r="H101" i="75"/>
  <c r="I101" i="75" s="1"/>
  <c r="J101" i="75" s="1"/>
  <c r="H264" i="75"/>
  <c r="H104" i="75"/>
  <c r="I104" i="75" s="1"/>
  <c r="J104" i="75" s="1"/>
  <c r="H327" i="75"/>
  <c r="H314" i="75"/>
  <c r="I314" i="75" s="1"/>
  <c r="J314" i="75" s="1"/>
  <c r="H296" i="75"/>
  <c r="I296" i="75" s="1"/>
  <c r="J296" i="75" s="1"/>
  <c r="H290" i="75"/>
  <c r="I290" i="75" s="1"/>
  <c r="J290" i="75" s="1"/>
  <c r="H283" i="75"/>
  <c r="I283" i="75" s="1"/>
  <c r="J283" i="75" s="1"/>
  <c r="H272" i="75"/>
  <c r="I272" i="75" s="1"/>
  <c r="J272" i="75" s="1"/>
  <c r="H82" i="75"/>
  <c r="I82" i="75" s="1"/>
  <c r="J82" i="75" s="1"/>
  <c r="H46" i="75"/>
  <c r="I46" i="75" s="1"/>
  <c r="J46" i="75" s="1"/>
  <c r="H54" i="75"/>
  <c r="I54" i="75" s="1"/>
  <c r="J54" i="75" s="1"/>
  <c r="H39" i="75"/>
  <c r="I39" i="75" s="1"/>
  <c r="J39" i="75" s="1"/>
  <c r="H42" i="75"/>
  <c r="I42" i="75" s="1"/>
  <c r="J42" i="75" s="1"/>
  <c r="H95" i="75"/>
  <c r="I95" i="75" s="1"/>
  <c r="J95" i="75" s="1"/>
  <c r="H131" i="75"/>
  <c r="I131" i="75" s="1"/>
  <c r="J131" i="75" s="1"/>
  <c r="H136" i="75"/>
  <c r="I136" i="75" s="1"/>
  <c r="J136" i="75" s="1"/>
  <c r="H102" i="75"/>
  <c r="I102" i="75" s="1"/>
  <c r="J102" i="75" s="1"/>
  <c r="H125" i="75"/>
  <c r="I125" i="75" s="1"/>
  <c r="J125" i="75" s="1"/>
  <c r="H255" i="75"/>
  <c r="I346" i="75"/>
  <c r="J346" i="75" s="1"/>
  <c r="H321" i="75"/>
  <c r="I321" i="75" s="1"/>
  <c r="J321" i="75" s="1"/>
  <c r="H320" i="75"/>
  <c r="I320" i="75" s="1"/>
  <c r="J320" i="75" s="1"/>
  <c r="H110" i="75"/>
  <c r="I110" i="75" s="1"/>
  <c r="J110" i="75" s="1"/>
  <c r="H41" i="75"/>
  <c r="I41" i="75" s="1"/>
  <c r="J41" i="75" s="1"/>
  <c r="H57" i="75"/>
  <c r="I57" i="75" s="1"/>
  <c r="J57" i="75" s="1"/>
  <c r="H70" i="75"/>
  <c r="H122" i="75"/>
  <c r="H128" i="75"/>
  <c r="I128" i="75" s="1"/>
  <c r="J128" i="75" s="1"/>
  <c r="H89" i="75"/>
  <c r="I89" i="75" s="1"/>
  <c r="J89" i="75" s="1"/>
  <c r="H79" i="75"/>
  <c r="I79" i="75" s="1"/>
  <c r="J79" i="75" s="1"/>
  <c r="H280" i="75"/>
  <c r="I280" i="75" s="1"/>
  <c r="J280" i="75" s="1"/>
  <c r="H277" i="75"/>
  <c r="I277" i="75" s="1"/>
  <c r="J277" i="75" s="1"/>
  <c r="H285" i="75"/>
  <c r="I285" i="75" s="1"/>
  <c r="J285" i="75" s="1"/>
  <c r="H99" i="75"/>
  <c r="I99" i="75" s="1"/>
  <c r="J99" i="75" s="1"/>
  <c r="H43" i="75"/>
  <c r="I43" i="75" s="1"/>
  <c r="J43" i="75" s="1"/>
  <c r="H40" i="75"/>
  <c r="I40" i="75" s="1"/>
  <c r="J40" i="75" s="1"/>
  <c r="H115" i="75"/>
  <c r="H123" i="75"/>
  <c r="I123" i="75" s="1"/>
  <c r="J123" i="75" s="1"/>
  <c r="H189" i="75"/>
  <c r="H92" i="75"/>
  <c r="H86" i="75"/>
  <c r="I86" i="75" s="1"/>
  <c r="J86" i="75" s="1"/>
  <c r="H94" i="75"/>
  <c r="I94" i="75" s="1"/>
  <c r="J94" i="75" s="1"/>
  <c r="H88" i="75"/>
  <c r="H90" i="75"/>
  <c r="I90" i="75" s="1"/>
  <c r="J90" i="75" s="1"/>
  <c r="H349" i="75"/>
  <c r="I349" i="75" s="1"/>
  <c r="J349" i="75" s="1"/>
  <c r="H259" i="75"/>
  <c r="H98" i="75"/>
  <c r="I98" i="75" s="1"/>
  <c r="J98" i="75" s="1"/>
  <c r="H341" i="75"/>
  <c r="H10" i="75"/>
  <c r="H76" i="75"/>
  <c r="I76" i="75" s="1"/>
  <c r="J76" i="75" s="1"/>
  <c r="H24" i="75"/>
  <c r="H73" i="75"/>
  <c r="H103" i="75"/>
  <c r="I103" i="75" s="1"/>
  <c r="J103" i="75" s="1"/>
  <c r="H16" i="75"/>
  <c r="H85" i="75"/>
  <c r="I85" i="75" s="1"/>
  <c r="J85" i="75" s="1"/>
  <c r="H270" i="75"/>
  <c r="I270" i="75" s="1"/>
  <c r="J270" i="75" s="1"/>
  <c r="H93" i="75"/>
  <c r="I93" i="75" s="1"/>
  <c r="J93" i="75" s="1"/>
  <c r="H77" i="75"/>
  <c r="I77" i="75" s="1"/>
  <c r="J77" i="75" s="1"/>
  <c r="H75" i="75"/>
  <c r="H108" i="75"/>
  <c r="H100" i="75"/>
  <c r="I100" i="75" s="1"/>
  <c r="J100" i="75" s="1"/>
  <c r="H192" i="75"/>
  <c r="H29" i="75"/>
  <c r="H162" i="75"/>
  <c r="L873" i="98"/>
  <c r="L851" i="98"/>
  <c r="L831" i="98"/>
  <c r="L797" i="98"/>
  <c r="L673" i="98"/>
  <c r="L826" i="98"/>
  <c r="L825" i="98" s="1"/>
  <c r="L936" i="98"/>
  <c r="L917" i="98"/>
  <c r="L658" i="98"/>
  <c r="L926" i="98"/>
  <c r="L888" i="98"/>
  <c r="L897" i="98"/>
  <c r="L861" i="98"/>
  <c r="L841" i="98"/>
  <c r="L817" i="98"/>
  <c r="L625" i="98"/>
  <c r="L472" i="98"/>
  <c r="L439" i="98"/>
  <c r="L605" i="98"/>
  <c r="L584" i="98"/>
  <c r="L404" i="98"/>
  <c r="H350" i="75"/>
  <c r="J428" i="75"/>
  <c r="J427" i="75" s="1"/>
  <c r="I428" i="75"/>
  <c r="I427" i="75" s="1"/>
  <c r="B361" i="98"/>
  <c r="B352" i="98"/>
  <c r="I70" i="96"/>
  <c r="I60" i="96" s="1"/>
  <c r="L2515" i="100" l="1"/>
  <c r="M3964" i="98"/>
  <c r="L2925" i="100"/>
  <c r="K324" i="100"/>
  <c r="K618" i="100"/>
  <c r="K1153" i="100"/>
  <c r="K664" i="100"/>
  <c r="K1372" i="100"/>
  <c r="L1372" i="100" s="1"/>
  <c r="K2616" i="100"/>
  <c r="K1632" i="100"/>
  <c r="K2210" i="100"/>
  <c r="K2683" i="100"/>
  <c r="K2548" i="100"/>
  <c r="K2580" i="100"/>
  <c r="K9" i="100"/>
  <c r="K216" i="100"/>
  <c r="K148" i="100"/>
  <c r="K2906" i="100"/>
  <c r="K1478" i="100"/>
  <c r="K1246" i="100"/>
  <c r="K1542" i="100"/>
  <c r="K2912" i="100"/>
  <c r="L2912" i="100" s="1"/>
  <c r="L2913" i="100"/>
  <c r="K2195" i="100"/>
  <c r="K674" i="100"/>
  <c r="K47" i="100"/>
  <c r="M3977" i="98"/>
  <c r="M3969" i="98"/>
  <c r="M3970" i="98"/>
  <c r="M3973" i="98"/>
  <c r="M3972" i="98"/>
  <c r="M3971" i="98"/>
  <c r="M3968" i="98"/>
  <c r="M3967" i="98"/>
  <c r="M3966" i="98"/>
  <c r="L2824" i="98"/>
  <c r="K1125" i="100"/>
  <c r="L2861" i="98"/>
  <c r="K1867" i="100"/>
  <c r="K754" i="100"/>
  <c r="K2667" i="100"/>
  <c r="K962" i="100"/>
  <c r="K1621" i="100"/>
  <c r="K1876" i="100"/>
  <c r="K1938" i="100"/>
  <c r="L3091" i="98"/>
  <c r="K2722" i="100"/>
  <c r="K774" i="100"/>
  <c r="K29" i="100"/>
  <c r="L2843" i="98"/>
  <c r="K2644" i="100"/>
  <c r="L2923" i="100"/>
  <c r="K2599" i="100"/>
  <c r="K1216" i="100"/>
  <c r="K1140" i="100"/>
  <c r="K568" i="100"/>
  <c r="K254" i="100"/>
  <c r="K2106" i="100"/>
  <c r="K2827" i="100"/>
  <c r="L2828" i="100"/>
  <c r="K2873" i="100"/>
  <c r="K2072" i="100"/>
  <c r="K1599" i="100"/>
  <c r="K1080" i="100"/>
  <c r="K1194" i="100"/>
  <c r="M3974" i="98"/>
  <c r="K1689" i="100"/>
  <c r="K2888" i="100"/>
  <c r="K409" i="100"/>
  <c r="K1356" i="100"/>
  <c r="L1356" i="100" s="1"/>
  <c r="K1252" i="100"/>
  <c r="K1956" i="100"/>
  <c r="K1967" i="100"/>
  <c r="K2627" i="100"/>
  <c r="L3234" i="98"/>
  <c r="M3235" i="98"/>
  <c r="K1413" i="100"/>
  <c r="K2707" i="100"/>
  <c r="K798" i="100"/>
  <c r="K390" i="100"/>
  <c r="K845" i="100"/>
  <c r="K2538" i="100"/>
  <c r="K1507" i="100"/>
  <c r="L2834" i="98"/>
  <c r="K2175" i="100"/>
  <c r="K560" i="100"/>
  <c r="K1392" i="100"/>
  <c r="L1392" i="100" s="1"/>
  <c r="K1377" i="100"/>
  <c r="L1377" i="100" s="1"/>
  <c r="L2531" i="100"/>
  <c r="L2532" i="100"/>
  <c r="L2521" i="100"/>
  <c r="L2524" i="100"/>
  <c r="L2522" i="100"/>
  <c r="L2523" i="100"/>
  <c r="L2519" i="100"/>
  <c r="L2525" i="100"/>
  <c r="L2520" i="100"/>
  <c r="L2527" i="100"/>
  <c r="L2518" i="100"/>
  <c r="L2526" i="100"/>
  <c r="L2517" i="100"/>
  <c r="L2516" i="100"/>
  <c r="K71" i="100"/>
  <c r="K1495" i="100"/>
  <c r="K1530" i="100"/>
  <c r="K784" i="100"/>
  <c r="K459" i="100"/>
  <c r="K1382" i="100"/>
  <c r="L1382" i="100" s="1"/>
  <c r="K2230" i="100"/>
  <c r="K356" i="100"/>
  <c r="K646" i="100"/>
  <c r="K304" i="100"/>
  <c r="K1576" i="100"/>
  <c r="K1587" i="100"/>
  <c r="K588" i="100"/>
  <c r="K1929" i="100"/>
  <c r="K1234" i="100"/>
  <c r="K370" i="100"/>
  <c r="K636" i="100"/>
  <c r="K1052" i="100"/>
  <c r="K2655" i="100"/>
  <c r="K60" i="100"/>
  <c r="K1706" i="100"/>
  <c r="K2132" i="100"/>
  <c r="K2133" i="100"/>
  <c r="K2637" i="100"/>
  <c r="K171" i="100"/>
  <c r="K2695" i="100"/>
  <c r="K477" i="100"/>
  <c r="K1610" i="100"/>
  <c r="K245" i="100"/>
  <c r="K346" i="100"/>
  <c r="K599" i="100"/>
  <c r="K2119" i="100"/>
  <c r="K18" i="100"/>
  <c r="K1947" i="100"/>
  <c r="K1922" i="100"/>
  <c r="K1923" i="100" s="1"/>
  <c r="L1868" i="100" s="1"/>
  <c r="K981" i="100"/>
  <c r="K1849" i="100"/>
  <c r="K2027" i="100"/>
  <c r="K236" i="100"/>
  <c r="K1565" i="100"/>
  <c r="K1467" i="100"/>
  <c r="K2567" i="100"/>
  <c r="K726" i="100"/>
  <c r="K764" i="100"/>
  <c r="K335" i="100"/>
  <c r="K1174" i="100"/>
  <c r="K1554" i="100"/>
  <c r="K504" i="100"/>
  <c r="K1387" i="100"/>
  <c r="L1387" i="100" s="1"/>
  <c r="K1107" i="100"/>
  <c r="K314" i="100"/>
  <c r="L3221" i="98"/>
  <c r="L3224" i="98" s="1"/>
  <c r="K207" i="100"/>
  <c r="K2513" i="100"/>
  <c r="L2513" i="100" s="1"/>
  <c r="L2514" i="100"/>
  <c r="K121" i="100"/>
  <c r="K2093" i="100"/>
  <c r="K361" i="100"/>
  <c r="L2926" i="100"/>
  <c r="L2916" i="100"/>
  <c r="L2917" i="100"/>
  <c r="L2918" i="100"/>
  <c r="L2921" i="100"/>
  <c r="L2919" i="100"/>
  <c r="L2920" i="100"/>
  <c r="L2922" i="100"/>
  <c r="L2915" i="100"/>
  <c r="K281" i="100"/>
  <c r="L2772" i="98"/>
  <c r="K180" i="100"/>
  <c r="K2154" i="100"/>
  <c r="K1910" i="100"/>
  <c r="K2243" i="100"/>
  <c r="L2244" i="100"/>
  <c r="M3965" i="98"/>
  <c r="L2754" i="98"/>
  <c r="K735" i="100"/>
  <c r="L2815" i="98"/>
  <c r="K1518" i="100"/>
  <c r="K52" i="100"/>
  <c r="K399" i="100"/>
  <c r="K380" i="100"/>
  <c r="K488" i="100"/>
  <c r="K886" i="100"/>
  <c r="K1987" i="100"/>
  <c r="K1240" i="100"/>
  <c r="K290" i="100"/>
  <c r="K551" i="100"/>
  <c r="K1905" i="100"/>
  <c r="L3097" i="98"/>
  <c r="K468" i="100"/>
  <c r="K1678" i="100"/>
  <c r="K2673" i="100"/>
  <c r="K1031" i="100"/>
  <c r="K1135" i="100"/>
  <c r="K1858" i="100"/>
  <c r="K745" i="100"/>
  <c r="K2007" i="100"/>
  <c r="K265" i="100"/>
  <c r="K2112" i="100"/>
  <c r="K1886" i="100"/>
  <c r="K1429" i="100"/>
  <c r="L1641" i="98"/>
  <c r="L1402" i="98"/>
  <c r="L393" i="98"/>
  <c r="L180" i="98"/>
  <c r="L216" i="98"/>
  <c r="M3927" i="98"/>
  <c r="M3929" i="98"/>
  <c r="M3933" i="98"/>
  <c r="M3932" i="98"/>
  <c r="M3928" i="98"/>
  <c r="M3926" i="98"/>
  <c r="M3930" i="98"/>
  <c r="L3342" i="98"/>
  <c r="M3342" i="98" s="1"/>
  <c r="M3976" i="98"/>
  <c r="L3827" i="98"/>
  <c r="L3939" i="98"/>
  <c r="L3963" i="98"/>
  <c r="M3963" i="98" s="1"/>
  <c r="L3957" i="98"/>
  <c r="L604" i="98"/>
  <c r="L3119" i="98"/>
  <c r="L3526" i="98"/>
  <c r="L3543" i="98"/>
  <c r="L3718" i="98"/>
  <c r="L3593" i="98"/>
  <c r="L3587" i="98"/>
  <c r="L3612" i="98"/>
  <c r="L985" i="98"/>
  <c r="I115" i="75"/>
  <c r="H114" i="75"/>
  <c r="H23" i="75"/>
  <c r="I23" i="75" s="1"/>
  <c r="J23" i="75" s="1"/>
  <c r="H21" i="75"/>
  <c r="I21" i="75" s="1"/>
  <c r="J21" i="75" s="1"/>
  <c r="H22" i="75"/>
  <c r="I22" i="75" s="1"/>
  <c r="J22" i="75" s="1"/>
  <c r="I20" i="75"/>
  <c r="J20" i="75" s="1"/>
  <c r="I113" i="75"/>
  <c r="H112" i="75"/>
  <c r="H287" i="75"/>
  <c r="H286" i="75" s="1"/>
  <c r="I288" i="75"/>
  <c r="I319" i="75"/>
  <c r="H318" i="75"/>
  <c r="I35" i="75"/>
  <c r="H34" i="75"/>
  <c r="J300" i="75"/>
  <c r="I275" i="75"/>
  <c r="H274" i="75"/>
  <c r="L1035" i="98"/>
  <c r="L2953" i="98"/>
  <c r="L2959" i="98"/>
  <c r="I162" i="75"/>
  <c r="H160" i="75"/>
  <c r="D11" i="18"/>
  <c r="F11" i="18" s="1"/>
  <c r="F12" i="18" s="1"/>
  <c r="F449" i="23" s="1"/>
  <c r="K436" i="100" s="1"/>
  <c r="I108" i="75"/>
  <c r="H107" i="75"/>
  <c r="H106" i="75" s="1"/>
  <c r="I73" i="75"/>
  <c r="J73" i="75" s="1"/>
  <c r="H338" i="75"/>
  <c r="I341" i="75"/>
  <c r="I92" i="75"/>
  <c r="H91" i="75"/>
  <c r="I264" i="75"/>
  <c r="H263" i="75"/>
  <c r="H254" i="75" s="1"/>
  <c r="I303" i="75"/>
  <c r="H302" i="75"/>
  <c r="I60" i="75"/>
  <c r="H59" i="75"/>
  <c r="I282" i="75"/>
  <c r="H281" i="75"/>
  <c r="L2374" i="98"/>
  <c r="L2180" i="98"/>
  <c r="M2180" i="98" s="1"/>
  <c r="L2585" i="98"/>
  <c r="L1873" i="98"/>
  <c r="L1872" i="98" s="1"/>
  <c r="L1940" i="98"/>
  <c r="L2763" i="98"/>
  <c r="L1948" i="98"/>
  <c r="L1700" i="98"/>
  <c r="L1932" i="98"/>
  <c r="L1708" i="98"/>
  <c r="L1692" i="98"/>
  <c r="H32" i="75"/>
  <c r="I32" i="75" s="1"/>
  <c r="J32" i="75" s="1"/>
  <c r="I29" i="75"/>
  <c r="H30" i="75"/>
  <c r="I30" i="75" s="1"/>
  <c r="J30" i="75" s="1"/>
  <c r="L12" i="83"/>
  <c r="Q12" i="83" s="1"/>
  <c r="H28" i="75"/>
  <c r="H31" i="75"/>
  <c r="I31" i="75" s="1"/>
  <c r="J31" i="75" s="1"/>
  <c r="I75" i="75"/>
  <c r="H74" i="75"/>
  <c r="H27" i="75"/>
  <c r="I27" i="75" s="1"/>
  <c r="J27" i="75" s="1"/>
  <c r="H25" i="75"/>
  <c r="I25" i="75" s="1"/>
  <c r="J25" i="75" s="1"/>
  <c r="H26" i="75"/>
  <c r="I26" i="75" s="1"/>
  <c r="J26" i="75" s="1"/>
  <c r="I24" i="75"/>
  <c r="J24" i="75" s="1"/>
  <c r="L10" i="83"/>
  <c r="Q10" i="83" s="1"/>
  <c r="H87" i="75"/>
  <c r="I88" i="75"/>
  <c r="H187" i="75"/>
  <c r="I189" i="75"/>
  <c r="I122" i="75"/>
  <c r="H121" i="75"/>
  <c r="H206" i="75"/>
  <c r="I206" i="75" s="1"/>
  <c r="J206" i="75" s="1"/>
  <c r="I202" i="75"/>
  <c r="J202" i="75" s="1"/>
  <c r="I203" i="75"/>
  <c r="J203" i="75" s="1"/>
  <c r="C19" i="10"/>
  <c r="L30" i="83"/>
  <c r="Q30" i="83" s="1"/>
  <c r="H442" i="75"/>
  <c r="H204" i="75"/>
  <c r="I204" i="75" s="1"/>
  <c r="J204" i="75" s="1"/>
  <c r="H205" i="75"/>
  <c r="I205" i="75" s="1"/>
  <c r="J205" i="75" s="1"/>
  <c r="H219" i="75"/>
  <c r="I220" i="75"/>
  <c r="I50" i="75"/>
  <c r="H49" i="75"/>
  <c r="H45" i="75" s="1"/>
  <c r="I312" i="75"/>
  <c r="H311" i="75"/>
  <c r="H201" i="75"/>
  <c r="I201" i="75" s="1"/>
  <c r="J201" i="75" s="1"/>
  <c r="I197" i="75"/>
  <c r="J197" i="75" s="1"/>
  <c r="H200" i="75"/>
  <c r="I200" i="75" s="1"/>
  <c r="J200" i="75" s="1"/>
  <c r="C18" i="10"/>
  <c r="H198" i="75"/>
  <c r="I198" i="75" s="1"/>
  <c r="J198" i="75" s="1"/>
  <c r="H440" i="75"/>
  <c r="H199" i="75"/>
  <c r="I199" i="75" s="1"/>
  <c r="J199" i="75" s="1"/>
  <c r="L28" i="83"/>
  <c r="Q28" i="83" s="1"/>
  <c r="H11" i="75"/>
  <c r="I11" i="75" s="1"/>
  <c r="J11" i="75" s="1"/>
  <c r="H13" i="75"/>
  <c r="I13" i="75" s="1"/>
  <c r="J13" i="75" s="1"/>
  <c r="L8" i="83"/>
  <c r="H12" i="75"/>
  <c r="I12" i="75" s="1"/>
  <c r="J12" i="75" s="1"/>
  <c r="I10" i="75"/>
  <c r="L26" i="83"/>
  <c r="Q26" i="83" s="1"/>
  <c r="H196" i="75"/>
  <c r="I196" i="75" s="1"/>
  <c r="J196" i="75" s="1"/>
  <c r="H195" i="75"/>
  <c r="I195" i="75" s="1"/>
  <c r="J195" i="75" s="1"/>
  <c r="H194" i="75"/>
  <c r="I194" i="75" s="1"/>
  <c r="J194" i="75" s="1"/>
  <c r="H191" i="75"/>
  <c r="H438" i="75"/>
  <c r="H193" i="75"/>
  <c r="I193" i="75" s="1"/>
  <c r="J193" i="75" s="1"/>
  <c r="C17" i="10"/>
  <c r="I192" i="75"/>
  <c r="H19" i="75"/>
  <c r="I19" i="75" s="1"/>
  <c r="J19" i="75" s="1"/>
  <c r="C21" i="46"/>
  <c r="C25" i="46" s="1"/>
  <c r="I16" i="75"/>
  <c r="D6" i="46"/>
  <c r="H18" i="75"/>
  <c r="I18" i="75" s="1"/>
  <c r="J18" i="75" s="1"/>
  <c r="H17" i="75"/>
  <c r="I17" i="75" s="1"/>
  <c r="J17" i="75" s="1"/>
  <c r="H15" i="75"/>
  <c r="I259" i="75"/>
  <c r="J259" i="75" s="1"/>
  <c r="H260" i="75"/>
  <c r="I260" i="75" s="1"/>
  <c r="J260" i="75" s="1"/>
  <c r="H261" i="75"/>
  <c r="I261" i="75" s="1"/>
  <c r="J261" i="75" s="1"/>
  <c r="H262" i="75"/>
  <c r="I262" i="75" s="1"/>
  <c r="J262" i="75" s="1"/>
  <c r="H69" i="75"/>
  <c r="H68" i="75" s="1"/>
  <c r="I70" i="75"/>
  <c r="H258" i="75"/>
  <c r="I258" i="75" s="1"/>
  <c r="J258" i="75" s="1"/>
  <c r="I255" i="75"/>
  <c r="H256" i="75"/>
  <c r="I256" i="75" s="1"/>
  <c r="J256" i="75" s="1"/>
  <c r="H257" i="75"/>
  <c r="I257" i="75" s="1"/>
  <c r="J257" i="75" s="1"/>
  <c r="I327" i="75"/>
  <c r="H326" i="75"/>
  <c r="H325" i="75" s="1"/>
  <c r="I133" i="75"/>
  <c r="H132" i="75"/>
  <c r="I292" i="75"/>
  <c r="H291" i="75"/>
  <c r="H299" i="75"/>
  <c r="H298" i="75" s="1"/>
  <c r="H297" i="75" s="1"/>
  <c r="I301" i="75"/>
  <c r="J301" i="75" s="1"/>
  <c r="I117" i="75"/>
  <c r="H116" i="75"/>
  <c r="I268" i="75"/>
  <c r="H267" i="75"/>
  <c r="I207" i="75"/>
  <c r="J207" i="75" s="1"/>
  <c r="D16" i="18"/>
  <c r="F16" i="18" s="1"/>
  <c r="H65" i="75"/>
  <c r="I66" i="75"/>
  <c r="L816" i="98"/>
  <c r="L860" i="98"/>
  <c r="L887" i="98"/>
  <c r="L657" i="98"/>
  <c r="L916" i="98"/>
  <c r="L935" i="98"/>
  <c r="L624" i="98"/>
  <c r="L840" i="98"/>
  <c r="L896" i="98"/>
  <c r="L925" i="98"/>
  <c r="L672" i="98"/>
  <c r="L796" i="98"/>
  <c r="L830" i="98"/>
  <c r="L850" i="98"/>
  <c r="L872" i="98"/>
  <c r="L683" i="98"/>
  <c r="L438" i="98"/>
  <c r="L471" i="98"/>
  <c r="L403" i="98"/>
  <c r="B353" i="98"/>
  <c r="I59" i="96"/>
  <c r="H188" i="96"/>
  <c r="I188" i="96" s="1"/>
  <c r="L2617" i="100" l="1"/>
  <c r="L1859" i="100"/>
  <c r="L1906" i="100"/>
  <c r="L1858" i="100"/>
  <c r="L1905" i="100"/>
  <c r="M3939" i="98"/>
  <c r="L1887" i="100"/>
  <c r="L1911" i="100"/>
  <c r="L1910" i="100"/>
  <c r="L2656" i="100"/>
  <c r="L2708" i="100"/>
  <c r="L2695" i="100"/>
  <c r="L2644" i="100"/>
  <c r="L2674" i="100"/>
  <c r="L2673" i="100"/>
  <c r="L2655" i="100"/>
  <c r="L2593" i="100"/>
  <c r="L2707" i="100"/>
  <c r="L2628" i="100"/>
  <c r="L2600" i="100"/>
  <c r="L2638" i="100"/>
  <c r="L2627" i="100"/>
  <c r="L2696" i="100"/>
  <c r="L2637" i="100"/>
  <c r="L2605" i="100"/>
  <c r="L1849" i="100"/>
  <c r="L2645" i="100"/>
  <c r="L2721" i="100"/>
  <c r="L2684" i="100"/>
  <c r="M3638" i="98"/>
  <c r="M3605" i="98"/>
  <c r="M3718" i="98"/>
  <c r="M3604" i="98"/>
  <c r="M3597" i="98"/>
  <c r="M3609" i="98"/>
  <c r="M3659" i="98"/>
  <c r="M3690" i="98"/>
  <c r="M3709" i="98"/>
  <c r="M3607" i="98"/>
  <c r="M3698" i="98"/>
  <c r="M3592" i="98"/>
  <c r="M3618" i="98"/>
  <c r="M3674" i="98"/>
  <c r="M3684" i="98"/>
  <c r="M3661" i="98"/>
  <c r="M3628" i="98"/>
  <c r="M3673" i="98"/>
  <c r="M3611" i="98"/>
  <c r="M3685" i="98"/>
  <c r="M3708" i="98"/>
  <c r="M3699" i="98"/>
  <c r="M3622" i="98"/>
  <c r="M3695" i="98"/>
  <c r="M3617" i="98"/>
  <c r="M3645" i="98"/>
  <c r="M3662" i="98"/>
  <c r="M3657" i="98"/>
  <c r="M3688" i="98"/>
  <c r="M3631" i="98"/>
  <c r="M3644" i="98"/>
  <c r="M3667" i="98"/>
  <c r="M3697" i="98"/>
  <c r="M3713" i="98"/>
  <c r="M3675" i="98"/>
  <c r="M3598" i="98"/>
  <c r="M3629" i="98"/>
  <c r="M3650" i="98"/>
  <c r="M3656" i="98"/>
  <c r="M3677" i="98"/>
  <c r="M3646" i="98"/>
  <c r="M3710" i="98"/>
  <c r="M3591" i="98"/>
  <c r="M3608" i="98"/>
  <c r="M3658" i="98"/>
  <c r="M3660" i="98"/>
  <c r="M3683" i="98"/>
  <c r="M3701" i="98"/>
  <c r="M3621" i="98"/>
  <c r="M3639" i="98"/>
  <c r="M3696" i="98"/>
  <c r="M3678" i="98"/>
  <c r="M3676" i="98"/>
  <c r="M3616" i="98"/>
  <c r="M3649" i="98"/>
  <c r="M3655" i="98"/>
  <c r="M3686" i="98"/>
  <c r="M3702" i="98"/>
  <c r="M3689" i="98"/>
  <c r="M3648" i="98"/>
  <c r="M3619" i="98"/>
  <c r="M3620" i="98"/>
  <c r="M3630" i="98"/>
  <c r="M3637" i="98"/>
  <c r="M3711" i="98"/>
  <c r="M3603" i="98"/>
  <c r="M3627" i="98"/>
  <c r="M3668" i="98"/>
  <c r="M3632" i="98"/>
  <c r="M3714" i="98"/>
  <c r="M3610" i="98"/>
  <c r="M3707" i="98"/>
  <c r="M3647" i="98"/>
  <c r="M3606" i="98"/>
  <c r="M3687" i="98"/>
  <c r="M3700" i="98"/>
  <c r="M3712" i="98"/>
  <c r="M3643" i="98"/>
  <c r="M3672" i="98"/>
  <c r="M3636" i="98"/>
  <c r="M3596" i="98"/>
  <c r="M3615" i="98"/>
  <c r="M3666" i="98"/>
  <c r="M3602" i="98"/>
  <c r="M3626" i="98"/>
  <c r="M3706" i="98"/>
  <c r="M3601" i="98"/>
  <c r="M3590" i="98"/>
  <c r="M3694" i="98"/>
  <c r="M3654" i="98"/>
  <c r="M3682" i="98"/>
  <c r="M3595" i="98"/>
  <c r="M3715" i="98"/>
  <c r="M3589" i="98"/>
  <c r="M3614" i="98"/>
  <c r="M3600" i="98"/>
  <c r="K1173" i="100"/>
  <c r="K1688" i="100"/>
  <c r="L2584" i="98"/>
  <c r="M3587" i="98"/>
  <c r="L283" i="98"/>
  <c r="L282" i="98" s="1"/>
  <c r="K114" i="100"/>
  <c r="K105" i="100"/>
  <c r="K96" i="100"/>
  <c r="K1447" i="100"/>
  <c r="K1428" i="100"/>
  <c r="K1106" i="100"/>
  <c r="K334" i="100"/>
  <c r="L1850" i="100"/>
  <c r="L1919" i="100"/>
  <c r="K1051" i="100"/>
  <c r="K2174" i="100"/>
  <c r="M3588" i="98"/>
  <c r="K797" i="100"/>
  <c r="K1966" i="100"/>
  <c r="L2888" i="100"/>
  <c r="K2826" i="100"/>
  <c r="L2827" i="100"/>
  <c r="L2599" i="100"/>
  <c r="L1877" i="100"/>
  <c r="L2667" i="100"/>
  <c r="M3594" i="98"/>
  <c r="K1477" i="100"/>
  <c r="K1655" i="100" s="1"/>
  <c r="L3924" i="98"/>
  <c r="M3924" i="98" s="1"/>
  <c r="M3827" i="98"/>
  <c r="K1885" i="100"/>
  <c r="L1885" i="100" s="1"/>
  <c r="L1886" i="100"/>
  <c r="K1030" i="100"/>
  <c r="L2243" i="100"/>
  <c r="K2242" i="100"/>
  <c r="L2873" i="100"/>
  <c r="L2843" i="100"/>
  <c r="K1215" i="100"/>
  <c r="K961" i="100"/>
  <c r="L2906" i="100"/>
  <c r="L2895" i="100"/>
  <c r="L2892" i="100"/>
  <c r="L2897" i="100"/>
  <c r="L2893" i="100"/>
  <c r="L2901" i="100"/>
  <c r="L2899" i="100"/>
  <c r="L2900" i="100"/>
  <c r="L2894" i="100"/>
  <c r="L2902" i="100"/>
  <c r="L2898" i="100"/>
  <c r="L2896" i="100"/>
  <c r="L2891" i="100"/>
  <c r="L2890" i="100"/>
  <c r="L2903" i="100"/>
  <c r="M3593" i="98"/>
  <c r="L3118" i="98"/>
  <c r="K2006" i="100"/>
  <c r="K1986" i="100"/>
  <c r="K120" i="100"/>
  <c r="M3613" i="98"/>
  <c r="L1922" i="100"/>
  <c r="L1923" i="100"/>
  <c r="L1881" i="100"/>
  <c r="L1862" i="100"/>
  <c r="L1900" i="100"/>
  <c r="L1884" i="100"/>
  <c r="L1898" i="100"/>
  <c r="L1863" i="100"/>
  <c r="L1916" i="100"/>
  <c r="L1864" i="100"/>
  <c r="L1866" i="100"/>
  <c r="L1917" i="100"/>
  <c r="L1855" i="100"/>
  <c r="L1882" i="100"/>
  <c r="L1871" i="100"/>
  <c r="L1854" i="100"/>
  <c r="L1895" i="100"/>
  <c r="L1918" i="100"/>
  <c r="L1856" i="100"/>
  <c r="L1873" i="100"/>
  <c r="L1904" i="100"/>
  <c r="L1880" i="100"/>
  <c r="L1914" i="100"/>
  <c r="L1901" i="100"/>
  <c r="L1897" i="100"/>
  <c r="L1853" i="100"/>
  <c r="L1857" i="100"/>
  <c r="L1883" i="100"/>
  <c r="L1899" i="100"/>
  <c r="L1909" i="100"/>
  <c r="L1915" i="100"/>
  <c r="L1865" i="100"/>
  <c r="L1872" i="100"/>
  <c r="L1875" i="100"/>
  <c r="L1874" i="100"/>
  <c r="L1903" i="100"/>
  <c r="L1896" i="100"/>
  <c r="L1852" i="100"/>
  <c r="L1870" i="100"/>
  <c r="L1890" i="100"/>
  <c r="L1893" i="100"/>
  <c r="L1891" i="100"/>
  <c r="L1861" i="100"/>
  <c r="L1879" i="100"/>
  <c r="L1913" i="100"/>
  <c r="L1889" i="100"/>
  <c r="L1902" i="100"/>
  <c r="L1908" i="100"/>
  <c r="L1894" i="100"/>
  <c r="L1878" i="100"/>
  <c r="L1892" i="100"/>
  <c r="L1869" i="100"/>
  <c r="L1888" i="100"/>
  <c r="L1860" i="100"/>
  <c r="L1921" i="100"/>
  <c r="L1912" i="100"/>
  <c r="L1851" i="100"/>
  <c r="L1907" i="100"/>
  <c r="K598" i="100"/>
  <c r="K2071" i="100"/>
  <c r="L1876" i="100"/>
  <c r="L1867" i="100"/>
  <c r="L2827" i="98"/>
  <c r="L2905" i="100"/>
  <c r="K2547" i="100"/>
  <c r="K2209" i="100"/>
  <c r="L2616" i="100"/>
  <c r="K617" i="100"/>
  <c r="L2373" i="98"/>
  <c r="L2961" i="98"/>
  <c r="K264" i="100"/>
  <c r="K2153" i="100"/>
  <c r="K432" i="100"/>
  <c r="L2955" i="98"/>
  <c r="M3612" i="98"/>
  <c r="M3957" i="98"/>
  <c r="M3953" i="98"/>
  <c r="M3952" i="98"/>
  <c r="M3951" i="98"/>
  <c r="M3949" i="98"/>
  <c r="M3944" i="98"/>
  <c r="M3943" i="98"/>
  <c r="M3946" i="98"/>
  <c r="M3950" i="98"/>
  <c r="M3945" i="98"/>
  <c r="M3947" i="98"/>
  <c r="M3948" i="98"/>
  <c r="M3942" i="98"/>
  <c r="M3954" i="98"/>
  <c r="M3941" i="98"/>
  <c r="K487" i="100"/>
  <c r="K2092" i="100"/>
  <c r="M3940" i="98"/>
  <c r="K2026" i="100"/>
  <c r="K980" i="100"/>
  <c r="K2118" i="100"/>
  <c r="K2131" i="100"/>
  <c r="K2233" i="100"/>
  <c r="M3956" i="98"/>
  <c r="K844" i="100"/>
  <c r="K861" i="100"/>
  <c r="L3233" i="98"/>
  <c r="M3234" i="98"/>
  <c r="K1355" i="100"/>
  <c r="L1355" i="100" s="1"/>
  <c r="L2889" i="100"/>
  <c r="K1193" i="100"/>
  <c r="K28" i="100"/>
  <c r="L2594" i="100"/>
  <c r="L2722" i="100"/>
  <c r="L2642" i="100"/>
  <c r="L2660" i="100"/>
  <c r="L2702" i="100"/>
  <c r="L2705" i="100"/>
  <c r="L2714" i="100"/>
  <c r="L2603" i="100"/>
  <c r="L2624" i="100"/>
  <c r="L2654" i="100"/>
  <c r="L2679" i="100"/>
  <c r="L2643" i="100"/>
  <c r="L2691" i="100"/>
  <c r="L2651" i="100"/>
  <c r="L2598" i="100"/>
  <c r="L2635" i="100"/>
  <c r="L2713" i="100"/>
  <c r="L2671" i="100"/>
  <c r="L2652" i="100"/>
  <c r="L2699" i="100"/>
  <c r="L2648" i="100"/>
  <c r="L2694" i="100"/>
  <c r="L2666" i="100"/>
  <c r="L2620" i="100"/>
  <c r="L2659" i="100"/>
  <c r="L2604" i="100"/>
  <c r="L2690" i="100"/>
  <c r="L2625" i="100"/>
  <c r="L2681" i="100"/>
  <c r="L2677" i="100"/>
  <c r="L2718" i="100"/>
  <c r="L2614" i="100"/>
  <c r="L2692" i="100"/>
  <c r="L2649" i="100"/>
  <c r="L2662" i="100"/>
  <c r="L2621" i="100"/>
  <c r="L2631" i="100"/>
  <c r="L2609" i="100"/>
  <c r="L2664" i="100"/>
  <c r="L2687" i="100"/>
  <c r="L2682" i="100"/>
  <c r="L2613" i="100"/>
  <c r="L2688" i="100"/>
  <c r="L2704" i="100"/>
  <c r="L2717" i="100"/>
  <c r="L2706" i="100"/>
  <c r="L2716" i="100"/>
  <c r="L2622" i="100"/>
  <c r="L2693" i="100"/>
  <c r="L2663" i="100"/>
  <c r="L2626" i="100"/>
  <c r="L2712" i="100"/>
  <c r="L2715" i="100"/>
  <c r="L2650" i="100"/>
  <c r="L2700" i="100"/>
  <c r="L2612" i="100"/>
  <c r="L2632" i="100"/>
  <c r="L2597" i="100"/>
  <c r="L2634" i="100"/>
  <c r="L2711" i="100"/>
  <c r="L2641" i="100"/>
  <c r="L2678" i="100"/>
  <c r="L2611" i="100"/>
  <c r="L2689" i="100"/>
  <c r="L2615" i="100"/>
  <c r="L2623" i="100"/>
  <c r="L2661" i="100"/>
  <c r="L2701" i="100"/>
  <c r="L2680" i="100"/>
  <c r="L2636" i="100"/>
  <c r="L2703" i="100"/>
  <c r="L2633" i="100"/>
  <c r="L2672" i="100"/>
  <c r="L2665" i="100"/>
  <c r="L2610" i="100"/>
  <c r="L2653" i="100"/>
  <c r="L2647" i="100"/>
  <c r="L2698" i="100"/>
  <c r="L2602" i="100"/>
  <c r="L2670" i="100"/>
  <c r="L2607" i="100"/>
  <c r="L2596" i="100"/>
  <c r="L2710" i="100"/>
  <c r="L2608" i="100"/>
  <c r="L2630" i="100"/>
  <c r="L2676" i="100"/>
  <c r="L2619" i="100"/>
  <c r="L2658" i="100"/>
  <c r="L2640" i="100"/>
  <c r="L2686" i="100"/>
  <c r="L2629" i="100"/>
  <c r="L2606" i="100"/>
  <c r="L2601" i="100"/>
  <c r="L2646" i="100"/>
  <c r="L2719" i="100"/>
  <c r="L2669" i="100"/>
  <c r="L2675" i="100"/>
  <c r="L2685" i="100"/>
  <c r="L2595" i="100"/>
  <c r="L2618" i="100"/>
  <c r="L2709" i="100"/>
  <c r="L2697" i="100"/>
  <c r="L2639" i="100"/>
  <c r="L2657" i="100"/>
  <c r="L2668" i="100"/>
  <c r="M3599" i="98"/>
  <c r="K2194" i="100"/>
  <c r="K2582" i="100"/>
  <c r="L2683" i="100"/>
  <c r="K1152" i="100"/>
  <c r="L1931" i="98"/>
  <c r="L1947" i="98"/>
  <c r="L1939" i="98"/>
  <c r="L1691" i="98"/>
  <c r="L1707" i="98"/>
  <c r="L1699" i="98"/>
  <c r="L3225" i="98"/>
  <c r="M2861" i="98" s="1"/>
  <c r="F1763" i="23"/>
  <c r="K2350" i="100" s="1"/>
  <c r="I158" i="96"/>
  <c r="I156" i="96"/>
  <c r="I151" i="96"/>
  <c r="I154" i="96"/>
  <c r="I78" i="96"/>
  <c r="I77" i="96" s="1"/>
  <c r="I76" i="96" s="1"/>
  <c r="I75" i="96" s="1"/>
  <c r="I74" i="96" s="1"/>
  <c r="I109" i="96"/>
  <c r="I120" i="96"/>
  <c r="I116" i="96"/>
  <c r="I92" i="96"/>
  <c r="I114" i="96"/>
  <c r="I142" i="96"/>
  <c r="I145" i="96"/>
  <c r="L45" i="98"/>
  <c r="L241" i="98"/>
  <c r="L12" i="98"/>
  <c r="L274" i="98"/>
  <c r="L3826" i="98"/>
  <c r="M3826" i="98" s="1"/>
  <c r="L962" i="98"/>
  <c r="H72" i="75"/>
  <c r="H71" i="75" s="1"/>
  <c r="H67" i="75" s="1"/>
  <c r="H64" i="75" s="1"/>
  <c r="H266" i="75"/>
  <c r="H253" i="75" s="1"/>
  <c r="J299" i="75"/>
  <c r="J298" i="75" s="1"/>
  <c r="M3717" i="98"/>
  <c r="M3526" i="98"/>
  <c r="M3520" i="98"/>
  <c r="M3517" i="98"/>
  <c r="M3514" i="98"/>
  <c r="M3516" i="98"/>
  <c r="M3511" i="98"/>
  <c r="M3518" i="98"/>
  <c r="M3512" i="98"/>
  <c r="M3521" i="98"/>
  <c r="M3513" i="98"/>
  <c r="M3515" i="98"/>
  <c r="M3519" i="98"/>
  <c r="M3510" i="98"/>
  <c r="M3523" i="98"/>
  <c r="M3525" i="98"/>
  <c r="L3574" i="98"/>
  <c r="L3542" i="98"/>
  <c r="L2912" i="98"/>
  <c r="L2000" i="98"/>
  <c r="H33" i="75"/>
  <c r="H190" i="75"/>
  <c r="F17" i="18"/>
  <c r="F439" i="23"/>
  <c r="K426" i="100" s="1"/>
  <c r="L1034" i="98"/>
  <c r="L1717" i="98"/>
  <c r="L1044" i="98"/>
  <c r="L78" i="98"/>
  <c r="L3460" i="98"/>
  <c r="L2594" i="98"/>
  <c r="L2328" i="98"/>
  <c r="L14" i="83"/>
  <c r="Q14" i="83" s="1"/>
  <c r="H14" i="75"/>
  <c r="H9" i="75" s="1"/>
  <c r="H8" i="75" s="1"/>
  <c r="C27" i="10"/>
  <c r="C21" i="10"/>
  <c r="D18" i="10" s="1"/>
  <c r="E18" i="10" s="1"/>
  <c r="D166" i="58" s="1"/>
  <c r="H228" i="75" s="1"/>
  <c r="I228" i="75" s="1"/>
  <c r="J228" i="75" s="1"/>
  <c r="J303" i="75"/>
  <c r="J302" i="75" s="1"/>
  <c r="I302" i="75"/>
  <c r="J319" i="75"/>
  <c r="J318" i="75" s="1"/>
  <c r="I318" i="75"/>
  <c r="J113" i="75"/>
  <c r="J112" i="75" s="1"/>
  <c r="I112" i="75"/>
  <c r="J268" i="75"/>
  <c r="J267" i="75" s="1"/>
  <c r="I267" i="75"/>
  <c r="J133" i="75"/>
  <c r="J132" i="75" s="1"/>
  <c r="I132" i="75"/>
  <c r="H439" i="75"/>
  <c r="I440" i="75"/>
  <c r="H310" i="75"/>
  <c r="H309" i="75" s="1"/>
  <c r="J50" i="75"/>
  <c r="J49" i="75" s="1"/>
  <c r="J45" i="75" s="1"/>
  <c r="I49" i="75"/>
  <c r="I45" i="75" s="1"/>
  <c r="C29" i="10"/>
  <c r="I87" i="75"/>
  <c r="J88" i="75"/>
  <c r="J87" i="75" s="1"/>
  <c r="I74" i="75"/>
  <c r="J75" i="75"/>
  <c r="J74" i="75" s="1"/>
  <c r="I91" i="75"/>
  <c r="J92" i="75"/>
  <c r="J91" i="75" s="1"/>
  <c r="H140" i="75"/>
  <c r="L2313" i="98"/>
  <c r="J288" i="75"/>
  <c r="J287" i="75" s="1"/>
  <c r="J286" i="75" s="1"/>
  <c r="I287" i="75"/>
  <c r="I286" i="75" s="1"/>
  <c r="J255" i="75"/>
  <c r="I36" i="96"/>
  <c r="I13" i="96"/>
  <c r="I16" i="96"/>
  <c r="I20" i="96"/>
  <c r="I40" i="96"/>
  <c r="I53" i="96"/>
  <c r="I46" i="96"/>
  <c r="I49" i="96"/>
  <c r="I51" i="96"/>
  <c r="I55" i="96"/>
  <c r="I31" i="96"/>
  <c r="I34" i="96"/>
  <c r="I18" i="96"/>
  <c r="I38" i="96"/>
  <c r="I22" i="96"/>
  <c r="J282" i="75"/>
  <c r="J281" i="75" s="1"/>
  <c r="I281" i="75"/>
  <c r="J70" i="75"/>
  <c r="J69" i="75" s="1"/>
  <c r="J68" i="75" s="1"/>
  <c r="I69" i="75"/>
  <c r="I68" i="75" s="1"/>
  <c r="J10" i="75"/>
  <c r="J312" i="75"/>
  <c r="J311" i="75" s="1"/>
  <c r="I311" i="75"/>
  <c r="J220" i="75"/>
  <c r="J219" i="75" s="1"/>
  <c r="I219" i="75"/>
  <c r="J122" i="75"/>
  <c r="J121" i="75" s="1"/>
  <c r="I121" i="75"/>
  <c r="J29" i="75"/>
  <c r="J28" i="75" s="1"/>
  <c r="I28" i="75"/>
  <c r="J60" i="75"/>
  <c r="J59" i="75" s="1"/>
  <c r="I59" i="75"/>
  <c r="I339" i="75"/>
  <c r="I338" i="75" s="1"/>
  <c r="J341" i="75"/>
  <c r="J339" i="75" s="1"/>
  <c r="J338" i="75" s="1"/>
  <c r="J162" i="75"/>
  <c r="J160" i="75" s="1"/>
  <c r="I160" i="75"/>
  <c r="I274" i="75"/>
  <c r="J275" i="75"/>
  <c r="J274" i="75" s="1"/>
  <c r="J35" i="75"/>
  <c r="J34" i="75" s="1"/>
  <c r="I34" i="75"/>
  <c r="I65" i="75"/>
  <c r="J66" i="75"/>
  <c r="J65" i="75" s="1"/>
  <c r="J16" i="75"/>
  <c r="J15" i="75" s="1"/>
  <c r="J14" i="75" s="1"/>
  <c r="I15" i="75"/>
  <c r="I14" i="75" s="1"/>
  <c r="I9" i="75" s="1"/>
  <c r="Q8" i="83"/>
  <c r="H437" i="75"/>
  <c r="I438" i="75"/>
  <c r="J117" i="75"/>
  <c r="J116" i="75" s="1"/>
  <c r="I116" i="75"/>
  <c r="J292" i="75"/>
  <c r="J291" i="75" s="1"/>
  <c r="I291" i="75"/>
  <c r="J327" i="75"/>
  <c r="J326" i="75" s="1"/>
  <c r="J325" i="75" s="1"/>
  <c r="I326" i="75"/>
  <c r="I325" i="75" s="1"/>
  <c r="J192" i="75"/>
  <c r="J191" i="75" s="1"/>
  <c r="I191" i="75"/>
  <c r="C28" i="10"/>
  <c r="L2128" i="98"/>
  <c r="L3270" i="98"/>
  <c r="M3270" i="98" s="1"/>
  <c r="L2139" i="98"/>
  <c r="L1159" i="98"/>
  <c r="L2146" i="98"/>
  <c r="L2134" i="98"/>
  <c r="I442" i="75"/>
  <c r="H441" i="75"/>
  <c r="J189" i="75"/>
  <c r="J187" i="75" s="1"/>
  <c r="I187" i="75"/>
  <c r="J264" i="75"/>
  <c r="J263" i="75" s="1"/>
  <c r="I263" i="75"/>
  <c r="I254" i="75" s="1"/>
  <c r="J108" i="75"/>
  <c r="J107" i="75" s="1"/>
  <c r="J106" i="75" s="1"/>
  <c r="I107" i="75"/>
  <c r="I106" i="75" s="1"/>
  <c r="L2383" i="98"/>
  <c r="I299" i="75"/>
  <c r="I298" i="75" s="1"/>
  <c r="H111" i="75"/>
  <c r="G11" i="14" s="1"/>
  <c r="I114" i="75"/>
  <c r="J115" i="75"/>
  <c r="J114" i="75" s="1"/>
  <c r="L682" i="98"/>
  <c r="L884" i="98"/>
  <c r="I58" i="96"/>
  <c r="I176" i="96" s="1"/>
  <c r="K1258" i="100" l="1"/>
  <c r="K1261" i="100" s="1"/>
  <c r="K1262" i="100" s="1"/>
  <c r="K713" i="100"/>
  <c r="M2961" i="98"/>
  <c r="K1151" i="100"/>
  <c r="K2234" i="100"/>
  <c r="K431" i="100"/>
  <c r="L2382" i="98"/>
  <c r="L2911" i="98"/>
  <c r="M2912" i="98"/>
  <c r="M3043" i="98"/>
  <c r="M3039" i="98"/>
  <c r="M3035" i="98"/>
  <c r="M3031" i="98"/>
  <c r="M3027" i="98"/>
  <c r="M3023" i="98"/>
  <c r="M3019" i="98"/>
  <c r="M3015" i="98"/>
  <c r="M3011" i="98"/>
  <c r="M3007" i="98"/>
  <c r="M3003" i="98"/>
  <c r="M3075" i="98"/>
  <c r="M3071" i="98"/>
  <c r="M3067" i="98"/>
  <c r="M3063" i="98"/>
  <c r="M3059" i="98"/>
  <c r="M3055" i="98"/>
  <c r="M3051" i="98"/>
  <c r="M3084" i="98"/>
  <c r="M3080" i="98"/>
  <c r="M3173" i="98"/>
  <c r="M3046" i="98"/>
  <c r="M3038" i="98"/>
  <c r="M3026" i="98"/>
  <c r="M3022" i="98"/>
  <c r="M3014" i="98"/>
  <c r="M3006" i="98"/>
  <c r="M3074" i="98"/>
  <c r="M3066" i="98"/>
  <c r="M3058" i="98"/>
  <c r="M3050" i="98"/>
  <c r="M3079" i="98"/>
  <c r="M3172" i="98"/>
  <c r="M3044" i="98"/>
  <c r="M3040" i="98"/>
  <c r="M3036" i="98"/>
  <c r="M3032" i="98"/>
  <c r="M3028" i="98"/>
  <c r="M3024" i="98"/>
  <c r="M3020" i="98"/>
  <c r="M3016" i="98"/>
  <c r="M3012" i="98"/>
  <c r="M3008" i="98"/>
  <c r="M3004" i="98"/>
  <c r="M3072" i="98"/>
  <c r="M3068" i="98"/>
  <c r="M3064" i="98"/>
  <c r="M3060" i="98"/>
  <c r="M3056" i="98"/>
  <c r="M3052" i="98"/>
  <c r="M3087" i="98"/>
  <c r="M3081" i="98"/>
  <c r="M3077" i="98"/>
  <c r="M3042" i="98"/>
  <c r="M3034" i="98"/>
  <c r="M3030" i="98"/>
  <c r="M3018" i="98"/>
  <c r="M3010" i="98"/>
  <c r="M3070" i="98"/>
  <c r="M3062" i="98"/>
  <c r="M3054" i="98"/>
  <c r="M3083" i="98"/>
  <c r="M3114" i="98"/>
  <c r="M3150" i="98"/>
  <c r="M3041" i="98"/>
  <c r="M3025" i="98"/>
  <c r="M3009" i="98"/>
  <c r="M3069" i="98"/>
  <c r="M3053" i="98"/>
  <c r="M3113" i="98"/>
  <c r="M3021" i="98"/>
  <c r="M3005" i="98"/>
  <c r="M3088" i="98"/>
  <c r="M3149" i="98"/>
  <c r="M3033" i="98"/>
  <c r="M3082" i="98"/>
  <c r="M3225" i="98"/>
  <c r="M3045" i="98"/>
  <c r="M3029" i="98"/>
  <c r="M3013" i="98"/>
  <c r="M3073" i="98"/>
  <c r="M3057" i="98"/>
  <c r="M3078" i="98"/>
  <c r="M3037" i="98"/>
  <c r="M3065" i="98"/>
  <c r="M3017" i="98"/>
  <c r="M3061" i="98"/>
  <c r="M3216" i="98"/>
  <c r="M2865" i="98"/>
  <c r="M2957" i="98"/>
  <c r="M3095" i="98"/>
  <c r="M3175" i="98"/>
  <c r="M2944" i="98"/>
  <c r="M2902" i="98"/>
  <c r="M2966" i="98"/>
  <c r="M2880" i="98"/>
  <c r="M2991" i="98"/>
  <c r="M2904" i="98"/>
  <c r="M3101" i="98"/>
  <c r="M3115" i="98"/>
  <c r="M3215" i="98"/>
  <c r="M3218" i="98"/>
  <c r="M3212" i="98"/>
  <c r="M2866" i="98"/>
  <c r="M2921" i="98"/>
  <c r="M3193" i="98"/>
  <c r="M2973" i="98"/>
  <c r="M2965" i="98"/>
  <c r="M2970" i="98"/>
  <c r="M2884" i="98"/>
  <c r="M2995" i="98"/>
  <c r="M2908" i="98"/>
  <c r="M3109" i="98"/>
  <c r="M3127" i="98"/>
  <c r="M3184" i="98"/>
  <c r="M3182" i="98"/>
  <c r="M2969" i="98"/>
  <c r="M2856" i="98"/>
  <c r="M3174" i="98"/>
  <c r="M2986" i="98"/>
  <c r="M2903" i="98"/>
  <c r="M3086" i="98"/>
  <c r="M2930" i="98"/>
  <c r="M3129" i="98"/>
  <c r="M3136" i="98"/>
  <c r="M3178" i="98"/>
  <c r="M3176" i="98"/>
  <c r="M2859" i="98"/>
  <c r="M2951" i="98"/>
  <c r="M3179" i="98"/>
  <c r="M2923" i="98"/>
  <c r="M2901" i="98"/>
  <c r="M2941" i="98"/>
  <c r="M2926" i="98"/>
  <c r="M2840" i="98"/>
  <c r="M2968" i="98"/>
  <c r="M3102" i="98"/>
  <c r="M3108" i="98"/>
  <c r="M3209" i="98"/>
  <c r="M3219" i="98"/>
  <c r="M3152" i="98"/>
  <c r="M2888" i="98"/>
  <c r="M3130" i="98"/>
  <c r="M2909" i="98"/>
  <c r="M2952" i="98"/>
  <c r="M2942" i="98"/>
  <c r="M2848" i="98"/>
  <c r="M2972" i="98"/>
  <c r="M3110" i="98"/>
  <c r="M3116" i="98"/>
  <c r="M3198" i="98"/>
  <c r="M2882" i="98"/>
  <c r="M2924" i="98"/>
  <c r="M3153" i="98"/>
  <c r="M2841" i="98"/>
  <c r="M2945" i="98"/>
  <c r="M2985" i="98"/>
  <c r="M2839" i="98"/>
  <c r="M2950" i="98"/>
  <c r="M2868" i="98"/>
  <c r="M2996" i="98"/>
  <c r="M3135" i="98"/>
  <c r="M3132" i="98"/>
  <c r="M3190" i="98"/>
  <c r="M3171" i="98"/>
  <c r="M3076" i="98"/>
  <c r="M2946" i="98"/>
  <c r="M3117" i="98"/>
  <c r="M3217" i="98"/>
  <c r="M2857" i="98"/>
  <c r="M2993" i="98"/>
  <c r="M3090" i="98"/>
  <c r="M2847" i="98"/>
  <c r="M2963" i="98"/>
  <c r="M2881" i="98"/>
  <c r="M3049" i="98"/>
  <c r="M3154" i="98"/>
  <c r="M3137" i="98"/>
  <c r="M3194" i="98"/>
  <c r="M3177" i="98"/>
  <c r="M2925" i="98"/>
  <c r="M2858" i="98"/>
  <c r="M3048" i="98"/>
  <c r="M3128" i="98"/>
  <c r="M2869" i="98"/>
  <c r="M3002" i="98"/>
  <c r="M2949" i="98"/>
  <c r="M2851" i="98"/>
  <c r="M2967" i="98"/>
  <c r="M2885" i="98"/>
  <c r="M3089" i="98"/>
  <c r="M3159" i="98"/>
  <c r="M3161" i="98"/>
  <c r="M3191" i="98"/>
  <c r="M2922" i="98"/>
  <c r="M2971" i="98"/>
  <c r="M3131" i="98"/>
  <c r="M2928" i="98"/>
  <c r="M2849" i="98"/>
  <c r="M2958" i="98"/>
  <c r="M2867" i="98"/>
  <c r="M2987" i="98"/>
  <c r="M2900" i="98"/>
  <c r="M3133" i="98"/>
  <c r="M3111" i="98"/>
  <c r="M3195" i="98"/>
  <c r="M3214" i="98"/>
  <c r="M3196" i="98"/>
  <c r="M2989" i="98"/>
  <c r="M3199" i="98"/>
  <c r="M2990" i="98"/>
  <c r="M3138" i="98"/>
  <c r="M2842" i="98"/>
  <c r="M3213" i="98"/>
  <c r="M3085" i="98"/>
  <c r="M3158" i="98"/>
  <c r="M3151" i="98"/>
  <c r="M2850" i="98"/>
  <c r="M2929" i="98"/>
  <c r="M2889" i="98"/>
  <c r="M3183" i="98"/>
  <c r="M3112" i="98"/>
  <c r="M3156" i="98"/>
  <c r="M2994" i="98"/>
  <c r="M3148" i="98"/>
  <c r="M2860" i="98"/>
  <c r="M2988" i="98"/>
  <c r="M2883" i="98"/>
  <c r="M3197" i="98"/>
  <c r="M2907" i="98"/>
  <c r="M2974" i="98"/>
  <c r="M3047" i="98"/>
  <c r="M3160" i="98"/>
  <c r="M2838" i="98"/>
  <c r="M2943" i="98"/>
  <c r="M3181" i="98"/>
  <c r="M3210" i="98"/>
  <c r="M2920" i="98"/>
  <c r="M3155" i="98"/>
  <c r="M3192" i="98"/>
  <c r="M2905" i="98"/>
  <c r="M2964" i="98"/>
  <c r="M3211" i="98"/>
  <c r="M2947" i="98"/>
  <c r="M3220" i="98"/>
  <c r="M2886" i="98"/>
  <c r="M3096" i="98"/>
  <c r="M2960" i="98"/>
  <c r="M3147" i="98"/>
  <c r="M2878" i="98"/>
  <c r="M3166" i="98"/>
  <c r="M2919" i="98"/>
  <c r="M3180" i="98"/>
  <c r="M3146" i="98"/>
  <c r="M2914" i="98"/>
  <c r="M3123" i="98"/>
  <c r="M3205" i="98"/>
  <c r="M2846" i="98"/>
  <c r="M3100" i="98"/>
  <c r="M2927" i="98"/>
  <c r="M2875" i="98"/>
  <c r="M2992" i="98"/>
  <c r="M3157" i="98"/>
  <c r="M2895" i="98"/>
  <c r="M3204" i="98"/>
  <c r="M2837" i="98"/>
  <c r="M2940" i="98"/>
  <c r="M3122" i="98"/>
  <c r="M2935" i="98"/>
  <c r="M3207" i="98"/>
  <c r="M2864" i="98"/>
  <c r="M2915" i="98"/>
  <c r="M2918" i="98"/>
  <c r="M2979" i="98"/>
  <c r="M3169" i="98"/>
  <c r="M3167" i="98"/>
  <c r="M2896" i="98"/>
  <c r="M2948" i="98"/>
  <c r="M2956" i="98"/>
  <c r="M2894" i="98"/>
  <c r="M2874" i="98"/>
  <c r="M2879" i="98"/>
  <c r="M2937" i="98"/>
  <c r="M2984" i="98"/>
  <c r="M2936" i="98"/>
  <c r="M3125" i="98"/>
  <c r="M3107" i="98"/>
  <c r="M3126" i="98"/>
  <c r="M2980" i="98"/>
  <c r="M3001" i="98"/>
  <c r="M2855" i="98"/>
  <c r="M2983" i="98"/>
  <c r="M2876" i="98"/>
  <c r="M2981" i="98"/>
  <c r="M3189" i="98"/>
  <c r="M3170" i="98"/>
  <c r="M3143" i="98"/>
  <c r="M2939" i="98"/>
  <c r="M3144" i="98"/>
  <c r="M3094" i="98"/>
  <c r="M2916" i="98"/>
  <c r="M2899" i="98"/>
  <c r="M2962" i="98"/>
  <c r="M2898" i="98"/>
  <c r="M2906" i="98"/>
  <c r="M3208" i="98"/>
  <c r="M3134" i="98"/>
  <c r="M2887" i="98"/>
  <c r="M2982" i="98"/>
  <c r="M3206" i="98"/>
  <c r="M2938" i="98"/>
  <c r="M2845" i="98"/>
  <c r="M3093" i="98"/>
  <c r="M2863" i="98"/>
  <c r="M2853" i="98"/>
  <c r="M2917" i="98"/>
  <c r="M3223" i="98"/>
  <c r="M3106" i="98"/>
  <c r="M3099" i="98"/>
  <c r="M3124" i="98"/>
  <c r="M3188" i="98"/>
  <c r="M2877" i="98"/>
  <c r="M3168" i="98"/>
  <c r="M2897" i="98"/>
  <c r="M2854" i="98"/>
  <c r="M2954" i="98"/>
  <c r="M2836" i="98"/>
  <c r="M3145" i="98"/>
  <c r="M3000" i="98"/>
  <c r="M2893" i="98"/>
  <c r="M2999" i="98"/>
  <c r="M2852" i="98"/>
  <c r="M2873" i="98"/>
  <c r="M3121" i="98"/>
  <c r="M2978" i="98"/>
  <c r="M2913" i="98"/>
  <c r="M2862" i="98"/>
  <c r="M2934" i="98"/>
  <c r="M2835" i="98"/>
  <c r="M3165" i="98"/>
  <c r="M3098" i="98"/>
  <c r="M3092" i="98"/>
  <c r="M2844" i="98"/>
  <c r="M3203" i="98"/>
  <c r="M3142" i="98"/>
  <c r="K27" i="100"/>
  <c r="L3232" i="98"/>
  <c r="M3232" i="98" s="1"/>
  <c r="M3233" i="98"/>
  <c r="K486" i="100"/>
  <c r="K513" i="100"/>
  <c r="M2955" i="98"/>
  <c r="K263" i="100"/>
  <c r="L2372" i="98"/>
  <c r="L3120" i="98"/>
  <c r="M3120" i="98" s="1"/>
  <c r="M3118" i="98"/>
  <c r="K960" i="100"/>
  <c r="K1476" i="100"/>
  <c r="K113" i="100"/>
  <c r="L2583" i="98"/>
  <c r="M3221" i="98"/>
  <c r="L3482" i="98"/>
  <c r="L3488" i="98" s="1"/>
  <c r="K2583" i="100"/>
  <c r="L2582" i="100" s="1"/>
  <c r="K1354" i="100"/>
  <c r="L1354" i="100" s="1"/>
  <c r="K1397" i="100"/>
  <c r="L2593" i="98"/>
  <c r="L2592" i="98" s="1"/>
  <c r="M3870" i="98"/>
  <c r="M2834" i="98"/>
  <c r="K2152" i="100"/>
  <c r="M2959" i="98"/>
  <c r="M3091" i="98"/>
  <c r="K2070" i="100"/>
  <c r="K1965" i="100"/>
  <c r="K1050" i="100"/>
  <c r="K1449" i="100"/>
  <c r="K1450" i="100" s="1"/>
  <c r="L1447" i="100" s="1"/>
  <c r="L3541" i="98"/>
  <c r="L514" i="98"/>
  <c r="L483" i="98" s="1"/>
  <c r="L482" i="98" s="1"/>
  <c r="K198" i="100"/>
  <c r="K863" i="100"/>
  <c r="K616" i="100"/>
  <c r="L2828" i="98"/>
  <c r="K597" i="100"/>
  <c r="K1985" i="100"/>
  <c r="K2005" i="100"/>
  <c r="K1214" i="100"/>
  <c r="L2242" i="100"/>
  <c r="K2241" i="100"/>
  <c r="L2241" i="100" s="1"/>
  <c r="K2825" i="100"/>
  <c r="L2825" i="100" s="1"/>
  <c r="L2826" i="100"/>
  <c r="K1105" i="100"/>
  <c r="K95" i="100"/>
  <c r="J297" i="75"/>
  <c r="K422" i="100"/>
  <c r="L2350" i="100"/>
  <c r="K2347" i="100"/>
  <c r="M3097" i="98"/>
  <c r="M2953" i="98"/>
  <c r="M2843" i="98"/>
  <c r="K119" i="100"/>
  <c r="M3119" i="98"/>
  <c r="K796" i="100"/>
  <c r="K815" i="100"/>
  <c r="K2173" i="100"/>
  <c r="K104" i="100"/>
  <c r="K1687" i="100"/>
  <c r="K1172" i="100"/>
  <c r="M3224" i="98"/>
  <c r="L2145" i="98"/>
  <c r="L2138" i="98"/>
  <c r="L2127" i="98"/>
  <c r="L2312" i="98"/>
  <c r="L2133" i="98"/>
  <c r="L1999" i="98"/>
  <c r="L1930" i="98"/>
  <c r="L1716" i="98"/>
  <c r="L281" i="98"/>
  <c r="L273" i="98"/>
  <c r="L240" i="98"/>
  <c r="L60" i="98"/>
  <c r="L11" i="98"/>
  <c r="L44" i="98"/>
  <c r="J190" i="75"/>
  <c r="L3341" i="98"/>
  <c r="H252" i="75"/>
  <c r="G13" i="14" s="1"/>
  <c r="L40" i="83"/>
  <c r="J310" i="75"/>
  <c r="J309" i="75" s="1"/>
  <c r="D19" i="10"/>
  <c r="E19" i="10" s="1"/>
  <c r="D17" i="10"/>
  <c r="E17" i="10" s="1"/>
  <c r="D165" i="58" s="1"/>
  <c r="H227" i="75" s="1"/>
  <c r="I227" i="75" s="1"/>
  <c r="J227" i="75" s="1"/>
  <c r="I177" i="96"/>
  <c r="I150" i="96"/>
  <c r="I149" i="96" s="1"/>
  <c r="I86" i="96"/>
  <c r="I85" i="96" s="1"/>
  <c r="I84" i="96" s="1"/>
  <c r="I83" i="96" s="1"/>
  <c r="L3825" i="98"/>
  <c r="L952" i="98"/>
  <c r="L948" i="98" s="1"/>
  <c r="L947" i="98" s="1"/>
  <c r="L946" i="98" s="1"/>
  <c r="L945" i="98" s="1"/>
  <c r="J111" i="75"/>
  <c r="I33" i="75"/>
  <c r="H7" i="75"/>
  <c r="J33" i="75"/>
  <c r="J72" i="75"/>
  <c r="I72" i="75"/>
  <c r="I71" i="75" s="1"/>
  <c r="I67" i="75" s="1"/>
  <c r="I64" i="75" s="1"/>
  <c r="L3459" i="98"/>
  <c r="L3452" i="98"/>
  <c r="L2977" i="98"/>
  <c r="L2327" i="98"/>
  <c r="L2048" i="98"/>
  <c r="L2020" i="98"/>
  <c r="L2104" i="98"/>
  <c r="L2076" i="98"/>
  <c r="L2004" i="98"/>
  <c r="L1984" i="98"/>
  <c r="I8" i="75"/>
  <c r="I190" i="75"/>
  <c r="L1453" i="98"/>
  <c r="L2437" i="98"/>
  <c r="L1033" i="98"/>
  <c r="L1043" i="98"/>
  <c r="L2698" i="98"/>
  <c r="L2528" i="98"/>
  <c r="L2449" i="98"/>
  <c r="L2494" i="98"/>
  <c r="L1342" i="98"/>
  <c r="I45" i="96"/>
  <c r="I44" i="96" s="1"/>
  <c r="I43" i="96" s="1"/>
  <c r="I42" i="96" s="1"/>
  <c r="L2736" i="98"/>
  <c r="L2247" i="98"/>
  <c r="I140" i="75"/>
  <c r="L1526" i="98"/>
  <c r="I111" i="75"/>
  <c r="I441" i="75"/>
  <c r="J442" i="75"/>
  <c r="J441" i="75" s="1"/>
  <c r="H436" i="75"/>
  <c r="H435" i="75" s="1"/>
  <c r="H426" i="75" s="1"/>
  <c r="H425" i="75" s="1"/>
  <c r="H416" i="75" s="1"/>
  <c r="H415" i="75" s="1"/>
  <c r="J9" i="75"/>
  <c r="J8" i="75" s="1"/>
  <c r="J254" i="75"/>
  <c r="J71" i="75"/>
  <c r="J67" i="75" s="1"/>
  <c r="J64" i="75" s="1"/>
  <c r="J266" i="75"/>
  <c r="D14" i="10"/>
  <c r="D15" i="10"/>
  <c r="E15" i="10" s="1"/>
  <c r="D163" i="58" s="1"/>
  <c r="H225" i="75" s="1"/>
  <c r="I225" i="75" s="1"/>
  <c r="J225" i="75" s="1"/>
  <c r="D16" i="10"/>
  <c r="E16" i="10" s="1"/>
  <c r="D164" i="58" s="1"/>
  <c r="H226" i="75" s="1"/>
  <c r="I226" i="75" s="1"/>
  <c r="J226" i="75" s="1"/>
  <c r="D20" i="10"/>
  <c r="E20" i="10" s="1"/>
  <c r="D168" i="58" s="1"/>
  <c r="H230" i="75" s="1"/>
  <c r="I230" i="75" s="1"/>
  <c r="J230" i="75" s="1"/>
  <c r="I297" i="75"/>
  <c r="Q40" i="83"/>
  <c r="J140" i="75"/>
  <c r="I310" i="75"/>
  <c r="I309" i="75" s="1"/>
  <c r="I12" i="96"/>
  <c r="I11" i="96" s="1"/>
  <c r="I10" i="96" s="1"/>
  <c r="L1158" i="98"/>
  <c r="L177" i="98"/>
  <c r="L3252" i="98"/>
  <c r="M3252" i="98" s="1"/>
  <c r="I437" i="75"/>
  <c r="J438" i="75"/>
  <c r="J437" i="75" s="1"/>
  <c r="I30" i="96"/>
  <c r="I29" i="96" s="1"/>
  <c r="I28" i="96" s="1"/>
  <c r="J440" i="75"/>
  <c r="J439" i="75" s="1"/>
  <c r="I439" i="75"/>
  <c r="I266" i="75"/>
  <c r="I253" i="75" s="1"/>
  <c r="L883" i="98"/>
  <c r="L681" i="98"/>
  <c r="I57" i="96"/>
  <c r="D167" i="58" l="1"/>
  <c r="H229" i="75" s="1"/>
  <c r="I229" i="75" s="1"/>
  <c r="J229" i="75" s="1"/>
  <c r="K1399" i="100"/>
  <c r="L1397" i="100"/>
  <c r="L2026" i="100"/>
  <c r="L2173" i="100"/>
  <c r="L2131" i="100"/>
  <c r="L2070" i="100"/>
  <c r="L2152" i="100"/>
  <c r="L2006" i="100"/>
  <c r="L1966" i="100"/>
  <c r="L2209" i="100"/>
  <c r="L2233" i="100"/>
  <c r="L2005" i="100"/>
  <c r="L2194" i="100"/>
  <c r="L1965" i="100"/>
  <c r="L2092" i="100"/>
  <c r="L2174" i="100"/>
  <c r="L1986" i="100"/>
  <c r="L2071" i="100"/>
  <c r="L2153" i="100"/>
  <c r="L2118" i="100"/>
  <c r="M3487" i="98"/>
  <c r="M3486" i="98"/>
  <c r="M3484" i="98"/>
  <c r="M3480" i="98"/>
  <c r="M3485" i="98"/>
  <c r="M3403" i="98"/>
  <c r="M3430" i="98"/>
  <c r="M3462" i="98"/>
  <c r="M3404" i="98"/>
  <c r="M3457" i="98"/>
  <c r="M3467" i="98"/>
  <c r="M3401" i="98"/>
  <c r="M3428" i="98"/>
  <c r="M3410" i="98"/>
  <c r="M3464" i="98"/>
  <c r="M3402" i="98"/>
  <c r="M3441" i="98"/>
  <c r="M3417" i="98"/>
  <c r="M3442" i="98"/>
  <c r="M3473" i="98"/>
  <c r="M3418" i="98"/>
  <c r="M3439" i="98"/>
  <c r="M3469" i="98"/>
  <c r="M3411" i="98"/>
  <c r="M3440" i="98"/>
  <c r="M3470" i="98"/>
  <c r="M3408" i="98"/>
  <c r="M3429" i="98"/>
  <c r="M3455" i="98"/>
  <c r="M3471" i="98"/>
  <c r="M3431" i="98"/>
  <c r="M3407" i="98"/>
  <c r="M3420" i="98"/>
  <c r="M3421" i="98"/>
  <c r="M3456" i="98"/>
  <c r="M3477" i="98"/>
  <c r="M3400" i="98"/>
  <c r="M3449" i="98"/>
  <c r="M3474" i="98"/>
  <c r="M3419" i="98"/>
  <c r="M3454" i="98"/>
  <c r="M3475" i="98"/>
  <c r="M3476" i="98"/>
  <c r="M3409" i="98"/>
  <c r="M3468" i="98"/>
  <c r="M3465" i="98"/>
  <c r="M3466" i="98"/>
  <c r="M3463" i="98"/>
  <c r="M3443" i="98"/>
  <c r="M3472" i="98"/>
  <c r="M3444" i="98"/>
  <c r="M3432" i="98"/>
  <c r="M3416" i="98"/>
  <c r="M3406" i="98"/>
  <c r="M3448" i="98"/>
  <c r="M3483" i="98"/>
  <c r="M3427" i="98"/>
  <c r="M3453" i="98"/>
  <c r="M3405" i="98"/>
  <c r="M3438" i="98"/>
  <c r="M3399" i="98"/>
  <c r="M3422" i="98"/>
  <c r="M3437" i="98"/>
  <c r="M3433" i="98"/>
  <c r="M3481" i="98"/>
  <c r="M3398" i="98"/>
  <c r="M3415" i="98"/>
  <c r="M3426" i="98"/>
  <c r="M3397" i="98"/>
  <c r="M3414" i="98"/>
  <c r="M3413" i="98"/>
  <c r="M3412" i="98"/>
  <c r="M3396" i="98"/>
  <c r="M3461" i="98"/>
  <c r="M3460" i="98"/>
  <c r="L2976" i="98"/>
  <c r="M2977" i="98"/>
  <c r="M2828" i="98"/>
  <c r="M2814" i="98"/>
  <c r="M2777" i="98"/>
  <c r="M2761" i="98"/>
  <c r="M2762" i="98"/>
  <c r="M2787" i="98"/>
  <c r="M2770" i="98"/>
  <c r="M2759" i="98"/>
  <c r="M2786" i="98"/>
  <c r="M2808" i="98"/>
  <c r="M2803" i="98"/>
  <c r="M2788" i="98"/>
  <c r="M2809" i="98"/>
  <c r="M2801" i="98"/>
  <c r="M2819" i="98"/>
  <c r="M2776" i="98"/>
  <c r="M2760" i="98"/>
  <c r="M2804" i="98"/>
  <c r="M2805" i="98"/>
  <c r="M2779" i="98"/>
  <c r="M2785" i="98"/>
  <c r="M2758" i="98"/>
  <c r="M2789" i="98"/>
  <c r="M2771" i="98"/>
  <c r="M2768" i="98"/>
  <c r="M2769" i="98"/>
  <c r="M2806" i="98"/>
  <c r="M2780" i="98"/>
  <c r="M2821" i="98"/>
  <c r="M2820" i="98"/>
  <c r="M2802" i="98"/>
  <c r="M2778" i="98"/>
  <c r="M2822" i="98"/>
  <c r="M2767" i="98"/>
  <c r="M2823" i="98"/>
  <c r="M2800" i="98"/>
  <c r="M2799" i="98"/>
  <c r="M2766" i="98"/>
  <c r="M2813" i="98"/>
  <c r="M2795" i="98"/>
  <c r="M2796" i="98"/>
  <c r="M2798" i="98"/>
  <c r="M2784" i="98"/>
  <c r="M2757" i="98"/>
  <c r="M2818" i="98"/>
  <c r="M2807" i="98"/>
  <c r="M2794" i="98"/>
  <c r="M2775" i="98"/>
  <c r="M2765" i="98"/>
  <c r="M2817" i="98"/>
  <c r="M2826" i="98"/>
  <c r="M2782" i="98"/>
  <c r="M2783" i="98"/>
  <c r="M2797" i="98"/>
  <c r="M2756" i="98"/>
  <c r="M2774" i="98"/>
  <c r="M2755" i="98"/>
  <c r="M2816" i="98"/>
  <c r="M2773" i="98"/>
  <c r="M2793" i="98"/>
  <c r="M2764" i="98"/>
  <c r="M2781" i="98"/>
  <c r="M2763" i="98"/>
  <c r="M2772" i="98"/>
  <c r="M2824" i="98"/>
  <c r="M2815" i="98"/>
  <c r="M2754" i="98"/>
  <c r="K430" i="100"/>
  <c r="M3459" i="98"/>
  <c r="L1803" i="100"/>
  <c r="K103" i="100"/>
  <c r="K94" i="100"/>
  <c r="L2583" i="100"/>
  <c r="L2557" i="100"/>
  <c r="L2574" i="100"/>
  <c r="L2565" i="100"/>
  <c r="L2561" i="100"/>
  <c r="L2543" i="100"/>
  <c r="L2575" i="100"/>
  <c r="L2571" i="100"/>
  <c r="L2558" i="100"/>
  <c r="L2563" i="100"/>
  <c r="L2545" i="100"/>
  <c r="L2559" i="100"/>
  <c r="L2579" i="100"/>
  <c r="L2562" i="100"/>
  <c r="L2576" i="100"/>
  <c r="L2572" i="100"/>
  <c r="L2546" i="100"/>
  <c r="L2542" i="100"/>
  <c r="L2560" i="100"/>
  <c r="L2573" i="100"/>
  <c r="L2578" i="100"/>
  <c r="L2544" i="100"/>
  <c r="L2566" i="100"/>
  <c r="L2577" i="100"/>
  <c r="L2556" i="100"/>
  <c r="L2551" i="100"/>
  <c r="L2553" i="100"/>
  <c r="L2564" i="100"/>
  <c r="L2541" i="100"/>
  <c r="L2570" i="100"/>
  <c r="L2552" i="100"/>
  <c r="L2555" i="100"/>
  <c r="L2540" i="100"/>
  <c r="L2550" i="100"/>
  <c r="L2569" i="100"/>
  <c r="L2554" i="100"/>
  <c r="L2539" i="100"/>
  <c r="L2568" i="100"/>
  <c r="L2549" i="100"/>
  <c r="L2548" i="100"/>
  <c r="L2567" i="100"/>
  <c r="L2580" i="100"/>
  <c r="L2538" i="100"/>
  <c r="L1428" i="100"/>
  <c r="L2547" i="100"/>
  <c r="K84" i="100"/>
  <c r="K85" i="100" s="1"/>
  <c r="L1985" i="100"/>
  <c r="L2225" i="100"/>
  <c r="L2098" i="100"/>
  <c r="L2234" i="100"/>
  <c r="L2041" i="100"/>
  <c r="L2016" i="100"/>
  <c r="L2066" i="100"/>
  <c r="L1934" i="100"/>
  <c r="L2207" i="100"/>
  <c r="L1963" i="100"/>
  <c r="L1977" i="100"/>
  <c r="L2182" i="100"/>
  <c r="L2146" i="100"/>
  <c r="L2191" i="100"/>
  <c r="L2219" i="100"/>
  <c r="L1935" i="100"/>
  <c r="L1981" i="100"/>
  <c r="L2063" i="100"/>
  <c r="L2170" i="100"/>
  <c r="L2161" i="100"/>
  <c r="L2104" i="100"/>
  <c r="L1998" i="100"/>
  <c r="L2201" i="100"/>
  <c r="L2044" i="100"/>
  <c r="L1995" i="100"/>
  <c r="L2017" i="100"/>
  <c r="L2208" i="100"/>
  <c r="L2124" i="100"/>
  <c r="L2117" i="100"/>
  <c r="L2039" i="100"/>
  <c r="L1962" i="100"/>
  <c r="L2083" i="100"/>
  <c r="L2226" i="100"/>
  <c r="L2000" i="100"/>
  <c r="L2167" i="100"/>
  <c r="L2169" i="100"/>
  <c r="L2205" i="100"/>
  <c r="L2202" i="100"/>
  <c r="L2065" i="100"/>
  <c r="L2203" i="100"/>
  <c r="L2111" i="100"/>
  <c r="L2091" i="100"/>
  <c r="L1952" i="100"/>
  <c r="L2018" i="100"/>
  <c r="L2144" i="100"/>
  <c r="L2204" i="100"/>
  <c r="L2053" i="100"/>
  <c r="L2218" i="100"/>
  <c r="L1943" i="100"/>
  <c r="L1978" i="100"/>
  <c r="L2199" i="100"/>
  <c r="L2220" i="100"/>
  <c r="L2061" i="100"/>
  <c r="L2145" i="100"/>
  <c r="L2125" i="100"/>
  <c r="L1953" i="100"/>
  <c r="L2143" i="100"/>
  <c r="L2186" i="100"/>
  <c r="L2042" i="100"/>
  <c r="L2086" i="100"/>
  <c r="L1996" i="100"/>
  <c r="L2097" i="100"/>
  <c r="L1944" i="100"/>
  <c r="L2084" i="100"/>
  <c r="L2151" i="100"/>
  <c r="L2081" i="100"/>
  <c r="L2188" i="100"/>
  <c r="L2020" i="100"/>
  <c r="L2060" i="100"/>
  <c r="L2172" i="100"/>
  <c r="L2224" i="100"/>
  <c r="L1951" i="100"/>
  <c r="L2127" i="100"/>
  <c r="L2064" i="100"/>
  <c r="L1976" i="100"/>
  <c r="L2221" i="100"/>
  <c r="L1946" i="100"/>
  <c r="L2193" i="100"/>
  <c r="L2148" i="100"/>
  <c r="L2058" i="100"/>
  <c r="L2187" i="100"/>
  <c r="L2166" i="100"/>
  <c r="L2046" i="100"/>
  <c r="L2100" i="100"/>
  <c r="L2037" i="100"/>
  <c r="L2141" i="100"/>
  <c r="L1945" i="100"/>
  <c r="L2015" i="100"/>
  <c r="L1984" i="100"/>
  <c r="L2165" i="100"/>
  <c r="L2090" i="100"/>
  <c r="L2162" i="100"/>
  <c r="L2082" i="100"/>
  <c r="L2103" i="100"/>
  <c r="L2190" i="100"/>
  <c r="L2140" i="100"/>
  <c r="L2184" i="100"/>
  <c r="L2023" i="100"/>
  <c r="L2003" i="100"/>
  <c r="L2067" i="100"/>
  <c r="L1980" i="100"/>
  <c r="L2102" i="100"/>
  <c r="L2101" i="100"/>
  <c r="L2110" i="100"/>
  <c r="L1936" i="100"/>
  <c r="L2085" i="100"/>
  <c r="L2171" i="100"/>
  <c r="L2185" i="100"/>
  <c r="L2142" i="100"/>
  <c r="L2080" i="100"/>
  <c r="L1964" i="100"/>
  <c r="L2229" i="100"/>
  <c r="L2130" i="100"/>
  <c r="L2088" i="100"/>
  <c r="L1999" i="100"/>
  <c r="L2047" i="100"/>
  <c r="L2223" i="100"/>
  <c r="L2024" i="100"/>
  <c r="L1975" i="100"/>
  <c r="L2206" i="100"/>
  <c r="L2163" i="100"/>
  <c r="L2045" i="100"/>
  <c r="L2129" i="100"/>
  <c r="L2128" i="100"/>
  <c r="L1997" i="100"/>
  <c r="L2021" i="100"/>
  <c r="L1960" i="100"/>
  <c r="L2228" i="100"/>
  <c r="L1933" i="100"/>
  <c r="L2052" i="100"/>
  <c r="L2200" i="100"/>
  <c r="L1961" i="100"/>
  <c r="L2222" i="100"/>
  <c r="L2069" i="100"/>
  <c r="L2123" i="100"/>
  <c r="L2004" i="100"/>
  <c r="L2150" i="100"/>
  <c r="L2025" i="100"/>
  <c r="L1937" i="100"/>
  <c r="L2183" i="100"/>
  <c r="L2036" i="100"/>
  <c r="L2164" i="100"/>
  <c r="L2040" i="100"/>
  <c r="L2099" i="100"/>
  <c r="L1979" i="100"/>
  <c r="L2019" i="100"/>
  <c r="L2116" i="100"/>
  <c r="L2227" i="100"/>
  <c r="L2068" i="100"/>
  <c r="L2038" i="100"/>
  <c r="L2149" i="100"/>
  <c r="L2126" i="100"/>
  <c r="L1983" i="100"/>
  <c r="L2002" i="100"/>
  <c r="L2062" i="100"/>
  <c r="L2089" i="100"/>
  <c r="L2059" i="100"/>
  <c r="L1942" i="100"/>
  <c r="L1954" i="100"/>
  <c r="L2105" i="100"/>
  <c r="L1955" i="100"/>
  <c r="L2192" i="100"/>
  <c r="L2168" i="100"/>
  <c r="L2156" i="100"/>
  <c r="L2014" i="100"/>
  <c r="L2009" i="100"/>
  <c r="L2198" i="100"/>
  <c r="L2034" i="100"/>
  <c r="L2213" i="100"/>
  <c r="L2122" i="100"/>
  <c r="L1950" i="100"/>
  <c r="L2013" i="100"/>
  <c r="L1993" i="100"/>
  <c r="L2139" i="100"/>
  <c r="L2115" i="100"/>
  <c r="L2214" i="100"/>
  <c r="L2136" i="100"/>
  <c r="L2076" i="100"/>
  <c r="L2180" i="100"/>
  <c r="L1969" i="100"/>
  <c r="L2043" i="100"/>
  <c r="L2216" i="100"/>
  <c r="L2096" i="100"/>
  <c r="L1989" i="100"/>
  <c r="L2135" i="100"/>
  <c r="L1941" i="100"/>
  <c r="L1959" i="100"/>
  <c r="L2160" i="100"/>
  <c r="L1982" i="100"/>
  <c r="L2189" i="100"/>
  <c r="L1973" i="100"/>
  <c r="L2074" i="100"/>
  <c r="L2087" i="100"/>
  <c r="L2057" i="100"/>
  <c r="L1991" i="100"/>
  <c r="L2157" i="100"/>
  <c r="L2075" i="100"/>
  <c r="L1971" i="100"/>
  <c r="L2035" i="100"/>
  <c r="L2011" i="100"/>
  <c r="L2051" i="100"/>
  <c r="L1932" i="100"/>
  <c r="L1970" i="100"/>
  <c r="L2030" i="100"/>
  <c r="L2032" i="100"/>
  <c r="L2022" i="100"/>
  <c r="L1994" i="100"/>
  <c r="L2159" i="100"/>
  <c r="L2079" i="100"/>
  <c r="L2181" i="100"/>
  <c r="L2109" i="100"/>
  <c r="L2078" i="100"/>
  <c r="L1990" i="100"/>
  <c r="L2217" i="100"/>
  <c r="L2031" i="100"/>
  <c r="L2147" i="100"/>
  <c r="L2178" i="100"/>
  <c r="L2001" i="100"/>
  <c r="L1974" i="100"/>
  <c r="L2138" i="100"/>
  <c r="L2010" i="100"/>
  <c r="L2177" i="100"/>
  <c r="L1972" i="100"/>
  <c r="L1958" i="100"/>
  <c r="L2077" i="100"/>
  <c r="L2108" i="100"/>
  <c r="L2232" i="100"/>
  <c r="L2056" i="100"/>
  <c r="L2158" i="100"/>
  <c r="L1940" i="100"/>
  <c r="L2055" i="100"/>
  <c r="L2114" i="100"/>
  <c r="L2050" i="100"/>
  <c r="L1992" i="100"/>
  <c r="L2197" i="100"/>
  <c r="L2033" i="100"/>
  <c r="L2049" i="100"/>
  <c r="L2029" i="100"/>
  <c r="L1949" i="100"/>
  <c r="L2121" i="100"/>
  <c r="L2137" i="100"/>
  <c r="L1931" i="100"/>
  <c r="L2212" i="100"/>
  <c r="L2215" i="100"/>
  <c r="L2179" i="100"/>
  <c r="L2012" i="100"/>
  <c r="L2095" i="100"/>
  <c r="L1968" i="100"/>
  <c r="L2176" i="100"/>
  <c r="L2113" i="100"/>
  <c r="L2196" i="100"/>
  <c r="L1939" i="100"/>
  <c r="L2120" i="100"/>
  <c r="L2028" i="100"/>
  <c r="L2107" i="100"/>
  <c r="L1957" i="100"/>
  <c r="L2048" i="100"/>
  <c r="L2134" i="100"/>
  <c r="L2155" i="100"/>
  <c r="L2094" i="100"/>
  <c r="L2211" i="100"/>
  <c r="L2073" i="100"/>
  <c r="L1930" i="100"/>
  <c r="L1988" i="100"/>
  <c r="L2008" i="100"/>
  <c r="L2054" i="100"/>
  <c r="L1948" i="100"/>
  <c r="L2133" i="100"/>
  <c r="L2112" i="100"/>
  <c r="L2175" i="100"/>
  <c r="L1947" i="100"/>
  <c r="L2106" i="100"/>
  <c r="L2007" i="100"/>
  <c r="L1987" i="100"/>
  <c r="L2210" i="100"/>
  <c r="L2027" i="100"/>
  <c r="L2230" i="100"/>
  <c r="L2195" i="100"/>
  <c r="L2132" i="100"/>
  <c r="L1956" i="100"/>
  <c r="L1967" i="100"/>
  <c r="L1929" i="100"/>
  <c r="L2072" i="100"/>
  <c r="L2154" i="100"/>
  <c r="L2093" i="100"/>
  <c r="L2119" i="100"/>
  <c r="L1938" i="100"/>
  <c r="L2527" i="98"/>
  <c r="L2735" i="98"/>
  <c r="L2734" i="98" s="1"/>
  <c r="L2448" i="98"/>
  <c r="K817" i="100"/>
  <c r="K819" i="100" s="1"/>
  <c r="L2347" i="100"/>
  <c r="K2346" i="100"/>
  <c r="K2384" i="100"/>
  <c r="L2384" i="100" s="1"/>
  <c r="K421" i="100"/>
  <c r="M2827" i="98"/>
  <c r="K192" i="100"/>
  <c r="K935" i="100"/>
  <c r="L2910" i="98"/>
  <c r="M2910" i="98" s="1"/>
  <c r="M2911" i="98"/>
  <c r="L2436" i="98"/>
  <c r="L2435" i="98" s="1"/>
  <c r="L3824" i="98"/>
  <c r="M3824" i="98" s="1"/>
  <c r="M3825" i="98"/>
  <c r="L1449" i="100"/>
  <c r="L1450" i="100"/>
  <c r="L1441" i="100"/>
  <c r="L1443" i="100"/>
  <c r="L1426" i="100"/>
  <c r="L1419" i="100"/>
  <c r="L1437" i="100"/>
  <c r="L1438" i="100"/>
  <c r="L1446" i="100"/>
  <c r="L1421" i="100"/>
  <c r="L1442" i="100"/>
  <c r="L1417" i="100"/>
  <c r="L1440" i="100"/>
  <c r="L1418" i="100"/>
  <c r="L1445" i="100"/>
  <c r="L1427" i="100"/>
  <c r="L1420" i="100"/>
  <c r="L1439" i="100"/>
  <c r="L1444" i="100"/>
  <c r="L1416" i="100"/>
  <c r="L1425" i="100"/>
  <c r="L1432" i="100"/>
  <c r="L1436" i="100"/>
  <c r="L1435" i="100"/>
  <c r="L1433" i="100"/>
  <c r="L1424" i="100"/>
  <c r="L1422" i="100"/>
  <c r="L1415" i="100"/>
  <c r="L1434" i="100"/>
  <c r="L1431" i="100"/>
  <c r="L1423" i="100"/>
  <c r="L1430" i="100"/>
  <c r="L1414" i="100"/>
  <c r="L1429" i="100"/>
  <c r="L1413" i="100"/>
  <c r="M3482" i="98"/>
  <c r="K515" i="100"/>
  <c r="K516" i="100" s="1"/>
  <c r="L513" i="100" s="1"/>
  <c r="M3452" i="98"/>
  <c r="I7" i="75"/>
  <c r="L3338" i="98"/>
  <c r="M3341" i="98"/>
  <c r="K715" i="100"/>
  <c r="K864" i="100"/>
  <c r="L863" i="100" s="1"/>
  <c r="K112" i="100"/>
  <c r="K1657" i="100"/>
  <c r="L2381" i="98"/>
  <c r="L2075" i="98"/>
  <c r="L2019" i="98"/>
  <c r="L1998" i="98"/>
  <c r="L2132" i="98"/>
  <c r="L2003" i="98"/>
  <c r="L2047" i="98"/>
  <c r="L2311" i="98"/>
  <c r="L2126" i="98"/>
  <c r="L2137" i="98"/>
  <c r="L2144" i="98"/>
  <c r="L1341" i="98"/>
  <c r="L1340" i="98" s="1"/>
  <c r="L1715" i="98"/>
  <c r="L481" i="98"/>
  <c r="L615" i="98" s="1"/>
  <c r="L43" i="98"/>
  <c r="L10" i="98"/>
  <c r="L239" i="98"/>
  <c r="L272" i="98"/>
  <c r="L280" i="98"/>
  <c r="L59" i="98"/>
  <c r="I178" i="96"/>
  <c r="J7" i="75"/>
  <c r="I252" i="75"/>
  <c r="L1177" i="98"/>
  <c r="L2697" i="98"/>
  <c r="L3451" i="98"/>
  <c r="M3451" i="98" s="1"/>
  <c r="L3458" i="98"/>
  <c r="M3458" i="98" s="1"/>
  <c r="L3576" i="98"/>
  <c r="L1983" i="98"/>
  <c r="L2326" i="98"/>
  <c r="L1957" i="98"/>
  <c r="J253" i="75"/>
  <c r="J252" i="75" s="1"/>
  <c r="L1042" i="98"/>
  <c r="L1290" i="98"/>
  <c r="I175" i="96"/>
  <c r="L2550" i="98"/>
  <c r="L2720" i="98"/>
  <c r="L1364" i="98"/>
  <c r="L2483" i="98"/>
  <c r="L1881" i="98"/>
  <c r="L2493" i="98"/>
  <c r="L2402" i="98"/>
  <c r="G28" i="14"/>
  <c r="E16" i="15"/>
  <c r="L2517" i="98"/>
  <c r="L1525" i="98"/>
  <c r="L2322" i="98"/>
  <c r="L2103" i="98"/>
  <c r="J436" i="75"/>
  <c r="J435" i="75" s="1"/>
  <c r="J426" i="75" s="1"/>
  <c r="J425" i="75" s="1"/>
  <c r="J416" i="75" s="1"/>
  <c r="J415" i="75" s="1"/>
  <c r="L1157" i="98"/>
  <c r="I182" i="96"/>
  <c r="I436" i="75"/>
  <c r="I435" i="75" s="1"/>
  <c r="I426" i="75" s="1"/>
  <c r="I425" i="75" s="1"/>
  <c r="I416" i="75" s="1"/>
  <c r="I415" i="75" s="1"/>
  <c r="L1850" i="98"/>
  <c r="I148" i="96"/>
  <c r="I181" i="96"/>
  <c r="E14" i="10"/>
  <c r="D21" i="10"/>
  <c r="L2539" i="98"/>
  <c r="L1462" i="98"/>
  <c r="L2212" i="98"/>
  <c r="M2212" i="98" s="1"/>
  <c r="L2246" i="98"/>
  <c r="I174" i="96"/>
  <c r="I27" i="96"/>
  <c r="I173" i="96"/>
  <c r="I9" i="96"/>
  <c r="L176" i="98"/>
  <c r="L2613" i="98"/>
  <c r="L2414" i="98"/>
  <c r="L2506" i="98"/>
  <c r="L1831" i="98"/>
  <c r="L2461" i="98"/>
  <c r="L2472" i="98"/>
  <c r="L1324" i="98"/>
  <c r="L882" i="98"/>
  <c r="G189" i="96"/>
  <c r="K1400" i="100" l="1"/>
  <c r="L1400" i="100" s="1"/>
  <c r="L1399" i="100"/>
  <c r="L480" i="98"/>
  <c r="L815" i="100"/>
  <c r="L1687" i="100"/>
  <c r="L84" i="100"/>
  <c r="L85" i="100"/>
  <c r="L68" i="100"/>
  <c r="L57" i="100"/>
  <c r="L43" i="100"/>
  <c r="L24" i="100"/>
  <c r="L17" i="100"/>
  <c r="L41" i="100"/>
  <c r="L58" i="100"/>
  <c r="L75" i="100"/>
  <c r="L77" i="100"/>
  <c r="L38" i="100"/>
  <c r="L35" i="100"/>
  <c r="L78" i="100"/>
  <c r="L59" i="100"/>
  <c r="L66" i="100"/>
  <c r="L37" i="100"/>
  <c r="L42" i="100"/>
  <c r="L79" i="100"/>
  <c r="L70" i="100"/>
  <c r="L26" i="100"/>
  <c r="L25" i="100"/>
  <c r="L15" i="100"/>
  <c r="L23" i="100"/>
  <c r="L56" i="100"/>
  <c r="L46" i="100"/>
  <c r="L22" i="100"/>
  <c r="L81" i="100"/>
  <c r="L67" i="100"/>
  <c r="L69" i="100"/>
  <c r="L45" i="100"/>
  <c r="L14" i="100"/>
  <c r="L80" i="100"/>
  <c r="L65" i="100"/>
  <c r="L16" i="100"/>
  <c r="L51" i="100"/>
  <c r="L64" i="100"/>
  <c r="L13" i="100"/>
  <c r="L76" i="100"/>
  <c r="L39" i="100"/>
  <c r="L40" i="100"/>
  <c r="L21" i="100"/>
  <c r="L63" i="100"/>
  <c r="L50" i="100"/>
  <c r="L36" i="100"/>
  <c r="L31" i="100"/>
  <c r="L32" i="100"/>
  <c r="L74" i="100"/>
  <c r="L12" i="100"/>
  <c r="L34" i="100"/>
  <c r="L55" i="100"/>
  <c r="L44" i="100"/>
  <c r="L33" i="100"/>
  <c r="L49" i="100"/>
  <c r="L11" i="100"/>
  <c r="L20" i="100"/>
  <c r="L62" i="100"/>
  <c r="L73" i="100"/>
  <c r="L54" i="100"/>
  <c r="L72" i="100"/>
  <c r="L61" i="100"/>
  <c r="L30" i="100"/>
  <c r="L10" i="100"/>
  <c r="L48" i="100"/>
  <c r="L53" i="100"/>
  <c r="L19" i="100"/>
  <c r="L18" i="100"/>
  <c r="L9" i="100"/>
  <c r="L29" i="100"/>
  <c r="L60" i="100"/>
  <c r="L47" i="100"/>
  <c r="L52" i="100"/>
  <c r="L71" i="100"/>
  <c r="L28" i="100"/>
  <c r="K111" i="100"/>
  <c r="L3375" i="98"/>
  <c r="M3375" i="98" s="1"/>
  <c r="M3338" i="98"/>
  <c r="L515" i="100"/>
  <c r="L516" i="100"/>
  <c r="L496" i="100"/>
  <c r="L503" i="100"/>
  <c r="L481" i="100"/>
  <c r="L466" i="100"/>
  <c r="L464" i="100"/>
  <c r="L476" i="100"/>
  <c r="L500" i="100"/>
  <c r="L495" i="100"/>
  <c r="L472" i="100"/>
  <c r="L502" i="100"/>
  <c r="L467" i="100"/>
  <c r="L484" i="100"/>
  <c r="L475" i="100"/>
  <c r="L465" i="100"/>
  <c r="L497" i="100"/>
  <c r="L509" i="100"/>
  <c r="L508" i="100"/>
  <c r="L483" i="100"/>
  <c r="L499" i="100"/>
  <c r="L473" i="100"/>
  <c r="L512" i="100"/>
  <c r="L482" i="100"/>
  <c r="L485" i="100"/>
  <c r="L463" i="100"/>
  <c r="L498" i="100"/>
  <c r="L510" i="100"/>
  <c r="L474" i="100"/>
  <c r="L511" i="100"/>
  <c r="L480" i="100"/>
  <c r="L491" i="100"/>
  <c r="L507" i="100"/>
  <c r="L494" i="100"/>
  <c r="L490" i="100"/>
  <c r="L471" i="100"/>
  <c r="L462" i="100"/>
  <c r="L493" i="100"/>
  <c r="L501" i="100"/>
  <c r="L470" i="100"/>
  <c r="L506" i="100"/>
  <c r="L492" i="100"/>
  <c r="L479" i="100"/>
  <c r="L461" i="100"/>
  <c r="L460" i="100"/>
  <c r="L505" i="100"/>
  <c r="L489" i="100"/>
  <c r="L478" i="100"/>
  <c r="L469" i="100"/>
  <c r="L504" i="100"/>
  <c r="L488" i="100"/>
  <c r="L459" i="100"/>
  <c r="L477" i="100"/>
  <c r="L468" i="100"/>
  <c r="L487" i="100"/>
  <c r="L817" i="100"/>
  <c r="L819" i="100"/>
  <c r="L818" i="100"/>
  <c r="L788" i="100"/>
  <c r="L792" i="100"/>
  <c r="L762" i="100"/>
  <c r="L760" i="100"/>
  <c r="L789" i="100"/>
  <c r="L753" i="100"/>
  <c r="L750" i="100"/>
  <c r="L804" i="100"/>
  <c r="L790" i="100"/>
  <c r="L732" i="100"/>
  <c r="L763" i="100"/>
  <c r="L740" i="100"/>
  <c r="L744" i="100"/>
  <c r="L741" i="100"/>
  <c r="L743" i="100"/>
  <c r="L795" i="100"/>
  <c r="L771" i="100"/>
  <c r="L791" i="100"/>
  <c r="L806" i="100"/>
  <c r="L778" i="100"/>
  <c r="L751" i="100"/>
  <c r="L813" i="100"/>
  <c r="L730" i="100"/>
  <c r="L768" i="100"/>
  <c r="L769" i="100"/>
  <c r="L739" i="100"/>
  <c r="L793" i="100"/>
  <c r="L773" i="100"/>
  <c r="L759" i="100"/>
  <c r="L749" i="100"/>
  <c r="L733" i="100"/>
  <c r="L781" i="100"/>
  <c r="L812" i="100"/>
  <c r="L758" i="100"/>
  <c r="L814" i="100"/>
  <c r="L807" i="100"/>
  <c r="L783" i="100"/>
  <c r="L761" i="100"/>
  <c r="L772" i="100"/>
  <c r="L782" i="100"/>
  <c r="L734" i="100"/>
  <c r="L770" i="100"/>
  <c r="L808" i="100"/>
  <c r="L809" i="100"/>
  <c r="L780" i="100"/>
  <c r="L779" i="100"/>
  <c r="L805" i="100"/>
  <c r="L731" i="100"/>
  <c r="L810" i="100"/>
  <c r="L752" i="100"/>
  <c r="L794" i="100"/>
  <c r="L742" i="100"/>
  <c r="L803" i="100"/>
  <c r="L757" i="100"/>
  <c r="L729" i="100"/>
  <c r="L748" i="100"/>
  <c r="L801" i="100"/>
  <c r="L767" i="100"/>
  <c r="L738" i="100"/>
  <c r="L787" i="100"/>
  <c r="L800" i="100"/>
  <c r="L777" i="100"/>
  <c r="L811" i="100"/>
  <c r="L776" i="100"/>
  <c r="L756" i="100"/>
  <c r="L766" i="100"/>
  <c r="L728" i="100"/>
  <c r="L802" i="100"/>
  <c r="L737" i="100"/>
  <c r="L786" i="100"/>
  <c r="L747" i="100"/>
  <c r="L799" i="100"/>
  <c r="L727" i="100"/>
  <c r="L736" i="100"/>
  <c r="L755" i="100"/>
  <c r="L785" i="100"/>
  <c r="L765" i="100"/>
  <c r="L775" i="100"/>
  <c r="L746" i="100"/>
  <c r="L735" i="100"/>
  <c r="L764" i="100"/>
  <c r="L798" i="100"/>
  <c r="L774" i="100"/>
  <c r="L784" i="100"/>
  <c r="L726" i="100"/>
  <c r="L745" i="100"/>
  <c r="L754" i="100"/>
  <c r="L797" i="100"/>
  <c r="K720" i="100"/>
  <c r="L715" i="100" s="1"/>
  <c r="K2345" i="100"/>
  <c r="L2346" i="100"/>
  <c r="L82" i="100"/>
  <c r="K93" i="100"/>
  <c r="L1804" i="100"/>
  <c r="L1806" i="100"/>
  <c r="L1796" i="100"/>
  <c r="L1784" i="100"/>
  <c r="L1768" i="100"/>
  <c r="L1760" i="100"/>
  <c r="L1750" i="100"/>
  <c r="L1742" i="100"/>
  <c r="L1734" i="100"/>
  <c r="L1726" i="100"/>
  <c r="L1718" i="100"/>
  <c r="L1789" i="100"/>
  <c r="L1781" i="100"/>
  <c r="L1773" i="100"/>
  <c r="L1765" i="100"/>
  <c r="L1757" i="100"/>
  <c r="L1747" i="100"/>
  <c r="L1739" i="100"/>
  <c r="L1729" i="100"/>
  <c r="L1719" i="100"/>
  <c r="L1711" i="100"/>
  <c r="L1782" i="100"/>
  <c r="L1766" i="100"/>
  <c r="L1748" i="100"/>
  <c r="L1716" i="100"/>
  <c r="L1787" i="100"/>
  <c r="L1771" i="100"/>
  <c r="L1763" i="100"/>
  <c r="L1745" i="100"/>
  <c r="L1727" i="100"/>
  <c r="L1797" i="100"/>
  <c r="L1788" i="100"/>
  <c r="L1772" i="100"/>
  <c r="L1746" i="100"/>
  <c r="L1738" i="100"/>
  <c r="L1714" i="100"/>
  <c r="L1777" i="100"/>
  <c r="L1761" i="100"/>
  <c r="L1743" i="100"/>
  <c r="L1725" i="100"/>
  <c r="L1801" i="100"/>
  <c r="L1795" i="100"/>
  <c r="L1798" i="100"/>
  <c r="L1786" i="100"/>
  <c r="L1770" i="100"/>
  <c r="L1762" i="100"/>
  <c r="L1752" i="100"/>
  <c r="L1736" i="100"/>
  <c r="L1728" i="100"/>
  <c r="L1720" i="100"/>
  <c r="L1712" i="100"/>
  <c r="L1805" i="100"/>
  <c r="L1783" i="100"/>
  <c r="L1775" i="100"/>
  <c r="L1767" i="100"/>
  <c r="L1759" i="100"/>
  <c r="L1749" i="100"/>
  <c r="L1741" i="100"/>
  <c r="L1731" i="100"/>
  <c r="L1723" i="100"/>
  <c r="L1713" i="100"/>
  <c r="L1799" i="100"/>
  <c r="L1790" i="100"/>
  <c r="L1774" i="100"/>
  <c r="L1758" i="100"/>
  <c r="L1740" i="100"/>
  <c r="L1724" i="100"/>
  <c r="L1779" i="100"/>
  <c r="L1753" i="100"/>
  <c r="L1737" i="100"/>
  <c r="L1717" i="100"/>
  <c r="L1780" i="100"/>
  <c r="L1764" i="100"/>
  <c r="L1756" i="100"/>
  <c r="L1730" i="100"/>
  <c r="L1722" i="100"/>
  <c r="L1785" i="100"/>
  <c r="L1769" i="100"/>
  <c r="L1751" i="100"/>
  <c r="L1735" i="100"/>
  <c r="L1715" i="100"/>
  <c r="L1800" i="100"/>
  <c r="L1802" i="100"/>
  <c r="L1794" i="100"/>
  <c r="L1793" i="100"/>
  <c r="L1792" i="100"/>
  <c r="L1791" i="100"/>
  <c r="L1682" i="100"/>
  <c r="L1698" i="100"/>
  <c r="L1700" i="100"/>
  <c r="L1699" i="100"/>
  <c r="L1705" i="100"/>
  <c r="L1778" i="100"/>
  <c r="L1702" i="100"/>
  <c r="L1696" i="100"/>
  <c r="L1683" i="100"/>
  <c r="L1732" i="100"/>
  <c r="L1686" i="100"/>
  <c r="L1744" i="100"/>
  <c r="L1755" i="100"/>
  <c r="L1776" i="100"/>
  <c r="L1710" i="100"/>
  <c r="L1721" i="100"/>
  <c r="L1697" i="100"/>
  <c r="L1701" i="100"/>
  <c r="L1685" i="100"/>
  <c r="L1684" i="100"/>
  <c r="L1704" i="100"/>
  <c r="L1733" i="100"/>
  <c r="L1694" i="100"/>
  <c r="L1692" i="100"/>
  <c r="L1681" i="100"/>
  <c r="L1703" i="100"/>
  <c r="L1695" i="100"/>
  <c r="L1691" i="100"/>
  <c r="L1709" i="100"/>
  <c r="L1693" i="100"/>
  <c r="L1708" i="100"/>
  <c r="L1680" i="100"/>
  <c r="L1690" i="100"/>
  <c r="L1707" i="100"/>
  <c r="L1679" i="100"/>
  <c r="L1706" i="100"/>
  <c r="L1678" i="100"/>
  <c r="L1689" i="100"/>
  <c r="L1688" i="100"/>
  <c r="L796" i="100"/>
  <c r="K1659" i="100"/>
  <c r="L1657" i="100" s="1"/>
  <c r="K191" i="100"/>
  <c r="K429" i="100"/>
  <c r="L864" i="100"/>
  <c r="L851" i="100"/>
  <c r="L858" i="100"/>
  <c r="L854" i="100"/>
  <c r="L855" i="100"/>
  <c r="L859" i="100"/>
  <c r="L853" i="100"/>
  <c r="L860" i="100"/>
  <c r="L852" i="100"/>
  <c r="L856" i="100"/>
  <c r="L848" i="100"/>
  <c r="L850" i="100"/>
  <c r="L857" i="100"/>
  <c r="L849" i="100"/>
  <c r="L847" i="100"/>
  <c r="L846" i="100"/>
  <c r="L845" i="100"/>
  <c r="L844" i="100"/>
  <c r="L861" i="100"/>
  <c r="K420" i="100"/>
  <c r="L2447" i="98"/>
  <c r="L2526" i="98"/>
  <c r="L486" i="100"/>
  <c r="L1261" i="100"/>
  <c r="K102" i="100"/>
  <c r="L27" i="100"/>
  <c r="L2975" i="98"/>
  <c r="M2975" i="98" s="1"/>
  <c r="M2976" i="98"/>
  <c r="L1982" i="98"/>
  <c r="L2046" i="98"/>
  <c r="L2002" i="98"/>
  <c r="L2131" i="98"/>
  <c r="L1997" i="98"/>
  <c r="L1956" i="98"/>
  <c r="L2149" i="98" s="1"/>
  <c r="L2143" i="98"/>
  <c r="L2125" i="98"/>
  <c r="L2018" i="98"/>
  <c r="L2074" i="98"/>
  <c r="L1601" i="98"/>
  <c r="L617" i="98"/>
  <c r="L279" i="98"/>
  <c r="L271" i="98"/>
  <c r="L238" i="98"/>
  <c r="L9" i="98"/>
  <c r="L42" i="98"/>
  <c r="L1179" i="98"/>
  <c r="L2295" i="98"/>
  <c r="L2297" i="98" s="1"/>
  <c r="L2298" i="98" s="1"/>
  <c r="M2298" i="98" s="1"/>
  <c r="L2696" i="98"/>
  <c r="L3450" i="98"/>
  <c r="M3450" i="98" s="1"/>
  <c r="L3577" i="98"/>
  <c r="L1289" i="98"/>
  <c r="L2538" i="98"/>
  <c r="I179" i="96"/>
  <c r="I172" i="96" s="1"/>
  <c r="I147" i="96"/>
  <c r="L1880" i="98"/>
  <c r="L1363" i="98"/>
  <c r="L2471" i="98"/>
  <c r="L2505" i="98"/>
  <c r="L175" i="98"/>
  <c r="L2245" i="98"/>
  <c r="L2211" i="98"/>
  <c r="M2211" i="98" s="1"/>
  <c r="L2102" i="98"/>
  <c r="L1524" i="98"/>
  <c r="L2401" i="98"/>
  <c r="L58" i="98"/>
  <c r="L2549" i="98"/>
  <c r="L1830" i="98"/>
  <c r="L1461" i="98"/>
  <c r="D162" i="58"/>
  <c r="H224" i="75" s="1"/>
  <c r="H223" i="75" s="1"/>
  <c r="E21" i="10"/>
  <c r="L1849" i="98"/>
  <c r="L2321" i="98"/>
  <c r="L2492" i="98"/>
  <c r="L2719" i="98"/>
  <c r="L2460" i="98"/>
  <c r="L1323" i="98"/>
  <c r="L2413" i="98"/>
  <c r="L2612" i="98"/>
  <c r="L2516" i="98"/>
  <c r="L2482" i="98"/>
  <c r="L1955" i="98" l="1"/>
  <c r="L1262" i="100"/>
  <c r="L1228" i="100"/>
  <c r="L1117" i="100"/>
  <c r="L1208" i="100"/>
  <c r="L1121" i="100"/>
  <c r="L1183" i="100"/>
  <c r="L1095" i="100"/>
  <c r="L1165" i="100"/>
  <c r="L1223" i="100"/>
  <c r="L1187" i="100"/>
  <c r="L1231" i="100"/>
  <c r="L1100" i="100"/>
  <c r="L1171" i="100"/>
  <c r="L1203" i="100"/>
  <c r="L1257" i="100"/>
  <c r="L1161" i="100"/>
  <c r="L1084" i="100"/>
  <c r="L1186" i="100"/>
  <c r="L1163" i="100"/>
  <c r="L1145" i="100"/>
  <c r="L1104" i="100"/>
  <c r="L1166" i="100"/>
  <c r="L1184" i="100"/>
  <c r="L1185" i="100"/>
  <c r="L1102" i="100"/>
  <c r="L1139" i="100"/>
  <c r="L1250" i="100"/>
  <c r="L1119" i="100"/>
  <c r="L1238" i="100"/>
  <c r="L1245" i="100"/>
  <c r="L1092" i="100"/>
  <c r="L1190" i="100"/>
  <c r="L1162" i="100"/>
  <c r="L1103" i="100"/>
  <c r="L1205" i="100"/>
  <c r="L1244" i="100"/>
  <c r="L1093" i="100"/>
  <c r="L1164" i="100"/>
  <c r="L1101" i="100"/>
  <c r="L1124" i="100"/>
  <c r="L1206" i="100"/>
  <c r="L1120" i="100"/>
  <c r="L1088" i="100"/>
  <c r="L1182" i="100"/>
  <c r="L1169" i="100"/>
  <c r="L1191" i="100"/>
  <c r="L1118" i="100"/>
  <c r="L1204" i="100"/>
  <c r="L1147" i="100"/>
  <c r="L1144" i="100"/>
  <c r="L1094" i="100"/>
  <c r="L1131" i="100"/>
  <c r="L1239" i="100"/>
  <c r="L1148" i="100"/>
  <c r="L1227" i="100"/>
  <c r="L1087" i="100"/>
  <c r="L1188" i="100"/>
  <c r="L1115" i="100"/>
  <c r="L1134" i="100"/>
  <c r="L1086" i="100"/>
  <c r="L1130" i="100"/>
  <c r="L1133" i="100"/>
  <c r="L1212" i="100"/>
  <c r="L1233" i="100"/>
  <c r="L1149" i="100"/>
  <c r="L1192" i="100"/>
  <c r="L1251" i="100"/>
  <c r="L1213" i="100"/>
  <c r="L1229" i="100"/>
  <c r="L1167" i="100"/>
  <c r="L1224" i="100"/>
  <c r="L1150" i="100"/>
  <c r="L1085" i="100"/>
  <c r="L1129" i="100"/>
  <c r="L1096" i="100"/>
  <c r="L1132" i="100"/>
  <c r="L1256" i="100"/>
  <c r="L1207" i="100"/>
  <c r="L1226" i="100"/>
  <c r="L1209" i="100"/>
  <c r="L1170" i="100"/>
  <c r="L1225" i="100"/>
  <c r="L1211" i="100"/>
  <c r="L1146" i="100"/>
  <c r="L1232" i="100"/>
  <c r="L1116" i="100"/>
  <c r="L1138" i="100"/>
  <c r="L1083" i="100"/>
  <c r="L1099" i="100"/>
  <c r="L1221" i="100"/>
  <c r="L1210" i="100"/>
  <c r="L1143" i="100"/>
  <c r="L1157" i="100"/>
  <c r="L1128" i="100"/>
  <c r="L1178" i="100"/>
  <c r="L1110" i="100"/>
  <c r="L1199" i="100"/>
  <c r="L1249" i="100"/>
  <c r="L1111" i="100"/>
  <c r="L1201" i="100"/>
  <c r="L1109" i="100"/>
  <c r="L1198" i="100"/>
  <c r="L1255" i="100"/>
  <c r="L1222" i="100"/>
  <c r="L1113" i="100"/>
  <c r="L1122" i="100"/>
  <c r="L1180" i="100"/>
  <c r="L1230" i="100"/>
  <c r="L1219" i="100"/>
  <c r="L1189" i="100"/>
  <c r="L1155" i="100"/>
  <c r="L1160" i="100"/>
  <c r="L1176" i="100"/>
  <c r="L1181" i="100"/>
  <c r="L1218" i="100"/>
  <c r="L1156" i="100"/>
  <c r="L1091" i="100"/>
  <c r="L1237" i="100"/>
  <c r="L1197" i="100"/>
  <c r="L1177" i="100"/>
  <c r="L1114" i="100"/>
  <c r="L1159" i="100"/>
  <c r="L1202" i="100"/>
  <c r="L1243" i="100"/>
  <c r="L1168" i="100"/>
  <c r="L1254" i="100"/>
  <c r="L1098" i="100"/>
  <c r="L1196" i="100"/>
  <c r="L1082" i="100"/>
  <c r="L1142" i="100"/>
  <c r="L1220" i="100"/>
  <c r="L1127" i="100"/>
  <c r="L1200" i="100"/>
  <c r="L1112" i="100"/>
  <c r="L1248" i="100"/>
  <c r="L1179" i="100"/>
  <c r="L1260" i="100"/>
  <c r="L1158" i="100"/>
  <c r="L1242" i="100"/>
  <c r="L1236" i="100"/>
  <c r="L1090" i="100"/>
  <c r="L1137" i="100"/>
  <c r="L1141" i="100"/>
  <c r="L1253" i="100"/>
  <c r="L1108" i="100"/>
  <c r="L1154" i="100"/>
  <c r="L1126" i="100"/>
  <c r="L1089" i="100"/>
  <c r="L1136" i="100"/>
  <c r="L1217" i="100"/>
  <c r="L1235" i="100"/>
  <c r="L1175" i="100"/>
  <c r="L1247" i="100"/>
  <c r="L1081" i="100"/>
  <c r="L1195" i="100"/>
  <c r="L1097" i="100"/>
  <c r="L1241" i="100"/>
  <c r="L1140" i="100"/>
  <c r="L1246" i="100"/>
  <c r="L1174" i="100"/>
  <c r="L1234" i="100"/>
  <c r="L1080" i="100"/>
  <c r="L1107" i="100"/>
  <c r="L1216" i="100"/>
  <c r="L1240" i="100"/>
  <c r="L1153" i="100"/>
  <c r="L1252" i="100"/>
  <c r="L1135" i="100"/>
  <c r="L1125" i="100"/>
  <c r="L1194" i="100"/>
  <c r="L1152" i="100"/>
  <c r="L1173" i="100"/>
  <c r="L1215" i="100"/>
  <c r="L1106" i="100"/>
  <c r="L1193" i="100"/>
  <c r="L1105" i="100"/>
  <c r="L1258" i="100"/>
  <c r="L1172" i="100"/>
  <c r="L1151" i="100"/>
  <c r="L1214" i="100"/>
  <c r="K101" i="100"/>
  <c r="K419" i="100"/>
  <c r="L2708" i="98"/>
  <c r="L2745" i="98"/>
  <c r="K448" i="100"/>
  <c r="K190" i="100"/>
  <c r="K92" i="100"/>
  <c r="L2345" i="100"/>
  <c r="K2344" i="100"/>
  <c r="L2344" i="100" s="1"/>
  <c r="M3572" i="98"/>
  <c r="M3565" i="98"/>
  <c r="M3552" i="98"/>
  <c r="M3570" i="98"/>
  <c r="M3573" i="98"/>
  <c r="M3555" i="98"/>
  <c r="M3559" i="98"/>
  <c r="M3560" i="98"/>
  <c r="M3557" i="98"/>
  <c r="M3553" i="98"/>
  <c r="M3551" i="98"/>
  <c r="M3568" i="98"/>
  <c r="M3567" i="98"/>
  <c r="M3539" i="98"/>
  <c r="M3569" i="98"/>
  <c r="M3538" i="98"/>
  <c r="M3537" i="98"/>
  <c r="M3554" i="98"/>
  <c r="M3536" i="98"/>
  <c r="M3556" i="98"/>
  <c r="M3571" i="98"/>
  <c r="M3540" i="98"/>
  <c r="M3566" i="98"/>
  <c r="M3564" i="98"/>
  <c r="M3547" i="98"/>
  <c r="M3545" i="98"/>
  <c r="M3546" i="98"/>
  <c r="M3549" i="98"/>
  <c r="M3550" i="98"/>
  <c r="M3535" i="98"/>
  <c r="M3558" i="98"/>
  <c r="M3548" i="98"/>
  <c r="M3544" i="98"/>
  <c r="M3543" i="98"/>
  <c r="M3542" i="98"/>
  <c r="M3574" i="98"/>
  <c r="M3541" i="98"/>
  <c r="L1517" i="100"/>
  <c r="L1650" i="100"/>
  <c r="L1648" i="100"/>
  <c r="L1659" i="100"/>
  <c r="L1516" i="100"/>
  <c r="L1654" i="100"/>
  <c r="L1658" i="100"/>
  <c r="L1647" i="100"/>
  <c r="L1653" i="100"/>
  <c r="L1649" i="100"/>
  <c r="L1652" i="100"/>
  <c r="L1651" i="100"/>
  <c r="L1646" i="100"/>
  <c r="L1645" i="100"/>
  <c r="L1644" i="100"/>
  <c r="L1643" i="100"/>
  <c r="L1512" i="100"/>
  <c r="L1641" i="100"/>
  <c r="L1607" i="100"/>
  <c r="L1593" i="100"/>
  <c r="L1485" i="100"/>
  <c r="L1551" i="100"/>
  <c r="L1541" i="100"/>
  <c r="L1582" i="100"/>
  <c r="L1594" i="100"/>
  <c r="L1490" i="100"/>
  <c r="L1558" i="100"/>
  <c r="L1538" i="100"/>
  <c r="L1534" i="100"/>
  <c r="L1502" i="100"/>
  <c r="L1499" i="100"/>
  <c r="L1486" i="100"/>
  <c r="L1563" i="100"/>
  <c r="L1605" i="100"/>
  <c r="L1616" i="100"/>
  <c r="L1504" i="100"/>
  <c r="L1630" i="100"/>
  <c r="L1472" i="100"/>
  <c r="L1584" i="100"/>
  <c r="L1505" i="100"/>
  <c r="L1539" i="100"/>
  <c r="L1491" i="100"/>
  <c r="L1636" i="100"/>
  <c r="L1471" i="100"/>
  <c r="L1629" i="100"/>
  <c r="L1473" i="100"/>
  <c r="L1536" i="100"/>
  <c r="L1638" i="100"/>
  <c r="L1489" i="100"/>
  <c r="L1626" i="100"/>
  <c r="L1528" i="100"/>
  <c r="L1637" i="100"/>
  <c r="L1511" i="100"/>
  <c r="L1572" i="100"/>
  <c r="L1570" i="100"/>
  <c r="L1619" i="100"/>
  <c r="L1550" i="100"/>
  <c r="L1494" i="100"/>
  <c r="L1540" i="100"/>
  <c r="L1506" i="100"/>
  <c r="L1615" i="100"/>
  <c r="L1585" i="100"/>
  <c r="L1529" i="100"/>
  <c r="L1642" i="100"/>
  <c r="L1573" i="100"/>
  <c r="L1562" i="100"/>
  <c r="L1608" i="100"/>
  <c r="L1591" i="100"/>
  <c r="L1561" i="100"/>
  <c r="L1549" i="100"/>
  <c r="L1620" i="100"/>
  <c r="L1592" i="100"/>
  <c r="L1597" i="100"/>
  <c r="L1614" i="100"/>
  <c r="L1625" i="100"/>
  <c r="L1631" i="100"/>
  <c r="L1526" i="100"/>
  <c r="L1522" i="100"/>
  <c r="L1627" i="100"/>
  <c r="L1527" i="100"/>
  <c r="L1596" i="100"/>
  <c r="L1488" i="100"/>
  <c r="L1569" i="100"/>
  <c r="L1571" i="100"/>
  <c r="L1523" i="100"/>
  <c r="L1503" i="100"/>
  <c r="L1474" i="100"/>
  <c r="L1500" i="100"/>
  <c r="L1514" i="100"/>
  <c r="L1547" i="100"/>
  <c r="L1553" i="100"/>
  <c r="L1513" i="100"/>
  <c r="L1559" i="100"/>
  <c r="L1617" i="100"/>
  <c r="L1537" i="100"/>
  <c r="L1475" i="100"/>
  <c r="L1487" i="100"/>
  <c r="L1575" i="100"/>
  <c r="L1581" i="100"/>
  <c r="L1564" i="100"/>
  <c r="L1639" i="100"/>
  <c r="L1603" i="100"/>
  <c r="L1493" i="100"/>
  <c r="L1552" i="100"/>
  <c r="L1580" i="100"/>
  <c r="L1548" i="100"/>
  <c r="L1628" i="100"/>
  <c r="L1525" i="100"/>
  <c r="L1598" i="100"/>
  <c r="L1586" i="100"/>
  <c r="L1640" i="100"/>
  <c r="L1618" i="100"/>
  <c r="L1609" i="100"/>
  <c r="L1524" i="100"/>
  <c r="L1583" i="100"/>
  <c r="L1535" i="100"/>
  <c r="L1501" i="100"/>
  <c r="L1560" i="100"/>
  <c r="L1574" i="100"/>
  <c r="L1515" i="100"/>
  <c r="L1606" i="100"/>
  <c r="L1546" i="100"/>
  <c r="L1595" i="100"/>
  <c r="L1604" i="100"/>
  <c r="L1510" i="100"/>
  <c r="L1635" i="100"/>
  <c r="L1602" i="100"/>
  <c r="L1557" i="100"/>
  <c r="L1590" i="100"/>
  <c r="L1568" i="100"/>
  <c r="L1470" i="100"/>
  <c r="L1492" i="100"/>
  <c r="L1480" i="100"/>
  <c r="L1484" i="100"/>
  <c r="L1545" i="100"/>
  <c r="L1498" i="100"/>
  <c r="L1624" i="100"/>
  <c r="L1579" i="100"/>
  <c r="L1533" i="100"/>
  <c r="L1521" i="100"/>
  <c r="L1613" i="100"/>
  <c r="L1483" i="100"/>
  <c r="L1481" i="100"/>
  <c r="L1482" i="100"/>
  <c r="L1601" i="100"/>
  <c r="L1623" i="100"/>
  <c r="L1544" i="100"/>
  <c r="L1556" i="100"/>
  <c r="L1509" i="100"/>
  <c r="L1634" i="100"/>
  <c r="L1469" i="100"/>
  <c r="L1567" i="100"/>
  <c r="L1612" i="100"/>
  <c r="L1589" i="100"/>
  <c r="L1578" i="100"/>
  <c r="L1532" i="100"/>
  <c r="L1497" i="100"/>
  <c r="L1520" i="100"/>
  <c r="L1479" i="100"/>
  <c r="L1622" i="100"/>
  <c r="L1531" i="100"/>
  <c r="L1611" i="100"/>
  <c r="L1468" i="100"/>
  <c r="L1555" i="100"/>
  <c r="L1519" i="100"/>
  <c r="L1633" i="100"/>
  <c r="L1600" i="100"/>
  <c r="L1577" i="100"/>
  <c r="L1508" i="100"/>
  <c r="L1496" i="100"/>
  <c r="L1566" i="100"/>
  <c r="L1543" i="100"/>
  <c r="L1588" i="100"/>
  <c r="L1610" i="100"/>
  <c r="L1478" i="100"/>
  <c r="L1587" i="100"/>
  <c r="L1632" i="100"/>
  <c r="L1507" i="100"/>
  <c r="L1565" i="100"/>
  <c r="L1530" i="100"/>
  <c r="L1599" i="100"/>
  <c r="L1495" i="100"/>
  <c r="L1518" i="100"/>
  <c r="L1554" i="100"/>
  <c r="L1467" i="100"/>
  <c r="L1621" i="100"/>
  <c r="L1576" i="100"/>
  <c r="L1542" i="100"/>
  <c r="L1477" i="100"/>
  <c r="L1655" i="100"/>
  <c r="L1476" i="100"/>
  <c r="L578" i="100"/>
  <c r="L717" i="100"/>
  <c r="L690" i="100"/>
  <c r="L654" i="100"/>
  <c r="L549" i="100"/>
  <c r="L537" i="100"/>
  <c r="L720" i="100"/>
  <c r="L695" i="100"/>
  <c r="L711" i="100"/>
  <c r="L688" i="100"/>
  <c r="L698" i="100"/>
  <c r="L704" i="100"/>
  <c r="L712" i="100"/>
  <c r="L583" i="100"/>
  <c r="L531" i="100"/>
  <c r="L528" i="100"/>
  <c r="L707" i="100"/>
  <c r="L687" i="100"/>
  <c r="L708" i="100"/>
  <c r="L529" i="100"/>
  <c r="L538" i="100"/>
  <c r="L530" i="100"/>
  <c r="L710" i="100"/>
  <c r="L686" i="100"/>
  <c r="L703" i="100"/>
  <c r="L719" i="100"/>
  <c r="L696" i="100"/>
  <c r="L656" i="100"/>
  <c r="L587" i="100"/>
  <c r="L539" i="100"/>
  <c r="L527" i="100"/>
  <c r="L550" i="100"/>
  <c r="L655" i="100"/>
  <c r="L689" i="100"/>
  <c r="L548" i="100"/>
  <c r="L540" i="100"/>
  <c r="L701" i="100"/>
  <c r="L700" i="100"/>
  <c r="L706" i="100"/>
  <c r="L547" i="100"/>
  <c r="L718" i="100"/>
  <c r="L709" i="100"/>
  <c r="L702" i="100"/>
  <c r="L541" i="100"/>
  <c r="L716" i="100"/>
  <c r="L586" i="100"/>
  <c r="L584" i="100"/>
  <c r="L705" i="100"/>
  <c r="L699" i="100"/>
  <c r="L697" i="100"/>
  <c r="L663" i="100"/>
  <c r="L659" i="100"/>
  <c r="L660" i="100"/>
  <c r="L662" i="100"/>
  <c r="L582" i="100"/>
  <c r="L661" i="100"/>
  <c r="L694" i="100"/>
  <c r="L536" i="100"/>
  <c r="L546" i="100"/>
  <c r="L526" i="100"/>
  <c r="L693" i="100"/>
  <c r="L585" i="100"/>
  <c r="L581" i="100"/>
  <c r="L545" i="100"/>
  <c r="L535" i="100"/>
  <c r="L525" i="100"/>
  <c r="L692" i="100"/>
  <c r="L691" i="100"/>
  <c r="L524" i="100"/>
  <c r="L534" i="100"/>
  <c r="L580" i="100"/>
  <c r="L544" i="100"/>
  <c r="L533" i="100"/>
  <c r="L543" i="100"/>
  <c r="L579" i="100"/>
  <c r="L523" i="100"/>
  <c r="L679" i="100"/>
  <c r="L609" i="100"/>
  <c r="L522" i="100"/>
  <c r="L624" i="100"/>
  <c r="L651" i="100"/>
  <c r="L593" i="100"/>
  <c r="L682" i="100"/>
  <c r="L644" i="100"/>
  <c r="L635" i="100"/>
  <c r="L657" i="100"/>
  <c r="L673" i="100"/>
  <c r="L672" i="100"/>
  <c r="L594" i="100"/>
  <c r="L532" i="100"/>
  <c r="L650" i="100"/>
  <c r="L611" i="100"/>
  <c r="L627" i="100"/>
  <c r="L629" i="100"/>
  <c r="L658" i="100"/>
  <c r="L669" i="100"/>
  <c r="L671" i="100"/>
  <c r="L632" i="100"/>
  <c r="L572" i="100"/>
  <c r="L628" i="100"/>
  <c r="L592" i="100"/>
  <c r="L680" i="100"/>
  <c r="L642" i="100"/>
  <c r="L542" i="100"/>
  <c r="L607" i="100"/>
  <c r="L606" i="100"/>
  <c r="L566" i="100"/>
  <c r="L640" i="100"/>
  <c r="L645" i="100"/>
  <c r="L596" i="100"/>
  <c r="L681" i="100"/>
  <c r="L668" i="100"/>
  <c r="L573" i="100"/>
  <c r="L615" i="100"/>
  <c r="L558" i="100"/>
  <c r="L670" i="100"/>
  <c r="L567" i="100"/>
  <c r="L608" i="100"/>
  <c r="L559" i="100"/>
  <c r="L626" i="100"/>
  <c r="L556" i="100"/>
  <c r="L634" i="100"/>
  <c r="L683" i="100"/>
  <c r="L557" i="100"/>
  <c r="L595" i="100"/>
  <c r="L565" i="100"/>
  <c r="L652" i="100"/>
  <c r="L555" i="100"/>
  <c r="L684" i="100"/>
  <c r="L605" i="100"/>
  <c r="L678" i="100"/>
  <c r="L685" i="100"/>
  <c r="L564" i="100"/>
  <c r="L613" i="100"/>
  <c r="L653" i="100"/>
  <c r="L574" i="100"/>
  <c r="L610" i="100"/>
  <c r="L575" i="100"/>
  <c r="L577" i="100"/>
  <c r="L641" i="100"/>
  <c r="L625" i="100"/>
  <c r="L633" i="100"/>
  <c r="L630" i="100"/>
  <c r="L614" i="100"/>
  <c r="L576" i="100"/>
  <c r="L643" i="100"/>
  <c r="L612" i="100"/>
  <c r="L639" i="100"/>
  <c r="L601" i="100"/>
  <c r="L591" i="100"/>
  <c r="L571" i="100"/>
  <c r="L677" i="100"/>
  <c r="L620" i="100"/>
  <c r="L621" i="100"/>
  <c r="L563" i="100"/>
  <c r="L604" i="100"/>
  <c r="L602" i="100"/>
  <c r="L667" i="100"/>
  <c r="L623" i="100"/>
  <c r="L631" i="100"/>
  <c r="L649" i="100"/>
  <c r="L554" i="100"/>
  <c r="L570" i="100"/>
  <c r="L676" i="100"/>
  <c r="L666" i="100"/>
  <c r="L622" i="100"/>
  <c r="L603" i="100"/>
  <c r="L638" i="100"/>
  <c r="L590" i="100"/>
  <c r="L648" i="100"/>
  <c r="L562" i="100"/>
  <c r="L553" i="100"/>
  <c r="L552" i="100"/>
  <c r="L569" i="100"/>
  <c r="L561" i="100"/>
  <c r="L637" i="100"/>
  <c r="L619" i="100"/>
  <c r="L665" i="100"/>
  <c r="L675" i="100"/>
  <c r="L600" i="100"/>
  <c r="L647" i="100"/>
  <c r="L589" i="100"/>
  <c r="L560" i="100"/>
  <c r="L664" i="100"/>
  <c r="L646" i="100"/>
  <c r="L636" i="100"/>
  <c r="L599" i="100"/>
  <c r="L618" i="100"/>
  <c r="L588" i="100"/>
  <c r="L674" i="100"/>
  <c r="L568" i="100"/>
  <c r="L551" i="100"/>
  <c r="L598" i="100"/>
  <c r="L617" i="100"/>
  <c r="L597" i="100"/>
  <c r="L616" i="100"/>
  <c r="L713" i="100"/>
  <c r="K110" i="100"/>
  <c r="K157" i="100"/>
  <c r="K159" i="100" s="1"/>
  <c r="K161" i="100" s="1"/>
  <c r="K2928" i="100" s="1"/>
  <c r="L2152" i="98"/>
  <c r="L1603" i="98"/>
  <c r="L237" i="98"/>
  <c r="L270" i="98"/>
  <c r="L618" i="98"/>
  <c r="M617" i="98" s="1"/>
  <c r="L1180" i="98"/>
  <c r="M1179" i="98" s="1"/>
  <c r="L2352" i="98"/>
  <c r="L2354" i="98" s="1"/>
  <c r="L2355" i="98" s="1"/>
  <c r="L227" i="98"/>
  <c r="L3447" i="98"/>
  <c r="M3447" i="98" s="1"/>
  <c r="M3577" i="98"/>
  <c r="M3576" i="98"/>
  <c r="L2210" i="98"/>
  <c r="M2210" i="98" s="1"/>
  <c r="L1288" i="98"/>
  <c r="L2504" i="98"/>
  <c r="L2459" i="98"/>
  <c r="L2548" i="98"/>
  <c r="L2400" i="98"/>
  <c r="L2537" i="98"/>
  <c r="L2481" i="98"/>
  <c r="L1322" i="98"/>
  <c r="I224" i="75"/>
  <c r="I183" i="96"/>
  <c r="K2930" i="100" s="1"/>
  <c r="L2718" i="98"/>
  <c r="L57" i="98"/>
  <c r="L1362" i="98"/>
  <c r="L2412" i="98"/>
  <c r="L174" i="98"/>
  <c r="L2515" i="98"/>
  <c r="L2611" i="98"/>
  <c r="L1460" i="98"/>
  <c r="L2470" i="98"/>
  <c r="L958" i="98"/>
  <c r="K2931" i="100" l="1"/>
  <c r="J172" i="96"/>
  <c r="L2746" i="98"/>
  <c r="K189" i="100"/>
  <c r="K227" i="100"/>
  <c r="K450" i="100"/>
  <c r="K453" i="100" s="1"/>
  <c r="L2153" i="98"/>
  <c r="L1604" i="98"/>
  <c r="M1603" i="98" s="1"/>
  <c r="M618" i="98"/>
  <c r="M470" i="98"/>
  <c r="M468" i="98"/>
  <c r="M465" i="98"/>
  <c r="M463" i="98"/>
  <c r="M460" i="98"/>
  <c r="M458" i="98"/>
  <c r="M455" i="98"/>
  <c r="M453" i="98"/>
  <c r="M450" i="98"/>
  <c r="M448" i="98"/>
  <c r="M446" i="98"/>
  <c r="M444" i="98"/>
  <c r="M551" i="98"/>
  <c r="M549" i="98"/>
  <c r="M545" i="98"/>
  <c r="M543" i="98"/>
  <c r="M541" i="98"/>
  <c r="M535" i="98"/>
  <c r="M533" i="98"/>
  <c r="M531" i="98"/>
  <c r="M529" i="98"/>
  <c r="M527" i="98"/>
  <c r="M525" i="98"/>
  <c r="M523" i="98"/>
  <c r="M521" i="98"/>
  <c r="M519" i="98"/>
  <c r="M517" i="98"/>
  <c r="M513" i="98"/>
  <c r="M511" i="98"/>
  <c r="M508" i="98"/>
  <c r="M505" i="98"/>
  <c r="M501" i="98"/>
  <c r="M499" i="98"/>
  <c r="M497" i="98"/>
  <c r="M495" i="98"/>
  <c r="M493" i="98"/>
  <c r="M491" i="98"/>
  <c r="M489" i="98"/>
  <c r="M487" i="98"/>
  <c r="M573" i="98"/>
  <c r="M571" i="98"/>
  <c r="M569" i="98"/>
  <c r="M567" i="98"/>
  <c r="M565" i="98"/>
  <c r="M563" i="98"/>
  <c r="M561" i="98"/>
  <c r="M559" i="98"/>
  <c r="M557" i="98"/>
  <c r="M555" i="98"/>
  <c r="M553" i="98"/>
  <c r="M577" i="98"/>
  <c r="M469" i="98"/>
  <c r="M467" i="98"/>
  <c r="M464" i="98"/>
  <c r="M462" i="98"/>
  <c r="M459" i="98"/>
  <c r="M457" i="98"/>
  <c r="M454" i="98"/>
  <c r="M452" i="98"/>
  <c r="M449" i="98"/>
  <c r="M447" i="98"/>
  <c r="M445" i="98"/>
  <c r="M443" i="98"/>
  <c r="M550" i="98"/>
  <c r="M548" i="98"/>
  <c r="M544" i="98"/>
  <c r="M542" i="98"/>
  <c r="M536" i="98"/>
  <c r="M534" i="98"/>
  <c r="M532" i="98"/>
  <c r="M530" i="98"/>
  <c r="M528" i="98"/>
  <c r="M526" i="98"/>
  <c r="M524" i="98"/>
  <c r="M522" i="98"/>
  <c r="M520" i="98"/>
  <c r="M518" i="98"/>
  <c r="M516" i="98"/>
  <c r="M512" i="98"/>
  <c r="M506" i="98"/>
  <c r="M502" i="98"/>
  <c r="M500" i="98"/>
  <c r="M498" i="98"/>
  <c r="M496" i="98"/>
  <c r="M494" i="98"/>
  <c r="M492" i="98"/>
  <c r="M490" i="98"/>
  <c r="M488" i="98"/>
  <c r="M486" i="98"/>
  <c r="M504" i="98"/>
  <c r="M510" i="98"/>
  <c r="M515" i="98"/>
  <c r="M538" i="98"/>
  <c r="M540" i="98"/>
  <c r="M547" i="98"/>
  <c r="M572" i="98"/>
  <c r="M570" i="98"/>
  <c r="M568" i="98"/>
  <c r="M566" i="98"/>
  <c r="M564" i="98"/>
  <c r="M562" i="98"/>
  <c r="M560" i="98"/>
  <c r="M558" i="98"/>
  <c r="M556" i="98"/>
  <c r="M554" i="98"/>
  <c r="M574" i="98"/>
  <c r="M576" i="98"/>
  <c r="M581" i="98"/>
  <c r="M602" i="98"/>
  <c r="M598" i="98"/>
  <c r="M596" i="98"/>
  <c r="M594" i="98"/>
  <c r="M590" i="98"/>
  <c r="M583" i="98"/>
  <c r="M599" i="98"/>
  <c r="M595" i="98"/>
  <c r="M589" i="98"/>
  <c r="M579" i="98"/>
  <c r="M601" i="98"/>
  <c r="M597" i="98"/>
  <c r="M592" i="98"/>
  <c r="M578" i="98"/>
  <c r="M478" i="98"/>
  <c r="M477" i="98"/>
  <c r="M442" i="98"/>
  <c r="M546" i="98"/>
  <c r="M603" i="98"/>
  <c r="M600" i="98"/>
  <c r="M461" i="98"/>
  <c r="M466" i="98"/>
  <c r="M582" i="98"/>
  <c r="M451" i="98"/>
  <c r="M537" i="98"/>
  <c r="M552" i="98"/>
  <c r="M591" i="98"/>
  <c r="M613" i="98"/>
  <c r="M575" i="98"/>
  <c r="M476" i="98"/>
  <c r="M479" i="98"/>
  <c r="M612" i="98"/>
  <c r="M609" i="98"/>
  <c r="M611" i="98"/>
  <c r="M610" i="98"/>
  <c r="M539" i="98"/>
  <c r="M580" i="98"/>
  <c r="M456" i="98"/>
  <c r="M614" i="98"/>
  <c r="M475" i="98"/>
  <c r="M593" i="98"/>
  <c r="M588" i="98"/>
  <c r="M608" i="98"/>
  <c r="M484" i="98"/>
  <c r="M485" i="98"/>
  <c r="M607" i="98"/>
  <c r="M509" i="98"/>
  <c r="M587" i="98"/>
  <c r="M474" i="98"/>
  <c r="M507" i="98"/>
  <c r="M441" i="98"/>
  <c r="M606" i="98"/>
  <c r="M440" i="98"/>
  <c r="M586" i="98"/>
  <c r="M503" i="98"/>
  <c r="M473" i="98"/>
  <c r="M584" i="98"/>
  <c r="M585" i="98"/>
  <c r="M605" i="98"/>
  <c r="M439" i="98"/>
  <c r="M472" i="98"/>
  <c r="M438" i="98"/>
  <c r="M471" i="98"/>
  <c r="M604" i="98"/>
  <c r="M514" i="98"/>
  <c r="M482" i="98"/>
  <c r="M483" i="98"/>
  <c r="M480" i="98"/>
  <c r="M615" i="98"/>
  <c r="M481" i="98"/>
  <c r="M997" i="98"/>
  <c r="M995" i="98"/>
  <c r="M993" i="98"/>
  <c r="M991" i="98"/>
  <c r="M1001" i="98"/>
  <c r="M1007" i="98"/>
  <c r="M1005" i="98"/>
  <c r="M1011" i="98"/>
  <c r="M1017" i="98"/>
  <c r="M1015" i="98"/>
  <c r="M1041" i="98"/>
  <c r="M1039" i="98"/>
  <c r="M1037" i="98"/>
  <c r="M1031" i="98"/>
  <c r="M1029" i="98"/>
  <c r="M1027" i="98"/>
  <c r="M1022" i="98"/>
  <c r="M1025" i="98"/>
  <c r="M1013" i="98"/>
  <c r="M1008" i="98"/>
  <c r="M1003" i="98"/>
  <c r="M998" i="98"/>
  <c r="M989" i="98"/>
  <c r="M987" i="98"/>
  <c r="M985" i="98"/>
  <c r="M1020" i="98"/>
  <c r="M1018" i="98"/>
  <c r="M1035" i="98"/>
  <c r="M1033" i="98"/>
  <c r="M1045" i="98"/>
  <c r="M1043" i="98"/>
  <c r="M1150" i="98"/>
  <c r="M1146" i="98"/>
  <c r="M1144" i="98"/>
  <c r="M1142" i="98"/>
  <c r="M1140" i="98"/>
  <c r="M1138" i="98"/>
  <c r="M1136" i="98"/>
  <c r="M1134" i="98"/>
  <c r="M1132" i="98"/>
  <c r="M1130" i="98"/>
  <c r="M1128" i="98"/>
  <c r="M1124" i="98"/>
  <c r="M1122" i="98"/>
  <c r="M1118" i="98"/>
  <c r="M1116" i="98"/>
  <c r="M1114" i="98"/>
  <c r="M1108" i="98"/>
  <c r="M1106" i="98"/>
  <c r="M1104" i="98"/>
  <c r="M1102" i="98"/>
  <c r="M1100" i="98"/>
  <c r="M1098" i="98"/>
  <c r="M1096" i="98"/>
  <c r="M1094" i="98"/>
  <c r="M1092" i="98"/>
  <c r="M1090" i="98"/>
  <c r="M1088" i="98"/>
  <c r="M1086" i="98"/>
  <c r="M1084" i="98"/>
  <c r="M1080" i="98"/>
  <c r="M1078" i="98"/>
  <c r="M1072" i="98"/>
  <c r="M1068" i="98"/>
  <c r="M1066" i="98"/>
  <c r="M1064" i="98"/>
  <c r="M1062" i="98"/>
  <c r="M1060" i="98"/>
  <c r="M1058" i="98"/>
  <c r="M1056" i="98"/>
  <c r="M1054" i="98"/>
  <c r="M1050" i="98"/>
  <c r="M1048" i="98"/>
  <c r="M1053" i="98"/>
  <c r="M1074" i="98"/>
  <c r="M1070" i="98"/>
  <c r="M1077" i="98"/>
  <c r="M1082" i="98"/>
  <c r="M1111" i="98"/>
  <c r="M1113" i="98"/>
  <c r="M1120" i="98"/>
  <c r="M1126" i="98"/>
  <c r="M1149" i="98"/>
  <c r="M1152" i="98"/>
  <c r="M1154" i="98"/>
  <c r="M996" i="98"/>
  <c r="M994" i="98"/>
  <c r="M992" i="98"/>
  <c r="M1002" i="98"/>
  <c r="M1000" i="98"/>
  <c r="M1006" i="98"/>
  <c r="M1012" i="98"/>
  <c r="M1010" i="98"/>
  <c r="M1016" i="98"/>
  <c r="M1024" i="98"/>
  <c r="M1040" i="98"/>
  <c r="M1038" i="98"/>
  <c r="M1032" i="98"/>
  <c r="M1030" i="98"/>
  <c r="M1028" i="98"/>
  <c r="M1023" i="98"/>
  <c r="M1026" i="98"/>
  <c r="M1014" i="98"/>
  <c r="M1009" i="98"/>
  <c r="M1004" i="98"/>
  <c r="M999" i="98"/>
  <c r="M990" i="98"/>
  <c r="M988" i="98"/>
  <c r="M986" i="98"/>
  <c r="M1021" i="98"/>
  <c r="M1019" i="98"/>
  <c r="M1036" i="98"/>
  <c r="M1034" i="98"/>
  <c r="M1046" i="98"/>
  <c r="M1044" i="98"/>
  <c r="M1042" i="98"/>
  <c r="M1147" i="98"/>
  <c r="M1145" i="98"/>
  <c r="M1143" i="98"/>
  <c r="M1141" i="98"/>
  <c r="M1139" i="98"/>
  <c r="M1137" i="98"/>
  <c r="M1135" i="98"/>
  <c r="M1133" i="98"/>
  <c r="M1131" i="98"/>
  <c r="M1129" i="98"/>
  <c r="M1127" i="98"/>
  <c r="M1123" i="98"/>
  <c r="M1121" i="98"/>
  <c r="M1117" i="98"/>
  <c r="M1115" i="98"/>
  <c r="M1109" i="98"/>
  <c r="M1107" i="98"/>
  <c r="M1105" i="98"/>
  <c r="M1103" i="98"/>
  <c r="M1101" i="98"/>
  <c r="M1099" i="98"/>
  <c r="M1097" i="98"/>
  <c r="M1095" i="98"/>
  <c r="M1093" i="98"/>
  <c r="M1091" i="98"/>
  <c r="M1089" i="98"/>
  <c r="M1087" i="98"/>
  <c r="M1085" i="98"/>
  <c r="M1083" i="98"/>
  <c r="M1079" i="98"/>
  <c r="M1075" i="98"/>
  <c r="M1071" i="98"/>
  <c r="M1067" i="98"/>
  <c r="M1065" i="98"/>
  <c r="M1063" i="98"/>
  <c r="M1061" i="98"/>
  <c r="M1059" i="98"/>
  <c r="M1057" i="98"/>
  <c r="M1055" i="98"/>
  <c r="M1051" i="98"/>
  <c r="M1049" i="98"/>
  <c r="M1047" i="98"/>
  <c r="M1052" i="98"/>
  <c r="M1073" i="98"/>
  <c r="M1069" i="98"/>
  <c r="M1076" i="98"/>
  <c r="M1081" i="98"/>
  <c r="M1110" i="98"/>
  <c r="M1112" i="98"/>
  <c r="M1119" i="98"/>
  <c r="M1125" i="98"/>
  <c r="M1148" i="98"/>
  <c r="M1151" i="98"/>
  <c r="M1153" i="98"/>
  <c r="M1155" i="98"/>
  <c r="M1162" i="98"/>
  <c r="M1172" i="98"/>
  <c r="M1170" i="98"/>
  <c r="M1168" i="98"/>
  <c r="M1174" i="98"/>
  <c r="M1161" i="98"/>
  <c r="M1166" i="98"/>
  <c r="M1176" i="98"/>
  <c r="M1156" i="98"/>
  <c r="M1163" i="98"/>
  <c r="M1165" i="98"/>
  <c r="M1171" i="98"/>
  <c r="M1169" i="98"/>
  <c r="M1167" i="98"/>
  <c r="M1175" i="98"/>
  <c r="M1164" i="98"/>
  <c r="M1173" i="98"/>
  <c r="M1180" i="98"/>
  <c r="M1160" i="98"/>
  <c r="M1159" i="98"/>
  <c r="M1158" i="98"/>
  <c r="M1157" i="98"/>
  <c r="M1177" i="98"/>
  <c r="L229" i="98"/>
  <c r="L3446" i="98"/>
  <c r="M3446" i="98" s="1"/>
  <c r="J147" i="96"/>
  <c r="J179" i="96"/>
  <c r="D10" i="46"/>
  <c r="H222" i="75"/>
  <c r="H139" i="75" s="1"/>
  <c r="H138" i="75" s="1"/>
  <c r="J224" i="75"/>
  <c r="J223" i="75" s="1"/>
  <c r="J222" i="75" s="1"/>
  <c r="J139" i="75" s="1"/>
  <c r="J138" i="75" s="1"/>
  <c r="J6" i="75" s="1"/>
  <c r="I223" i="75"/>
  <c r="I222" i="75" s="1"/>
  <c r="I139" i="75" s="1"/>
  <c r="I138" i="75" s="1"/>
  <c r="I6" i="75" s="1"/>
  <c r="J176" i="96"/>
  <c r="J90" i="96"/>
  <c r="J134" i="96"/>
  <c r="J86" i="96"/>
  <c r="J31" i="96"/>
  <c r="J59" i="96"/>
  <c r="J55" i="96"/>
  <c r="J169" i="96"/>
  <c r="J47" i="96"/>
  <c r="J136" i="96"/>
  <c r="J64" i="96"/>
  <c r="J100" i="96"/>
  <c r="J180" i="96"/>
  <c r="J88" i="96"/>
  <c r="J131" i="96"/>
  <c r="J39" i="96"/>
  <c r="J163" i="96"/>
  <c r="J73" i="96"/>
  <c r="J70" i="96"/>
  <c r="J60" i="96"/>
  <c r="J76" i="96"/>
  <c r="J145" i="96"/>
  <c r="J101" i="96"/>
  <c r="J135" i="96"/>
  <c r="J139" i="96"/>
  <c r="J63" i="96"/>
  <c r="J126" i="96"/>
  <c r="J165" i="96"/>
  <c r="J124" i="96"/>
  <c r="J71" i="96"/>
  <c r="J84" i="96"/>
  <c r="J51" i="96"/>
  <c r="J81" i="96"/>
  <c r="J140" i="96"/>
  <c r="J125" i="96"/>
  <c r="J128" i="96"/>
  <c r="J78" i="96"/>
  <c r="J25" i="96"/>
  <c r="J18" i="96"/>
  <c r="J105" i="96"/>
  <c r="J129" i="96"/>
  <c r="J146" i="96"/>
  <c r="J108" i="96"/>
  <c r="J32" i="96"/>
  <c r="J62" i="96"/>
  <c r="J26" i="96"/>
  <c r="J143" i="96"/>
  <c r="J98" i="96"/>
  <c r="J40" i="96"/>
  <c r="J58" i="96"/>
  <c r="J173" i="96"/>
  <c r="J122" i="96"/>
  <c r="J157" i="96"/>
  <c r="J95" i="96"/>
  <c r="J141" i="96"/>
  <c r="J94" i="96"/>
  <c r="J111" i="96"/>
  <c r="J119" i="96"/>
  <c r="J89" i="96"/>
  <c r="J156" i="96"/>
  <c r="J149" i="96"/>
  <c r="J11" i="96"/>
  <c r="J161" i="96"/>
  <c r="J167" i="96"/>
  <c r="J79" i="96"/>
  <c r="J181" i="96"/>
  <c r="J116" i="96"/>
  <c r="J118" i="96"/>
  <c r="J166" i="96"/>
  <c r="J160" i="96"/>
  <c r="J27" i="96"/>
  <c r="J117" i="96"/>
  <c r="J19" i="96"/>
  <c r="J110" i="96"/>
  <c r="J24" i="96"/>
  <c r="J82" i="96"/>
  <c r="J142" i="96"/>
  <c r="J103" i="96"/>
  <c r="J41" i="96"/>
  <c r="J178" i="96"/>
  <c r="J74" i="96"/>
  <c r="J97" i="96"/>
  <c r="J33" i="96"/>
  <c r="J16" i="96"/>
  <c r="J168" i="96"/>
  <c r="J29" i="96"/>
  <c r="J177" i="96"/>
  <c r="J102" i="96"/>
  <c r="J22" i="96"/>
  <c r="J153" i="96"/>
  <c r="J127" i="96"/>
  <c r="J113" i="96"/>
  <c r="J87" i="96"/>
  <c r="J13" i="96"/>
  <c r="J138" i="96"/>
  <c r="J93" i="96"/>
  <c r="J17" i="96"/>
  <c r="J28" i="96"/>
  <c r="J69" i="96"/>
  <c r="J107" i="96"/>
  <c r="J49" i="96"/>
  <c r="J53" i="96"/>
  <c r="J104" i="96"/>
  <c r="J99" i="96"/>
  <c r="J162" i="96"/>
  <c r="J61" i="96"/>
  <c r="J67" i="96"/>
  <c r="J9" i="96"/>
  <c r="J46" i="96"/>
  <c r="J144" i="96"/>
  <c r="J112" i="96"/>
  <c r="J12" i="96"/>
  <c r="J20" i="96"/>
  <c r="J170" i="96"/>
  <c r="J164" i="96"/>
  <c r="J109" i="96"/>
  <c r="J175" i="96"/>
  <c r="J15" i="96"/>
  <c r="J75" i="96"/>
  <c r="J35" i="96"/>
  <c r="J36" i="96"/>
  <c r="J106" i="96"/>
  <c r="J38" i="96"/>
  <c r="J30" i="96"/>
  <c r="J85" i="96"/>
  <c r="J121" i="96"/>
  <c r="J114" i="96"/>
  <c r="J80" i="96"/>
  <c r="J158" i="96"/>
  <c r="J65" i="96"/>
  <c r="J150" i="96"/>
  <c r="J133" i="96"/>
  <c r="J14" i="96"/>
  <c r="J43" i="96"/>
  <c r="J56" i="96"/>
  <c r="J72" i="96"/>
  <c r="J21" i="96"/>
  <c r="J77" i="96"/>
  <c r="J91" i="96"/>
  <c r="J34" i="96"/>
  <c r="J151" i="96"/>
  <c r="J37" i="96"/>
  <c r="J120" i="96"/>
  <c r="J54" i="96"/>
  <c r="J159" i="96"/>
  <c r="J68" i="96"/>
  <c r="J10" i="96"/>
  <c r="J50" i="96"/>
  <c r="J92" i="96"/>
  <c r="J57" i="96"/>
  <c r="J174" i="96"/>
  <c r="J66" i="96"/>
  <c r="J155" i="96"/>
  <c r="J48" i="96"/>
  <c r="J23" i="96"/>
  <c r="J132" i="96"/>
  <c r="J44" i="96"/>
  <c r="J45" i="96"/>
  <c r="J42" i="96"/>
  <c r="J123" i="96"/>
  <c r="J154" i="96"/>
  <c r="J52" i="96"/>
  <c r="J137" i="96"/>
  <c r="J183" i="96"/>
  <c r="J186" i="96" s="1"/>
  <c r="J188" i="96" s="1"/>
  <c r="J83" i="96"/>
  <c r="J152" i="96"/>
  <c r="J130" i="96"/>
  <c r="J115" i="96"/>
  <c r="J96" i="96"/>
  <c r="J182" i="96"/>
  <c r="J148" i="96"/>
  <c r="L1314" i="98"/>
  <c r="L2203" i="98"/>
  <c r="M2203" i="98" s="1"/>
  <c r="L450" i="100" l="1"/>
  <c r="L451" i="100"/>
  <c r="L424" i="100"/>
  <c r="L425" i="100"/>
  <c r="L423" i="100"/>
  <c r="L443" i="100"/>
  <c r="L299" i="100"/>
  <c r="L444" i="100"/>
  <c r="L447" i="100"/>
  <c r="L301" i="100"/>
  <c r="L453" i="100"/>
  <c r="L438" i="100"/>
  <c r="L303" i="100"/>
  <c r="L435" i="100"/>
  <c r="L445" i="100"/>
  <c r="L302" i="100"/>
  <c r="L300" i="100"/>
  <c r="L434" i="100"/>
  <c r="L433" i="100"/>
  <c r="L428" i="100"/>
  <c r="L452" i="100"/>
  <c r="L427" i="100"/>
  <c r="L437" i="100"/>
  <c r="L446" i="100"/>
  <c r="L442" i="100"/>
  <c r="L252" i="100"/>
  <c r="L311" i="100"/>
  <c r="L374" i="100"/>
  <c r="L296" i="100"/>
  <c r="L329" i="100"/>
  <c r="L260" i="100"/>
  <c r="L413" i="100"/>
  <c r="L408" i="100"/>
  <c r="L261" i="100"/>
  <c r="L339" i="100"/>
  <c r="L286" i="100"/>
  <c r="L318" i="100"/>
  <c r="L285" i="100"/>
  <c r="L276" i="100"/>
  <c r="L330" i="100"/>
  <c r="L320" i="100"/>
  <c r="L404" i="100"/>
  <c r="L366" i="100"/>
  <c r="L378" i="100"/>
  <c r="L406" i="100"/>
  <c r="L309" i="100"/>
  <c r="L343" i="100"/>
  <c r="L418" i="100"/>
  <c r="L365" i="100"/>
  <c r="L377" i="100"/>
  <c r="L244" i="100"/>
  <c r="L241" i="100"/>
  <c r="L351" i="100"/>
  <c r="L387" i="100"/>
  <c r="L441" i="100"/>
  <c r="L272" i="100"/>
  <c r="L298" i="100"/>
  <c r="L394" i="100"/>
  <c r="L243" i="100"/>
  <c r="L262" i="100"/>
  <c r="L259" i="100"/>
  <c r="L310" i="100"/>
  <c r="L328" i="100"/>
  <c r="L384" i="100"/>
  <c r="L375" i="100"/>
  <c r="L297" i="100"/>
  <c r="L407" i="100"/>
  <c r="L344" i="100"/>
  <c r="L386" i="100"/>
  <c r="L240" i="100"/>
  <c r="L295" i="100"/>
  <c r="L313" i="100"/>
  <c r="L379" i="100"/>
  <c r="L250" i="100"/>
  <c r="L395" i="100"/>
  <c r="L242" i="100"/>
  <c r="L280" i="100"/>
  <c r="L405" i="100"/>
  <c r="L273" i="100"/>
  <c r="L249" i="100"/>
  <c r="L277" i="100"/>
  <c r="L367" i="100"/>
  <c r="L275" i="100"/>
  <c r="L360" i="100"/>
  <c r="L279" i="100"/>
  <c r="L397" i="100"/>
  <c r="L342" i="100"/>
  <c r="L417" i="100"/>
  <c r="L416" i="100"/>
  <c r="L287" i="100"/>
  <c r="L319" i="100"/>
  <c r="L321" i="100"/>
  <c r="L274" i="100"/>
  <c r="L333" i="100"/>
  <c r="L368" i="100"/>
  <c r="L376" i="100"/>
  <c r="L398" i="100"/>
  <c r="L253" i="100"/>
  <c r="L341" i="100"/>
  <c r="L396" i="100"/>
  <c r="L294" i="100"/>
  <c r="L332" i="100"/>
  <c r="L350" i="100"/>
  <c r="L288" i="100"/>
  <c r="L331" i="100"/>
  <c r="L323" i="100"/>
  <c r="L258" i="100"/>
  <c r="L389" i="100"/>
  <c r="L322" i="100"/>
  <c r="L352" i="100"/>
  <c r="L388" i="100"/>
  <c r="L403" i="100"/>
  <c r="L414" i="100"/>
  <c r="L340" i="100"/>
  <c r="L353" i="100"/>
  <c r="L354" i="100"/>
  <c r="L308" i="100"/>
  <c r="L289" i="100"/>
  <c r="L415" i="100"/>
  <c r="L251" i="100"/>
  <c r="L385" i="100"/>
  <c r="L369" i="100"/>
  <c r="L312" i="100"/>
  <c r="L345" i="100"/>
  <c r="L355" i="100"/>
  <c r="L440" i="100"/>
  <c r="L307" i="100"/>
  <c r="L317" i="100"/>
  <c r="L412" i="100"/>
  <c r="L338" i="100"/>
  <c r="L373" i="100"/>
  <c r="L359" i="100"/>
  <c r="L270" i="100"/>
  <c r="L257" i="100"/>
  <c r="L239" i="100"/>
  <c r="L327" i="100"/>
  <c r="L364" i="100"/>
  <c r="L268" i="100"/>
  <c r="L284" i="100"/>
  <c r="L393" i="100"/>
  <c r="L248" i="100"/>
  <c r="L278" i="100"/>
  <c r="L349" i="100"/>
  <c r="L402" i="100"/>
  <c r="L271" i="100"/>
  <c r="L383" i="100"/>
  <c r="L267" i="100"/>
  <c r="L293" i="100"/>
  <c r="L411" i="100"/>
  <c r="L256" i="100"/>
  <c r="L269" i="100"/>
  <c r="L292" i="100"/>
  <c r="L439" i="100"/>
  <c r="L401" i="100"/>
  <c r="L283" i="100"/>
  <c r="L363" i="100"/>
  <c r="L316" i="100"/>
  <c r="L337" i="100"/>
  <c r="L392" i="100"/>
  <c r="L326" i="100"/>
  <c r="L238" i="100"/>
  <c r="L348" i="100"/>
  <c r="L247" i="100"/>
  <c r="L372" i="100"/>
  <c r="L306" i="100"/>
  <c r="L358" i="100"/>
  <c r="L382" i="100"/>
  <c r="L255" i="100"/>
  <c r="L371" i="100"/>
  <c r="L347" i="100"/>
  <c r="L237" i="100"/>
  <c r="L336" i="100"/>
  <c r="L400" i="100"/>
  <c r="L391" i="100"/>
  <c r="L357" i="100"/>
  <c r="L246" i="100"/>
  <c r="L266" i="100"/>
  <c r="L410" i="100"/>
  <c r="L305" i="100"/>
  <c r="L315" i="100"/>
  <c r="L362" i="100"/>
  <c r="L282" i="100"/>
  <c r="L381" i="100"/>
  <c r="L291" i="100"/>
  <c r="L325" i="100"/>
  <c r="L236" i="100"/>
  <c r="L370" i="100"/>
  <c r="L290" i="100"/>
  <c r="L380" i="100"/>
  <c r="L409" i="100"/>
  <c r="L265" i="100"/>
  <c r="L335" i="100"/>
  <c r="L304" i="100"/>
  <c r="L390" i="100"/>
  <c r="L399" i="100"/>
  <c r="L356" i="100"/>
  <c r="L281" i="100"/>
  <c r="L436" i="100"/>
  <c r="L346" i="100"/>
  <c r="L254" i="100"/>
  <c r="L245" i="100"/>
  <c r="L361" i="100"/>
  <c r="L314" i="100"/>
  <c r="L324" i="100"/>
  <c r="L264" i="100"/>
  <c r="L432" i="100"/>
  <c r="L334" i="100"/>
  <c r="L426" i="100"/>
  <c r="L431" i="100"/>
  <c r="L263" i="100"/>
  <c r="L422" i="100"/>
  <c r="L421" i="100"/>
  <c r="L430" i="100"/>
  <c r="L420" i="100"/>
  <c r="L429" i="100"/>
  <c r="L159" i="100"/>
  <c r="L419" i="100"/>
  <c r="L2748" i="98"/>
  <c r="M2746" i="98" s="1"/>
  <c r="L2711" i="98"/>
  <c r="M2709" i="98" s="1"/>
  <c r="L448" i="100"/>
  <c r="K229" i="100"/>
  <c r="K230" i="100" s="1"/>
  <c r="M2098" i="98"/>
  <c r="M2094" i="98"/>
  <c r="M2092" i="98"/>
  <c r="M2072" i="98"/>
  <c r="M2068" i="98"/>
  <c r="M2065" i="98"/>
  <c r="M2063" i="98"/>
  <c r="M2100" i="98"/>
  <c r="M2096" i="98"/>
  <c r="M2093" i="98"/>
  <c r="M2091" i="98"/>
  <c r="M2070" i="98"/>
  <c r="M2066" i="98"/>
  <c r="M2064" i="98"/>
  <c r="M2044" i="98"/>
  <c r="M2040" i="98"/>
  <c r="M2037" i="98"/>
  <c r="M2035" i="98"/>
  <c r="M2013" i="98"/>
  <c r="M2011" i="98"/>
  <c r="M2010" i="98"/>
  <c r="M1993" i="98"/>
  <c r="M1991" i="98"/>
  <c r="M1981" i="98"/>
  <c r="M1977" i="98"/>
  <c r="M1974" i="98"/>
  <c r="M1972" i="98"/>
  <c r="M2121" i="98"/>
  <c r="M2153" i="98"/>
  <c r="M2042" i="98"/>
  <c r="M2038" i="98"/>
  <c r="M2036" i="98"/>
  <c r="M2015" i="98"/>
  <c r="M2012" i="98"/>
  <c r="M1995" i="98"/>
  <c r="M1992" i="98"/>
  <c r="M1990" i="98"/>
  <c r="M1979" i="98"/>
  <c r="M1975" i="98"/>
  <c r="M1973" i="98"/>
  <c r="M2123" i="98"/>
  <c r="M2119" i="98"/>
  <c r="M2116" i="98"/>
  <c r="M1953" i="98"/>
  <c r="M1935" i="98"/>
  <c r="M1938" i="98"/>
  <c r="M1986" i="98"/>
  <c r="M2031" i="98"/>
  <c r="M2032" i="98"/>
  <c r="M1988" i="98"/>
  <c r="M2033" i="98"/>
  <c r="M1989" i="98"/>
  <c r="M2030" i="98"/>
  <c r="M2057" i="98"/>
  <c r="M2058" i="98"/>
  <c r="M2088" i="98"/>
  <c r="M2099" i="98"/>
  <c r="M2086" i="98"/>
  <c r="M2111" i="98"/>
  <c r="M2124" i="98"/>
  <c r="M2129" i="98"/>
  <c r="M2001" i="98"/>
  <c r="M2122" i="98"/>
  <c r="M2142" i="98"/>
  <c r="M1942" i="98"/>
  <c r="M1937" i="98"/>
  <c r="M1943" i="98"/>
  <c r="M1945" i="98"/>
  <c r="M1996" i="98"/>
  <c r="M1967" i="98"/>
  <c r="M2028" i="98"/>
  <c r="M1980" i="98"/>
  <c r="M2029" i="98"/>
  <c r="M1968" i="98"/>
  <c r="M2016" i="98"/>
  <c r="M2059" i="98"/>
  <c r="M2087" i="98"/>
  <c r="M2084" i="98"/>
  <c r="M2089" i="98"/>
  <c r="M2069" i="98"/>
  <c r="M2120" i="98"/>
  <c r="M2117" i="98"/>
  <c r="M2135" i="98"/>
  <c r="M2148" i="98"/>
  <c r="M1946" i="98"/>
  <c r="M1950" i="98"/>
  <c r="M1944" i="98"/>
  <c r="M1954" i="98"/>
  <c r="M1952" i="98"/>
  <c r="M2007" i="98"/>
  <c r="M2008" i="98"/>
  <c r="M1969" i="98"/>
  <c r="M2014" i="98"/>
  <c r="M1965" i="98"/>
  <c r="M2006" i="98"/>
  <c r="M2045" i="98"/>
  <c r="M2071" i="98"/>
  <c r="M2073" i="98"/>
  <c r="M2085" i="98"/>
  <c r="M2060" i="98"/>
  <c r="M2101" i="98"/>
  <c r="M2112" i="98"/>
  <c r="M2130" i="98"/>
  <c r="M2114" i="98"/>
  <c r="M2147" i="98"/>
  <c r="M1970" i="98"/>
  <c r="M1936" i="98"/>
  <c r="M1951" i="98"/>
  <c r="M1934" i="98"/>
  <c r="M1966" i="98"/>
  <c r="M2017" i="98"/>
  <c r="M1987" i="98"/>
  <c r="M2041" i="98"/>
  <c r="M2009" i="98"/>
  <c r="M2043" i="98"/>
  <c r="M1994" i="98"/>
  <c r="M2034" i="98"/>
  <c r="M2061" i="98"/>
  <c r="M2062" i="98"/>
  <c r="M2097" i="98"/>
  <c r="M2056" i="98"/>
  <c r="M2090" i="98"/>
  <c r="M2113" i="98"/>
  <c r="M2136" i="98"/>
  <c r="M2141" i="98"/>
  <c r="M2115" i="98"/>
  <c r="M1971" i="98"/>
  <c r="M1961" i="98"/>
  <c r="M1976" i="98"/>
  <c r="M2078" i="98"/>
  <c r="M2082" i="98"/>
  <c r="M2052" i="98"/>
  <c r="M2110" i="98"/>
  <c r="M1933" i="98"/>
  <c r="M2118" i="98"/>
  <c r="M2079" i="98"/>
  <c r="M1985" i="98"/>
  <c r="M2022" i="98"/>
  <c r="M1963" i="98"/>
  <c r="M2039" i="98"/>
  <c r="M2054" i="98"/>
  <c r="M2050" i="98"/>
  <c r="M2109" i="98"/>
  <c r="M1941" i="98"/>
  <c r="M2051" i="98"/>
  <c r="M1960" i="98"/>
  <c r="M2027" i="98"/>
  <c r="M1964" i="98"/>
  <c r="M2095" i="98"/>
  <c r="M2080" i="98"/>
  <c r="M2106" i="98"/>
  <c r="M2005" i="98"/>
  <c r="M2023" i="98"/>
  <c r="M2140" i="98"/>
  <c r="M2024" i="98"/>
  <c r="M2026" i="98"/>
  <c r="M2067" i="98"/>
  <c r="M2055" i="98"/>
  <c r="M2083" i="98"/>
  <c r="M2107" i="98"/>
  <c r="M1949" i="98"/>
  <c r="M1959" i="98"/>
  <c r="M2151" i="98"/>
  <c r="M2025" i="98"/>
  <c r="M1962" i="98"/>
  <c r="M2108" i="98"/>
  <c r="M2053" i="98"/>
  <c r="M2081" i="98"/>
  <c r="M1958" i="98"/>
  <c r="M2077" i="98"/>
  <c r="M2105" i="98"/>
  <c r="M2021" i="98"/>
  <c r="M2049" i="98"/>
  <c r="M1932" i="98"/>
  <c r="M1948" i="98"/>
  <c r="M1940" i="98"/>
  <c r="M2134" i="98"/>
  <c r="M2000" i="98"/>
  <c r="M1947" i="98"/>
  <c r="M1931" i="98"/>
  <c r="M2146" i="98"/>
  <c r="M2139" i="98"/>
  <c r="M2128" i="98"/>
  <c r="M1939" i="98"/>
  <c r="M2104" i="98"/>
  <c r="M1930" i="98"/>
  <c r="M1999" i="98"/>
  <c r="M2004" i="98"/>
  <c r="M2048" i="98"/>
  <c r="M1984" i="98"/>
  <c r="M2076" i="98"/>
  <c r="M2020" i="98"/>
  <c r="M2127" i="98"/>
  <c r="M2138" i="98"/>
  <c r="M2145" i="98"/>
  <c r="M2133" i="98"/>
  <c r="M2137" i="98"/>
  <c r="M2103" i="98"/>
  <c r="M1957" i="98"/>
  <c r="M2126" i="98"/>
  <c r="M2019" i="98"/>
  <c r="M2075" i="98"/>
  <c r="M1983" i="98"/>
  <c r="M2047" i="98"/>
  <c r="M2003" i="98"/>
  <c r="M2132" i="98"/>
  <c r="M1998" i="98"/>
  <c r="M2144" i="98"/>
  <c r="M2074" i="98"/>
  <c r="M2125" i="98"/>
  <c r="M1955" i="98"/>
  <c r="M2149" i="98"/>
  <c r="M1997" i="98"/>
  <c r="M2002" i="98"/>
  <c r="M1982" i="98"/>
  <c r="M2102" i="98"/>
  <c r="M2018" i="98"/>
  <c r="M1956" i="98"/>
  <c r="M2143" i="98"/>
  <c r="M2131" i="98"/>
  <c r="M2046" i="98"/>
  <c r="M2354" i="98"/>
  <c r="M2152" i="98"/>
  <c r="M1598" i="98"/>
  <c r="M1594" i="98"/>
  <c r="M1592" i="98"/>
  <c r="M1589" i="98"/>
  <c r="M1587" i="98"/>
  <c r="M1585" i="98"/>
  <c r="M1583" i="98"/>
  <c r="M1581" i="98"/>
  <c r="M1579" i="98"/>
  <c r="M1577" i="98"/>
  <c r="M1574" i="98"/>
  <c r="M1572" i="98"/>
  <c r="M1570" i="98"/>
  <c r="M1567" i="98"/>
  <c r="M1565" i="98"/>
  <c r="M1561" i="98"/>
  <c r="M1559" i="98"/>
  <c r="M1557" i="98"/>
  <c r="M1555" i="98"/>
  <c r="M1553" i="98"/>
  <c r="M1551" i="98"/>
  <c r="M1549" i="98"/>
  <c r="M1547" i="98"/>
  <c r="M1545" i="98"/>
  <c r="M1543" i="98"/>
  <c r="M1541" i="98"/>
  <c r="M1539" i="98"/>
  <c r="M1536" i="98"/>
  <c r="M1534" i="98"/>
  <c r="M1531" i="98"/>
  <c r="M1596" i="98"/>
  <c r="M1593" i="98"/>
  <c r="M1591" i="98"/>
  <c r="M1588" i="98"/>
  <c r="M1586" i="98"/>
  <c r="M1584" i="98"/>
  <c r="M1582" i="98"/>
  <c r="M1580" i="98"/>
  <c r="M1578" i="98"/>
  <c r="M1576" i="98"/>
  <c r="M1573" i="98"/>
  <c r="M1571" i="98"/>
  <c r="M1568" i="98"/>
  <c r="M1566" i="98"/>
  <c r="M1563" i="98"/>
  <c r="M1560" i="98"/>
  <c r="M1558" i="98"/>
  <c r="M1556" i="98"/>
  <c r="M1554" i="98"/>
  <c r="M1552" i="98"/>
  <c r="M1550" i="98"/>
  <c r="M1548" i="98"/>
  <c r="M1546" i="98"/>
  <c r="M1544" i="98"/>
  <c r="M1542" i="98"/>
  <c r="M1540" i="98"/>
  <c r="M1538" i="98"/>
  <c r="M1535" i="98"/>
  <c r="M1533" i="98"/>
  <c r="M1529" i="98"/>
  <c r="M1604" i="98"/>
  <c r="M1597" i="98"/>
  <c r="M1569" i="98"/>
  <c r="M1562" i="98"/>
  <c r="M1564" i="98"/>
  <c r="M1537" i="98"/>
  <c r="M1590" i="98"/>
  <c r="M1575" i="98"/>
  <c r="M1599" i="98"/>
  <c r="M1600" i="98"/>
  <c r="M1532" i="98"/>
  <c r="M1528" i="98"/>
  <c r="M1595" i="98"/>
  <c r="M1530" i="98"/>
  <c r="M1527" i="98"/>
  <c r="M1526" i="98"/>
  <c r="M1525" i="98"/>
  <c r="M1524" i="98"/>
  <c r="M1601" i="98"/>
  <c r="L230" i="98"/>
  <c r="M229" i="98" s="1"/>
  <c r="L3445" i="98"/>
  <c r="M3445" i="98" s="1"/>
  <c r="L1313" i="98"/>
  <c r="I444" i="75"/>
  <c r="I5" i="75"/>
  <c r="J444" i="75"/>
  <c r="J5" i="75"/>
  <c r="L2202" i="98"/>
  <c r="M2202" i="98" s="1"/>
  <c r="L1267" i="98"/>
  <c r="L1452" i="98"/>
  <c r="E15" i="15"/>
  <c r="E13" i="15" s="1"/>
  <c r="E20" i="15" s="1"/>
  <c r="G12" i="14"/>
  <c r="H6" i="75"/>
  <c r="H444" i="75" s="1"/>
  <c r="M2277" i="98"/>
  <c r="M2281" i="98"/>
  <c r="M2286" i="98"/>
  <c r="M2291" i="98"/>
  <c r="M1978" i="98"/>
  <c r="M2250" i="98"/>
  <c r="M2264" i="98"/>
  <c r="M2285" i="98"/>
  <c r="M2267" i="98"/>
  <c r="M2269" i="98"/>
  <c r="M2260" i="98"/>
  <c r="M2287" i="98"/>
  <c r="M2282" i="98"/>
  <c r="M2254" i="98"/>
  <c r="M2271" i="98"/>
  <c r="M2279" i="98"/>
  <c r="M2280" i="98"/>
  <c r="M2257" i="98"/>
  <c r="M2292" i="98"/>
  <c r="M2274" i="98"/>
  <c r="M2290" i="98"/>
  <c r="M2284" i="98"/>
  <c r="M2659" i="98"/>
  <c r="M2283" i="98"/>
  <c r="M2289" i="98"/>
  <c r="M2262" i="98"/>
  <c r="M2266" i="98"/>
  <c r="M2293" i="98"/>
  <c r="M2278" i="98"/>
  <c r="M2252" i="98"/>
  <c r="M2268" i="98"/>
  <c r="M2249" i="98"/>
  <c r="M2253" i="98"/>
  <c r="M2259" i="98"/>
  <c r="M2288" i="98"/>
  <c r="M2273" i="98"/>
  <c r="M2275" i="98"/>
  <c r="M2251" i="98"/>
  <c r="M2272" i="98"/>
  <c r="M2263" i="98"/>
  <c r="M2265" i="98"/>
  <c r="M2270" i="98"/>
  <c r="M2276" i="98"/>
  <c r="M2255" i="98"/>
  <c r="M2258" i="98"/>
  <c r="M2294" i="98"/>
  <c r="M2248" i="98"/>
  <c r="M2256" i="98"/>
  <c r="M2247" i="98"/>
  <c r="M2246" i="98"/>
  <c r="M2245" i="98"/>
  <c r="L957" i="98"/>
  <c r="G5" i="14" l="1"/>
  <c r="G29" i="14" s="1"/>
  <c r="L189" i="100"/>
  <c r="L227" i="100"/>
  <c r="M2748" i="98"/>
  <c r="M2747" i="98"/>
  <c r="M2724" i="98"/>
  <c r="M2730" i="98"/>
  <c r="M2722" i="98"/>
  <c r="M2733" i="98"/>
  <c r="M2727" i="98"/>
  <c r="M2726" i="98"/>
  <c r="M2725" i="98"/>
  <c r="M2731" i="98"/>
  <c r="M2728" i="98"/>
  <c r="M2723" i="98"/>
  <c r="M2732" i="98"/>
  <c r="M2729" i="98"/>
  <c r="M2721" i="98"/>
  <c r="M2742" i="98"/>
  <c r="M2741" i="98"/>
  <c r="M2739" i="98"/>
  <c r="M2740" i="98"/>
  <c r="M2738" i="98"/>
  <c r="M2743" i="98"/>
  <c r="M2744" i="98"/>
  <c r="M2737" i="98"/>
  <c r="M2736" i="98"/>
  <c r="M2735" i="98"/>
  <c r="M2720" i="98"/>
  <c r="M2734" i="98"/>
  <c r="M2719" i="98"/>
  <c r="M2718" i="98"/>
  <c r="M2745" i="98"/>
  <c r="L161" i="100"/>
  <c r="L142" i="100"/>
  <c r="L145" i="100"/>
  <c r="L160" i="100"/>
  <c r="L143" i="100"/>
  <c r="L144" i="100"/>
  <c r="L147" i="100"/>
  <c r="L146" i="100"/>
  <c r="L141" i="100"/>
  <c r="L117" i="100"/>
  <c r="L99" i="100"/>
  <c r="L97" i="100"/>
  <c r="L136" i="100"/>
  <c r="L115" i="100"/>
  <c r="L109" i="100"/>
  <c r="L133" i="100"/>
  <c r="L154" i="100"/>
  <c r="L107" i="100"/>
  <c r="L108" i="100"/>
  <c r="L100" i="100"/>
  <c r="L132" i="100"/>
  <c r="L131" i="100"/>
  <c r="L153" i="100"/>
  <c r="L128" i="100"/>
  <c r="L118" i="100"/>
  <c r="L106" i="100"/>
  <c r="L129" i="100"/>
  <c r="L156" i="100"/>
  <c r="L140" i="100"/>
  <c r="L98" i="100"/>
  <c r="L137" i="100"/>
  <c r="L116" i="100"/>
  <c r="L155" i="100"/>
  <c r="L152" i="100"/>
  <c r="L134" i="100"/>
  <c r="L130" i="100"/>
  <c r="L126" i="100"/>
  <c r="L124" i="100"/>
  <c r="L123" i="100"/>
  <c r="L135" i="100"/>
  <c r="L139" i="100"/>
  <c r="L151" i="100"/>
  <c r="L127" i="100"/>
  <c r="L138" i="100"/>
  <c r="L125" i="100"/>
  <c r="L150" i="100"/>
  <c r="L149" i="100"/>
  <c r="L122" i="100"/>
  <c r="L121" i="100"/>
  <c r="L148" i="100"/>
  <c r="L96" i="100"/>
  <c r="L105" i="100"/>
  <c r="L120" i="100"/>
  <c r="L114" i="100"/>
  <c r="L113" i="100"/>
  <c r="L95" i="100"/>
  <c r="L119" i="100"/>
  <c r="L104" i="100"/>
  <c r="L112" i="100"/>
  <c r="L103" i="100"/>
  <c r="L94" i="100"/>
  <c r="L111" i="100"/>
  <c r="L102" i="100"/>
  <c r="L93" i="100"/>
  <c r="L110" i="100"/>
  <c r="L92" i="100"/>
  <c r="L101" i="100"/>
  <c r="L157" i="100"/>
  <c r="M2636" i="98"/>
  <c r="M2632" i="98"/>
  <c r="M2628" i="98"/>
  <c r="M2645" i="98"/>
  <c r="M2641" i="98"/>
  <c r="M2656" i="98"/>
  <c r="M2652" i="98"/>
  <c r="M2668" i="98"/>
  <c r="M2664" i="98"/>
  <c r="M2679" i="98"/>
  <c r="M2675" i="98"/>
  <c r="M2671" i="98"/>
  <c r="M2692" i="98"/>
  <c r="M2688" i="98"/>
  <c r="M2684" i="98"/>
  <c r="M2661" i="98"/>
  <c r="M2622" i="98"/>
  <c r="M2618" i="98"/>
  <c r="M2635" i="98"/>
  <c r="M2633" i="98"/>
  <c r="M2629" i="98"/>
  <c r="M2646" i="98"/>
  <c r="M2642" i="98"/>
  <c r="M2657" i="98"/>
  <c r="M2653" i="98"/>
  <c r="M2669" i="98"/>
  <c r="M2665" i="98"/>
  <c r="M2680" i="98"/>
  <c r="M2676" i="98"/>
  <c r="M2672" i="98"/>
  <c r="M2693" i="98"/>
  <c r="M2689" i="98"/>
  <c r="M2685" i="98"/>
  <c r="M2627" i="98"/>
  <c r="M2623" i="98"/>
  <c r="M2619" i="98"/>
  <c r="M2711" i="98"/>
  <c r="M2631" i="98"/>
  <c r="M2634" i="98"/>
  <c r="M2644" i="98"/>
  <c r="M2655" i="98"/>
  <c r="M2667" i="98"/>
  <c r="M2678" i="98"/>
  <c r="M2695" i="98"/>
  <c r="M2687" i="98"/>
  <c r="M2625" i="98"/>
  <c r="M2617" i="98"/>
  <c r="M2630" i="98"/>
  <c r="M2666" i="98"/>
  <c r="M2686" i="98"/>
  <c r="M2616" i="98"/>
  <c r="M2648" i="98"/>
  <c r="M2651" i="98"/>
  <c r="M2674" i="98"/>
  <c r="M2621" i="98"/>
  <c r="M2647" i="98"/>
  <c r="M2658" i="98"/>
  <c r="M2670" i="98"/>
  <c r="M2662" i="98"/>
  <c r="M2673" i="98"/>
  <c r="M2690" i="98"/>
  <c r="M2682" i="98"/>
  <c r="M2620" i="98"/>
  <c r="M2643" i="98"/>
  <c r="M2654" i="98"/>
  <c r="M2677" i="98"/>
  <c r="M2694" i="98"/>
  <c r="M2650" i="98"/>
  <c r="M2624" i="98"/>
  <c r="M2640" i="98"/>
  <c r="M2663" i="98"/>
  <c r="M2691" i="98"/>
  <c r="M2639" i="98"/>
  <c r="M2710" i="98"/>
  <c r="M2700" i="98"/>
  <c r="M2706" i="98"/>
  <c r="M2703" i="98"/>
  <c r="M2704" i="98"/>
  <c r="M2702" i="98"/>
  <c r="M2701" i="98"/>
  <c r="M2705" i="98"/>
  <c r="M2707" i="98"/>
  <c r="M2699" i="98"/>
  <c r="M2589" i="98"/>
  <c r="M2660" i="98"/>
  <c r="M2605" i="98"/>
  <c r="M2607" i="98"/>
  <c r="M2615" i="98"/>
  <c r="M2681" i="98"/>
  <c r="M2590" i="98"/>
  <c r="M2626" i="98"/>
  <c r="M2638" i="98"/>
  <c r="M2604" i="98"/>
  <c r="M2591" i="98"/>
  <c r="M2649" i="98"/>
  <c r="M2606" i="98"/>
  <c r="M2601" i="98"/>
  <c r="M2609" i="98"/>
  <c r="M2683" i="98"/>
  <c r="M2637" i="98"/>
  <c r="M2587" i="98"/>
  <c r="M2602" i="98"/>
  <c r="M2588" i="98"/>
  <c r="M2610" i="98"/>
  <c r="M2603" i="98"/>
  <c r="M2599" i="98"/>
  <c r="M2586" i="98"/>
  <c r="M2597" i="98"/>
  <c r="M2608" i="98"/>
  <c r="M2614" i="98"/>
  <c r="M2596" i="98"/>
  <c r="M2600" i="98"/>
  <c r="M2598" i="98"/>
  <c r="M2595" i="98"/>
  <c r="M2585" i="98"/>
  <c r="M2594" i="98"/>
  <c r="M2584" i="98"/>
  <c r="M2592" i="98"/>
  <c r="M2593" i="98"/>
  <c r="M2698" i="98"/>
  <c r="M2583" i="98"/>
  <c r="M2697" i="98"/>
  <c r="M2613" i="98"/>
  <c r="M2612" i="98"/>
  <c r="M2696" i="98"/>
  <c r="M2611" i="98"/>
  <c r="M2708" i="98"/>
  <c r="L229" i="100"/>
  <c r="L230" i="100"/>
  <c r="L223" i="100"/>
  <c r="L214" i="100"/>
  <c r="L200" i="100"/>
  <c r="L225" i="100"/>
  <c r="L185" i="100"/>
  <c r="L188" i="100"/>
  <c r="L199" i="100"/>
  <c r="L184" i="100"/>
  <c r="L201" i="100"/>
  <c r="L179" i="100"/>
  <c r="L176" i="100"/>
  <c r="L177" i="100"/>
  <c r="L206" i="100"/>
  <c r="L204" i="100"/>
  <c r="L224" i="100"/>
  <c r="L212" i="100"/>
  <c r="L221" i="100"/>
  <c r="L220" i="100"/>
  <c r="L215" i="100"/>
  <c r="L205" i="100"/>
  <c r="L226" i="100"/>
  <c r="L202" i="100"/>
  <c r="L222" i="100"/>
  <c r="L211" i="100"/>
  <c r="L178" i="100"/>
  <c r="L186" i="100"/>
  <c r="L175" i="100"/>
  <c r="L187" i="100"/>
  <c r="L203" i="100"/>
  <c r="L213" i="100"/>
  <c r="L194" i="100"/>
  <c r="L196" i="100"/>
  <c r="L210" i="100"/>
  <c r="L193" i="100"/>
  <c r="L183" i="100"/>
  <c r="L219" i="100"/>
  <c r="L197" i="100"/>
  <c r="L174" i="100"/>
  <c r="L195" i="100"/>
  <c r="L182" i="100"/>
  <c r="L218" i="100"/>
  <c r="L209" i="100"/>
  <c r="L173" i="100"/>
  <c r="L172" i="100"/>
  <c r="L217" i="100"/>
  <c r="L208" i="100"/>
  <c r="L181" i="100"/>
  <c r="L216" i="100"/>
  <c r="L180" i="100"/>
  <c r="L207" i="100"/>
  <c r="L171" i="100"/>
  <c r="L198" i="100"/>
  <c r="L192" i="100"/>
  <c r="L191" i="100"/>
  <c r="L190" i="100"/>
  <c r="M2345" i="98"/>
  <c r="M2343" i="98"/>
  <c r="M2351" i="98"/>
  <c r="M2344" i="98"/>
  <c r="M2342" i="98"/>
  <c r="M2347" i="98"/>
  <c r="M2349" i="98"/>
  <c r="M2355" i="98"/>
  <c r="M2318" i="98"/>
  <c r="M2335" i="98"/>
  <c r="M2340" i="98"/>
  <c r="M2337" i="98"/>
  <c r="M2315" i="98"/>
  <c r="M2316" i="98"/>
  <c r="M2336" i="98"/>
  <c r="M2341" i="98"/>
  <c r="M2317" i="98"/>
  <c r="M2319" i="98"/>
  <c r="M2348" i="98"/>
  <c r="M2339" i="98"/>
  <c r="M2324" i="98"/>
  <c r="M2325" i="98"/>
  <c r="M2338" i="98"/>
  <c r="M2350" i="98"/>
  <c r="M2331" i="98"/>
  <c r="M2333" i="98"/>
  <c r="M2334" i="98"/>
  <c r="M2346" i="98"/>
  <c r="M2323" i="98"/>
  <c r="M2314" i="98"/>
  <c r="M2330" i="98"/>
  <c r="M2332" i="98"/>
  <c r="M2320" i="98"/>
  <c r="M2329" i="98"/>
  <c r="M2328" i="98"/>
  <c r="M2313" i="98"/>
  <c r="M2327" i="98"/>
  <c r="M2312" i="98"/>
  <c r="M2322" i="98"/>
  <c r="M2311" i="98"/>
  <c r="M2326" i="98"/>
  <c r="M2321" i="98"/>
  <c r="M2352" i="98"/>
  <c r="M21" i="98"/>
  <c r="M19" i="98"/>
  <c r="M17" i="98"/>
  <c r="M15" i="98"/>
  <c r="M26" i="98"/>
  <c r="M24" i="98"/>
  <c r="M31" i="98"/>
  <c r="M29" i="98"/>
  <c r="M36" i="98"/>
  <c r="M34" i="98"/>
  <c r="M41" i="98"/>
  <c r="M39" i="98"/>
  <c r="M48" i="98"/>
  <c r="M50" i="98"/>
  <c r="M54" i="98"/>
  <c r="M77" i="98"/>
  <c r="M75" i="98"/>
  <c r="M73" i="98"/>
  <c r="M71" i="98"/>
  <c r="M69" i="98"/>
  <c r="M67" i="98"/>
  <c r="M65" i="98"/>
  <c r="M63" i="98"/>
  <c r="M80" i="98"/>
  <c r="M83" i="98"/>
  <c r="M85" i="98"/>
  <c r="M90" i="98"/>
  <c r="M88" i="98"/>
  <c r="M121" i="98"/>
  <c r="M119" i="98"/>
  <c r="M117" i="98"/>
  <c r="M115" i="98"/>
  <c r="M113" i="98"/>
  <c r="M111" i="98"/>
  <c r="M109" i="98"/>
  <c r="M107" i="98"/>
  <c r="M105" i="98"/>
  <c r="M103" i="98"/>
  <c r="M101" i="98"/>
  <c r="M99" i="98"/>
  <c r="M97" i="98"/>
  <c r="M95" i="98"/>
  <c r="M93" i="98"/>
  <c r="M131" i="98"/>
  <c r="M129" i="98"/>
  <c r="M127" i="98"/>
  <c r="M133" i="98"/>
  <c r="M136" i="98"/>
  <c r="M162" i="98"/>
  <c r="M160" i="98"/>
  <c r="M158" i="98"/>
  <c r="M156" i="98"/>
  <c r="M154" i="98"/>
  <c r="M152" i="98"/>
  <c r="M150" i="98"/>
  <c r="M148" i="98"/>
  <c r="M146" i="98"/>
  <c r="M144" i="98"/>
  <c r="M142" i="98"/>
  <c r="M140" i="98"/>
  <c r="M167" i="98"/>
  <c r="M165" i="98"/>
  <c r="M169" i="98"/>
  <c r="M173" i="98"/>
  <c r="M187" i="98"/>
  <c r="M185" i="98"/>
  <c r="M190" i="98"/>
  <c r="M198" i="98"/>
  <c r="M196" i="98"/>
  <c r="M194" i="98"/>
  <c r="M204" i="98"/>
  <c r="M202" i="98"/>
  <c r="M20" i="98"/>
  <c r="M18" i="98"/>
  <c r="M16" i="98"/>
  <c r="M14" i="98"/>
  <c r="M25" i="98"/>
  <c r="M23" i="98"/>
  <c r="M30" i="98"/>
  <c r="M28" i="98"/>
  <c r="M35" i="98"/>
  <c r="M33" i="98"/>
  <c r="M40" i="98"/>
  <c r="M38" i="98"/>
  <c r="M47" i="98"/>
  <c r="M52" i="98"/>
  <c r="M56" i="98"/>
  <c r="M76" i="98"/>
  <c r="M74" i="98"/>
  <c r="M72" i="98"/>
  <c r="M70" i="98"/>
  <c r="M68" i="98"/>
  <c r="M66" i="98"/>
  <c r="M64" i="98"/>
  <c r="M81" i="98"/>
  <c r="M79" i="98"/>
  <c r="M86" i="98"/>
  <c r="M91" i="98"/>
  <c r="M89" i="98"/>
  <c r="M122" i="98"/>
  <c r="M120" i="98"/>
  <c r="M118" i="98"/>
  <c r="M116" i="98"/>
  <c r="M114" i="98"/>
  <c r="M112" i="98"/>
  <c r="M110" i="98"/>
  <c r="M108" i="98"/>
  <c r="M106" i="98"/>
  <c r="M104" i="98"/>
  <c r="M102" i="98"/>
  <c r="M100" i="98"/>
  <c r="M98" i="98"/>
  <c r="M96" i="98"/>
  <c r="M94" i="98"/>
  <c r="M124" i="98"/>
  <c r="M130" i="98"/>
  <c r="M128" i="98"/>
  <c r="M126" i="98"/>
  <c r="M137" i="98"/>
  <c r="M135" i="98"/>
  <c r="M161" i="98"/>
  <c r="M159" i="98"/>
  <c r="M157" i="98"/>
  <c r="M155" i="98"/>
  <c r="M153" i="98"/>
  <c r="M151" i="98"/>
  <c r="M149" i="98"/>
  <c r="M147" i="98"/>
  <c r="M145" i="98"/>
  <c r="M143" i="98"/>
  <c r="M141" i="98"/>
  <c r="M139" i="98"/>
  <c r="M166" i="98"/>
  <c r="M164" i="98"/>
  <c r="M171" i="98"/>
  <c r="M179" i="98"/>
  <c r="M188" i="98"/>
  <c r="M186" i="98"/>
  <c r="M191" i="98"/>
  <c r="M199" i="98"/>
  <c r="M197" i="98"/>
  <c r="M195" i="98"/>
  <c r="M193" i="98"/>
  <c r="M203" i="98"/>
  <c r="M201" i="98"/>
  <c r="M53" i="98"/>
  <c r="M27" i="98"/>
  <c r="M51" i="98"/>
  <c r="M212" i="98"/>
  <c r="M213" i="98"/>
  <c r="M92" i="98"/>
  <c r="M123" i="98"/>
  <c r="M224" i="98"/>
  <c r="M222" i="98"/>
  <c r="M13" i="98"/>
  <c r="M22" i="98"/>
  <c r="M192" i="98"/>
  <c r="M37" i="98"/>
  <c r="M210" i="98"/>
  <c r="M138" i="98"/>
  <c r="M125" i="98"/>
  <c r="M221" i="98"/>
  <c r="M184" i="98"/>
  <c r="M226" i="98"/>
  <c r="M46" i="98"/>
  <c r="M55" i="98"/>
  <c r="M189" i="98"/>
  <c r="M32" i="98"/>
  <c r="M209" i="98"/>
  <c r="M214" i="98"/>
  <c r="M132" i="98"/>
  <c r="M172" i="98"/>
  <c r="M220" i="98"/>
  <c r="M84" i="98"/>
  <c r="M170" i="98"/>
  <c r="M200" i="98"/>
  <c r="M49" i="98"/>
  <c r="M215" i="98"/>
  <c r="M211" i="98"/>
  <c r="M134" i="98"/>
  <c r="M178" i="98"/>
  <c r="M223" i="98"/>
  <c r="M225" i="98"/>
  <c r="M163" i="98"/>
  <c r="M208" i="98"/>
  <c r="M168" i="98"/>
  <c r="M82" i="98"/>
  <c r="M62" i="98"/>
  <c r="M183" i="98"/>
  <c r="M87" i="98"/>
  <c r="M219" i="98"/>
  <c r="M61" i="98"/>
  <c r="M207" i="98"/>
  <c r="M218" i="98"/>
  <c r="M182" i="98"/>
  <c r="M205" i="98"/>
  <c r="M181" i="98"/>
  <c r="M217" i="98"/>
  <c r="M206" i="98"/>
  <c r="M216" i="98"/>
  <c r="M180" i="98"/>
  <c r="M78" i="98"/>
  <c r="M12" i="98"/>
  <c r="M45" i="98"/>
  <c r="M177" i="98"/>
  <c r="M44" i="98"/>
  <c r="M11" i="98"/>
  <c r="M60" i="98"/>
  <c r="M10" i="98"/>
  <c r="M43" i="98"/>
  <c r="M176" i="98"/>
  <c r="M59" i="98"/>
  <c r="M175" i="98"/>
  <c r="M9" i="98"/>
  <c r="M58" i="98"/>
  <c r="M42" i="98"/>
  <c r="M57" i="98"/>
  <c r="M174" i="98"/>
  <c r="M230" i="98"/>
  <c r="M227" i="98"/>
  <c r="L3436" i="98"/>
  <c r="M3436" i="98" s="1"/>
  <c r="L2201" i="98"/>
  <c r="M2201" i="98" s="1"/>
  <c r="D12" i="46"/>
  <c r="D13" i="46" s="1"/>
  <c r="H5" i="75"/>
  <c r="L1451" i="98"/>
  <c r="L1266" i="98"/>
  <c r="L1312" i="98"/>
  <c r="L956" i="98"/>
  <c r="F792" i="23" l="1"/>
  <c r="L3435" i="98"/>
  <c r="M3435" i="98" s="1"/>
  <c r="L2193" i="98"/>
  <c r="M2193" i="98" s="1"/>
  <c r="D14" i="46"/>
  <c r="D20" i="46"/>
  <c r="F19" i="46"/>
  <c r="D25" i="46"/>
  <c r="F23" i="46"/>
  <c r="F25" i="46"/>
  <c r="F22" i="46"/>
  <c r="D16" i="46"/>
  <c r="F20" i="46"/>
  <c r="F21" i="46"/>
  <c r="D19" i="46"/>
  <c r="D23" i="46"/>
  <c r="D22" i="46"/>
  <c r="D15" i="46"/>
  <c r="D24" i="46"/>
  <c r="D21" i="46"/>
  <c r="F24" i="46"/>
  <c r="D7" i="8"/>
  <c r="D6" i="18"/>
  <c r="F6" i="18" s="1"/>
  <c r="F7" i="18" s="1"/>
  <c r="F774" i="23" s="1"/>
  <c r="K881" i="100" s="1"/>
  <c r="L1258" i="98"/>
  <c r="L1265" i="98"/>
  <c r="L1450" i="98"/>
  <c r="L955" i="98"/>
  <c r="K873" i="100" l="1"/>
  <c r="K905" i="100"/>
  <c r="K2929" i="100" s="1"/>
  <c r="L1660" i="98"/>
  <c r="L1659" i="98" s="1"/>
  <c r="L1628" i="98"/>
  <c r="L3434" i="98"/>
  <c r="M3434" i="98" s="1"/>
  <c r="L1257" i="98"/>
  <c r="D8" i="8"/>
  <c r="D23" i="8"/>
  <c r="L2192" i="98"/>
  <c r="K904" i="100" l="1"/>
  <c r="K872" i="100"/>
  <c r="L2224" i="98"/>
  <c r="M2224" i="98" s="1"/>
  <c r="M2192" i="98"/>
  <c r="L1658" i="98"/>
  <c r="L1657" i="98" s="1"/>
  <c r="L1613" i="98"/>
  <c r="L3425" i="98"/>
  <c r="M3425" i="98" s="1"/>
  <c r="L2191" i="98"/>
  <c r="M2191" i="98" s="1"/>
  <c r="D11" i="8"/>
  <c r="D27" i="8" s="1"/>
  <c r="D24" i="8"/>
  <c r="L1256" i="98"/>
  <c r="L1442" i="98"/>
  <c r="K871" i="100" l="1"/>
  <c r="K903" i="100"/>
  <c r="L1661" i="98"/>
  <c r="L1612" i="98"/>
  <c r="L3424" i="98"/>
  <c r="M3424" i="98" s="1"/>
  <c r="L1656" i="98"/>
  <c r="L1441" i="98"/>
  <c r="L1248" i="98"/>
  <c r="K902" i="100" l="1"/>
  <c r="K870" i="100"/>
  <c r="K892" i="100"/>
  <c r="L1611" i="98"/>
  <c r="L1610" i="98" s="1"/>
  <c r="L1663" i="98"/>
  <c r="L3423" i="98"/>
  <c r="M3423" i="98" s="1"/>
  <c r="L1247" i="98"/>
  <c r="L1440" i="98"/>
  <c r="K894" i="100" l="1"/>
  <c r="K895" i="100" s="1"/>
  <c r="L892" i="100" s="1"/>
  <c r="K901" i="100"/>
  <c r="K906" i="100"/>
  <c r="L1664" i="98"/>
  <c r="M1663" i="98" s="1"/>
  <c r="L1647" i="98"/>
  <c r="L1246" i="98"/>
  <c r="L894" i="100" l="1"/>
  <c r="L895" i="100"/>
  <c r="L882" i="100"/>
  <c r="L875" i="100"/>
  <c r="L876" i="100"/>
  <c r="L891" i="100"/>
  <c r="L877" i="100"/>
  <c r="L880" i="100"/>
  <c r="L890" i="100"/>
  <c r="L885" i="100"/>
  <c r="L883" i="100"/>
  <c r="L879" i="100"/>
  <c r="L878" i="100"/>
  <c r="L884" i="100"/>
  <c r="L874" i="100"/>
  <c r="L889" i="100"/>
  <c r="L888" i="100"/>
  <c r="L887" i="100"/>
  <c r="L886" i="100"/>
  <c r="L881" i="100"/>
  <c r="L873" i="100"/>
  <c r="L872" i="100"/>
  <c r="L871" i="100"/>
  <c r="K908" i="100"/>
  <c r="K909" i="100" s="1"/>
  <c r="L870" i="100"/>
  <c r="L1649" i="98"/>
  <c r="M1664" i="98"/>
  <c r="M1660" i="98"/>
  <c r="M1659" i="98"/>
  <c r="M1657" i="98"/>
  <c r="M1658" i="98"/>
  <c r="M1661" i="98"/>
  <c r="M1656" i="98"/>
  <c r="L3478" i="98"/>
  <c r="L1238" i="98"/>
  <c r="L1432" i="98"/>
  <c r="L908" i="98"/>
  <c r="L908" i="100" l="1"/>
  <c r="L909" i="100"/>
  <c r="L905" i="100"/>
  <c r="L904" i="100"/>
  <c r="L903" i="100"/>
  <c r="L902" i="100"/>
  <c r="M3478" i="98"/>
  <c r="M3488" i="98"/>
  <c r="L906" i="100"/>
  <c r="L901" i="100"/>
  <c r="L1650" i="98"/>
  <c r="M1649" i="98" s="1"/>
  <c r="L1237" i="98"/>
  <c r="L1431" i="98"/>
  <c r="L907" i="98"/>
  <c r="M1615" i="98" l="1"/>
  <c r="M1650" i="98"/>
  <c r="M1614" i="98"/>
  <c r="M1622" i="98"/>
  <c r="M1646" i="98"/>
  <c r="M1623" i="98"/>
  <c r="M1627" i="98"/>
  <c r="M1633" i="98"/>
  <c r="M1639" i="98"/>
  <c r="M1624" i="98"/>
  <c r="M1629" i="98"/>
  <c r="M1634" i="98"/>
  <c r="M1625" i="98"/>
  <c r="M1630" i="98"/>
  <c r="M1635" i="98"/>
  <c r="M1618" i="98"/>
  <c r="M1626" i="98"/>
  <c r="M1631" i="98"/>
  <c r="M1637" i="98"/>
  <c r="M1616" i="98"/>
  <c r="M1640" i="98"/>
  <c r="M1621" i="98"/>
  <c r="M1632" i="98"/>
  <c r="M1636" i="98"/>
  <c r="M1619" i="98"/>
  <c r="M1638" i="98"/>
  <c r="M1617" i="98"/>
  <c r="M1620" i="98"/>
  <c r="M1645" i="98"/>
  <c r="M1644" i="98"/>
  <c r="M1643" i="98"/>
  <c r="M1642" i="98"/>
  <c r="M1641" i="98"/>
  <c r="M1628" i="98"/>
  <c r="M1613" i="98"/>
  <c r="M1612" i="98"/>
  <c r="M1610" i="98"/>
  <c r="M1611" i="98"/>
  <c r="M1647" i="98"/>
  <c r="L974" i="98"/>
  <c r="L1230" i="98"/>
  <c r="L1430" i="98"/>
  <c r="L1236" i="98"/>
  <c r="L906" i="98"/>
  <c r="L976" i="98" l="1"/>
  <c r="L1229" i="98"/>
  <c r="L979" i="98" l="1"/>
  <c r="M976" i="98" s="1"/>
  <c r="L1217" i="98"/>
  <c r="L1228" i="98"/>
  <c r="L1423" i="98"/>
  <c r="M977" i="98" l="1"/>
  <c r="M978" i="98"/>
  <c r="M979" i="98"/>
  <c r="M636" i="98"/>
  <c r="M632" i="98"/>
  <c r="M641" i="98"/>
  <c r="M646" i="98"/>
  <c r="M651" i="98"/>
  <c r="M656" i="98"/>
  <c r="M663" i="98"/>
  <c r="M669" i="98"/>
  <c r="M688" i="98"/>
  <c r="M706" i="98"/>
  <c r="M702" i="98"/>
  <c r="M698" i="98"/>
  <c r="M694" i="98"/>
  <c r="M710" i="98"/>
  <c r="M719" i="98"/>
  <c r="M748" i="98"/>
  <c r="M744" i="98"/>
  <c r="M740" i="98"/>
  <c r="M736" i="98"/>
  <c r="M732" i="98"/>
  <c r="M728" i="98"/>
  <c r="M724" i="98"/>
  <c r="M750" i="98"/>
  <c r="M754" i="98"/>
  <c r="M762" i="98"/>
  <c r="M780" i="98"/>
  <c r="M776" i="98"/>
  <c r="M635" i="98"/>
  <c r="M631" i="98"/>
  <c r="M640" i="98"/>
  <c r="M645" i="98"/>
  <c r="M650" i="98"/>
  <c r="M655" i="98"/>
  <c r="M662" i="98"/>
  <c r="M671" i="98"/>
  <c r="M687" i="98"/>
  <c r="M705" i="98"/>
  <c r="M701" i="98"/>
  <c r="M697" i="98"/>
  <c r="M693" i="98"/>
  <c r="M709" i="98"/>
  <c r="M718" i="98"/>
  <c r="M747" i="98"/>
  <c r="M743" i="98"/>
  <c r="M739" i="98"/>
  <c r="M735" i="98"/>
  <c r="M731" i="98"/>
  <c r="M727" i="98"/>
  <c r="M723" i="98"/>
  <c r="M757" i="98"/>
  <c r="M753" i="98"/>
  <c r="M761" i="98"/>
  <c r="M779" i="98"/>
  <c r="M775" i="98"/>
  <c r="M771" i="98"/>
  <c r="M767" i="98"/>
  <c r="M785" i="98"/>
  <c r="M781" i="98"/>
  <c r="M793" i="98"/>
  <c r="M804" i="98"/>
  <c r="M808" i="98"/>
  <c r="M814" i="98"/>
  <c r="M768" i="98"/>
  <c r="M782" i="98"/>
  <c r="M801" i="98"/>
  <c r="M813" i="98"/>
  <c r="M766" i="98"/>
  <c r="M789" i="98"/>
  <c r="M811" i="98"/>
  <c r="M954" i="98"/>
  <c r="M972" i="98"/>
  <c r="M963" i="98"/>
  <c r="M962" i="98"/>
  <c r="M949" i="98"/>
  <c r="M829" i="98"/>
  <c r="M959" i="98"/>
  <c r="M960" i="98"/>
  <c r="M951" i="98"/>
  <c r="M968" i="98"/>
  <c r="M652" i="98"/>
  <c r="M661" i="98"/>
  <c r="M787" i="98"/>
  <c r="M805" i="98"/>
  <c r="M836" i="98"/>
  <c r="M847" i="98"/>
  <c r="M857" i="98"/>
  <c r="M871" i="98"/>
  <c r="M893" i="98"/>
  <c r="M905" i="98"/>
  <c r="M922" i="98"/>
  <c r="M932" i="98"/>
  <c r="M943" i="98"/>
  <c r="M664" i="98"/>
  <c r="M676" i="98"/>
  <c r="M794" i="98"/>
  <c r="M820" i="98"/>
  <c r="M839" i="98"/>
  <c r="M859" i="98"/>
  <c r="M865" i="98"/>
  <c r="M881" i="98"/>
  <c r="M895" i="98"/>
  <c r="M912" i="98"/>
  <c r="M924" i="98"/>
  <c r="M944" i="98"/>
  <c r="M948" i="98"/>
  <c r="M647" i="98"/>
  <c r="M680" i="98"/>
  <c r="M800" i="98"/>
  <c r="M823" i="98"/>
  <c r="M846" i="98"/>
  <c r="M856" i="98"/>
  <c r="M868" i="98"/>
  <c r="M878" i="98"/>
  <c r="M891" i="98"/>
  <c r="M910" i="98"/>
  <c r="M920" i="98"/>
  <c r="M934" i="98"/>
  <c r="M628" i="98"/>
  <c r="M666" i="98"/>
  <c r="M749" i="98"/>
  <c r="M803" i="98"/>
  <c r="M821" i="98"/>
  <c r="M844" i="98"/>
  <c r="M858" i="98"/>
  <c r="M864" i="98"/>
  <c r="M879" i="98"/>
  <c r="M900" i="98"/>
  <c r="M911" i="98"/>
  <c r="M931" i="98"/>
  <c r="M940" i="98"/>
  <c r="M675" i="98"/>
  <c r="M715" i="98"/>
  <c r="M833" i="98"/>
  <c r="M875" i="98"/>
  <c r="M627" i="98"/>
  <c r="M819" i="98"/>
  <c r="M863" i="98"/>
  <c r="M890" i="98"/>
  <c r="M947" i="98"/>
  <c r="M660" i="98"/>
  <c r="M909" i="98"/>
  <c r="M938" i="98"/>
  <c r="M937" i="98"/>
  <c r="M659" i="98"/>
  <c r="M708" i="98"/>
  <c r="M852" i="98"/>
  <c r="M798" i="98"/>
  <c r="M827" i="98"/>
  <c r="M927" i="98"/>
  <c r="M898" i="98"/>
  <c r="M842" i="98"/>
  <c r="M626" i="98"/>
  <c r="M817" i="98"/>
  <c r="M658" i="98"/>
  <c r="M841" i="98"/>
  <c r="M673" i="98"/>
  <c r="M873" i="98"/>
  <c r="M825" i="98"/>
  <c r="M917" i="98"/>
  <c r="M897" i="98"/>
  <c r="M797" i="98"/>
  <c r="M896" i="98"/>
  <c r="M916" i="98"/>
  <c r="M925" i="98"/>
  <c r="M935" i="98"/>
  <c r="M887" i="98"/>
  <c r="M683" i="98"/>
  <c r="M796" i="98"/>
  <c r="M830" i="98"/>
  <c r="M884" i="98"/>
  <c r="M974" i="98"/>
  <c r="M906" i="98"/>
  <c r="M634" i="98"/>
  <c r="M630" i="98"/>
  <c r="M639" i="98"/>
  <c r="M644" i="98"/>
  <c r="M649" i="98"/>
  <c r="M654" i="98"/>
  <c r="M665" i="98"/>
  <c r="M690" i="98"/>
  <c r="M686" i="98"/>
  <c r="M704" i="98"/>
  <c r="M700" i="98"/>
  <c r="M696" i="98"/>
  <c r="M692" i="98"/>
  <c r="M714" i="98"/>
  <c r="M717" i="98"/>
  <c r="M746" i="98"/>
  <c r="M742" i="98"/>
  <c r="M738" i="98"/>
  <c r="M734" i="98"/>
  <c r="M730" i="98"/>
  <c r="M726" i="98"/>
  <c r="M722" i="98"/>
  <c r="M756" i="98"/>
  <c r="M752" i="98"/>
  <c r="M760" i="98"/>
  <c r="M778" i="98"/>
  <c r="M774" i="98"/>
  <c r="M633" i="98"/>
  <c r="M629" i="98"/>
  <c r="M638" i="98"/>
  <c r="M643" i="98"/>
  <c r="M648" i="98"/>
  <c r="M653" i="98"/>
  <c r="M667" i="98"/>
  <c r="M689" i="98"/>
  <c r="M707" i="98"/>
  <c r="M703" i="98"/>
  <c r="M699" i="98"/>
  <c r="M695" i="98"/>
  <c r="M711" i="98"/>
  <c r="M713" i="98"/>
  <c r="M716" i="98"/>
  <c r="M745" i="98"/>
  <c r="M741" i="98"/>
  <c r="M737" i="98"/>
  <c r="M733" i="98"/>
  <c r="M729" i="98"/>
  <c r="M725" i="98"/>
  <c r="M721" i="98"/>
  <c r="M755" i="98"/>
  <c r="M763" i="98"/>
  <c r="M759" i="98"/>
  <c r="M777" i="98"/>
  <c r="M773" i="98"/>
  <c r="M769" i="98"/>
  <c r="M765" i="98"/>
  <c r="M783" i="98"/>
  <c r="M788" i="98"/>
  <c r="M802" i="98"/>
  <c r="M810" i="98"/>
  <c r="M806" i="98"/>
  <c r="M772" i="98"/>
  <c r="M786" i="98"/>
  <c r="M791" i="98"/>
  <c r="M809" i="98"/>
  <c r="M770" i="98"/>
  <c r="M784" i="98"/>
  <c r="M795" i="98"/>
  <c r="M807" i="98"/>
  <c r="M961" i="98"/>
  <c r="M952" i="98"/>
  <c r="M970" i="98"/>
  <c r="M969" i="98"/>
  <c r="M964" i="98"/>
  <c r="M950" i="98"/>
  <c r="M953" i="98"/>
  <c r="M973" i="98"/>
  <c r="M971" i="98"/>
  <c r="M828" i="98"/>
  <c r="M642" i="98"/>
  <c r="M677" i="98"/>
  <c r="M764" i="98"/>
  <c r="M822" i="98"/>
  <c r="M835" i="98"/>
  <c r="M855" i="98"/>
  <c r="M869" i="98"/>
  <c r="M877" i="98"/>
  <c r="M903" i="98"/>
  <c r="M915" i="98"/>
  <c r="M921" i="98"/>
  <c r="M942" i="98"/>
  <c r="M668" i="98"/>
  <c r="M678" i="98"/>
  <c r="M751" i="98"/>
  <c r="M812" i="98"/>
  <c r="M837" i="98"/>
  <c r="M848" i="98"/>
  <c r="M854" i="98"/>
  <c r="M867" i="98"/>
  <c r="M892" i="98"/>
  <c r="M901" i="98"/>
  <c r="M913" i="98"/>
  <c r="M933" i="98"/>
  <c r="M939" i="98"/>
  <c r="M637" i="98"/>
  <c r="M679" i="98"/>
  <c r="M758" i="98"/>
  <c r="M815" i="98"/>
  <c r="M834" i="98"/>
  <c r="M849" i="98"/>
  <c r="M870" i="98"/>
  <c r="M876" i="98"/>
  <c r="M886" i="98"/>
  <c r="M904" i="98"/>
  <c r="M914" i="98"/>
  <c r="M929" i="98"/>
  <c r="M941" i="98"/>
  <c r="M670" i="98"/>
  <c r="M720" i="98"/>
  <c r="M792" i="98"/>
  <c r="M824" i="98"/>
  <c r="M838" i="98"/>
  <c r="M845" i="98"/>
  <c r="M866" i="98"/>
  <c r="M880" i="98"/>
  <c r="M894" i="98"/>
  <c r="M902" i="98"/>
  <c r="M923" i="98"/>
  <c r="M930" i="98"/>
  <c r="M691" i="98"/>
  <c r="M685" i="98"/>
  <c r="M799" i="98"/>
  <c r="M853" i="98"/>
  <c r="M885" i="98"/>
  <c r="M790" i="98"/>
  <c r="M843" i="98"/>
  <c r="M899" i="98"/>
  <c r="M928" i="98"/>
  <c r="M967" i="98"/>
  <c r="M712" i="98"/>
  <c r="M919" i="98"/>
  <c r="M945" i="98"/>
  <c r="M918" i="98"/>
  <c r="M965" i="98"/>
  <c r="M874" i="98"/>
  <c r="M832" i="98"/>
  <c r="M674" i="98"/>
  <c r="M946" i="98"/>
  <c r="M889" i="98"/>
  <c r="M862" i="98"/>
  <c r="M818" i="98"/>
  <c r="M966" i="98"/>
  <c r="M888" i="98"/>
  <c r="M936" i="98"/>
  <c r="M926" i="98"/>
  <c r="M831" i="98"/>
  <c r="M684" i="98"/>
  <c r="M861" i="98"/>
  <c r="M625" i="98"/>
  <c r="M826" i="98"/>
  <c r="M851" i="98"/>
  <c r="M624" i="98"/>
  <c r="M860" i="98"/>
  <c r="M840" i="98"/>
  <c r="M657" i="98"/>
  <c r="M816" i="98"/>
  <c r="M850" i="98"/>
  <c r="M872" i="98"/>
  <c r="M672" i="98"/>
  <c r="M883" i="98"/>
  <c r="M882" i="98"/>
  <c r="M957" i="98"/>
  <c r="M955" i="98"/>
  <c r="M907" i="98"/>
  <c r="M682" i="98"/>
  <c r="M958" i="98"/>
  <c r="M956" i="98"/>
  <c r="M908" i="98"/>
  <c r="M681" i="98"/>
  <c r="L1422" i="98"/>
  <c r="L1216" i="98"/>
  <c r="L1215" i="98" l="1"/>
  <c r="L1421" i="98"/>
  <c r="L1208" i="98"/>
  <c r="L1207" i="98" l="1"/>
  <c r="L1413" i="98" l="1"/>
  <c r="L1206" i="98"/>
  <c r="L1198" i="98"/>
  <c r="L1197" i="98" l="1"/>
  <c r="L1412" i="98"/>
  <c r="L1411" i="98" l="1"/>
  <c r="L1188" i="98"/>
  <c r="L1196" i="98"/>
  <c r="L1187" i="98" l="1"/>
  <c r="L1186" i="98" l="1"/>
  <c r="L1474" i="98"/>
  <c r="L1473" i="98" l="1"/>
  <c r="L1495" i="98" l="1"/>
  <c r="L1472" i="98"/>
  <c r="L1497" i="98" l="1"/>
  <c r="L1376" i="98"/>
  <c r="L1375" i="98" l="1"/>
  <c r="L1499" i="98"/>
  <c r="M1492" i="98" l="1"/>
  <c r="M1490" i="98"/>
  <c r="M1488" i="98"/>
  <c r="M1499" i="98"/>
  <c r="M1487" i="98"/>
  <c r="M1498" i="98"/>
  <c r="M1464" i="98"/>
  <c r="M1468" i="98"/>
  <c r="M1407" i="98"/>
  <c r="M1417" i="98"/>
  <c r="M1426" i="98"/>
  <c r="M1429" i="98"/>
  <c r="M1437" i="98"/>
  <c r="M1448" i="98"/>
  <c r="M1447" i="98"/>
  <c r="M1457" i="98"/>
  <c r="M1467" i="98"/>
  <c r="M1471" i="98"/>
  <c r="M1491" i="98"/>
  <c r="M1493" i="98"/>
  <c r="M1480" i="98"/>
  <c r="M1408" i="98"/>
  <c r="M1410" i="98"/>
  <c r="M1418" i="98"/>
  <c r="M1427" i="98"/>
  <c r="M1438" i="98"/>
  <c r="M1434" i="98"/>
  <c r="M1445" i="98"/>
  <c r="M1455" i="98"/>
  <c r="M1454" i="98"/>
  <c r="M1469" i="98"/>
  <c r="M1494" i="98"/>
  <c r="M1482" i="98"/>
  <c r="M1406" i="98"/>
  <c r="M1416" i="98"/>
  <c r="M1415" i="98"/>
  <c r="M1428" i="98"/>
  <c r="M1435" i="98"/>
  <c r="M1436" i="98"/>
  <c r="M1449" i="98"/>
  <c r="M1459" i="98"/>
  <c r="M1458" i="98"/>
  <c r="M1470" i="98"/>
  <c r="M1485" i="98"/>
  <c r="M1483" i="98"/>
  <c r="M1486" i="98"/>
  <c r="M1409" i="98"/>
  <c r="M1420" i="98"/>
  <c r="M1419" i="98"/>
  <c r="M1425" i="98"/>
  <c r="M1439" i="98"/>
  <c r="M1444" i="98"/>
  <c r="M1446" i="98"/>
  <c r="M1456" i="98"/>
  <c r="M1466" i="98"/>
  <c r="M1465" i="98"/>
  <c r="M1484" i="98"/>
  <c r="M1481" i="98"/>
  <c r="M1443" i="98"/>
  <c r="M1479" i="98"/>
  <c r="M1414" i="98"/>
  <c r="M1463" i="98"/>
  <c r="M1476" i="98"/>
  <c r="M1489" i="98"/>
  <c r="M1433" i="98"/>
  <c r="M1477" i="98"/>
  <c r="M1424" i="98"/>
  <c r="M1405" i="98"/>
  <c r="M1404" i="98"/>
  <c r="M1478" i="98"/>
  <c r="M1403" i="98"/>
  <c r="M1475" i="98"/>
  <c r="M1402" i="98"/>
  <c r="M1453" i="98"/>
  <c r="M1462" i="98"/>
  <c r="M1461" i="98"/>
  <c r="M1460" i="98"/>
  <c r="M1452" i="98"/>
  <c r="M1451" i="98"/>
  <c r="M1450" i="98"/>
  <c r="M1442" i="98"/>
  <c r="M1441" i="98"/>
  <c r="M1440" i="98"/>
  <c r="M1432" i="98"/>
  <c r="M1431" i="98"/>
  <c r="M1430" i="98"/>
  <c r="M1423" i="98"/>
  <c r="M1422" i="98"/>
  <c r="M1421" i="98"/>
  <c r="M1413" i="98"/>
  <c r="M1412" i="98"/>
  <c r="M1411" i="98"/>
  <c r="M1474" i="98"/>
  <c r="M1473" i="98"/>
  <c r="M1472" i="98"/>
  <c r="M1495" i="98"/>
  <c r="L1389" i="98"/>
  <c r="L1374" i="98"/>
  <c r="M1497" i="98"/>
  <c r="L2792" i="98"/>
  <c r="M2792" i="98" s="1"/>
  <c r="L2812" i="98"/>
  <c r="L2811" i="98" l="1"/>
  <c r="M2812" i="98"/>
  <c r="L1391" i="98"/>
  <c r="L2791" i="98"/>
  <c r="M2791" i="98" s="1"/>
  <c r="L2872" i="98"/>
  <c r="M2872" i="98" s="1"/>
  <c r="L2810" i="98" l="1"/>
  <c r="M2810" i="98" s="1"/>
  <c r="M2811" i="98"/>
  <c r="L1396" i="98"/>
  <c r="L2790" i="98"/>
  <c r="M2790" i="98" s="1"/>
  <c r="L2871" i="98"/>
  <c r="L2892" i="98"/>
  <c r="M2892" i="98" s="1"/>
  <c r="L2870" i="98" l="1"/>
  <c r="M2870" i="98" s="1"/>
  <c r="M2871" i="98"/>
  <c r="M1225" i="98"/>
  <c r="M1221" i="98"/>
  <c r="M1396" i="98"/>
  <c r="M1226" i="98"/>
  <c r="M1223" i="98"/>
  <c r="M1281" i="98"/>
  <c r="M1283" i="98"/>
  <c r="M1306" i="98"/>
  <c r="M1393" i="98"/>
  <c r="M1280" i="98"/>
  <c r="M1285" i="98"/>
  <c r="M1303" i="98"/>
  <c r="M1308" i="98"/>
  <c r="M1394" i="98"/>
  <c r="M1392" i="98"/>
  <c r="M1304" i="98"/>
  <c r="M1395" i="98"/>
  <c r="M1372" i="98"/>
  <c r="M1371" i="98"/>
  <c r="M1366" i="98"/>
  <c r="M1388" i="98"/>
  <c r="M1383" i="98"/>
  <c r="M1378" i="98"/>
  <c r="M1205" i="98"/>
  <c r="M1251" i="98"/>
  <c r="M1377" i="98"/>
  <c r="M1252" i="98"/>
  <c r="M1330" i="98"/>
  <c r="M1365" i="98"/>
  <c r="M1254" i="98"/>
  <c r="M1331" i="98"/>
  <c r="M1373" i="98"/>
  <c r="M1255" i="98"/>
  <c r="M1332" i="98"/>
  <c r="M1387" i="98"/>
  <c r="M1382" i="98"/>
  <c r="M1191" i="98"/>
  <c r="M1204" i="98"/>
  <c r="M1337" i="98"/>
  <c r="M1194" i="98"/>
  <c r="M1203" i="98"/>
  <c r="M1211" i="98"/>
  <c r="M1370" i="98"/>
  <c r="M1339" i="98"/>
  <c r="M1202" i="98"/>
  <c r="M1250" i="98"/>
  <c r="M1193" i="98"/>
  <c r="M1212" i="98"/>
  <c r="M1192" i="98"/>
  <c r="M1201" i="98"/>
  <c r="M1214" i="98"/>
  <c r="M1213" i="98"/>
  <c r="M1338" i="98"/>
  <c r="M1336" i="98"/>
  <c r="M1335" i="98"/>
  <c r="M1190" i="98"/>
  <c r="M1200" i="98"/>
  <c r="M1195" i="98"/>
  <c r="M1210" i="98"/>
  <c r="M1253" i="98"/>
  <c r="M1249" i="98"/>
  <c r="M1199" i="98"/>
  <c r="M1209" i="98"/>
  <c r="M1189" i="98"/>
  <c r="M1381" i="98"/>
  <c r="M1369" i="98"/>
  <c r="M1386" i="98"/>
  <c r="M1224" i="98"/>
  <c r="M1234" i="98"/>
  <c r="M1245" i="98"/>
  <c r="M1243" i="98"/>
  <c r="M1260" i="98"/>
  <c r="M1277" i="98"/>
  <c r="M1275" i="98"/>
  <c r="M1287" i="98"/>
  <c r="M1307" i="98"/>
  <c r="M1298" i="98"/>
  <c r="M1321" i="98"/>
  <c r="M1333" i="98"/>
  <c r="M1328" i="98"/>
  <c r="M1345" i="98"/>
  <c r="M1355" i="98"/>
  <c r="M1357" i="98"/>
  <c r="M1379" i="98"/>
  <c r="M1347" i="98"/>
  <c r="M1380" i="98"/>
  <c r="M1219" i="98"/>
  <c r="M1235" i="98"/>
  <c r="M1241" i="98"/>
  <c r="M1242" i="98"/>
  <c r="M1264" i="98"/>
  <c r="M1273" i="98"/>
  <c r="M1286" i="98"/>
  <c r="M1299" i="98"/>
  <c r="M1297" i="98"/>
  <c r="M1302" i="98"/>
  <c r="M1319" i="98"/>
  <c r="M1329" i="98"/>
  <c r="M1344" i="98"/>
  <c r="M1349" i="98"/>
  <c r="M1359" i="98"/>
  <c r="M1361" i="98"/>
  <c r="M1334" i="98"/>
  <c r="M1385" i="98"/>
  <c r="M1227" i="98"/>
  <c r="M1232" i="98"/>
  <c r="M1244" i="98"/>
  <c r="M1262" i="98"/>
  <c r="M1261" i="98"/>
  <c r="M1276" i="98"/>
  <c r="M1274" i="98"/>
  <c r="M1296" i="98"/>
  <c r="M1301" i="98"/>
  <c r="M1320" i="98"/>
  <c r="M1316" i="98"/>
  <c r="M1326" i="98"/>
  <c r="M1348" i="98"/>
  <c r="M1354" i="98"/>
  <c r="M1356" i="98"/>
  <c r="M1367" i="98"/>
  <c r="M1311" i="98"/>
  <c r="M1222" i="98"/>
  <c r="M1220" i="98"/>
  <c r="M1233" i="98"/>
  <c r="M1240" i="98"/>
  <c r="M1263" i="98"/>
  <c r="M1278" i="98"/>
  <c r="M1284" i="98"/>
  <c r="M1279" i="98"/>
  <c r="M1300" i="98"/>
  <c r="M1309" i="98"/>
  <c r="M1317" i="98"/>
  <c r="M1318" i="98"/>
  <c r="M1327" i="98"/>
  <c r="M1346" i="98"/>
  <c r="M1358" i="98"/>
  <c r="M1360" i="98"/>
  <c r="M1384" i="98"/>
  <c r="M1310" i="98"/>
  <c r="M1368" i="98"/>
  <c r="M1270" i="98"/>
  <c r="M1292" i="98"/>
  <c r="M1325" i="98"/>
  <c r="M1259" i="98"/>
  <c r="M1353" i="98"/>
  <c r="M1293" i="98"/>
  <c r="M1315" i="98"/>
  <c r="M1239" i="98"/>
  <c r="M1218" i="98"/>
  <c r="M1282" i="98"/>
  <c r="M1295" i="98"/>
  <c r="M1231" i="98"/>
  <c r="M1272" i="98"/>
  <c r="M1269" i="98"/>
  <c r="M1305" i="98"/>
  <c r="M1352" i="98"/>
  <c r="M1343" i="98"/>
  <c r="M1350" i="98"/>
  <c r="M1351" i="98"/>
  <c r="M1271" i="98"/>
  <c r="M1294" i="98"/>
  <c r="M1268" i="98"/>
  <c r="M1291" i="98"/>
  <c r="M1342" i="98"/>
  <c r="M1324" i="98"/>
  <c r="M1364" i="98"/>
  <c r="M1340" i="98"/>
  <c r="M1290" i="98"/>
  <c r="M1341" i="98"/>
  <c r="M1323" i="98"/>
  <c r="M1289" i="98"/>
  <c r="M1363" i="98"/>
  <c r="M1322" i="98"/>
  <c r="M1288" i="98"/>
  <c r="M1362" i="98"/>
  <c r="M1314" i="98"/>
  <c r="M1267" i="98"/>
  <c r="M1313" i="98"/>
  <c r="M1312" i="98"/>
  <c r="M1266" i="98"/>
  <c r="M1265" i="98"/>
  <c r="M1258" i="98"/>
  <c r="M1257" i="98"/>
  <c r="M1256" i="98"/>
  <c r="M1248" i="98"/>
  <c r="M1247" i="98"/>
  <c r="M1246" i="98"/>
  <c r="M1238" i="98"/>
  <c r="M1237" i="98"/>
  <c r="M1236" i="98"/>
  <c r="M1230" i="98"/>
  <c r="M1229" i="98"/>
  <c r="M1228" i="98"/>
  <c r="M1217" i="98"/>
  <c r="M1216" i="98"/>
  <c r="M1215" i="98"/>
  <c r="M1208" i="98"/>
  <c r="M1207" i="98"/>
  <c r="M1198" i="98"/>
  <c r="M1206" i="98"/>
  <c r="M1197" i="98"/>
  <c r="M1196" i="98"/>
  <c r="M1188" i="98"/>
  <c r="M1187" i="98"/>
  <c r="M1186" i="98"/>
  <c r="M1376" i="98"/>
  <c r="M1375" i="98"/>
  <c r="M1389" i="98"/>
  <c r="M1374" i="98"/>
  <c r="M1391" i="98"/>
  <c r="L2891" i="98"/>
  <c r="M2891" i="98" s="1"/>
  <c r="L2890" i="98" l="1"/>
  <c r="M2890" i="98" s="1"/>
  <c r="L2933" i="98"/>
  <c r="M2933" i="98" s="1"/>
  <c r="L2932" i="98" l="1"/>
  <c r="L3105" i="98"/>
  <c r="M3105" i="98" s="1"/>
  <c r="L2931" i="98" l="1"/>
  <c r="M2931" i="98" s="1"/>
  <c r="M2932" i="98"/>
  <c r="L3104" i="98"/>
  <c r="M3104" i="98" s="1"/>
  <c r="L2998" i="98"/>
  <c r="M2998" i="98" s="1"/>
  <c r="L2997" i="98" l="1"/>
  <c r="M2997" i="98" s="1"/>
  <c r="L3103" i="98"/>
  <c r="M3103" i="98" s="1"/>
  <c r="L3141" i="98"/>
  <c r="L3164" i="98"/>
  <c r="L3163" i="98" l="1"/>
  <c r="M3163" i="98" s="1"/>
  <c r="M3164" i="98"/>
  <c r="L3140" i="98"/>
  <c r="M3140" i="98" s="1"/>
  <c r="M3141" i="98"/>
  <c r="L3162" i="98"/>
  <c r="M3162" i="98" s="1"/>
  <c r="L3187" i="98"/>
  <c r="L3186" i="98" l="1"/>
  <c r="M3186" i="98" s="1"/>
  <c r="M3187" i="98"/>
  <c r="L3139" i="98"/>
  <c r="M3139" i="98" s="1"/>
  <c r="L3202" i="98"/>
  <c r="L3185" i="98" l="1"/>
  <c r="M3185" i="98" s="1"/>
  <c r="L3201" i="98"/>
  <c r="M3201" i="98" s="1"/>
  <c r="M3202" i="98"/>
  <c r="L3337" i="98"/>
  <c r="L3357" i="98"/>
  <c r="L3200" i="98" l="1"/>
  <c r="M3200" i="98" s="1"/>
  <c r="L3336" i="98"/>
  <c r="M3336" i="98" s="1"/>
  <c r="M3337" i="98"/>
  <c r="L3356" i="98"/>
  <c r="M3356" i="98" s="1"/>
  <c r="M3357" i="98"/>
  <c r="L3509" i="98"/>
  <c r="M3509" i="98" s="1"/>
  <c r="L3335" i="98" l="1"/>
  <c r="M3335" i="98" s="1"/>
  <c r="L3355" i="98"/>
  <c r="M3355" i="98" s="1"/>
  <c r="L3508" i="98"/>
  <c r="L3534" i="98"/>
  <c r="M3534" i="98" s="1"/>
  <c r="L3563" i="98"/>
  <c r="M3563" i="98" s="1"/>
  <c r="L3507" i="98" l="1"/>
  <c r="M3507" i="98" s="1"/>
  <c r="M3508" i="98"/>
  <c r="L3533" i="98"/>
  <c r="M3533" i="98" s="1"/>
  <c r="L3562" i="98"/>
  <c r="M3562" i="98" s="1"/>
  <c r="L3561" i="98" l="1"/>
  <c r="M3561" i="98" s="1"/>
  <c r="L3532" i="98"/>
  <c r="M3532" i="98" s="1"/>
  <c r="L3625" i="98"/>
  <c r="M3625" i="98" s="1"/>
  <c r="L3624" i="98" l="1"/>
  <c r="M3624" i="98" s="1"/>
  <c r="L3635" i="98"/>
  <c r="L3653" i="98"/>
  <c r="M3653" i="98" s="1"/>
  <c r="L3642" i="98"/>
  <c r="M3642" i="98" s="1"/>
  <c r="L3671" i="98"/>
  <c r="M3671" i="98" s="1"/>
  <c r="L3665" i="98"/>
  <c r="M3665" i="98" s="1"/>
  <c r="L3681" i="98"/>
  <c r="M3681" i="98" s="1"/>
  <c r="L3693" i="98"/>
  <c r="M3693" i="98" s="1"/>
  <c r="L3705" i="98"/>
  <c r="M3705" i="98" s="1"/>
  <c r="L3634" i="98" l="1"/>
  <c r="M3634" i="98" s="1"/>
  <c r="M3635" i="98"/>
  <c r="L3692" i="98"/>
  <c r="M3692" i="98" s="1"/>
  <c r="L3641" i="98"/>
  <c r="M3641" i="98" s="1"/>
  <c r="L3680" i="98"/>
  <c r="M3680" i="98" s="1"/>
  <c r="L3652" i="98"/>
  <c r="M3652" i="98" s="1"/>
  <c r="L3664" i="98"/>
  <c r="M3664" i="98" s="1"/>
  <c r="L3704" i="98"/>
  <c r="M3704" i="98" s="1"/>
  <c r="L3623" i="98"/>
  <c r="M3623" i="98" s="1"/>
  <c r="L3670" i="98"/>
  <c r="M3670" i="98" s="1"/>
  <c r="L3691" i="98"/>
  <c r="M3691" i="98" s="1"/>
  <c r="L3633" i="98" l="1"/>
  <c r="M3633" i="98" s="1"/>
  <c r="L3669" i="98"/>
  <c r="M3669" i="98" s="1"/>
  <c r="L3679" i="98"/>
  <c r="M3679" i="98" s="1"/>
  <c r="L3663" i="98"/>
  <c r="M3663" i="98" s="1"/>
  <c r="L3640" i="98"/>
  <c r="M3640" i="98" s="1"/>
  <c r="L3703" i="98"/>
  <c r="M3703" i="98" s="1"/>
  <c r="L3651" i="98"/>
  <c r="M3651" i="98" s="1"/>
  <c r="L291" i="98" l="1"/>
  <c r="L290" i="98" l="1"/>
  <c r="L289" i="98" l="1"/>
  <c r="L424" i="98" l="1"/>
  <c r="L288" i="98"/>
  <c r="L426" i="98" l="1"/>
  <c r="L428" i="98" s="1"/>
  <c r="L1907" i="98"/>
  <c r="L1903" i="98" l="1"/>
  <c r="M268" i="98"/>
  <c r="M266" i="98"/>
  <c r="M263" i="98"/>
  <c r="M261" i="98"/>
  <c r="M258" i="98"/>
  <c r="M256" i="98"/>
  <c r="M253" i="98"/>
  <c r="M251" i="98"/>
  <c r="M248" i="98"/>
  <c r="M246" i="98"/>
  <c r="M244" i="98"/>
  <c r="M242" i="98"/>
  <c r="M308" i="98"/>
  <c r="M306" i="98"/>
  <c r="M304" i="98"/>
  <c r="M302" i="98"/>
  <c r="M300" i="98"/>
  <c r="M298" i="98"/>
  <c r="M296" i="98"/>
  <c r="M294" i="98"/>
  <c r="M312" i="98"/>
  <c r="M315" i="98"/>
  <c r="M318" i="98"/>
  <c r="M344" i="98"/>
  <c r="M342" i="98"/>
  <c r="M340" i="98"/>
  <c r="M338" i="98"/>
  <c r="M336" i="98"/>
  <c r="M334" i="98"/>
  <c r="M332" i="98"/>
  <c r="M330" i="98"/>
  <c r="M328" i="98"/>
  <c r="M326" i="98"/>
  <c r="M324" i="98"/>
  <c r="M322" i="98"/>
  <c r="M346" i="98"/>
  <c r="M352" i="98"/>
  <c r="M350" i="98"/>
  <c r="M348" i="98"/>
  <c r="M361" i="98"/>
  <c r="M359" i="98"/>
  <c r="M357" i="98"/>
  <c r="M382" i="98"/>
  <c r="M380" i="98"/>
  <c r="M378" i="98"/>
  <c r="M376" i="98"/>
  <c r="M374" i="98"/>
  <c r="M372" i="98"/>
  <c r="M370" i="98"/>
  <c r="M269" i="98"/>
  <c r="M267" i="98"/>
  <c r="M264" i="98"/>
  <c r="M262" i="98"/>
  <c r="M259" i="98"/>
  <c r="M257" i="98"/>
  <c r="M254" i="98"/>
  <c r="M252" i="98"/>
  <c r="M249" i="98"/>
  <c r="M247" i="98"/>
  <c r="M245" i="98"/>
  <c r="M243" i="98"/>
  <c r="M309" i="98"/>
  <c r="M307" i="98"/>
  <c r="M305" i="98"/>
  <c r="M303" i="98"/>
  <c r="M301" i="98"/>
  <c r="M299" i="98"/>
  <c r="M297" i="98"/>
  <c r="M295" i="98"/>
  <c r="M313" i="98"/>
  <c r="M311" i="98"/>
  <c r="M319" i="98"/>
  <c r="M317" i="98"/>
  <c r="M343" i="98"/>
  <c r="M341" i="98"/>
  <c r="M339" i="98"/>
  <c r="M337" i="98"/>
  <c r="M335" i="98"/>
  <c r="M333" i="98"/>
  <c r="M331" i="98"/>
  <c r="M329" i="98"/>
  <c r="M327" i="98"/>
  <c r="M325" i="98"/>
  <c r="M323" i="98"/>
  <c r="M321" i="98"/>
  <c r="M353" i="98"/>
  <c r="M351" i="98"/>
  <c r="M349" i="98"/>
  <c r="M355" i="98"/>
  <c r="M360" i="98"/>
  <c r="M358" i="98"/>
  <c r="M383" i="98"/>
  <c r="M381" i="98"/>
  <c r="M379" i="98"/>
  <c r="M377" i="98"/>
  <c r="M375" i="98"/>
  <c r="M373" i="98"/>
  <c r="M371" i="98"/>
  <c r="M369" i="98"/>
  <c r="M367" i="98"/>
  <c r="M366" i="98"/>
  <c r="M364" i="98"/>
  <c r="M386" i="98"/>
  <c r="M388" i="98"/>
  <c r="M392" i="98"/>
  <c r="M408" i="98"/>
  <c r="M419" i="98"/>
  <c r="M417" i="98"/>
  <c r="M415" i="98"/>
  <c r="M413" i="98"/>
  <c r="M422" i="98"/>
  <c r="M427" i="98"/>
  <c r="M368" i="98"/>
  <c r="M365" i="98"/>
  <c r="M363" i="98"/>
  <c r="M385" i="98"/>
  <c r="M390" i="98"/>
  <c r="M409" i="98"/>
  <c r="M411" i="98"/>
  <c r="M418" i="98"/>
  <c r="M416" i="98"/>
  <c r="M414" i="98"/>
  <c r="M421" i="98"/>
  <c r="M428" i="98"/>
  <c r="M398" i="98"/>
  <c r="M400" i="98"/>
  <c r="M397" i="98"/>
  <c r="M402" i="98"/>
  <c r="M399" i="98"/>
  <c r="M347" i="98"/>
  <c r="M389" i="98"/>
  <c r="M412" i="98"/>
  <c r="M277" i="98"/>
  <c r="M255" i="98"/>
  <c r="M278" i="98"/>
  <c r="M362" i="98"/>
  <c r="M345" i="98"/>
  <c r="M391" i="98"/>
  <c r="M420" i="98"/>
  <c r="M285" i="98"/>
  <c r="M265" i="98"/>
  <c r="M287" i="98"/>
  <c r="M354" i="98"/>
  <c r="M423" i="98"/>
  <c r="M401" i="98"/>
  <c r="M260" i="98"/>
  <c r="M250" i="98"/>
  <c r="M275" i="98"/>
  <c r="M384" i="98"/>
  <c r="M407" i="98"/>
  <c r="M320" i="98"/>
  <c r="M410" i="98"/>
  <c r="M284" i="98"/>
  <c r="M276" i="98"/>
  <c r="M286" i="98"/>
  <c r="M356" i="98"/>
  <c r="M293" i="98"/>
  <c r="M406" i="98"/>
  <c r="M314" i="98"/>
  <c r="M316" i="98"/>
  <c r="M292" i="98"/>
  <c r="M387" i="98"/>
  <c r="M396" i="98"/>
  <c r="M405" i="98"/>
  <c r="M395" i="98"/>
  <c r="M310" i="98"/>
  <c r="M394" i="98"/>
  <c r="M404" i="98"/>
  <c r="M393" i="98"/>
  <c r="M283" i="98"/>
  <c r="M403" i="98"/>
  <c r="M282" i="98"/>
  <c r="M274" i="98"/>
  <c r="M241" i="98"/>
  <c r="M240" i="98"/>
  <c r="M273" i="98"/>
  <c r="M281" i="98"/>
  <c r="M280" i="98"/>
  <c r="M272" i="98"/>
  <c r="M239" i="98"/>
  <c r="M238" i="98"/>
  <c r="M271" i="98"/>
  <c r="M279" i="98"/>
  <c r="M270" i="98"/>
  <c r="M237" i="98"/>
  <c r="M291" i="98"/>
  <c r="M290" i="98"/>
  <c r="M289" i="98"/>
  <c r="M424" i="98"/>
  <c r="M288" i="98"/>
  <c r="M426" i="98"/>
  <c r="L1902" i="98" l="1"/>
  <c r="L1901" i="98" l="1"/>
  <c r="L2425" i="98"/>
  <c r="L1900" i="98" l="1"/>
  <c r="L2424" i="98"/>
  <c r="L2560" i="98" s="1"/>
  <c r="L1690" i="98" l="1"/>
  <c r="L2423" i="98"/>
  <c r="L2562" i="98" l="1"/>
  <c r="L2564" i="98" l="1"/>
  <c r="M2563" i="98" l="1"/>
  <c r="M2564" i="98"/>
  <c r="M2554" i="98"/>
  <c r="M2553" i="98"/>
  <c r="M2421" i="98"/>
  <c r="M2552" i="98"/>
  <c r="M2422" i="98"/>
  <c r="M2555" i="98"/>
  <c r="M2558" i="98"/>
  <c r="M2559" i="98"/>
  <c r="M2557" i="98"/>
  <c r="M2556" i="98"/>
  <c r="M2551" i="98"/>
  <c r="M2379" i="98"/>
  <c r="M2477" i="98"/>
  <c r="M2429" i="98"/>
  <c r="M2543" i="98"/>
  <c r="M2377" i="98"/>
  <c r="M2406" i="98"/>
  <c r="M2431" i="98"/>
  <c r="M2544" i="98"/>
  <c r="M2474" i="98"/>
  <c r="M2440" i="98"/>
  <c r="M2530" i="98"/>
  <c r="M2419" i="98"/>
  <c r="M2521" i="98"/>
  <c r="M2392" i="98"/>
  <c r="M2409" i="98"/>
  <c r="M2454" i="98"/>
  <c r="M2478" i="98"/>
  <c r="M2452" i="98"/>
  <c r="M2430" i="98"/>
  <c r="M2534" i="98"/>
  <c r="M2405" i="98"/>
  <c r="M2541" i="98"/>
  <c r="M2434" i="98"/>
  <c r="M2390" i="98"/>
  <c r="M2417" i="98"/>
  <c r="M2497" i="98"/>
  <c r="M2498" i="98"/>
  <c r="M2475" i="98"/>
  <c r="M2445" i="98"/>
  <c r="M2547" i="98"/>
  <c r="M2420" i="98"/>
  <c r="M2465" i="98"/>
  <c r="M2398" i="98"/>
  <c r="M2489" i="98"/>
  <c r="M2501" i="98"/>
  <c r="M2532" i="98"/>
  <c r="M2522" i="98"/>
  <c r="M2476" i="98"/>
  <c r="M2514" i="98"/>
  <c r="M2464" i="98"/>
  <c r="M2399" i="98"/>
  <c r="M2545" i="98"/>
  <c r="M2510" i="98"/>
  <c r="M2428" i="98"/>
  <c r="M2536" i="98"/>
  <c r="M2533" i="98"/>
  <c r="M2480" i="98"/>
  <c r="M2524" i="98"/>
  <c r="M2441" i="98"/>
  <c r="M2410" i="98"/>
  <c r="M2456" i="98"/>
  <c r="M2439" i="98"/>
  <c r="M2546" i="98"/>
  <c r="M2496" i="98"/>
  <c r="M2523" i="98"/>
  <c r="M2491" i="98"/>
  <c r="M2485" i="98"/>
  <c r="M2376" i="98"/>
  <c r="M2404" i="98"/>
  <c r="M2444" i="98"/>
  <c r="M2442" i="98"/>
  <c r="M2443" i="98"/>
  <c r="M2500" i="98"/>
  <c r="M2393" i="98"/>
  <c r="M2455" i="98"/>
  <c r="M2378" i="98"/>
  <c r="M2411" i="98"/>
  <c r="M2499" i="98"/>
  <c r="M2490" i="98"/>
  <c r="M2451" i="98"/>
  <c r="M2509" i="98"/>
  <c r="M2394" i="98"/>
  <c r="M2432" i="98"/>
  <c r="M2513" i="98"/>
  <c r="M2380" i="98"/>
  <c r="M2408" i="98"/>
  <c r="M2512" i="98"/>
  <c r="M2531" i="98"/>
  <c r="M2466" i="98"/>
  <c r="M2433" i="98"/>
  <c r="M2519" i="98"/>
  <c r="M2407" i="98"/>
  <c r="M2487" i="98"/>
  <c r="M2395" i="98"/>
  <c r="M2502" i="98"/>
  <c r="M2458" i="98"/>
  <c r="M2457" i="98"/>
  <c r="M2396" i="98"/>
  <c r="M2525" i="98"/>
  <c r="M2479" i="98"/>
  <c r="M2467" i="98"/>
  <c r="M2542" i="98"/>
  <c r="M2520" i="98"/>
  <c r="M2453" i="98"/>
  <c r="M2469" i="98"/>
  <c r="M2391" i="98"/>
  <c r="M2511" i="98"/>
  <c r="M2486" i="98"/>
  <c r="M2468" i="98"/>
  <c r="M2416" i="98"/>
  <c r="M2427" i="98"/>
  <c r="M2503" i="98"/>
  <c r="M2418" i="98"/>
  <c r="M2488" i="98"/>
  <c r="M2463" i="98"/>
  <c r="M2535" i="98"/>
  <c r="M2446" i="98"/>
  <c r="M2508" i="98"/>
  <c r="M2450" i="98"/>
  <c r="M2484" i="98"/>
  <c r="M2507" i="98"/>
  <c r="M2462" i="98"/>
  <c r="M2375" i="98"/>
  <c r="M2438" i="98"/>
  <c r="M2388" i="98"/>
  <c r="M2518" i="98"/>
  <c r="M2403" i="98"/>
  <c r="M2473" i="98"/>
  <c r="M2389" i="98"/>
  <c r="M2540" i="98"/>
  <c r="M2397" i="98"/>
  <c r="M2386" i="98"/>
  <c r="M2529" i="98"/>
  <c r="M2495" i="98"/>
  <c r="M2415" i="98"/>
  <c r="M2385" i="98"/>
  <c r="M2426" i="98"/>
  <c r="M2387" i="98"/>
  <c r="M2384" i="98"/>
  <c r="M2374" i="98"/>
  <c r="M2383" i="98"/>
  <c r="M2373" i="98"/>
  <c r="M2494" i="98"/>
  <c r="M2528" i="98"/>
  <c r="M2437" i="98"/>
  <c r="M2372" i="98"/>
  <c r="M2382" i="98"/>
  <c r="M2449" i="98"/>
  <c r="M2414" i="98"/>
  <c r="M2483" i="98"/>
  <c r="M2472" i="98"/>
  <c r="M2539" i="98"/>
  <c r="M2436" i="98"/>
  <c r="M2448" i="98"/>
  <c r="M2550" i="98"/>
  <c r="M2493" i="98"/>
  <c r="M2527" i="98"/>
  <c r="M2461" i="98"/>
  <c r="M2381" i="98"/>
  <c r="M2506" i="98"/>
  <c r="M2435" i="98"/>
  <c r="M2517" i="98"/>
  <c r="M2402" i="98"/>
  <c r="M2526" i="98"/>
  <c r="M2471" i="98"/>
  <c r="M2549" i="98"/>
  <c r="M2460" i="98"/>
  <c r="M2538" i="98"/>
  <c r="M2505" i="98"/>
  <c r="M2482" i="98"/>
  <c r="M2516" i="98"/>
  <c r="M2447" i="98"/>
  <c r="M2413" i="98"/>
  <c r="M2401" i="98"/>
  <c r="M2492" i="98"/>
  <c r="M2412" i="98"/>
  <c r="M2537" i="98"/>
  <c r="M2504" i="98"/>
  <c r="M2400" i="98"/>
  <c r="M2481" i="98"/>
  <c r="M2459" i="98"/>
  <c r="M2470" i="98"/>
  <c r="M2548" i="98"/>
  <c r="M2515" i="98"/>
  <c r="M2425" i="98"/>
  <c r="M2424" i="98"/>
  <c r="M2423" i="98"/>
  <c r="M2560" i="98"/>
  <c r="M2562" i="98"/>
  <c r="M1863" i="98"/>
  <c r="L1862" i="98"/>
  <c r="M1862" i="98" l="1"/>
  <c r="K1012" i="100"/>
  <c r="L1859" i="98"/>
  <c r="L1858" i="98" s="1"/>
  <c r="L1857" i="98" s="1"/>
  <c r="L1920" i="98" s="1"/>
  <c r="M1858" i="98"/>
  <c r="M1859" i="98" l="1"/>
  <c r="K1009" i="100"/>
  <c r="M1857" i="98"/>
  <c r="K1008" i="100" l="1"/>
  <c r="L1923" i="98"/>
  <c r="K1007" i="100" l="1"/>
  <c r="K1070" i="100" s="1"/>
  <c r="L1924" i="98"/>
  <c r="M1923" i="98" s="1"/>
  <c r="M1690" i="98" l="1"/>
  <c r="M1825" i="98"/>
  <c r="M1815" i="98"/>
  <c r="M1807" i="98"/>
  <c r="M1799" i="98"/>
  <c r="M1789" i="98"/>
  <c r="M1778" i="98"/>
  <c r="M1770" i="98"/>
  <c r="M1762" i="98"/>
  <c r="M1754" i="98"/>
  <c r="M1745" i="98"/>
  <c r="M1734" i="98"/>
  <c r="M1726" i="98"/>
  <c r="M1821" i="98"/>
  <c r="M1804" i="98"/>
  <c r="M1785" i="98"/>
  <c r="M1767" i="98"/>
  <c r="M1810" i="98"/>
  <c r="M1793" i="98"/>
  <c r="M1773" i="98"/>
  <c r="M1757" i="98"/>
  <c r="M1738" i="98"/>
  <c r="M1763" i="98"/>
  <c r="M1727" i="98"/>
  <c r="M1731" i="98"/>
  <c r="M1706" i="98"/>
  <c r="M1819" i="98"/>
  <c r="M1875" i="98"/>
  <c r="M1912" i="98"/>
  <c r="M1694" i="98"/>
  <c r="M1828" i="98"/>
  <c r="M1877" i="98"/>
  <c r="M1917" i="98"/>
  <c r="M1711" i="98"/>
  <c r="M1847" i="98"/>
  <c r="M1891" i="98"/>
  <c r="M1704" i="98"/>
  <c r="M1794" i="98"/>
  <c r="M1856" i="98"/>
  <c r="M1911" i="98"/>
  <c r="M1741" i="98"/>
  <c r="M1693" i="98"/>
  <c r="M1719" i="98"/>
  <c r="M1701" i="98"/>
  <c r="M1836" i="98"/>
  <c r="M1904" i="98"/>
  <c r="M1883" i="98"/>
  <c r="M1905" i="98"/>
  <c r="M1886" i="98"/>
  <c r="M1833" i="98"/>
  <c r="M1873" i="98"/>
  <c r="M1691" i="98"/>
  <c r="M1831" i="98"/>
  <c r="M1830" i="98"/>
  <c r="M1901" i="98"/>
  <c r="M1872" i="98"/>
  <c r="M1822" i="98"/>
  <c r="M1813" i="98"/>
  <c r="M1805" i="98"/>
  <c r="M1797" i="98"/>
  <c r="M1786" i="98"/>
  <c r="M1776" i="98"/>
  <c r="M1768" i="98"/>
  <c r="M1760" i="98"/>
  <c r="M1752" i="98"/>
  <c r="M1742" i="98"/>
  <c r="M1732" i="98"/>
  <c r="M1724" i="98"/>
  <c r="M1816" i="98"/>
  <c r="M1800" i="98"/>
  <c r="M1780" i="98"/>
  <c r="M1823" i="98"/>
  <c r="M1806" i="98"/>
  <c r="M1787" i="98"/>
  <c r="M1769" i="98"/>
  <c r="M1753" i="98"/>
  <c r="M1733" i="98"/>
  <c r="M1755" i="98"/>
  <c r="M1759" i="98"/>
  <c r="M1723" i="98"/>
  <c r="M1703" i="98"/>
  <c r="M1841" i="98"/>
  <c r="M1878" i="98"/>
  <c r="M1919" i="98"/>
  <c r="M1705" i="98"/>
  <c r="M1811" i="98"/>
  <c r="M1795" i="98"/>
  <c r="M1774" i="98"/>
  <c r="M1758" i="98"/>
  <c r="M1739" i="98"/>
  <c r="M1722" i="98"/>
  <c r="M1796" i="98"/>
  <c r="M1818" i="98"/>
  <c r="M1783" i="98"/>
  <c r="M1749" i="98"/>
  <c r="M1746" i="98"/>
  <c r="M1924" i="98"/>
  <c r="M1840" i="98"/>
  <c r="M1914" i="98"/>
  <c r="M1843" i="98"/>
  <c r="M1897" i="98"/>
  <c r="M1697" i="98"/>
  <c r="M1844" i="98"/>
  <c r="M1898" i="98"/>
  <c r="M1748" i="98"/>
  <c r="M1876" i="98"/>
  <c r="M1915" i="98"/>
  <c r="M1887" i="98"/>
  <c r="M1839" i="98"/>
  <c r="M1709" i="98"/>
  <c r="M1851" i="98"/>
  <c r="M1916" i="98"/>
  <c r="M1922" i="98"/>
  <c r="M1718" i="98"/>
  <c r="M1707" i="98"/>
  <c r="M1881" i="98"/>
  <c r="M1849" i="98"/>
  <c r="M1900" i="98"/>
  <c r="M1829" i="98"/>
  <c r="M1809" i="98"/>
  <c r="M1792" i="98"/>
  <c r="M1772" i="98"/>
  <c r="M1756" i="98"/>
  <c r="M1736" i="98"/>
  <c r="M1827" i="98"/>
  <c r="M1791" i="98"/>
  <c r="M1814" i="98"/>
  <c r="M1777" i="98"/>
  <c r="M1744" i="98"/>
  <c r="M1735" i="98"/>
  <c r="M1695" i="98"/>
  <c r="M1853" i="98"/>
  <c r="M1698" i="98"/>
  <c r="M1842" i="98"/>
  <c r="M1894" i="98"/>
  <c r="M1714" i="98"/>
  <c r="M1854" i="98"/>
  <c r="M1913" i="98"/>
  <c r="M1826" i="98"/>
  <c r="M1893" i="98"/>
  <c r="M1910" i="98"/>
  <c r="M1721" i="98"/>
  <c r="M1834" i="98"/>
  <c r="M1824" i="98"/>
  <c r="M1884" i="98"/>
  <c r="M1874" i="98"/>
  <c r="M1737" i="98"/>
  <c r="M1692" i="98"/>
  <c r="M1717" i="98"/>
  <c r="M1715" i="98"/>
  <c r="M1907" i="98"/>
  <c r="M1820" i="98"/>
  <c r="M1803" i="98"/>
  <c r="M1784" i="98"/>
  <c r="M1766" i="98"/>
  <c r="M1750" i="98"/>
  <c r="M1730" i="98"/>
  <c r="M1812" i="98"/>
  <c r="M1775" i="98"/>
  <c r="M1802" i="98"/>
  <c r="M1765" i="98"/>
  <c r="M1729" i="98"/>
  <c r="M1751" i="98"/>
  <c r="M1710" i="98"/>
  <c r="M1895" i="98"/>
  <c r="M1712" i="98"/>
  <c r="M1855" i="98"/>
  <c r="M1852" i="98"/>
  <c r="M1788" i="98"/>
  <c r="M1879" i="98"/>
  <c r="M1696" i="98"/>
  <c r="M1845" i="98"/>
  <c r="M1890" i="98"/>
  <c r="M1838" i="98"/>
  <c r="M1835" i="98"/>
  <c r="M1888" i="98"/>
  <c r="M1896" i="98"/>
  <c r="M1743" i="98"/>
  <c r="M1720" i="98"/>
  <c r="M1832" i="98"/>
  <c r="M1708" i="98"/>
  <c r="M1699" i="98"/>
  <c r="M1850" i="98"/>
  <c r="M1903" i="98"/>
  <c r="M1817" i="98"/>
  <c r="M1801" i="98"/>
  <c r="M1782" i="98"/>
  <c r="M1764" i="98"/>
  <c r="M1747" i="98"/>
  <c r="M1728" i="98"/>
  <c r="M1808" i="98"/>
  <c r="M1771" i="98"/>
  <c r="M1798" i="98"/>
  <c r="M1761" i="98"/>
  <c r="M1725" i="98"/>
  <c r="M1740" i="98"/>
  <c r="M1779" i="98"/>
  <c r="M1892" i="98"/>
  <c r="M1781" i="98"/>
  <c r="M1889" i="98"/>
  <c r="M1702" i="98"/>
  <c r="M1790" i="98"/>
  <c r="M1899" i="98"/>
  <c r="M1713" i="98"/>
  <c r="M1848" i="98"/>
  <c r="M1918" i="98"/>
  <c r="M1885" i="98"/>
  <c r="M1906" i="98"/>
  <c r="M1908" i="98"/>
  <c r="M1909" i="98"/>
  <c r="M1846" i="98"/>
  <c r="M1837" i="98"/>
  <c r="M1882" i="98"/>
  <c r="M1700" i="98"/>
  <c r="M1716" i="98"/>
  <c r="M1880" i="98"/>
  <c r="M1902" i="98"/>
  <c r="M1920" i="98"/>
  <c r="L1073" i="100" l="1"/>
  <c r="L2929" i="100" l="1"/>
  <c r="L1018" i="100"/>
  <c r="L1017" i="100"/>
  <c r="L1013" i="100"/>
  <c r="L1010" i="100"/>
  <c r="L935" i="100"/>
  <c r="L1061" i="100"/>
  <c r="L1006" i="100"/>
  <c r="L991" i="100"/>
  <c r="L992" i="100"/>
  <c r="L947" i="100"/>
  <c r="L971" i="100"/>
  <c r="L1025" i="100"/>
  <c r="L1065" i="100"/>
  <c r="L995" i="100"/>
  <c r="L942" i="100"/>
  <c r="L1048" i="100"/>
  <c r="L951" i="100"/>
  <c r="L970" i="100"/>
  <c r="L948" i="100"/>
  <c r="L1002" i="100"/>
  <c r="L1066" i="100"/>
  <c r="L1001" i="100"/>
  <c r="L1038" i="100"/>
  <c r="L1059" i="100"/>
  <c r="L984" i="100"/>
  <c r="L1056" i="100"/>
  <c r="L1033" i="100"/>
  <c r="L987" i="100"/>
  <c r="L1023" i="100"/>
  <c r="L1072" i="100"/>
  <c r="L1053" i="100"/>
  <c r="L963" i="100"/>
  <c r="L962" i="100"/>
  <c r="L1051" i="100"/>
  <c r="L1020" i="100"/>
  <c r="L1016" i="100"/>
  <c r="L960" i="100"/>
  <c r="L1050" i="100"/>
  <c r="L1074" i="100"/>
  <c r="L1019" i="100"/>
  <c r="L1011" i="100"/>
  <c r="L976" i="100"/>
  <c r="L939" i="100"/>
  <c r="L1040" i="100"/>
  <c r="L973" i="100"/>
  <c r="L940" i="100"/>
  <c r="L1029" i="100"/>
  <c r="L957" i="100"/>
  <c r="L1026" i="100"/>
  <c r="L1069" i="100"/>
  <c r="L990" i="100"/>
  <c r="L958" i="100"/>
  <c r="L988" i="100"/>
  <c r="L946" i="100"/>
  <c r="L1055" i="100"/>
  <c r="L966" i="100"/>
  <c r="L965" i="100"/>
  <c r="L1034" i="100"/>
  <c r="L945" i="100"/>
  <c r="L1036" i="100"/>
  <c r="L936" i="100"/>
  <c r="L1022" i="100"/>
  <c r="L980" i="100"/>
  <c r="L1021" i="100"/>
  <c r="L1014" i="100"/>
  <c r="L955" i="100"/>
  <c r="L975" i="100"/>
  <c r="L943" i="100"/>
  <c r="L1042" i="100"/>
  <c r="L993" i="100"/>
  <c r="L1041" i="100"/>
  <c r="L1049" i="100"/>
  <c r="L1039" i="100"/>
  <c r="L1064" i="100"/>
  <c r="L1044" i="100"/>
  <c r="L1005" i="100"/>
  <c r="L1035" i="100"/>
  <c r="L968" i="100"/>
  <c r="L985" i="100"/>
  <c r="L989" i="100"/>
  <c r="L1024" i="100"/>
  <c r="L996" i="100"/>
  <c r="L953" i="100"/>
  <c r="L937" i="100"/>
  <c r="L999" i="100"/>
  <c r="L981" i="100"/>
  <c r="L1030" i="100"/>
  <c r="L1015" i="100"/>
  <c r="L972" i="100"/>
  <c r="L959" i="100"/>
  <c r="L978" i="100"/>
  <c r="L1045" i="100"/>
  <c r="L997" i="100"/>
  <c r="L974" i="100"/>
  <c r="L1062" i="100"/>
  <c r="L1028" i="100"/>
  <c r="L1003" i="100"/>
  <c r="L1027" i="100"/>
  <c r="L1043" i="100"/>
  <c r="L1067" i="100"/>
  <c r="L969" i="100"/>
  <c r="L938" i="100"/>
  <c r="L977" i="100"/>
  <c r="L986" i="100"/>
  <c r="L1058" i="100"/>
  <c r="L967" i="100"/>
  <c r="L983" i="100"/>
  <c r="L944" i="100"/>
  <c r="L1032" i="100"/>
  <c r="L1031" i="100"/>
  <c r="L961" i="100"/>
  <c r="L994" i="100"/>
  <c r="L1047" i="100"/>
  <c r="L979" i="100"/>
  <c r="L998" i="100"/>
  <c r="L1060" i="100"/>
  <c r="L941" i="100"/>
  <c r="L1004" i="100"/>
  <c r="L949" i="100"/>
  <c r="L950" i="100"/>
  <c r="L1068" i="100"/>
  <c r="L956" i="100"/>
  <c r="L1063" i="100"/>
  <c r="L1037" i="100"/>
  <c r="L954" i="100"/>
  <c r="L1054" i="100"/>
  <c r="L1046" i="100"/>
  <c r="L964" i="100"/>
  <c r="L1000" i="100"/>
  <c r="L1057" i="100"/>
  <c r="L952" i="100"/>
  <c r="L982" i="100"/>
  <c r="L1052" i="100"/>
  <c r="L1012" i="100"/>
  <c r="L1009" i="100"/>
  <c r="L1008" i="100"/>
  <c r="L1007" i="100"/>
  <c r="L1070" i="100"/>
  <c r="L2930" i="100" l="1"/>
  <c r="L2931" i="100"/>
  <c r="L2928" i="100"/>
  <c r="I12" i="3" l="1"/>
  <c r="E19" i="4"/>
  <c r="F16" i="3"/>
  <c r="H16" i="3"/>
  <c r="H19" i="4"/>
  <c r="F12" i="3"/>
  <c r="H12" i="3"/>
  <c r="I16" i="3"/>
</calcChain>
</file>

<file path=xl/sharedStrings.xml><?xml version="1.0" encoding="utf-8"?>
<sst xmlns="http://schemas.openxmlformats.org/spreadsheetml/2006/main" count="31334" uniqueCount="11892">
  <si>
    <t>Total Geral:</t>
  </si>
  <si>
    <t>SECRETARIA MUNICIPAL DE EDUCAÇÃO, CULTURA E DESPORTO</t>
  </si>
  <si>
    <t>Estimativa de Valor para Desp C/Servi. P. Juridica</t>
  </si>
  <si>
    <t>Estimativa de Valor para Desp C/Ressarcimento de despesa</t>
  </si>
  <si>
    <t>Estimativa de Valor para Desp C/Vencimentos Servidores Estatutarios e CC</t>
  </si>
  <si>
    <t>Estimativa de Valor para Desp C/Vencimentos Servidores Contratados</t>
  </si>
  <si>
    <t>Estimativa de Valor para Desp C/Serviço P. Juridica</t>
  </si>
  <si>
    <t xml:space="preserve">Alíquota FGTS Patronal S/Vencimentos Servidores </t>
  </si>
  <si>
    <t>Estimativa de Valor para Desp C/Reserva de Contingencia</t>
  </si>
  <si>
    <t>Parametro de ajuste da Despesa com recurso livre</t>
  </si>
  <si>
    <t>Parâmentos Utilizados nas Estimativas das Receitas</t>
  </si>
  <si>
    <t>ESPECIFICAÇÃO</t>
  </si>
  <si>
    <t>SERVIÇOS</t>
  </si>
  <si>
    <t>TAXAS</t>
  </si>
  <si>
    <t>DIVIDA ATIVA TRIBUTARIA</t>
  </si>
  <si>
    <t>DIVIDA ATIVA NÃO TRIBUTARIA</t>
  </si>
  <si>
    <t>CALCÚLO DA TAXA ESFORÇO ARREC. DAS RECEITAS PRÓPRIAS</t>
  </si>
  <si>
    <t>LC 87/96</t>
  </si>
  <si>
    <t>FEX</t>
  </si>
  <si>
    <t>ICMS</t>
  </si>
  <si>
    <t>CIDE</t>
  </si>
  <si>
    <t xml:space="preserve">ESPECIFICAÇÃO  </t>
  </si>
  <si>
    <t xml:space="preserve">TOTAL </t>
  </si>
  <si>
    <t>Valor Arrecadado</t>
  </si>
  <si>
    <t>RECEITA</t>
  </si>
  <si>
    <t>PARÂMETROS</t>
  </si>
  <si>
    <t>Titulos de Responsabilidade do Governo Federal - TDA</t>
  </si>
  <si>
    <t>Rec. De Rend. De Aplic. Financ. Transp. Escolar Estado</t>
  </si>
  <si>
    <t>SERVIÇOS DE COMUNICAÇÃO</t>
  </si>
  <si>
    <t>Media de Percentual da CIDE</t>
  </si>
  <si>
    <t>TRANSFERENCIAS DO ESTADO PARA A SAÚDE</t>
  </si>
  <si>
    <t>MULTA DE TRANSITO</t>
  </si>
  <si>
    <t>PROJEÇÃO DE RETORNO DO FUNDEB POR ETAPAS</t>
  </si>
  <si>
    <t>ETAPA</t>
  </si>
  <si>
    <t>VALOR</t>
  </si>
  <si>
    <t>Pre-Escola Tempo Parcial</t>
  </si>
  <si>
    <t>Séries Iniciais Fundamental - Rural</t>
  </si>
  <si>
    <t>Séries Finais Fundamental - Rural</t>
  </si>
  <si>
    <t>Educação Especial</t>
  </si>
  <si>
    <t>Eja com avaliação no Processo</t>
  </si>
  <si>
    <t>TOTAL</t>
  </si>
  <si>
    <t>RECEITAS DE ORIGEM</t>
  </si>
  <si>
    <t>RETORNO FUNDEB</t>
  </si>
  <si>
    <t>LEI 87/96</t>
  </si>
  <si>
    <t>IPI/EXP</t>
  </si>
  <si>
    <t>DEDUCAO RECEITAS</t>
  </si>
  <si>
    <t>APURAÇÃO DO RESULTADO</t>
  </si>
  <si>
    <t>SE+=GANHO SE-=PERDA</t>
  </si>
  <si>
    <t>PBT</t>
  </si>
  <si>
    <t>PTMC</t>
  </si>
  <si>
    <t>IGDBF</t>
  </si>
  <si>
    <t>CPBF</t>
  </si>
  <si>
    <t>Transf. De Conv. P/ Transp. Escolar</t>
  </si>
  <si>
    <t>PPD</t>
  </si>
  <si>
    <t>MULTA E JUROS DE MORA TAXA VIG. SANITARIA</t>
  </si>
  <si>
    <t>MULTA E JUROS DE MORA IPTU</t>
  </si>
  <si>
    <t>MULTA E JUROS DE MORA ISS</t>
  </si>
  <si>
    <t>MULTA E JUROS DE MORA TAXAS</t>
  </si>
  <si>
    <t>MULTA E JUROS DA DÍVIDA ATIVA IPTU</t>
  </si>
  <si>
    <t>MULTA E JUROS DA DÍVIDA ATIVA ISS</t>
  </si>
  <si>
    <t>MULTA E JUROS DA DÍVIDA ATIVA TAXA</t>
  </si>
  <si>
    <t>(LRF Art. 5º, inciso I)</t>
  </si>
  <si>
    <t>(A)  -  RECURSOS DO TESOURO MUNICIPAL</t>
  </si>
  <si>
    <t>Receitas Totais Previstas</t>
  </si>
  <si>
    <t>Receitas Primárias Previstas (1)</t>
  </si>
  <si>
    <t xml:space="preserve">Despesas Totais Previstas </t>
  </si>
  <si>
    <t>Despesas Primárias Previstas (2)</t>
  </si>
  <si>
    <t>Resultado Primário Previsto  ( 1 – 2)</t>
  </si>
  <si>
    <t>(B) - RECURSOS DO REGIME PRÓPRIO DE PREVIDÊNCIA SOCIAL</t>
  </si>
  <si>
    <t>(C) – CONSOLIDAÇÃO GERAL  (A + B)</t>
  </si>
  <si>
    <r>
      <t xml:space="preserve"> Obs :</t>
    </r>
    <r>
      <rPr>
        <sz val="11"/>
        <color indexed="8"/>
        <rFont val="Arial"/>
        <family val="2"/>
      </rPr>
      <t xml:space="preserve">  </t>
    </r>
  </si>
  <si>
    <t>a) As receitas primárias correspondem às receitas totais deduzidas as operações de crédito, os rendimentos de aplicações financeiras, recebimento de recursos de empréstimos e financiamentos concedidos e as receitas de alienações de bens.</t>
  </si>
  <si>
    <t>DEMONSTRATIVO DA COMPATIBILIDADE DO ORÇAMENTO COM AS METAS FISCAIS</t>
  </si>
  <si>
    <t>b) As despesas primárias correspondem às despesas totais, deduzidas as despesas com juros e amortização da dívida, aquisição de títulos representativos de capital já integralizado e as despesas com a concessão de empréstimos e financiamentos.</t>
  </si>
  <si>
    <t>Tendência Até o Final do Exercício</t>
  </si>
  <si>
    <t>Total</t>
  </si>
  <si>
    <t>Estimativa do Limite Máximo de Gastos do Legislativo</t>
  </si>
  <si>
    <t>Valor previsto para a Receita Efetivamente Arrecadada no Exercício Anterior</t>
  </si>
  <si>
    <t>População do Município</t>
  </si>
  <si>
    <t xml:space="preserve">MEMÓRIA E METODOLOGIA DE CÁLCULO </t>
  </si>
  <si>
    <t>(art. 198 da Constituição Federal)</t>
  </si>
  <si>
    <t>REC. DE CAPITAL INTRA ORÇAMENTÁRIAS</t>
  </si>
  <si>
    <t>DEMONSTRATIVO DA EVOLUÇÃO DA RECEITA POR FONTES (LRF art. 12)</t>
  </si>
  <si>
    <t>LRF Art. 5º, inciso V</t>
  </si>
  <si>
    <t>EVENTO</t>
  </si>
  <si>
    <t>Aumento Permanente da Receita  (1)</t>
  </si>
  <si>
    <t xml:space="preserve">   Decorrente de Receitas Tributárias</t>
  </si>
  <si>
    <t xml:space="preserve">   Decorrente de Transferências Correntes</t>
  </si>
  <si>
    <t>(-)  Transferências ao FUNDEB</t>
  </si>
  <si>
    <t>Impacto de Novas DOCC (2)</t>
  </si>
  <si>
    <t xml:space="preserve">      Relativas a  Pessoal e Encargos Sociais</t>
  </si>
  <si>
    <t xml:space="preserve">      Relativas a  Outras Despesas Correntes</t>
  </si>
  <si>
    <t>Margem Líquida de Expansão de DOCC (1 – 2)</t>
  </si>
  <si>
    <t>Pessoal e Encargos Sociais</t>
  </si>
  <si>
    <t>Outras Despesas Correntes</t>
  </si>
  <si>
    <t>Investimentos</t>
  </si>
  <si>
    <t>Amortização da Dívida</t>
  </si>
  <si>
    <t>Limite Máximo Permitido Cfe  Art. 29-A da Constituição Federal  %S/ R R E A</t>
  </si>
  <si>
    <t>DOTAÇÕES</t>
  </si>
  <si>
    <t>RETENÇÃO</t>
  </si>
  <si>
    <t xml:space="preserve">% </t>
  </si>
  <si>
    <t xml:space="preserve">Pasep </t>
  </si>
  <si>
    <t>PASEP S/RECEITA</t>
  </si>
  <si>
    <t>PASEP S/RECEITA FEP</t>
  </si>
  <si>
    <t>PASEP S/RECEITA FEPE</t>
  </si>
  <si>
    <t>PASEP S/RECEITA CIDE</t>
  </si>
  <si>
    <t>Item</t>
  </si>
  <si>
    <t>Parâmentos Utilizados nas Estimativas das Despesas</t>
  </si>
  <si>
    <t>CRESCIMENTO AUTÔNOMO DE OUTROS CUSTEIOS PODE LEGISLATIVO</t>
  </si>
  <si>
    <t xml:space="preserve">Estimativa de Repasse ao Poder Legislativo </t>
  </si>
  <si>
    <t>Aliquota Parte Patronal IPE</t>
  </si>
  <si>
    <t>GABINETE DO PREFEITO</t>
  </si>
  <si>
    <t>Estimativa de Valor para Desp. C/Serviços de Estagiarios</t>
  </si>
  <si>
    <t>Crescimento Autonomo da Divida Contratada</t>
  </si>
  <si>
    <t>Estimativa de Valor para Desp. C/Sentenças Judiciais de pequeno valor</t>
  </si>
  <si>
    <t>Estimativa de Valor para Desp. C/Sentenças Judiciais diversas</t>
  </si>
  <si>
    <t>Estimativa de Valor para Desp. C/PASEP</t>
  </si>
  <si>
    <t>Estimativa de Valor para Desp. C/Despesas com juros e multa de contribuições previdenciarias</t>
  </si>
  <si>
    <t>Estimativa de Valor para Desp. C/Precatórios</t>
  </si>
  <si>
    <t>Estimativa de Valor para Desp C/Diárias</t>
  </si>
  <si>
    <t>Estimativa de Valor para Desp C/Material de Consumo</t>
  </si>
  <si>
    <t>Estimativa de Valor para Desp C/Auxilio Transporte</t>
  </si>
  <si>
    <t>Estimativa de Valor para Desp C/ressarcimento de despesa</t>
  </si>
  <si>
    <t xml:space="preserve">Estimativa de Valor para Desp. C/Serv. P. Fisica </t>
  </si>
  <si>
    <t xml:space="preserve">Estimativa de Valor para Desp. C/Serv de Colsultoria </t>
  </si>
  <si>
    <t xml:space="preserve">Estimativa de Valor para Desp. C/Diárias </t>
  </si>
  <si>
    <t>Estimativa de Valor para Desp. C/Material de Consumo</t>
  </si>
  <si>
    <t xml:space="preserve">Estimativa de Valor para Desp. C/diárias </t>
  </si>
  <si>
    <t xml:space="preserve">Estimativa de Valor para Desp. C/Serviços P. Fisica  </t>
  </si>
  <si>
    <t xml:space="preserve">Estimativa de Valor para Desp. C/Serviços P. Juridica </t>
  </si>
  <si>
    <t>Estimativa de Valor para Desp. C/ressarcimentos de despesa</t>
  </si>
  <si>
    <t>Estimativa de Valor para Desp. C/contribuições a Uvergs, igam, e outros</t>
  </si>
  <si>
    <t xml:space="preserve">Estimativa de Valor para Desp. C/Material de Consumo </t>
  </si>
  <si>
    <t xml:space="preserve">Estimativa de Valor para Desp. C/Auxilio Transporte </t>
  </si>
  <si>
    <t xml:space="preserve">Estimativa de Valor para Desp. C/Ressarcimentos de Despesas </t>
  </si>
  <si>
    <t xml:space="preserve">Estimativa de Valor para Desp. C/Serv. P. Juridica </t>
  </si>
  <si>
    <t xml:space="preserve">Estimativa de Valor para Desp C/Vencimentos de Servidores Contratados </t>
  </si>
  <si>
    <t xml:space="preserve">Estimativa de Valor para Desp. C/Ressarc. de Desp.  </t>
  </si>
  <si>
    <t>08</t>
  </si>
  <si>
    <t>RESERVA DE CONTINGENCIA</t>
  </si>
  <si>
    <t>09</t>
  </si>
  <si>
    <t>FUNDO DE HABITAÇÃO DE INTERESSE SOCIAL</t>
  </si>
  <si>
    <t>REC. CORRENTES INTRA ORÇAMENTÁRIAS</t>
  </si>
  <si>
    <t>DEMONSTRATIVO DA PREVISÃO DE APLICAÇÃO DE RECURSOS EM AÇÕES E SERVIÇOS PÚBLICOS DE SAÚDE:</t>
  </si>
  <si>
    <t>VALORES PREVISTOS NA LEI DE ORÇAMENTO</t>
  </si>
  <si>
    <t>Orçamento Fiscal</t>
  </si>
  <si>
    <t>Seguridade Social</t>
  </si>
  <si>
    <t>DEMONSTRATIVO DE GASTOS COM PESSOAL E ENCARGOS SOCIAIS EM</t>
  </si>
  <si>
    <t xml:space="preserve"> RELAÇÃO À RECEITA CORRENTE LÍQUIDA PREVISTA</t>
  </si>
  <si>
    <t>Especificação das Receitas</t>
  </si>
  <si>
    <t>Receitas Correntes</t>
  </si>
  <si>
    <t>(-)  I R R F s / Rendimento do Trabalho</t>
  </si>
  <si>
    <t>(-) Contribuição dos Servidores Ativos, Inativos e Pensionistas ao RPPS</t>
  </si>
  <si>
    <t>(-) Compensação Previdenciária ao RPPS</t>
  </si>
  <si>
    <t>(-) Rendimentos de Aplicações do RPPS</t>
  </si>
  <si>
    <t>(-) Deduções para o FUNDEB</t>
  </si>
  <si>
    <t>(-) Outras Deduções</t>
  </si>
  <si>
    <t>(=) Receita Corrente Líquida Prevista  (RCL)</t>
  </si>
  <si>
    <t>Limite Legal para Despesas de Pessoal  do Executivo         (54% x RCL)</t>
  </si>
  <si>
    <t>Limite Prudencial para Despesa de Pessoal do Executivo (51,30% X RCL)</t>
  </si>
  <si>
    <t>Limite Legal para Despesas de Pessoal  do Legislativo  (6% x RCL)</t>
  </si>
  <si>
    <t>Limite Prudencial para Despesa de Pessoal do Legislativo  (5,7% X RCL)</t>
  </si>
  <si>
    <t>Especificação das Despesas</t>
  </si>
  <si>
    <t>Total das Despesas com Pessoal e Encargos Sociais</t>
  </si>
  <si>
    <t>(-) Pensionistas  (Recursos Próprios)</t>
  </si>
  <si>
    <t>(-) IRRF s/  Rendimentos do Trabalho</t>
  </si>
  <si>
    <t>(-)  Sentenças Judiciais de exercícios anteriores</t>
  </si>
  <si>
    <t>(-)  Despesas de pessoal de exercícios anteriores</t>
  </si>
  <si>
    <t>( - )  Outras Deduções da Despesa com Pessoal</t>
  </si>
  <si>
    <t>Despesa com pessoal prevista</t>
  </si>
  <si>
    <t>DEMONSTRATIVO DA ESTIMATIVA E COMPENSAÇÃO DA RENÚNCIA DE RECEITA</t>
  </si>
  <si>
    <t>TRIBUTO</t>
  </si>
  <si>
    <t>MODALIDADE</t>
  </si>
  <si>
    <t>SETORES/ PROGRAMAS/ BENEFICIÁRIO</t>
  </si>
  <si>
    <t>FORMA DE COMPENSAÇÃO</t>
  </si>
  <si>
    <t>Juros e Encargos da Dívida</t>
  </si>
  <si>
    <t>Inversões Financeiras</t>
  </si>
  <si>
    <t>DEMONSTRATIVO DAS  RECEITAS E DESPESAS VINCULADAS AO</t>
  </si>
  <si>
    <t>Valor</t>
  </si>
  <si>
    <t xml:space="preserve"> FUNDO MUNICIPAL DO MEIO AMBIENTE, CRIADO PELA LEI MUNICIPAL 562/2006</t>
  </si>
  <si>
    <t xml:space="preserve"> FUNDO MUNICIPAL DE AGRICULTURA, CRIADO PELA LEI MUNICIPAL  33/1997</t>
  </si>
  <si>
    <t xml:space="preserve"> FUNDO MUNICIPALDA CRIANÇA E DO ADOLESCENTE, CRIADO PELA LEI MUNICIPAL  414/2005</t>
  </si>
  <si>
    <t xml:space="preserve"> FUNDO MUNICIPAL ASSISTÊNCIA SOCIAL, CRIADO PELA LEI MUNICIPAL  154/1999</t>
  </si>
  <si>
    <t xml:space="preserve"> FUNDO MUNICIPAL DE  SAÚDE, CRIADO PELA LEI MUNICIPAL  754/2009</t>
  </si>
  <si>
    <t xml:space="preserve"> FUNDO MUNICIPAL DE  HABITAÇÃO DE INTERESSE SOCIAL, CRIADO PELA LEI MUNICIPAL  758/2009</t>
  </si>
  <si>
    <t>ALTERAÇÕES DO PADRÃO REFERENCIA DO MUNICIPIO</t>
  </si>
  <si>
    <t xml:space="preserve">LEI </t>
  </si>
  <si>
    <t>EXERCÍCIO</t>
  </si>
  <si>
    <t>Exercício</t>
  </si>
  <si>
    <t>Saldo</t>
  </si>
  <si>
    <t>Reestimativa</t>
  </si>
  <si>
    <t>Previsão</t>
  </si>
  <si>
    <t xml:space="preserve"> (1) Dívida Consolidada </t>
  </si>
  <si>
    <t>(2)  Disponibilidades Financeiras (Líquidas)</t>
  </si>
  <si>
    <t>(3) Dívida Consolidada Líquida</t>
  </si>
  <si>
    <t>(4) Passivos Reconhecidos</t>
  </si>
  <si>
    <t>(5) Dívida Fiscal Líquida</t>
  </si>
  <si>
    <t>(6) Resultado Nominal</t>
  </si>
  <si>
    <t>Valores em R$</t>
  </si>
  <si>
    <t xml:space="preserve">Operações de Crédito / Pagamentos </t>
  </si>
  <si>
    <t>Realizado</t>
  </si>
  <si>
    <t xml:space="preserve"> 2.2.3 Dívida Mobiliária</t>
  </si>
  <si>
    <t>Cronograma Anual de Operações Realizadas e do Serviço da Dívida</t>
  </si>
  <si>
    <t xml:space="preserve"> Demonstraitvo da Dívida Fundada</t>
  </si>
  <si>
    <t>RELAÇÃO DE ORDENS PRECATÓRIAS</t>
  </si>
  <si>
    <t>EXERCICIO</t>
  </si>
  <si>
    <t xml:space="preserve">ORDEM </t>
  </si>
  <si>
    <t>ORIGINAL</t>
  </si>
  <si>
    <t>CORRIGIDO</t>
  </si>
  <si>
    <t xml:space="preserve">PAGO </t>
  </si>
  <si>
    <t xml:space="preserve">SALDO </t>
  </si>
  <si>
    <t>%/RCL</t>
  </si>
  <si>
    <t>PERCENTUAL DE AUMENTO SALARIAL REAL</t>
  </si>
  <si>
    <t>Reestimado</t>
  </si>
  <si>
    <t>Receita</t>
  </si>
  <si>
    <t>Especificação</t>
  </si>
  <si>
    <t>REC. CORRENTES</t>
  </si>
  <si>
    <t>Rec. Tributárias</t>
  </si>
  <si>
    <t>Rec. Contribuições</t>
  </si>
  <si>
    <t>Rec. Patrimonial</t>
  </si>
  <si>
    <t>Rec. Agropecuária</t>
  </si>
  <si>
    <t>Rec. Industriais</t>
  </si>
  <si>
    <t>Rec. Serviços</t>
  </si>
  <si>
    <t>Transf. Correntes</t>
  </si>
  <si>
    <t>Outras Rec. Corr.</t>
  </si>
  <si>
    <t>REC. DE CAPITAL</t>
  </si>
  <si>
    <t>Oper. De Crédito</t>
  </si>
  <si>
    <t>Alienação de Bens</t>
  </si>
  <si>
    <t>Empr. Concedidos</t>
  </si>
  <si>
    <t>Transf. De Capital</t>
  </si>
  <si>
    <t>Outras Rec Capital</t>
  </si>
  <si>
    <t>(-) Deduções da Receita</t>
  </si>
  <si>
    <t>T O T A L</t>
  </si>
  <si>
    <t xml:space="preserve">CALCÚLO DO CRESCIMENTO MÉDIO DA ARRECADAÇÃO </t>
  </si>
  <si>
    <t>ESPECIFICAÇÃO  DA RECEITA</t>
  </si>
  <si>
    <t>%</t>
  </si>
  <si>
    <t>MÉDIA</t>
  </si>
  <si>
    <t>IPVA</t>
  </si>
  <si>
    <t>ITR</t>
  </si>
  <si>
    <t>FPM</t>
  </si>
  <si>
    <t>IPI</t>
  </si>
  <si>
    <t>SAL. EDUCAÇÃO</t>
  </si>
  <si>
    <t>FEP</t>
  </si>
  <si>
    <t>FUNDEF/FUNDEB</t>
  </si>
  <si>
    <t>RECEITA TOTAL</t>
  </si>
  <si>
    <t>ARRECADAÇÃO MÉDIA</t>
  </si>
  <si>
    <t>IPTU</t>
  </si>
  <si>
    <t>ISS</t>
  </si>
  <si>
    <t>ITBI</t>
  </si>
  <si>
    <t>RECEITAS CORRENTES</t>
  </si>
  <si>
    <t>RECEITAS DE CAPITAL</t>
  </si>
  <si>
    <t>Receita Tributária</t>
  </si>
  <si>
    <t>Receita Patrimonial</t>
  </si>
  <si>
    <t>Rec. Remun. De dep. banc. de rec. Vinc. - Fundeb</t>
  </si>
  <si>
    <t>Receira De Aplicação Pab</t>
  </si>
  <si>
    <t>Receita De Aplicação Farmácia Básica</t>
  </si>
  <si>
    <t>Receita De Aplicação Municipalização Solidária</t>
  </si>
  <si>
    <t>Receita De Aplicação Vigilância Sanitária</t>
  </si>
  <si>
    <t>Receita De Aplicação Epidemiologia</t>
  </si>
  <si>
    <t>Receita De Aplicação Recursos PACS</t>
  </si>
  <si>
    <t>Receita De Aplicação Mun. Resolve</t>
  </si>
  <si>
    <t>Receita De Aplicação Programa Inverno Gaucho</t>
  </si>
  <si>
    <t>Receita De Aplicação Programa Assist. Farm. Básica</t>
  </si>
  <si>
    <t>Receita De Remun. De Depositos Rec. Vinc. - Mde</t>
  </si>
  <si>
    <t>Receita De Remun. De Depositos Rec. Vinc. - Asps</t>
  </si>
  <si>
    <t>Receita De Remun. De Depositos Rec. Vinc. - cide</t>
  </si>
  <si>
    <t>Receita De Remun. De Dep. Rec. Vinc. - PNATE</t>
  </si>
  <si>
    <t>Receita De Remun. De Dep. Rec. Vinc. - PNAE</t>
  </si>
  <si>
    <t>Receita De Remun. De Dep. Rec. Vinc. - PDDE</t>
  </si>
  <si>
    <t>Receita De Aplicação Recursos Consulta Popular</t>
  </si>
  <si>
    <t>Rec. De Rend. De Aplic. Financ. Fmas Pbt</t>
  </si>
  <si>
    <t>Rec. De Rend. De Aplic. Financ. Fmas Ptmc</t>
  </si>
  <si>
    <t>Rec. De Rend. De Aplic. Financ. Fmas Igdbf</t>
  </si>
  <si>
    <t>Rec. De Rend. De Aplic. Financ. Fmas Cpbf</t>
  </si>
  <si>
    <t>Rec. De Rend. De Aplic. Financ. Fmas oasf peas</t>
  </si>
  <si>
    <t>Rec. De Rend. De Aplic. Financ. FUNDERGS</t>
  </si>
  <si>
    <t>Rec. De Rend. De Aplic. Financ. Fepe</t>
  </si>
  <si>
    <t>Rec. De Rend. De Aplic. Financ. Hora máquina Agricultura</t>
  </si>
  <si>
    <t>Rec. De Rend. De Aplic. Financ. Hora máquina Obras</t>
  </si>
  <si>
    <t>Receita De Aplic. De Rec. Livres Do Poder Executivo</t>
  </si>
  <si>
    <t>Remuneracao De Aplic. De Rec. Do Pode Legislativo</t>
  </si>
  <si>
    <t>Servicos De Inscricao Em Concursos Publicos</t>
  </si>
  <si>
    <t>Servicos De venda de Editais</t>
  </si>
  <si>
    <t>Servicos De Vistorias De Veiculos</t>
  </si>
  <si>
    <t>Servicos De Fotocópias e/ou copias heliograficas</t>
  </si>
  <si>
    <t>Servicos De Prep/cao Da Terra Em Propriedades Particulares</t>
  </si>
  <si>
    <t>Servico De Maquinas</t>
  </si>
  <si>
    <t>Programa Farmacia Basica</t>
  </si>
  <si>
    <t>Programa De Vigilancia Epidemiologica</t>
  </si>
  <si>
    <t>Programa Municipalizacao Solidaria</t>
  </si>
  <si>
    <t>Programa Campanha De Vacinacao</t>
  </si>
  <si>
    <t>Área da unidade territorial (Km²)</t>
  </si>
  <si>
    <t>Código do Município</t>
  </si>
  <si>
    <t>Gentílico</t>
  </si>
  <si>
    <t>chuvisquense</t>
  </si>
  <si>
    <t>Municípios : CHUI  até CRUZEIRO DO SUL</t>
  </si>
  <si>
    <t>MUNICÍPIO</t>
  </si>
  <si>
    <t>PREFIXO</t>
  </si>
  <si>
    <t>CHUVISCA</t>
  </si>
  <si>
    <t>Todas</t>
  </si>
  <si>
    <t>Crescimento do PIB ( Variação Anual)</t>
  </si>
  <si>
    <t>Taxa SELIC ( Média)</t>
  </si>
  <si>
    <t>Base para cálculo</t>
  </si>
  <si>
    <t>Estimativa de  Arrecadação de Taxa de Fiscalização de Vilancia Sanitária</t>
  </si>
  <si>
    <t>Estimativa de  Arrecadação de Taxa De Funcionamento De Estabelecimentos Em Horario Especial</t>
  </si>
  <si>
    <t>Estimativa de  Arrecadação de Taxa De Controle E Fiscalizacao Ambiental</t>
  </si>
  <si>
    <t>Estimativa de  Arrecadação de Taxa De Licenca P/ Execucao De Obras</t>
  </si>
  <si>
    <t>Estimativa de  Arrecadação de Taxa De Autorizacao De Funcionamento De Transporte</t>
  </si>
  <si>
    <t>Estimativa de  Arrecadação de Taxa De Apreensao E Deposito</t>
  </si>
  <si>
    <t>Estimativa de  Arrecadação de Taxa De Utilizacao De Area De Dominio Publico</t>
  </si>
  <si>
    <t>Estimativa de  Arrecadação de Taxa De Aprovacao Do Projeto De Construcao Civil</t>
  </si>
  <si>
    <t>Estimativa de  Arrecadação de Outras Taxas Pelo Exercicio Do Poder De Policia</t>
  </si>
  <si>
    <t>Estimativa de  Arrecadação de Taxa De Licenca Para Funcionamento De Estabelecimentos Comerciais,  Industriais e Prestadora De Serviços</t>
  </si>
  <si>
    <t>Estimativa de  Arrecadação de Emolumentos E Custas Processuais Administrativas</t>
  </si>
  <si>
    <t>Estimativa de  Arrecadação de Taxas De Servicos Cadastrais</t>
  </si>
  <si>
    <t>Estimativa de  Arrecadação de Taxa De Registro/inspecao De Produtos Agropecuarios</t>
  </si>
  <si>
    <t>Estimativa de  Arrecadação de Taxa De Registro No Cadastro Tecnico Ambiental Municipal</t>
  </si>
  <si>
    <t>Estimativa de  Arrecadação de Taxa De Emissao De Certidoes</t>
  </si>
  <si>
    <t>Estimativa de  Arrecadação de Taxa De Expediente E Serviços</t>
  </si>
  <si>
    <t>Rec. de Contribuições</t>
  </si>
  <si>
    <t>Estimativa de  Arrecadação de Contribuicao De  Melhoria Para Expansao Da Rede De  Agua Potavel E Esgoto Sanitario</t>
  </si>
  <si>
    <t>Estimativa de  Arrecadação de Contribuicao De  Melhoria Para Expansao Da Rede De  Iluminacao Publica Na Cidade</t>
  </si>
  <si>
    <t>Estimativa de  Arrecadação de Contribuicao De  Melhoria Para Expansao Da Rede De  Iluminacao Publica Rural</t>
  </si>
  <si>
    <t>Estimativa de  Arrecadação de Contribuicao De  Melhoria Para Pavimentacao E Obras Complementares</t>
  </si>
  <si>
    <t>Estimativa de  Arrecadação de Titulos De Responsabilidade Do Governo Federal - Tda</t>
  </si>
  <si>
    <t>Estimativa de  Arrecadação de Receita De Remuneracao De Depositos  Bancarios De Recursos Vinculados - Fundeb</t>
  </si>
  <si>
    <t>Estimativa de  Arrecadação de Receira De Aplicação Pab</t>
  </si>
  <si>
    <t>Estimativa de  Arrecadação de Receita De Aplicação Farmácia Básica</t>
  </si>
  <si>
    <t>Estimativa de  Arrecadação de Receita De Aplicação Vigilância Sanitária</t>
  </si>
  <si>
    <t>Estimativa de  Arrecadação de Receita De Aplicação Epidemiologia</t>
  </si>
  <si>
    <t>Estimativa de  Arrecadação de Rec. Rem. Dep. Assist. Farm. Basica</t>
  </si>
  <si>
    <t>Estimativa de  Arrecadação de Rec. Rem. Dep. Prog. Incentivo a  Atenção Básica</t>
  </si>
  <si>
    <t>Estimativa de  Arrecadação de Receita De Rem. De Depósitos Rec. Vinc.  Mde</t>
  </si>
  <si>
    <t>Estimativa de  Arrecadação de Receita De Rem. De Depositos Rec. Vinc. Asps</t>
  </si>
  <si>
    <t>Estimativa de  Arrecadação de Receita De Remuneracao De Depositos  Bancarios  Cide</t>
  </si>
  <si>
    <t>Estimativa de  Arrecadação de Receita De Rem. De Depositos  Bancarios  - Pnate</t>
  </si>
  <si>
    <t>Estimativa de  Arrecadação de Receita De Rem. De Depositos  Bancarios  - Salario Educação</t>
  </si>
  <si>
    <t>Estimativa de  Arrecadação de Receita De Rem. De Depositos  Bancarios  - Pnae</t>
  </si>
  <si>
    <t>Estimativa de  Arrecadação de Rec. De Rend. De Aplic. Financ. Fmas Ptmc</t>
  </si>
  <si>
    <t>Estimativa de  Arrecadação de Rec. De Rend. De Aplic. Financ. Fmas Igdbf</t>
  </si>
  <si>
    <t xml:space="preserve">Estimativa de  Arrecadação de Receita De Aplicação FMAS BPC </t>
  </si>
  <si>
    <t>Estimativa de  Arrecadação de Receita De Aplicação FNAS PBV-II</t>
  </si>
  <si>
    <t>Estimativa de  Arrecadação de Rececita De Rendimentos De Aplicação - Fepe</t>
  </si>
  <si>
    <t>Estimativa de  Arrecadação de Receita De Aplicação - Transporte Escolar</t>
  </si>
  <si>
    <t>Estimativa de  Arrecadação de Receita De Aplic. De Rec. Livres Do Poder Executivo</t>
  </si>
  <si>
    <t>Estimativa de  Arrecadação de  Outros Serviços De Comunicação</t>
  </si>
  <si>
    <t>Receita de Serviço</t>
  </si>
  <si>
    <t>Estimativa de  Arrecadação de  Servicos De Inscricao Em Concursos Publicos</t>
  </si>
  <si>
    <t>Estimativa de  Arrecadação de Servicos De Vendas De Editais</t>
  </si>
  <si>
    <t>Estimativa de  Arrecadação de Servicos De Vistorias De Veiculos</t>
  </si>
  <si>
    <t>Estimativa de  Arrecadação de Servicos De Fotocopias E/ou Copias Heliograficas</t>
  </si>
  <si>
    <t xml:space="preserve">Transf. Correntes </t>
  </si>
  <si>
    <t>Estimativa de valor da Quota do PAB por Habitante Ano</t>
  </si>
  <si>
    <t>População do Municipio conforme dados do IBGE</t>
  </si>
  <si>
    <t>Estimativa de valor da Quota do Pab Variavel - Vigilancia Sanitária por Habitante Ano</t>
  </si>
  <si>
    <t>Estimativa de valor da Quota do Pab Variavel - Farmacia Básica  por Habitante Ano</t>
  </si>
  <si>
    <t>Estimativa de valor da Quota do Pab Variavel - PACS</t>
  </si>
  <si>
    <t>Estimativa de quantidade de Agentes Comn. De Saúde a serem Contratados</t>
  </si>
  <si>
    <t>Estimativa de repasse do cadastro sus</t>
  </si>
  <si>
    <t>Estimativa de valor da Quota do Salário Educação</t>
  </si>
  <si>
    <t xml:space="preserve">Estimativa de dias letivos </t>
  </si>
  <si>
    <t>Estimativa de Repasse para  o Fundeb S/FUNDEB S/(FPM, ITR, LEI 87/96, ICMS, IPVA,  IPI/EXP)</t>
  </si>
  <si>
    <t>Estimativa de Repasse para  o MDE S/(FPM, ITR, LEI 87/96, ICMS, IPVA,  IPI/EXP)</t>
  </si>
  <si>
    <t>Estimativa de Repasse para  o ASPS</t>
  </si>
  <si>
    <t>Estimativa de Percentual de para Aplicação de Recursos Livres</t>
  </si>
  <si>
    <t>Estimativa de Repasse para  o ASPS Complemento</t>
  </si>
  <si>
    <t>Estimativa de Repasse para  o MDE S/(Impostos Municipais) Complemento</t>
  </si>
  <si>
    <t>Estimativa de Repasse para  o MDE S/(Impostos Municipais)</t>
  </si>
  <si>
    <t>Estimativa de valor da Quota do Programa PNATE - Ensino Médio</t>
  </si>
  <si>
    <t>Estimativa de valor da Quota do Programa PNATE - Ensino Fundamental</t>
  </si>
  <si>
    <t>Estimativa de valor da Quota do Programa PNATE - Pre-Escola</t>
  </si>
  <si>
    <t>Estimativa de transferencias da Lei 87/96 valor bruto</t>
  </si>
  <si>
    <t>Estimativa de transferencias do Auxilio financeiro Esforço exportador - FEX</t>
  </si>
  <si>
    <t>Estimativa de Outras Transferencias da União</t>
  </si>
  <si>
    <t>Estimativa de Transferencias do Estado - IPVA</t>
  </si>
  <si>
    <t>Estimativa de Transferencias do Estado - IPI/EXP.</t>
  </si>
  <si>
    <t>Estimativa de Transferencias do Estado - CIDE</t>
  </si>
  <si>
    <t>Estimativa de Transferencias do Estado - Assistencia Farmaceutica básica</t>
  </si>
  <si>
    <t>Estimativa de Transferencias do Estado - Vigilancia Epidemiologica</t>
  </si>
  <si>
    <t>Estimativa de Transferencias do Estado - Campanha de Vacinação</t>
  </si>
  <si>
    <t>Estimativa de Transferencias do Estado - Piso de Atenção Básica</t>
  </si>
  <si>
    <t>Estimativa de Transferencias do Estado - Quota Multa de Transito</t>
  </si>
  <si>
    <t xml:space="preserve">Estimativa de Transferencias do Estado - Outras Transferencias  </t>
  </si>
  <si>
    <t xml:space="preserve">Estimativa de Transferencias do Estado - ICMS </t>
  </si>
  <si>
    <t>Estimativa de Quota Aluno FUNDEB - Pré-Escola Tempo Parcial</t>
  </si>
  <si>
    <t>Estimativa de Quota Aluno  FUNDEB - Séries Iniciais Fundamental Rural</t>
  </si>
  <si>
    <t>Estimativa de Quota Aluno  FUNDEB - Séries Finais Fundamental Rural</t>
  </si>
  <si>
    <t>Estimativa de Quota Aluno  FUNDEB - Educação especial</t>
  </si>
  <si>
    <t>Estimativa de Quota Aluno FUNDEB -EJA com avaliação no processo</t>
  </si>
  <si>
    <t>Estimativa de Transferencias de Convenios - PTMC</t>
  </si>
  <si>
    <t>Estimativa de Transferencias de Convenios - IGDBF</t>
  </si>
  <si>
    <t>Estimativa de Transferencias de Convenios - PBV-II</t>
  </si>
  <si>
    <t>Transf. Convenios</t>
  </si>
  <si>
    <t>Estimativa de Transferencias de Convenios do Estado - Transporte Escolar</t>
  </si>
  <si>
    <t>Estimativa de Transferencias de Convenios do Estado -  BPC</t>
  </si>
  <si>
    <t>Outras Rec. Correntes</t>
  </si>
  <si>
    <t>Estimativa de Receitas de Multas E Juros De Mora Do Imposto Sobre A Propriedade Predial E Territorial Urbana - Iptu</t>
  </si>
  <si>
    <t>Estimativa de Receitas de Multas E Juros De Mora Do Imposto Sobre Servicos De Qualquer Natureza - Iss</t>
  </si>
  <si>
    <t>Estimativa de Receitas de Multas E Juros De Mora De Outros Tributos</t>
  </si>
  <si>
    <t>Estimativa de Receitas de Multas E Juros De Mora Da Divida Ativa Do Programa Troca-troca</t>
  </si>
  <si>
    <t>Estimativa de Receitas de Multas Previstas Na Legislacao Sanitaria</t>
  </si>
  <si>
    <t>Estimativa de Receitas de Multas E Juros Previstos Em Contrato</t>
  </si>
  <si>
    <t>Estimativa de Receitas de Multas Por Danos Ao Meio Ambiente</t>
  </si>
  <si>
    <t>Estimativa de Receitas de Restituicoes Determinadas Pelo Tce</t>
  </si>
  <si>
    <t>Estimativa de Receitas de Programa Troca-troca</t>
  </si>
  <si>
    <t>Estimativa de Receitas de Restituicao Pelo Pagamento Indevido</t>
  </si>
  <si>
    <t>Estimativa de Receitas de Restituicoes Do Plano De Assistencia Medica Dos Servidores</t>
  </si>
  <si>
    <t>Estimativa de Receitas de Restituições E Indenizações Diversas</t>
  </si>
  <si>
    <t>Estimativa de Receitas de Receita Da Divida Ativa Do Imposto Sobre A Propriedade Predial E Territorial Urbana - Iptu</t>
  </si>
  <si>
    <t>Estimativa de Receitas de Receita Da Divida Ativa Sobre Servicos De Qualquer Natureza - Iss</t>
  </si>
  <si>
    <t>Estimativa de Receitas de Receita Da Divida Ativa Do Programa Troca-troca</t>
  </si>
  <si>
    <t>Estimativa de Receitas de Receita Da Divida Ativa Nao Tributaria Proveniente Da  Inscricao De Certidao De Decisao-titulo Executivo Do Tce</t>
  </si>
  <si>
    <t>Estimativa de Outras Receitas</t>
  </si>
  <si>
    <t>RECEITA DE CAPITAL</t>
  </si>
  <si>
    <t>Estimativa de Alienação de Veículos</t>
  </si>
  <si>
    <t>DEDUÇÕES DA RECEITA</t>
  </si>
  <si>
    <t>Taxa de Câmbio (R$/US$) – dez</t>
  </si>
  <si>
    <t xml:space="preserve">Estimativa de Percentual de para Aplicação de Recursos Livres FPM 1% </t>
  </si>
  <si>
    <t>Estimativa de Repasse para  o MDE S/FPM 1%</t>
  </si>
  <si>
    <t>X</t>
  </si>
  <si>
    <t>X+</t>
  </si>
  <si>
    <t xml:space="preserve">Estimativa de Quantidade de parcelas de repasses das Quotas do Programa PNATE </t>
  </si>
  <si>
    <t>Estimativa de Transferencias de Convenios - PAIF</t>
  </si>
  <si>
    <t>Estimativa de Parcelas mensais de Transferencias de Convenios - PAIF</t>
  </si>
  <si>
    <t>Estimativa de  Arrecadação de Receita De Aplicação FNAS PAIF</t>
  </si>
  <si>
    <t>Estimativa de Quota FUNDEB - Fonte ITR</t>
  </si>
  <si>
    <t>Estimativa de Quota FUNDEB - Fonte FPM</t>
  </si>
  <si>
    <t>Estimativa de Quota FUNDEB - Fonte LEI 87/96</t>
  </si>
  <si>
    <t>Estimativa de Quota FUNDEB - Fonte ICMS</t>
  </si>
  <si>
    <t>Estimativa de Quota FUNDEB - Fonte IPVA</t>
  </si>
  <si>
    <t>Estimativa de Quota FUNDEB - Fonte IPI/EXP.</t>
  </si>
  <si>
    <t>Estimativa de Quota FUNDEB - Fonte ITCMD</t>
  </si>
  <si>
    <t>SECRETARIA MUNICIPAL DA ADMINISTRAÇÃO</t>
  </si>
  <si>
    <t>SECRETARIA MUNICIPAL DA FAZENDA</t>
  </si>
  <si>
    <t>05</t>
  </si>
  <si>
    <t>07</t>
  </si>
  <si>
    <t>06</t>
  </si>
  <si>
    <t>1 - LIVRE</t>
  </si>
  <si>
    <t>1048 - CIDE</t>
  </si>
  <si>
    <t>1087 - FEPE</t>
  </si>
  <si>
    <t>Estimativa de Transferencias do Estado - Farmacia Básica - Diabete Mellitus minimo de 1,86 p/hb ano</t>
  </si>
  <si>
    <t xml:space="preserve">PROJEÇÃO DAS RECEITAS </t>
  </si>
  <si>
    <t xml:space="preserve">VALOR DE AJUSTE </t>
  </si>
  <si>
    <t>VALOR ESTIMADO PARA ARREDONDAMENTO</t>
  </si>
  <si>
    <t>Recurso</t>
  </si>
  <si>
    <t>Base de Calculo</t>
  </si>
  <si>
    <t>Poder Leg.</t>
  </si>
  <si>
    <t>Alíquota INSS Patronal Poder Executivo</t>
  </si>
  <si>
    <t>Alíquota INSS Patronal S/Prestação de Serviços Pessoa Fisica</t>
  </si>
  <si>
    <t xml:space="preserve">Alíquota INSS Patronal </t>
  </si>
  <si>
    <t>Poder Exec.</t>
  </si>
  <si>
    <t>Média da Variação do IPCA/IGPDI</t>
  </si>
  <si>
    <t>PODER EXECUTIVO</t>
  </si>
  <si>
    <t>Estimativa de valor para Obras e Instalações</t>
  </si>
  <si>
    <t>Estimativa de valor para Aquisição de Equipamento e Material Permanente</t>
  </si>
  <si>
    <t>Estimativa de Valor para Desp C/Aquisição de Equipamentos e Material Permanente</t>
  </si>
  <si>
    <t>Alíquota INSS Patronal S/Vencimentos do Conselho Tutelar</t>
  </si>
  <si>
    <t>Estimativa de  Arrecadação de Rec. Rem. Dep. Farmacia Básica - Diabete Mellitus</t>
  </si>
  <si>
    <t>Unidade:</t>
  </si>
  <si>
    <t>PREVISTO ( INFLAÇÃO + AUM. REAL)</t>
  </si>
  <si>
    <t>REC. DE CAPITAL INTRA - ORÇAM.</t>
  </si>
  <si>
    <t>REC. CORRENTES INTRA-ORÇAM.</t>
  </si>
  <si>
    <t>Receita De Aplicação Programa Incent. A Atenção Básica</t>
  </si>
  <si>
    <t>Receita De Aplicação Programa Assist. Farm. Básica - Diabete Mellitus</t>
  </si>
  <si>
    <t>Rec. De Rend. De Aplic. Financ. Fmas BPC</t>
  </si>
  <si>
    <t>Programa Incent. A Atencao Básica</t>
  </si>
  <si>
    <t>DEMAIS TRANSFERENCIAS DO ESTADO E DA UNIÃO</t>
  </si>
  <si>
    <t>Tabela de Recursos</t>
  </si>
  <si>
    <t>Código</t>
  </si>
  <si>
    <t>Descrição</t>
  </si>
  <si>
    <t>Especificação do Recurso</t>
  </si>
  <si>
    <t xml:space="preserve">RECURSO LIVRE </t>
  </si>
  <si>
    <t>RECURSO REFERENTE A 25% CONFORME ARTIGO 212 DA C.F.</t>
  </si>
  <si>
    <t>REGISTRA RECURSOS DO FUNDEF</t>
  </si>
  <si>
    <t>ESTE TEM POR OBJETIVO REGISTRAR AS RECEITAS E DESPESAS DO RECUROS DO FUNDEB</t>
  </si>
  <si>
    <t>REGISTRIA AS RECEITAS E DESPESAS COM SAÚDE</t>
  </si>
  <si>
    <t>registra os valores da arrecadação em propriedades particulares</t>
  </si>
  <si>
    <t>Registra a Receita de Serviços de Máquinas.</t>
  </si>
  <si>
    <t xml:space="preserve">Registra a arrecadação de Serviços de Comunicação gerada pelas centrais telefonicas no interior do municipio. </t>
  </si>
  <si>
    <t>Registra os Recursos do Programa Saúde da Família.</t>
  </si>
  <si>
    <t>Registra os Recursos do Programa Agentes Comunitários de Saúde</t>
  </si>
  <si>
    <t>Registra os Recursos do Piso de Atenção Básica</t>
  </si>
  <si>
    <t>REGISTRA OS RECURSOS DO PISO DE ATENÇÃO BÁSICO VARIÁVEL COMO : EPIDEMIOLOGIA, VIGILANCIA SANITÁRIA, FARMACIA BASICA.</t>
  </si>
  <si>
    <t>Registra os Recursos do Programa Dinheiro Direto na Escola</t>
  </si>
  <si>
    <t>REGSITRA AS RECEITAS E DESPESAS RECURSO PNAE</t>
  </si>
  <si>
    <t>Registra Recursos diversos para saúde</t>
  </si>
  <si>
    <t>registra os recursos do salário educação</t>
  </si>
  <si>
    <t>REGISTRA OS RECURSOS RECEBIDOS ATRAVES DO COREDE CENTRO-SUL</t>
  </si>
  <si>
    <t xml:space="preserve">RESGISTRA OS RECURSOS DO TRANSPORTE ESCOLAR DO ESTADO PARA ENSINO FUNDAMENTAL E MEDIO. </t>
  </si>
  <si>
    <t>REGISTRA AS DESPESAS E RECEITAS DO RECURSO MUN. SOLIDARIA</t>
  </si>
  <si>
    <t>REGISTRA OS RECURSOS PARA CAMPANHA DE VACINAÇÃO</t>
  </si>
  <si>
    <t>REGISTRA OS RECURSOS DO PROGRAMA SAÚDE MENTAL</t>
  </si>
  <si>
    <t>REGISTRA OS RECURSOS DO PROGRAMA SAÚDE BUCAL</t>
  </si>
  <si>
    <t>REGISTRA OS RECURSOS PARA O FUNDO MUNICIPAL DE ASSISTENCIA SOCIAL</t>
  </si>
  <si>
    <t>REGISTRA OS RECURSOS DA CIDE</t>
  </si>
  <si>
    <t>REGISTRA OS RECURSOS DO PROGRAMA MORAR MELHOR</t>
  </si>
  <si>
    <t>REGISTRA OS RECURSO DO PROGRAMA PASS</t>
  </si>
  <si>
    <t>REGISTRA OS RECURSOS DO PRGRAMA NACIONAL DE TRANSPORTE ESCOLAR.</t>
  </si>
  <si>
    <t>REGISTRA OS RECURSOS DE TRANSF. DE PROGRAMAS PARA SAÚDE DO GOVERNO DO ESTADO.</t>
  </si>
  <si>
    <t>REGISTRA A TRANSFERENCIA DE RECURSOS DO ESTADO</t>
  </si>
  <si>
    <t>REGISTRA OS RECURSOS DO PROGRAMA TROCA/TROCA</t>
  </si>
  <si>
    <t>registra a arrecadação proveniente da alienação de bens</t>
  </si>
  <si>
    <t>FUNDO MUNICIPAL DA ASSISTENCIA SOCIAL RECURSOS FEDERAIS</t>
  </si>
  <si>
    <t>REGISTRA OS RECURSOS DO FUNDO MUNICIPAL DE ASSISTENCIA SOCIAL</t>
  </si>
  <si>
    <t>RECURSOS SANEAMENTO BÁSICO</t>
  </si>
  <si>
    <t>REGISTRA OS RECURSOS DO PROGRAMA TROCA-TROCA</t>
  </si>
  <si>
    <t xml:space="preserve">ESTE TEM POR OBJETIVO REGISTRAR AS RECEITAS ORIUNDAS DE MULTAS DE TRANSITO. </t>
  </si>
  <si>
    <t>REGISTRA OS RECURSOS DA CAMPANHA DE VACINAÇÃO</t>
  </si>
  <si>
    <t>REGISTRA OS VALORES DA CONSULTA POPULAR</t>
  </si>
  <si>
    <t>RECURSOS CIDE</t>
  </si>
  <si>
    <t>REGISTRA AS DESPESAS E RECEITAS RECURSO PNATE</t>
  </si>
  <si>
    <t>REGISTRA AS RECEITAS E DESPESAS DO RECURSO FEX.</t>
  </si>
  <si>
    <t>REGISTRA AS RECEITAS E DESPESAS DO PROGRAMA MAR DE DENTRO</t>
  </si>
  <si>
    <t>REGISTRA AS RECEITAS E DESPEAS DO RECURSO FNS</t>
  </si>
  <si>
    <t>REGISTRA AS RECEITAS E DESPESAS DO RECURSO CCFGS</t>
  </si>
  <si>
    <t>REGISTRA AS RECEITAS E DESPESAS DO RECURSO PRADEM</t>
  </si>
  <si>
    <t>REGISTRA AS RECEITAS E DESPESAS DO REC. FARMACIA BASICA</t>
  </si>
  <si>
    <t>REGISTRA AS RECEITAS E DESPESAS DO REC. VIGILANCIA SANITARIA</t>
  </si>
  <si>
    <t>REGISTRA AS DESPESAS E RECEITAS DO RECURSO ASSIST. FARM. BASICA DO ESTADO.</t>
  </si>
  <si>
    <t>REGISTRA AS RECEITAS E DESPESAS DO REC. VIG. EPIDEMIOLOGICA</t>
  </si>
  <si>
    <t>REGISTRA AS RECEITAS E DESPESAS DO REC. ASSEMA</t>
  </si>
  <si>
    <t>REGISTRA AS RECEITAS E DESPESAS DO REC. TERCEIRA IDADE</t>
  </si>
  <si>
    <t>REGISTRA AS RECEITAS E DESPESAS DO REC. PPD</t>
  </si>
  <si>
    <t>ESTE  TEM POR OBJETIVO REGISTRAR AS RECEITAS E DESPESAS RECURSO SANEAMENTO BASICO PEQU. COMUNIDADES.</t>
  </si>
  <si>
    <t>ESTE TEM POR OBJETIVO O REGISTRO DE RECEITAS E DESPESAS DE EMENDAS PARLAMENTARES</t>
  </si>
  <si>
    <t>VISA REGISTRAR AS RECEITAS E DESPESAS DE EMENDA PARLAMENTAR PARA IMPLANTACAO E MELHORIAS DE OBRAS DE INFRA-ESTRUTURA URBANAS</t>
  </si>
  <si>
    <t>ESTE TEM POR ONJETIVO O REGISTRO DE RECEITAS E DESPESAS DO RECURSO FUNDERGS</t>
  </si>
  <si>
    <t>ESTE TEM POR OBJETIVO EFETUAR O REGISTRO DE RECEITAS E DESPESAS DE RECURSOS PARA AMPLICAO DO POSTO DE SAUDE</t>
  </si>
  <si>
    <t>REGISTRA OS RECURSOS DO PROGRAMA EJA</t>
  </si>
  <si>
    <t>ESTE RECURSO TEM POR OBJETIVO REGISTRAR AS DESPESAS DO PROGRAMA INVERNO GAUCHO.</t>
  </si>
  <si>
    <t>ESTE RECURSO TEM POR OBJETIVO REGISTRAR AS RECEITAS E DESPESAS  DE CUSTEIO DA FESTA DO FUMO.</t>
  </si>
  <si>
    <t>ESTE RECURSO TEM POR OBJETIVO REGISTRAR AS RECEITAS E DESPESAS DE SUBVENCOES RECEBIDAS DA ASSEMBLEIA LEGISLATIVA DO ESTADO DO R.G.S.</t>
  </si>
  <si>
    <t>REGISTRA AS RECEITAS E DESPESAS DO CADASTRO SUS</t>
  </si>
  <si>
    <t>ESTE TEM POR OBJETIVO REGISTRAR AS DESPESAS E RECEITAS COM PISO BASICO DE TRANSICAO.</t>
  </si>
  <si>
    <t>ESTE TEM POR OBJETIVO REGISTRAR AS RECEITAS E DESPESAS DO PISO DE TRANSICAO DE MEDIA COMPLEXIDADE.</t>
  </si>
  <si>
    <t>ESTE TEM POR OBJETIVO REGISTRAR AS DESPESAS E RECEITAS DO INDICE DE GESTAO DE DESENVOLVIMENTO BOLSA FAMILIA</t>
  </si>
  <si>
    <t>ESTE REGISTRA AS RECEITAS E DESPESAS DO CADASTRO PROGRAMA BOLSA FAMILIA.</t>
  </si>
  <si>
    <t>ESTE TEM POR OBJETIVO O REGISTRO DE RECEITAS E DESPESAS DE EMENDAS PARLAMENTARES DO MIN. DOS ESPORTES.</t>
  </si>
  <si>
    <t>ESTE TEM POR OBEJETIVO REGISTRAR AS RECEITAS E DESPESAS DE EMENDAS PARLAMENTARES RECEBIDAS DO MINISTERIO DAS COMUNICACOES.</t>
  </si>
  <si>
    <t>TEM POR OBJETIVO REGISTRAR AS RECEITAS E DESPESAS DO PACS ESTADUAL.</t>
  </si>
  <si>
    <t>ESTE TEM POR OBJETIVO O REGISTRO DE RECEITAS E DESPESAS DO PROGRAMA AFB - MED. HIP. E DIABETICOS</t>
  </si>
  <si>
    <t>ESTE TEM POR OBJETIVO O REGISTRO DAS RECEITAS E DESPESAS REFERENTES A TRANSF. DE RECURSOS DO MIN. DA ASSISTENCIA SOCIAL</t>
  </si>
  <si>
    <t>ESTE TEM POR OBJETIVO REGISTRAR AS RECEITAS E DESPESAS DE EMENDAS PARLAMENTARES DO MIN. AGRICULTURA</t>
  </si>
  <si>
    <t>ESTE TEM POR OBJETIVO O REGISTRO DAS RECEITAS E DESPESAS DO RECURSO MUNICIPIO RESOLVE</t>
  </si>
  <si>
    <t>ESTE TEM POR OBJETIVO REGISTRAR OS RECEUSOS REF. A EMENDAS PARLAMENTARES DO MIN. EDUCACAO.</t>
  </si>
  <si>
    <t>REGISTRA AS RECEITAS E  DESPESA RECURSO AFB</t>
  </si>
  <si>
    <t>registra as receitas e despesas do programa pim.</t>
  </si>
  <si>
    <t>REGISTRA AS RECEITAS DE DESPESAS DO RECURSO MERENDA ESCOLAR DO ESTADO.</t>
  </si>
  <si>
    <t>REGISTRA AS RECEITAS E DESPESAS DO FUNDO ESPECIAL PETROLEO - FEP</t>
  </si>
  <si>
    <t>ESTE TEM POR OBJETIVO REGISTRAR AS RECEITAS E DESPESAS E OPERACOES FINANCEIRAS E CONTABEIS DO RECURSO PRODESA.</t>
  </si>
  <si>
    <t>ESTE TEM POR OBJETIVO O REGISTRO DE RECEITAS E DESPESAS DO RECURSO PARA CALÇAMENTO DE RUA PROVENIENTE DE EMENDA PARLAMENTAR DO MINISTERIO DO TURISMO.</t>
  </si>
  <si>
    <t>REGISTRA AS RECEITAS E DESPESAS DE CONVENIOS COM A FUNDERGS</t>
  </si>
  <si>
    <t>ESTE TEM POR OBJETIVO REGISTRAR AS RECEITAS E DESPESAS COM RECURSOS DO MIN. DO TURISMO.</t>
  </si>
  <si>
    <t>ESTE TEM POR OBJETIVO REGSITRAR AS RECEITAS E DESPESAS REF. A  TRANSF. PARA OBRAS DE ENERGIA ELETRICA.</t>
  </si>
  <si>
    <t>ESTE TEM POR OBJETIVO REGSITRAR AS RECEITAS E DESPESAS REF. A  TRANSF. PARA DESENVOLVIMENTIO DO TURISMO.</t>
  </si>
  <si>
    <t>ESTE TEM POR OBJETIVO REGSITRAR AS RECEITAS E DESPESAS REF. A  TRANSF. PARA DESENV. DA CULTURA.</t>
  </si>
  <si>
    <t>ESTE TEM POR OBJETIVO REGSITRAR AS RECEITAS E DESPESAS REF. A  TRANSF. PARA DESENVOLVIMENTO DA ASSISTENCIA SOCIAL.</t>
  </si>
  <si>
    <t>ESTE TEM POR OBJETIVO REGSITRAR AS RECEITAS E DESPESAS REF. A  TRANSF. PARA AQUISIÇÃO DE PATRULHA AGRÍCOLA.</t>
  </si>
  <si>
    <t>ESTE TEM POR OBJETIVO REGISTRAR AS RECEITAS E DESPESAS ORIUNDAS DE EMENDAS PARLAMENTARES PARA OBRAS DE ENERGIA ELETRICA RURAL.</t>
  </si>
  <si>
    <t>ESTE TEM POR OBJETIVO REGISTRAR OS RECUROS PROVENIENTE DO PROGRAMA CAMINHOS DA ESCOLA</t>
  </si>
  <si>
    <t>ESTE TEM PR OBJETIVO O REGISTRO DAS RECEITAS E DESPESAS DO PROGRAMA OASF - FEAS</t>
  </si>
  <si>
    <t>este tem por objetivo registrar as receitas e despesas referentes a emendas parlamentares para adequacao do lixao.</t>
  </si>
  <si>
    <t>ESTE TEM POR OBJETIVO O REGISTRO DOS RECURSOS DO PROGRAMA FINAME/PROVIAS.</t>
  </si>
  <si>
    <t>ESTE TEM POR OBJETIVO REGISTRAR A MOVIMENTACAO DOS RECURSOS DE TRANSFERENCIAS DA UNIAO PARA AGRIFEST.</t>
  </si>
  <si>
    <t>ESTE TEM POR OBJETIVO REGISTRAR A MOVIMENTACAO DE RECURSOS DA UNIAO PARA PLANO DE HABITACAO.</t>
  </si>
  <si>
    <t>ESTE TEM POR OBJETIVO REGISTRAR A MOVIMENTACAO DOS RECURSOS DO PROGRAMA MINHA CASA MINHA VIDA DA UNIAO</t>
  </si>
  <si>
    <t>ESTE TEM POR OBJETIVO REGISTRAR A MOVIMENTACAO DE RECURSOS PARA CALCAMENTO DAS RUAs.</t>
  </si>
  <si>
    <t>TEM POR OBJETIVO REGISTRAR AS RECEITAS E DESPESAS DO PROGRAMA FMAS BPC</t>
  </si>
  <si>
    <t>ESTE TEM POR OBJETIVO REGISTRAR AS RECEITAS E DESPESAS DE RECURSOS RECEBIDOS PARA DEFESA CIVIL.</t>
  </si>
  <si>
    <t>ESTE TEM POR OBJETIVO REGSITRAR AS RECEITAS E DESPESAS REF. A  CONVENIOS COM DAER.</t>
  </si>
  <si>
    <t>ESTE TEM POR OBJETIVO REGSITRAR AS RECEITAS E DESPESAS REF. A  RECURSO PBV-II</t>
  </si>
  <si>
    <t>ESTE TEM POR OBJETIVO REGSITRAR AS RECEITAS E DESPESAS REF. A  RECURSO FMASPBFI.</t>
  </si>
  <si>
    <t>este tem por objetivo registrar as receitas e despesas do recurso CONSULTA POPULAR - P/Aquisição de Material Esportivo</t>
  </si>
  <si>
    <t>este tem por objetivo registrar as receitas e despesas do recurso da consulta popular P/Cursos Capacitação do Trabalhador</t>
  </si>
  <si>
    <t>este tem por objetivo registras as receitas e despesas do recurso consulta popular para Recuperacao De Areas Degradadas</t>
  </si>
  <si>
    <t>este tem o objetivo de resgistrar as receitas e despesas do recurso consulta popular para  Mata Ciliares</t>
  </si>
  <si>
    <t>este tem por objetivo registrar as receitas e despesas da consulta popular para Conservacao De Estradas</t>
  </si>
  <si>
    <t>este tem por objetivo o registro de despesas e receitas do recurso consulta popular para Melhorias De Vias De Acesso Rural</t>
  </si>
  <si>
    <t>este tem por objetivo registrar as receitas e despesas da consulta popular p/ Estradas Vicinais</t>
  </si>
  <si>
    <t>este tem por objetivo registrar as receitas e despesas da consulta popular para Patrulha Agricola</t>
  </si>
  <si>
    <t>este tem por objetivo registrar as receitas e despesas do recurso consulta popular para  Aquisição de Iimplementos Agricolas</t>
  </si>
  <si>
    <t>PBF</t>
  </si>
  <si>
    <t>ESTE TEM POR OBJETIVO REGSITRAR AS RECEITAS E DESPESAS REF. A  RECURSO PBF</t>
  </si>
  <si>
    <t>ESTE TEM POR OBJETIVO REGISTRAR AS RECEITAS E DESPESAS DO RECURSO DE CONVENIOS DO MAPA.</t>
  </si>
  <si>
    <t>este tem por objetivo o registro das receitas e despesas da municipalizacao solidaria.</t>
  </si>
  <si>
    <t>TEM POR OBJETIVO RESGISTRAR AS RECEITAS E DESPESAS DO PROGRAMA MUNICIPIO RESOLVE</t>
  </si>
  <si>
    <t>ESTE TEM POR OBJETIVO REGISTRAR A MOVIMENTAÇÃO DO PROGRAMA DE INCENTIVA A ATENÇÃO BÁSICA.</t>
  </si>
  <si>
    <t>ESTE RECURSO TEM POR OBJETIVO REGISTRAR AS RECEITAS E DESPESAS DOS RECURSOS MUNICIPIO RESOLVE E MUNCIPALIZACAO SOLIDARIA.</t>
  </si>
  <si>
    <t>ESTE TEM POR OBJETIVO O REGISTRO DE RECEITAS E DESPESAS DO PROGRAMA INVERNO GAUCHO</t>
  </si>
  <si>
    <t>ESTE TEM POR OBJETIVO REGISTRAR AS RECEITAS E DESPESAS DA FARMACIA BASICA</t>
  </si>
  <si>
    <t>este tem por objetivo o registro de receitas e despesas da farmacia basica, conforme portaria 2982/09 do ms-gm.</t>
  </si>
  <si>
    <t>REGISTRA AS DESPESAS E RECEITAS DO PROGRAMA SAUDE MENTAL</t>
  </si>
  <si>
    <t>TEM POR OBJETIVO O REGISTRO DAS RECEITAS E DESPESA DO RECURSO PACS</t>
  </si>
  <si>
    <t>REGISTRA AS RECEITAS E DESPESAS PROGRAMA SAUDE BUCAL</t>
  </si>
  <si>
    <t>REGISTRA AS RECEITAS E DESPESAS DO RECURSO PRIMEIRA INFANCIA MELHOR - PIM</t>
  </si>
  <si>
    <t>RESGISTRA OS RECURSOS DA VIGILANCIA EPIDEMIOLOGICA</t>
  </si>
  <si>
    <t>este tem por objetivo registrar a movimentacao de recursos para aquisicao de equipamentos da consulta popular.</t>
  </si>
  <si>
    <t>ESTE TEM POR OBJETIVO REGSITRAR OS RECURSOS DA CONSULTA POPULAR PARA A SAUDE.</t>
  </si>
  <si>
    <t>REGISTRA AS DESPESAS E RECEITAS DA CONSULTA POPULAR PROJETO SAUDE PARA TODOS.</t>
  </si>
  <si>
    <t>ESTE TEM POR OBJETIVO REFGISTRAR AS RECEITAS E DESPESAS DA CONSULTA POPULAR PARA REDE DE AGUA.</t>
  </si>
  <si>
    <t>Este tem por objetivo registrar a movimentacao de recursos da consulta popular para a aquisicao de veiculos.</t>
  </si>
  <si>
    <t>TEM POR OBEJETIVO REGISTRAR AS RECEITAS E DESPESAS DE CONVENIOS, EMENDAS PARLAMENTARES E TERMOS DE COMPROMISSO.</t>
  </si>
  <si>
    <t>registras as receitas e despesas programa afb</t>
  </si>
  <si>
    <t>REGISTRA AS RECEITAS E DESPESAS DO PAB FIXO</t>
  </si>
  <si>
    <t>REGISTRA AS RECEITAS E DESPESAS DO PROG. SAUDE DA FAMILIA - PSF</t>
  </si>
  <si>
    <t>RESGISTRA AS RECEITAS E DESPESAS DO PACS</t>
  </si>
  <si>
    <t>ESTE TEM POR OBJETIVO O REGISTRO DAS RECEITAS E DESPESAS DO RECURSO VIGILANCIA SANITARIA - PAB VARIAVEL.</t>
  </si>
  <si>
    <t>este tem por objetivo registrar as receitas e despesas do programa de vigilancia sanitaria</t>
  </si>
  <si>
    <t>REGISTRA RECEITAS E DESPESAS FARMACIA BASICA</t>
  </si>
  <si>
    <t>este tem por objetivo o registro das receitas e despesas do programa de medicamentos para hipertensos, diabeticos, asma, renite, saude mental, saude da mulher, alimentacao e nutricao e combate ao tabagismo.</t>
  </si>
  <si>
    <t>este tem por objetivo registrar as receitas e despesas da transferencia pela informacao e informatica em saude.</t>
  </si>
  <si>
    <t>ESTE TEM POR OBJETIVO REGISTRAR AS RECEITAS E DESPESAS DE EMENDAS PARLAMENTARES PARA AQUISICAO DE EQUIPAMENTOS PARA A UBS.</t>
  </si>
  <si>
    <t>ESTE TEM POR OBJETIVO REGISTRAR AS RECEITAS E DESPESAS DE EMENDAS PARLAMENTARES PARA CONSTRUÇÃO OU AMPLIACAO DA UBS</t>
  </si>
  <si>
    <t xml:space="preserve">ESTE TEM POR OBJETIVO REGISTRAR AS RECEITAS DESPESAS DE EMENDAS PARALEMNTARES DA UNIAO OU CONVENIOS COM FUNASA PARA PARA SANEAMENTO </t>
  </si>
  <si>
    <t>ESTE TEM POR OBJETIVO REGISTRAR AS RECEITAS E DESPESAS DE CONVENIOS PARA A AREA DE SAÚDE.</t>
  </si>
  <si>
    <t>Legislativa</t>
  </si>
  <si>
    <t>Defesa Nacional</t>
  </si>
  <si>
    <t>Segurança Pública</t>
  </si>
  <si>
    <t>Relações Exteriores</t>
  </si>
  <si>
    <t>Assistência Social</t>
  </si>
  <si>
    <t>Previdência Social</t>
  </si>
  <si>
    <t>Saúde</t>
  </si>
  <si>
    <t>Trabalho</t>
  </si>
  <si>
    <t>Educação</t>
  </si>
  <si>
    <t>Cultura</t>
  </si>
  <si>
    <t>Direitos da Cidadania</t>
  </si>
  <si>
    <t>Urbanismo</t>
  </si>
  <si>
    <t>Habitação</t>
  </si>
  <si>
    <t>Saneamento</t>
  </si>
  <si>
    <t>Ciência e Tecnologia</t>
  </si>
  <si>
    <t>Gestão Ambiental</t>
  </si>
  <si>
    <t>Agricultura</t>
  </si>
  <si>
    <t>Organização Agrária</t>
  </si>
  <si>
    <t>Indústria</t>
  </si>
  <si>
    <t>Comércio e Serviços</t>
  </si>
  <si>
    <t>Comunicações</t>
  </si>
  <si>
    <t>Energia</t>
  </si>
  <si>
    <t>Transporte</t>
  </si>
  <si>
    <t>Desporto e Lazer</t>
  </si>
  <si>
    <t>Encargos Especiais</t>
  </si>
  <si>
    <t>Controle Externo</t>
  </si>
  <si>
    <t>Administração Geral</t>
  </si>
  <si>
    <t>Administração Financeira</t>
  </si>
  <si>
    <t>Comunicação Social</t>
  </si>
  <si>
    <t>Administração de Concessões</t>
  </si>
  <si>
    <t>Administração de Receitas</t>
  </si>
  <si>
    <t>Defesa Naval</t>
  </si>
  <si>
    <t>Defesa Terrestre</t>
  </si>
  <si>
    <t>Defesa Área</t>
  </si>
  <si>
    <t>Informação e Inteligência</t>
  </si>
  <si>
    <t>Defesa Civil</t>
  </si>
  <si>
    <t>Policiamento</t>
  </si>
  <si>
    <t>Cooperação Internacional</t>
  </si>
  <si>
    <t>Relações Diplomáticas</t>
  </si>
  <si>
    <t>Assistência à Criança e ao Adolescente</t>
  </si>
  <si>
    <t>Assistência Comunitária</t>
  </si>
  <si>
    <t>Outros Encargos Especiais</t>
  </si>
  <si>
    <t>Assistência ao Portador de Deficiência</t>
  </si>
  <si>
    <t>Assistência ao Idoso</t>
  </si>
  <si>
    <t>Previdência do Regime Estatutário</t>
  </si>
  <si>
    <t>Previdência Básica</t>
  </si>
  <si>
    <t>Previdência Complementar</t>
  </si>
  <si>
    <t>Previdência Especial</t>
  </si>
  <si>
    <t>Suporte Profilático e Terapêutico</t>
  </si>
  <si>
    <t>Vigilância Sanitária</t>
  </si>
  <si>
    <t>Vigilância Epidemiológica</t>
  </si>
  <si>
    <t>Alimentação e Nutrição</t>
  </si>
  <si>
    <t>Atenção Básica</t>
  </si>
  <si>
    <t>Assistência Hospitalar e Ambulatorial</t>
  </si>
  <si>
    <t>Relação de Trabalho</t>
  </si>
  <si>
    <t>Empregabilidade</t>
  </si>
  <si>
    <t>Proteção e Benefícios ao Trabalhador</t>
  </si>
  <si>
    <t>Fomento ao Trabalho</t>
  </si>
  <si>
    <t>Educação Infantil</t>
  </si>
  <si>
    <t>Educação de Jovens e Adultos</t>
  </si>
  <si>
    <t>Transporte Rodoviário</t>
  </si>
  <si>
    <t>Ensino Superior</t>
  </si>
  <si>
    <t>Ensino Fundamental</t>
  </si>
  <si>
    <t>Ensino Médio</t>
  </si>
  <si>
    <t>Ensino Profissional</t>
  </si>
  <si>
    <t>Difusão Cultural</t>
  </si>
  <si>
    <t>Patrimônio Histórico, Artístico e Arqueológico</t>
  </si>
  <si>
    <t>Direitos Individuais, Coletivos e Difusos</t>
  </si>
  <si>
    <t>Custódia e Reintegração Social</t>
  </si>
  <si>
    <t>Assistência aos Povos Indígenas</t>
  </si>
  <si>
    <t>Transportes Coletivos Urbanos</t>
  </si>
  <si>
    <t>Infra-Estrutura Urbana</t>
  </si>
  <si>
    <t>Serviços Urbanos</t>
  </si>
  <si>
    <t>Habitação Rural</t>
  </si>
  <si>
    <t>Habitação Urbana</t>
  </si>
  <si>
    <t>Saneamento Básico Urbano</t>
  </si>
  <si>
    <t>Saneamento Básico Rural</t>
  </si>
  <si>
    <t>Recursos Hídricos</t>
  </si>
  <si>
    <t>Meteorologia</t>
  </si>
  <si>
    <t>Recuperação de Áreas Degradadas</t>
  </si>
  <si>
    <t>Controle Ambiental</t>
  </si>
  <si>
    <t>Preservação e Conservação Ambiental</t>
  </si>
  <si>
    <t>Desenvolvimento Tecnológico e Engenharia</t>
  </si>
  <si>
    <t>Desenvolvimento Científico</t>
  </si>
  <si>
    <t>Difusão do Conhecimento Científico e Tecnológico</t>
  </si>
  <si>
    <t>Energia Elétrica</t>
  </si>
  <si>
    <t>Irrigação</t>
  </si>
  <si>
    <t>Promoção da Produção Vegetal</t>
  </si>
  <si>
    <t>Promoção da Produção Animal</t>
  </si>
  <si>
    <t>Defesa Sanitária Vegetal</t>
  </si>
  <si>
    <t>Defesa Sanitária Animal</t>
  </si>
  <si>
    <t>Abastecimento</t>
  </si>
  <si>
    <t>Extensão Rural</t>
  </si>
  <si>
    <t>Reforma Agrária</t>
  </si>
  <si>
    <t>Colonização</t>
  </si>
  <si>
    <t>Normalização e Qualidade</t>
  </si>
  <si>
    <t>Promoção Industrial</t>
  </si>
  <si>
    <t>Produção Industrial</t>
  </si>
  <si>
    <t>Mineração</t>
  </si>
  <si>
    <t>Propriedade Industrial</t>
  </si>
  <si>
    <t>Promoção Comercial</t>
  </si>
  <si>
    <t>Comercialização</t>
  </si>
  <si>
    <t>Comércio Exterior</t>
  </si>
  <si>
    <t>Serviços Financeiros</t>
  </si>
  <si>
    <t>Turismo</t>
  </si>
  <si>
    <t>Telecomunicações</t>
  </si>
  <si>
    <t>Comunicações Postais</t>
  </si>
  <si>
    <t>Conservação de Energia</t>
  </si>
  <si>
    <t>Álcool</t>
  </si>
  <si>
    <t>Petróleo</t>
  </si>
  <si>
    <t>Transporte Áéreo</t>
  </si>
  <si>
    <t>Transporte Hidroviário</t>
  </si>
  <si>
    <t>Transporte Ferroviário</t>
  </si>
  <si>
    <t>Transportes Especiais</t>
  </si>
  <si>
    <t>Desporto de Rendimento</t>
  </si>
  <si>
    <t>Desporto Comunitário</t>
  </si>
  <si>
    <t>Lazer</t>
  </si>
  <si>
    <t>Refinanciamento da Dívida Externa</t>
  </si>
  <si>
    <t>Serviço da Dívida Interna</t>
  </si>
  <si>
    <t>Serviço da Dívida Externa</t>
  </si>
  <si>
    <t>Transferências</t>
  </si>
  <si>
    <t>Refinanciamento da Dívida Interna</t>
  </si>
  <si>
    <t xml:space="preserve">Reserva de Contingência </t>
  </si>
  <si>
    <t>CÓDIGO DA CONTA/NOME DA CONTA</t>
  </si>
  <si>
    <t>Rec. De Rend. De Aplic. Financ. PAIF</t>
  </si>
  <si>
    <t>Programa Incent. A Atencao Básica - DIABETE MELLITUS</t>
  </si>
  <si>
    <t>PAIF</t>
  </si>
  <si>
    <t>(Art. 29-A da Constituição Federal e Art. 13, § 2º da LDO)</t>
  </si>
  <si>
    <t>1 CÂMARA MUNICIPAL DE VEREADORES</t>
  </si>
  <si>
    <t>1 CÂMARA MUNICIPAL</t>
  </si>
  <si>
    <t>1 LIVRE</t>
  </si>
  <si>
    <t>Tabela de Unidade Contábil</t>
  </si>
  <si>
    <t>Tabela de Unidades Gestoras</t>
  </si>
  <si>
    <t>Código/Descrição</t>
  </si>
  <si>
    <t>0 Geral</t>
  </si>
  <si>
    <t>3 FUNDO MUNICIPAL DE SAÚDE</t>
  </si>
  <si>
    <t>Tabela de Função/Sub-Função</t>
  </si>
  <si>
    <t>099</t>
  </si>
  <si>
    <t>20 MDE</t>
  </si>
  <si>
    <t>30 FUNDEF</t>
  </si>
  <si>
    <t>31 FUNDEB</t>
  </si>
  <si>
    <t>40 ASPS</t>
  </si>
  <si>
    <t>1001 SERVIÇOS EM PROP. PARTICULARES</t>
  </si>
  <si>
    <t>1002 SERVIÇOS DE MÁQUINAS</t>
  </si>
  <si>
    <t>1003 SERVIÇOS DE COMUNICAÇÃO</t>
  </si>
  <si>
    <t>1004 PSF</t>
  </si>
  <si>
    <t>1005 PACS</t>
  </si>
  <si>
    <t>1006 PAB FIXO</t>
  </si>
  <si>
    <t>1007 PAB VARIÁVEL</t>
  </si>
  <si>
    <t>1008 PDDE</t>
  </si>
  <si>
    <t>1010 RECURSOS DIV. SAÚDE</t>
  </si>
  <si>
    <t>1011 SALÁRIO EDUCAÇÃO</t>
  </si>
  <si>
    <t>1012 RECURSOS COREDE</t>
  </si>
  <si>
    <t>1013 PETE</t>
  </si>
  <si>
    <t>1014 MUNICIPALIÇÃO SOLIDARIA</t>
  </si>
  <si>
    <t>1015 CAMPANHA DE VACINAÇÃO</t>
  </si>
  <si>
    <t>1016 PROG. SAÚDE MENTAL</t>
  </si>
  <si>
    <t>1017 PROG. SAÚDE BUCAL</t>
  </si>
  <si>
    <t>1018 F.M.A.S.</t>
  </si>
  <si>
    <t>1019 CIDE</t>
  </si>
  <si>
    <t>1020 PROG. MORAR MELHOR</t>
  </si>
  <si>
    <t>1021 PASS</t>
  </si>
  <si>
    <t>1022 PNATE</t>
  </si>
  <si>
    <t>1023 PROG. SAÚDE ESTADO</t>
  </si>
  <si>
    <t>1024 CONVENIOS DIVERSOS</t>
  </si>
  <si>
    <t>1025 PROGRAMA TROCA-TROCA</t>
  </si>
  <si>
    <t>1026 ALIENAÇÃO DE BENS</t>
  </si>
  <si>
    <t>1027 FMAS - FEDERAL</t>
  </si>
  <si>
    <t>1028 FMAS - ESTADUAL</t>
  </si>
  <si>
    <t>1031 REC. SAN. BÁSICO</t>
  </si>
  <si>
    <t>1033 TROCA-TROCA</t>
  </si>
  <si>
    <t>1034 MULTAS DE TRANSITO</t>
  </si>
  <si>
    <t>1046 CAMPANHA DE VACINAÇÃO</t>
  </si>
  <si>
    <t>1047 CONSULTA POPULAR</t>
  </si>
  <si>
    <t>1048 CIDE</t>
  </si>
  <si>
    <t>1049 PNATE</t>
  </si>
  <si>
    <t>1050 FEX</t>
  </si>
  <si>
    <t>1051 PRO MAR DE DENTRO</t>
  </si>
  <si>
    <t>1052 FNS</t>
  </si>
  <si>
    <t>1053 CCFGS</t>
  </si>
  <si>
    <t>1054 PRADEM</t>
  </si>
  <si>
    <t>1055 PAB VARIÁVEL - FARMACIA BÁSICA</t>
  </si>
  <si>
    <t>1056 PAB VARIÁVEL - VIG. SANITÁRIA</t>
  </si>
  <si>
    <t>1057 ASSISTENCIA FARM. BÁSICA ESTADO</t>
  </si>
  <si>
    <t>1058 VIGILANCIA EPIDEMIOLOGICA</t>
  </si>
  <si>
    <t>1059 ASSEMA</t>
  </si>
  <si>
    <t>1060 TERCEIRA IDADE</t>
  </si>
  <si>
    <t>1061 PPD</t>
  </si>
  <si>
    <t>1062 SANEAM. BAS. PEQ. COMUNIDADES</t>
  </si>
  <si>
    <t xml:space="preserve">1063 EMENDA PARLAMENTAR </t>
  </si>
  <si>
    <t>1064 EMENDA PARLAMENTAR</t>
  </si>
  <si>
    <t>1065 FUNDERGS</t>
  </si>
  <si>
    <t>1066 AMPLIACAO DO POSTO DE SAUDE</t>
  </si>
  <si>
    <t>1067 EJA</t>
  </si>
  <si>
    <t>1068 PROGRAMA INVERNO GAUCHO</t>
  </si>
  <si>
    <t>1069 FESTA DO FUMO</t>
  </si>
  <si>
    <t>1070 REC. SUBVENCAO ASSEMBLEIA LG. DO RS</t>
  </si>
  <si>
    <t>1071 CADASTRO SUS</t>
  </si>
  <si>
    <t>1072 RECURSO FMAS PBT</t>
  </si>
  <si>
    <t>1073 RECURSO PTMC</t>
  </si>
  <si>
    <t>1074 RECURSO FMAS IGDBF</t>
  </si>
  <si>
    <t>1075 RECURSO FNAS CPBF</t>
  </si>
  <si>
    <t>1076 EMENDA PARLAMENTAR MIN. ESPORTE</t>
  </si>
  <si>
    <t>1077 EMENDA PARLAMENTAR MIN. COMUNICACOES</t>
  </si>
  <si>
    <t>1078 PACS ESTADO</t>
  </si>
  <si>
    <t>1079 PROGRAMA AFB - MED. HIP. E DIABETICOS</t>
  </si>
  <si>
    <t>1080 EMENDA PARLAMENTAR MIN. ASSIST. SOCIAL</t>
  </si>
  <si>
    <t>1081 EMENDA PARLAMENTAR MIN. AGRICULTURA</t>
  </si>
  <si>
    <t>1082 MUNICIPIO RESOLVE</t>
  </si>
  <si>
    <t>1083 EMENDA PARLAMENTAR MIN. EDUCACAO</t>
  </si>
  <si>
    <t>1084 PROGRAMA AFB - MED. HIP. E DIABETICOS</t>
  </si>
  <si>
    <t>1085 PROGRAMA PIM</t>
  </si>
  <si>
    <t>1086 MERENDA ESCOLAR ESTADO</t>
  </si>
  <si>
    <t>1087 FEPE</t>
  </si>
  <si>
    <t>1088 PRODESA</t>
  </si>
  <si>
    <t>1089 EMENDA PARLAMENTAR Nº 36640009</t>
  </si>
  <si>
    <t>1090 FUNDERGS</t>
  </si>
  <si>
    <t>1091 EMENDA PARLAMENTAR MIN. TURSIMO</t>
  </si>
  <si>
    <t>1092 TRANSF. ESTADO P/OBRAS ENERGIA ELETRICA</t>
  </si>
  <si>
    <t>1093 TRANSF. PARA DESENV. DO TURISMO</t>
  </si>
  <si>
    <t>1094 TRANSF. PARA CULTURA</t>
  </si>
  <si>
    <t>1095 TRANSF. ASSIST. SOCIAL</t>
  </si>
  <si>
    <t>1096 TRANSF. P/AQUISICAO PATRULHA AGRICOLA</t>
  </si>
  <si>
    <t>1097 TRANSF. EM. PARLAM. ELETRIFICACAO RURAL</t>
  </si>
  <si>
    <t>1098 PROGRAMA CAMINHOS DA ESCOLA</t>
  </si>
  <si>
    <t>1099 PROGRAMA OASF - FEAS</t>
  </si>
  <si>
    <t>1100 EMENDA PARLAMENTAR PARA ADEQUACAO DO LIXO</t>
  </si>
  <si>
    <t>1101 FINAME/PROVIAS</t>
  </si>
  <si>
    <t>1102 RECURSOS PARA AGRIFEST</t>
  </si>
  <si>
    <t>1103 RECURSOS PLANO DE HABITACAO</t>
  </si>
  <si>
    <t>1104 PROGRAMA MINHA CASA MINHA VIDA</t>
  </si>
  <si>
    <t xml:space="preserve">1105 EM. PARLM. P/CALC. RUAS </t>
  </si>
  <si>
    <t>1106 RECURSO FMAS BPC</t>
  </si>
  <si>
    <t>1107 DEFESA CIVIL</t>
  </si>
  <si>
    <t>1108 CONVENIOS DAER</t>
  </si>
  <si>
    <t>1109 FNAS PBV-II</t>
  </si>
  <si>
    <t xml:space="preserve">1110 FMASPBFI </t>
  </si>
  <si>
    <t>1111 CONS POP.- P/AQ. DE MATERIAL ESPORTIVO</t>
  </si>
  <si>
    <t>1112 CONS.POP. P/CURSOS CAPAC. DO TRABALHADOR</t>
  </si>
  <si>
    <t>1114  CONS. POP. P/MATA CILIARES</t>
  </si>
  <si>
    <t>1115 CONS. POP. P/CONSERVACAO DE ESTRADAS</t>
  </si>
  <si>
    <t>1116 CONS. POP. P/MELHORIAS DE VIAS DE ACESSO</t>
  </si>
  <si>
    <t>1117 CONS. POP. P/ ESTRADAS VICINAIS</t>
  </si>
  <si>
    <t>1118 CONS. POP. P/PATRULHA AGRICOLA</t>
  </si>
  <si>
    <t>1119 CONS. POP. P/AQUISIÇÃO DE IIMPLEM. AGRIC</t>
  </si>
  <si>
    <t>1120 PBF</t>
  </si>
  <si>
    <t>1121 CONVENIOS MAPA</t>
  </si>
  <si>
    <t>4000 MUNICIPALIZAÇÃO SOLIDÁRIA</t>
  </si>
  <si>
    <t>4010 MUNICIPIO RESOLVE</t>
  </si>
  <si>
    <t>4011 PROGRAMA DE INCENTIVO A ATENÇÃO BÁSICA</t>
  </si>
  <si>
    <t>4020 MUNICIPIO RESOLVE - GESTAO PLENA</t>
  </si>
  <si>
    <t>4030 INVERNO GAUCHO</t>
  </si>
  <si>
    <t>4050 FARMACIA BÁSICA</t>
  </si>
  <si>
    <t>4051 DIABETES MELLITUS</t>
  </si>
  <si>
    <t>4070 FARMACIA SAUDE MENTAL</t>
  </si>
  <si>
    <t>4080 PACS</t>
  </si>
  <si>
    <t>4110 SAUDE BUCAL</t>
  </si>
  <si>
    <t>4160 PIM</t>
  </si>
  <si>
    <t>4190 EPIDEMIOLOGIA</t>
  </si>
  <si>
    <t>4232 REGIÃO RESOLVE-AQUISIÇÃO EQUIPTOS - UBS</t>
  </si>
  <si>
    <t>4241 REGIAO RESOLVE REFORMA - UBS</t>
  </si>
  <si>
    <t>4260 CONSULTA POPULAR - SAUDE PARA TODOS</t>
  </si>
  <si>
    <t xml:space="preserve">4281 PROSAN (EXT. DE REDE DE ÁGUA) CONS. POP </t>
  </si>
  <si>
    <t xml:space="preserve">4292 AQUISIÇÃO AMBULÂNCIAS, CARROS, UNIDADES </t>
  </si>
  <si>
    <t>4293 AQUISICAO DE EQUIPAMENTOS</t>
  </si>
  <si>
    <t>4300 PROGRAMA AFB - MED. HIP. E DIABETICOS</t>
  </si>
  <si>
    <t>4510 PAB FIXO</t>
  </si>
  <si>
    <t>4520 PSF</t>
  </si>
  <si>
    <t>4530 PACS</t>
  </si>
  <si>
    <t>4580 PAB VARIAVEL - VIGILANCIA SANITARIA</t>
  </si>
  <si>
    <t>4710 VIGILANCIA SANITÁRIA</t>
  </si>
  <si>
    <t>4770 FARMACIA BASICA</t>
  </si>
  <si>
    <t>4780 ASSISTENCIA FARMACEUTICA BASICA</t>
  </si>
  <si>
    <t>4911 CADASTRO SUS - GESTAO DO SUS</t>
  </si>
  <si>
    <t>4931 EMENDA PARLAM. P/AQUISICAO DE EQ. UBS</t>
  </si>
  <si>
    <t>4935 EMENDA PARL. P/CONST. OU AMPL DE EQ. UBS</t>
  </si>
  <si>
    <t>4937 MELHORIAS SANITARIAS</t>
  </si>
  <si>
    <t xml:space="preserve">4940 CONVENIOS </t>
  </si>
  <si>
    <t>PLANO DE CONTAS DA DESPESA</t>
  </si>
  <si>
    <t>Estimativa de Valor para Desp. C/servicos de consultoria</t>
  </si>
  <si>
    <t>Estimativa de Valor para Desp. C/Prestação de Servicos MEI</t>
  </si>
  <si>
    <t>Parâmetro de Ajuste</t>
  </si>
  <si>
    <t>Estimativa de receita -  Dedução de Taxa de Expediente</t>
  </si>
  <si>
    <t>Estimativa de  Arrecadação de Rec. De Rend. De Aplic. Fundo Mun. Assist. Social Feas</t>
  </si>
  <si>
    <t>Estimativa de Transferencias de Convenios do Estado -  FEAS</t>
  </si>
  <si>
    <t>Estimativa de Receitas de Multa Por Infração À Legislação De Licitação</t>
  </si>
  <si>
    <t>Limites da Despesa do Legislativo</t>
  </si>
  <si>
    <t>Alíquota INSS Patronal S/Prestação de Serviços (Cooperativa, unimed, etc.)</t>
  </si>
  <si>
    <t xml:space="preserve"> </t>
  </si>
  <si>
    <t>Estimativa de Valor para Desp. C/Tarifa IPE</t>
  </si>
  <si>
    <t>1127 MIN. SAUDE - SANEAMENTO</t>
  </si>
  <si>
    <t>ESTE TEM POR OBJETIVO REGISTRAR AS RECEITAS E DESPESAS DO RECURSO DE CONVENIOS COM O MIN. DA SAUDE PARA CONSTRUCAO DE   MODULO SANITARIO COMPLETO E FOSSAS SEPTICAS/SUMIDOURO</t>
  </si>
  <si>
    <t>ESTE TEM POR OBJETIVO REGISTRAR AS RECEITAS E DESPESAS DO RECURSO DE CONVENIOS COM A FUNSAS PARA AQUISICAO DE MAQUINAS RODOVIARIAS</t>
  </si>
  <si>
    <t>1125 CONVENIO MIN - AQUISICAO DE MAQUINAS ROD</t>
  </si>
  <si>
    <t>ESTE TEM POR OBJETIVO REGISTRAR AS RECEITAS E DESPESAS DO RECURSO DE CONVENIOS DO MIN. DA INTEGRACAO NACIONAL</t>
  </si>
  <si>
    <t>1124 CONVENIO MTUR - REIVT. PRACA E PAV. RUAS</t>
  </si>
  <si>
    <t>ESTE TEM POR OBJETIVO REGISTRAR AS RECEITAS E DESPESAS DO RECURSO DE CONVENIOS DO MTUR.</t>
  </si>
  <si>
    <t>1123 CONVENIO MAPA - MECANIZACAO AGRICOLA</t>
  </si>
  <si>
    <t>1122 CONVENIO MAPA P/COST SILO</t>
  </si>
  <si>
    <t>Estimativa de Valor para Desp. C/Despesas Bancarias Recurso 1127</t>
  </si>
  <si>
    <t>Estimativa de Valor para Desp. C/Despesas com devolucao de aplicação fin. Recurso 1127</t>
  </si>
  <si>
    <t>1126 FUNASA - EQUIPAMENTOS P/LIXO</t>
  </si>
  <si>
    <t>1009 ALIM. ESC. - P.N.A.E.</t>
  </si>
  <si>
    <t>1113 CONS. POP. - RECUP. DE AREAS DEGRADADAS</t>
  </si>
  <si>
    <t>SECRETARIA MUNICIPAL DE SAÚDE</t>
  </si>
  <si>
    <t>SECRETARIA MUNICIPAL DE ASSISTÊNCIA SOCIAL</t>
  </si>
  <si>
    <t>VALOR DA RENÚNCIA EM 2012</t>
  </si>
  <si>
    <t>TABELA 02 - Demonstraitvo da Evolução da Dívida e Resultado Nominal</t>
  </si>
  <si>
    <t>2.1 - Operações de Crédito</t>
  </si>
  <si>
    <t xml:space="preserve">2.2 Encargos </t>
  </si>
  <si>
    <t>2.3 Amortizações</t>
  </si>
  <si>
    <t>RENUNCIA DE RECEITA</t>
  </si>
  <si>
    <t>Margem de Expansão de Despesas de Carater Continuado</t>
  </si>
  <si>
    <t>DEMONSTRATIVO DE COMPENSAÇÃO E RENUNCIA DE RECEITA E DA MARGEM DE EXPENSÃO DAS DESPESAS OBRIGATÓRIAS DE CARÁTER CONTINUADO</t>
  </si>
  <si>
    <t>ORÇAMENTO LIVRE</t>
  </si>
  <si>
    <t>ORÇAMENTO VINCULADO FIXO</t>
  </si>
  <si>
    <t>Receita De Aplicação Programa Saude Mental</t>
  </si>
  <si>
    <t>Receita De Aplicação Recursos Fnas</t>
  </si>
  <si>
    <t>Rec. De Rend. De Aplic. Financ. IDG SUAS</t>
  </si>
  <si>
    <t>IGDSUAS</t>
  </si>
  <si>
    <t>ITCMD BASE ARRECADADO EM 2012</t>
  </si>
  <si>
    <t>1997 A 2012</t>
  </si>
  <si>
    <t>PODER LEGISLATIVO</t>
  </si>
  <si>
    <r>
      <t>Chuvisca</t>
    </r>
    <r>
      <rPr>
        <sz val="11"/>
        <color indexed="43"/>
        <rFont val="Verdana"/>
        <family val="2"/>
      </rPr>
      <t xml:space="preserve"> - RS</t>
    </r>
  </si>
  <si>
    <t xml:space="preserve">Estimativa de  Arrecadação de Taxa De Inscrição Campeonato Intercolonial </t>
  </si>
  <si>
    <t>Estimativa de  Arrecadação de Remuneracao De Aplic. De Rec. Agrifest</t>
  </si>
  <si>
    <t xml:space="preserve"> Estimativa de  Arrecadação de Servicos em Prop. Partic/Retroescavadeira</t>
  </si>
  <si>
    <t xml:space="preserve"> Estimativa de  Arrecadação de Servicos em Prop. Partic/Trator/Discagem</t>
  </si>
  <si>
    <t xml:space="preserve"> Estimativa de  Arrecadação de Servicos em Prop. Partic/Trator/Escalificação</t>
  </si>
  <si>
    <t xml:space="preserve"> Estimativa de  Arrecadação de Servicos em Prop. Partic/Trator/Screip</t>
  </si>
  <si>
    <t xml:space="preserve"> Estimativa de  Arrecadação de Servicos em Prop. Partic/Trator/Esteirinha</t>
  </si>
  <si>
    <t xml:space="preserve"> Estimativa de  Arrecadação de Servicos em Prop. Partic/Trator/Batedeira de Cereais</t>
  </si>
  <si>
    <t xml:space="preserve"> Estimativa de  Arrecadação de Servicos em Prop. Partic/Trator/Carreta Agricola</t>
  </si>
  <si>
    <t xml:space="preserve"> Estimativa de  Arrecadação de Servicos em Prop. Partic/Trator/Semeadeira de Calcário</t>
  </si>
  <si>
    <t xml:space="preserve"> Estimativa de  Arrecadação de  Servicos em Prop. Partic/Trator/Distribuidor de Esterco</t>
  </si>
  <si>
    <t xml:space="preserve"> Estimativa de  Arrecadação de Servico De Maquinas/Motoniveladora</t>
  </si>
  <si>
    <t xml:space="preserve"> Estimativa de  Arrecadação de Servico De Maquinas/Retroescavadeira</t>
  </si>
  <si>
    <t xml:space="preserve"> Estimativa de  Arrecadação de Servico De Maquinas/Trator Esteira</t>
  </si>
  <si>
    <t xml:space="preserve"> Estimativa de  Arrecadação de Servico De Maquinas/Carga Aterro/Cascalho</t>
  </si>
  <si>
    <t>Estimativa de valor Transferencia De Alta E Media Complexidade - Sai/sih</t>
  </si>
  <si>
    <t>Estimativa de Transferencias de FNAS IGD-SUAS</t>
  </si>
  <si>
    <t>1128 IGD - SUAS</t>
  </si>
  <si>
    <t>Estimativa de  Arrecadação de Receita De Aplicação FNAS IGD-SUAS</t>
  </si>
  <si>
    <t>Estimativa de Transferencias do Estado - saude mental</t>
  </si>
  <si>
    <t>Estimativa de  Arrecadação de Rec. Rem. Dep. Farmacia Básica - Saude Mental</t>
  </si>
  <si>
    <t>Estimativa de  Arrecadação de Receita De Aplicação  Cons. Pop. - P/Capacitacao e Qualificação Profissional</t>
  </si>
  <si>
    <t>1133 CONS. POP. 2012 APOIO A MICRO E PEQ. EMP</t>
  </si>
  <si>
    <t>ESTE TEM POR OBJETIVO REGISTRAR AS DESPESAS E RECEITAS DA CONSULTA POPULAR 2012.</t>
  </si>
  <si>
    <t>1136 CONS. POP 2012 AQUIS. EQ. P/QUALIF. PED.</t>
  </si>
  <si>
    <t>1129 PROGRAMA PROINFANCIA</t>
  </si>
  <si>
    <t>ESTE TEM POR OBJETIVO REGISTRAR AS DESPESAS E RECEITAS DO PROGRAMA PROINFANCIA</t>
  </si>
  <si>
    <t>1130 PRAÇA DA JUVENTUDE</t>
  </si>
  <si>
    <t>1131 PRAÇA DO ESPORTE E DA CULTURA</t>
  </si>
  <si>
    <t>ESTE TEM POR OBJETIVO REGISTRAR AS DESPESAS E RECEITAS PARA PRAÇA DA JUVENTUDE</t>
  </si>
  <si>
    <t>ESTE TEM POR OBJETIVO REGISTRAR AS DESPESAS E RECEITAS PARA PRACA DO ESPORTE E DA CULTURA</t>
  </si>
  <si>
    <t>1132 COM. POP. 2012 APOIO A EVENTOS ESPORTIVOS</t>
  </si>
  <si>
    <t>1137 DESENV. DO TURISMO</t>
  </si>
  <si>
    <t>1138 EMENDA PARLAM. CALCAM. DE RUAS</t>
  </si>
  <si>
    <t>ESTE TEM POR OBJETIVO REGISTRAR A MOVIMENTACAO DE RECURSOS PARA CALCAMENTO DAS RUAS.</t>
  </si>
  <si>
    <t>1135 CONS. POP. 2012 AGROIND. AQUIS. VEIC. UT</t>
  </si>
  <si>
    <t>1134 CONS. POP. 2012 - P/QUALIF. PROFISSIONAL</t>
  </si>
  <si>
    <t>ESTE TEM POR OBJETIVO REGISTRAR AS DESPESAS E RECEITAS DO INDICE DE GESTAO DE DESENVOLVIMENTO</t>
  </si>
  <si>
    <t>Parâmetro de Ajuste vencimentos para cumprimento 70% de gastos com pessoal</t>
  </si>
  <si>
    <t>MULTA E JUROS DOS TRIBUTOS</t>
  </si>
  <si>
    <t>MULTA E JUROS DIV. ATIV. TRIB.</t>
  </si>
  <si>
    <t>Arrecadação 2012</t>
  </si>
  <si>
    <t>Programa Saude mental</t>
  </si>
  <si>
    <t>Estimativa de Transferencias FPM - Apoio Financeiro (MP 462/2009)</t>
  </si>
  <si>
    <t>XXXXXXX</t>
  </si>
  <si>
    <t>XXXXXXXX</t>
  </si>
  <si>
    <t>Indenizacoes E Restituicoes</t>
  </si>
  <si>
    <t>Restituicoes</t>
  </si>
  <si>
    <t>Programa Troca-troca</t>
  </si>
  <si>
    <t>Reserva De Contingencia</t>
  </si>
  <si>
    <t>Órgão:</t>
  </si>
  <si>
    <t>Obrigacoes Tributarias E Contributivas</t>
  </si>
  <si>
    <t>Servicos Bancarios</t>
  </si>
  <si>
    <t>Outros Servicos De Terceiros-pessoa Juridica</t>
  </si>
  <si>
    <t>Outros Servicos De Terceiros - Pessoa Fisica</t>
  </si>
  <si>
    <t>Outros Materiais Diversos</t>
  </si>
  <si>
    <t>Outros Materiais De Consumo</t>
  </si>
  <si>
    <t>Material De Consumo</t>
  </si>
  <si>
    <t>Equipamentos E Material Permanente</t>
  </si>
  <si>
    <t>Equipamentos De Processamento De Dados</t>
  </si>
  <si>
    <t>Aparelhos E Utensilios Domesticos</t>
  </si>
  <si>
    <t>Mobiliario Em Geral</t>
  </si>
  <si>
    <t>Material Destinado A Assistencia Social</t>
  </si>
  <si>
    <t>Material De Copa E Cozinha</t>
  </si>
  <si>
    <t>Material De Expediente</t>
  </si>
  <si>
    <t>Servicos Extraordinarios</t>
  </si>
  <si>
    <t>Outras Despesas Variaveis - Pessoal Civil</t>
  </si>
  <si>
    <t>13 Salario</t>
  </si>
  <si>
    <t>Ferias Indenizadas</t>
  </si>
  <si>
    <t>Adicional Noturno</t>
  </si>
  <si>
    <t>Vencimentos E Vantagens Fixas - Pessoal Civil</t>
  </si>
  <si>
    <t>Contrato Por Tempo Determinado - Executivo</t>
  </si>
  <si>
    <t>Obrigacoes Patronais</t>
  </si>
  <si>
    <t>Contratacao Por Tempo Determinado</t>
  </si>
  <si>
    <t>Outros Serviços Pessoa Juridica</t>
  </si>
  <si>
    <t>Restituicao De Transferencias E Convenios Recebidos Do Estado</t>
  </si>
  <si>
    <t>Uniformes, Tecidos E Aviamentos</t>
  </si>
  <si>
    <t>Material Educativo E Esportivo</t>
  </si>
  <si>
    <t>Outros Serviços Pessoa Física - Executivo</t>
  </si>
  <si>
    <t>Materiais Diversos</t>
  </si>
  <si>
    <t>Auxilio-funeral</t>
  </si>
  <si>
    <t>Outros Beneficios Assistenciais</t>
  </si>
  <si>
    <t>Material, Bem Ou Serviço Para Distribuição Gratuita</t>
  </si>
  <si>
    <t>Exames P/pacientes</t>
  </si>
  <si>
    <t>Medicamentos</t>
  </si>
  <si>
    <t>Servicos De Agua E Esgoto</t>
  </si>
  <si>
    <t>Servicos De Energia Eletrica</t>
  </si>
  <si>
    <t>Locacao De Imoveis</t>
  </si>
  <si>
    <t>Subvencoes Sociais</t>
  </si>
  <si>
    <t>Outras Obras E Instalacoes</t>
  </si>
  <si>
    <t>Obras E Instalacoes</t>
  </si>
  <si>
    <t>Despesa com Mensalidade Pedagio</t>
  </si>
  <si>
    <t>Seguros Veiculo Placas IRY 2027</t>
  </si>
  <si>
    <t>Serviços de Lavagem e Lubrificação Veiculo Placas IRY 2027</t>
  </si>
  <si>
    <t>Material e Peças P/Veiculo Placas IRY 2027</t>
  </si>
  <si>
    <t>Lubrificantes P/Veiculo Placas IRY 2027</t>
  </si>
  <si>
    <t>Gasolina P/Veiculo Placas IRY 2027</t>
  </si>
  <si>
    <t>Gasolina P/Veiculo Placas DUA 5272</t>
  </si>
  <si>
    <t>Gasolina P/Veiculo Placas ISK 1256</t>
  </si>
  <si>
    <t>Ressarcimentos Diversos</t>
  </si>
  <si>
    <t>Indenizacao Auxilio-transporte</t>
  </si>
  <si>
    <t>Auxilio-transporte</t>
  </si>
  <si>
    <t>Telefone Fixo</t>
  </si>
  <si>
    <t>Servico De Selecao E Treinamento</t>
  </si>
  <si>
    <t>Pedagios</t>
  </si>
  <si>
    <t>Passagens E Despesas Com Locomocao</t>
  </si>
  <si>
    <t>Material Eletrico E Eletronico</t>
  </si>
  <si>
    <t>Diarias - Pessoal Civil</t>
  </si>
  <si>
    <t>Ferias - Abono Constitucional</t>
  </si>
  <si>
    <t>Gratificacao De Tempo De Servico</t>
  </si>
  <si>
    <t>Gratificacao Por Exercicio De Funcoes</t>
  </si>
  <si>
    <t>Vencimentos E Vantagens Fixas - Servidores</t>
  </si>
  <si>
    <t>Inss - Agentes Politicos</t>
  </si>
  <si>
    <t>Subsidios</t>
  </si>
  <si>
    <t>Outros Servicos De Terceiros- Pessoa Juridica</t>
  </si>
  <si>
    <t>Assinaturas De Periodicos E Anuidades</t>
  </si>
  <si>
    <t>Outros Servicos Diversos</t>
  </si>
  <si>
    <t>Serviços Bancários</t>
  </si>
  <si>
    <t>Contribuicoes</t>
  </si>
  <si>
    <t>Associacoes, Federacoes E Confederacoes</t>
  </si>
  <si>
    <t>Outras Instituicoes Privadas</t>
  </si>
  <si>
    <t>Serviços de Lavagem e Lubrificação Trator Esteira D30E</t>
  </si>
  <si>
    <t>Serviços de Lavagem e Lubrificação Retroescavadeira JCB 4X4 SMAG</t>
  </si>
  <si>
    <t>Serviços de Lavagem e Lubrificação Trator J.D. Fruticultura</t>
  </si>
  <si>
    <t>Serviços de Lavagem e Lubrificação Trator Valtra BM 110</t>
  </si>
  <si>
    <t>Serviços de Lavagem e Lubrificação Trator New Holand 7630</t>
  </si>
  <si>
    <t>Serviços de Lavagem e Lubrificação Trator Ford 8030</t>
  </si>
  <si>
    <t>Serviços de Lavagem e Lubrificação Trator New Holand TL 85E</t>
  </si>
  <si>
    <t>Material e Peças P/Retroescavadeira JCB 4x4 SMAG</t>
  </si>
  <si>
    <t>Material e Peças P/Trator Esteira D30E</t>
  </si>
  <si>
    <t>Material e Peças P/Trator J.D. Fruticultura</t>
  </si>
  <si>
    <t>Material e Peças P/Trator Valtra BM 110</t>
  </si>
  <si>
    <t>Material e Peças P/Trator Ford 8030</t>
  </si>
  <si>
    <t>Material e Peças P/Trator New Holand TL 85E</t>
  </si>
  <si>
    <t>Material Para Manutenção De Eimplementos Agricolas</t>
  </si>
  <si>
    <t>Lubrificantes P/Implementos Agricolas</t>
  </si>
  <si>
    <t>Lubrificantes P/Retroescavadeira JCB 4X4 SMAG</t>
  </si>
  <si>
    <t>Lubrificantes P/Trator Esteira D30E</t>
  </si>
  <si>
    <t>Lubrificantes P/Trator J.D. Fruticultura</t>
  </si>
  <si>
    <t>Lubrificantes P/Trator Valtra BM 110</t>
  </si>
  <si>
    <t>Lubrificantes P/Trator New Holand 7630</t>
  </si>
  <si>
    <t>Lubrificantes P/Trator Ford 8030</t>
  </si>
  <si>
    <t>Lubrificantes P/Trator New Holand TL 85E</t>
  </si>
  <si>
    <t>Oleo Diesel P/Trator Esteira D30E</t>
  </si>
  <si>
    <t>Oleo Diesel P/Trator J.D. Fruticultura</t>
  </si>
  <si>
    <t>Oleo Diesel P/Trator Valtra BM 110</t>
  </si>
  <si>
    <t>Oleo Diesel P/Trator New Holand 7630</t>
  </si>
  <si>
    <t>Oleo Diesel P/Trator Ford 8030</t>
  </si>
  <si>
    <t>Oleo Diesel P/Trator New Holand TL 85E</t>
  </si>
  <si>
    <t>Material e Peças P/Trator New Holand 7630</t>
  </si>
  <si>
    <t>Material Biologico</t>
  </si>
  <si>
    <t>Gas E Outros Materiais Engarrafados</t>
  </si>
  <si>
    <t>Seguros Veiculo Placas IJY 2420</t>
  </si>
  <si>
    <t>Serviços de Lavagem e Lubrificação Veiculo Placas IJY 2420</t>
  </si>
  <si>
    <t>Material e Peças P/Veiculo Placas IJY 2420</t>
  </si>
  <si>
    <t>Lubrificantes P/Veiculo Placas IJY 2420</t>
  </si>
  <si>
    <t>Gasolina P/Veiculo Placas IJY 2420</t>
  </si>
  <si>
    <t>Servicos De Publicidade De Utilidade Publica</t>
  </si>
  <si>
    <t>Servicos De Publicidade Institucional</t>
  </si>
  <si>
    <t>Servicos De Publicidade Legal</t>
  </si>
  <si>
    <t>Veiculos De Tracao Mecanica</t>
  </si>
  <si>
    <t>Lubrificantes</t>
  </si>
  <si>
    <t>Gasolina</t>
  </si>
  <si>
    <t>Equipamentos E Utensilios Hidraulicos E Eletricos</t>
  </si>
  <si>
    <t>Maquinas, Instalacoes E Utensilios De Escritorio</t>
  </si>
  <si>
    <t>Material Odontologico</t>
  </si>
  <si>
    <t>Material Farmacologico</t>
  </si>
  <si>
    <t>Aparelhos, Equipamentos E Utensilios Medicos, Odontologicos, Laborator</t>
  </si>
  <si>
    <t>Passagens P/pacientes</t>
  </si>
  <si>
    <t>Material Hospitalar</t>
  </si>
  <si>
    <t>Oleo Diesel</t>
  </si>
  <si>
    <t>Oleo Diesel P/Veiculo Placas IOY 7726</t>
  </si>
  <si>
    <t>Oleo Diesel P/Veiculo Placas IRH 9777</t>
  </si>
  <si>
    <t>Gasolina P/Veiculo Placas IQV 8399</t>
  </si>
  <si>
    <t>Gasolina P/Veiculo Placas IOB 6926</t>
  </si>
  <si>
    <t>Gasolina P/Veiculo Placas ITP 0262</t>
  </si>
  <si>
    <t>Oleo Diesel P/Veiculo locado</t>
  </si>
  <si>
    <t>Multas</t>
  </si>
  <si>
    <t>Obrigações Tributarias E Contributivas</t>
  </si>
  <si>
    <t>Serviços Médicos, Clinicos, laboartoriais e Hospitalares</t>
  </si>
  <si>
    <t>Outros Serviços De Terceiros - Pessoa Fisica</t>
  </si>
  <si>
    <t>Material De Distribuição Gratuita</t>
  </si>
  <si>
    <t>Material hospitalar</t>
  </si>
  <si>
    <t>Material Ambulatorial</t>
  </si>
  <si>
    <t>Seguros Veiculo Placas IOB 6926</t>
  </si>
  <si>
    <t>Seguros Veiculo Placas IQV 8399</t>
  </si>
  <si>
    <t>Seguros Veiculo Placas DUA 5272</t>
  </si>
  <si>
    <t>Seguros Veiculo Placas IOY 7726</t>
  </si>
  <si>
    <t>Seguros Veiculo Placas IRH 9777</t>
  </si>
  <si>
    <t>Seguros Veiculo Placas ITP 0262</t>
  </si>
  <si>
    <t>Seguros Veiculo Placas ISK 1256</t>
  </si>
  <si>
    <t>Serviços de Lavagem e Lubrificação Veiculo Placas IOB 6926</t>
  </si>
  <si>
    <t>Serviços de Lavagem e Lubrificação Veiculo Placas DUA 5272</t>
  </si>
  <si>
    <t>Serviços de Lavagem e Lubrificação Veiculo Placas IRH 9777</t>
  </si>
  <si>
    <t>Serviços de Lavagem e Lubrificação Veiculo Placas ITP 0262</t>
  </si>
  <si>
    <t>Serviços de Lavagem e Lubrificação Veiculo Placas ISK 1256</t>
  </si>
  <si>
    <t>Material e Peças P/Veiculo Placas IOB 6926</t>
  </si>
  <si>
    <t>Material e Peças P/Veiculo Placas IQV 8399</t>
  </si>
  <si>
    <t>Material e Peças P/Veiculo Placas DUA 5272</t>
  </si>
  <si>
    <t>Material e Peças P/Veiculo Placas IOY 7726</t>
  </si>
  <si>
    <t>Material e Peças P/Veiculo Placas IRH 9777</t>
  </si>
  <si>
    <t>Material e Peças P/Veiculo Placas ITP 0262</t>
  </si>
  <si>
    <t>Material e Peças P/Veiculo Placas ISK 1256</t>
  </si>
  <si>
    <t>Lubrificantes P/Veiculo Placas IOB 6926</t>
  </si>
  <si>
    <t>Lubrificantes P/Veiculo Placas IQV 8399</t>
  </si>
  <si>
    <t>Lubrificantes P/Veiculo Placas DUA 5272</t>
  </si>
  <si>
    <t>Lubrificantes P/Veiculo Placas IOY 7726</t>
  </si>
  <si>
    <t>Lubrificantes P/Veiculo Placas IRH 9777</t>
  </si>
  <si>
    <t>Lubrificantes P/Veiculo Placas ITP 0262</t>
  </si>
  <si>
    <t>Lubrificantes P/Veiculo Placas ISK 1256</t>
  </si>
  <si>
    <t>Gasolina P/Veiculo Placas IMN 0762</t>
  </si>
  <si>
    <t>Telefone Celular</t>
  </si>
  <si>
    <t>Servicos Tecnicos Profissionais</t>
  </si>
  <si>
    <t>Premiacoes Desportivas</t>
  </si>
  <si>
    <t>Premiacoes Culturais,  Artisticas,  Cientificas,  Desportivas  E Outra</t>
  </si>
  <si>
    <t>Instrumentos Musicais E Artisticos</t>
  </si>
  <si>
    <t>BANDA MUNICIPAL</t>
  </si>
  <si>
    <t>FEIRA DO LIVRO</t>
  </si>
  <si>
    <t>SEMANA FARROUPILHA</t>
  </si>
  <si>
    <t>Despesas De Exercicios Anteriores</t>
  </si>
  <si>
    <t>SEMANA DA PATRIA</t>
  </si>
  <si>
    <t>FESTIVAL DE MUSICA SACRA</t>
  </si>
  <si>
    <t>Generos De Alimentacao</t>
  </si>
  <si>
    <t>Diversas Indenizacoes E Restituicoes</t>
  </si>
  <si>
    <t>Transporte Escolar</t>
  </si>
  <si>
    <t>Contratacao Por Tempo Determinado De Professores</t>
  </si>
  <si>
    <t>Inss - Professores No Efetivo Exercicio Do Magisterio (60% Fundeb)</t>
  </si>
  <si>
    <t>Vencimentos E Vantagens Fixas-professores No Efetivo Exercicio Do Magi</t>
  </si>
  <si>
    <t>Despesa com Substituicao de Veiculo Transp. Escolar</t>
  </si>
  <si>
    <t>Seguros Veiculo Placas IPP 9043</t>
  </si>
  <si>
    <t>Seguros Veiculo Placas IPP 9013</t>
  </si>
  <si>
    <t>Seguros Veiculo Placas IPN 4843</t>
  </si>
  <si>
    <t>Serviços de Lavagem e Lubrificação Veiculo Placas IPP 9043</t>
  </si>
  <si>
    <t>Serviços de Lavagem e Lubrificação Veiculo Placas IPP 9013</t>
  </si>
  <si>
    <t>Serviços de Lavagem e Lubrificação Veiculo Placas IPN 4843</t>
  </si>
  <si>
    <t>Material e Peças P/Veiculo Placas IPP 9043</t>
  </si>
  <si>
    <t>Material e Peças P/Veiculo Placas IPP 9013</t>
  </si>
  <si>
    <t>Material e Peças P/Veiculo Placas IPN 4843</t>
  </si>
  <si>
    <t>Lubrificantes P/Veiculo Placas IPP 9043</t>
  </si>
  <si>
    <t>Lubrificantes P/Veiculo Placas IPP 9013</t>
  </si>
  <si>
    <t>Lubrificantes P/Veiculo Placas IPN 4843</t>
  </si>
  <si>
    <t>Oleo Diesel P/Veiculo Placas IPP 9043</t>
  </si>
  <si>
    <t>Oleo Diesel P/Veiculo Placas IPP 9013</t>
  </si>
  <si>
    <t>Oleo Diesel P/Veiculo Placas IPN 4843</t>
  </si>
  <si>
    <t>Serviço De Acesso A Internet</t>
  </si>
  <si>
    <t>Outras Amortizacoes Da Divida Contratada</t>
  </si>
  <si>
    <t>Outros Juros Da Divida Contratada</t>
  </si>
  <si>
    <t>Seguros Veiculo Placas IMN 0762</t>
  </si>
  <si>
    <t>Serviços de Lavagem e Lubrificação Veiculo Placas IMN 0762</t>
  </si>
  <si>
    <t>Material e Peças P/Veiculo Placas IMN 0762</t>
  </si>
  <si>
    <t>Lubrificantes P/Veiculo Placas IMN 0762</t>
  </si>
  <si>
    <t>Fgts - Servidores</t>
  </si>
  <si>
    <t>Terrenos</t>
  </si>
  <si>
    <t>Aquisicao De Imoveis</t>
  </si>
  <si>
    <t>SECRETARIA MUN. DE OBRAS, VIAÇÃO E SERV. URBANOS</t>
  </si>
  <si>
    <t>Serviços De Estagiarios</t>
  </si>
  <si>
    <t>Material Para Manutençao E Conservação De Estradas E Vias</t>
  </si>
  <si>
    <t>Limpeza E Conservacao</t>
  </si>
  <si>
    <t>Sementes, Mudas De Plantas E Insumos</t>
  </si>
  <si>
    <t>Manutencao E Conservacao De Bens Moveis De Outras Naturezas</t>
  </si>
  <si>
    <t>Material Para Manutenção Da Motosserra</t>
  </si>
  <si>
    <t>Comb. E Lub. Motosserra</t>
  </si>
  <si>
    <t>Material De Sinalizacao Visual E Outros</t>
  </si>
  <si>
    <t>Seguros Veiculo Placas IHL 6579</t>
  </si>
  <si>
    <t>Seguros Veiculo Placas IHL 6621</t>
  </si>
  <si>
    <t>Serviços de Lavagem e Lubrificação Veiculo Placas IHL 6579</t>
  </si>
  <si>
    <t>Serviços de Lavagem e Lubrificação Veiculo Placas IHL 6621</t>
  </si>
  <si>
    <t>Serviços de Lavagem e Lubrificação Retroescavadeira JCB 4X4 SMO</t>
  </si>
  <si>
    <t>Serviços de Lavagem e Lubrificação Motoniveladora 135H</t>
  </si>
  <si>
    <t>Serviços de Lavagem e Lubrificação Motoniveladora 120H</t>
  </si>
  <si>
    <t>Serviços de Lavagem e Lubrificação Trator Esteira D5 E</t>
  </si>
  <si>
    <t>Serviços de Lavagem e Lubrificação Retroescavadeira Case 580 4X2</t>
  </si>
  <si>
    <t>Serviços de Lavagem e Lubrificação Retroescavadeira Case 580 4X4</t>
  </si>
  <si>
    <t>Material e Peças P/Trator Esteira D5E</t>
  </si>
  <si>
    <t>Material e Peças P/Motoniveladora 135h</t>
  </si>
  <si>
    <t>Material e Peças P/Motoniveladora 120H</t>
  </si>
  <si>
    <t>Material e Peças P/Retroescavadeira JCB 4X4 SMO</t>
  </si>
  <si>
    <t>Material e Peças P/Retroescavadeira Case 580 4X2</t>
  </si>
  <si>
    <t>Material e Peças P/Retroescavadeira Case 580 4X4</t>
  </si>
  <si>
    <t>Material e Peças P/Veiculo Placas IHL 6579</t>
  </si>
  <si>
    <t>Material e Peças P/Veiculo Placas IHL 6621</t>
  </si>
  <si>
    <t>Material Para Manutenção De Eimplementos Rodoviarios</t>
  </si>
  <si>
    <t>Lubrificantes P/Implementos Rodoviarios</t>
  </si>
  <si>
    <t>Lubrificantes P/Trator Esteira D5E</t>
  </si>
  <si>
    <t>Lubrificantes P/Motoniveladora 135H</t>
  </si>
  <si>
    <t>Lubrificantes P/Motoniveladora 120H</t>
  </si>
  <si>
    <t>Lubrificantes P/Retroescavadeira JCB 4X4 SMO</t>
  </si>
  <si>
    <t>Lubrificantes P/Retroescavadeira Case 580 4X2</t>
  </si>
  <si>
    <t>Lubrificantes P/Retroescavadeira Case 580 4X4</t>
  </si>
  <si>
    <t>Lubrificantes P/Veiculo Placas IHL 6579</t>
  </si>
  <si>
    <t>Lubrificantes P/Veiculo Placas IHL 6621</t>
  </si>
  <si>
    <t>Oleo Diesel P/Trator Esteira D5E</t>
  </si>
  <si>
    <t>Oleo Diesel P/Motoniveladora 135H</t>
  </si>
  <si>
    <t>Oleo Diesel P/Motoniveladora 120H</t>
  </si>
  <si>
    <t>Oleo Diesel P/Retroescavadeira Case 580 4X2</t>
  </si>
  <si>
    <t>Oleo Diesel P/Retroescavadeira Case 580 4X4</t>
  </si>
  <si>
    <t>Oleo Diesel P/Veiculo Placas IHL 6579</t>
  </si>
  <si>
    <t>Oleo Diesel P/Veiculo Placas IHL 6621</t>
  </si>
  <si>
    <t>Seguros Veiculo Placas INZ 9457</t>
  </si>
  <si>
    <t>Seguros Veiculo Placas IOD 6953</t>
  </si>
  <si>
    <t>Serviços de Lavagem e Lubrificação Veiculo Placas INZ 9457</t>
  </si>
  <si>
    <t>Serviços de Lavagem e Lubrificação Veiculo Placas IOD 6953</t>
  </si>
  <si>
    <t>Material e Peças P/Veiculo Placas INZ 9457</t>
  </si>
  <si>
    <t>Material e Peças P/Veiculo Placas IOD 6953</t>
  </si>
  <si>
    <t>Lubrificantes P/Veiculo Placas INZ 9457</t>
  </si>
  <si>
    <t>Lubrificantes P/Veiculo Placas IOD 6953</t>
  </si>
  <si>
    <t>Gasolina P/Veiculo Placas INZ 9457</t>
  </si>
  <si>
    <t>Gasolina P/Veiculo Placas IOD 6953</t>
  </si>
  <si>
    <t>Benfeitorias Em Propriedades De Terceiros</t>
  </si>
  <si>
    <t>Restituicoes De Impostos, Taxas E Contribuicoes De Melhoria</t>
  </si>
  <si>
    <t>Outras Obrigacoes Patronais</t>
  </si>
  <si>
    <t>Juros</t>
  </si>
  <si>
    <t>Diversas Sentencas</t>
  </si>
  <si>
    <t>Precatorios Incluidos Na Lei Do Orcamento</t>
  </si>
  <si>
    <t>Sentencas Judiciais Transitadas Em Julgado</t>
  </si>
  <si>
    <t>Sentencas Judiciais</t>
  </si>
  <si>
    <t>Sentencas Judiciais De Pequeno Valor</t>
  </si>
  <si>
    <t>Precatorios - Ativo Civil</t>
  </si>
  <si>
    <t>Contribuicao Da Entidade P/ O Atendimento A Saude Do Servidor</t>
  </si>
  <si>
    <t>Outras Premiacoes</t>
  </si>
  <si>
    <t>Assessoria E Consultoria Tecnica Ou Juridica</t>
  </si>
  <si>
    <t>Servicos De Consultoria</t>
  </si>
  <si>
    <t>Mercadorias P/ Doacao</t>
  </si>
  <si>
    <t>Seguros Veiculo Placas IRS 4010</t>
  </si>
  <si>
    <t>Serviços de Lavagem e Lubrificação Veiculo Placas IRS 4010</t>
  </si>
  <si>
    <t>Material e Peças P/Veiculo Placas IRS 4010</t>
  </si>
  <si>
    <t>Lubrificantes P/Veiculo Placas IRS 4010</t>
  </si>
  <si>
    <t>Gasolina P/Veiculo Placas IRS 4010</t>
  </si>
  <si>
    <t>Remuneracao Dos Conselheiros Tutelares</t>
  </si>
  <si>
    <t>CONSELHO TUTELAR</t>
  </si>
  <si>
    <t>Material e Peças P/Veiculo Brigada Militar</t>
  </si>
  <si>
    <t>Lubrificantes P/Veiculo Brigada Militar</t>
  </si>
  <si>
    <t>Gasolina P/Veiculo Brigada Militar</t>
  </si>
  <si>
    <t>Transferencia Para Consepro</t>
  </si>
  <si>
    <t>Transferencia Para Corede</t>
  </si>
  <si>
    <t>Rio Grande Do Sul</t>
  </si>
  <si>
    <t>Seguros Veiculo Placas IRY 2375</t>
  </si>
  <si>
    <t>Prestacao de Serviços Veiculo Placas IRY 2375</t>
  </si>
  <si>
    <t>Festividades E Homenagens</t>
  </si>
  <si>
    <t>Estimativa de receita de E.P. P/Ampliação UBS</t>
  </si>
  <si>
    <t>ORÇAMENTO DA RECEITA PARA INVESTIMENTOS</t>
  </si>
  <si>
    <t xml:space="preserve">TAXA </t>
  </si>
  <si>
    <t>Categoria Orçamentária</t>
  </si>
  <si>
    <t>Categoria Executora</t>
  </si>
  <si>
    <t>Iptu - Proprio</t>
  </si>
  <si>
    <t>Irrf - Ativo/inativo-executivo/indireta - Proprio</t>
  </si>
  <si>
    <t>Itbi - Proprio</t>
  </si>
  <si>
    <t>Iss - Proprio</t>
  </si>
  <si>
    <t>Taxa De Fiscalizacao De Vigilancia Sanitaria</t>
  </si>
  <si>
    <t>Taxa De Controle E Fiscalizacao Ambiental</t>
  </si>
  <si>
    <t>Taxa De Licenca P/ Funcionamento De Estabelecimentos Comerciais,  Indu</t>
  </si>
  <si>
    <t>Taxa De Apreensao E Deposito</t>
  </si>
  <si>
    <t>Taxa De Funcionamento De Estabelecimentos Em Horario Especial</t>
  </si>
  <si>
    <t>Descrição da Receita</t>
  </si>
  <si>
    <t>4.1.1.1.2.02.00.01.0000</t>
  </si>
  <si>
    <t>4.1.1.1.2.02.00.02.0000</t>
  </si>
  <si>
    <t>Iptu - Mde</t>
  </si>
  <si>
    <t>4.1.1.1.2.02.00.03.0000</t>
  </si>
  <si>
    <t>Iptu - Asps</t>
  </si>
  <si>
    <t>4.1.1.1.2.04.31.01.0100</t>
  </si>
  <si>
    <t>4.1.1.1.2.04.31.01.0200</t>
  </si>
  <si>
    <t>Irrf - Ativo/inativo-executivo/indireta - Mde</t>
  </si>
  <si>
    <t>4.1.1.1.2.04.31.01.0300</t>
  </si>
  <si>
    <t>Irrf - Ativo/inativo-executivo/indireta - Asps</t>
  </si>
  <si>
    <t>4.1.1.1.2.04.31.06.0100</t>
  </si>
  <si>
    <t>Irrf - Prestacao De Serv. De Terc. - Poder Exec./ind. - Proprio</t>
  </si>
  <si>
    <t>4.1.1.1.2.04.31.06.0200</t>
  </si>
  <si>
    <t>Irrf - Prestacao De Serv. De Terc. - Poder Exec./ind. - Mde</t>
  </si>
  <si>
    <t>4.1.1.1.2.04.31.06.0300</t>
  </si>
  <si>
    <t>Irrf - Prestacao De Serv. De Terc. - Poder Exec./ind. - Asps</t>
  </si>
  <si>
    <t>4.1.1.1.2.08.00.01.0000</t>
  </si>
  <si>
    <t>4.1.1.1.2.08.00.02.0000</t>
  </si>
  <si>
    <t>Itbi - Mde</t>
  </si>
  <si>
    <t>4.1.1.1.2.08.00.03.0000</t>
  </si>
  <si>
    <t>Itbi - Asps</t>
  </si>
  <si>
    <t>4.1.1.1.3.05.00.01.0000</t>
  </si>
  <si>
    <t>4.1.1.1.3.05.00.02.0000</t>
  </si>
  <si>
    <t>Iss - Mde</t>
  </si>
  <si>
    <t>4.1.1.1.3.05.00.03.0000</t>
  </si>
  <si>
    <t>Iss - Asps</t>
  </si>
  <si>
    <t>4.1.1.2.1.17.00.00.0000</t>
  </si>
  <si>
    <t>4.1.1.2.1.21.00.00.0000</t>
  </si>
  <si>
    <t>4.1.1.2.1.25.00.00.0000</t>
  </si>
  <si>
    <t>4.1.1.2.1.27.00.00.0000</t>
  </si>
  <si>
    <t>4.1.1.2.1.28.00.00.0000</t>
  </si>
  <si>
    <t>4.1.1.2.1.29.00.00.0000</t>
  </si>
  <si>
    <t>Taxa De Licenca P/ Execucao De Obras</t>
  </si>
  <si>
    <t>4.1.1.2.1.30.00.00.0000</t>
  </si>
  <si>
    <t>Taxa De Autorizacao De Funcionamento De Transporte</t>
  </si>
  <si>
    <t>4.1.1.2.1.31.00.00.0000</t>
  </si>
  <si>
    <t>Taxa De Utilizacao De Area De Dominio Publico</t>
  </si>
  <si>
    <t>4.1.1.2.1.32.00.00.0000</t>
  </si>
  <si>
    <t>Taxa De Aprovacao Do Projeto De Construcao Civil</t>
  </si>
  <si>
    <t>4.1.1.2.1.99.00.00.0000</t>
  </si>
  <si>
    <t>Outras Taxas Pelo Exercicio Do Poder De Policia</t>
  </si>
  <si>
    <t>4.1.1.2.2.12.00.00.0000</t>
  </si>
  <si>
    <t>Emolumentos E Custas Processuais Administrativas</t>
  </si>
  <si>
    <t>4.1.1.2.2.21.00.00.0000</t>
  </si>
  <si>
    <t>Taxas De Servicos Cadastrais</t>
  </si>
  <si>
    <t>4.1.1.2.2.90.00.00.0000</t>
  </si>
  <si>
    <t>Taxa De Coleta de Lixo</t>
  </si>
  <si>
    <t>4.1.1.2.2.99.00.01.0000</t>
  </si>
  <si>
    <t>Taxa De Registro/inspecao De Produtos Agropecuarios</t>
  </si>
  <si>
    <t>4.1.1.2.2.99.00.03.0000</t>
  </si>
  <si>
    <t>Taxa De Registro No Cadastro Tecnico Ambiental Municipal</t>
  </si>
  <si>
    <t>4.1.1.2.2.99.00.04.0000</t>
  </si>
  <si>
    <t>Taxa De Emissao De Certidoes</t>
  </si>
  <si>
    <t>4.1.1.2.2.99.00.06.0000</t>
  </si>
  <si>
    <t>Taxa De Expediente E Servicos</t>
  </si>
  <si>
    <t>4.1.1.2.2.99.00.07.0000</t>
  </si>
  <si>
    <t>Taxa de Inscricao para Campeonato Praiano</t>
  </si>
  <si>
    <t>4.1.1.2.2.99.00.08.0000</t>
  </si>
  <si>
    <t>Taxa de Inscricao para Seminário Educação</t>
  </si>
  <si>
    <t>4.1.1.3.0.01.00.00.0000</t>
  </si>
  <si>
    <t>Contribuicao De  Melhoria P/ Expansao Da Rede De  Agua Potavel E Esgot</t>
  </si>
  <si>
    <t>4.1.1.3.0.02.00.00.0000</t>
  </si>
  <si>
    <t>Contribuicao De  Melhoria P/ Exp. Da Rede De  Ilum. Publica Na Cidade</t>
  </si>
  <si>
    <t>4.1.1.3.0.03.00.00.0000</t>
  </si>
  <si>
    <t>Contribuicao De  Melhoria P/ Exp. Da Rede De  Ilum. Publica Rural</t>
  </si>
  <si>
    <t>4.1.1.3.0.04.00.00.0000</t>
  </si>
  <si>
    <t>Contribuicao De  Melhoria P/ Pavimentacao E Obras Complementares</t>
  </si>
  <si>
    <t>4.1.3.1.5.00.00.00.0000</t>
  </si>
  <si>
    <t>TAXA  LOCACAO CENTRO DE EVENTOS</t>
  </si>
  <si>
    <t>4.1.3.2.1.06.02.00.0000</t>
  </si>
  <si>
    <t>Titulos De Responsabilidade Do Governo Federal - Tda</t>
  </si>
  <si>
    <t>4.1.3.2.5.01.02.00.0000</t>
  </si>
  <si>
    <t>Receita De Rem. Depositos  Rec. Vinc.  Fundeb</t>
  </si>
  <si>
    <t>4.1.3.2.5.01.03.01.0000</t>
  </si>
  <si>
    <t>Receira De Aplicacao Pab</t>
  </si>
  <si>
    <t>4.1.3.2.5.01.03.02.0000</t>
  </si>
  <si>
    <t>Receita De Aplicacao Farmacia Basica</t>
  </si>
  <si>
    <t>4.1.3.2.5.01.03.04.0000</t>
  </si>
  <si>
    <t>Receita De Aplicacao Vigilancia Sanitaria</t>
  </si>
  <si>
    <t>4.1.3.2.5.01.03.05.0000</t>
  </si>
  <si>
    <t>Receita De Aplicacao Epidemiologia</t>
  </si>
  <si>
    <t>4.1.3.2.5.01.03.09.0000</t>
  </si>
  <si>
    <t>Rec. Rem. Dep. Assist. Farm. Basica</t>
  </si>
  <si>
    <t>4.1.3.2.5.01.03.10.0000</t>
  </si>
  <si>
    <t>Rec. Rem. Dep. Prog. Incentivo a  Atencao Basica</t>
  </si>
  <si>
    <t>4.1.3.2.5.01.03.11.0000</t>
  </si>
  <si>
    <t>Rec. Rem. Dep. Farmacia Basica - Diabete Mellitus</t>
  </si>
  <si>
    <t>4.1.3.2.5.01.03.12.0000</t>
  </si>
  <si>
    <t>Rec. Rem. Dep. FMS SAUDE MENTAL</t>
  </si>
  <si>
    <t>4.1.3.2.5.01.05.00.0000</t>
  </si>
  <si>
    <t>Receita De Rem. De Depositos Rec. Vinc.  Mde</t>
  </si>
  <si>
    <t>4.1.3.2.5.01.06.00.0000</t>
  </si>
  <si>
    <t>Receita De Rem. De Depositos Rec. Vinc. Asps</t>
  </si>
  <si>
    <t>4.1.3.2.5.01.09.00.0000</t>
  </si>
  <si>
    <t>Receita De Remuneracao De Depositos  Bancarios  Cide</t>
  </si>
  <si>
    <t>4.1.3.2.5.01.11.01.0000</t>
  </si>
  <si>
    <t>Receita De Rem. De Depositos  Bancarios  - Pnate</t>
  </si>
  <si>
    <t>4.1.3.2.5.01.11.02.0000</t>
  </si>
  <si>
    <t>4.1.3.2.5.01.11.03.0000</t>
  </si>
  <si>
    <t>Receita De Rem. De Depositos  Bancarios  - Pnae</t>
  </si>
  <si>
    <t>4.1.3.2.5.01.99.09.0200</t>
  </si>
  <si>
    <t>4.1.3.2.5.01.99.09.0300</t>
  </si>
  <si>
    <t>4.1.3.2.5.01.99.09.0500</t>
  </si>
  <si>
    <t>Rec. De Rend. De Aplic. Fundo Mun. Assist. Social</t>
  </si>
  <si>
    <t>4.1.3.2.5.01.99.09.0700</t>
  </si>
  <si>
    <t>Receita De Aplicacao FMAS BPC</t>
  </si>
  <si>
    <t>4.1.3.2.5.01.99.09.0800</t>
  </si>
  <si>
    <t>4.1.3.2.5.01.99.09.0900</t>
  </si>
  <si>
    <t>Receita De Aplicacao FNAS PAIF</t>
  </si>
  <si>
    <t>4.1.3.2.5.01.99.09.1100</t>
  </si>
  <si>
    <t>Receita De Aplicacao FNAS IGD-SUAS</t>
  </si>
  <si>
    <t>4.1.3.2.5.01.99.13.0000</t>
  </si>
  <si>
    <t>Rececita De Rendimentos De Aplicacao - Fepe</t>
  </si>
  <si>
    <t>4.1.3.2.5.01.99.14.0000</t>
  </si>
  <si>
    <t>4.1.3.2.5.01.99.22.0000</t>
  </si>
  <si>
    <t>Receita De Aplic.  Cons. Pop. -  P/Capac. e Qualificacao Profissional</t>
  </si>
  <si>
    <t>4.1.3.2.5.02.99.01.0000</t>
  </si>
  <si>
    <t>4.1.3.2.5.02.99.03.0000</t>
  </si>
  <si>
    <t>Receita De Aplic. De Rec. Agrifest</t>
  </si>
  <si>
    <t>4.1.6.0.0.04.03.00.0000</t>
  </si>
  <si>
    <t>Outros Servicos De Comunicacao</t>
  </si>
  <si>
    <t>4.1.6.0.0.05.99.00.0000</t>
  </si>
  <si>
    <t>Receita de Serviços de Saúde</t>
  </si>
  <si>
    <t>4.1.6.0.0.13.01.00.0000</t>
  </si>
  <si>
    <t>4.1.6.0.0.13.02.00.0000</t>
  </si>
  <si>
    <t>Servicos De Vendas De Editais</t>
  </si>
  <si>
    <t>4.1.6.0.0.13.05.00.0000</t>
  </si>
  <si>
    <t>4.1.6.0.0.13.07.00.0000</t>
  </si>
  <si>
    <t>Servicos De Fotocopias E/ou Copias Heliograficas</t>
  </si>
  <si>
    <t>Servicos De Prep/cao Da Terra Em Prop. Particulares</t>
  </si>
  <si>
    <t>4.1.6.0.0.45.00.02.0000</t>
  </si>
  <si>
    <t>Servicos  Em Prop. Partic/Retroescavadeira</t>
  </si>
  <si>
    <t>4.1.6.0.0.45.00.03.0000</t>
  </si>
  <si>
    <t>Servicos  Em Prop. Partic/Trator/Discagem</t>
  </si>
  <si>
    <t>4.1.6.0.0.45.00.04.0000</t>
  </si>
  <si>
    <t>Servicos  Em Prop. Partic/Trator/Escalificacao</t>
  </si>
  <si>
    <t>4.1.6.0.0.45.00.05.0000</t>
  </si>
  <si>
    <t>Servicos  Em Prop. Partic/Trator/Screip</t>
  </si>
  <si>
    <t>4.1.6.0.0.45.00.06.0000</t>
  </si>
  <si>
    <t>Servicos  Em Prop. Partic/Esteirinha</t>
  </si>
  <si>
    <t>4.1.6.0.0.45.00.07.0000</t>
  </si>
  <si>
    <t>Servicos  Em Prop. Partic/Batedeira de Cereais</t>
  </si>
  <si>
    <t>4.1.6.0.0.45.00.08.0000</t>
  </si>
  <si>
    <t>Servicos  Em Prop. Partic/Carreta Agricola</t>
  </si>
  <si>
    <t>4.1.6.0.0.45.00.09.0000</t>
  </si>
  <si>
    <t>Servicos  Em Prop. Partic/distribuidor De Esterco</t>
  </si>
  <si>
    <t>4.1.6.0.0.45.00.10.0000</t>
  </si>
  <si>
    <t>Servicos  Em Prop. Partic/Screip</t>
  </si>
  <si>
    <t>4.1.6.0.0.45.00.11.0000</t>
  </si>
  <si>
    <t>Servicos  Em Prop. Partic/Semeadeira de Calcario</t>
  </si>
  <si>
    <t>4.1.6.0.0.99.00.05.0000</t>
  </si>
  <si>
    <t>Servico De Maquinas/Motoniveladora</t>
  </si>
  <si>
    <t>4.1.6.0.0.99.00.06.0000</t>
  </si>
  <si>
    <t>Servico de Maquinas/Retroescavadeira</t>
  </si>
  <si>
    <t>4.1.6.0.0.99.00.07.0000</t>
  </si>
  <si>
    <t>Servico de Maquinas/Trator Esteira</t>
  </si>
  <si>
    <t>4.1.6.0.0.99.00.08.0000</t>
  </si>
  <si>
    <t>Servico de Maquinas/Carga Aterro/Cascalho</t>
  </si>
  <si>
    <t>4.1.7.2.1.01.02.01.0000</t>
  </si>
  <si>
    <t>Cota-parte Do Fpm - Proprio</t>
  </si>
  <si>
    <t>4.1.7.2.1.01.02.02.0000</t>
  </si>
  <si>
    <t>Cota-parte Do Fpm - Mde</t>
  </si>
  <si>
    <t>4.1.7.2.1.01.02.04.0000</t>
  </si>
  <si>
    <t>Cota-parte Do Fpm - Asps</t>
  </si>
  <si>
    <t>4.1.7.2.1.01.02.06.0000</t>
  </si>
  <si>
    <t>Cota-parte Do Fpm - Fundeb</t>
  </si>
  <si>
    <t>4.1.7.2.1.01.05.01.0000</t>
  </si>
  <si>
    <t>Cota-parte Do Itr - Proprio</t>
  </si>
  <si>
    <t>4.1.7.2.1.01.05.02.0000</t>
  </si>
  <si>
    <t>Cota-parte Do Itr - Mde</t>
  </si>
  <si>
    <t>4.1.7.2.1.01.05.03.0000</t>
  </si>
  <si>
    <t>Cota-parte Do Itr - Asps</t>
  </si>
  <si>
    <t>4.1.7.2.1.01.05.04.0000</t>
  </si>
  <si>
    <t>Cota-parte Do Itr - Fundeb</t>
  </si>
  <si>
    <t>4.1.7.2.1.22.20.00.0000</t>
  </si>
  <si>
    <t>COTA PARTE CFM - DEPART. NAC. DE PROD.MINERAL</t>
  </si>
  <si>
    <t>4.1.7.2.1.22.70.00.0000</t>
  </si>
  <si>
    <t>Cota-parte Do Fundo Especial Do Petroleo - Fep</t>
  </si>
  <si>
    <t>4.1.7.2.1.33.00.01.0000</t>
  </si>
  <si>
    <t>Piso De Atencao Basica - Pab Fixo</t>
  </si>
  <si>
    <t>4.1.7.2.1.33.00.02.0100</t>
  </si>
  <si>
    <t>Acoes Basicas De Vigilancia Sanitaria</t>
  </si>
  <si>
    <t>4.1.7.2.1.33.00.02.0300</t>
  </si>
  <si>
    <t>Programa De Assistencia Farmaceutica Basica</t>
  </si>
  <si>
    <t>4.1.7.2.1.33.00.03.0000</t>
  </si>
  <si>
    <t>Transf. de Alta e Media Complexidade - Sai/Sih</t>
  </si>
  <si>
    <t>4.1.7.2.1.33.00.99.0100</t>
  </si>
  <si>
    <t>Transferencia - Cadastro Sus</t>
  </si>
  <si>
    <t>4.1.7.2.1.35.01.00.0000</t>
  </si>
  <si>
    <t>Transferencia Do Salario-educacao</t>
  </si>
  <si>
    <t>4.1.7.2.1.35.03.00.0100</t>
  </si>
  <si>
    <t>Transferencias PNAE - PRE-ESCOLA</t>
  </si>
  <si>
    <t>4.1.7.2.1.35.03.00.0200</t>
  </si>
  <si>
    <t>Transferencias PNAE - EJA</t>
  </si>
  <si>
    <t>4.1.7.2.1.35.03.00.0300</t>
  </si>
  <si>
    <t>Transferencias PNAE - ENSINO FUNDAMENTAL</t>
  </si>
  <si>
    <t>4.1.7.2.1.35.03.00.0400</t>
  </si>
  <si>
    <t>Transferencias PNAE- ED ESPECIAL</t>
  </si>
  <si>
    <t>4.1.7.2.1.35.04.00.0100</t>
  </si>
  <si>
    <t>Transferencias PNATE - PRE-ESCOLA</t>
  </si>
  <si>
    <t>4.1.7.2.1.35.04.00.0200</t>
  </si>
  <si>
    <t>Transferencias PNATE - ENSINO FUNDAMENTAL</t>
  </si>
  <si>
    <t>4.1.7.2.1.35.04.00.0300</t>
  </si>
  <si>
    <t>Transferencias PNATE - ENSINO MEDIO</t>
  </si>
  <si>
    <t>4.1.7.2.1.36.00.01.0000</t>
  </si>
  <si>
    <t>Transferencia Financeira - Lcn  87/96 - Proprio</t>
  </si>
  <si>
    <t>4.1.7.2.1.36.00.02.0000</t>
  </si>
  <si>
    <t>Transferencia Financeira - Lcn  87/96 - Mde</t>
  </si>
  <si>
    <t>4.1.7.2.1.36.00.04.0000</t>
  </si>
  <si>
    <t>Transferencia Financeira - Lcn  87/96 - Asps</t>
  </si>
  <si>
    <t>4.1.7.2.1.36.00.05.0000</t>
  </si>
  <si>
    <t>Transferencia Financeira - Lcn  87/96 - Fundeb</t>
  </si>
  <si>
    <t>4.1.7.2.1.99.00.04.0000</t>
  </si>
  <si>
    <t>Outras Transferencias Da Uniao</t>
  </si>
  <si>
    <t>4.1.7.2.1.99.00.20.0000</t>
  </si>
  <si>
    <t>Auxilio Financeiro - Esforco Exportador (mp N  193/04)</t>
  </si>
  <si>
    <t>4.1.7.2.2.01.01.01.0000</t>
  </si>
  <si>
    <t>Cota-parte Do Icms - Proprio</t>
  </si>
  <si>
    <t>4.1.7.2.2.01.01.02.0000</t>
  </si>
  <si>
    <t>Cota-parte Do Icms - Mde</t>
  </si>
  <si>
    <t>4.1.7.2.2.01.01.04.0000</t>
  </si>
  <si>
    <t>Cota-parte Do Icms - Asps</t>
  </si>
  <si>
    <t>4.1.7.2.2.01.01.05.0000</t>
  </si>
  <si>
    <t>Cota-parte Do Icms - Fundeb</t>
  </si>
  <si>
    <t>4.1.7.2.2.01.02.01.0000</t>
  </si>
  <si>
    <t>Cota-parte Do Ipva - Proprio</t>
  </si>
  <si>
    <t>4.1.7.2.2.01.02.02.0000</t>
  </si>
  <si>
    <t>Cota-parte Do Ipva - Mde</t>
  </si>
  <si>
    <t>4.1.7.2.2.01.02.03.0000</t>
  </si>
  <si>
    <t>Cota-parte Do Ipva - Asps</t>
  </si>
  <si>
    <t>4.1.7.2.2.01.02.04.0000</t>
  </si>
  <si>
    <t>Cota-parte Do Ipva - Fundeb</t>
  </si>
  <si>
    <t>4.1.7.2.2.01.04.01.0000</t>
  </si>
  <si>
    <t>Cota-parte Do Ipi/exportacao - Proprio</t>
  </si>
  <si>
    <t>4.1.7.2.2.01.04.02.0000</t>
  </si>
  <si>
    <t>Cota-parte Do Ipi/exportacao - Mde</t>
  </si>
  <si>
    <t>4.1.7.2.2.01.04.04.0000</t>
  </si>
  <si>
    <t>Cota-parte Do Ipi/exportacao - Asps</t>
  </si>
  <si>
    <t>4.1.7.2.2.01.04.05.0000</t>
  </si>
  <si>
    <t>Cota-parte Do Ipi/exportacao - Fundeb</t>
  </si>
  <si>
    <t>4.1.7.2.2.01.13.00.0000</t>
  </si>
  <si>
    <t>Cota-parte Da Contrib. De Interv. No Dom. Econ. Cide</t>
  </si>
  <si>
    <t>4.1.7.2.2.33.00.03.0000</t>
  </si>
  <si>
    <t>4.1.7.2.2.33.00.04.0000</t>
  </si>
  <si>
    <t>4.1.7.2.2.33.00.09.0000</t>
  </si>
  <si>
    <t>Programa Saude Mental</t>
  </si>
  <si>
    <t>4.1.7.2.2.33.00.11.0000</t>
  </si>
  <si>
    <t>4.1.7.2.2.33.00.13.0000</t>
  </si>
  <si>
    <t>Programa Incentivo a Atencao Basica</t>
  </si>
  <si>
    <t>4.1.7.2.2.33.00.14.0000</t>
  </si>
  <si>
    <t>Farmacia Basica - Diabete Mellitus</t>
  </si>
  <si>
    <t>4.1.7.2.2.99.00.03.0000</t>
  </si>
  <si>
    <t>Cota-parte Da Multa De Transito - Recurso Livre</t>
  </si>
  <si>
    <t>4.1.7.2.2.99.00.05.0000</t>
  </si>
  <si>
    <t>Outras Transferencias Do Estado</t>
  </si>
  <si>
    <t>4.1.7.2.4.01.00.05.0000</t>
  </si>
  <si>
    <t>Transferencias De Recursos Do Fundeb - Fpm</t>
  </si>
  <si>
    <t>4.1.7.2.4.01.00.06.0000</t>
  </si>
  <si>
    <t>Transferencias De Recursos Do Fundeb - Itr</t>
  </si>
  <si>
    <t>4.1.7.2.4.01.00.07.0000</t>
  </si>
  <si>
    <t>Transferencias De Recursos Do Fundeb - Lei 87/96</t>
  </si>
  <si>
    <t>4.1.7.2.4.01.00.08.0000</t>
  </si>
  <si>
    <t>Transferencias De Recursos Do Fundeb - Icms</t>
  </si>
  <si>
    <t>4.1.7.2.4.01.00.09.0000</t>
  </si>
  <si>
    <t>Transferencias De Recursos Do Fundeb - Ipva</t>
  </si>
  <si>
    <t>4.1.7.2.4.01.00.10.0000</t>
  </si>
  <si>
    <t>Transferencias De Recursos Do Fundeb - Ipi/exp</t>
  </si>
  <si>
    <t>4.1.7.2.4.01.00.11.0000</t>
  </si>
  <si>
    <t>Transferencias De Recursos Do Fundeb - Itcmd</t>
  </si>
  <si>
    <t>4.1.7.6.1.03.00.02.0000</t>
  </si>
  <si>
    <t>Transferencias De Convenios- FNAS PTMC</t>
  </si>
  <si>
    <t>4.1.7.6.1.03.00.03.0000</t>
  </si>
  <si>
    <t>Transferencias De Convenios- FNAS IGDBF</t>
  </si>
  <si>
    <t>4.1.7.6.1.03.00.07.0000</t>
  </si>
  <si>
    <t>Transferencias De Convenios- Fnas PAIF</t>
  </si>
  <si>
    <t>4.1.7.6.1.03.00.09.0000</t>
  </si>
  <si>
    <t>Transferencias De Convenios- Fnas IGD-SUAS</t>
  </si>
  <si>
    <t>4.1.7.6.2.02.00.01.0000</t>
  </si>
  <si>
    <t>Transferencias De Convenios P/ O Transporte Escolar</t>
  </si>
  <si>
    <t>4.1.7.6.2.99.00.02.0000</t>
  </si>
  <si>
    <t>Revisao De Beneficios De Prestacao Continuada - Bpc</t>
  </si>
  <si>
    <t>4.1.7.6.2.99.00.07.0000</t>
  </si>
  <si>
    <t>Programa Oasf - Orientacao E Apoio Socio-familiar - FEAS</t>
  </si>
  <si>
    <t>4.1.9.1.1.38.00.01.0000</t>
  </si>
  <si>
    <t>Multas E Juros De Mora Do Iptu - Proprio</t>
  </si>
  <si>
    <t>4.1.9.1.1.38.00.02.0000</t>
  </si>
  <si>
    <t>Multas E Juros De Mora Do Iptu - Mde</t>
  </si>
  <si>
    <t>4.1.9.1.1.38.00.03.0000</t>
  </si>
  <si>
    <t>Multas E Juros De Mora Do Iptu - Asps</t>
  </si>
  <si>
    <t>4.1.9.1.1.40.00.01.0000</t>
  </si>
  <si>
    <t>Multas E Juros De Mora Do Iss - Proprio</t>
  </si>
  <si>
    <t>4.1.9.1.1.40.00.02.0000</t>
  </si>
  <si>
    <t>Multas E Juros De Mora Do Iss - Mde</t>
  </si>
  <si>
    <t>4.1.9.1.1.40.00.03.0000</t>
  </si>
  <si>
    <t>Multas E Juros De Mora Do Iss - Asps</t>
  </si>
  <si>
    <t>4.1.9.1.3.11.00.01.0000</t>
  </si>
  <si>
    <t>4.1.9.1.3.11.00.02.0000</t>
  </si>
  <si>
    <t>4.1.9.1.3.11.00.03.0000</t>
  </si>
  <si>
    <t>4.1.9.1.3.13.00.01.0000</t>
  </si>
  <si>
    <t>4.1.9.1.3.13.00.02.0000</t>
  </si>
  <si>
    <t>4.1.9.1.3.13.00.03.0000</t>
  </si>
  <si>
    <t>4.1.9.1.3.99.00.01.0000</t>
  </si>
  <si>
    <t>4.1.9.1.5.99.00.01.0000</t>
  </si>
  <si>
    <t>Multas E Juros De Mora Div. Ativ. Prog. Troca-troca</t>
  </si>
  <si>
    <t>4.1.9.1.9.10.00.00.0000</t>
  </si>
  <si>
    <t>Multas Previstas Na Legislacao Sanitaria</t>
  </si>
  <si>
    <t>4.1.9.1.9.27.00.00.0000</t>
  </si>
  <si>
    <t>Multas E Juros Previstos Em Contrato</t>
  </si>
  <si>
    <t>4.1.9.1.9.35.00.00.0000</t>
  </si>
  <si>
    <t>Multas Por Danos Ao Meio Ambiente</t>
  </si>
  <si>
    <t>4.1.9.1.9.60.00.00.0000</t>
  </si>
  <si>
    <t>Multa Por Infracao A Legislacao De Licitacao</t>
  </si>
  <si>
    <t>4.1.9.2.1.99.00.00.0000</t>
  </si>
  <si>
    <t>Restituição Ações Ministerio Público Estadual</t>
  </si>
  <si>
    <t>4.1.9.2.2.99.00.01.0000</t>
  </si>
  <si>
    <t>Restituicoes Determinadas Pelo Tce</t>
  </si>
  <si>
    <t>4.1.9.2.2.99.00.02.0000</t>
  </si>
  <si>
    <t>4.1.9.2.2.99.00.04.0000</t>
  </si>
  <si>
    <t>Restituicao Pelo Pagamento Indevido</t>
  </si>
  <si>
    <t>4.1.9.2.2.99.00.06.0000</t>
  </si>
  <si>
    <t>Restit. Do Plano De Assist. Medica Dos Servidores</t>
  </si>
  <si>
    <t>4.1.9.2.2.99.00.07.0000</t>
  </si>
  <si>
    <t>Restituicoes E Indenizacoes Diversas</t>
  </si>
  <si>
    <t>4.1.9.3.1.11.00.01.0000</t>
  </si>
  <si>
    <t>4.1.9.3.1.11.00.02.0000</t>
  </si>
  <si>
    <t>4.1.9.3.1.11.00.03.0000</t>
  </si>
  <si>
    <t>4.1.9.3.1.13.00.01.0000</t>
  </si>
  <si>
    <t>4.1.9.3.1.13.00.02.0000</t>
  </si>
  <si>
    <t>4.1.9.3.1.13.00.03.0000</t>
  </si>
  <si>
    <t>4.1.9.3.2.99.01.01.0000</t>
  </si>
  <si>
    <t>Receita Da Divida Ativa Do Programa Troca-troca</t>
  </si>
  <si>
    <t>4.1.9.3.2.99.01.02.0000</t>
  </si>
  <si>
    <t>Receita Divida Ativa Nao Tributaria Prov. Da  Inscricao De Cert. Tce</t>
  </si>
  <si>
    <t>4.1.9.9.0.99.00.07.0000</t>
  </si>
  <si>
    <t>Outras Receitas Correntes Diversas</t>
  </si>
  <si>
    <t>4.1.9.9.0.99.00.09.0000</t>
  </si>
  <si>
    <t>4.1.9.9.0.99.00.10.0000</t>
  </si>
  <si>
    <t>4.1.9.9.0.99.00.11.0000</t>
  </si>
  <si>
    <t>4.1.9.9.0.99.00.12.0000</t>
  </si>
  <si>
    <t>4.1.9.9.0.99.00.13.0000</t>
  </si>
  <si>
    <t>4.2.2.1.5.00.00.00.0000</t>
  </si>
  <si>
    <t>Alienacao de Veiculos</t>
  </si>
  <si>
    <t>4.2.2.1.6.00.00.00.0000</t>
  </si>
  <si>
    <t>Alienacao De Moveis E Utensilios</t>
  </si>
  <si>
    <t>4.2.2.1.7.00.00.00.0000</t>
  </si>
  <si>
    <t>Alienacao De Equipamentos</t>
  </si>
  <si>
    <t>4.2.5.9.0.00.00.02.0200</t>
  </si>
  <si>
    <t>Rem. Depositos Bancarios - Fns</t>
  </si>
  <si>
    <t>4.2.5.9.0.00.00.02.0500</t>
  </si>
  <si>
    <t>Rem. Depositos Bancarios - Recurso Ccfgs</t>
  </si>
  <si>
    <t>4.2.5.9.0.00.00.02.1100</t>
  </si>
  <si>
    <t>Rem. Depositos Bancarios - Min. Educacao/esporte</t>
  </si>
  <si>
    <t>Rem. Depositos Bancarios - Consulta Popular - Eq. Saude.</t>
  </si>
  <si>
    <t>4.2.5.9.0.00.00.02.2600</t>
  </si>
  <si>
    <t>Rem. Depositos Bancarios - Em. Parl. P/construcao De Portico Turistico</t>
  </si>
  <si>
    <t>4.2.5.9.0.00.00.02.2700</t>
  </si>
  <si>
    <t>Rem. Depositos Bancarios - Em. Parl. P/ampliacao Do Posto De Saude</t>
  </si>
  <si>
    <t>4.2.5.9.0.00.00.02.3500</t>
  </si>
  <si>
    <t>4.2.5.9.0.00.00.03.0000</t>
  </si>
  <si>
    <t>Receitas Diversas</t>
  </si>
  <si>
    <t>9.1.1.1.2.02.00.01.0000</t>
  </si>
  <si>
    <t>Iptu - Deducao Proprio</t>
  </si>
  <si>
    <t>9.1.1.1.2.02.00.02.0000</t>
  </si>
  <si>
    <t>Iptu - Deducao Mde</t>
  </si>
  <si>
    <t>9.1.1.1.2.02.00.03.0000</t>
  </si>
  <si>
    <t>Iptu - Deducao ASPS</t>
  </si>
  <si>
    <t>9.1.1.2.2.99.00.06.0000</t>
  </si>
  <si>
    <t>Deducao Taxa de Expediente</t>
  </si>
  <si>
    <t>9.1.7.2.1.01.02.06.0000</t>
  </si>
  <si>
    <t>(r) Deducao Da Rec. P/form. Do Fundeb - Fpm</t>
  </si>
  <si>
    <t>9.1.7.2.1.01.05.04.0000</t>
  </si>
  <si>
    <t>(r) Deducao Da Rec. P/form. Do Fundeb - Itr</t>
  </si>
  <si>
    <t>9.1.7.2.1.36.00.05.0000</t>
  </si>
  <si>
    <t>(r) Deducao Da Rec .p/form. Do Fundeb - Icms Deson. - Lc 87/96</t>
  </si>
  <si>
    <t>9.1.7.2.2.01.01.05.0000</t>
  </si>
  <si>
    <t>(r) Deducao Da Rec. P/form. Do Fundeb - Icms</t>
  </si>
  <si>
    <t>9.1.7.2.2.01.02.04.0000</t>
  </si>
  <si>
    <t>(r) Deducao Da Rec. P/form. Do Fundeb - Ipva</t>
  </si>
  <si>
    <t>9.1.7.2.2.01.04.05.0000</t>
  </si>
  <si>
    <t>(r) Deducao Da Rec. P/form Do Fundeb - Ipi/exportacao</t>
  </si>
  <si>
    <t>4.0.0.0.0.00.00.00.00.00</t>
  </si>
  <si>
    <t xml:space="preserve">4.1.0.0.0.00.00.00.00.00 </t>
  </si>
  <si>
    <t>4.1.1.0.0.00.00.00.00.00</t>
  </si>
  <si>
    <t xml:space="preserve">4.1.1.1.0.00.00.00.00.00 </t>
  </si>
  <si>
    <t>Impostos</t>
  </si>
  <si>
    <t xml:space="preserve">4.1.1.1.2.02.00.00.00.00 </t>
  </si>
  <si>
    <t>Imposto Sobre A Propriedade Predial E Territorial Urbana - Iptu</t>
  </si>
  <si>
    <t>Estimativa de  Arrecadação de Taxas De Coleta de Lixo</t>
  </si>
  <si>
    <t>Estimativa de  Arrecadação de Taxa De Inscrição Campeonato Praiano</t>
  </si>
  <si>
    <t>Estimativa de  Arrecadação de Taxa De Inscrição Seminario Educação</t>
  </si>
  <si>
    <t>4.1.3.0.0.00.00.00.0000</t>
  </si>
  <si>
    <t xml:space="preserve">4.1.1.1.2.04.00.00.00.00 </t>
  </si>
  <si>
    <t>Imposto Sobre A Renda E Proventos De Qualquer Natureza</t>
  </si>
  <si>
    <t>4.1.1.1.2.04.31.00.00.00</t>
  </si>
  <si>
    <t xml:space="preserve">4.1.1.1.2.04.31.01.00.00 </t>
  </si>
  <si>
    <t>Irrf Sobre Rendimentos Do Trabalho - Ativos/inativos Do Poder Executiv</t>
  </si>
  <si>
    <t xml:space="preserve">4.1.1.1.2.04.31.06.00.00 </t>
  </si>
  <si>
    <t>Irrf Sobre Rendimentos - Prestacao De Servicos De Terceiros - Poder Ex</t>
  </si>
  <si>
    <t xml:space="preserve">4.1.1.1.2.08.00.00.00.00 </t>
  </si>
  <si>
    <t>Imposto Sobre Transmissao "inter-vivos" De Bens Imoveis E De Direitos</t>
  </si>
  <si>
    <t xml:space="preserve">4.1.1.1.3.00.00.00.00.00 </t>
  </si>
  <si>
    <t>Impostos Sobre A Producao E A Circulacao</t>
  </si>
  <si>
    <t xml:space="preserve">4.1.1.1.3.05.00.00.00.00 </t>
  </si>
  <si>
    <t>Imposto Sobre Servicos De Qualquer Natureza</t>
  </si>
  <si>
    <t>4.1.1.2.0.00.00.00.00.00</t>
  </si>
  <si>
    <t>4.1.1.2.1.00.00.00.00.00</t>
  </si>
  <si>
    <t xml:space="preserve">4.1.1.2.2.00.00.00.00.00 </t>
  </si>
  <si>
    <t>Taxas Pela Prestacao De Servicos</t>
  </si>
  <si>
    <t xml:space="preserve">4.1.1.2.2.99.00.00.00.00 </t>
  </si>
  <si>
    <t>Outras Taxas Pela Prestacao De Servicos</t>
  </si>
  <si>
    <t xml:space="preserve">4.1.1.3.0.00.00.00.00.00 </t>
  </si>
  <si>
    <t>Contribuicao De Melhoria</t>
  </si>
  <si>
    <t>4.1.3.1.0.00.00.00.0000</t>
  </si>
  <si>
    <t>Receitas Imobiliárias</t>
  </si>
  <si>
    <t>Estimativa de  Arrecadação de taxa locação do cenbtro de eventos</t>
  </si>
  <si>
    <t>4.1.3.2.0.00.00.00.00.00</t>
  </si>
  <si>
    <t>Receitas De Valores Mobiliarios</t>
  </si>
  <si>
    <t>4.1.3.2.1.00.00.00.00.00</t>
  </si>
  <si>
    <t xml:space="preserve"> Juros De Titulos De Renda</t>
  </si>
  <si>
    <t>4.1.3.2.1.06.00.00.00.00</t>
  </si>
  <si>
    <t>Titulos De Responsabilidade Do Governo Federal</t>
  </si>
  <si>
    <t>4.1.3.2.5.00.00.00.00.00</t>
  </si>
  <si>
    <t>4.1.3.2.5.01.00.00.00.00</t>
  </si>
  <si>
    <t>Remuneracao De Depositos Bancarios</t>
  </si>
  <si>
    <t>Remuneracao De Depositos De Recursos  Vinculados</t>
  </si>
  <si>
    <t xml:space="preserve">4.1.3.2.5.01.03.00.00.00 </t>
  </si>
  <si>
    <t>Receita De Rem. De Dep.  Banc. De Rec. Vinc. Fundo Saúde</t>
  </si>
  <si>
    <t>4.1.3.2.5.01.11.00.0000</t>
  </si>
  <si>
    <t>Receita De Rem. De Dep.  Banc. De Rec. Do Fnde</t>
  </si>
  <si>
    <t>4.1.3.2.5.01.99.09.00.00</t>
  </si>
  <si>
    <t>Rec. De Rend. De Aplic. Financ. Fnas</t>
  </si>
  <si>
    <t>4.1.3.2.5.01.99.23.0000</t>
  </si>
  <si>
    <t>Receita De Aplic.  Cons. Pop. -  P/Apoio a eventos Culturais Chuvisca</t>
  </si>
  <si>
    <t>Estimativa de  Arrecadação de Receita De Aplic.  Cons. Pop. -  P/Apoio a eventos Culturais Chuvisca</t>
  </si>
  <si>
    <t>4.1.3.2.5.02.99.00.0000</t>
  </si>
  <si>
    <t>4.1.3.2.5.02.00.00.0000</t>
  </si>
  <si>
    <t>Remuneracao De Depositos De Recursos  Nao Vinculados</t>
  </si>
  <si>
    <t>Remuneracao De Outros Depositos De Recursos Nao Vinculados</t>
  </si>
  <si>
    <t xml:space="preserve">4.1.6.0.0.00.00.00.00.00 </t>
  </si>
  <si>
    <t>4.1.6.0.0.04.00.00.00.00</t>
  </si>
  <si>
    <t>Receita De Servicos</t>
  </si>
  <si>
    <t>Servicos De Comunicacao</t>
  </si>
  <si>
    <t>4.1.6.0.0.05.00.00.0000</t>
  </si>
  <si>
    <t>Serviços de Saúde</t>
  </si>
  <si>
    <t>Estimativa de  Arrecadação de Serviços De Saúde</t>
  </si>
  <si>
    <t>4.1.6.0.0.13.00.00.0000</t>
  </si>
  <si>
    <t>Servicos Administrativos</t>
  </si>
  <si>
    <t>4.1.6.0.0.45.00.00.0000</t>
  </si>
  <si>
    <t>4.1.6.0.0.99.00.00.0000</t>
  </si>
  <si>
    <t>Outros Servicos</t>
  </si>
  <si>
    <t>4.1.7.0.0.00.00.00.0000</t>
  </si>
  <si>
    <t>4.1.7.2.0.00.00.00.0000</t>
  </si>
  <si>
    <t>4.1.7.2.1.00.00.00.0000</t>
  </si>
  <si>
    <t>4.1.7.2.1.01.00.00.0000</t>
  </si>
  <si>
    <t>4.1.7.2.1.01.02.00.0000</t>
  </si>
  <si>
    <t>Transferencias Correntes</t>
  </si>
  <si>
    <t>Transferencias Da Uniao</t>
  </si>
  <si>
    <t>Transferencias Intergovernamentais</t>
  </si>
  <si>
    <t>Participacao Na Receita Da Uniao</t>
  </si>
  <si>
    <t>Cota-parte Do Fundo De Participacao Dos Municipios - Fpm</t>
  </si>
  <si>
    <t>4.1.7.2.1.01.05.00.0000</t>
  </si>
  <si>
    <t>4.1.7.2.1.22.00.00.0000</t>
  </si>
  <si>
    <t>Cota-parte Do Imposto Sobre A Propriedade Territorial Rural - Itr</t>
  </si>
  <si>
    <t>Transferencia Da Comp. Fin. Pela Exploracao De Rec. Naturais</t>
  </si>
  <si>
    <t>Estimativa de Receita cota Parte CFM</t>
  </si>
  <si>
    <t>4.1.7.2.1.33.00.00.0000</t>
  </si>
  <si>
    <t xml:space="preserve"> Transferencia De Rec. Do Sistema Unico De Saude - Sus - Repasse Funasa</t>
  </si>
  <si>
    <t>4.1.7.2.1.33.00.02.0000</t>
  </si>
  <si>
    <t>Piso De Atencao Basica - Pab Variavel</t>
  </si>
  <si>
    <t>4.1.7.2.1.33.00.99.0000</t>
  </si>
  <si>
    <t xml:space="preserve"> Outras Transferencias Da Uniao P/ O Sistema Unico De Saude - Sus</t>
  </si>
  <si>
    <t>4.1.7.2.1.35.00.00.0000</t>
  </si>
  <si>
    <t xml:space="preserve"> Transferencias De Recursos Do Fundo Nacional Do Desenv. Da Educacao</t>
  </si>
  <si>
    <t>4.1.7.2.1.35.03.00.0000</t>
  </si>
  <si>
    <t>Transferencias do Prog. Nac. de Alim. Escolar - PNAE</t>
  </si>
  <si>
    <t>4.1.7.2.1.35.04.00.0000</t>
  </si>
  <si>
    <t>Transferencias do Prog. Nac. de Transp. Escolar - PNATE</t>
  </si>
  <si>
    <t>4.1.7.2.1.36.00.00.0000</t>
  </si>
  <si>
    <t>Transferencia Financeira Do Icms - Desoneracao - Lc N° 87/96</t>
  </si>
  <si>
    <t>4.1.7.2.1.99.00.00.0000</t>
  </si>
  <si>
    <t>4.1.7.2.2.00.00.00.0000</t>
  </si>
  <si>
    <t>4.1.7.2.2.01.00.00.0000</t>
  </si>
  <si>
    <t>4.1.7.2.2.01.01.00.0000</t>
  </si>
  <si>
    <t>Cota-parte Do Icms</t>
  </si>
  <si>
    <t>Participacao Na Receita Dos Estados</t>
  </si>
  <si>
    <t>Transferencias dos Estados</t>
  </si>
  <si>
    <t>4.1.7.2.2.01.02.00.0000</t>
  </si>
  <si>
    <t xml:space="preserve">Cota-parte Do Ipva </t>
  </si>
  <si>
    <t>4.1.7.2.2.01.04.00.0000</t>
  </si>
  <si>
    <t xml:space="preserve">Cota-parte Do Ipi/exportacao </t>
  </si>
  <si>
    <t>4.1.7.2.2.33.00.00.0000</t>
  </si>
  <si>
    <t>Transferencia De Recursos Do Estado P/ Prog. De Saude - Repasse Fu</t>
  </si>
  <si>
    <t>4.1.7.2.2.99.00.00.0000</t>
  </si>
  <si>
    <t>Outras Transferencias Dos Estados</t>
  </si>
  <si>
    <t>4.1.7.2.4.01.00.00.0000</t>
  </si>
  <si>
    <t>4.1.7.2.4.00.00.00.0000</t>
  </si>
  <si>
    <t>Transferencias Multigovernamentais</t>
  </si>
  <si>
    <t>Transferencias De Recursos Do Fundeb</t>
  </si>
  <si>
    <t>4.1.7.6.1.00.00.00.0000</t>
  </si>
  <si>
    <t>4.1.7.6.1.03.00.00.0000</t>
  </si>
  <si>
    <t>4.1.7.6.0.00.00.00.0000</t>
  </si>
  <si>
    <t>Transferencias De Convenios</t>
  </si>
  <si>
    <t xml:space="preserve"> Transferencias De Convenios Da Uniao E De Suas Entidades</t>
  </si>
  <si>
    <t>Transferencias De Convenios Da Uniao Destinadas A Prog. De Assist. Soc.</t>
  </si>
  <si>
    <t>Outras Transferencias De Convenios Da Uniao</t>
  </si>
  <si>
    <t>4.1.7.6.2.00.00.00.0000</t>
  </si>
  <si>
    <t>4.1.7.6.2.02.00.00.0000</t>
  </si>
  <si>
    <t>Transferencias De Convenios Dos Estados E Do Distrito Federal E De Sua</t>
  </si>
  <si>
    <t>Transferencias De Conv. Dos Estados Dest. A Prog. De Educacao</t>
  </si>
  <si>
    <t>4.1.7.6.2.99.00.00.0000</t>
  </si>
  <si>
    <t>Outras Transferencias De Convenios Dos Estados</t>
  </si>
  <si>
    <t>4.1.9.0.0.00.00.00.0000</t>
  </si>
  <si>
    <t>Outras Receitas Correntes</t>
  </si>
  <si>
    <t>Multas E Juros De Mora</t>
  </si>
  <si>
    <t>4.1.9.1.0.00.00.00.0000</t>
  </si>
  <si>
    <t>4.1.9.1.1.00.00.00.0000</t>
  </si>
  <si>
    <t>Multas E Juros De Mora Dos Tributos</t>
  </si>
  <si>
    <t>4.1.9.1.1.38.00.00.0000</t>
  </si>
  <si>
    <t>Multas E Juros De Mora Do Imposto Sobre A Propriedade Predial E Territ</t>
  </si>
  <si>
    <t>4.1.9.1.1.40.00.00.0000</t>
  </si>
  <si>
    <t>Multas E Juros De Mora Do Imposto Sobre Servicos De Qualquer Natureza</t>
  </si>
  <si>
    <t>4.1.9.1.1.99.00.00.0000</t>
  </si>
  <si>
    <t>Multas E Juros De Mora De Outros Tributos</t>
  </si>
  <si>
    <t>4.1.9.1.3.11.00.00.0000</t>
  </si>
  <si>
    <t>4.1.9.1.3.00.00.00.0000</t>
  </si>
  <si>
    <t>Multas E Juros De Mora Da Divida Ativa Dos Tributos</t>
  </si>
  <si>
    <t>Multas E Juros De Mora Da Divida Ativa Do Imposto Sobre A Propriedade</t>
  </si>
  <si>
    <t>4.1.9.1.3.13.00.00.0000</t>
  </si>
  <si>
    <t>Multas E Juros De Mora Da Divida Ativa Do Imposto Sobre Servicos De Qu</t>
  </si>
  <si>
    <t>Multas E Juros De Mora Da Divida Ativa De Outros Tributos</t>
  </si>
  <si>
    <t>4.1.9.1.3.99.00.00.0000</t>
  </si>
  <si>
    <t>4.1.9.1.5.00.00.00.0000</t>
  </si>
  <si>
    <t>4.1.9.1.5.99.00.00.0000</t>
  </si>
  <si>
    <t>Multas E Juros De Mora Da Divida Ativa De Outras Receitas</t>
  </si>
  <si>
    <t>Outras Multas E Juros De Mora Da Divida Ativa De Outras Receitas</t>
  </si>
  <si>
    <t>Multas De Outras Origens</t>
  </si>
  <si>
    <t>4.1.9.1.9.00.00.00.0000</t>
  </si>
  <si>
    <t>4.1.9.2.0.00.00.00.0000</t>
  </si>
  <si>
    <t>4.1.9.2.1.00.00.00.0000</t>
  </si>
  <si>
    <t>Estimativa de Receitas de Restituicoes de Ações Min. Público</t>
  </si>
  <si>
    <t>4.1.9.3.0.00.00.00.0000</t>
  </si>
  <si>
    <t>4.1.9.3.1.00.00.00.0000</t>
  </si>
  <si>
    <t>4.1.9.3.1.11.00.00.0000</t>
  </si>
  <si>
    <t>4.1.9.3.1.13.00.00.0000</t>
  </si>
  <si>
    <t>Receita Da Divida Ativa Sobre Servicos De Qualquer Natureza - Iss</t>
  </si>
  <si>
    <t>4.1.9.3.1.99.01.00.0000</t>
  </si>
  <si>
    <t>Receita Da Divida Ativa De Outros Tributos</t>
  </si>
  <si>
    <t>Receita Da Divida Ativa De Outros Tributos - Principal</t>
  </si>
  <si>
    <t>4.1.9.3.2.00.00.00.0000</t>
  </si>
  <si>
    <t>4.1.9.3.2.99.00.00.0000</t>
  </si>
  <si>
    <t>4.1.9.3.2.99.01.00.0000</t>
  </si>
  <si>
    <t>Receita Da Divida Ativa Nao Tributaria De Outras Receitas</t>
  </si>
  <si>
    <t>Receita Da Divida Ativa Nao Tributaria De Outras Receitas - Principal</t>
  </si>
  <si>
    <t xml:space="preserve">Receita Da Divida Ativa Nao Tributaria De Outras Receitas </t>
  </si>
  <si>
    <t>4.1.9.9.0.00.00.00.0000</t>
  </si>
  <si>
    <t>4.1.9.9.0.99.00.00.0000</t>
  </si>
  <si>
    <t>Receitas Correntes Diversas</t>
  </si>
  <si>
    <t>Outras Receitas</t>
  </si>
  <si>
    <t>4.2.0.0.0.00.00.00.0000</t>
  </si>
  <si>
    <t>Receitas de Capital</t>
  </si>
  <si>
    <t>Alienacao de Bens</t>
  </si>
  <si>
    <t>Alienacao De Moveis</t>
  </si>
  <si>
    <t>4.2.2.0.0.00.00.00.0000</t>
  </si>
  <si>
    <t>4.2.2.1.0.00.00.00.0000</t>
  </si>
  <si>
    <t>4.2.4.0.0.00.00.00.0000</t>
  </si>
  <si>
    <t>Transferencias de Capital</t>
  </si>
  <si>
    <t>Transferencias de Convenios</t>
  </si>
  <si>
    <t>Transferencias De Convenios Da Uniao E De Suas Entidades</t>
  </si>
  <si>
    <t>Transferencias De Convenios Da Uniao P/ O Sistema Unico De Saude - Sus</t>
  </si>
  <si>
    <t>4.2.4.7.1.01.00.00.0000</t>
  </si>
  <si>
    <t>4.2.4.7.1.00.00.00.0000</t>
  </si>
  <si>
    <t>4.2.4.7.0.00.00.00.0000</t>
  </si>
  <si>
    <t>4.2.4.7.1.01.00.06.0000</t>
  </si>
  <si>
    <t>Em. Parl. P/P/Ampliação UBS</t>
  </si>
  <si>
    <t>4.2.4.7.1.99.00.00.0000</t>
  </si>
  <si>
    <t>4.2.4.7.2.00.00.00.0000</t>
  </si>
  <si>
    <t>4.2.4.7.2.01.00.00.0000</t>
  </si>
  <si>
    <t xml:space="preserve"> Transferencias De Conv. Do Estado P/ O Sistema Unico De Saude - Sus</t>
  </si>
  <si>
    <t>4.2.5.0.0.00.00.00.0000</t>
  </si>
  <si>
    <t>4.2.5.9.0.00.00.00.0000</t>
  </si>
  <si>
    <t>4.2.5.9.0.00.00.02.0000</t>
  </si>
  <si>
    <t>Outras Receitas De Capital</t>
  </si>
  <si>
    <t>Estimativa de Receitas Diversas</t>
  </si>
  <si>
    <t>9.0.0.0.0.00.00.00.0000</t>
  </si>
  <si>
    <t>9.1.0.0.0.00.00.00.0000</t>
  </si>
  <si>
    <t>9.1.1.0.0.00.00.00.0000</t>
  </si>
  <si>
    <t>9.1.1.1.0.00.00.00.0000</t>
  </si>
  <si>
    <t>9.1.1.1.2.00.00.00.0000</t>
  </si>
  <si>
    <t>(r) Deducoes Da Receita Corrente</t>
  </si>
  <si>
    <t>(r) Deducoes Da Receita</t>
  </si>
  <si>
    <t>(r) Deducoes Da Receita Tributaria</t>
  </si>
  <si>
    <t>(r) Deducoes Da Receita De Impostos</t>
  </si>
  <si>
    <t>(r) Deducoes Da Receita De Impostos Sobre O Patrimonio E A Renda</t>
  </si>
  <si>
    <t>9.1.1.2.2.99.00.00.0000</t>
  </si>
  <si>
    <t>Dedução Outras Taxas Pela Prestacao De Servicos</t>
  </si>
  <si>
    <t>9.1.7.2.1.01.02.00.0000</t>
  </si>
  <si>
    <t>(r) Dedução Da Rec. P/form. Do Fundeb - Fpm</t>
  </si>
  <si>
    <t>(r) Dedução Da Rec. P/form. Do Fundeb - Itr</t>
  </si>
  <si>
    <t>9.1.7.2.1.01.05.00.0000</t>
  </si>
  <si>
    <t>(r) Dedução Da Receita Do Icms Desoneração - Lei Complementar 87/96</t>
  </si>
  <si>
    <t>9.1.7.2.1.36.00.00.0000</t>
  </si>
  <si>
    <t>9.1.7.2.2.01.01.00.0000</t>
  </si>
  <si>
    <t>9.1.7.2.2.00.00.00.0000</t>
  </si>
  <si>
    <t>9.1.7.2.2.01.00.00.0000</t>
  </si>
  <si>
    <t>(r) Dedução Da Receita De Transferencia Do Estado</t>
  </si>
  <si>
    <t>(r) Deducão Da Receita De Participacao Na Receita Do Estado</t>
  </si>
  <si>
    <t>(r) Dedução Da Receita Do Icms</t>
  </si>
  <si>
    <t>9.1.7.0.0.00.00.00.0000</t>
  </si>
  <si>
    <t>9.1.7.2.0.00.00.00.0000</t>
  </si>
  <si>
    <t>9.1.7.2.1.00.00.00.0000</t>
  </si>
  <si>
    <t>9.1.7.2.1.01.00.00.0000</t>
  </si>
  <si>
    <t>(r) Dedução Da Receita De Transferencia Corrente</t>
  </si>
  <si>
    <t>(r) Dedução Da Receita De Transferencia Intergovernamental</t>
  </si>
  <si>
    <t>(r) Dedução Da Receita De Transferencia Da Uniao</t>
  </si>
  <si>
    <t>(r) Deducão Da Receita De Participacao Na Receita Da Uniao</t>
  </si>
  <si>
    <t>9.1.7.2.2.01.02.00.0000</t>
  </si>
  <si>
    <t>9.1.7.2.2.01.04.00.0000</t>
  </si>
  <si>
    <t>(r) Dedução Da Receita Da Cota-parte Do Ipva</t>
  </si>
  <si>
    <t>(r) Dedução Da Receita Do Ipi/exportacao</t>
  </si>
  <si>
    <t>4.1.1.2.2.99.00.09.0000</t>
  </si>
  <si>
    <t>4.1.1.2.2.99.00.10.0000</t>
  </si>
  <si>
    <t>4.1.1.2.2.99.00.11.0000</t>
  </si>
  <si>
    <t>Taxa de Inscrição para Campeonato Mun. Futebol de Campo</t>
  </si>
  <si>
    <t>Taxa de Inscrição para Campeonato Mun. de Futsal</t>
  </si>
  <si>
    <t>Estimativa de  Arrecadação de Taxa De Inscrição para Campeonato Mun. Futebol de Campo</t>
  </si>
  <si>
    <t>Estimativa de  Arrecadação de Taxa De  Inscrição para Campeonato Mun. de Futsal</t>
  </si>
  <si>
    <t>Outras Transferencias De Convenios Do Estado</t>
  </si>
  <si>
    <t>4.2.4.7.2.99.00.00.0000</t>
  </si>
  <si>
    <t>Rem. De Transf. Estado para Aquis. De Van Processo 88385-2000/131</t>
  </si>
  <si>
    <t>Rem. De Transf. Estado para Aquis. De Gerador Processo 88733-2000/130</t>
  </si>
  <si>
    <t xml:space="preserve">Rem. De E.P. 401  Aq. De Equip. Patrulha Agricola. Proj 242/13 </t>
  </si>
  <si>
    <t>Taxa de Inscricao para Campeonato  Intercolonial</t>
  </si>
  <si>
    <t>4.1.6.0.0.99.00.10.0000</t>
  </si>
  <si>
    <t>Servico de Maquinas/Caminhao Basculante</t>
  </si>
  <si>
    <t xml:space="preserve"> Estimativa de  Arrecadação de Servico De Maquinas/Caminhao Basculante</t>
  </si>
  <si>
    <t>Transferencias De Convenios- Fnas SCFV</t>
  </si>
  <si>
    <t>4.1.7.6.1.03.00.10.0000</t>
  </si>
  <si>
    <t>Estimativa de Transferencias de FNAS SCFV</t>
  </si>
  <si>
    <t>Outras Indenizacoes</t>
  </si>
  <si>
    <t>Indenizacoes</t>
  </si>
  <si>
    <t>4.2.5.9.0.00.00.02.6400</t>
  </si>
  <si>
    <t>4.2.5.9.0.00.00.02.6500</t>
  </si>
  <si>
    <t>1.1</t>
  </si>
  <si>
    <t>1.2</t>
  </si>
  <si>
    <t>DIV. ATIVA</t>
  </si>
  <si>
    <t>Receita União e Estado</t>
  </si>
  <si>
    <t>IRRF S/SERV.</t>
  </si>
  <si>
    <t>IRRF S/FOLHA PAGAMENTO</t>
  </si>
  <si>
    <t xml:space="preserve">IRRF S/SERV. </t>
  </si>
  <si>
    <t>x</t>
  </si>
  <si>
    <t>=</t>
  </si>
  <si>
    <t>Estimativa de valor da Quota do Programa PNAE - Pre-escola</t>
  </si>
  <si>
    <t>Estimativa de valor da Quota do Programa PNAE - Ed. Espec.</t>
  </si>
  <si>
    <t>Estimativa de valor da Quota do Programa PNAE - Ensino fundamental e Eja</t>
  </si>
  <si>
    <t>Receita Da Divida Ativa</t>
  </si>
  <si>
    <t>Receita Da Divida Ativa Tributaria</t>
  </si>
  <si>
    <t>Receita Da Divida Ativa Do Imposto Sobre A Propriedade Predial E Terri</t>
  </si>
  <si>
    <t>4.1.9.2.2.00.00.00.0000</t>
  </si>
  <si>
    <t>GESTÃO ADMINISTRATIVA</t>
  </si>
  <si>
    <t>CHUVISCA MAIS PROTEGIDA</t>
  </si>
  <si>
    <t>Estimativa de valor para Desp. C/Custo de Aquisição de Equip. e Mat. Perm.  - Material de Consumo</t>
  </si>
  <si>
    <t>AQUISICAO DE MATERIAL PERMANENTE E DE INFORMATICA</t>
  </si>
  <si>
    <t>Material de Consumo</t>
  </si>
  <si>
    <t>FOLHA DE PAGAMENTO: AGENTE POLITICO, SERV. CONTRAT.,  EFETIVOS E CC</t>
  </si>
  <si>
    <t>4.2.5.9.0.00.00.02.5100</t>
  </si>
  <si>
    <t>Receita Tributaria</t>
  </si>
  <si>
    <t>Imposto De Renda Retido Nas Fontes Sobre Os Rendimentos Do Trabalho</t>
  </si>
  <si>
    <t>Taxas</t>
  </si>
  <si>
    <t>Taxas Pelo Exercicio Do Poder De Policia</t>
  </si>
  <si>
    <t>RECEITA PREVISTA</t>
  </si>
  <si>
    <t>XXXXXXXXXXXXXXXXX</t>
  </si>
  <si>
    <t>Estimativa de receita de Iptu - Dedução do IPTU</t>
  </si>
  <si>
    <t>MAIS ALIMENTO NA ESCOLA</t>
  </si>
  <si>
    <t>Estimativa de Valor para Desp C/Aquisição de Eq. e Mat. Perm. E Informat. - Mat. Consumo</t>
  </si>
  <si>
    <t>Estimativa de Valor para Desp C/Serviços Extraordinarios Servidores Estatutarios e Contrat.</t>
  </si>
  <si>
    <t>Estimativa de Valor para Desp C/Passagens E Despesas Com Locomocao</t>
  </si>
  <si>
    <t>Estimativa de Valor para Desp C/Servicos De Consultoria</t>
  </si>
  <si>
    <t>Estimativa de Valor para Desp C/Servicos P. Fisica</t>
  </si>
  <si>
    <t xml:space="preserve">Contribuicao Servidor Despesa Auxilio Alimentacao </t>
  </si>
  <si>
    <t>4.1.9.9.0.99.00.14.0000</t>
  </si>
  <si>
    <t>GESTAO ADMINISTRATIVA</t>
  </si>
  <si>
    <t xml:space="preserve">4.1.1.1.2.00.00.00.00.00 </t>
  </si>
  <si>
    <t>Imposto Sobre o Patrimonio e a Renda</t>
  </si>
  <si>
    <t>MAIS SAUDE</t>
  </si>
  <si>
    <t>MAIS PEIXE</t>
  </si>
  <si>
    <t>AGUA BOA</t>
  </si>
  <si>
    <t>MAIS ACESSO AS PROPRIEDADES E LAVOURAS</t>
  </si>
  <si>
    <t>MAIS MORADIA</t>
  </si>
  <si>
    <t>Estimativa de Valor para Desp. C/CONTRIB. IPE SERV.</t>
  </si>
  <si>
    <t xml:space="preserve">Operação Especial </t>
  </si>
  <si>
    <t xml:space="preserve">Projeto </t>
  </si>
  <si>
    <t xml:space="preserve">Atividade </t>
  </si>
  <si>
    <t xml:space="preserve">Total </t>
  </si>
  <si>
    <t>Orgão:</t>
  </si>
  <si>
    <t>CÂMARA MUNICIPAL DE VEREADORES</t>
  </si>
  <si>
    <t>01.000.0000.0.000.000</t>
  </si>
  <si>
    <t>01.031.0000.0.000.000</t>
  </si>
  <si>
    <t>01.031.0001.0.000.000</t>
  </si>
  <si>
    <t>04.000.0000.0.000.000</t>
  </si>
  <si>
    <t>04.122.0000.0.000.000</t>
  </si>
  <si>
    <t>04.122.0006.0.000.000</t>
  </si>
  <si>
    <t>08.000.0000.0.000.000</t>
  </si>
  <si>
    <t>28.000.0000.0.000.000</t>
  </si>
  <si>
    <t>28.846.0000.0.000.000</t>
  </si>
  <si>
    <t>Servicos De Terceiros - Pessoa Juridica</t>
  </si>
  <si>
    <t>17.000.0000.0.000.000</t>
  </si>
  <si>
    <t>17.511.0000.0.000.000</t>
  </si>
  <si>
    <t>17.511.0012.0.000.000</t>
  </si>
  <si>
    <t>26.000.0000.0.000.000</t>
  </si>
  <si>
    <t>26.782.0000.0.000.000</t>
  </si>
  <si>
    <t>26.782.0013.0.000.000</t>
  </si>
  <si>
    <t>15.000.0000.0.000.000</t>
  </si>
  <si>
    <t>15.451.0000.0.000.000</t>
  </si>
  <si>
    <t>15.451.0014.0.000.000</t>
  </si>
  <si>
    <t>MAIS INFRAESTRUTURA  - URBANA</t>
  </si>
  <si>
    <t>12.000.0000.0.000.000</t>
  </si>
  <si>
    <t>12.361.0000.0.000.000</t>
  </si>
  <si>
    <t>12.361.0017.0.000.000</t>
  </si>
  <si>
    <t>12.365.0000.0.000.000</t>
  </si>
  <si>
    <t>12.365.0017.0.000.000</t>
  </si>
  <si>
    <t>12.366.0000.0.000.000</t>
  </si>
  <si>
    <t>12.366.0017.0.000.000</t>
  </si>
  <si>
    <t>12.782.0000.0.000.000</t>
  </si>
  <si>
    <t>12.306.0000.0.000.000</t>
  </si>
  <si>
    <t>12.306.0019.0.000.000</t>
  </si>
  <si>
    <t>13.000.0000.0.000.000</t>
  </si>
  <si>
    <t>13.392.0000.0.000.000</t>
  </si>
  <si>
    <t>13.392.0020.0.000.000</t>
  </si>
  <si>
    <t>MAIS CULTURA</t>
  </si>
  <si>
    <t>MAIS TURISMO</t>
  </si>
  <si>
    <t>27.000.0000.0.000.000</t>
  </si>
  <si>
    <t>27.812.0000.0.000.000</t>
  </si>
  <si>
    <t>27.812.0022.0.000.000</t>
  </si>
  <si>
    <t>MAIS ESPORTE E LAZER</t>
  </si>
  <si>
    <t>10.000.0000.0.000.000</t>
  </si>
  <si>
    <t>10.301.0000.0.000.000</t>
  </si>
  <si>
    <t>10.301.0100.0.000.000</t>
  </si>
  <si>
    <t>20.000.0000.0.000.000</t>
  </si>
  <si>
    <t>20.122.0000.0.000.000</t>
  </si>
  <si>
    <t>MAIS AGRICULTURA</t>
  </si>
  <si>
    <t>SUBVENCOES ECONOMICAS</t>
  </si>
  <si>
    <t>18.000.0000.0.000.000</t>
  </si>
  <si>
    <t>18.122.0000.0.000.000</t>
  </si>
  <si>
    <t>CUIDADO COM MEIO AMBIENTE</t>
  </si>
  <si>
    <t>18.541.0000.0.000.000</t>
  </si>
  <si>
    <t>18.541.0030.0.000.000</t>
  </si>
  <si>
    <t>16.000.0000.0.000.000</t>
  </si>
  <si>
    <t>16.481.0000.0.000.000</t>
  </si>
  <si>
    <t>16.481.0029.0.000.000</t>
  </si>
  <si>
    <t>08.122.0000.0.000.000</t>
  </si>
  <si>
    <t>08.122.0028.0.000.000</t>
  </si>
  <si>
    <t>MAIS ASSISTENCIA SOCIAL</t>
  </si>
  <si>
    <t>08.244.0000.0.000.000</t>
  </si>
  <si>
    <t>08.244.0028.0.000.000</t>
  </si>
  <si>
    <t>08.243.0000.0.000.000</t>
  </si>
  <si>
    <t>08.243.0028.0.000.000</t>
  </si>
  <si>
    <t>99.000.0000.0.000.000</t>
  </si>
  <si>
    <t>99.099.0000.0.000.000</t>
  </si>
  <si>
    <t>Receita Corrente</t>
  </si>
  <si>
    <t>Receita De Contribuicoes</t>
  </si>
  <si>
    <t>Receita Agropecuaria</t>
  </si>
  <si>
    <t>Receita Industrial</t>
  </si>
  <si>
    <t>Receita Capital</t>
  </si>
  <si>
    <t>Operacoes De Credito</t>
  </si>
  <si>
    <t>Alienacao De Bens</t>
  </si>
  <si>
    <t>Amortizacao De Emprestimos</t>
  </si>
  <si>
    <t>Transferencias De Capital</t>
  </si>
  <si>
    <t>Receita IntraOrçamentária Corrente</t>
  </si>
  <si>
    <t>Receita IntraOrçamentária Capital</t>
  </si>
  <si>
    <t>Deduções</t>
  </si>
  <si>
    <t>(R) Renuncia</t>
  </si>
  <si>
    <t>(R) Restituicoes</t>
  </si>
  <si>
    <t>(R) Descontos Concedidos</t>
  </si>
  <si>
    <t>(R) Compensacoes</t>
  </si>
  <si>
    <t>(R) Deducoes Da Receita Corrente</t>
  </si>
  <si>
    <t>(R) Retificacoes</t>
  </si>
  <si>
    <t>(R) Outras Deducoes</t>
  </si>
  <si>
    <t>(R) Deducoes Da Receita Tributaria</t>
  </si>
  <si>
    <t>(R) Deducao Da Receita De Transferencia Corrente</t>
  </si>
  <si>
    <t>Estimativa da Receita por Categoria Econômica</t>
  </si>
  <si>
    <t>Total:</t>
  </si>
  <si>
    <t>Despesa Corrente</t>
  </si>
  <si>
    <t>Pessoal E Encargos Sociais</t>
  </si>
  <si>
    <t>Juros E Encargos Da Divida</t>
  </si>
  <si>
    <t>Despesa Capital</t>
  </si>
  <si>
    <t>Inversoes Financeiras</t>
  </si>
  <si>
    <t>Amortizacao Da Divida</t>
  </si>
  <si>
    <t>Reserva de Contingência</t>
  </si>
  <si>
    <t>Reserva Do Rpps</t>
  </si>
  <si>
    <t>Demonstrativo da Receita por Fontes e Despesa por Grupo Orçamento Fiscal e da Seguridade Social</t>
  </si>
  <si>
    <t>Especificação da Receita</t>
  </si>
  <si>
    <t>Valor a Aplicar</t>
  </si>
  <si>
    <t>ISSQN</t>
  </si>
  <si>
    <t>IRRF</t>
  </si>
  <si>
    <t>Dívida Ativa de Impostos</t>
  </si>
  <si>
    <t>Multa e Juros de Impostos</t>
  </si>
  <si>
    <t>IPI Exportação</t>
  </si>
  <si>
    <t>(-) Deduções e IPTU</t>
  </si>
  <si>
    <t>(-) Deduções e ISSQN</t>
  </si>
  <si>
    <t>MINIMO A APLICAR:</t>
  </si>
  <si>
    <t>Especificação da Despesa</t>
  </si>
  <si>
    <t>TOTAL FIXADO:</t>
  </si>
  <si>
    <t>Gastos ASPS</t>
  </si>
  <si>
    <t>Rendimentos de Aplicacao Financeiras</t>
  </si>
  <si>
    <t xml:space="preserve"> 28,00%</t>
  </si>
  <si>
    <t>Receitas de Servicos de Saude</t>
  </si>
  <si>
    <t>Categoria</t>
  </si>
  <si>
    <t>Descrição da Despesa</t>
  </si>
  <si>
    <t>Desdobramento</t>
  </si>
  <si>
    <t>Fonte</t>
  </si>
  <si>
    <t>Categoria Econômica</t>
  </si>
  <si>
    <t>3.0.0.0.00.00.00.0000</t>
  </si>
  <si>
    <t>Despesas Correntes</t>
  </si>
  <si>
    <t>3.1.0.0.00.00.00.0000</t>
  </si>
  <si>
    <t>3.1.9.0.00.00.00.0000</t>
  </si>
  <si>
    <t>Aplicacoes Diretas</t>
  </si>
  <si>
    <t>3.3.0.0.00.00.00.0000</t>
  </si>
  <si>
    <t>3.3.7.1.00.00.00.0000</t>
  </si>
  <si>
    <t>3.3.9.0.00.00.00.0000</t>
  </si>
  <si>
    <t>4.0.0.0.00.00.00.0000</t>
  </si>
  <si>
    <t>Despesas De Capital</t>
  </si>
  <si>
    <t>4.4.0.0.00.00.00.0000</t>
  </si>
  <si>
    <t>4.4.9.0.00.00.00.0000</t>
  </si>
  <si>
    <t>Total da Unidade:</t>
  </si>
  <si>
    <t>4.4.2.0.00.00.00.0000</t>
  </si>
  <si>
    <t>Transferencias A Uniao</t>
  </si>
  <si>
    <t>4.4.3.0.00.00.00.0000</t>
  </si>
  <si>
    <t>Transferencias A Estados E Distrito Federal</t>
  </si>
  <si>
    <t>Total do Orgão:</t>
  </si>
  <si>
    <t>R E S U M O</t>
  </si>
  <si>
    <t>Pessoal e Encargos Social</t>
  </si>
  <si>
    <t>Despesa Intra-Orçamentária</t>
  </si>
  <si>
    <t>3.3.5.0.00.00.00.0000</t>
  </si>
  <si>
    <t>Transferencias  A Instituicoes  Privadas Sem Fins Lucrativos</t>
  </si>
  <si>
    <t>3.3.3.0.00.00.00.0000</t>
  </si>
  <si>
    <t>Transferencias A Estados E Ao Distrito Federal</t>
  </si>
  <si>
    <t>3.3.6.0.00.00.00.0000</t>
  </si>
  <si>
    <t>Transferencias A Instituicoes  Privadas Com Fins Lucrativos</t>
  </si>
  <si>
    <t>Recursos Livres</t>
  </si>
  <si>
    <t>Arrecadação 2013</t>
  </si>
  <si>
    <t>Programa</t>
  </si>
  <si>
    <t>Equipamentos de Informática</t>
  </si>
  <si>
    <t>Despesa</t>
  </si>
  <si>
    <t>Projeto</t>
  </si>
  <si>
    <t>Construção Reforma Predio Poder Legislativo</t>
  </si>
  <si>
    <t>Atividade</t>
  </si>
  <si>
    <t>Material para Instalacao de Equipamentos</t>
  </si>
  <si>
    <t>Servicos de Instalação de Equipamentos</t>
  </si>
  <si>
    <t>Servidores Efetivos</t>
  </si>
  <si>
    <t>Servidores C.C.</t>
  </si>
  <si>
    <t>Ferias Indenizadas Servidores C.C.</t>
  </si>
  <si>
    <t>Ferias Indenizadas Servidores Efetivos</t>
  </si>
  <si>
    <t>13º Salario Servidores C.C.</t>
  </si>
  <si>
    <t>Férias Servidores Efetivos</t>
  </si>
  <si>
    <t>Ferias Servidores C.C.</t>
  </si>
  <si>
    <t>Subsidio Presidente da Camara</t>
  </si>
  <si>
    <t>Subsidio Vereadores</t>
  </si>
  <si>
    <t>Verba de Representação</t>
  </si>
  <si>
    <t>INSS Patronal - Presidente Camara</t>
  </si>
  <si>
    <t>INSS Patronal Servidores Efetivos</t>
  </si>
  <si>
    <t>INSS Patronal Servidores C.C.</t>
  </si>
  <si>
    <t>INSS Patronal - Vereadores</t>
  </si>
  <si>
    <t>Hora Extra Serv. Efetivos</t>
  </si>
  <si>
    <t>Diarias Servidores Efetivos</t>
  </si>
  <si>
    <t>Diarias Servidores C.C.</t>
  </si>
  <si>
    <t>Selecao e Treinamento</t>
  </si>
  <si>
    <t>Material de Expediente - Estoque</t>
  </si>
  <si>
    <t>Material De Copa E Cozinha - Estoque</t>
  </si>
  <si>
    <t>Material De Limpeza - Estoque</t>
  </si>
  <si>
    <t>Material De Limpeza - Aq. Imediata</t>
  </si>
  <si>
    <t>Material De Copa E Cozinha - Aq. Imediata</t>
  </si>
  <si>
    <t>Gas de Cozinha - Aq. Imediata</t>
  </si>
  <si>
    <t>Material P/Manutencao - Aq. Imediata</t>
  </si>
  <si>
    <t>Material P/Manutencao - Estoque</t>
  </si>
  <si>
    <t>Generos De Alimentacao - Aq. Imediata</t>
  </si>
  <si>
    <t>Generos De Alimentacao - Estoque</t>
  </si>
  <si>
    <t>Sessões Extraordinárias</t>
  </si>
  <si>
    <t>Convocacao Extraordinaria</t>
  </si>
  <si>
    <t>Sessoes Extraordinarias</t>
  </si>
  <si>
    <t>TOTAL GERAL</t>
  </si>
  <si>
    <t>Aliquota Parte Patronal PLANO SAUDE</t>
  </si>
  <si>
    <t>Estimativa de valor Servicos de Intalação de Equipamentos Pessoa Fisica</t>
  </si>
  <si>
    <t>Estimativa de valor Servicos de Intalação de Equipamentos Pessoa Juridica</t>
  </si>
  <si>
    <t xml:space="preserve">Estimativa de valor Material para Intalação de Equipamentos </t>
  </si>
  <si>
    <t xml:space="preserve">Folha Pagamento Servidores Contratados </t>
  </si>
  <si>
    <t xml:space="preserve">Folha Pagamento Vereadores  </t>
  </si>
  <si>
    <t>Folha Pagamento Presidente Camara</t>
  </si>
  <si>
    <t>Folha Pagamento Verba de Representação</t>
  </si>
  <si>
    <t xml:space="preserve">Estimativa de valor Horas Extras Servidores Contratados e Efetivos </t>
  </si>
  <si>
    <t xml:space="preserve">Estimativa de valor de Convocações extraordinarias </t>
  </si>
  <si>
    <t xml:space="preserve">Estimativa de valor de sessão extraordinaria </t>
  </si>
  <si>
    <t>Estimativa de Convocações e Sessoes</t>
  </si>
  <si>
    <t>Estimativa de Valor para Desp. C/Locomoçao</t>
  </si>
  <si>
    <t>Outros Servicos De Terceiros - Pessoa Juridica</t>
  </si>
  <si>
    <t>Conta de Agua</t>
  </si>
  <si>
    <t>Servicos Graficos</t>
  </si>
  <si>
    <t>Servicos De Publicidade Util. Publica</t>
  </si>
  <si>
    <t>Servicos de Consultoria</t>
  </si>
  <si>
    <r>
      <t>301/</t>
    </r>
    <r>
      <rPr>
        <b/>
        <sz val="11"/>
        <color indexed="8"/>
        <rFont val="Calibri"/>
        <family val="2"/>
      </rPr>
      <t>300</t>
    </r>
  </si>
  <si>
    <t>Equip. e Utensilios Domesticos</t>
  </si>
  <si>
    <t>Servicos Diversos</t>
  </si>
  <si>
    <t>Conta Energia Eletrica</t>
  </si>
  <si>
    <t>Estagiarios</t>
  </si>
  <si>
    <t>Multas Veiculo Placas IRY 2027</t>
  </si>
  <si>
    <t>Generos Alimenticios - Aq. Imediata</t>
  </si>
  <si>
    <t>Material De Informática - Aq. Imediata</t>
  </si>
  <si>
    <t>Material De Limpeza e Higienizacao - Aq. Imediata</t>
  </si>
  <si>
    <t>Material Eletrico E Eletronico - Aq. Imediata</t>
  </si>
  <si>
    <t>Material Eletrico E Eletronico - Estoque</t>
  </si>
  <si>
    <t>Material De Protecao E Seguranca - Estoque</t>
  </si>
  <si>
    <t>Material P/ Divulgacao</t>
  </si>
  <si>
    <t>Outros Serviços Pessoa Física</t>
  </si>
  <si>
    <t>Servicos De Limpeza E Conservacao</t>
  </si>
  <si>
    <t>Locacao de Sistemas de Informatica</t>
  </si>
  <si>
    <t>Conta de Água</t>
  </si>
  <si>
    <t>Manutencao de Equipamentos de Informática</t>
  </si>
  <si>
    <t>Auxilio-alimentacao</t>
  </si>
  <si>
    <t>Indenizacao Auxilio-alimentacao</t>
  </si>
  <si>
    <t>Beneficios Eventuais</t>
  </si>
  <si>
    <t>Auxilio Funeral</t>
  </si>
  <si>
    <t>Kit Natalidade</t>
  </si>
  <si>
    <t>Diárias De Conselheiros Municipais</t>
  </si>
  <si>
    <t>13º Salario Vice-Prefeito Municipal</t>
  </si>
  <si>
    <t>Ferias Vice-Prefeito Municipal</t>
  </si>
  <si>
    <t>Contribuição para o Corede</t>
  </si>
  <si>
    <t>Contribuição para o Consepro</t>
  </si>
  <si>
    <t>Vencimentos Conselheiros Tutelares</t>
  </si>
  <si>
    <t>INSS Patronal - Conselheiros Tutelares</t>
  </si>
  <si>
    <t>Diarias Conselheiros Tutelares</t>
  </si>
  <si>
    <t>Lubrificantes P/Veiculo Brigada Militar - Aq. Imediata</t>
  </si>
  <si>
    <t>Material e Peças P/Veiculo Brigada Militar - Aq. Imediata</t>
  </si>
  <si>
    <t>INSS S/Servicos Veiculo IRS 4010 P. Fisica</t>
  </si>
  <si>
    <t>INSS S/Servicos Veiculo Brigada Militar P. Fisica</t>
  </si>
  <si>
    <t>Função Gratificada</t>
  </si>
  <si>
    <t>Locação de Imóveis</t>
  </si>
  <si>
    <t>PROPOSTA ORÇAMENTÁRIA PARA 2016</t>
  </si>
  <si>
    <t>PLANO RECEITA 2012 A 2015</t>
  </si>
  <si>
    <t>Arrecadação       2015     Reestimado</t>
  </si>
  <si>
    <t>Arrecadação Média           2012 a 2015</t>
  </si>
  <si>
    <t>MEDIA 2012  A 2014</t>
  </si>
  <si>
    <t>MEDIA 2012 A 2015</t>
  </si>
  <si>
    <t>2016 PROJETADO</t>
  </si>
  <si>
    <t>DEMAIS TRANSFERÊNCIAS DO ESTADO E DA UNIÃO PARA ASSISTÊNCIA SOCIAL</t>
  </si>
  <si>
    <t>DEMAIS TRANSFERÊNCIAS DO ESTADO E DA UNIÃO PARA  EDUCAÇÃO</t>
  </si>
  <si>
    <t xml:space="preserve">DEMONSTRAÇÃO DE RECEITAS DE MULTA E JUROS TAXAS </t>
  </si>
  <si>
    <t>2012 A 2015</t>
  </si>
  <si>
    <t>COM BASE NA ARRECADAÇÃO DO PERÍODO DE 2012 A 2015</t>
  </si>
  <si>
    <t>MEDIA DE 97 A 2015</t>
  </si>
  <si>
    <t>PREV. ARREC.</t>
  </si>
  <si>
    <t>DEMONSTRATIVO DO CÁLCULO DO LIMITE MÁXIMO PARA AS DESPESAS DO PODER LEGISLATIVO EM 2016</t>
  </si>
  <si>
    <t>Valor máximo para as despesas com a  Folha de Pagamentos do Poder Legislativo em 2016(CF/88, art. 29-A, § 1º)</t>
  </si>
  <si>
    <t>Valor máximo para as despesas do Poder Legislativo em 2016</t>
  </si>
  <si>
    <t>Aplicação</t>
  </si>
  <si>
    <t>Custo de Aquisição : Material P/Inst. de Equip. de informática</t>
  </si>
  <si>
    <t>Custo de Aquisição: Servicos de Instalação de Equip. Informática</t>
  </si>
  <si>
    <t>Custo de Aquisição Eq. Informática: INSS S/Servicos P. Fisica</t>
  </si>
  <si>
    <t>Custo de Aquisição Eq. Informática: INSS S/Serv. P. Juridica e M.E.I.</t>
  </si>
  <si>
    <t>Custo de Aquisição : Material P/Inst. Eq. Informática</t>
  </si>
  <si>
    <t>Custo de Aquisição: Servicos de Eq. Informática</t>
  </si>
  <si>
    <t>Custo de Aquisição: Servicos de Instalação Eq. Informática</t>
  </si>
  <si>
    <t>Subsidios Agente Politico</t>
  </si>
  <si>
    <t>13 Salario Servidores Efetivos</t>
  </si>
  <si>
    <t>13 Salario Servidores C.C.</t>
  </si>
  <si>
    <t>Venc. e Vant. Fixas Servidores C.C.</t>
  </si>
  <si>
    <t>Ferias Servidores Efetivos</t>
  </si>
  <si>
    <t>Obrigações Patronais</t>
  </si>
  <si>
    <t>INSS - Servidores C.C.</t>
  </si>
  <si>
    <t>INSS - Agente Politico</t>
  </si>
  <si>
    <t>INSS - Servidores Efetivos</t>
  </si>
  <si>
    <t>Treinamento de Pessoal</t>
  </si>
  <si>
    <t>Diarias Servidores Contratados</t>
  </si>
  <si>
    <t>Material de Expediente - Aq. Imediata</t>
  </si>
  <si>
    <t>Material De Copa E Cozinha - Legislativo</t>
  </si>
  <si>
    <t>101/100</t>
  </si>
  <si>
    <t>Generos de Alimentacao - Aq. Imediata</t>
  </si>
  <si>
    <t>Outros Servicos De Terceiros Pessoa Juridica</t>
  </si>
  <si>
    <t>Assinaturas Jornais e Periodicos</t>
  </si>
  <si>
    <t>Servicos de Manutencao Imoveis</t>
  </si>
  <si>
    <t>Locacao de Sistemas Web</t>
  </si>
  <si>
    <t>Mensalidades (UVERGS e Outros)</t>
  </si>
  <si>
    <t>Servicos De Processamento  De Dados</t>
  </si>
  <si>
    <t>Valor Orçado</t>
  </si>
  <si>
    <t>Centro de Custos</t>
  </si>
  <si>
    <t>TIPO DE AÇÕES</t>
  </si>
  <si>
    <t>01 Legislativa</t>
  </si>
  <si>
    <t>031 Ação Legislativa</t>
  </si>
  <si>
    <t>032 Controle Externo</t>
  </si>
  <si>
    <t>02 Judiciária</t>
  </si>
  <si>
    <t>061 Ação Judiciária</t>
  </si>
  <si>
    <t>062 Defesa do Interesse Público no Processo Judiciário</t>
  </si>
  <si>
    <t>03 Essencial à Justiça</t>
  </si>
  <si>
    <t>091 Defesa da Ordem Jurídica</t>
  </si>
  <si>
    <t>092 Representação Judicial e Extrajudicial</t>
  </si>
  <si>
    <t>04 Administração</t>
  </si>
  <si>
    <t>126 Tecnologia da Informatização</t>
  </si>
  <si>
    <t>127 Ordenamento Territorial</t>
  </si>
  <si>
    <t>121 Planejamento e Orçamento</t>
  </si>
  <si>
    <t>122 Administração Geral</t>
  </si>
  <si>
    <t>125 Normatização e Fiscalização</t>
  </si>
  <si>
    <t>128 Formação de Recursos Humanos</t>
  </si>
  <si>
    <t>1</t>
  </si>
  <si>
    <t>01 GESTÃO E PROCESSO LEGISLATIVO</t>
  </si>
  <si>
    <t>200  AQUISIÇÃO DE EQUIPAMENTOS E MATERIAL PERMANENTE</t>
  </si>
  <si>
    <t>Programa Projeto Atividade Função SubFunção Despesa</t>
  </si>
  <si>
    <t>Categoria/Descrição</t>
  </si>
  <si>
    <t>100</t>
  </si>
  <si>
    <t>Custo de Aquisição de Equip. e Material Permanente:  Obrigações Tributarias e Contributivas</t>
  </si>
  <si>
    <t>200</t>
  </si>
  <si>
    <t>Mobiliário</t>
  </si>
  <si>
    <t>Lista - Centro de Custos</t>
  </si>
  <si>
    <t>Máscara</t>
  </si>
  <si>
    <t>Nome do Centro de Custo</t>
  </si>
  <si>
    <t>001.000.000</t>
  </si>
  <si>
    <t>001.001.000</t>
  </si>
  <si>
    <t>001.001.001</t>
  </si>
  <si>
    <t>001.001.002</t>
  </si>
  <si>
    <t>001.001.003</t>
  </si>
  <si>
    <t>001.001.004</t>
  </si>
  <si>
    <t>001.002.000</t>
  </si>
  <si>
    <t>001.002.001</t>
  </si>
  <si>
    <t>001.002.002</t>
  </si>
  <si>
    <t>001.002.003</t>
  </si>
  <si>
    <t>Eletrodomesticos</t>
  </si>
  <si>
    <t>001.002.004</t>
  </si>
  <si>
    <t>Ar Condicionado</t>
  </si>
  <si>
    <t>001.002.005</t>
  </si>
  <si>
    <t>Equipamentos Eletronicos</t>
  </si>
  <si>
    <t>001.003.000</t>
  </si>
  <si>
    <t>CUSTO DE OBRAS E INSTALAÇÕES</t>
  </si>
  <si>
    <t>001.003.001</t>
  </si>
  <si>
    <t>Construção de Imóveis</t>
  </si>
  <si>
    <t>001.003.002</t>
  </si>
  <si>
    <t>Reforma de Imóveis</t>
  </si>
  <si>
    <t>001.004.000</t>
  </si>
  <si>
    <t>CUSTO AQUIÇÃO DE VEICULOS</t>
  </si>
  <si>
    <t>001.004.001</t>
  </si>
  <si>
    <t>Veiculos</t>
  </si>
  <si>
    <t>001.005.000</t>
  </si>
  <si>
    <t>CUSTEIO OPERACIONAL</t>
  </si>
  <si>
    <t>001.005.001</t>
  </si>
  <si>
    <t>001.005.002</t>
  </si>
  <si>
    <t>Diárias Servidores Contratados</t>
  </si>
  <si>
    <t>001.005.003</t>
  </si>
  <si>
    <t>Diárias Servidores C.C.</t>
  </si>
  <si>
    <t>001.005.004</t>
  </si>
  <si>
    <t>Diárias Agente Politico</t>
  </si>
  <si>
    <t>001.005.005</t>
  </si>
  <si>
    <t>Generos Alimenticios</t>
  </si>
  <si>
    <t>001.005.006</t>
  </si>
  <si>
    <t>Gas de Cozinha</t>
  </si>
  <si>
    <t>001.005.007</t>
  </si>
  <si>
    <t>Suprimentos de Informatica</t>
  </si>
  <si>
    <t>001.005.008</t>
  </si>
  <si>
    <t>Material de Expediente</t>
  </si>
  <si>
    <t>001.005.009</t>
  </si>
  <si>
    <t>Material de Limpeza</t>
  </si>
  <si>
    <t>001.005.010</t>
  </si>
  <si>
    <t>Manutenção de Eq. de Informática</t>
  </si>
  <si>
    <t>001.005.011</t>
  </si>
  <si>
    <t>Manutenção de Mobiliário</t>
  </si>
  <si>
    <t>001.005.012</t>
  </si>
  <si>
    <t>Manutenção de Imóveis</t>
  </si>
  <si>
    <t>001.005.013</t>
  </si>
  <si>
    <t>Manutenção de Eletrodomésticos</t>
  </si>
  <si>
    <t>001.005.014</t>
  </si>
  <si>
    <t>Manutenção de Ar Condicionado</t>
  </si>
  <si>
    <t>001.005.015</t>
  </si>
  <si>
    <t>Manutenção de Eq. de Audio</t>
  </si>
  <si>
    <t>001.005.016</t>
  </si>
  <si>
    <t>Manutenção de Eq. Eletrônicos</t>
  </si>
  <si>
    <t>001.005.017</t>
  </si>
  <si>
    <t>001.005.018</t>
  </si>
  <si>
    <t>Agua</t>
  </si>
  <si>
    <t>001.005.019</t>
  </si>
  <si>
    <t>001.005.020</t>
  </si>
  <si>
    <t>001.005.021</t>
  </si>
  <si>
    <t>Seleção e Treinamento</t>
  </si>
  <si>
    <t>001.005.022</t>
  </si>
  <si>
    <t>Internet</t>
  </si>
  <si>
    <t>001.005.023</t>
  </si>
  <si>
    <t>001.005.024</t>
  </si>
  <si>
    <t>Mensalidades (UVERGS, E OUTROS)</t>
  </si>
  <si>
    <t>001.005.025</t>
  </si>
  <si>
    <t>Servicos de Tecnologia da Informação</t>
  </si>
  <si>
    <t>001.005.026</t>
  </si>
  <si>
    <t>Processamento de Dados</t>
  </si>
  <si>
    <t>001.005.027</t>
  </si>
  <si>
    <t>Geral</t>
  </si>
  <si>
    <t>001.005.028</t>
  </si>
  <si>
    <t>001.006.000</t>
  </si>
  <si>
    <t>SESSÕES E CONVOCAÇÕES EXTRAORDINÁRIAS</t>
  </si>
  <si>
    <t>001.006.001</t>
  </si>
  <si>
    <t>001.006.002</t>
  </si>
  <si>
    <t>Convocação Extraordinárias</t>
  </si>
  <si>
    <t>001.007.000</t>
  </si>
  <si>
    <t>PLANO DE SAUDE</t>
  </si>
  <si>
    <t>001.007.001</t>
  </si>
  <si>
    <t>Plano de Saúde - IPE</t>
  </si>
  <si>
    <t>002.000.000</t>
  </si>
  <si>
    <t>002.001.000</t>
  </si>
  <si>
    <t>PESSOAL E ENCARGOS SOCIAIS</t>
  </si>
  <si>
    <t>002.001.001</t>
  </si>
  <si>
    <t>002.001.002</t>
  </si>
  <si>
    <t>Servidores Contratados</t>
  </si>
  <si>
    <t>002.001.003</t>
  </si>
  <si>
    <t>002.001.004</t>
  </si>
  <si>
    <t>Agente Politico</t>
  </si>
  <si>
    <t>002.001.005</t>
  </si>
  <si>
    <t>Gratificacao Lei 463</t>
  </si>
  <si>
    <t>002.002.000</t>
  </si>
  <si>
    <t>CUSTO DE AQUISICAO DE EQUIPAMENTOS</t>
  </si>
  <si>
    <t>002.002.001</t>
  </si>
  <si>
    <t>Informática</t>
  </si>
  <si>
    <t>002.002.002</t>
  </si>
  <si>
    <t>002.002.003</t>
  </si>
  <si>
    <t>Eletronicos em Geral</t>
  </si>
  <si>
    <t>002.002.004</t>
  </si>
  <si>
    <t>002.002.005</t>
  </si>
  <si>
    <t>002.002.006</t>
  </si>
  <si>
    <t>Equipamentos de Comunicação</t>
  </si>
  <si>
    <t>002.003.000</t>
  </si>
  <si>
    <t>CUSTO DE AQUISIÇÃO DE VEÍCULOS</t>
  </si>
  <si>
    <t>002.003.001</t>
  </si>
  <si>
    <t>Veículos</t>
  </si>
  <si>
    <t>002.004.000</t>
  </si>
  <si>
    <t>002.004.001</t>
  </si>
  <si>
    <t>Diárias Servidores Efetivos</t>
  </si>
  <si>
    <t>002.004.002</t>
  </si>
  <si>
    <t>002.004.003</t>
  </si>
  <si>
    <t>002.004.004</t>
  </si>
  <si>
    <t>Diárias Prefeito</t>
  </si>
  <si>
    <t>002.004.005</t>
  </si>
  <si>
    <t>Diárias Vice Prefeito</t>
  </si>
  <si>
    <t>002.004.006</t>
  </si>
  <si>
    <t>Generos alimenticios</t>
  </si>
  <si>
    <t>002.004.007</t>
  </si>
  <si>
    <t>002.004.008</t>
  </si>
  <si>
    <t>Material de Copa e Cozinha</t>
  </si>
  <si>
    <t>002.004.009</t>
  </si>
  <si>
    <t>002.004.010</t>
  </si>
  <si>
    <t>Material Expediente</t>
  </si>
  <si>
    <t>002.004.011</t>
  </si>
  <si>
    <t>Suprimentos de Informática</t>
  </si>
  <si>
    <t>002.004.012</t>
  </si>
  <si>
    <t>Manutenção de Bens Imóveis</t>
  </si>
  <si>
    <t>002.004.013</t>
  </si>
  <si>
    <t>Manutenção de Eq. Informática</t>
  </si>
  <si>
    <t>002.004.014</t>
  </si>
  <si>
    <t>002.004.015</t>
  </si>
  <si>
    <t>002.004.016</t>
  </si>
  <si>
    <t>Manutenção de Eq. Comunicação</t>
  </si>
  <si>
    <t>002.004.017</t>
  </si>
  <si>
    <t>002.004.018</t>
  </si>
  <si>
    <t>002.004.019</t>
  </si>
  <si>
    <t>002.004.020</t>
  </si>
  <si>
    <t>002.004.021</t>
  </si>
  <si>
    <t>Estagiários</t>
  </si>
  <si>
    <t>002.004.022</t>
  </si>
  <si>
    <t>002.004.023</t>
  </si>
  <si>
    <t>Mensalidade FAMURS</t>
  </si>
  <si>
    <t>002.004.024</t>
  </si>
  <si>
    <t>Mensalidade CNM</t>
  </si>
  <si>
    <t>002.004.025</t>
  </si>
  <si>
    <t>Mensalidade AMZCS</t>
  </si>
  <si>
    <t>002.004.026</t>
  </si>
  <si>
    <t>Servicos Técnicos Profissionais</t>
  </si>
  <si>
    <t>002.004.027</t>
  </si>
  <si>
    <t>002.004.028</t>
  </si>
  <si>
    <t>002.004.029</t>
  </si>
  <si>
    <t>Auxilio Transporte</t>
  </si>
  <si>
    <t>002.004.030</t>
  </si>
  <si>
    <t>002.005.000</t>
  </si>
  <si>
    <t>CUSTO FROTA DE VEICULOS</t>
  </si>
  <si>
    <t>002.005.001</t>
  </si>
  <si>
    <t>Combustível Veículo IVY 8350</t>
  </si>
  <si>
    <t>002.005.002</t>
  </si>
  <si>
    <t>Lubrificantes Veículo IVY 8350</t>
  </si>
  <si>
    <t>002.005.003</t>
  </si>
  <si>
    <t>Material e Peças Veículo IVY 8350</t>
  </si>
  <si>
    <t>002.005.004</t>
  </si>
  <si>
    <t>Manutenção Veículo IVY 8350</t>
  </si>
  <si>
    <t>002.005.005</t>
  </si>
  <si>
    <t>Seguro e Licenciamento Veículo IVY 8350</t>
  </si>
  <si>
    <t>002.005.006</t>
  </si>
  <si>
    <t>Multas de Trânsito Veículo IVY 8350</t>
  </si>
  <si>
    <t>002.005.007</t>
  </si>
  <si>
    <t>Combustível Veículo ITP 0262</t>
  </si>
  <si>
    <t>002.005.008</t>
  </si>
  <si>
    <t>Combustível Veículo IRS 4010</t>
  </si>
  <si>
    <t>002.006.000</t>
  </si>
  <si>
    <t>002.006.001</t>
  </si>
  <si>
    <t>002.006.002</t>
  </si>
  <si>
    <t>Diárias Conselheiros</t>
  </si>
  <si>
    <t>002.006.003</t>
  </si>
  <si>
    <t>002.006.004</t>
  </si>
  <si>
    <t>002.006.005</t>
  </si>
  <si>
    <t>002.006.006</t>
  </si>
  <si>
    <t>Generos Alimentícios</t>
  </si>
  <si>
    <t>002.006.007</t>
  </si>
  <si>
    <t>002.006.008</t>
  </si>
  <si>
    <t>002.006.009</t>
  </si>
  <si>
    <t>002.006.010</t>
  </si>
  <si>
    <t>Combustivel Veiculo IRS 4010</t>
  </si>
  <si>
    <t>002.006.011</t>
  </si>
  <si>
    <t>Lubrificantes Veiculo IRS 4010</t>
  </si>
  <si>
    <t>002.006.012</t>
  </si>
  <si>
    <t>Material e Peças Veiculo IRS 4010</t>
  </si>
  <si>
    <t>002.006.013</t>
  </si>
  <si>
    <t>Manutenção Veiculo IRS 4010</t>
  </si>
  <si>
    <t>002.006.014</t>
  </si>
  <si>
    <t>Seguros e Licenciamento Veiculo IRS 4010</t>
  </si>
  <si>
    <t>002.006.015</t>
  </si>
  <si>
    <t>Multas de Trânsito Veiculo IRS 4010</t>
  </si>
  <si>
    <t>002.006.016</t>
  </si>
  <si>
    <t>Despesas com Locomoção</t>
  </si>
  <si>
    <t>002.006.017</t>
  </si>
  <si>
    <t>Serviços Técnicos Profissionais</t>
  </si>
  <si>
    <t>002.006.018</t>
  </si>
  <si>
    <t>Locação de Imóvel</t>
  </si>
  <si>
    <t>002.006.019</t>
  </si>
  <si>
    <t>Serviço de Limpeza e Conservação</t>
  </si>
  <si>
    <t>002.006.020</t>
  </si>
  <si>
    <t>002.006.021</t>
  </si>
  <si>
    <t>002.006.022</t>
  </si>
  <si>
    <t>002.006.023</t>
  </si>
  <si>
    <t>002.006.024</t>
  </si>
  <si>
    <t>002.006.025</t>
  </si>
  <si>
    <t>002.006.026</t>
  </si>
  <si>
    <t>Manutenção de Equipamentos de Informatica</t>
  </si>
  <si>
    <t>002.006.027</t>
  </si>
  <si>
    <t>002.006.028</t>
  </si>
  <si>
    <t>Auxilio Alimentação</t>
  </si>
  <si>
    <t>002.006.029</t>
  </si>
  <si>
    <t>002.006.030</t>
  </si>
  <si>
    <t>Agua Mineral</t>
  </si>
  <si>
    <t>002.007.000</t>
  </si>
  <si>
    <t>DEFESA CIVIL</t>
  </si>
  <si>
    <t>002.008.000</t>
  </si>
  <si>
    <t>APOIO A BRIGADA MILITAR</t>
  </si>
  <si>
    <t>002.008.001</t>
  </si>
  <si>
    <t>002.008.002</t>
  </si>
  <si>
    <t>Manutenção de Veiculo</t>
  </si>
  <si>
    <t>002.008.003</t>
  </si>
  <si>
    <t>002.008.004</t>
  </si>
  <si>
    <t>002.008.005</t>
  </si>
  <si>
    <t>002.008.006</t>
  </si>
  <si>
    <t>002.008.007</t>
  </si>
  <si>
    <t>002.009.000</t>
  </si>
  <si>
    <t>PREVENÇÃO DE DESASTRES</t>
  </si>
  <si>
    <t>002.010.000</t>
  </si>
  <si>
    <t>CONSÓRCIO INTERMUNICIPAL CENTRO-SUL</t>
  </si>
  <si>
    <t>002.010.001</t>
  </si>
  <si>
    <t>Contrato de Rateio P/Despesas com Pessoal</t>
  </si>
  <si>
    <t>003.000.000</t>
  </si>
  <si>
    <t>003.001.000</t>
  </si>
  <si>
    <t>003.001.001</t>
  </si>
  <si>
    <t>Pessoal e Encargos Sociais - Serv. Efetivos</t>
  </si>
  <si>
    <t>003.001.002</t>
  </si>
  <si>
    <t>Pessoal e Encargos Sociais - Serv. Contratados</t>
  </si>
  <si>
    <t>003.001.003</t>
  </si>
  <si>
    <t>Pessoal e Encargos Sociais - Serv. C.C.</t>
  </si>
  <si>
    <t>003.001.004</t>
  </si>
  <si>
    <t>Pessoal e Encargos Sociais - Agente Politico</t>
  </si>
  <si>
    <t>003.001.005</t>
  </si>
  <si>
    <t>003.002.000</t>
  </si>
  <si>
    <t>003.002.001</t>
  </si>
  <si>
    <t>Combustível Veículo IVY 8354</t>
  </si>
  <si>
    <t>003.002.002</t>
  </si>
  <si>
    <t>003.002.003</t>
  </si>
  <si>
    <t>003.002.004</t>
  </si>
  <si>
    <t>Diárias Secretario Administração</t>
  </si>
  <si>
    <t>003.002.005</t>
  </si>
  <si>
    <t>003.002.006</t>
  </si>
  <si>
    <t>003.002.007</t>
  </si>
  <si>
    <t>Matarial de Copa e Cozinha</t>
  </si>
  <si>
    <t>003.002.008</t>
  </si>
  <si>
    <t>Material de Limpeza e Higiene</t>
  </si>
  <si>
    <t>003.002.009</t>
  </si>
  <si>
    <t>003.002.010</t>
  </si>
  <si>
    <t>003.002.011</t>
  </si>
  <si>
    <t>003.002.012</t>
  </si>
  <si>
    <t>Manutenção e Conservação de Equipamentos de Informática</t>
  </si>
  <si>
    <t>003.002.013</t>
  </si>
  <si>
    <t>Manutenção e Conservação de Equip. de Comuniação</t>
  </si>
  <si>
    <t>003.002.014</t>
  </si>
  <si>
    <t>Manutenção e Conservação de Equipamentos Eletronicos</t>
  </si>
  <si>
    <t>003.002.015</t>
  </si>
  <si>
    <t>Manutenção e Conservação de Eletrodomésticos</t>
  </si>
  <si>
    <t>003.002.016</t>
  </si>
  <si>
    <t>Manutenção e Conservação de Mobiliário</t>
  </si>
  <si>
    <t>003.002.017</t>
  </si>
  <si>
    <t>Manutenção e Conservação de Ar Condicionado</t>
  </si>
  <si>
    <t>003.002.018</t>
  </si>
  <si>
    <t>003.002.019</t>
  </si>
  <si>
    <t>003.002.020</t>
  </si>
  <si>
    <t>003.002.021</t>
  </si>
  <si>
    <t>003.002.022</t>
  </si>
  <si>
    <t>003.002.023</t>
  </si>
  <si>
    <t>003.002.024</t>
  </si>
  <si>
    <t>Servicos de Assessoria e Consultoria</t>
  </si>
  <si>
    <t>003.002.025</t>
  </si>
  <si>
    <t>003.002.026</t>
  </si>
  <si>
    <t>003.002.027</t>
  </si>
  <si>
    <t>003.002.028</t>
  </si>
  <si>
    <t>Servições Técnicos Profissionais</t>
  </si>
  <si>
    <t>003.002.029</t>
  </si>
  <si>
    <t>003.002.030</t>
  </si>
  <si>
    <t>Locação de Sistema de Processamento de Dados</t>
  </si>
  <si>
    <t>003.002.031</t>
  </si>
  <si>
    <t xml:space="preserve"> Geral</t>
  </si>
  <si>
    <t>003.002.032</t>
  </si>
  <si>
    <t>Serviços Postais</t>
  </si>
  <si>
    <t>003.002.033</t>
  </si>
  <si>
    <t>003.002.034</t>
  </si>
  <si>
    <t>INSS Patronal S/Serviços Pessoa Fisica</t>
  </si>
  <si>
    <t>003.002.035</t>
  </si>
  <si>
    <t>INSS Patronal S/Serviços Cooperarativas ( Unimed, Etc.)</t>
  </si>
  <si>
    <t>003.002.036</t>
  </si>
  <si>
    <t>INSS Patronal S/Serviços Pessoa Juridica e M.E.I</t>
  </si>
  <si>
    <t>003.003.000</t>
  </si>
  <si>
    <t>GESTAO DE SISTEMAS DE INFORMÁTICA E COMUNICACAO</t>
  </si>
  <si>
    <t>003.003.001</t>
  </si>
  <si>
    <t>Material de Informática</t>
  </si>
  <si>
    <t>003.003.002</t>
  </si>
  <si>
    <t>Material de Comunicação</t>
  </si>
  <si>
    <t>003.003.003</t>
  </si>
  <si>
    <t>Manutenção e Conservação Eq. Informática</t>
  </si>
  <si>
    <t>003.003.004</t>
  </si>
  <si>
    <t>Manutenção e Conservação Eq. Comunicação</t>
  </si>
  <si>
    <t>003.003.005</t>
  </si>
  <si>
    <t>Locação de Sistemas</t>
  </si>
  <si>
    <t>003.003.006</t>
  </si>
  <si>
    <t>003.003.007</t>
  </si>
  <si>
    <t>003.003.008</t>
  </si>
  <si>
    <t>Servicos Tecnicos Profissionai</t>
  </si>
  <si>
    <t>003.003.009</t>
  </si>
  <si>
    <t>Hospedagem de Site</t>
  </si>
  <si>
    <t>003.003.010</t>
  </si>
  <si>
    <t>Apoios Culturaus Radio Comunitaria</t>
  </si>
  <si>
    <t>003.003.011</t>
  </si>
  <si>
    <t>Sistema de Telefonia Fixa</t>
  </si>
  <si>
    <t>003.004.000</t>
  </si>
  <si>
    <t>GESTÃO DE CONVENIOS E PARCERIAS</t>
  </si>
  <si>
    <t>003.004.001</t>
  </si>
  <si>
    <t>Execução Convênios</t>
  </si>
  <si>
    <t>003.004.002</t>
  </si>
  <si>
    <t>Execução ContraPartida</t>
  </si>
  <si>
    <t>003.005.000</t>
  </si>
  <si>
    <t>CUSTO DE AQUISIÇÃO DE BENS MOVEIS, IMÓVEIS E VEÍCULOS</t>
  </si>
  <si>
    <t>003.005.001</t>
  </si>
  <si>
    <t>003.005.002</t>
  </si>
  <si>
    <t>Utensílios Domesticos</t>
  </si>
  <si>
    <t>003.005.003</t>
  </si>
  <si>
    <t>003.005.004</t>
  </si>
  <si>
    <t>Comunicação</t>
  </si>
  <si>
    <t>003.005.006</t>
  </si>
  <si>
    <t>003.005.007</t>
  </si>
  <si>
    <t>Reforma de Predios</t>
  </si>
  <si>
    <t>003.005.008</t>
  </si>
  <si>
    <t>Construção de Predios</t>
  </si>
  <si>
    <t>003.005.009</t>
  </si>
  <si>
    <t>Ampliação de Predios</t>
  </si>
  <si>
    <t>003.005.010</t>
  </si>
  <si>
    <t>Aquisição de Terrenos</t>
  </si>
  <si>
    <t>003.005.011</t>
  </si>
  <si>
    <t>003.006.006</t>
  </si>
  <si>
    <t>Outros</t>
  </si>
  <si>
    <t>003.010.007</t>
  </si>
  <si>
    <t>004.000.000</t>
  </si>
  <si>
    <t>004.001.000</t>
  </si>
  <si>
    <t>004.001.001</t>
  </si>
  <si>
    <t>004.001.002</t>
  </si>
  <si>
    <t>004.001.003</t>
  </si>
  <si>
    <t>004.001.004</t>
  </si>
  <si>
    <t>004.001.005</t>
  </si>
  <si>
    <t>Horas Extras - Serv. Efetivos</t>
  </si>
  <si>
    <t>004.001.006</t>
  </si>
  <si>
    <t>Horas Extras - Serv. Contratados</t>
  </si>
  <si>
    <t>004.002.000</t>
  </si>
  <si>
    <t>GESTÃO OPERACIONAL</t>
  </si>
  <si>
    <t>004.002.001</t>
  </si>
  <si>
    <t>004.002.002</t>
  </si>
  <si>
    <t>004.002.003</t>
  </si>
  <si>
    <t>004.002.004</t>
  </si>
  <si>
    <t>Diarias Agente Político</t>
  </si>
  <si>
    <t>004.002.005</t>
  </si>
  <si>
    <t>Gratif. Controle Interno Lei 233/2001</t>
  </si>
  <si>
    <t>004.002.006</t>
  </si>
  <si>
    <t>004.002.007</t>
  </si>
  <si>
    <t>004.002.008</t>
  </si>
  <si>
    <t>004.002.009</t>
  </si>
  <si>
    <t>Copa e Cozinha</t>
  </si>
  <si>
    <t>004.002.010</t>
  </si>
  <si>
    <t>004.002.011</t>
  </si>
  <si>
    <t>004.002.012</t>
  </si>
  <si>
    <t>004.002.013</t>
  </si>
  <si>
    <t>Manutenção de Bens Móveis e Utensílios</t>
  </si>
  <si>
    <t>004.002.014</t>
  </si>
  <si>
    <t>004.002.015</t>
  </si>
  <si>
    <t>004.002.016</t>
  </si>
  <si>
    <t>Serviços de Informática</t>
  </si>
  <si>
    <t>004.002.017</t>
  </si>
  <si>
    <t>004.002.018</t>
  </si>
  <si>
    <t>004.002.019</t>
  </si>
  <si>
    <t>004.002.020</t>
  </si>
  <si>
    <t>004.002.021</t>
  </si>
  <si>
    <t>004.003.000</t>
  </si>
  <si>
    <t>Programa de Integração Tributaria</t>
  </si>
  <si>
    <t>004.003.001</t>
  </si>
  <si>
    <t>Materiais</t>
  </si>
  <si>
    <t>004.003.002</t>
  </si>
  <si>
    <t>Premiações</t>
  </si>
  <si>
    <t>004.003.003</t>
  </si>
  <si>
    <t>Publicidade</t>
  </si>
  <si>
    <t>004.003.004</t>
  </si>
  <si>
    <t>Serviços P. Física</t>
  </si>
  <si>
    <t>004.003.005</t>
  </si>
  <si>
    <t>Serviços P. Juridica e M.E.I.</t>
  </si>
  <si>
    <t>004.004.000</t>
  </si>
  <si>
    <t>CUSTO DE AQUISICAO DE EQUIPAMENTOS E MATERIAL PERMANENTE</t>
  </si>
  <si>
    <t>004.004.001</t>
  </si>
  <si>
    <t>004.004.002</t>
  </si>
  <si>
    <t>004.004.003</t>
  </si>
  <si>
    <t>004.004.005</t>
  </si>
  <si>
    <t>004.004.006</t>
  </si>
  <si>
    <t>Equipamentos e Utensílios Domésticos</t>
  </si>
  <si>
    <t>004.004.007</t>
  </si>
  <si>
    <t>004.005.000</t>
  </si>
  <si>
    <t>OPERAÇÕES ESPECIAIS</t>
  </si>
  <si>
    <t>004.005.001</t>
  </si>
  <si>
    <t>Plano de Saude - IPE</t>
  </si>
  <si>
    <t>004.005.002</t>
  </si>
  <si>
    <t>Sentenças Judicias</t>
  </si>
  <si>
    <t>004.005.003</t>
  </si>
  <si>
    <t>Convenio  Celular</t>
  </si>
  <si>
    <t>004.005.004</t>
  </si>
  <si>
    <t>004.005.005</t>
  </si>
  <si>
    <t>Convênio Pedagógico</t>
  </si>
  <si>
    <t>004.005.006</t>
  </si>
  <si>
    <t>Multas e Juros - Previdênciarias</t>
  </si>
  <si>
    <t>004.005.007</t>
  </si>
  <si>
    <t>Devolução de Programa Troca-Troca</t>
  </si>
  <si>
    <t>004.005.008</t>
  </si>
  <si>
    <t>Hora Máquina</t>
  </si>
  <si>
    <t>004.005.009</t>
  </si>
  <si>
    <t>Multa e Juros - PASEP</t>
  </si>
  <si>
    <t>004.005.010</t>
  </si>
  <si>
    <t>Contribuição - PASEP</t>
  </si>
  <si>
    <t>004.005.011</t>
  </si>
  <si>
    <t>Devolução Recursos da União</t>
  </si>
  <si>
    <t>004.005.012</t>
  </si>
  <si>
    <t>Devolução Recursos do Estado</t>
  </si>
  <si>
    <t>004.006.000</t>
  </si>
  <si>
    <t>GESTÃO DE CONVÊNIOS DO PAC</t>
  </si>
  <si>
    <t>004.006.001</t>
  </si>
  <si>
    <t>PAC 2 - Melhorias Sanitárias</t>
  </si>
  <si>
    <t>004.006.002</t>
  </si>
  <si>
    <t>Programa CCFGS</t>
  </si>
  <si>
    <t>005.000.000</t>
  </si>
  <si>
    <t>005.001.000</t>
  </si>
  <si>
    <t>005.001.001</t>
  </si>
  <si>
    <t>Pessoal e Encargos : Serv. Efetivos Gestao Obras e Viação</t>
  </si>
  <si>
    <t>005.001.002</t>
  </si>
  <si>
    <t>Pessoal e Encargos : Serv. C.C. Gestao Obras e Viação</t>
  </si>
  <si>
    <t>005.001.003</t>
  </si>
  <si>
    <t>Pessoal e Encargos: Serv. Contratados Gestao Obras e Viação</t>
  </si>
  <si>
    <t>005.001.004</t>
  </si>
  <si>
    <t>Pessoal e Encargos: Agente Politico</t>
  </si>
  <si>
    <t>005.001.005</t>
  </si>
  <si>
    <t>Pessoal e Encargos: F.G. Gestao Obras e Viação</t>
  </si>
  <si>
    <t>005.001.006</t>
  </si>
  <si>
    <t>Horas Extras - Serv. Efetivos SMO</t>
  </si>
  <si>
    <t>005.001.007</t>
  </si>
  <si>
    <t>Pessoal e Encargos : Serv. Efetivos SMO</t>
  </si>
  <si>
    <t>005.001.008</t>
  </si>
  <si>
    <t>Pessoal e Encargos : Serv. Contratados  SMO</t>
  </si>
  <si>
    <t>005.001.009</t>
  </si>
  <si>
    <t>Pessoal e Encargos : Serv. C.C.  SMO</t>
  </si>
  <si>
    <t>005.001.017</t>
  </si>
  <si>
    <t>Horas Extras - Serv. Contratados Gestao de Obras e Viação</t>
  </si>
  <si>
    <t>005.002.000</t>
  </si>
  <si>
    <t>005.002.001</t>
  </si>
  <si>
    <t>Custo de Aquisição Equipamentos : Informática</t>
  </si>
  <si>
    <t>005.002.002</t>
  </si>
  <si>
    <t>Custo de Aquisição Equipamentos : Mobiliário</t>
  </si>
  <si>
    <t>005.002.003</t>
  </si>
  <si>
    <t>Custo de Aquisição Equipamentos : Equip. e Utensílios Domésticos</t>
  </si>
  <si>
    <t>005.002.004</t>
  </si>
  <si>
    <t>Custo de Aquisição Equipamentos : Equip. de Comunicação</t>
  </si>
  <si>
    <t>005.002.005</t>
  </si>
  <si>
    <t>Custo de Aquisição Equipamentos : Ar Condicionado</t>
  </si>
  <si>
    <t>005.002.006</t>
  </si>
  <si>
    <t>005.002.007</t>
  </si>
  <si>
    <t>005.002.008</t>
  </si>
  <si>
    <t>005.002.009</t>
  </si>
  <si>
    <t>Diárias de Acampamento</t>
  </si>
  <si>
    <t>005.002.010</t>
  </si>
  <si>
    <t>Diárias Agente Político</t>
  </si>
  <si>
    <t>005.002.011</t>
  </si>
  <si>
    <t>Gás de Cozinha</t>
  </si>
  <si>
    <t>005.002.012</t>
  </si>
  <si>
    <t>005.002.013</t>
  </si>
  <si>
    <t>005.002.014</t>
  </si>
  <si>
    <t>005.002.015</t>
  </si>
  <si>
    <t>005.002.016</t>
  </si>
  <si>
    <t>005.002.018</t>
  </si>
  <si>
    <t>Manutenção de bens Móvés e Utensílios</t>
  </si>
  <si>
    <t>005.002.019</t>
  </si>
  <si>
    <t>005.002.020</t>
  </si>
  <si>
    <t>005.002.021</t>
  </si>
  <si>
    <t>Manutenção de Equipementos de Informática</t>
  </si>
  <si>
    <t>005.002.022</t>
  </si>
  <si>
    <t>005.002.023</t>
  </si>
  <si>
    <t>005.002.024</t>
  </si>
  <si>
    <t>005.002.025</t>
  </si>
  <si>
    <t>005.002.026</t>
  </si>
  <si>
    <t>005.002.027</t>
  </si>
  <si>
    <t>005.002.028</t>
  </si>
  <si>
    <t>005.002.029</t>
  </si>
  <si>
    <t>005.002.031</t>
  </si>
  <si>
    <t>005.002.032</t>
  </si>
  <si>
    <t>005.002.033</t>
  </si>
  <si>
    <t>CUSTO AQUISIÇÃO: rERRAMENTAS E EQUIPAMENTOS</t>
  </si>
  <si>
    <t>005.002.034</t>
  </si>
  <si>
    <t>MATERIAIL CONSUMO OFICINA</t>
  </si>
  <si>
    <t>005.003.000</t>
  </si>
  <si>
    <t>MANUTENÇÃO DE VEICULO - S.M.O.V.S.U.</t>
  </si>
  <si>
    <t>005.003.001</t>
  </si>
  <si>
    <t>Combustivel Veiculo INZ 9457</t>
  </si>
  <si>
    <t>005.003.002</t>
  </si>
  <si>
    <t>Material e Auto Peças Veiculo INZ 9457</t>
  </si>
  <si>
    <t>005.003.003</t>
  </si>
  <si>
    <t>Manutenção Veículo INZ 9457</t>
  </si>
  <si>
    <t>005.003.004</t>
  </si>
  <si>
    <t>Seguros Veículo INZ 9457</t>
  </si>
  <si>
    <t>005.003.005</t>
  </si>
  <si>
    <t>005.003.006</t>
  </si>
  <si>
    <t>Lubrificantes Veículo INZ 9457</t>
  </si>
  <si>
    <t>005.003.007</t>
  </si>
  <si>
    <t>Combustével Veículo IVY 8354</t>
  </si>
  <si>
    <t>005.003.008</t>
  </si>
  <si>
    <t>Combustível Veículo IQV 8399</t>
  </si>
  <si>
    <t>005.004.000</t>
  </si>
  <si>
    <t>GESTÃO RECURSO CIDE</t>
  </si>
  <si>
    <t>005.004.001</t>
  </si>
  <si>
    <t>Manutenção de Estradas</t>
  </si>
  <si>
    <t>005.004.002</t>
  </si>
  <si>
    <t>Manutenção de Pontes</t>
  </si>
  <si>
    <t>005.004.003</t>
  </si>
  <si>
    <t>Manutenção de Bueiros</t>
  </si>
  <si>
    <t>005.004.004</t>
  </si>
  <si>
    <t>005.005.000</t>
  </si>
  <si>
    <t>GESTÃO RECURSO FEPE</t>
  </si>
  <si>
    <t>005.005.001</t>
  </si>
  <si>
    <t>005.005.002</t>
  </si>
  <si>
    <t>005.005.003</t>
  </si>
  <si>
    <t>005.005.004</t>
  </si>
  <si>
    <t>Manutenção Iluminação Pública</t>
  </si>
  <si>
    <t>005.005.005</t>
  </si>
  <si>
    <t>005.006.000</t>
  </si>
  <si>
    <t>GESTÃO DA FROTA DE VEICULOS E MAQUINAS RODOVIÁRIAS</t>
  </si>
  <si>
    <t>005.006.001</t>
  </si>
  <si>
    <t>Combustivel Veículo IHL 6579</t>
  </si>
  <si>
    <t>005.006.002</t>
  </si>
  <si>
    <t>Lubrificantes Veículo IHL 6579</t>
  </si>
  <si>
    <t>005.006.003</t>
  </si>
  <si>
    <t>Material e Peças Veículo IHL 6579</t>
  </si>
  <si>
    <t>005.006.004</t>
  </si>
  <si>
    <t>Manutenção Veículo IHL 6579</t>
  </si>
  <si>
    <t>005.006.005</t>
  </si>
  <si>
    <t>Seguros Veículo IHL 6579</t>
  </si>
  <si>
    <t>005.006.006</t>
  </si>
  <si>
    <t>Combustivel Veículo IHL 6621</t>
  </si>
  <si>
    <t>005.006.007</t>
  </si>
  <si>
    <t>Lubrificantes Veículo IHL 6621</t>
  </si>
  <si>
    <t>005.006.008</t>
  </si>
  <si>
    <t>Material e Peças Veículo IHL 6621</t>
  </si>
  <si>
    <t>005.006.009</t>
  </si>
  <si>
    <t>Manutenção Veículo IHL 6621</t>
  </si>
  <si>
    <t>005.006.010</t>
  </si>
  <si>
    <t>Seguros Veículo IHL 6621</t>
  </si>
  <si>
    <t>005.006.011</t>
  </si>
  <si>
    <t>Combustivel Veículo IVR 0147</t>
  </si>
  <si>
    <t>005.006.012</t>
  </si>
  <si>
    <t>Lubrificantes Veículo IVR 0147</t>
  </si>
  <si>
    <t>005.006.013</t>
  </si>
  <si>
    <t>Material e Peças Veículo IVR 0147</t>
  </si>
  <si>
    <t>005.006.014</t>
  </si>
  <si>
    <t>Manutenção Veículo IVR 0147</t>
  </si>
  <si>
    <t>005.006.015</t>
  </si>
  <si>
    <t>Seguro Veículo IVR 0147</t>
  </si>
  <si>
    <t>005.006.016</t>
  </si>
  <si>
    <t>Combustivel Motoniveladora 120H</t>
  </si>
  <si>
    <t>005.006.017</t>
  </si>
  <si>
    <t>Lubrificantes Motoniveladora 120H</t>
  </si>
  <si>
    <t>005.006.018</t>
  </si>
  <si>
    <t>Material e Peças Motoniveladora 120H</t>
  </si>
  <si>
    <t>005.006.019</t>
  </si>
  <si>
    <t>Manutenção Motoniveladora 120H</t>
  </si>
  <si>
    <t>005.006.020</t>
  </si>
  <si>
    <t>Combustivel Motoniveladora 135H</t>
  </si>
  <si>
    <t>005.006.021</t>
  </si>
  <si>
    <t>Lubrificante Motoniveladora 135H</t>
  </si>
  <si>
    <t>005.006.022</t>
  </si>
  <si>
    <t>Material e Peçasl Motoniveladora 135H</t>
  </si>
  <si>
    <t>005.006.023</t>
  </si>
  <si>
    <t>Manutenção Motoniveladora 135H</t>
  </si>
  <si>
    <t>005.006.024</t>
  </si>
  <si>
    <t>Combustivel Motoniveladora CASE 845 PAC 2</t>
  </si>
  <si>
    <t>005.006.025</t>
  </si>
  <si>
    <t>Lubrificante Motoniveladora CASE 845 PAC 2</t>
  </si>
  <si>
    <t>005.006.026</t>
  </si>
  <si>
    <t>Material e Peças  Motoniveladora CASE 845 PAC 2</t>
  </si>
  <si>
    <t>005.006.027</t>
  </si>
  <si>
    <t>Manutenção Motoniveladora CASE 845 PAC 2</t>
  </si>
  <si>
    <t>005.006.029</t>
  </si>
  <si>
    <t>Combustivel Trator Esteira D5E</t>
  </si>
  <si>
    <t>005.006.030</t>
  </si>
  <si>
    <t>Lubrificante Trator Esteira D5E</t>
  </si>
  <si>
    <t>005.006.031</t>
  </si>
  <si>
    <t>Material e Peças Trator Esteira D5E</t>
  </si>
  <si>
    <t>005.006.032</t>
  </si>
  <si>
    <t>Manutenção Trator Esteira D5E</t>
  </si>
  <si>
    <t>005.006.033</t>
  </si>
  <si>
    <t>Combustivel Retroescavadeira Case 580L 4x2</t>
  </si>
  <si>
    <t>005.006.034</t>
  </si>
  <si>
    <t>Lubrificante Retroescavadeira Case 580L 4x2</t>
  </si>
  <si>
    <t>005.006.035</t>
  </si>
  <si>
    <t>Material e Peças Retroescavadeira Case 580L 4x2</t>
  </si>
  <si>
    <t>005.006.036</t>
  </si>
  <si>
    <t>Manutenção Retroescavadeira Case 580L 4x2</t>
  </si>
  <si>
    <t>005.006.037</t>
  </si>
  <si>
    <t>Combustivel Retroescavadeira JCB PAC</t>
  </si>
  <si>
    <t>005.006.038</t>
  </si>
  <si>
    <t>Lubrificante Retroescavadeira JCB PAC</t>
  </si>
  <si>
    <t>005.006.039</t>
  </si>
  <si>
    <t>Material e Peças Retroescavadeira JCB PAC</t>
  </si>
  <si>
    <t>005.006.040</t>
  </si>
  <si>
    <t>Manutenção Retroescavadeira JCB PAC</t>
  </si>
  <si>
    <t>005.006.041</t>
  </si>
  <si>
    <t>Custo de Aquisicao de Maquinas Rodoviarias</t>
  </si>
  <si>
    <t>005.006.042</t>
  </si>
  <si>
    <t xml:space="preserve"> Custo de Aquisicao de Veículos Rodoviários</t>
  </si>
  <si>
    <t>005.006.043</t>
  </si>
  <si>
    <t>005.006.044</t>
  </si>
  <si>
    <t>Material e Peças P/Roçadeira Articulada</t>
  </si>
  <si>
    <t>005.006.045</t>
  </si>
  <si>
    <t>Material P/ Trator 8030</t>
  </si>
  <si>
    <t>005.007.000</t>
  </si>
  <si>
    <t>CONSTRUÇÃO E CONSERVAÇÃO DE PONTES</t>
  </si>
  <si>
    <t>005.007.001</t>
  </si>
  <si>
    <t>Manutenção Ponte Ordalina</t>
  </si>
  <si>
    <t>005.007.002</t>
  </si>
  <si>
    <t>Manutenção Ponte da Amizade</t>
  </si>
  <si>
    <t>005.007.003</t>
  </si>
  <si>
    <t>Manutenção Ponte Antonio Carlos</t>
  </si>
  <si>
    <t>005.007.004</t>
  </si>
  <si>
    <t>Manutenção Ponte Passo das Almas</t>
  </si>
  <si>
    <t>005.007.005</t>
  </si>
  <si>
    <t>Manutenção Ponte Travessão-Queiroz</t>
  </si>
  <si>
    <t>005.007.006</t>
  </si>
  <si>
    <t>Manutenção Ponte Ebel-São Bras</t>
  </si>
  <si>
    <t>005.007.007</t>
  </si>
  <si>
    <t>Manutenção Ponte Castelo-Costa do Pinheiro</t>
  </si>
  <si>
    <t>005.007.008</t>
  </si>
  <si>
    <t>Manutenção Ponte Costa da Pitanga</t>
  </si>
  <si>
    <t>005.007.009</t>
  </si>
  <si>
    <t>Obras em Execução</t>
  </si>
  <si>
    <t>005.007.010</t>
  </si>
  <si>
    <t>005.007.011</t>
  </si>
  <si>
    <t>Manutenção Ponte do Guaraxaim</t>
  </si>
  <si>
    <t>005.007.012</t>
  </si>
  <si>
    <t>Manutenção Ponte do Martin Tessmann</t>
  </si>
  <si>
    <t>005.007.013</t>
  </si>
  <si>
    <t>Manutenção ponte do Travessão da marta</t>
  </si>
  <si>
    <t>005.007.014</t>
  </si>
  <si>
    <t>Manutenção ponte da Luciana</t>
  </si>
  <si>
    <t>005.007.015</t>
  </si>
  <si>
    <t>Material P/ Manuteção Ponte Hilson Carlos</t>
  </si>
  <si>
    <t>005.007.016</t>
  </si>
  <si>
    <t>Material P/ Ponte Luiz Hubner</t>
  </si>
  <si>
    <t>005.008.000</t>
  </si>
  <si>
    <t>CONSTRUÇÃO E CONSERVAÇÃO DE BUEIROS</t>
  </si>
  <si>
    <t>005.008.001</t>
  </si>
  <si>
    <t>005.008.002</t>
  </si>
  <si>
    <t>Obras em Andamento</t>
  </si>
  <si>
    <t>005.008.003</t>
  </si>
  <si>
    <t>005.009.000</t>
  </si>
  <si>
    <t>CONSTRUÇÃO E MANUTENCAO DE VIAS URBANAS</t>
  </si>
  <si>
    <t>005.009.001</t>
  </si>
  <si>
    <t>Manutençao e Conservação Rua Osvaldo Venzke</t>
  </si>
  <si>
    <t>005.009.002</t>
  </si>
  <si>
    <t>Manutenção e Conservação Avenida 28 de Dezembro</t>
  </si>
  <si>
    <t>005.009.004</t>
  </si>
  <si>
    <t>Obras em Andamento Rua Henrique Widenhoeft</t>
  </si>
  <si>
    <t>005.009.005</t>
  </si>
  <si>
    <t>005.009.006</t>
  </si>
  <si>
    <t>Manutenção e Conservação Rua D2</t>
  </si>
  <si>
    <t>Obras e Manutenção Rua Q</t>
  </si>
  <si>
    <t>005.009.007</t>
  </si>
  <si>
    <t>Manutenção e Conservação Rua Centro de Eventos</t>
  </si>
  <si>
    <t>005.010.000</t>
  </si>
  <si>
    <t>GESTÃO COLETA DE LIXO</t>
  </si>
  <si>
    <t>005.010.001</t>
  </si>
  <si>
    <t>005.010.002</t>
  </si>
  <si>
    <t>005.010.003</t>
  </si>
  <si>
    <t>005.010.004</t>
  </si>
  <si>
    <t>005.010.005</t>
  </si>
  <si>
    <t>005.010.006</t>
  </si>
  <si>
    <t>005.010.007</t>
  </si>
  <si>
    <t>Pessoal e Encargos</t>
  </si>
  <si>
    <t>005.010.008</t>
  </si>
  <si>
    <t>005.010.009</t>
  </si>
  <si>
    <t>Diarias Serv. Contratados</t>
  </si>
  <si>
    <t>005.010.010</t>
  </si>
  <si>
    <t>Diarias Serv. Efetivos</t>
  </si>
  <si>
    <t>005.011.000</t>
  </si>
  <si>
    <t>GESTÃO DA COLETA SELETIVA DE LIXO</t>
  </si>
  <si>
    <t>005.012.000</t>
  </si>
  <si>
    <t>CONSTRUÇÃO, MANUTENÇÃO E CONSERVAÇÃO DE ESTRADAS</t>
  </si>
  <si>
    <t>005.012.001</t>
  </si>
  <si>
    <t>Manutenção e Conservação  de Estradas</t>
  </si>
  <si>
    <t>005.012.002</t>
  </si>
  <si>
    <t>Manutenção e Conservação  de Abrigos de Passageiros</t>
  </si>
  <si>
    <t>005.012.003</t>
  </si>
  <si>
    <t>Manutenção Motosserra</t>
  </si>
  <si>
    <t>005.012.004</t>
  </si>
  <si>
    <t>Combustiveis e Lubrificantes Motosserra</t>
  </si>
  <si>
    <t>005.012.005</t>
  </si>
  <si>
    <t>005.012.006</t>
  </si>
  <si>
    <t>005.012.007</t>
  </si>
  <si>
    <t>Manutenção da Roçadeira</t>
  </si>
  <si>
    <t>005.013.000</t>
  </si>
  <si>
    <t>GESTÃO DE RECURSOS DE HORA MAQUINA</t>
  </si>
  <si>
    <t>005.014.000</t>
  </si>
  <si>
    <t>MANUTENÇÃO E CONSERVAÇÃO CAPELA MUNICIPAL E CEMITÉRIO</t>
  </si>
  <si>
    <t>005.014.001</t>
  </si>
  <si>
    <t>Agua - Capela Municipal</t>
  </si>
  <si>
    <t>005.014.002</t>
  </si>
  <si>
    <t>Energia Eletrica -  Capela Municipal</t>
  </si>
  <si>
    <t>005.014.003</t>
  </si>
  <si>
    <t>Manutenção Capela Municipal</t>
  </si>
  <si>
    <t>005.014.004</t>
  </si>
  <si>
    <t>Geral - Capela Municipal</t>
  </si>
  <si>
    <t>005.014.005</t>
  </si>
  <si>
    <t>Manutenção - Cemitério</t>
  </si>
  <si>
    <t>005.015.000</t>
  </si>
  <si>
    <t>MANUTENÇÃO DA ILUMINAÇÃO PÚBLICA</t>
  </si>
  <si>
    <t>005.015.001</t>
  </si>
  <si>
    <t>Mantenção da Rede Iluminação Publica Urbana</t>
  </si>
  <si>
    <t>005.015.002</t>
  </si>
  <si>
    <t>Mantenção da Rede Iluminação Publica Rural</t>
  </si>
  <si>
    <t>005.015.003</t>
  </si>
  <si>
    <t>005.016.000</t>
  </si>
  <si>
    <t>MANUTENÇÃO DO PÓRTICO</t>
  </si>
  <si>
    <t>005.016.001</t>
  </si>
  <si>
    <t>Manutenção e Conservação</t>
  </si>
  <si>
    <t>005.016.002</t>
  </si>
  <si>
    <t>005.016.003</t>
  </si>
  <si>
    <t>005.016.004</t>
  </si>
  <si>
    <t>Materiais P/ Manutenção</t>
  </si>
  <si>
    <t>006.000.000</t>
  </si>
  <si>
    <t>SECRETARIA MUNICIPAL DE EDUCAÇÃO</t>
  </si>
  <si>
    <t>006.001.000</t>
  </si>
  <si>
    <t>PESSOAL E ENCAROS SOCIAIS</t>
  </si>
  <si>
    <t>006.001.001</t>
  </si>
  <si>
    <t>Serv. Efetivos</t>
  </si>
  <si>
    <t>006.001.002</t>
  </si>
  <si>
    <t>Serv. C.C.</t>
  </si>
  <si>
    <t>006.001.003</t>
  </si>
  <si>
    <t>Serv. Contratados</t>
  </si>
  <si>
    <t>006.001.005</t>
  </si>
  <si>
    <t>FGTS</t>
  </si>
  <si>
    <t>006.001.006</t>
  </si>
  <si>
    <t>Pessoal e Encargos Serv. Permutados</t>
  </si>
  <si>
    <t>006.001.007</t>
  </si>
  <si>
    <t>006.002.000</t>
  </si>
  <si>
    <t>ADMINISTRAÇÃO ESCOLAR</t>
  </si>
  <si>
    <t>006.002.001</t>
  </si>
  <si>
    <t>Diarias Serv. Efetivo</t>
  </si>
  <si>
    <t>006.002.002</t>
  </si>
  <si>
    <t>Diarias Serv. C.C.</t>
  </si>
  <si>
    <t>006.002.003</t>
  </si>
  <si>
    <t>Diarias Serv. Contratado</t>
  </si>
  <si>
    <t>006.002.004</t>
  </si>
  <si>
    <t>006.002.005</t>
  </si>
  <si>
    <t>006.002.006</t>
  </si>
  <si>
    <t>006.002.007</t>
  </si>
  <si>
    <t>006.002.008</t>
  </si>
  <si>
    <t>006.002.009</t>
  </si>
  <si>
    <t>006.002.010</t>
  </si>
  <si>
    <t>Manutenção de Prédios</t>
  </si>
  <si>
    <t>006.002.011</t>
  </si>
  <si>
    <t>Manutenção de Moveis e Utensílios</t>
  </si>
  <si>
    <t>006.002.012</t>
  </si>
  <si>
    <t>Serviços Tecnicos e Profissionais</t>
  </si>
  <si>
    <t>006.002.013</t>
  </si>
  <si>
    <t>006.002.014</t>
  </si>
  <si>
    <t>Manuntenção de Equip. de Informática</t>
  </si>
  <si>
    <t>006.002.015</t>
  </si>
  <si>
    <t>006.002.016</t>
  </si>
  <si>
    <t>006.002.017</t>
  </si>
  <si>
    <t>006.002.018</t>
  </si>
  <si>
    <t>006.002.019</t>
  </si>
  <si>
    <t>Energia Eletrica</t>
  </si>
  <si>
    <t>006.002.020</t>
  </si>
  <si>
    <t>006.002.021</t>
  </si>
  <si>
    <t>006.002.022</t>
  </si>
  <si>
    <t>006.002.023</t>
  </si>
  <si>
    <t>006.002.024</t>
  </si>
  <si>
    <t>Serviços Bancarios MDE</t>
  </si>
  <si>
    <t>006.002.025</t>
  </si>
  <si>
    <t>Serviços Bancarios FUNDEB</t>
  </si>
  <si>
    <t>006.002.026</t>
  </si>
  <si>
    <t>Serviços Bancarios Q.S.E</t>
  </si>
  <si>
    <t>006.002.027</t>
  </si>
  <si>
    <t>Locação de Sistemas de Processamento de Dados</t>
  </si>
  <si>
    <t>006.002.028</t>
  </si>
  <si>
    <t>006.002.029</t>
  </si>
  <si>
    <t>006.002.030</t>
  </si>
  <si>
    <t>006.002.031</t>
  </si>
  <si>
    <t>Auxilio Transporte Serv. Permutados</t>
  </si>
  <si>
    <t>006.002.032</t>
  </si>
  <si>
    <t>Plano Municipal de Educação</t>
  </si>
  <si>
    <t>006.003.000</t>
  </si>
  <si>
    <t>CUSTO DE AQUISICÃO DE BENS MÓVEIS E IMÓVEIS</t>
  </si>
  <si>
    <t>006.003.001</t>
  </si>
  <si>
    <t>Custo de Aquisicão de Equipamentos: Informática</t>
  </si>
  <si>
    <t>006.003.002</t>
  </si>
  <si>
    <t>Custo de Aquisicão de Equipamentos: Mobiliário</t>
  </si>
  <si>
    <t>006.003.003</t>
  </si>
  <si>
    <t>Custo de Aquisicão de Equipamentos: Eq. Comunicação</t>
  </si>
  <si>
    <t>006.003.004</t>
  </si>
  <si>
    <t>Custo de Aquisicão de Equipamentos: Ar Condicionado</t>
  </si>
  <si>
    <t>006.003.005</t>
  </si>
  <si>
    <t>Custo de Aquisicão de Equipamentos: Equip. e Utensilios Domésticos</t>
  </si>
  <si>
    <t>006.004.000</t>
  </si>
  <si>
    <t>MANUTENÇÃO DE VEICULOS</t>
  </si>
  <si>
    <t>006.004.001</t>
  </si>
  <si>
    <t>Custo de Aquisição de Veiculos</t>
  </si>
  <si>
    <t>006.004.002</t>
  </si>
  <si>
    <t>Combustivel Veículo</t>
  </si>
  <si>
    <t>006.004.003</t>
  </si>
  <si>
    <t>Autopeças Veículo</t>
  </si>
  <si>
    <t>006.004.004</t>
  </si>
  <si>
    <t>Lubrificantes Veiculo</t>
  </si>
  <si>
    <t>006.004.005</t>
  </si>
  <si>
    <t>Manuntenção Veiculo</t>
  </si>
  <si>
    <t>006.004.006</t>
  </si>
  <si>
    <t>Seguros Veiculo</t>
  </si>
  <si>
    <t>006.004.007</t>
  </si>
  <si>
    <t>007.000.000</t>
  </si>
  <si>
    <t>ESCOLA MUNICIPAL SANTA LUZIA</t>
  </si>
  <si>
    <t>007.001.000</t>
  </si>
  <si>
    <t>EDUCAÇÃO BÁSICA - Ensino Fundamental</t>
  </si>
  <si>
    <t>007.001.001</t>
  </si>
  <si>
    <t>007.001.002</t>
  </si>
  <si>
    <t>007.001.003</t>
  </si>
  <si>
    <t>007.001.004</t>
  </si>
  <si>
    <t>007.001.005</t>
  </si>
  <si>
    <t>007.001.006</t>
  </si>
  <si>
    <t>007.001.007</t>
  </si>
  <si>
    <t>007.001.008</t>
  </si>
  <si>
    <t>007.001.009</t>
  </si>
  <si>
    <t>007.001.010</t>
  </si>
  <si>
    <t>007.001.011</t>
  </si>
  <si>
    <t>007.001.012</t>
  </si>
  <si>
    <t>007.001.013</t>
  </si>
  <si>
    <t>Serviços Tecnicos Profissionais</t>
  </si>
  <si>
    <t>007.001.014</t>
  </si>
  <si>
    <t>007.001.015</t>
  </si>
  <si>
    <t>Manutenção de Equip. de Informática</t>
  </si>
  <si>
    <t>007.001.016</t>
  </si>
  <si>
    <t>007.001.017</t>
  </si>
  <si>
    <t>007.001.018</t>
  </si>
  <si>
    <t>Adicional Dificil Acesso</t>
  </si>
  <si>
    <t>007.001.019</t>
  </si>
  <si>
    <t>007.001.020</t>
  </si>
  <si>
    <t>007.001.021</t>
  </si>
  <si>
    <t>007.001.022</t>
  </si>
  <si>
    <t>007.001.023</t>
  </si>
  <si>
    <t>007.001.024</t>
  </si>
  <si>
    <t>007.001.025</t>
  </si>
  <si>
    <t>007.001.026</t>
  </si>
  <si>
    <t>007.001.027</t>
  </si>
  <si>
    <t>007.001.028</t>
  </si>
  <si>
    <t>007.001.029</t>
  </si>
  <si>
    <t>007.001.030</t>
  </si>
  <si>
    <t>Pessoal e Encargos Sociais : Sev. CLT</t>
  </si>
  <si>
    <t>007.001.031</t>
  </si>
  <si>
    <t>007.001.032</t>
  </si>
  <si>
    <t>Pessoal e Encargos Professores Efetivos</t>
  </si>
  <si>
    <t>007.001.033</t>
  </si>
  <si>
    <t>Pessoal e Encargos Professores Contratados</t>
  </si>
  <si>
    <t>007.001.034</t>
  </si>
  <si>
    <t>Material P/ Manutenção de Predios</t>
  </si>
  <si>
    <t>007.001.035</t>
  </si>
  <si>
    <t>Serviços Graficos</t>
  </si>
  <si>
    <t>007.001.036</t>
  </si>
  <si>
    <t>Material Esportivo</t>
  </si>
  <si>
    <t>007.001.037</t>
  </si>
  <si>
    <t>007.001.038</t>
  </si>
  <si>
    <t>Passagens e Despesas com Locomoção</t>
  </si>
  <si>
    <t>007.002.000</t>
  </si>
  <si>
    <t>EDUCAÇÃO BÁSICA - EDUCAÇÃO INFANTIL</t>
  </si>
  <si>
    <t>007.002.001</t>
  </si>
  <si>
    <t>007.002.002</t>
  </si>
  <si>
    <t>007.002.003</t>
  </si>
  <si>
    <t>007.002.004</t>
  </si>
  <si>
    <t>007.002.005</t>
  </si>
  <si>
    <t>007.002.006</t>
  </si>
  <si>
    <t>007.002.007</t>
  </si>
  <si>
    <t>007.002.008</t>
  </si>
  <si>
    <t>007.002.009</t>
  </si>
  <si>
    <t>007.002.010</t>
  </si>
  <si>
    <t>007.002.011</t>
  </si>
  <si>
    <t>007.002.012</t>
  </si>
  <si>
    <t>Manutenção de Moveis e Utensilios</t>
  </si>
  <si>
    <t>007.002.013</t>
  </si>
  <si>
    <t>007.002.014</t>
  </si>
  <si>
    <t>007.002.015</t>
  </si>
  <si>
    <t>007.002.016</t>
  </si>
  <si>
    <t>007.002.017</t>
  </si>
  <si>
    <t>007.002.018</t>
  </si>
  <si>
    <t>007.002.019</t>
  </si>
  <si>
    <t>007.002.020</t>
  </si>
  <si>
    <t>007.002.021</t>
  </si>
  <si>
    <t>007.002.022</t>
  </si>
  <si>
    <t>007.002.023</t>
  </si>
  <si>
    <t>007.002.024</t>
  </si>
  <si>
    <t>007.002.025</t>
  </si>
  <si>
    <t>007.002.026</t>
  </si>
  <si>
    <t>007.002.027</t>
  </si>
  <si>
    <t>007.002.028</t>
  </si>
  <si>
    <t>007.002.029</t>
  </si>
  <si>
    <t>007.002.030</t>
  </si>
  <si>
    <t>007.002.031</t>
  </si>
  <si>
    <t>007.003.000</t>
  </si>
  <si>
    <t>EDUCAÇÃO BÁSICA - EDUCAÇÃO ESPECIAL</t>
  </si>
  <si>
    <t>007.003.001</t>
  </si>
  <si>
    <t>007.003.002</t>
  </si>
  <si>
    <t>007.003.003</t>
  </si>
  <si>
    <t>007.003.004</t>
  </si>
  <si>
    <t>007.003.005</t>
  </si>
  <si>
    <t>007.003.006</t>
  </si>
  <si>
    <t>007.003.007</t>
  </si>
  <si>
    <t>007.003.008</t>
  </si>
  <si>
    <t>007.003.009</t>
  </si>
  <si>
    <t>007.003.010</t>
  </si>
  <si>
    <t>007.003.011</t>
  </si>
  <si>
    <t>Manuntenção de Prédios</t>
  </si>
  <si>
    <t>007.003.012</t>
  </si>
  <si>
    <t>007.003.013</t>
  </si>
  <si>
    <t>007.003.014</t>
  </si>
  <si>
    <t>007.003.015</t>
  </si>
  <si>
    <t>007.003.016</t>
  </si>
  <si>
    <t>007.003.017</t>
  </si>
  <si>
    <t>007.003.018</t>
  </si>
  <si>
    <t>Adicional de Dificil Acesso</t>
  </si>
  <si>
    <t>007.003.019</t>
  </si>
  <si>
    <t>007.003.020</t>
  </si>
  <si>
    <t>007.003.021</t>
  </si>
  <si>
    <t>007.003.022</t>
  </si>
  <si>
    <t>Custo de Aquisicão de Equipamentos: Eq, Comunicação</t>
  </si>
  <si>
    <t>007.003.023</t>
  </si>
  <si>
    <t>007.003.024</t>
  </si>
  <si>
    <t>Custo de Aquisicão de Equipamentos: Equip. e Utensílios Domésticos</t>
  </si>
  <si>
    <t>007.003.025</t>
  </si>
  <si>
    <t>007.004.000</t>
  </si>
  <si>
    <t>EDUCAÇÃO BÁSICA - EDUCAÇÃO DE JOVENS E ADULTOS</t>
  </si>
  <si>
    <t>007.004.001</t>
  </si>
  <si>
    <t>007.004.002</t>
  </si>
  <si>
    <t>007.004.003</t>
  </si>
  <si>
    <t>007.004.004</t>
  </si>
  <si>
    <t>007.004.005</t>
  </si>
  <si>
    <t>007.004.006</t>
  </si>
  <si>
    <t>007.004.007</t>
  </si>
  <si>
    <t>007.004.008</t>
  </si>
  <si>
    <t>007.004.009</t>
  </si>
  <si>
    <t>007.004.010</t>
  </si>
  <si>
    <t>007.004.011</t>
  </si>
  <si>
    <t>007.004.012</t>
  </si>
  <si>
    <t>007.004.020</t>
  </si>
  <si>
    <t>007.004.021</t>
  </si>
  <si>
    <t>008.000.000</t>
  </si>
  <si>
    <t>ESCOLA MUNICIPAL ARLINDO B. PIRES</t>
  </si>
  <si>
    <t>008.001.000</t>
  </si>
  <si>
    <t>008.001.001</t>
  </si>
  <si>
    <t>008.001.002</t>
  </si>
  <si>
    <t>008.001.003</t>
  </si>
  <si>
    <t>008.001.004</t>
  </si>
  <si>
    <t>008.001.005</t>
  </si>
  <si>
    <t>008.001.006</t>
  </si>
  <si>
    <t>008.001.007</t>
  </si>
  <si>
    <t>008.001.008</t>
  </si>
  <si>
    <t>008.001.009</t>
  </si>
  <si>
    <t>008.001.010</t>
  </si>
  <si>
    <t>008.001.011</t>
  </si>
  <si>
    <t>008.001.012</t>
  </si>
  <si>
    <t>Manuntenção de Moveis e Utensilios</t>
  </si>
  <si>
    <t>008.001.013</t>
  </si>
  <si>
    <t>008.001.014</t>
  </si>
  <si>
    <t>008.001.015</t>
  </si>
  <si>
    <t>008.001.016</t>
  </si>
  <si>
    <t>008.001.017</t>
  </si>
  <si>
    <t>008.001.018</t>
  </si>
  <si>
    <t>008.001.019</t>
  </si>
  <si>
    <t>008.001.020</t>
  </si>
  <si>
    <t>008.001.021</t>
  </si>
  <si>
    <t>008.001.022</t>
  </si>
  <si>
    <t>Teleone Celular</t>
  </si>
  <si>
    <t>008.001.023</t>
  </si>
  <si>
    <t>008.001.024</t>
  </si>
  <si>
    <t>008.001.025</t>
  </si>
  <si>
    <t>008.001.026</t>
  </si>
  <si>
    <t>008.001.027</t>
  </si>
  <si>
    <t>008.001.028</t>
  </si>
  <si>
    <t>008.001.029</t>
  </si>
  <si>
    <t>008.001.030</t>
  </si>
  <si>
    <t>008.001.031</t>
  </si>
  <si>
    <t>008.001.032</t>
  </si>
  <si>
    <t>008.001.033</t>
  </si>
  <si>
    <t>008.001.034</t>
  </si>
  <si>
    <t>material esportivo</t>
  </si>
  <si>
    <t>008.001.035</t>
  </si>
  <si>
    <t>008.001.036</t>
  </si>
  <si>
    <t>Material P/ Manutenção de prédios</t>
  </si>
  <si>
    <t>008.001.037</t>
  </si>
  <si>
    <t>008.001.038</t>
  </si>
  <si>
    <t>Passagens de Despesas com Locomoção</t>
  </si>
  <si>
    <t>008.001.039</t>
  </si>
  <si>
    <t>Locação de Impressoras</t>
  </si>
  <si>
    <t>008.002.000</t>
  </si>
  <si>
    <t>008.002.001</t>
  </si>
  <si>
    <t>008.002.002</t>
  </si>
  <si>
    <t>008.002.003</t>
  </si>
  <si>
    <t>008.002.004</t>
  </si>
  <si>
    <t>008.002.005</t>
  </si>
  <si>
    <t>008.002.006</t>
  </si>
  <si>
    <t>008.002.007</t>
  </si>
  <si>
    <t>Gas de Cozinhas</t>
  </si>
  <si>
    <t>008.002.008</t>
  </si>
  <si>
    <t>008.002.009</t>
  </si>
  <si>
    <t>008.002.010</t>
  </si>
  <si>
    <t>008.002.011</t>
  </si>
  <si>
    <t>008.002.012</t>
  </si>
  <si>
    <t>008.002.013</t>
  </si>
  <si>
    <t>008.002.014</t>
  </si>
  <si>
    <t>008.002.015</t>
  </si>
  <si>
    <t>008.002.016</t>
  </si>
  <si>
    <t>008.002.017</t>
  </si>
  <si>
    <t>008.002.018</t>
  </si>
  <si>
    <t>008.002.019</t>
  </si>
  <si>
    <t>008.002.020</t>
  </si>
  <si>
    <t>008.002.021</t>
  </si>
  <si>
    <t>008.002.022</t>
  </si>
  <si>
    <t>008.002.023</t>
  </si>
  <si>
    <t>008.002.024</t>
  </si>
  <si>
    <t>008.002.025</t>
  </si>
  <si>
    <t>008.002.026</t>
  </si>
  <si>
    <t>008.002.027</t>
  </si>
  <si>
    <t>008.002.028</t>
  </si>
  <si>
    <t>Custo de Aquisicão de Equipamentos: Equip. E Utensilíos Domésticos</t>
  </si>
  <si>
    <t>008.002.029</t>
  </si>
  <si>
    <t>008.002.030</t>
  </si>
  <si>
    <t>008.002.031</t>
  </si>
  <si>
    <t>008.002.032</t>
  </si>
  <si>
    <t>Aquisição de Mobiliario</t>
  </si>
  <si>
    <t>008.003.000</t>
  </si>
  <si>
    <t>008.003.001</t>
  </si>
  <si>
    <t>008.003.002</t>
  </si>
  <si>
    <t>008.003.003</t>
  </si>
  <si>
    <t>008.003.004</t>
  </si>
  <si>
    <t>008.003.005</t>
  </si>
  <si>
    <t>008.003.006</t>
  </si>
  <si>
    <t>008.003.007</t>
  </si>
  <si>
    <t>008.003.008</t>
  </si>
  <si>
    <t>008.003.009</t>
  </si>
  <si>
    <t>Suprimentos De Informatica</t>
  </si>
  <si>
    <t>008.003.010</t>
  </si>
  <si>
    <t>008.003.011</t>
  </si>
  <si>
    <t>008.003.012</t>
  </si>
  <si>
    <t>008.003.016</t>
  </si>
  <si>
    <t>008.003.017</t>
  </si>
  <si>
    <t>008.003.018</t>
  </si>
  <si>
    <t>008.003.019</t>
  </si>
  <si>
    <t>008.003.020</t>
  </si>
  <si>
    <t>Custo de Aquisição de Equipamentos: Informática</t>
  </si>
  <si>
    <t>008.003.021</t>
  </si>
  <si>
    <t>Custo de Aquisição de Equipamentos: Mobiliário</t>
  </si>
  <si>
    <t>008.003.022</t>
  </si>
  <si>
    <t>Custo de Aquisição de Equipamentos: Eq. Comunicação</t>
  </si>
  <si>
    <t>008.003.023</t>
  </si>
  <si>
    <t>Custo de Aquisição de Equipamentos: Ar. Condicionado</t>
  </si>
  <si>
    <t>008.003.024</t>
  </si>
  <si>
    <t>Custo de Aquisição de Equipamentos: Equip. e Utensilios Domésticos</t>
  </si>
  <si>
    <t>008.003.025</t>
  </si>
  <si>
    <t>008.003.026</t>
  </si>
  <si>
    <t>008.003.027</t>
  </si>
  <si>
    <t>008.004.000</t>
  </si>
  <si>
    <t>008.004.001</t>
  </si>
  <si>
    <t>008.004.002</t>
  </si>
  <si>
    <t>008.004.003</t>
  </si>
  <si>
    <t>008.004.004</t>
  </si>
  <si>
    <t>008.004.005</t>
  </si>
  <si>
    <t>008.004.006</t>
  </si>
  <si>
    <t>008.004.007</t>
  </si>
  <si>
    <t>008.004.008</t>
  </si>
  <si>
    <t>008.004.009</t>
  </si>
  <si>
    <t>008.004.020</t>
  </si>
  <si>
    <t>008.005.000</t>
  </si>
  <si>
    <t>CUSTO DE CONTRUÇÃO DE IMOVEIS</t>
  </si>
  <si>
    <t>008.005.001</t>
  </si>
  <si>
    <t>Custo de Cobertura de  Quadra Poliesportiva</t>
  </si>
  <si>
    <t>008.005.002</t>
  </si>
  <si>
    <t>Custo de  Obras e Instalações</t>
  </si>
  <si>
    <t>009.000.000</t>
  </si>
  <si>
    <t>TRANSPORTE ESCOLAR</t>
  </si>
  <si>
    <t>009.001.000</t>
  </si>
  <si>
    <t>GESTAO DO TRANSPORTE ESCOLAR</t>
  </si>
  <si>
    <t>009.001.001</t>
  </si>
  <si>
    <t>Pessoal e Encargos Sociais - Serv, Efetivo</t>
  </si>
  <si>
    <t>009.001.002</t>
  </si>
  <si>
    <t>Pessoal e Encargos Sociais - Serv. Contratado</t>
  </si>
  <si>
    <t>009.001.003</t>
  </si>
  <si>
    <t>Combustivel Veiculo IPP 9013</t>
  </si>
  <si>
    <t>009.001.004</t>
  </si>
  <si>
    <t>Combustivel Veiculo IPP 9043</t>
  </si>
  <si>
    <t>009.001.005</t>
  </si>
  <si>
    <t>Combustivel Veiculo IPN 4843</t>
  </si>
  <si>
    <t>009.001.006</t>
  </si>
  <si>
    <t>Lubrificante Veiculo IPP 9013</t>
  </si>
  <si>
    <t>009.001.007</t>
  </si>
  <si>
    <t>Lubrificante Veiculo IPP 9043</t>
  </si>
  <si>
    <t>009.001.008</t>
  </si>
  <si>
    <t>Lubrificante Veiculo IPN 4843</t>
  </si>
  <si>
    <t>009.001.009</t>
  </si>
  <si>
    <t>Material e Autopeças Veiculo IPP 9013</t>
  </si>
  <si>
    <t>009.001.010</t>
  </si>
  <si>
    <t>Material e Autopeças Veiculo IPP 9043</t>
  </si>
  <si>
    <t>009.001.011</t>
  </si>
  <si>
    <t>Material e Autopeças Veiculo IPN 4843</t>
  </si>
  <si>
    <t>009.001.012</t>
  </si>
  <si>
    <t>Manutenção Veiculo IPP 9013</t>
  </si>
  <si>
    <t>009.001.013</t>
  </si>
  <si>
    <t>Manutenção Veiculo IPP 9043</t>
  </si>
  <si>
    <t>009.001.014</t>
  </si>
  <si>
    <t>Manutenção Veiculo IPN 4843</t>
  </si>
  <si>
    <t>009.001.015</t>
  </si>
  <si>
    <t>Seguros Veiculo IPP 9013</t>
  </si>
  <si>
    <t>009.001.016</t>
  </si>
  <si>
    <t>Seguros Veiculo IPP 9043</t>
  </si>
  <si>
    <t>009.001.017</t>
  </si>
  <si>
    <t>Seguros Veiculo IPN 4843</t>
  </si>
  <si>
    <t>009.001.018</t>
  </si>
  <si>
    <t>Geral Veiculo IPP 9013</t>
  </si>
  <si>
    <t>009.001.019</t>
  </si>
  <si>
    <t>Geral Veiculo IPP 9043</t>
  </si>
  <si>
    <t>009.001.020</t>
  </si>
  <si>
    <t>Geral Veiculo IPN 4843</t>
  </si>
  <si>
    <t>009.001.021</t>
  </si>
  <si>
    <t>009.001.022</t>
  </si>
  <si>
    <t>009.001.023</t>
  </si>
  <si>
    <t>Ressarcimento de Despesas Serv. Contratados</t>
  </si>
  <si>
    <t>009.001.024</t>
  </si>
  <si>
    <t>Ressarcimento de Despesas Serv. Efetivos</t>
  </si>
  <si>
    <t>009.001.025</t>
  </si>
  <si>
    <t>009.001.026</t>
  </si>
  <si>
    <t>Hora Extra Serv, Contratados</t>
  </si>
  <si>
    <t>009.001.027</t>
  </si>
  <si>
    <t>Hora Extra - Servidores Efetivos</t>
  </si>
  <si>
    <t>009.001.028</t>
  </si>
  <si>
    <t>Vistorias de Veiculos Transporte Escolar - Prórprios</t>
  </si>
  <si>
    <t>009.001.029</t>
  </si>
  <si>
    <t>Vistorias de Veiculos Transporte Escolar - Terceirizados</t>
  </si>
  <si>
    <t>009.001.030</t>
  </si>
  <si>
    <t>Passagens e Despesas Com Locomoção</t>
  </si>
  <si>
    <t>009.001.031</t>
  </si>
  <si>
    <t>Locação Substituição de Veículo IPP 9043</t>
  </si>
  <si>
    <t>009.001.032</t>
  </si>
  <si>
    <t>Locação Substituição de Veículo IPP 9013</t>
  </si>
  <si>
    <t>009.001.033</t>
  </si>
  <si>
    <t>Locação Substituição de Veículo IPN 4843</t>
  </si>
  <si>
    <t>009.002.000</t>
  </si>
  <si>
    <t>TRANSPORTE ESCOLAR - ESSINO FUNDAMENTAL</t>
  </si>
  <si>
    <t>009.002.001</t>
  </si>
  <si>
    <t>Transporte Escolar Terceirizado Itinerario 01</t>
  </si>
  <si>
    <t>009.002.002</t>
  </si>
  <si>
    <t>Transporte Escolar Terceirizado Itinerario 02</t>
  </si>
  <si>
    <t>009.002.003</t>
  </si>
  <si>
    <t>Transporte Escolar Terceirizado Itinerario 03</t>
  </si>
  <si>
    <t>009.002.004</t>
  </si>
  <si>
    <t>Transporte Escolar Terceirizado Itinerario 04</t>
  </si>
  <si>
    <t>009.002.005</t>
  </si>
  <si>
    <t>Transporte Escolar Terceirizado Itinerario 05</t>
  </si>
  <si>
    <t>009.002.006</t>
  </si>
  <si>
    <t>Transporte Escolar Terceirizado Itinerario 06</t>
  </si>
  <si>
    <t>009.002.007</t>
  </si>
  <si>
    <t>Transporte Escolar Terceirizado Itinerario 07</t>
  </si>
  <si>
    <t>009.002.008</t>
  </si>
  <si>
    <t>Transporte Escolar Terceirizado Itinerario 08</t>
  </si>
  <si>
    <t>009.002.009</t>
  </si>
  <si>
    <t>Transporte Escolar Terceirizado Itinerario 09</t>
  </si>
  <si>
    <t>009.002.010</t>
  </si>
  <si>
    <t>Transporte Escolar Terceirizado Itinerario 10</t>
  </si>
  <si>
    <t>009.002.011</t>
  </si>
  <si>
    <t>Transporte Escolar Terceirizado Itinerario 11</t>
  </si>
  <si>
    <t>009.002.012</t>
  </si>
  <si>
    <t>Transporte Escolar Terceirizado Itinerario 12</t>
  </si>
  <si>
    <t>009.002.013</t>
  </si>
  <si>
    <t>Transporte Escolar Terceirizado Itinerario 13</t>
  </si>
  <si>
    <t>009.002.014</t>
  </si>
  <si>
    <t>Transporte Escolar Terceirizado Itinerario 14</t>
  </si>
  <si>
    <t>009.002.015</t>
  </si>
  <si>
    <t>Transporte Escolar Terceirizado Itinerario 15</t>
  </si>
  <si>
    <t>009.002.016</t>
  </si>
  <si>
    <t>Transporte Escolar Terceirizado Itinerario 16</t>
  </si>
  <si>
    <t>009.002.017</t>
  </si>
  <si>
    <t>Transporte Escolar Terceirizado Itinerario 17</t>
  </si>
  <si>
    <t>009.002.018</t>
  </si>
  <si>
    <t>Transporte Escolar Terceirizado Itinerario 18</t>
  </si>
  <si>
    <t>009.002.019</t>
  </si>
  <si>
    <t>Transporte Escolar Terceirizado Itinerario 19</t>
  </si>
  <si>
    <t>009.002.020</t>
  </si>
  <si>
    <t>Transporte Escolar Terceirizado Itinerario 20</t>
  </si>
  <si>
    <t>009.003.000</t>
  </si>
  <si>
    <t>TRANSPORTE ESCOLAR - EDUC. INFANTIL</t>
  </si>
  <si>
    <t>009.003.001</t>
  </si>
  <si>
    <t>009.003.002</t>
  </si>
  <si>
    <t>009.003.003</t>
  </si>
  <si>
    <t>009.003.004</t>
  </si>
  <si>
    <t>009.003.005</t>
  </si>
  <si>
    <t>009.003.006</t>
  </si>
  <si>
    <t>009.003.007</t>
  </si>
  <si>
    <t>009.003.008</t>
  </si>
  <si>
    <t>009.003.009</t>
  </si>
  <si>
    <t>009.003.010</t>
  </si>
  <si>
    <t>009.003.011</t>
  </si>
  <si>
    <t>009.003.012</t>
  </si>
  <si>
    <t>009.003.013</t>
  </si>
  <si>
    <t>009.004.000</t>
  </si>
  <si>
    <t>TRANSPORTE ESCOLAR - EDUC. ESPECIAL</t>
  </si>
  <si>
    <t>009.004.001</t>
  </si>
  <si>
    <t>009.004.002</t>
  </si>
  <si>
    <t>009.004.003</t>
  </si>
  <si>
    <t>009.004.004</t>
  </si>
  <si>
    <t>009.004.005</t>
  </si>
  <si>
    <t>009.004.006</t>
  </si>
  <si>
    <t>009.004.007</t>
  </si>
  <si>
    <t>009.005.000</t>
  </si>
  <si>
    <t>TRANSPORTE ESCOLAR - EDUC. EJA FUNDAMENTAL</t>
  </si>
  <si>
    <t>009.005.001</t>
  </si>
  <si>
    <t>009.007.000</t>
  </si>
  <si>
    <t>TRANSPORTE ESCOLAR - ENSINO MÉDIO</t>
  </si>
  <si>
    <t>009.007.001</t>
  </si>
  <si>
    <t>009.007.002</t>
  </si>
  <si>
    <t>009.007.003</t>
  </si>
  <si>
    <t>009.007.004</t>
  </si>
  <si>
    <t>009.007.005</t>
  </si>
  <si>
    <t>009.007.006</t>
  </si>
  <si>
    <t>009.007.007</t>
  </si>
  <si>
    <t>009.007.008</t>
  </si>
  <si>
    <t>009.007.009</t>
  </si>
  <si>
    <t>009.007.010</t>
  </si>
  <si>
    <t>009.008.000</t>
  </si>
  <si>
    <t>TRANSPORTE ESCOLAR - ENSINO SUPERIOR</t>
  </si>
  <si>
    <t>009.010.000</t>
  </si>
  <si>
    <t>TRANSPORTE ESCOLAR - ENSINO PROFISSIONALIZANTE</t>
  </si>
  <si>
    <t>009.011.000</t>
  </si>
  <si>
    <t>TRANSPORTE ESCOLAR - DOCENTES</t>
  </si>
  <si>
    <t>009.012.000</t>
  </si>
  <si>
    <t>TRANSPORTE ESCOLAR PREVESTIBULAR</t>
  </si>
  <si>
    <t>010.000.000</t>
  </si>
  <si>
    <t>ESCOLA JORGE HASS</t>
  </si>
  <si>
    <t>010.001.000</t>
  </si>
  <si>
    <t>011.000.000</t>
  </si>
  <si>
    <t>ESCOLA ALVINO NICKEL</t>
  </si>
  <si>
    <t>011.001.000</t>
  </si>
  <si>
    <t>012.000.000</t>
  </si>
  <si>
    <t>ESCOLA MARECHAL DEODORO</t>
  </si>
  <si>
    <t>012.001.000</t>
  </si>
  <si>
    <t>013.000.00</t>
  </si>
  <si>
    <t>ESCOLA JOSÉ ANTONIO HUGO</t>
  </si>
  <si>
    <t>013.001.000</t>
  </si>
  <si>
    <t>014.000.000</t>
  </si>
  <si>
    <t>ESCOLA WILSON LUIS DA SILVA</t>
  </si>
  <si>
    <t>014.001.000</t>
  </si>
  <si>
    <t>015.000.000</t>
  </si>
  <si>
    <t>ESCOLA CEC. ROSA TEIXEIRA</t>
  </si>
  <si>
    <t>015.001.000</t>
  </si>
  <si>
    <t>016.000.000</t>
  </si>
  <si>
    <t>ESCOLA CEC. AGENOR RIBEIRO DA ROCHA</t>
  </si>
  <si>
    <t>016.001.000</t>
  </si>
  <si>
    <t>017.000.000</t>
  </si>
  <si>
    <t>CRECHE</t>
  </si>
  <si>
    <t>017.001.000</t>
  </si>
  <si>
    <t>017.002.000</t>
  </si>
  <si>
    <t>CUSTEIO OPERACIONAL CRECHE</t>
  </si>
  <si>
    <t>017.002.001</t>
  </si>
  <si>
    <t>Aquisição de Imóveis</t>
  </si>
  <si>
    <t>030.000.000</t>
  </si>
  <si>
    <t>ALIMENTAÇÃO ESCOLAR</t>
  </si>
  <si>
    <t>030.001.000</t>
  </si>
  <si>
    <t>030.001.001</t>
  </si>
  <si>
    <t>030.001.002</t>
  </si>
  <si>
    <t>030.001.003</t>
  </si>
  <si>
    <t>030.002.000</t>
  </si>
  <si>
    <t>ADMINISTRATIVO</t>
  </si>
  <si>
    <t>030.002.001</t>
  </si>
  <si>
    <t>Diárias Serv. Efetivos</t>
  </si>
  <si>
    <t>030.002.002</t>
  </si>
  <si>
    <t>Diárias Serv. Contratados</t>
  </si>
  <si>
    <t>030.002.003</t>
  </si>
  <si>
    <t>Diárias Serv. C.C.</t>
  </si>
  <si>
    <t>030.002.004</t>
  </si>
  <si>
    <t>030.002.005</t>
  </si>
  <si>
    <t>030.002.006</t>
  </si>
  <si>
    <t>030.002.007</t>
  </si>
  <si>
    <t>030.002.008</t>
  </si>
  <si>
    <t>030.002.009</t>
  </si>
  <si>
    <t>030.002.010</t>
  </si>
  <si>
    <t>030.002.011</t>
  </si>
  <si>
    <t>Hora Extra</t>
  </si>
  <si>
    <t>030.003.000</t>
  </si>
  <si>
    <t>030.003.001</t>
  </si>
  <si>
    <t>030.003.002</t>
  </si>
  <si>
    <t>Generos Alimenticios PNAE</t>
  </si>
  <si>
    <t>030.003.003</t>
  </si>
  <si>
    <t>Generos Alimenticios PNAE AGRIC. FAMILIAR</t>
  </si>
  <si>
    <t>030.003.004</t>
  </si>
  <si>
    <t>Generos Alimenticios PMAE</t>
  </si>
  <si>
    <t>030.003.005</t>
  </si>
  <si>
    <t>Generos Alimenticios PMAE AGRIC. FAMILIAR</t>
  </si>
  <si>
    <t>030.003.006</t>
  </si>
  <si>
    <t>030.003.007</t>
  </si>
  <si>
    <t>030.003.008</t>
  </si>
  <si>
    <t>Pessoal e Encargos: Serv. Efetivos</t>
  </si>
  <si>
    <t>030.003.009</t>
  </si>
  <si>
    <t>031.000.000</t>
  </si>
  <si>
    <t>CULTURA</t>
  </si>
  <si>
    <t>031.001.000</t>
  </si>
  <si>
    <t>PESSOAL E ENCARGOS</t>
  </si>
  <si>
    <t>031.001.001</t>
  </si>
  <si>
    <t>031.001.002</t>
  </si>
  <si>
    <t>Servidores Contratdos</t>
  </si>
  <si>
    <t>031.001.003</t>
  </si>
  <si>
    <t>031.002.000</t>
  </si>
  <si>
    <t>031.002.001</t>
  </si>
  <si>
    <t>031.002.002</t>
  </si>
  <si>
    <t>031.002.003</t>
  </si>
  <si>
    <t>031.002.004</t>
  </si>
  <si>
    <t>031.002.005</t>
  </si>
  <si>
    <t>031.002.006</t>
  </si>
  <si>
    <t>031.002.007</t>
  </si>
  <si>
    <t>031.002.008</t>
  </si>
  <si>
    <t>031.002.009</t>
  </si>
  <si>
    <t>031.002.010</t>
  </si>
  <si>
    <t>031.002.011</t>
  </si>
  <si>
    <t>031.002.012</t>
  </si>
  <si>
    <t>031.002.013</t>
  </si>
  <si>
    <t>Custo de Aquisição Eq. Informática</t>
  </si>
  <si>
    <t>031.002.014</t>
  </si>
  <si>
    <t>Custo de Aquisição Mobiliario</t>
  </si>
  <si>
    <t>031.002.015</t>
  </si>
  <si>
    <t>Custo de Aquisição Moveis e Utensilios</t>
  </si>
  <si>
    <t>031.002.016</t>
  </si>
  <si>
    <t>031.002.017</t>
  </si>
  <si>
    <t>Material P/ Manutenção de Imóveis</t>
  </si>
  <si>
    <t>031.003.000</t>
  </si>
  <si>
    <t>AGROTURISMO</t>
  </si>
  <si>
    <t>031.003.001</t>
  </si>
  <si>
    <t>031.003.002</t>
  </si>
  <si>
    <t>Prestação de Serviços</t>
  </si>
  <si>
    <t>031.003.003</t>
  </si>
  <si>
    <t>031.004.000</t>
  </si>
  <si>
    <t>BIBLIOTECA PUBLICA</t>
  </si>
  <si>
    <t>031.004.001</t>
  </si>
  <si>
    <t>031.004.002</t>
  </si>
  <si>
    <t>031.004.003</t>
  </si>
  <si>
    <t>031.004.004</t>
  </si>
  <si>
    <t>031.004.005</t>
  </si>
  <si>
    <t>031.004.006</t>
  </si>
  <si>
    <t>Devolucao de Recursos Recebidos do Estado</t>
  </si>
  <si>
    <t>031.005.000</t>
  </si>
  <si>
    <t>031.005.001</t>
  </si>
  <si>
    <t>031.005.002</t>
  </si>
  <si>
    <t>031.005.003</t>
  </si>
  <si>
    <t>031.006.000</t>
  </si>
  <si>
    <t>031.006.001</t>
  </si>
  <si>
    <t>031.006.002</t>
  </si>
  <si>
    <t>031.006.003</t>
  </si>
  <si>
    <t>031.007.000</t>
  </si>
  <si>
    <t>031.007.001</t>
  </si>
  <si>
    <t>031.007.002</t>
  </si>
  <si>
    <t>031.007.003</t>
  </si>
  <si>
    <t>031.008.000</t>
  </si>
  <si>
    <t>CURSOS DE ARTES</t>
  </si>
  <si>
    <t>031.009.000</t>
  </si>
  <si>
    <t>FESTIVAL DE TALENTOS</t>
  </si>
  <si>
    <t>031.009.001</t>
  </si>
  <si>
    <t>031.009.002</t>
  </si>
  <si>
    <t>031.009.003</t>
  </si>
  <si>
    <t>031.010.000</t>
  </si>
  <si>
    <t>FESTA DO PRADROEIRO</t>
  </si>
  <si>
    <t>031.010.001</t>
  </si>
  <si>
    <t>031.010.002</t>
  </si>
  <si>
    <t>031.010.003</t>
  </si>
  <si>
    <t>031.010.004</t>
  </si>
  <si>
    <t>Shows e Sonorização</t>
  </si>
  <si>
    <t>031.011.000</t>
  </si>
  <si>
    <t>031.011.001</t>
  </si>
  <si>
    <t>031.011.002</t>
  </si>
  <si>
    <t>031.011.003</t>
  </si>
  <si>
    <t>031.012.000</t>
  </si>
  <si>
    <t>GRUPO DE DANÇAS UNIAO DOS PAGOS</t>
  </si>
  <si>
    <t>031.012.001</t>
  </si>
  <si>
    <t>031.012.002</t>
  </si>
  <si>
    <t>031.012.003</t>
  </si>
  <si>
    <t>031.013.000</t>
  </si>
  <si>
    <t>CENTRO DE EVENTOS</t>
  </si>
  <si>
    <t>031.013.001</t>
  </si>
  <si>
    <t>031.013.002</t>
  </si>
  <si>
    <t>031.013.003</t>
  </si>
  <si>
    <t>031.013.004</t>
  </si>
  <si>
    <t>031.013.005</t>
  </si>
  <si>
    <t>031.013.006</t>
  </si>
  <si>
    <t>031.013.007</t>
  </si>
  <si>
    <t>Material de Proteção e Segurança</t>
  </si>
  <si>
    <t>031.013.008</t>
  </si>
  <si>
    <t>Manutenção de Predios Centro de Eventos</t>
  </si>
  <si>
    <t>031.013.009</t>
  </si>
  <si>
    <t>Portico Centro de Eventos</t>
  </si>
  <si>
    <t>031.014.000</t>
  </si>
  <si>
    <t>031.014.001</t>
  </si>
  <si>
    <t>031.014.002</t>
  </si>
  <si>
    <t>031.014.003</t>
  </si>
  <si>
    <t>031.015.000</t>
  </si>
  <si>
    <t>BALNEÁRIOS</t>
  </si>
  <si>
    <t>031.015.001</t>
  </si>
  <si>
    <t>031.015.002</t>
  </si>
  <si>
    <t>031.015.003</t>
  </si>
  <si>
    <t>031.016.000</t>
  </si>
  <si>
    <t>AGRIFEST/FESTA DO FUMO</t>
  </si>
  <si>
    <t>031.016.001</t>
  </si>
  <si>
    <t>Material de Consumo Diversos</t>
  </si>
  <si>
    <t>031.016.002</t>
  </si>
  <si>
    <t>031.016.003</t>
  </si>
  <si>
    <t>031.016.004</t>
  </si>
  <si>
    <t>Shows e Sonorização FEFUMO/AGRIFEST</t>
  </si>
  <si>
    <t>031.016.005</t>
  </si>
  <si>
    <t>Baile Escolha Soberanas AGrifest/FEFUMO</t>
  </si>
  <si>
    <t>031.016.006</t>
  </si>
  <si>
    <t>Locação de Area de Terras</t>
  </si>
  <si>
    <t>031.016.007</t>
  </si>
  <si>
    <t>Premiações - Sorteios</t>
  </si>
  <si>
    <t>031.016.008</t>
  </si>
  <si>
    <t>Gêneros Alimenticios</t>
  </si>
  <si>
    <t>031.016.009</t>
  </si>
  <si>
    <t>Bebidas</t>
  </si>
  <si>
    <t>031.017.000</t>
  </si>
  <si>
    <t>PORTICO</t>
  </si>
  <si>
    <t>031.017.001</t>
  </si>
  <si>
    <t>031.017.002</t>
  </si>
  <si>
    <t>031.017.003</t>
  </si>
  <si>
    <t>031.017.004</t>
  </si>
  <si>
    <t>031.017.005</t>
  </si>
  <si>
    <t>031.018.000</t>
  </si>
  <si>
    <t>DER OSTER BAUN</t>
  </si>
  <si>
    <t>031.018.001</t>
  </si>
  <si>
    <t>031.018.002</t>
  </si>
  <si>
    <t>031.018.003</t>
  </si>
  <si>
    <t>031.019.000</t>
  </si>
  <si>
    <t>FESTA NATALINA</t>
  </si>
  <si>
    <t>031.019.001</t>
  </si>
  <si>
    <t>031.019.002</t>
  </si>
  <si>
    <t>031.019.003</t>
  </si>
  <si>
    <t>031.020.000</t>
  </si>
  <si>
    <t>FESTA DE ANIVERSÁRIO MUNICIPIO</t>
  </si>
  <si>
    <t>031.020.001</t>
  </si>
  <si>
    <t>031.020.002</t>
  </si>
  <si>
    <t>031.020.003</t>
  </si>
  <si>
    <t>031.021.000</t>
  </si>
  <si>
    <t>CENTRO DE INFORMAÇÕES TURISTICAS</t>
  </si>
  <si>
    <t>031.021.001</t>
  </si>
  <si>
    <t>Manutenção do Centro de Informações Turisticas</t>
  </si>
  <si>
    <t>032.000.000</t>
  </si>
  <si>
    <t>DESPORTO</t>
  </si>
  <si>
    <t>032.003.000</t>
  </si>
  <si>
    <t>032.003.001</t>
  </si>
  <si>
    <t>032.003.002</t>
  </si>
  <si>
    <t>032.003.003</t>
  </si>
  <si>
    <t>032.004.000</t>
  </si>
  <si>
    <t>032.004.001</t>
  </si>
  <si>
    <t>032.004.002</t>
  </si>
  <si>
    <t>032.004.003</t>
  </si>
  <si>
    <t>032.004.004</t>
  </si>
  <si>
    <t>032.004.005</t>
  </si>
  <si>
    <t>032.004.006</t>
  </si>
  <si>
    <t>032.004.007</t>
  </si>
  <si>
    <t>032.004.008</t>
  </si>
  <si>
    <t>032.004.009</t>
  </si>
  <si>
    <t>032.004.010</t>
  </si>
  <si>
    <t>Suprimenrtos de Informática</t>
  </si>
  <si>
    <t>032.004.011</t>
  </si>
  <si>
    <t>032.004.012</t>
  </si>
  <si>
    <t>032.004.013</t>
  </si>
  <si>
    <t>032.004.014</t>
  </si>
  <si>
    <t>032.004.015</t>
  </si>
  <si>
    <t>032.004.016</t>
  </si>
  <si>
    <t>032.004.017</t>
  </si>
  <si>
    <t>Aquisição de Equip. Permanente</t>
  </si>
  <si>
    <t>032.004.018</t>
  </si>
  <si>
    <t>Combustível Veículo ISK 1256</t>
  </si>
  <si>
    <t>032.005.000</t>
  </si>
  <si>
    <t>ESPORTE AO AR LIVRE</t>
  </si>
  <si>
    <t>032.005.001</t>
  </si>
  <si>
    <t>032.005.002</t>
  </si>
  <si>
    <t>032.005.003</t>
  </si>
  <si>
    <t>032.006.000</t>
  </si>
  <si>
    <t>QUADRAS ESPORTIVAS</t>
  </si>
  <si>
    <t>032.006.001</t>
  </si>
  <si>
    <t>032.006.002</t>
  </si>
  <si>
    <t>032.006.003</t>
  </si>
  <si>
    <t>032.007.000</t>
  </si>
  <si>
    <t>CONVENIOS</t>
  </si>
  <si>
    <t>032.007.001</t>
  </si>
  <si>
    <t>Execução de Convenios - União</t>
  </si>
  <si>
    <t>032.007.002</t>
  </si>
  <si>
    <t>Execução de Convenios - Estado</t>
  </si>
  <si>
    <t>032.007.003</t>
  </si>
  <si>
    <t>032.008.000</t>
  </si>
  <si>
    <t>Campeonato Praiano</t>
  </si>
  <si>
    <t>032.008.001</t>
  </si>
  <si>
    <t>032.008.002</t>
  </si>
  <si>
    <t>032.008.003</t>
  </si>
  <si>
    <t>Premiação</t>
  </si>
  <si>
    <t>032.008.004</t>
  </si>
  <si>
    <t>032.009.000</t>
  </si>
  <si>
    <t>CAMPEONATO INTERCOLONIAL</t>
  </si>
  <si>
    <t>032.009.001</t>
  </si>
  <si>
    <t>032.009.002</t>
  </si>
  <si>
    <t>032.009.003</t>
  </si>
  <si>
    <t>032.009.004</t>
  </si>
  <si>
    <t>032.010.000</t>
  </si>
  <si>
    <t>COPA CHUVISCA DE FUTEBOL DE CAMPO</t>
  </si>
  <si>
    <t>032.010.001</t>
  </si>
  <si>
    <t>032.010.002</t>
  </si>
  <si>
    <t>032.010.003</t>
  </si>
  <si>
    <t>032.010.004</t>
  </si>
  <si>
    <t>032.011.000</t>
  </si>
  <si>
    <t>PROJETO VELOCROSS</t>
  </si>
  <si>
    <t>032.011.001</t>
  </si>
  <si>
    <t>032.011.002</t>
  </si>
  <si>
    <t>032.011.003</t>
  </si>
  <si>
    <t>032.011.004</t>
  </si>
  <si>
    <t>032.012.000</t>
  </si>
  <si>
    <t>DIA DO DESAFIO</t>
  </si>
  <si>
    <t>032.012.001</t>
  </si>
  <si>
    <t>032.012.002</t>
  </si>
  <si>
    <t>032.012.003</t>
  </si>
  <si>
    <t>032.012.004</t>
  </si>
  <si>
    <t>032.013.000</t>
  </si>
  <si>
    <t>OLIMPIADAS RURAIS</t>
  </si>
  <si>
    <t>032.013.001</t>
  </si>
  <si>
    <t>032.013.002</t>
  </si>
  <si>
    <t>032.013.003</t>
  </si>
  <si>
    <t>032.013.004</t>
  </si>
  <si>
    <t>032.014.000</t>
  </si>
  <si>
    <t>JIRGS</t>
  </si>
  <si>
    <t>032.014.001</t>
  </si>
  <si>
    <t>032.014.002</t>
  </si>
  <si>
    <t>032.014.003</t>
  </si>
  <si>
    <t>032.014.004</t>
  </si>
  <si>
    <t>032.015.000</t>
  </si>
  <si>
    <t>CAMPEONATO DE FUTSAL</t>
  </si>
  <si>
    <t>032.015.001</t>
  </si>
  <si>
    <t>032.015.002</t>
  </si>
  <si>
    <t>032.015.003</t>
  </si>
  <si>
    <t>032.015.004</t>
  </si>
  <si>
    <t>033.000.000</t>
  </si>
  <si>
    <t>SECRETARIA MUNICIPAL DA SAUDE</t>
  </si>
  <si>
    <t>033.001.000</t>
  </si>
  <si>
    <t>033.001.001</t>
  </si>
  <si>
    <t>033.001.002</t>
  </si>
  <si>
    <t>033.001.003</t>
  </si>
  <si>
    <t>033.001.004</t>
  </si>
  <si>
    <t>033.001.005</t>
  </si>
  <si>
    <t>Hora Extra Servidores Efetivos</t>
  </si>
  <si>
    <t>033.001.006</t>
  </si>
  <si>
    <t>Hora Extra Servidores Contratados</t>
  </si>
  <si>
    <t>033.002.000</t>
  </si>
  <si>
    <t>033.002.001</t>
  </si>
  <si>
    <t>033.002.002</t>
  </si>
  <si>
    <t>033.002.003</t>
  </si>
  <si>
    <t>033.002.004</t>
  </si>
  <si>
    <t>033.002.005</t>
  </si>
  <si>
    <t>033.002.006</t>
  </si>
  <si>
    <t>Gen. Alimenticios</t>
  </si>
  <si>
    <t>033.002.007</t>
  </si>
  <si>
    <t>033.002.008</t>
  </si>
  <si>
    <t>Suprimentos de Impressão</t>
  </si>
  <si>
    <t>033.002.009</t>
  </si>
  <si>
    <t>033.002.010</t>
  </si>
  <si>
    <t>033.002.011</t>
  </si>
  <si>
    <t>033.002.012</t>
  </si>
  <si>
    <t>033.002.013</t>
  </si>
  <si>
    <t>033.002.014</t>
  </si>
  <si>
    <t>033.002.015</t>
  </si>
  <si>
    <t>Manutenção de Equip.  de Informática</t>
  </si>
  <si>
    <t>033.002.016</t>
  </si>
  <si>
    <t>Manutenção de Equip. Impressão</t>
  </si>
  <si>
    <t>033.002.017</t>
  </si>
  <si>
    <t>033.002.018</t>
  </si>
  <si>
    <t>033.002.019</t>
  </si>
  <si>
    <t>033.002.020</t>
  </si>
  <si>
    <t>033.002.021</t>
  </si>
  <si>
    <t>033.002.022</t>
  </si>
  <si>
    <t>033.002.023</t>
  </si>
  <si>
    <t>033.002.024</t>
  </si>
  <si>
    <t>033.002.025</t>
  </si>
  <si>
    <t>033.002.026</t>
  </si>
  <si>
    <t>033.002.027</t>
  </si>
  <si>
    <t>033.002.028</t>
  </si>
  <si>
    <t>033.002.029</t>
  </si>
  <si>
    <t>033.002.030</t>
  </si>
  <si>
    <t>Material P/ Manutenção de imóveis</t>
  </si>
  <si>
    <t>033.002.031</t>
  </si>
  <si>
    <t>Aquisição de Equipamento Permanente</t>
  </si>
  <si>
    <t>033.002.032</t>
  </si>
  <si>
    <t>Material P/Distribuição Gratuita</t>
  </si>
  <si>
    <t>033.002.033</t>
  </si>
  <si>
    <t>Devolucao de Saldo Convenios</t>
  </si>
  <si>
    <t>033.003.000</t>
  </si>
  <si>
    <t>CUSTO DE AQUISICAO DE BENS MOVEIS E IMÓVEIS</t>
  </si>
  <si>
    <t>033.003.001</t>
  </si>
  <si>
    <t>033.003.002</t>
  </si>
  <si>
    <t>Custo de Aquisição de Equipamentos: Mobiliario</t>
  </si>
  <si>
    <t>033.003.003</t>
  </si>
  <si>
    <t>033.003.004</t>
  </si>
  <si>
    <t>Custo de Aquisição de Equipamentos: Ar Condicionado</t>
  </si>
  <si>
    <t>033.003.005</t>
  </si>
  <si>
    <t>033.003.006</t>
  </si>
  <si>
    <t>Custo de Aquisição de Equipamentos: Equip. Impressão</t>
  </si>
  <si>
    <t>033.003.007</t>
  </si>
  <si>
    <t>Custo de Aquisição de Veículos</t>
  </si>
  <si>
    <t>033.003.008</t>
  </si>
  <si>
    <t>Aquisição de Equipamentos Diversos</t>
  </si>
  <si>
    <t>033.003.009</t>
  </si>
  <si>
    <t>Custo de Aquisição Gerador</t>
  </si>
  <si>
    <t>033.004.000</t>
  </si>
  <si>
    <t>GESTÃO UNIDADE BÁSICA DE SAÚDE</t>
  </si>
  <si>
    <t>033.004.001</t>
  </si>
  <si>
    <t>Pessoal e Encargos: Servidores Efetivos</t>
  </si>
  <si>
    <t>033.004.002</t>
  </si>
  <si>
    <t>Pessoal e Encargos: Servidores Contratados</t>
  </si>
  <si>
    <t>033.004.003</t>
  </si>
  <si>
    <t>Pessoal e Encargos: Servidores C.C.</t>
  </si>
  <si>
    <t>033.004.004</t>
  </si>
  <si>
    <t>033.004.005</t>
  </si>
  <si>
    <t>033.004.006</t>
  </si>
  <si>
    <t>033.004.007</t>
  </si>
  <si>
    <t>033.004.008</t>
  </si>
  <si>
    <t>033.004.009</t>
  </si>
  <si>
    <t>033.004.010</t>
  </si>
  <si>
    <t>033.004.011</t>
  </si>
  <si>
    <t>033.004.012</t>
  </si>
  <si>
    <t>033.004.013</t>
  </si>
  <si>
    <t>033.004.014</t>
  </si>
  <si>
    <t>033.004.015</t>
  </si>
  <si>
    <t>033.004.016</t>
  </si>
  <si>
    <t>Seleção eTreinamento</t>
  </si>
  <si>
    <t>033.004.017</t>
  </si>
  <si>
    <t>033.004.018</t>
  </si>
  <si>
    <t>033.004.019</t>
  </si>
  <si>
    <t>033.004.020</t>
  </si>
  <si>
    <t>033.004.021</t>
  </si>
  <si>
    <t>033.004.022</t>
  </si>
  <si>
    <t>033.004.023</t>
  </si>
  <si>
    <t>033.004.024</t>
  </si>
  <si>
    <t>033.004.025</t>
  </si>
  <si>
    <t>Serviços Médicos Plantão 24 Horas P. Fisica</t>
  </si>
  <si>
    <t>033.004.026</t>
  </si>
  <si>
    <t>Serviços de Enfermagem Plantão 24 horas P. Fisica</t>
  </si>
  <si>
    <t>033.004.027</t>
  </si>
  <si>
    <t>Serviços Tecnicos de  Enfermagem Plantão 24 horas P. Fisica</t>
  </si>
  <si>
    <t>033.004.028</t>
  </si>
  <si>
    <t>033.004.035</t>
  </si>
  <si>
    <t>033.004.036</t>
  </si>
  <si>
    <t>Destinação Final de Residuos de Saúde</t>
  </si>
  <si>
    <t>033.004.037</t>
  </si>
  <si>
    <t>033.004.038</t>
  </si>
  <si>
    <t>Serviços Médicos P. Juridica - Plantões Médicos UBS</t>
  </si>
  <si>
    <t>033.004.039</t>
  </si>
  <si>
    <t>Internet - SMS</t>
  </si>
  <si>
    <t>033.004.040</t>
  </si>
  <si>
    <t>Internet - UBS</t>
  </si>
  <si>
    <t>033.004.041</t>
  </si>
  <si>
    <t>Pessoal e Encargos : Abono Permanencia</t>
  </si>
  <si>
    <t>033.004.042</t>
  </si>
  <si>
    <t>033.004.043</t>
  </si>
  <si>
    <t>033.004.044</t>
  </si>
  <si>
    <t>Outros Serviços pessoa Juridica</t>
  </si>
  <si>
    <t>033.004.045</t>
  </si>
  <si>
    <t>033.004.046</t>
  </si>
  <si>
    <t>033.004.047</t>
  </si>
  <si>
    <t>Gerador de Energia - Combustivel</t>
  </si>
  <si>
    <t>033.005.000</t>
  </si>
  <si>
    <t>ATENDIMENTO A POPULAÇÃO</t>
  </si>
  <si>
    <t>033.005.001</t>
  </si>
  <si>
    <t>Exames Laboratoriais: Sangue</t>
  </si>
  <si>
    <t>033.005.002</t>
  </si>
  <si>
    <t>Exames Laboratoriais: Urina</t>
  </si>
  <si>
    <t>033.005.003</t>
  </si>
  <si>
    <t>Exames Laboratoriais: Fezes</t>
  </si>
  <si>
    <t>033.005.004</t>
  </si>
  <si>
    <t>Ecografia</t>
  </si>
  <si>
    <t>033.005.005</t>
  </si>
  <si>
    <t>Tomografia</t>
  </si>
  <si>
    <t>033.005.006</t>
  </si>
  <si>
    <t>Raio X</t>
  </si>
  <si>
    <t>033.005.007</t>
  </si>
  <si>
    <t>Endoscopia</t>
  </si>
  <si>
    <t>033.005.008</t>
  </si>
  <si>
    <t>Consultas Médicas - Pediatra</t>
  </si>
  <si>
    <t>033.005.009</t>
  </si>
  <si>
    <t>Consultas Médicas - Traumatologia</t>
  </si>
  <si>
    <t>033.005.010</t>
  </si>
  <si>
    <t>Consultas Médicas - Oncologia</t>
  </si>
  <si>
    <t>033.005.011</t>
  </si>
  <si>
    <t>Passagens Pra Pacientes em Consulta</t>
  </si>
  <si>
    <t>033.005.012</t>
  </si>
  <si>
    <t>Consultas Diversas</t>
  </si>
  <si>
    <t>033.005.013</t>
  </si>
  <si>
    <t>Fisioterapia</t>
  </si>
  <si>
    <t>033.005.014</t>
  </si>
  <si>
    <t>033.005.015</t>
  </si>
  <si>
    <t>Insumos Hospitalares Diversos</t>
  </si>
  <si>
    <t>033.005.016</t>
  </si>
  <si>
    <t>Exames Laboratoriais</t>
  </si>
  <si>
    <t>033.005.017</t>
  </si>
  <si>
    <t>Convenio Hospital Nossa Senhora Aparecida - Atend. Media Complexidade</t>
  </si>
  <si>
    <t>033.005.018</t>
  </si>
  <si>
    <t>Serviços Hospitalares Hospital Nossa Senhora Aparecida</t>
  </si>
  <si>
    <t>033.006.000</t>
  </si>
  <si>
    <t>EXAMES DE IMAGEM</t>
  </si>
  <si>
    <t>033.006.001</t>
  </si>
  <si>
    <t>033.006.002</t>
  </si>
  <si>
    <t>033.006.004</t>
  </si>
  <si>
    <t>033.006.005</t>
  </si>
  <si>
    <t>Ressonancia</t>
  </si>
  <si>
    <t>033.007.000</t>
  </si>
  <si>
    <t>FROTA DE VEICULOS</t>
  </si>
  <si>
    <t>033.007.001</t>
  </si>
  <si>
    <t>Combustivel Veiculo IRH 9777</t>
  </si>
  <si>
    <t>033.007.002</t>
  </si>
  <si>
    <t>Material e Autopeças  Veiculo IRH 9777</t>
  </si>
  <si>
    <t>033.007.003</t>
  </si>
  <si>
    <t>Manutenção  Veiculo IRH 9777</t>
  </si>
  <si>
    <t>033.007.006</t>
  </si>
  <si>
    <t>Combustivel Veiculo IOY 7726</t>
  </si>
  <si>
    <t>033.007.007</t>
  </si>
  <si>
    <t>Material e Autopeças Veiculo IOY 7726</t>
  </si>
  <si>
    <t>033.007.008</t>
  </si>
  <si>
    <t>Manutenção Veiculo IOY 7726</t>
  </si>
  <si>
    <t>033.007.009</t>
  </si>
  <si>
    <t>Seguros Veiculo IOY 7726</t>
  </si>
  <si>
    <t>033.007.010</t>
  </si>
  <si>
    <t>Multas Veiculo IOY 7726</t>
  </si>
  <si>
    <t>033.007.011</t>
  </si>
  <si>
    <t>Combustivel Veiculo IWC 5251</t>
  </si>
  <si>
    <t>033.007.012</t>
  </si>
  <si>
    <t>Material e Autopeças  Veiculo IWC 5251</t>
  </si>
  <si>
    <t>033.007.013</t>
  </si>
  <si>
    <t>Manutenção  Veiculo IWC 5251</t>
  </si>
  <si>
    <t>033.007.014</t>
  </si>
  <si>
    <t>Seguros  Veiculo IWC 5251</t>
  </si>
  <si>
    <t>033.007.015</t>
  </si>
  <si>
    <t>Multas  Veiculo IWC 5251</t>
  </si>
  <si>
    <t>033.007.016</t>
  </si>
  <si>
    <t>Combustivel Veiculo IOB 6926</t>
  </si>
  <si>
    <t>033.007.017</t>
  </si>
  <si>
    <t>Material e Autopeças  Veiculo IOB 6926</t>
  </si>
  <si>
    <t>033.007.018</t>
  </si>
  <si>
    <t>Manutenção  Veiculo IOB 6926</t>
  </si>
  <si>
    <t>033.007.019</t>
  </si>
  <si>
    <t>Seguros  Veiculo IOB 6926</t>
  </si>
  <si>
    <t>033.007.020</t>
  </si>
  <si>
    <t>Multas  Veiculo IOB 6926</t>
  </si>
  <si>
    <t>033.007.021</t>
  </si>
  <si>
    <t>Combustivel Veiculo IVP 4366</t>
  </si>
  <si>
    <t>033.007.022</t>
  </si>
  <si>
    <t>Material e Autopeças Veiculo IVP 4366</t>
  </si>
  <si>
    <t>033.007.023</t>
  </si>
  <si>
    <t>Manutenção Veiculo IVP 4366</t>
  </si>
  <si>
    <t>033.007.024</t>
  </si>
  <si>
    <t>Seguros Veiculo IVP 4366</t>
  </si>
  <si>
    <t>033.007.025</t>
  </si>
  <si>
    <t>Multas Veiculo IVP 4366</t>
  </si>
  <si>
    <t>033.007.026</t>
  </si>
  <si>
    <t>Combustivel Veiculo IWE 4544</t>
  </si>
  <si>
    <t>033.007.027</t>
  </si>
  <si>
    <t>Material e Autopeças Veiculo IWE 4544</t>
  </si>
  <si>
    <t>033.007.028</t>
  </si>
  <si>
    <t>Seguros  Veiculo IRH 9777</t>
  </si>
  <si>
    <t>033.007.029</t>
  </si>
  <si>
    <t>Multas Veiculo IRH 9777</t>
  </si>
  <si>
    <t>033.007.030</t>
  </si>
  <si>
    <t>Multas Veículo IWE 4544</t>
  </si>
  <si>
    <t>033.007.031</t>
  </si>
  <si>
    <t>Combustivel Veiculo ITP 0262</t>
  </si>
  <si>
    <t>033.007.032</t>
  </si>
  <si>
    <t>Material e Autopeças ITP 0262</t>
  </si>
  <si>
    <t>033.007.033</t>
  </si>
  <si>
    <t>Manutenção Veículo ITP 0262</t>
  </si>
  <si>
    <t>033.007.034</t>
  </si>
  <si>
    <t>Seguros Veículo ITP 0262</t>
  </si>
  <si>
    <t>033.007.035</t>
  </si>
  <si>
    <t>Multas Veículo ITP 0262</t>
  </si>
  <si>
    <t>033.007.036</t>
  </si>
  <si>
    <t>Lubrificantes Veículo ITP 0262</t>
  </si>
  <si>
    <t>033.007.037</t>
  </si>
  <si>
    <t>Lubrificantes Veículo IWE 4544</t>
  </si>
  <si>
    <t>033.007.038</t>
  </si>
  <si>
    <t>Lubrificantes Veículo IWC 5251</t>
  </si>
  <si>
    <t>033.007.039</t>
  </si>
  <si>
    <t>Lubrificantes Veículo IVP 4366</t>
  </si>
  <si>
    <t>033.007.040</t>
  </si>
  <si>
    <t>Lubrificantes Veículo IRH 9777</t>
  </si>
  <si>
    <t>033.007.041</t>
  </si>
  <si>
    <t>Lubrificantes Veículo IOY 7726</t>
  </si>
  <si>
    <t>033.007.042</t>
  </si>
  <si>
    <t>Lubrificantes Veículo IOB 6926</t>
  </si>
  <si>
    <t>033.007.043</t>
  </si>
  <si>
    <t>Manutenção Veículo IVY 8354</t>
  </si>
  <si>
    <t>033.007.044</t>
  </si>
  <si>
    <t>Combustíveis Veículo IWL 3346</t>
  </si>
  <si>
    <t>033.007.045</t>
  </si>
  <si>
    <t>Lubrificantes Veículo IWL 3346</t>
  </si>
  <si>
    <t>033.007.046</t>
  </si>
  <si>
    <t>Materiais e Peças  Veículo IWL 3346</t>
  </si>
  <si>
    <t>033.007.047</t>
  </si>
  <si>
    <t>Manutenção Veículo IWL 3346</t>
  </si>
  <si>
    <t>Seguros e Licenciamento Veículo IWL 3346</t>
  </si>
  <si>
    <t>033.007.048</t>
  </si>
  <si>
    <t>Multas Veículo IWL 3346</t>
  </si>
  <si>
    <t>033.007.049</t>
  </si>
  <si>
    <t>conbustiveis veiculo IVY 8354</t>
  </si>
  <si>
    <t>033.007.050</t>
  </si>
  <si>
    <t>Manutenção Veiculo IWE 4544</t>
  </si>
  <si>
    <t>033.008.000</t>
  </si>
  <si>
    <t>VIGILÂNCIA SANITÁRIA</t>
  </si>
  <si>
    <t>033.008.001</t>
  </si>
  <si>
    <t>033.008.002</t>
  </si>
  <si>
    <t>033.008.003</t>
  </si>
  <si>
    <t>033.008.004</t>
  </si>
  <si>
    <t>033.008.005</t>
  </si>
  <si>
    <t>033.008.006</t>
  </si>
  <si>
    <t>033.008.007</t>
  </si>
  <si>
    <t>Material de Informática/Impressão</t>
  </si>
  <si>
    <t>033.008.008</t>
  </si>
  <si>
    <t>Manutençãode Eq. Informática/Impressão</t>
  </si>
  <si>
    <t>033.008.009</t>
  </si>
  <si>
    <t>033.008.010</t>
  </si>
  <si>
    <t>033.008.011</t>
  </si>
  <si>
    <t>Combustivel Veiculo IVY 8354</t>
  </si>
  <si>
    <t>033.008.012</t>
  </si>
  <si>
    <t>Lubrificante Veiculo IVY 8354</t>
  </si>
  <si>
    <t>033.008.013</t>
  </si>
  <si>
    <t>Manutenção Veiculo IVY 8354</t>
  </si>
  <si>
    <t>033.008.014</t>
  </si>
  <si>
    <t>Seguros Veiculo IVY 8354</t>
  </si>
  <si>
    <t>033.008.015</t>
  </si>
  <si>
    <t>Material e Autopeças Veiculo IVY 8354</t>
  </si>
  <si>
    <t>033.008.016</t>
  </si>
  <si>
    <t>Serviços P.Fisica</t>
  </si>
  <si>
    <t>033.008.017</t>
  </si>
  <si>
    <t>Serviços P. Juridica</t>
  </si>
  <si>
    <t>033.008.018</t>
  </si>
  <si>
    <t>033.008.019</t>
  </si>
  <si>
    <t>Manutenção Veículo IWE 4544</t>
  </si>
  <si>
    <t>033.008.020</t>
  </si>
  <si>
    <t>Materias P/ uso veterinário</t>
  </si>
  <si>
    <t>033.009.000</t>
  </si>
  <si>
    <t>VIGILANCIA EPIDEMIOLÓGICA</t>
  </si>
  <si>
    <t>033.009.001</t>
  </si>
  <si>
    <t>033.009.002</t>
  </si>
  <si>
    <t>033.009.003</t>
  </si>
  <si>
    <t>033.009.004</t>
  </si>
  <si>
    <t>033.009.005</t>
  </si>
  <si>
    <t>033.009.006</t>
  </si>
  <si>
    <t>033.009.007</t>
  </si>
  <si>
    <t>033.009.008</t>
  </si>
  <si>
    <t>Manutenção de Eq. Informática/Impressão</t>
  </si>
  <si>
    <t>033.009.009</t>
  </si>
  <si>
    <t>033.009.010</t>
  </si>
  <si>
    <t>033.009.011</t>
  </si>
  <si>
    <t>Combustivel  Veiculo IVY 8354</t>
  </si>
  <si>
    <t>033.009.012</t>
  </si>
  <si>
    <t>Lubrificantes Veiculo IVY 8354</t>
  </si>
  <si>
    <t>033.009.013</t>
  </si>
  <si>
    <t>033.009.014</t>
  </si>
  <si>
    <t>033.009.015</t>
  </si>
  <si>
    <t>033.009.016</t>
  </si>
  <si>
    <t>Serviços P. Fisica</t>
  </si>
  <si>
    <t>033.009.017</t>
  </si>
  <si>
    <t>033.009.018</t>
  </si>
  <si>
    <t>033.009.019</t>
  </si>
  <si>
    <t>Material Elétrico</t>
  </si>
  <si>
    <t>033.009.020</t>
  </si>
  <si>
    <t>Outros Materiais de Consumo</t>
  </si>
  <si>
    <t>033.009.021</t>
  </si>
  <si>
    <t>custo aquisição equipamento informatica</t>
  </si>
  <si>
    <t>033.010.000</t>
  </si>
  <si>
    <t>NAAB - SAUDE MENTAL</t>
  </si>
  <si>
    <t>033.010.001</t>
  </si>
  <si>
    <t>033.010.002</t>
  </si>
  <si>
    <t>033.010.003</t>
  </si>
  <si>
    <t>033.010.004</t>
  </si>
  <si>
    <t>033.010.005</t>
  </si>
  <si>
    <t>033.010.006</t>
  </si>
  <si>
    <t>033.010.008</t>
  </si>
  <si>
    <t>033.010.009</t>
  </si>
  <si>
    <t>033.010.010</t>
  </si>
  <si>
    <t>033.010.011</t>
  </si>
  <si>
    <t>033.011.000</t>
  </si>
  <si>
    <t>NAAB - OFICINAS TERAPEUTICAS</t>
  </si>
  <si>
    <t>033.011.001</t>
  </si>
  <si>
    <t>033.011.002</t>
  </si>
  <si>
    <t>033.011.003</t>
  </si>
  <si>
    <t>033.011.004</t>
  </si>
  <si>
    <t>033.011.005</t>
  </si>
  <si>
    <t>033.011.006</t>
  </si>
  <si>
    <t>033.011.007</t>
  </si>
  <si>
    <t>033.011.008</t>
  </si>
  <si>
    <t>033.011.009</t>
  </si>
  <si>
    <t>033.011.010</t>
  </si>
  <si>
    <t>033.011.011</t>
  </si>
  <si>
    <t>033.011.012</t>
  </si>
  <si>
    <t>Prestação de Serviços Medicos</t>
  </si>
  <si>
    <t>033.012.000</t>
  </si>
  <si>
    <t>CONSÓRCIO INTERMUNICIPAL  CENTRO-SUL</t>
  </si>
  <si>
    <t>033.012.001</t>
  </si>
  <si>
    <t>Contrato de Rateio</t>
  </si>
  <si>
    <t>033.012.002</t>
  </si>
  <si>
    <t>033.012.003</t>
  </si>
  <si>
    <t>Serviços Hospitalares</t>
  </si>
  <si>
    <t>033.012.004</t>
  </si>
  <si>
    <t>Consultas Médicas</t>
  </si>
  <si>
    <t>033.012.005</t>
  </si>
  <si>
    <t>Exames</t>
  </si>
  <si>
    <t>033.012.006</t>
  </si>
  <si>
    <t>033.017.043</t>
  </si>
  <si>
    <t>Seguros Veiculo IWE 4544</t>
  </si>
  <si>
    <t>040.000.000</t>
  </si>
  <si>
    <t>SEC. MUN. AGRIC. E MEIO AMBIENTE</t>
  </si>
  <si>
    <t>040.001.000</t>
  </si>
  <si>
    <t>040.001.001</t>
  </si>
  <si>
    <t>040.001.002</t>
  </si>
  <si>
    <t>040.001.003</t>
  </si>
  <si>
    <t>040.001.004</t>
  </si>
  <si>
    <t>040.001.005</t>
  </si>
  <si>
    <t>F.G.</t>
  </si>
  <si>
    <t>040.002.000</t>
  </si>
  <si>
    <t>GESTÃO E COORDENAÇÃO ADMINISTRATIVA</t>
  </si>
  <si>
    <t>040.002.001</t>
  </si>
  <si>
    <t>040.002.002</t>
  </si>
  <si>
    <t>040.002.003</t>
  </si>
  <si>
    <t>040.002.004</t>
  </si>
  <si>
    <t>040.002.005</t>
  </si>
  <si>
    <t>040.002.006</t>
  </si>
  <si>
    <t>Gen. Alimeníticios</t>
  </si>
  <si>
    <t>040.002.007</t>
  </si>
  <si>
    <t>Suprimentos de Informática/Impressão</t>
  </si>
  <si>
    <t>040.002.008</t>
  </si>
  <si>
    <t>Manutenção de Moveis Utensilios</t>
  </si>
  <si>
    <t>040.002.009</t>
  </si>
  <si>
    <t>040.002.010</t>
  </si>
  <si>
    <t>Material de Limpeza E Higiene</t>
  </si>
  <si>
    <t>040.002.011</t>
  </si>
  <si>
    <t>040.002.012</t>
  </si>
  <si>
    <t>040.002.013</t>
  </si>
  <si>
    <t>040.002.014</t>
  </si>
  <si>
    <t>040.002.015</t>
  </si>
  <si>
    <t>Manutenção de Equip. de Informática/Impressão</t>
  </si>
  <si>
    <t>040.002.017</t>
  </si>
  <si>
    <t>040.002.018</t>
  </si>
  <si>
    <t>040.002.019</t>
  </si>
  <si>
    <t>040.002.020</t>
  </si>
  <si>
    <t>040.002.021</t>
  </si>
  <si>
    <t>040.002.022</t>
  </si>
  <si>
    <t>040.002.023</t>
  </si>
  <si>
    <t>040.002.024</t>
  </si>
  <si>
    <t>Serviços de Internet</t>
  </si>
  <si>
    <t>040.002.025</t>
  </si>
  <si>
    <t>040.002.026</t>
  </si>
  <si>
    <t>040.002.027</t>
  </si>
  <si>
    <t>040.002.028</t>
  </si>
  <si>
    <t>040.002.029</t>
  </si>
  <si>
    <t>Ressarcimento de despesas</t>
  </si>
  <si>
    <t>040.002.030</t>
  </si>
  <si>
    <t>040.003.000</t>
  </si>
  <si>
    <t>CUSTO DE AQUISIÇÃO DE BENS MOVEIS E IMÓVEIS</t>
  </si>
  <si>
    <t>040.003.001</t>
  </si>
  <si>
    <t>Custo de Aquisição de Equipamentos: Informática/Impressão</t>
  </si>
  <si>
    <t>040.003.002</t>
  </si>
  <si>
    <t>040.003.003</t>
  </si>
  <si>
    <t>040.003.004</t>
  </si>
  <si>
    <t>040.003.005</t>
  </si>
  <si>
    <t>040.003.006</t>
  </si>
  <si>
    <t>040.004.000</t>
  </si>
  <si>
    <t>040.004.001</t>
  </si>
  <si>
    <t>Combustivel Veiculo IJY 2420</t>
  </si>
  <si>
    <t>040.004.002</t>
  </si>
  <si>
    <t>Lubrificante Veiculo IJY 2420</t>
  </si>
  <si>
    <t>040.004.003</t>
  </si>
  <si>
    <t>Material e Peças Veiculo IJY 2420</t>
  </si>
  <si>
    <t>040.004.004</t>
  </si>
  <si>
    <t>Manutenção Veiculo IJY 2420</t>
  </si>
  <si>
    <t>040.004.005</t>
  </si>
  <si>
    <t>Seguros Veiculo IJY 2420</t>
  </si>
  <si>
    <t>040.004.006</t>
  </si>
  <si>
    <t>040.005.000</t>
  </si>
  <si>
    <t>GESTÃO DA AGRICULTURA FAMILIAR - ATENDIMENTO AO PRODUTOR</t>
  </si>
  <si>
    <t>040.005.001</t>
  </si>
  <si>
    <t>Pessoal e Encargos Soc. - Serv. Efetivos</t>
  </si>
  <si>
    <t>040.005.002</t>
  </si>
  <si>
    <t>Pessoal e Encargos Soc. - Serv. Contratados</t>
  </si>
  <si>
    <t>040.005.003</t>
  </si>
  <si>
    <t>Pessoal e Encargos Soc. -  C.C.</t>
  </si>
  <si>
    <t>040.005.004</t>
  </si>
  <si>
    <t>Asistência Tecnica</t>
  </si>
  <si>
    <t>040.005.005</t>
  </si>
  <si>
    <t>Diária de Acampamento</t>
  </si>
  <si>
    <t>040.005.006</t>
  </si>
  <si>
    <t>Combustivel Trator BM 110</t>
  </si>
  <si>
    <t>040.005.007</t>
  </si>
  <si>
    <t>Lubrificante Trator BM 110</t>
  </si>
  <si>
    <t>040.005.008</t>
  </si>
  <si>
    <t>Material e Peças Trator BM 110</t>
  </si>
  <si>
    <t>040.005.009</t>
  </si>
  <si>
    <t>Manutenção Trator BM 110</t>
  </si>
  <si>
    <t>040.005.010</t>
  </si>
  <si>
    <t>Combustivel Trator NH 7630</t>
  </si>
  <si>
    <t>040.005.011</t>
  </si>
  <si>
    <t>Lubrificante Trator NH 7630</t>
  </si>
  <si>
    <t>040.005.012</t>
  </si>
  <si>
    <t>Material e Peças Trator NH 7630</t>
  </si>
  <si>
    <t>040.005.013</t>
  </si>
  <si>
    <t>Manutenção Trator NH 7630</t>
  </si>
  <si>
    <t>040.005.014</t>
  </si>
  <si>
    <t>Combustivel Trator NH 85E</t>
  </si>
  <si>
    <t>040.005.015</t>
  </si>
  <si>
    <t>Lubrificante Trator NH 85E</t>
  </si>
  <si>
    <t>040.005.016</t>
  </si>
  <si>
    <t>Material e Peças Trator NH 85E</t>
  </si>
  <si>
    <t>040.005.017</t>
  </si>
  <si>
    <t>Manutenção Trator FORD 8030</t>
  </si>
  <si>
    <t>040.005.019</t>
  </si>
  <si>
    <t>Combustivel  Trator FORD 8030</t>
  </si>
  <si>
    <t>040.005.020</t>
  </si>
  <si>
    <t>Lubrificante  Trator FORD 8030</t>
  </si>
  <si>
    <t>040.005.021</t>
  </si>
  <si>
    <t>Material e Peças  Trator FORD 8030</t>
  </si>
  <si>
    <t>040.005.022</t>
  </si>
  <si>
    <t>Manutenção  Trator FORD 8030</t>
  </si>
  <si>
    <t>040.005.023</t>
  </si>
  <si>
    <t>Combustivel Retroescavadeira JCB</t>
  </si>
  <si>
    <t>040.005.024</t>
  </si>
  <si>
    <t>Lubrificante Retroescavadeira JCB</t>
  </si>
  <si>
    <t>040.005.025</t>
  </si>
  <si>
    <t>Material e Peças Retroescavadeira JCB</t>
  </si>
  <si>
    <t>040.005.026</t>
  </si>
  <si>
    <t>Manutenção Retroescavadeira JCB</t>
  </si>
  <si>
    <t>040.005.027</t>
  </si>
  <si>
    <t>Material e Peças P/ Implementos</t>
  </si>
  <si>
    <t>040.005.028</t>
  </si>
  <si>
    <t>Manutenção de Implementos</t>
  </si>
  <si>
    <t>040.005.029</t>
  </si>
  <si>
    <t>040.005.030</t>
  </si>
  <si>
    <t>Hora Extra Serv, Efetivos</t>
  </si>
  <si>
    <t>040.005.031</t>
  </si>
  <si>
    <t>040.005.032</t>
  </si>
  <si>
    <t>Material e medicamentos Veterinários</t>
  </si>
  <si>
    <t>040.005.033</t>
  </si>
  <si>
    <t>Programa Troca-Troca de Sementes</t>
  </si>
  <si>
    <t>040.006.000</t>
  </si>
  <si>
    <t>040.006.001</t>
  </si>
  <si>
    <t>040.006.002</t>
  </si>
  <si>
    <t>040.006.003</t>
  </si>
  <si>
    <t>040.006.004</t>
  </si>
  <si>
    <t>040.006.005</t>
  </si>
  <si>
    <t>040.006.006</t>
  </si>
  <si>
    <t>Lubriificantes Trator NH 7630</t>
  </si>
  <si>
    <t>040.006.007</t>
  </si>
  <si>
    <t>040.006.008</t>
  </si>
  <si>
    <t>040.006.009</t>
  </si>
  <si>
    <t>040.006.010</t>
  </si>
  <si>
    <t>040.006.011</t>
  </si>
  <si>
    <t>040.006.012</t>
  </si>
  <si>
    <t>Manutenção Trator NH 85E</t>
  </si>
  <si>
    <t>040.006.013</t>
  </si>
  <si>
    <t>040.006.014</t>
  </si>
  <si>
    <t>040.006.015</t>
  </si>
  <si>
    <t>040.006.016</t>
  </si>
  <si>
    <t>040.006.017</t>
  </si>
  <si>
    <t>040.006.018</t>
  </si>
  <si>
    <t>040.006.019</t>
  </si>
  <si>
    <t>040.006.020</t>
  </si>
  <si>
    <t>040.006.021</t>
  </si>
  <si>
    <t>040.006.022</t>
  </si>
  <si>
    <t>040.006.023</t>
  </si>
  <si>
    <t>040.007.000</t>
  </si>
  <si>
    <t>GESTÃO DA AGROPECUARIA - ATENDIMENTO AO PRODUTOR</t>
  </si>
  <si>
    <t>040.007.001</t>
  </si>
  <si>
    <t>Pessol e Encargos Soc. - Serv. Efetivos</t>
  </si>
  <si>
    <t>040.007.002</t>
  </si>
  <si>
    <t>040.007.003</t>
  </si>
  <si>
    <t>Pessoal e Encargos Soc. - Serv. C.C.</t>
  </si>
  <si>
    <t>040.007.004</t>
  </si>
  <si>
    <t>Assistencia Tecnica</t>
  </si>
  <si>
    <t>040.007.005</t>
  </si>
  <si>
    <t>Nitrogenio Liquido</t>
  </si>
  <si>
    <t>040.007.006</t>
  </si>
  <si>
    <t>Material Biológico</t>
  </si>
  <si>
    <t>040.007.008</t>
  </si>
  <si>
    <t>Subvenções Sociais</t>
  </si>
  <si>
    <t>040.007.009</t>
  </si>
  <si>
    <t>040.008.000</t>
  </si>
  <si>
    <t>MANUTENÇÃO DE MÁQUINAS E IMPLEMENTOS - HORA MAQUINA</t>
  </si>
  <si>
    <t>040.008.001</t>
  </si>
  <si>
    <t>040.008.002</t>
  </si>
  <si>
    <t>040.008.003</t>
  </si>
  <si>
    <t>040.008.004</t>
  </si>
  <si>
    <t>040.008.005</t>
  </si>
  <si>
    <t>040.008.006</t>
  </si>
  <si>
    <t>040.008.007</t>
  </si>
  <si>
    <t>040.008.008</t>
  </si>
  <si>
    <t>040.008.009</t>
  </si>
  <si>
    <t>040.008.011</t>
  </si>
  <si>
    <t>040.008.012</t>
  </si>
  <si>
    <t>040.008.013</t>
  </si>
  <si>
    <t>040.008.014</t>
  </si>
  <si>
    <t>040.008.015</t>
  </si>
  <si>
    <t>040.008.016</t>
  </si>
  <si>
    <t>Manuteção  Trator FORD 8030</t>
  </si>
  <si>
    <t>040.008.017</t>
  </si>
  <si>
    <t>040.008.018</t>
  </si>
  <si>
    <t>Lubrificante  Retroescavadeira JCB</t>
  </si>
  <si>
    <t>040.008.019</t>
  </si>
  <si>
    <t>Material e Peças  Retroescavadeira JCB</t>
  </si>
  <si>
    <t>040.008.020</t>
  </si>
  <si>
    <t>Manutenção  Retroescavadeira JCB</t>
  </si>
  <si>
    <t>040.008.021</t>
  </si>
  <si>
    <t>Material e Peças P/Implementos</t>
  </si>
  <si>
    <t>040.008.022</t>
  </si>
  <si>
    <t>040.008.023</t>
  </si>
  <si>
    <t>040.009.000</t>
  </si>
  <si>
    <t>BACIA LEITEIRA</t>
  </si>
  <si>
    <t>040.009.001</t>
  </si>
  <si>
    <t>Repasse de Recursos</t>
  </si>
  <si>
    <t>040.009.002</t>
  </si>
  <si>
    <t>Insumos Agricolas</t>
  </si>
  <si>
    <t>040.009.003</t>
  </si>
  <si>
    <t>Adubos e Fertilizantes</t>
  </si>
  <si>
    <t>040.009.004</t>
  </si>
  <si>
    <t>Material Genetico</t>
  </si>
  <si>
    <t>040.009.005</t>
  </si>
  <si>
    <t>040.010.000</t>
  </si>
  <si>
    <t>FEIRA DO PRODUTOR</t>
  </si>
  <si>
    <t>040.010.001</t>
  </si>
  <si>
    <t>040.010.002</t>
  </si>
  <si>
    <t>040.010.003</t>
  </si>
  <si>
    <t>040.010.004</t>
  </si>
  <si>
    <t>Assistência Tecnica</t>
  </si>
  <si>
    <t>040.010.005</t>
  </si>
  <si>
    <t>Manutenção de Predio</t>
  </si>
  <si>
    <t>040.010.006</t>
  </si>
  <si>
    <t>Serviços Pessoa Fisica</t>
  </si>
  <si>
    <t>040.010.007</t>
  </si>
  <si>
    <t>Serviços Pessoa Juridica</t>
  </si>
  <si>
    <t>040.010.008</t>
  </si>
  <si>
    <t>040.010.009</t>
  </si>
  <si>
    <t>Obras em Instalações - Feira do Produtor</t>
  </si>
  <si>
    <t>040.010.010</t>
  </si>
  <si>
    <t>Devolucao de Saldo Convenio</t>
  </si>
  <si>
    <t>040.011.000</t>
  </si>
  <si>
    <t>GESTÃO DO MEIO AMBIENTE</t>
  </si>
  <si>
    <t>040.011.001</t>
  </si>
  <si>
    <t>040.011.002</t>
  </si>
  <si>
    <t>040.011.003</t>
  </si>
  <si>
    <t>040.011.005</t>
  </si>
  <si>
    <t>040.011.006</t>
  </si>
  <si>
    <t>040.011.007</t>
  </si>
  <si>
    <t>Diárias Serv.  Contratados</t>
  </si>
  <si>
    <t>040.011.008</t>
  </si>
  <si>
    <t>Suprimentos de Informática e Impressão</t>
  </si>
  <si>
    <t>040.011.009</t>
  </si>
  <si>
    <t>040.011.010</t>
  </si>
  <si>
    <t>040.011.011</t>
  </si>
  <si>
    <t>040.011.012</t>
  </si>
  <si>
    <t>040.011.013</t>
  </si>
  <si>
    <t>Recuperação de Areas Degradadas</t>
  </si>
  <si>
    <t>040.011.014</t>
  </si>
  <si>
    <t>Preservação Ambiental</t>
  </si>
  <si>
    <t>040.011.015</t>
  </si>
  <si>
    <t>040.011.016</t>
  </si>
  <si>
    <t>INSS S/ Prestacao de serviços de Pessoa Juridica e M.E.I</t>
  </si>
  <si>
    <t>040.012.000</t>
  </si>
  <si>
    <t>040.012.001</t>
  </si>
  <si>
    <t>Material P/Poço Artesiano - Capela Velha</t>
  </si>
  <si>
    <t>040.012.002</t>
  </si>
  <si>
    <t>Prestação de Serviços  P/Poço Artesiano - Capela Velha</t>
  </si>
  <si>
    <t>040.012.003</t>
  </si>
  <si>
    <t>Material P/ Poço Boa vista</t>
  </si>
  <si>
    <t>050.000.000</t>
  </si>
  <si>
    <t>050.001.000</t>
  </si>
  <si>
    <t>GESTÃO, COORD. DO FUNDO DE HABITAÇÃO DE INTERESSE SOCIAL</t>
  </si>
  <si>
    <t>050.001.001</t>
  </si>
  <si>
    <t>Construção de Casas Populares</t>
  </si>
  <si>
    <t>050.001.002</t>
  </si>
  <si>
    <t>Melhorias Residenciais</t>
  </si>
  <si>
    <t>050.001.003</t>
  </si>
  <si>
    <t>060.000.000</t>
  </si>
  <si>
    <t>060.001.000</t>
  </si>
  <si>
    <t>060.001.001</t>
  </si>
  <si>
    <t>060.001.002</t>
  </si>
  <si>
    <t>060.001.003</t>
  </si>
  <si>
    <t>060.001.004</t>
  </si>
  <si>
    <t>060.001.005</t>
  </si>
  <si>
    <t>060.001.006</t>
  </si>
  <si>
    <t>060.002.000</t>
  </si>
  <si>
    <t>060.002.001</t>
  </si>
  <si>
    <t>060.002.002</t>
  </si>
  <si>
    <t>060.002.003</t>
  </si>
  <si>
    <t>060.002.004</t>
  </si>
  <si>
    <t>060.002.005</t>
  </si>
  <si>
    <t>060.002.006</t>
  </si>
  <si>
    <t>060.002.007</t>
  </si>
  <si>
    <t>060.002.008</t>
  </si>
  <si>
    <t>060.002.009</t>
  </si>
  <si>
    <t>060.002.010</t>
  </si>
  <si>
    <t>Material para Manutenção de Prédios</t>
  </si>
  <si>
    <t>060.002.011</t>
  </si>
  <si>
    <t>Material para Manutenção de Bens Móveis</t>
  </si>
  <si>
    <t>060.002.012</t>
  </si>
  <si>
    <t>060.002.013</t>
  </si>
  <si>
    <t>060.002.014</t>
  </si>
  <si>
    <t>060.002.015</t>
  </si>
  <si>
    <t>060.002.016</t>
  </si>
  <si>
    <t>060.002.017</t>
  </si>
  <si>
    <t>060.002.018</t>
  </si>
  <si>
    <t>Manutenção de Bens Moveis e Utensilios</t>
  </si>
  <si>
    <t>060.002.019</t>
  </si>
  <si>
    <t>060.002.020</t>
  </si>
  <si>
    <t>060.002.021</t>
  </si>
  <si>
    <t>060.002.023</t>
  </si>
  <si>
    <t>060.002.024</t>
  </si>
  <si>
    <t>060.002.025</t>
  </si>
  <si>
    <t>060.002.026</t>
  </si>
  <si>
    <t>060.002.027</t>
  </si>
  <si>
    <t>Plano de Saúde</t>
  </si>
  <si>
    <t>060.002.028</t>
  </si>
  <si>
    <t>060.004.000</t>
  </si>
  <si>
    <t>CUSTO DE AQUISIÇÃO DE BENS MÓVEIS E IMÓVEIS</t>
  </si>
  <si>
    <t>060.004.001</t>
  </si>
  <si>
    <t>Custo de Aquisição de Bens Móveis e Imóveis: Informática</t>
  </si>
  <si>
    <t>060.004.002</t>
  </si>
  <si>
    <t>Custo de Aquisição de Bens Móveis e Imóveis: Mobiliário</t>
  </si>
  <si>
    <t>060.004.003</t>
  </si>
  <si>
    <t>Custo de Aquisição de Bens Móveis e Imóveis: Eq. Comunicação</t>
  </si>
  <si>
    <t>060.004.004</t>
  </si>
  <si>
    <t>Custo de Aquisição de Bens Móveis e Imóveis: Ar Condicionado</t>
  </si>
  <si>
    <t>060.004.005</t>
  </si>
  <si>
    <t>Custo de Aquisição de Bens Móveis e Imóveis: Equip. e Utensilios Dom.</t>
  </si>
  <si>
    <t>060.004.006</t>
  </si>
  <si>
    <t>060.005.000</t>
  </si>
  <si>
    <t>060.005.001</t>
  </si>
  <si>
    <t>Combustivel Veiculo IRY 2027</t>
  </si>
  <si>
    <t>060.005.003</t>
  </si>
  <si>
    <t>Lubrificante Veiculo IRY 2027</t>
  </si>
  <si>
    <t>060.005.004</t>
  </si>
  <si>
    <t>Lubrificantes Veiculo ISK 1256</t>
  </si>
  <si>
    <t>060.005.005</t>
  </si>
  <si>
    <t>Material e Autopeças Veiculo IRY 2027</t>
  </si>
  <si>
    <t>060.005.006</t>
  </si>
  <si>
    <t>Material e Autopeças Veiculo ISK 1256</t>
  </si>
  <si>
    <t>060.005.007</t>
  </si>
  <si>
    <t>Manutenção Veiculo IRY 2027</t>
  </si>
  <si>
    <t>060.005.008</t>
  </si>
  <si>
    <t>Manutenção Veiculo ISK 1256</t>
  </si>
  <si>
    <t>060.005.009</t>
  </si>
  <si>
    <t>Seguros Veiculo IRY 2027</t>
  </si>
  <si>
    <t>060.005.010</t>
  </si>
  <si>
    <t>Seguros Veiculo ISK 1256</t>
  </si>
  <si>
    <t>060.005.011</t>
  </si>
  <si>
    <t>Multas Veiculo IRY 2027</t>
  </si>
  <si>
    <t>060.005.012</t>
  </si>
  <si>
    <t>Multas Veiculo ISK 1256</t>
  </si>
  <si>
    <t>060.005.013</t>
  </si>
  <si>
    <t>Geral Veiculo IRY 2027</t>
  </si>
  <si>
    <t>060.005.014</t>
  </si>
  <si>
    <t>Geral Veiculo ISK 1256</t>
  </si>
  <si>
    <t>060.005.015</t>
  </si>
  <si>
    <t>Combustivel Veiculo ISK 1256</t>
  </si>
  <si>
    <t>060.006.000</t>
  </si>
  <si>
    <t>PROTEÇÃO AO PORTADOR DE DEFICIÊNCIA</t>
  </si>
  <si>
    <t>060.006.001</t>
  </si>
  <si>
    <t>Convenio APAE</t>
  </si>
  <si>
    <t>060.006.002</t>
  </si>
  <si>
    <t>Convenio Associação Deficientes Fisicos</t>
  </si>
  <si>
    <t>060.006.003</t>
  </si>
  <si>
    <t>060.006.004</t>
  </si>
  <si>
    <t>060.006.005</t>
  </si>
  <si>
    <t>060.006.006</t>
  </si>
  <si>
    <t>060.007.000</t>
  </si>
  <si>
    <t>BENEFICIOS EVENTUAIS A POPULAÇÃO</t>
  </si>
  <si>
    <t>060.007.001</t>
  </si>
  <si>
    <t>Cestas Básicas</t>
  </si>
  <si>
    <t>060.007.002</t>
  </si>
  <si>
    <t>060.007.004</t>
  </si>
  <si>
    <t>Passagens</t>
  </si>
  <si>
    <t>060.007.005</t>
  </si>
  <si>
    <t>060.007.006</t>
  </si>
  <si>
    <t>Material de Construção</t>
  </si>
  <si>
    <t>060.007.007</t>
  </si>
  <si>
    <t>060.007.03</t>
  </si>
  <si>
    <t>060.008.000</t>
  </si>
  <si>
    <t>APOIO A TERCEIRA IDADE</t>
  </si>
  <si>
    <t>060.008.001</t>
  </si>
  <si>
    <t>060.008.002</t>
  </si>
  <si>
    <t>Serviços de P. Fisica</t>
  </si>
  <si>
    <t>060.008.003</t>
  </si>
  <si>
    <t>060.008.004</t>
  </si>
  <si>
    <t>060.008.005</t>
  </si>
  <si>
    <t>Sonorização e Animação de Eventos</t>
  </si>
  <si>
    <t>060.008.006</t>
  </si>
  <si>
    <t>060.009.000</t>
  </si>
  <si>
    <t>APLICAÇÃO DE RECURSOS: IGDBF</t>
  </si>
  <si>
    <t>060.009.001</t>
  </si>
  <si>
    <t>060.009.002</t>
  </si>
  <si>
    <t>060.009.003</t>
  </si>
  <si>
    <t>Lubrificante  Veiculo IRY 2027</t>
  </si>
  <si>
    <t>060.009.004</t>
  </si>
  <si>
    <t>Material e Autopeças  Veiculo IRY 2027</t>
  </si>
  <si>
    <t>060.009.005</t>
  </si>
  <si>
    <t>Manutenção  Veiculo IRY 2027</t>
  </si>
  <si>
    <t>060.009.006</t>
  </si>
  <si>
    <t>060.009.007</t>
  </si>
  <si>
    <t>Aquisição de Equipamentos Informática</t>
  </si>
  <si>
    <t>060.009.008</t>
  </si>
  <si>
    <t>Aquisição de Mobiliário</t>
  </si>
  <si>
    <t>060.009.009</t>
  </si>
  <si>
    <t>Aquisição de Moveis e Utensilios</t>
  </si>
  <si>
    <t>060.009.010</t>
  </si>
  <si>
    <t>060.009.011</t>
  </si>
  <si>
    <t>060.009.012</t>
  </si>
  <si>
    <t>Material e Peças Veiculo ISK 1256</t>
  </si>
  <si>
    <t>060.009.013</t>
  </si>
  <si>
    <t>060.009.014</t>
  </si>
  <si>
    <t>Material P/Manutenção de Imoveis</t>
  </si>
  <si>
    <t>060.010.000</t>
  </si>
  <si>
    <t>APLICAÇÃO DE RECURSOS: IGD SUAS</t>
  </si>
  <si>
    <t>060.010.001</t>
  </si>
  <si>
    <t>060.010.002</t>
  </si>
  <si>
    <t>060.010.003</t>
  </si>
  <si>
    <t>060.010.004</t>
  </si>
  <si>
    <t>060.010.005</t>
  </si>
  <si>
    <t>060.010.006</t>
  </si>
  <si>
    <t>060.010.007</t>
  </si>
  <si>
    <t>060.010.008</t>
  </si>
  <si>
    <t>060.010.009</t>
  </si>
  <si>
    <t>Serviços Bancarios</t>
  </si>
  <si>
    <t>060.010.010</t>
  </si>
  <si>
    <t>060.011.000</t>
  </si>
  <si>
    <t>ABRIGO MUNICIPAL DE DOM FELICIANO</t>
  </si>
  <si>
    <t>060.011.001</t>
  </si>
  <si>
    <t>Diarias Mensais Abrigo de Menores</t>
  </si>
  <si>
    <t>060.012.000</t>
  </si>
  <si>
    <t>APLICAÇÃO DE RECURSOS: PAIF</t>
  </si>
  <si>
    <t>060.012.001</t>
  </si>
  <si>
    <t>Pessoal e Encargos Serv. Efetivos</t>
  </si>
  <si>
    <t>060.012.002</t>
  </si>
  <si>
    <t>Pessoal  e Encargos Serv. Contratados</t>
  </si>
  <si>
    <t>060.012.003</t>
  </si>
  <si>
    <t>060.012.004</t>
  </si>
  <si>
    <t>060.012.005</t>
  </si>
  <si>
    <t>060.012.006</t>
  </si>
  <si>
    <t>060.012.007</t>
  </si>
  <si>
    <t>060.012.008</t>
  </si>
  <si>
    <t>060.012.009</t>
  </si>
  <si>
    <t>060.012.010</t>
  </si>
  <si>
    <t>Material para Manutenção de Bens Moveis</t>
  </si>
  <si>
    <t>060.012.011</t>
  </si>
  <si>
    <t>Material para Manutenção de Imóveis</t>
  </si>
  <si>
    <t>060.012.012</t>
  </si>
  <si>
    <t>Manutenção de Eq. de Informática/Impressão</t>
  </si>
  <si>
    <t>060.012.013</t>
  </si>
  <si>
    <t>Limpeza e Conservação</t>
  </si>
  <si>
    <t>060.012.014</t>
  </si>
  <si>
    <t>060.012.015</t>
  </si>
  <si>
    <t>060.012.016</t>
  </si>
  <si>
    <t>060.012.017</t>
  </si>
  <si>
    <t>060.012.018</t>
  </si>
  <si>
    <t>060.012.019</t>
  </si>
  <si>
    <t>060.012.020</t>
  </si>
  <si>
    <t>Serviços P. Juriica</t>
  </si>
  <si>
    <t>060.012.021</t>
  </si>
  <si>
    <t>060.012.022</t>
  </si>
  <si>
    <t>060.012.023</t>
  </si>
  <si>
    <t>060.013.000</t>
  </si>
  <si>
    <t>APLICAÇÃO DE RECURSOS: SCFV</t>
  </si>
  <si>
    <t>060.013.001</t>
  </si>
  <si>
    <t>060.013.002</t>
  </si>
  <si>
    <t>Pessoal e Encargos Serv. Contratados</t>
  </si>
  <si>
    <t>060.013.003</t>
  </si>
  <si>
    <t>060.013.004</t>
  </si>
  <si>
    <t>060.013.005</t>
  </si>
  <si>
    <t>060.013.006</t>
  </si>
  <si>
    <t>060.013.007</t>
  </si>
  <si>
    <t>060.013.008</t>
  </si>
  <si>
    <t>060.013.009</t>
  </si>
  <si>
    <t>060.013.010</t>
  </si>
  <si>
    <t>060.013.011</t>
  </si>
  <si>
    <t>060.013.012</t>
  </si>
  <si>
    <t>060.013.013</t>
  </si>
  <si>
    <t>060.013.014</t>
  </si>
  <si>
    <t>060.013.015</t>
  </si>
  <si>
    <t>060.013.016</t>
  </si>
  <si>
    <t>060.013.017</t>
  </si>
  <si>
    <t>060.013.018</t>
  </si>
  <si>
    <t>060.013.019</t>
  </si>
  <si>
    <t>060.013.020</t>
  </si>
  <si>
    <t>060.013.021</t>
  </si>
  <si>
    <t>060.013.022</t>
  </si>
  <si>
    <t>060.013.023</t>
  </si>
  <si>
    <t>Sonorização e Animação de Eventos - Terceira Idade</t>
  </si>
  <si>
    <t>060.013.024</t>
  </si>
  <si>
    <t>060.013.026</t>
  </si>
  <si>
    <t>060.013.027</t>
  </si>
  <si>
    <t>Aulas de Muaythai</t>
  </si>
  <si>
    <t>Outros materiais de Consumo</t>
  </si>
  <si>
    <t>060.013.028</t>
  </si>
  <si>
    <t>Aulas de Artes e Teatro</t>
  </si>
  <si>
    <t>060.013.029</t>
  </si>
  <si>
    <t>Aulas de Dança</t>
  </si>
  <si>
    <t>060.013.030</t>
  </si>
  <si>
    <t>Aulas de Futebol</t>
  </si>
  <si>
    <t>060.013.031</t>
  </si>
  <si>
    <t>Locação de Imóveis - CRAS</t>
  </si>
  <si>
    <t>060.013.032</t>
  </si>
  <si>
    <t>060.014.000</t>
  </si>
  <si>
    <t>APLICAÇÃO DE RECURSOS: PTMC</t>
  </si>
  <si>
    <t>060.015.000</t>
  </si>
  <si>
    <t>APLICAÇÃO DE RECURSOS: ACESSUAS</t>
  </si>
  <si>
    <t>060.015.001</t>
  </si>
  <si>
    <t>Serviços de Transporte</t>
  </si>
  <si>
    <t>060.016.000</t>
  </si>
  <si>
    <t>APLICAÇÃO DE RECURSOS: FEAS</t>
  </si>
  <si>
    <t>060.016.001</t>
  </si>
  <si>
    <t>060.016.002</t>
  </si>
  <si>
    <t>060.016.003</t>
  </si>
  <si>
    <t>060.016.004</t>
  </si>
  <si>
    <t>060.016.005</t>
  </si>
  <si>
    <t>060.016.006</t>
  </si>
  <si>
    <t>060.016.007</t>
  </si>
  <si>
    <t>060.017.000</t>
  </si>
  <si>
    <t>APLICAÇÃO DE RECURSOS: BPC</t>
  </si>
  <si>
    <t>060.018.000</t>
  </si>
  <si>
    <t>FUNDO DA CRIANÇA E ADOLESCENTE</t>
  </si>
  <si>
    <t>060.018.001</t>
  </si>
  <si>
    <t>060.018.002</t>
  </si>
  <si>
    <t>060.018.003</t>
  </si>
  <si>
    <t>060.018.004</t>
  </si>
  <si>
    <t>Serviço Pessoa Juridica</t>
  </si>
  <si>
    <t>060.018.005</t>
  </si>
  <si>
    <t>Palestras</t>
  </si>
  <si>
    <t>060.018.006</t>
  </si>
  <si>
    <t>060.019.000</t>
  </si>
  <si>
    <t>MANUTENCAO DO CRAS</t>
  </si>
  <si>
    <t>060.019.001</t>
  </si>
  <si>
    <t>Manutenao do Equipamento de Incendio</t>
  </si>
  <si>
    <t>061.000.000</t>
  </si>
  <si>
    <t>TELECENTRO</t>
  </si>
  <si>
    <t>061.001.000</t>
  </si>
  <si>
    <t>061.002.000</t>
  </si>
  <si>
    <t>Manutenção de Equipamentos</t>
  </si>
  <si>
    <t>061.003.000</t>
  </si>
  <si>
    <t>Aquisição de Equipamentos</t>
  </si>
  <si>
    <t>999.999.999</t>
  </si>
  <si>
    <t>Código Máscara Nome do Centro de Custo</t>
  </si>
  <si>
    <t>CUSTO DE AQUISIÇÃO DE EQUIPAMENTOS</t>
  </si>
  <si>
    <t>7  001.002.000  CUSTO DE AQUISIÇÃO DE EQUIPAMENTOS</t>
  </si>
  <si>
    <t>8  001.002.001  Informática</t>
  </si>
  <si>
    <t>10  001.002.003  Eletrodomesticos</t>
  </si>
  <si>
    <t>9  001.002.002  Mobiliário</t>
  </si>
  <si>
    <t>12  001.002.005  Equipamentos Eletronicos</t>
  </si>
  <si>
    <t>202 CONSTRUÇÃO, AMPLIAÇÃO E REFORMA DE PREDIO</t>
  </si>
  <si>
    <t>MATERIAL DE CONSUMO</t>
  </si>
  <si>
    <t>OUTROS SERVIÇOS DE TERCEIROS - PESSOA JURÍDICA</t>
  </si>
  <si>
    <t>RATEIO PELA PARTICIPAÇÃO EM CONSÓRCIO PÚBLICO</t>
  </si>
  <si>
    <t>Encargos De Pessoal Requisitados De Outros Entes</t>
  </si>
  <si>
    <t>Contribuição Patronal Para O Rpps Do Estado</t>
  </si>
  <si>
    <t>Transferencias A Municipios</t>
  </si>
  <si>
    <t>Encargos De Pessoal Requisitado De Outros Entes</t>
  </si>
  <si>
    <t>Contribuição Patronal Para Rpps De Outro Municipio</t>
  </si>
  <si>
    <t>Outras Despesas Fixas - Pessoal Civil</t>
  </si>
  <si>
    <t>Transferencias De Recursos Para Cobertura De Despesas Com Pessoal Cont</t>
  </si>
  <si>
    <t>Fgts</t>
  </si>
  <si>
    <t>Inss</t>
  </si>
  <si>
    <t>Transferencias De Recursos Para Cobertura De Despesas Com Pessoal De C</t>
  </si>
  <si>
    <t>Contribuicoes Previdenciarias - Inss</t>
  </si>
  <si>
    <t>Aposentadorias E Reformas</t>
  </si>
  <si>
    <t>Proventos - Pessoal Civil</t>
  </si>
  <si>
    <t>13 Salario - Pessoal Civil</t>
  </si>
  <si>
    <t>Outras Aposentadorias</t>
  </si>
  <si>
    <t>Pensoes</t>
  </si>
  <si>
    <t>Civis</t>
  </si>
  <si>
    <t>13 Salario - Pessoal Civil - Pensionistas</t>
  </si>
  <si>
    <t>Outras Pensoes</t>
  </si>
  <si>
    <t>Professores Substitutos/visitantes</t>
  </si>
  <si>
    <t>Contratacao Por Tempo Determinado-professores No Efetivo Exercicio Do</t>
  </si>
  <si>
    <t>Obrigações Patronais - Camara de Vereadores</t>
  </si>
  <si>
    <t>Obrigações Patronais - Poder Executivo</t>
  </si>
  <si>
    <t>Obrigações patronais - Gab. Prefeito</t>
  </si>
  <si>
    <t>Obrigações patronais - Sec. Administracao</t>
  </si>
  <si>
    <t>Obrigações patronais - Sec. Fazenda</t>
  </si>
  <si>
    <t>Outras Contratacoes Por Tempo Determinado</t>
  </si>
  <si>
    <t>Contratacao Por Tempo Determinado De Profissionais Da Saude</t>
  </si>
  <si>
    <t>Contrato Por Tempo Determinado - Legislativo</t>
  </si>
  <si>
    <t>Vencimentos Serv. Contratados - Legislativo</t>
  </si>
  <si>
    <t>Férias Rescisão - Legislativo</t>
  </si>
  <si>
    <t>13º Salário Rescisão - Legislativo</t>
  </si>
  <si>
    <t>Salário Maternidade Patronal</t>
  </si>
  <si>
    <t>Outros Beneficios Previdenciarios</t>
  </si>
  <si>
    <t>Outros Beneficios Previdenciarios - Pessoal Ativo</t>
  </si>
  <si>
    <t>Auxilio-doenca - Pessoal Ativo</t>
  </si>
  <si>
    <t>Auxilio-reclusao - Pessoal Ativo</t>
  </si>
  <si>
    <t>Salario Maternidade - Pessoal Ativo</t>
  </si>
  <si>
    <t>Auxilio-acidente</t>
  </si>
  <si>
    <t>Salario-familia De Segurados</t>
  </si>
  <si>
    <t>Abono Anual  13° Salario</t>
  </si>
  <si>
    <t>Outros Beneficios Previdenciarios - Pessoal Inativo</t>
  </si>
  <si>
    <t>Auxilio-doenca - Pessoal Inativo</t>
  </si>
  <si>
    <t>Auxilio-reclusao - Pessoal Inativo</t>
  </si>
  <si>
    <t>Salario Maternidade - Pessoal Inativo</t>
  </si>
  <si>
    <t>Outros Beneficios Previdenciarios - Pensionistas</t>
  </si>
  <si>
    <t>Auxilio-doenca - Pensionistas</t>
  </si>
  <si>
    <t>Auxilio-reclusao - Pensionistas</t>
  </si>
  <si>
    <t>Salario Maternidade - Pensionistas</t>
  </si>
  <si>
    <t>Complementacao De Previdencia</t>
  </si>
  <si>
    <t>Outras Contribuicoes</t>
  </si>
  <si>
    <t>Auxilio Funeral Ativo Civil</t>
  </si>
  <si>
    <t>Auxilio Funeral Inativo Civil</t>
  </si>
  <si>
    <t>Auxilio Natalidade Ativo Civil</t>
  </si>
  <si>
    <t>Auxilio Natalidade Inativo Civil</t>
  </si>
  <si>
    <t>Auxilio Reclusao Ativo Civil</t>
  </si>
  <si>
    <t>Auxilio Reclusao Inativo Civil</t>
  </si>
  <si>
    <t>Auxilio Funeral Pensionista Civil</t>
  </si>
  <si>
    <t>Auxilio Reclusao Pensionista Civil</t>
  </si>
  <si>
    <t>Auxilio Natalidade Pensionista Civil</t>
  </si>
  <si>
    <t>Auxilio Creche</t>
  </si>
  <si>
    <t>Assistencia Pre-escolar</t>
  </si>
  <si>
    <t>Auxilio Invalidez</t>
  </si>
  <si>
    <t>Contribuicao P/ O Atendimento a Saude Do Servidor - Poder Legislativo</t>
  </si>
  <si>
    <t>Salario-familia</t>
  </si>
  <si>
    <t>Salario Familia - Ativo Pessoal Civil</t>
  </si>
  <si>
    <t>Salario-familia Dos Servidores</t>
  </si>
  <si>
    <t>Salario Familia-inativo Pessoal Civil</t>
  </si>
  <si>
    <t>Salario Familia-pensionista Pessoal Civil</t>
  </si>
  <si>
    <t>Outros Salarios-familia</t>
  </si>
  <si>
    <t>Vencimentos E Salarios</t>
  </si>
  <si>
    <t>Vencimentos E Vantagens Fixas - Poder Legislativo</t>
  </si>
  <si>
    <t>Vencimentos e Vantagens Fixas - Servidores Efetivos</t>
  </si>
  <si>
    <t>Vencimentos e Vantagens Fixas - Servidores C.C.</t>
  </si>
  <si>
    <t>Vencimentos e Vantagens Fixas - Servidores Efetivos do Poder Executivo</t>
  </si>
  <si>
    <t>Vencimentos Sec. Mun. Fazenda</t>
  </si>
  <si>
    <t>Vencimentos e Vantagens Fixas - Servidores C.C. do Poder Executivo</t>
  </si>
  <si>
    <t>Vencimentos E Vantagens Fixas-professores - Abono - Fundeb</t>
  </si>
  <si>
    <t>Incorporacoes</t>
  </si>
  <si>
    <t>Abono De Permanencia</t>
  </si>
  <si>
    <t>Adiantamento Pecuniario</t>
  </si>
  <si>
    <t>Adicional De Periculosidade</t>
  </si>
  <si>
    <t>Adicional De Insalubridade</t>
  </si>
  <si>
    <t>Adicional De Atividades Penosas</t>
  </si>
  <si>
    <t>Abono Provisorio - Pessoal Civil</t>
  </si>
  <si>
    <t>Gratificacao Por Exercicio De Cargos</t>
  </si>
  <si>
    <t>Gratificacoes Especiais</t>
  </si>
  <si>
    <t>Ferias Indenizadas Agente Politico</t>
  </si>
  <si>
    <t>Ferias Indenizadas CLT</t>
  </si>
  <si>
    <t>13 Salario Vereadores</t>
  </si>
  <si>
    <t>13º Salario Agente Politico</t>
  </si>
  <si>
    <t>13º Salario Servidores CLT</t>
  </si>
  <si>
    <t>Ferias - Abono Pecuniario</t>
  </si>
  <si>
    <t>Ferias Agente Politico</t>
  </si>
  <si>
    <t>Ferias Serv. CLT</t>
  </si>
  <si>
    <t>Ferias - Pagamento Antecipado</t>
  </si>
  <si>
    <t>Licenca-premio</t>
  </si>
  <si>
    <t>Licença Prêmio Indenizada (deduz da despesa com pessoal)</t>
  </si>
  <si>
    <t>Licenca Capacitacao</t>
  </si>
  <si>
    <t>Remuneracao Dos Integrantes Das Jaris</t>
  </si>
  <si>
    <t>Subsidios Poder Legislativo</t>
  </si>
  <si>
    <t>Subsidios Prefeito e Vice Prefeito</t>
  </si>
  <si>
    <t>Subsidio S.M.A.M.A.</t>
  </si>
  <si>
    <t>Subsidio Sec. Administração</t>
  </si>
  <si>
    <t>Subsidio Sec. Fazenda</t>
  </si>
  <si>
    <t>Subsidio S.M.O.V.S.U.</t>
  </si>
  <si>
    <t>Subsidio S.M.E.C.D.</t>
  </si>
  <si>
    <t>Subsidio S.M.S.</t>
  </si>
  <si>
    <t>Subsidio S.M.A.S.</t>
  </si>
  <si>
    <t>Representacao Mensal</t>
  </si>
  <si>
    <t>Fgts - Professores No Efetivo Exercicio Do Magisterio (60% Fundef)</t>
  </si>
  <si>
    <t>INSS - Servidores</t>
  </si>
  <si>
    <t>Poder Legislativo</t>
  </si>
  <si>
    <t>INSS Patronal Sessão Extraordinaria</t>
  </si>
  <si>
    <t>INSS - Vereadores</t>
  </si>
  <si>
    <t>INSS - Prefeito Municipal e Vice Prefeito</t>
  </si>
  <si>
    <t>INSS - Vice Prefeito Municipal</t>
  </si>
  <si>
    <t>INSS - Sec. Municipal Administração</t>
  </si>
  <si>
    <t>INSS - Sec. Municipal da Fazenda</t>
  </si>
  <si>
    <t>INSS - Sec. Municipal de Obras, Viação e Serv. Urbanos</t>
  </si>
  <si>
    <t>INSS - Sec. Municipal Educ., Cult. e Desporto</t>
  </si>
  <si>
    <t>INSS - Sec. Municipal da Saúde</t>
  </si>
  <si>
    <t>INSS - Sec. Municipal da Agric. e Meio Ambiente</t>
  </si>
  <si>
    <t>INSS - Sec. Municipal da Assist. Social</t>
  </si>
  <si>
    <t>Inss Sobre Sessao Extraordinaria - Agentes Politicos</t>
  </si>
  <si>
    <t>Inss Sobre Convocacao Extraordinaria - Agentes Politicos</t>
  </si>
  <si>
    <t>Inss - Abono FUNDEB</t>
  </si>
  <si>
    <t>Substituicoes</t>
  </si>
  <si>
    <t>Servicos Extraordinarios - Legislativo</t>
  </si>
  <si>
    <t>Servicos Extraordinarios - Serv. Contratados</t>
  </si>
  <si>
    <t>Servicos Extraordinarios - Serv. Efetivos</t>
  </si>
  <si>
    <t>Hora Extra Serv. CLT</t>
  </si>
  <si>
    <t>Hora Extra Serv. Contratados</t>
  </si>
  <si>
    <t>Ajuda De Custo</t>
  </si>
  <si>
    <t>Remocoes</t>
  </si>
  <si>
    <t>Auxilio-alimentacao - Professores No Efetivo Exercicio Do Magisterio (</t>
  </si>
  <si>
    <t>Auxilio-alimentacao - Servidores</t>
  </si>
  <si>
    <t>Contribuicao P/ O Pasep</t>
  </si>
  <si>
    <t>Pasep-servidores</t>
  </si>
  <si>
    <t>Pasep- Professores No Efetivo Exercicio Do Magisterio (60% Fundef)</t>
  </si>
  <si>
    <t>Contribuicao Suplementar Ao Fgts</t>
  </si>
  <si>
    <t>Pagamento De Parcelamento De Dividas Com Encargos Sociais</t>
  </si>
  <si>
    <t>Depositos Compulsorios</t>
  </si>
  <si>
    <t>Depositos Judiciais</t>
  </si>
  <si>
    <t>Depositos P/ Recursos</t>
  </si>
  <si>
    <t>Outros Depositos Compulsorios</t>
  </si>
  <si>
    <t>Precatorios - Inativo Civil</t>
  </si>
  <si>
    <t>Precatorios - Pensionista Civil</t>
  </si>
  <si>
    <t>Outras Sentencas Judiciais</t>
  </si>
  <si>
    <t>Ativo Civil</t>
  </si>
  <si>
    <t>Inativo Civil</t>
  </si>
  <si>
    <t>Outras Despesas Variaveis - Civil</t>
  </si>
  <si>
    <t>Obrigacoes Patronais - Ativo Civil</t>
  </si>
  <si>
    <t>Obrigacoes Patronais - Inativo Civil</t>
  </si>
  <si>
    <t>Pensionista Civil</t>
  </si>
  <si>
    <t>Gratificacao Por Tempo De Servico-anuenio Ativo Civil</t>
  </si>
  <si>
    <t>Ressarcimento De Despesas De Pessoal Requisitado</t>
  </si>
  <si>
    <t>Precatorios</t>
  </si>
  <si>
    <t>Outras Despesas De Exercicios Anteriores</t>
  </si>
  <si>
    <t>Indenizacoes Trabalhistas</t>
  </si>
  <si>
    <t>Indenizacoes Trabalhistas - Ativo Civil</t>
  </si>
  <si>
    <t>Indenizacao P/ Demissao De Servidores/ Empregados</t>
  </si>
  <si>
    <t>Ferias E/ou Aviso Previo Indenizado</t>
  </si>
  <si>
    <t>Indenizacoes Trabalhistas - Inativo Civil</t>
  </si>
  <si>
    <t>Indenizacoes Trabalhistas - Pensionista Civil</t>
  </si>
  <si>
    <t>Diversas Indenizacoes Trabalhistas</t>
  </si>
  <si>
    <t>Encargos Sobre Indenizacoes Trabalhistas</t>
  </si>
  <si>
    <t>Pessoal Requisitado De Outros Orgaos</t>
  </si>
  <si>
    <t>Aplicacoes Diretas - Operações Intra-orçamentarias</t>
  </si>
  <si>
    <t>Aposentadorias De Responsabilidade Do Tesouro Do Municipio</t>
  </si>
  <si>
    <t>Pensoes De Responsabilidade Do Tesouro Do Municipio</t>
  </si>
  <si>
    <t>Contribuição Patronal Para O Rpps</t>
  </si>
  <si>
    <t>Contribuicoes Patronais Para O Rpps - Ativo Civil</t>
  </si>
  <si>
    <t>Contribuicoes Patronais Para O Rpps - Inativo Civil</t>
  </si>
  <si>
    <t>Contribuicoes Patronais Para O Rpps - Pensionista</t>
  </si>
  <si>
    <t>Contribuicoes Patronais Para O Rpps - Vereadores</t>
  </si>
  <si>
    <t>Contribuicao Patronal Para O Atendimento A Saude Do Servidor Ativo</t>
  </si>
  <si>
    <t>Contribuicao Patronal Para A Assistencia Social Do Servidor Ativo</t>
  </si>
  <si>
    <t>Contribuicao Patronal Para O Atendimento A Saude Do Servidor Inativo</t>
  </si>
  <si>
    <t>Contribuicao Patronal Para A Assistencia Social Do Servidor Inativo</t>
  </si>
  <si>
    <t>Contribuicao Patronal Para O Atendimento A Saude Do Pensionista</t>
  </si>
  <si>
    <t>Contribuicao Patronal Para A Assistencia Social Do Pensionista</t>
  </si>
  <si>
    <t>Multas Sobre A Contribuição Patronal Para O Rpps</t>
  </si>
  <si>
    <t>Juros Sobre A Contribuição Patronal Para O Rpps</t>
  </si>
  <si>
    <t>Amortização Do Passivo Atuarial Com O Rpps</t>
  </si>
  <si>
    <t>Amortização De Debitos Previdenciarios</t>
  </si>
  <si>
    <t>Amortização Do Passivo Atuarial</t>
  </si>
  <si>
    <t>Amortização De Debitos Com O Fundo/indireta De Saude Do Servidor Publi</t>
  </si>
  <si>
    <t>Ressarcimento De Despesas De Pessoal Requisitado - Operações Intra-orç</t>
  </si>
  <si>
    <t>Pessoal Requisitado De Outros Orgãos</t>
  </si>
  <si>
    <t>Aporte Para Cobertura Do Déficit Atuarial Do Rpps</t>
  </si>
  <si>
    <t>Juros Sobre A Divida Por Contrato</t>
  </si>
  <si>
    <t>Juros Da Divida Contratada Com Instituicoes Financeiras</t>
  </si>
  <si>
    <t>Juros Da Divida Contratada Com Governos</t>
  </si>
  <si>
    <t>Juros Da Divida Contratada No Exterior</t>
  </si>
  <si>
    <t>Amortização Juros Programa Caminhos Da Escola</t>
  </si>
  <si>
    <t>Amortização Juros Programa Finame/provias</t>
  </si>
  <si>
    <t>Outros Encargos Sobre A Divida Por Contrato</t>
  </si>
  <si>
    <t>Encargos Da Divida Contratada Com Instituicoes Financeiras</t>
  </si>
  <si>
    <t>Encargos Da Divida Contratada Com Governos</t>
  </si>
  <si>
    <t>Diversos Encargos Da Divida Contratada</t>
  </si>
  <si>
    <t>Amortização De Outros Encargos Programa Caminhos Da Escola</t>
  </si>
  <si>
    <t>Amortização De Outros Encargos Programa Finame/provias</t>
  </si>
  <si>
    <t>Juros, Desagios E Descontos Da Divida Mobiliaria</t>
  </si>
  <si>
    <t>Desagios</t>
  </si>
  <si>
    <t>Descontos</t>
  </si>
  <si>
    <t>Outros Encargos Sobre A Divida Mobiliaria</t>
  </si>
  <si>
    <t>Encargos</t>
  </si>
  <si>
    <t>Encargos Sobre Adiantamentos Bancarios</t>
  </si>
  <si>
    <t>Juros Da Divida Interna</t>
  </si>
  <si>
    <t>Encargos Da Divida Interna</t>
  </si>
  <si>
    <t>Encargos Da Divida Externa</t>
  </si>
  <si>
    <t>Outras Indenizacoes E Restituicoes</t>
  </si>
  <si>
    <t>Compensacao Previdaposentadorias Entre Rpps E Rgps</t>
  </si>
  <si>
    <t>Compensacao Previdenciaria - Aposentadorias Entre Pm E Rgps</t>
  </si>
  <si>
    <t>Compensacao Previdenciaria - Aposentadorias Entre Rpps E Rgps</t>
  </si>
  <si>
    <t>Compensacao Previdde Pensoes Entre Rpps E Rgps</t>
  </si>
  <si>
    <t>Compensacao Previdenciaria - Pensoes Entre Pm E Rgps</t>
  </si>
  <si>
    <t>Compensacao Previdenciaria - Pensoes Entre Rpps E Rgps</t>
  </si>
  <si>
    <t>Pagamento De Laudemio</t>
  </si>
  <si>
    <t>Transferencias Funset-fundo Nacseguranca Eductransito(lf 9503/97)</t>
  </si>
  <si>
    <t>Transferencia Valores A Justica Eleitoral</t>
  </si>
  <si>
    <t>Restituicao De Transferencias E Convenios Recebidos Da Uniao</t>
  </si>
  <si>
    <t>Compensacao Financeira (§9° Art201 Da Cf)</t>
  </si>
  <si>
    <t>Transferencias P/ Grupamentos De Incendio</t>
  </si>
  <si>
    <t>Transferencia Para Convênio Com Daer</t>
  </si>
  <si>
    <t>Outras Obrigacoes Tributarias E Contributivas</t>
  </si>
  <si>
    <t>Restituicao De Ipva</t>
  </si>
  <si>
    <t>A Municipios Do Estado Do Rio Grande Do Sul</t>
  </si>
  <si>
    <t>Contribuicoes A Escolas Municipais</t>
  </si>
  <si>
    <t>Contribuicoes Municipio Polo Da Contrapartida Convenio C/uniao</t>
  </si>
  <si>
    <t>Outras Obrigações Tributarias E Contributivas</t>
  </si>
  <si>
    <t>Restituicao De Transferencias E Convenios Recebidos Dos Municipios</t>
  </si>
  <si>
    <t>Programa Dinheiro Direto Nas Escolas - Pdde</t>
  </si>
  <si>
    <t>Entidades Representativas De Classe</t>
  </si>
  <si>
    <t>Restituições A Entidades Privadas Sem Fins Lucrativos</t>
  </si>
  <si>
    <t>Transferencia P/ O Fundef (contribuicao Do Municipio)</t>
  </si>
  <si>
    <t>Contribuicoes P/ Manutencao Dos Consorcios</t>
  </si>
  <si>
    <t>Diarias</t>
  </si>
  <si>
    <t>Contribuicoes Para Manutencao Dos Consorcios</t>
  </si>
  <si>
    <t>Rateio Pela Participacao Em Consorcio Publico</t>
  </si>
  <si>
    <t>Indenizações E Restituições</t>
  </si>
  <si>
    <t>13° Salario - Pessoal Civil</t>
  </si>
  <si>
    <t>Outras Aposentadorias E Reformas</t>
  </si>
  <si>
    <t>13° Salario - Pensionista Civil</t>
  </si>
  <si>
    <t>Auxilio-doenca</t>
  </si>
  <si>
    <t>Pessoal Ativo</t>
  </si>
  <si>
    <t>Pessoal Inativo E Pensionista</t>
  </si>
  <si>
    <t>Auxilio-reclusao</t>
  </si>
  <si>
    <t>Salario-maternidade</t>
  </si>
  <si>
    <t>Abono Anual - 13° Salario</t>
  </si>
  <si>
    <t>Auxilio-natalidade</t>
  </si>
  <si>
    <t>Auxilio-creche</t>
  </si>
  <si>
    <t>Auxilio-invalidez</t>
  </si>
  <si>
    <t>Salario-familia - Ativo Pessoal Civil</t>
  </si>
  <si>
    <t>Salario-familia - Inativo Pessoal Civil</t>
  </si>
  <si>
    <t>Salario-familia - Pensionista Pessoal Civil</t>
  </si>
  <si>
    <t>Diarias No Pais</t>
  </si>
  <si>
    <t>Diarias Servidores Conselho Tutelar</t>
  </si>
  <si>
    <t>Diarias - Servidores CLT</t>
  </si>
  <si>
    <t>Diarias No Exterior</t>
  </si>
  <si>
    <t>Outras Diarias</t>
  </si>
  <si>
    <t>Diárias Agentes Politicos - Legislativo</t>
  </si>
  <si>
    <t>Diárias Servidores - Legislativo</t>
  </si>
  <si>
    <t>Diárias Agentes Politicos - Executivo</t>
  </si>
  <si>
    <t>Diárias Servidores - Executivo</t>
  </si>
  <si>
    <t>Diárias De Conselheiros Tutelares</t>
  </si>
  <si>
    <t>Auxilio Financeiro A Estudantes</t>
  </si>
  <si>
    <t>Bolsas De Estudo No Pais</t>
  </si>
  <si>
    <t>Bolsas De Estudo No Exterior</t>
  </si>
  <si>
    <t>Bolsa Escola - Beneficio</t>
  </si>
  <si>
    <t>Outros Auxilios Financeiros A Estudantes</t>
  </si>
  <si>
    <t>Auxilio Financeiro A Pesquisadores</t>
  </si>
  <si>
    <t>Auxilio A Pesquisadores</t>
  </si>
  <si>
    <t>Gasolina P/Veiculo Oficial</t>
  </si>
  <si>
    <t>Gasolina Veiculo INZ 9457 - Aq. Imediata</t>
  </si>
  <si>
    <t>Gasolina Veiculo INZ 9457 - Estoque</t>
  </si>
  <si>
    <t>Gasolina P/Veiculo Placas IVP 4366</t>
  </si>
  <si>
    <t>Gasolina P/Veiculo Placas IVY 8354</t>
  </si>
  <si>
    <t>Gasolina P/Veiculo Educação</t>
  </si>
  <si>
    <t>Oleo Diesel P/Retroescavadeira JCB 4x4 SMO</t>
  </si>
  <si>
    <t>Oleo Diesel P/Retroescavadeira JCB 4X4 SMAG</t>
  </si>
  <si>
    <t>Oleo Diesel P/Motoniveladora 845 B PAC 2</t>
  </si>
  <si>
    <t>Oleo Diesel P/Veiculo IVR 0147</t>
  </si>
  <si>
    <t>Oleo Diesel P/Veiculo Placas IEW 4544</t>
  </si>
  <si>
    <t>Oleo Diesel P/Veiculo Placas IWC 5251</t>
  </si>
  <si>
    <t>Oleo Diesel P/Veiculo Placas IWL 3346</t>
  </si>
  <si>
    <t>Oleo Diesel P/Gerador de Energia</t>
  </si>
  <si>
    <t>Lubrificantes P/Veiculo Oficial</t>
  </si>
  <si>
    <t>Lubrificantes Veiculo INZ 9457 - Estoque</t>
  </si>
  <si>
    <t>Lubrificantes P/Motoniveladora 845 B PAC 2</t>
  </si>
  <si>
    <t>Lubrificantes P/Veiculo Placas IVR 0147</t>
  </si>
  <si>
    <t>Lubrificantes P/Veiculo Educação</t>
  </si>
  <si>
    <t>Lubrificantes P/ Veiculo Placas IVP 4366</t>
  </si>
  <si>
    <t>Lubrificantes P/ Veiculo Placas IWC 5251</t>
  </si>
  <si>
    <t>Lubrificantes P/ Veiculo Placas IVY 8354</t>
  </si>
  <si>
    <t>Lubrificantes P/ Veiculo IWE 4544</t>
  </si>
  <si>
    <t>Combustiveis E Lubrificantes De Aviacao</t>
  </si>
  <si>
    <t>Diesel Trator J.D. 5700</t>
  </si>
  <si>
    <t>Comb. P/Roçadeira</t>
  </si>
  <si>
    <t>Comb. E Lub Para Usos Diversos</t>
  </si>
  <si>
    <t>Gas E Outros Materiais Engarrafados - Aq. Imediata</t>
  </si>
  <si>
    <t>Gas E Outros Mat. Engarraf. - Aq. Imediata</t>
  </si>
  <si>
    <t>Gas E Outros Mat. Engarraf. - Estoque</t>
  </si>
  <si>
    <t>Gas E Outros Materiais Engarrafados - Estoque</t>
  </si>
  <si>
    <t>Explosivos E Municoes</t>
  </si>
  <si>
    <t>Alimentos P/ Animais</t>
  </si>
  <si>
    <t>Animais P/ Pesquisa E Abate</t>
  </si>
  <si>
    <t>Material Quimico</t>
  </si>
  <si>
    <t>Material De Coudelaria Ou De Uso Zootecnico</t>
  </si>
  <si>
    <t>Material De Caca E Pesca</t>
  </si>
  <si>
    <t>Material de Expediente - Legislativo</t>
  </si>
  <si>
    <t>Material de Expediente - Executivo</t>
  </si>
  <si>
    <t>Material De Processamento De Dados</t>
  </si>
  <si>
    <t>Material de Processamento de Dados - Legislativo</t>
  </si>
  <si>
    <t>Material de Processamento de Dados - Executivo</t>
  </si>
  <si>
    <t>Material de Processamento de Dados - Aq. Imediata</t>
  </si>
  <si>
    <t>Material de Processamento de Dados - Estoque</t>
  </si>
  <si>
    <t>Material De Acondicionamento E Embalagem</t>
  </si>
  <si>
    <t>Material De Cama, Mesa E Banho</t>
  </si>
  <si>
    <t>Material P/ Manutencao De Bens Imoveis - Legislativo</t>
  </si>
  <si>
    <t>Material P/ Manutencao De Bens Imoveis - Estoque</t>
  </si>
  <si>
    <t>Material Para Manutenção Da Roçadeira Manual</t>
  </si>
  <si>
    <t>Material Para Manutenção Da Roçadeira</t>
  </si>
  <si>
    <t>Material e Pecas P/Disco</t>
  </si>
  <si>
    <t>Material e Pecas P/Escalificador</t>
  </si>
  <si>
    <t>Material e Pecas P/Ensiladeira</t>
  </si>
  <si>
    <t>Material e Pecas P/Espalhador de Calcario</t>
  </si>
  <si>
    <t>Material e Peças P/Batedeira de Cereais B340 1</t>
  </si>
  <si>
    <t>Material e Peças P/Batedeira de Cereais B340 2</t>
  </si>
  <si>
    <t>Material e Peças P/ Manutenção Grade Globe</t>
  </si>
  <si>
    <t>Material P/Rocadeira Hidraulica</t>
  </si>
  <si>
    <t>Material De Manobra E Patrulhamento</t>
  </si>
  <si>
    <t>Material De Protecao E Seguranca</t>
  </si>
  <si>
    <t>Material De Protecao E Seguranca - Aq. Imediata</t>
  </si>
  <si>
    <t>Material P/ Comunicacoes</t>
  </si>
  <si>
    <t>Suprimento De Aviacao</t>
  </si>
  <si>
    <t>Sobressal Maqe Motores Navios E Embarcacoes</t>
  </si>
  <si>
    <t>Material Laboratorial</t>
  </si>
  <si>
    <t>Sobressalentes De Armamento</t>
  </si>
  <si>
    <t>Suprimento De Protecao Ao Voo</t>
  </si>
  <si>
    <t>Material e Peças P/Veiculo Oficial</t>
  </si>
  <si>
    <t>Pecas Veiculo INZ 9457 - Aq. Imediata</t>
  </si>
  <si>
    <t>Pecas Veiculo INZ 9457 - Estoque</t>
  </si>
  <si>
    <t>Material e Pecas P/Motoniveladora 845 B PAC 2</t>
  </si>
  <si>
    <t>Material e Peças P/Veiculo PLACAS IVR 0147</t>
  </si>
  <si>
    <t>Material e Peças P/Veiculo IVP 4366</t>
  </si>
  <si>
    <t>Material e Pecas Veiculo Educação</t>
  </si>
  <si>
    <t>Material e Peças Veiculo Placas IWC 5251</t>
  </si>
  <si>
    <t>Material e Peças Veiculo Placas IVY 8354</t>
  </si>
  <si>
    <t>Material e Peças Veiculo Placas IWL 3346</t>
  </si>
  <si>
    <t>Material e Peças P/Veiculo IWE 4544</t>
  </si>
  <si>
    <t>Ferramentas</t>
  </si>
  <si>
    <t>Material Bibliografico</t>
  </si>
  <si>
    <t>Aquisicao De Softwares De Base</t>
  </si>
  <si>
    <t>Bilhetes De Passagem</t>
  </si>
  <si>
    <t>Bandeiras, Flamulas E Insignias</t>
  </si>
  <si>
    <t>Discotecas E Filmotecas Nao Imobilizavel</t>
  </si>
  <si>
    <t>Outros Materiais de Consumo - Legislativo</t>
  </si>
  <si>
    <t>Outros Materiais - Aq. Imediata</t>
  </si>
  <si>
    <t>Outros Materiais - Estoque</t>
  </si>
  <si>
    <t>Outros Materiais de Consumo - Estoque</t>
  </si>
  <si>
    <t>Premiacoes Culturais</t>
  </si>
  <si>
    <t>Premiacoes Artisticas</t>
  </si>
  <si>
    <t>Premiacoes Cientificas</t>
  </si>
  <si>
    <t>Ordens Honorificas</t>
  </si>
  <si>
    <t>Material Educacional E Cultural</t>
  </si>
  <si>
    <t>Adubos E Prod. Fertilizantes</t>
  </si>
  <si>
    <t>Sementes E Mudas</t>
  </si>
  <si>
    <t>Alevinos</t>
  </si>
  <si>
    <t>Materiais Esportivos</t>
  </si>
  <si>
    <t>Cesta Básica</t>
  </si>
  <si>
    <t>Material P/ Cerimonial</t>
  </si>
  <si>
    <t>Material P/ Reabilitacao Profissional</t>
  </si>
  <si>
    <t>Material De Distribuicao Gratuita - Pagamento Antecipado</t>
  </si>
  <si>
    <t>Outros Materiais De Distribuicao Gratuita</t>
  </si>
  <si>
    <t>Consultas P/pacientes</t>
  </si>
  <si>
    <t>Passagens P/ O Pais</t>
  </si>
  <si>
    <t>Passagens P/ O Exterior</t>
  </si>
  <si>
    <t>Locacao De Meios De Transporte</t>
  </si>
  <si>
    <t>Locomocao Urbana</t>
  </si>
  <si>
    <t>Passagens E Despesas Com Locomocao-pagamento Antecipado</t>
  </si>
  <si>
    <t>Outras Despesas Com Locomocao</t>
  </si>
  <si>
    <t>Outras Despesas Com Locomocao - Legislativo</t>
  </si>
  <si>
    <t>Despesas Com Locomocao - Servidores</t>
  </si>
  <si>
    <t>Despesas Com Locomocao - Agente Politico</t>
  </si>
  <si>
    <t>Auditoria Externa</t>
  </si>
  <si>
    <t>Consultoria Em Tecnoclogia Da Informação</t>
  </si>
  <si>
    <t>Servicos De Consultoria - Pagto Antecipado</t>
  </si>
  <si>
    <t>Outros Servicos De Consultoria</t>
  </si>
  <si>
    <t>Servicos De Consultoria - Legislativo</t>
  </si>
  <si>
    <t>Condominios</t>
  </si>
  <si>
    <t>Diarias A Colaboradores Eventuais No Pais</t>
  </si>
  <si>
    <t>Diarias A Colaboradores Eventuais No Exterior</t>
  </si>
  <si>
    <t>Comissoes E Corretagens</t>
  </si>
  <si>
    <t>Direitos Autorais</t>
  </si>
  <si>
    <t>Bolsa De Iniciacao Ao Trabalho</t>
  </si>
  <si>
    <t>Pro-labore A Consultores Eventuais</t>
  </si>
  <si>
    <t>Conferencias E Exposicoes</t>
  </si>
  <si>
    <t>Armazenagem</t>
  </si>
  <si>
    <t>Locacao De Bens Moveis E Intangiveis</t>
  </si>
  <si>
    <t>Manutencao E Conservacao De Veiculos</t>
  </si>
  <si>
    <t>Manutencao Motoniveladora 120H</t>
  </si>
  <si>
    <t>Manutencao Motoniveladora 135H</t>
  </si>
  <si>
    <t>Manutencao Retro 580L 4X2</t>
  </si>
  <si>
    <t>Manutencao Retro JCB PAC2</t>
  </si>
  <si>
    <t>Manutencao Trator Esteira D5E</t>
  </si>
  <si>
    <t>Manutencao Veiculo IVR 0147</t>
  </si>
  <si>
    <t>Manutencao Veiculo ILH 6621</t>
  </si>
  <si>
    <t>Manutencao Veiculo ILH 6579</t>
  </si>
  <si>
    <t>Manutencao Veiculo IPN 4843</t>
  </si>
  <si>
    <t>Manutencao Veiculo IPP 9013</t>
  </si>
  <si>
    <t>Manutencao Veiculo IPP 9043</t>
  </si>
  <si>
    <t>Fornecimento De Alimentacao</t>
  </si>
  <si>
    <t>Servicos Domesticos</t>
  </si>
  <si>
    <t>Servicos De Comunicacao Em Geral</t>
  </si>
  <si>
    <t>Honorarios Advocaticios - Onus Da Sucumbencia</t>
  </si>
  <si>
    <t>Servicos Medicos E Odontologicos</t>
  </si>
  <si>
    <t>Servicos De Reabilitacao Profissional</t>
  </si>
  <si>
    <t>Servicos De Assistencia Social</t>
  </si>
  <si>
    <t>Servicos De Pericias Medicas Por Beneficios</t>
  </si>
  <si>
    <t>Confeccao De Uniformes, Bandeiras E Flamulas</t>
  </si>
  <si>
    <t>Fretes E Transportes De Encomendas</t>
  </si>
  <si>
    <t>Jetons A Conselheiros</t>
  </si>
  <si>
    <t>Diarias A Conselheiros</t>
  </si>
  <si>
    <t>Manutenção E Conservação De Equipamento De Processamento De Dados</t>
  </si>
  <si>
    <t>Serviços Técnicos De Profissionais De T.I.</t>
  </si>
  <si>
    <t>Servicos De Audio, Video E Foto</t>
  </si>
  <si>
    <t>Outros Servicos De Terceiros Pessoa Fisica - Pagamento Antecipado</t>
  </si>
  <si>
    <t>Outros Serviços Pessoa Física - Legislativo</t>
  </si>
  <si>
    <t>Servicos de Pedreiro</t>
  </si>
  <si>
    <t>Locacao De Mao-de-obra</t>
  </si>
  <si>
    <t>Apoio Administrativo, Tecnico E Operacional</t>
  </si>
  <si>
    <t>Vigilancia Ostensiva</t>
  </si>
  <si>
    <t>Manutencao E Conservacao De Bens Imoveis</t>
  </si>
  <si>
    <t>Servicos De Copa E Cozinha</t>
  </si>
  <si>
    <t>Manutencao E Conservacao De Bens Moveis</t>
  </si>
  <si>
    <t>Manutenção De Software</t>
  </si>
  <si>
    <t>Suporte A Infraestrutura De T.I.</t>
  </si>
  <si>
    <t>Suporte A Usuário De T.I.</t>
  </si>
  <si>
    <t>Outras Locacoes De Mao De Obra</t>
  </si>
  <si>
    <t>Arrendamento Mercantil</t>
  </si>
  <si>
    <t>Maquinas E Aparelhos</t>
  </si>
  <si>
    <t>Veiculos Rodoviarios</t>
  </si>
  <si>
    <t>Outros Bens Moveis</t>
  </si>
  <si>
    <t>Bens Imoveis</t>
  </si>
  <si>
    <t>Outros Arrendamentos</t>
  </si>
  <si>
    <t>Assinaturas De Periodicos E Anuidades - Legislativo</t>
  </si>
  <si>
    <t>Locação De Softwares</t>
  </si>
  <si>
    <t>Locacao De Maquinas E Equipamentos</t>
  </si>
  <si>
    <t>Tributos A Conta Do Locatario</t>
  </si>
  <si>
    <t>Manutencao Retroescavadeira Case 580 4x4</t>
  </si>
  <si>
    <t>Manutencao Retroescavadeira Case 580 4x2</t>
  </si>
  <si>
    <t>Manutencao Retroescavadeira JCB 4X4 SMO</t>
  </si>
  <si>
    <t>ManutencaoTrator Esteira D5E</t>
  </si>
  <si>
    <t>Manutencao Cortador De Grama</t>
  </si>
  <si>
    <t>Manutencao Trator TL 85E</t>
  </si>
  <si>
    <t>Manutencao Trator Ford 8030</t>
  </si>
  <si>
    <t>Manutencao Trator New Holand 7630</t>
  </si>
  <si>
    <t>Manutencao Trator Valtra BM 110</t>
  </si>
  <si>
    <t>Manutencao Trator J.D. Frutic.</t>
  </si>
  <si>
    <t>Manutencao Trator Esteira D30E</t>
  </si>
  <si>
    <t>Manutencao Retroescavadeira JCB 4X4 SMAG</t>
  </si>
  <si>
    <t>Manutencao Implementos Rodoviarios</t>
  </si>
  <si>
    <t>Manutencao Equipamentos de Manut. de Vias</t>
  </si>
  <si>
    <t>Manutenção Grade Gobus</t>
  </si>
  <si>
    <t>Manutenção Grade Arrasto</t>
  </si>
  <si>
    <t>Manutenção Escalificador</t>
  </si>
  <si>
    <t>Manutenção Subsolador 5 Pés</t>
  </si>
  <si>
    <t>Manutenção Espalhador de Calcario</t>
  </si>
  <si>
    <t>Manutenção de Disco</t>
  </si>
  <si>
    <t>Manutencao Motoniveladora Case 845B</t>
  </si>
  <si>
    <t>Manutencao Rocadeira Hidraulica</t>
  </si>
  <si>
    <t>Manutencao Rocadeira</t>
  </si>
  <si>
    <t>Manutencao Veiculo Placas IVR 0147</t>
  </si>
  <si>
    <t>Manutencao Motosserra</t>
  </si>
  <si>
    <t>Manutencao Batedeira de Cereais B340 1</t>
  </si>
  <si>
    <t>Manutenção batedeira de Cereais B340 2</t>
  </si>
  <si>
    <t>Manutenção Roçadeira Manual</t>
  </si>
  <si>
    <t>Manutenção Reboque</t>
  </si>
  <si>
    <t>Serviços de Lavagem e Lubrificação Veiculo Placas IRY 2375</t>
  </si>
  <si>
    <t>Serviços de Lavagem e Lub. Veiculo Placas IOY 7726</t>
  </si>
  <si>
    <t>Serviços de Lavagem e Lub. Veiculo Placas IQV 8399</t>
  </si>
  <si>
    <t>Serviços de Lavagem e Lubrificação Veiculo Placas IVR 0147</t>
  </si>
  <si>
    <t>Manutenção Veiculo Placas IVR 0147</t>
  </si>
  <si>
    <t>Manutenção Veiculo Placa IVP 4366</t>
  </si>
  <si>
    <t>Manutenção Veiculo Placa IVY 8350</t>
  </si>
  <si>
    <t>Serviços de Lavagem e Lubrificação Veiculo Placas IVY 8350</t>
  </si>
  <si>
    <t>Lavagem e Lubrificação Veiculo Placas IVP 4366</t>
  </si>
  <si>
    <t>Lavagem e Lubrificação Veiculo de Placas IVY 8354</t>
  </si>
  <si>
    <t>Serviço de lavagem e Lubrificação Veiculo Placas IWC 5251</t>
  </si>
  <si>
    <t>Serviço de Lavagem e Lubrificação Veiculo Placas IWE 4544</t>
  </si>
  <si>
    <t>Prestação de Serviços Veiculo Placas IVY 8354</t>
  </si>
  <si>
    <t>Prestação de Serviços Veiculo Placas IWL 3346</t>
  </si>
  <si>
    <t>Prestação de Serviços Veiculo Placas IWC 5251</t>
  </si>
  <si>
    <t>Prestação de Serviços Veiculo Placas IWE 4544</t>
  </si>
  <si>
    <t>Manutencao E Conservacao De Bens Moveis - Legislativo</t>
  </si>
  <si>
    <t>Exposicoes, Congressos E Conferencias</t>
  </si>
  <si>
    <t>Taxa De Administração</t>
  </si>
  <si>
    <t>Desenvolvimento De Software</t>
  </si>
  <si>
    <t>Suporte De Infraestrutura</t>
  </si>
  <si>
    <t>Suporte A Usuários De Tecnologia Da Informação</t>
  </si>
  <si>
    <t>Hospedagem De Sistemas</t>
  </si>
  <si>
    <t>Locação De Equipamentos De Processamento De Dados</t>
  </si>
  <si>
    <t>Multas Indedutiveis</t>
  </si>
  <si>
    <t>Servicos De Energia Eletrica - Legislativo</t>
  </si>
  <si>
    <t>Servicos De Agua E Esgoto - Legislativo</t>
  </si>
  <si>
    <t>Servicos De Gas</t>
  </si>
  <si>
    <t>Serviços Postais - Legislativo</t>
  </si>
  <si>
    <t>Selecao e Treinamento Poder Legislativo</t>
  </si>
  <si>
    <t>Producoes Jornalisticas</t>
  </si>
  <si>
    <t>Servicos De Analises E Pesquisas Cientificas</t>
  </si>
  <si>
    <t>Servicos De Pericias Medicas P/ Beneficios</t>
  </si>
  <si>
    <t>Servicos De Telecomunicacoes</t>
  </si>
  <si>
    <t>Telefone Fixo - Legislativo</t>
  </si>
  <si>
    <t>Telefone Celular - Legislativo</t>
  </si>
  <si>
    <t>Serviço De Acesso A Internet - Legislativo</t>
  </si>
  <si>
    <t>Servicos De Socorro E Salvamento</t>
  </si>
  <si>
    <t>Servicos Graficos - Legislativo</t>
  </si>
  <si>
    <t>Servicos De Apoio Ao Ensino</t>
  </si>
  <si>
    <t>Servicos Judiciarios</t>
  </si>
  <si>
    <t>Servicos Funerarios</t>
  </si>
  <si>
    <t>Seguros Em Geral</t>
  </si>
  <si>
    <t>Seguros Veiculo Placas IVP 4366</t>
  </si>
  <si>
    <t>Seguros Veiculo Placas IVR 0147</t>
  </si>
  <si>
    <t>Seguros Veiculo Placas IVY 8350</t>
  </si>
  <si>
    <t>Seguros Veiculo Placas IVY 8354</t>
  </si>
  <si>
    <t>Seguros Veiculo Placas IWC 5251</t>
  </si>
  <si>
    <t>Seguros Veiculo Placas IWE 4544</t>
  </si>
  <si>
    <t>Seguros Veiculo Placas IWL 3346</t>
  </si>
  <si>
    <t>Vale-transporte</t>
  </si>
  <si>
    <t>Transporte De Servidores</t>
  </si>
  <si>
    <t>Limpeza E Conservacao - Legislativo</t>
  </si>
  <si>
    <t>Hospedagens</t>
  </si>
  <si>
    <t>Servicos Bancarios - Legislativo</t>
  </si>
  <si>
    <t>Servicos De Controle Ambiental</t>
  </si>
  <si>
    <t>Servicos De Copias E Reproducao De Documentos</t>
  </si>
  <si>
    <t>Servicos De Publicidade Legal - Legislativo</t>
  </si>
  <si>
    <t>Servicos De Publicidade Institucional - Legislativo</t>
  </si>
  <si>
    <t>Servicos De Publicidade De Utilidade Publica - Legislativo</t>
  </si>
  <si>
    <t>Aquisicao De Softwares De Aplicacao</t>
  </si>
  <si>
    <t>Manutencao E Conservacao De Equipamentos De Processamento De Dados</t>
  </si>
  <si>
    <t>Manutencao E Cons. De Equip. De Proces. De Dados - Legislativo</t>
  </si>
  <si>
    <t>Outros Servde Terceiros Pessoa Juridica- Pagamento Antecipado</t>
  </si>
  <si>
    <t>Despesas De Teleprocessamento</t>
  </si>
  <si>
    <t>Serviços De Estagiarios - Legislativo</t>
  </si>
  <si>
    <t>Associacoes, Federacoes E Confederacoes - Legislativo</t>
  </si>
  <si>
    <t>Mensalidade P/FAMURS</t>
  </si>
  <si>
    <t>Mensalidade P/CNM</t>
  </si>
  <si>
    <t>Prestação de Serviços Transporte Escolar : Itinerário 1</t>
  </si>
  <si>
    <t>Prestação de Serviços Transporte Escolar : Itinerário 2</t>
  </si>
  <si>
    <t>Prestação de Serviços Transporte Escolar : Itinerário 3</t>
  </si>
  <si>
    <t>Prestação de Serviços Transporte Escolar : Itinerário 4</t>
  </si>
  <si>
    <t>Prestação de Serviços Transporte Escolar : Itinerário 5</t>
  </si>
  <si>
    <t>Prestação de Serviços Transporte Escolar : Itinerário 6</t>
  </si>
  <si>
    <t>Prestação de Serviços Transporte Escolar : Itinerário 7</t>
  </si>
  <si>
    <t>Prestação de Serviços Transporte Escolar : Itinerário 8</t>
  </si>
  <si>
    <t>Prestação de Serviços Transporte Escolar : Itinerário 9</t>
  </si>
  <si>
    <t>Prestação de Serviços Transporte Escolar : Itinerário 10</t>
  </si>
  <si>
    <t>Prestação de Serviços Transporte Escolar : Itinerário 11</t>
  </si>
  <si>
    <t>Prestação de Serviços Transporte Escolar : Itinerário 12</t>
  </si>
  <si>
    <t>Prestação de Serviços Transporte Escolar : Itinerário 13</t>
  </si>
  <si>
    <t>Prestação de Serviços Transporte Escolar : Itinerário 14</t>
  </si>
  <si>
    <t>Prestação de Serviços Transporte Escolar : Itinerário 15</t>
  </si>
  <si>
    <t>Prestação de Serviços Transporte Escolar : Itinerário 16</t>
  </si>
  <si>
    <t>Prestação de Serviços Locação de Veículo Substituto Transporte Escolar</t>
  </si>
  <si>
    <t>Outros Serviços Pessoa Juridica - Legislativo</t>
  </si>
  <si>
    <t>Outros Serviços Pessoa Juridica - Executivo</t>
  </si>
  <si>
    <t>Multas de Transito</t>
  </si>
  <si>
    <t>Multas Veiculo Placas ITP 0262</t>
  </si>
  <si>
    <t>Multas Veiculo Placas DUA 5272</t>
  </si>
  <si>
    <t>Multas Veiculo Placas IRH 9777</t>
  </si>
  <si>
    <t>Multas Veiculo Placas IJY 202420</t>
  </si>
  <si>
    <t>Multas Veiculo Placas IOB 6926</t>
  </si>
  <si>
    <t>Multas Veiculo Placas IVY 8350</t>
  </si>
  <si>
    <t>Passe Livre</t>
  </si>
  <si>
    <t>Servicos de Transporte - Eleicoes</t>
  </si>
  <si>
    <t>TARIFA IPE</t>
  </si>
  <si>
    <t>Multas Conta Telefone, Energia e Agua</t>
  </si>
  <si>
    <t>Contribuicoes As Forcas Auxiliares</t>
  </si>
  <si>
    <t>Equalizacao De Precos E Taxas</t>
  </si>
  <si>
    <t>Outras Equalizacoes De Precos</t>
  </si>
  <si>
    <t>Imposto Sobre Propriedade Predial E Territorial Urbana - Iptu</t>
  </si>
  <si>
    <t>Imposto De Renda</t>
  </si>
  <si>
    <t>Imposto Sobre Serviços De Qualquer Natureza - Issqn</t>
  </si>
  <si>
    <t>Cpmf</t>
  </si>
  <si>
    <t>Obrigacoes Patronais Sobre Servicos De Pessoa Juridica - Legislativo</t>
  </si>
  <si>
    <t>Obrigacoes Patronais Sobre Servicos De Pessoa Juridica - Executivo</t>
  </si>
  <si>
    <t>Obrigacoes Tributarias - Pagamento Antecipado</t>
  </si>
  <si>
    <t>Outros Auxilios Financeiros A Pessoa Fisica</t>
  </si>
  <si>
    <t>Auxilio A Pessoas Fisicas</t>
  </si>
  <si>
    <t>Aquisição De Produtos Para Revenda</t>
  </si>
  <si>
    <t>Depositos E Caucoes</t>
  </si>
  <si>
    <t>Decisoes Judiciais</t>
  </si>
  <si>
    <t>Material De Distribuicao Gratuita</t>
  </si>
  <si>
    <t>Servicos De Terceiros - Pessoa Fisica</t>
  </si>
  <si>
    <t>Auxilio-tranporte</t>
  </si>
  <si>
    <t>Indenizacao Imobiliaria</t>
  </si>
  <si>
    <t>Indenizacao Por Danos Materiais A Terceiros</t>
  </si>
  <si>
    <t>Indenizacao Por Locacao De Veiculos De Servidores</t>
  </si>
  <si>
    <t>Restituicoes Do Inss Aos Agentes Politicos</t>
  </si>
  <si>
    <t>Ajuda De Custo - Pessoal Civil</t>
  </si>
  <si>
    <t>Indenizacao De Transporte - Pessoal Civil</t>
  </si>
  <si>
    <t>Indenizacao De Moradia - Pessoal Civil</t>
  </si>
  <si>
    <t>Ressarcimento Assistencia Medica/odontologica</t>
  </si>
  <si>
    <t>Ressarcimentos Diversos - Legislativo</t>
  </si>
  <si>
    <t>Devolucao de Receita de Servicos - Hora Maquina</t>
  </si>
  <si>
    <t>Indenizacao Pela Execucao Trabalhos De Campo</t>
  </si>
  <si>
    <t>Aplicação Direta Operações Intra-orçamentárias</t>
  </si>
  <si>
    <t>Material De Consumo - Operações Intra-orçamentarias</t>
  </si>
  <si>
    <t>Locação De Imoveis</t>
  </si>
  <si>
    <t>Serviço De Agua E Esgoto</t>
  </si>
  <si>
    <t>Serviço De Comunicação Em Geral</t>
  </si>
  <si>
    <t>Serviços Medico-hospitalar, Odontologico E Laboratoriais</t>
  </si>
  <si>
    <t>Outros Serviços De Terceiros - Pessoa Juridica</t>
  </si>
  <si>
    <t>Obrig Tribut E Contrib - Operações Intra-orçamentárias</t>
  </si>
  <si>
    <t>Contribuição Para O Pis/pasep</t>
  </si>
  <si>
    <t>Serviços De Terceiros - Pessoa Juridica</t>
  </si>
  <si>
    <t>Indenizações</t>
  </si>
  <si>
    <t>Restituições</t>
  </si>
  <si>
    <t>Amoritzação Do Passivo Atuarial Com O Rpps - Aporte Periódico</t>
  </si>
  <si>
    <t>APLICAÇÃO DIRETA DECORRENTE DE CONSÓRCIO PÚBLICO</t>
  </si>
  <si>
    <t>Auxilios</t>
  </si>
  <si>
    <t>Restituicoes De Convenios E Transferencias Recebidas Dos Municipios</t>
  </si>
  <si>
    <t>Instituicoes De Carater Industrial</t>
  </si>
  <si>
    <t>Instituicoes De Carater Assistencial, Cultural Ou Educacional</t>
  </si>
  <si>
    <t>Instituicoes De Carater Comercial Ou Financeiro</t>
  </si>
  <si>
    <t>Instituicoes De Carater Assistencial Ou Cultural</t>
  </si>
  <si>
    <t>Instituicoes De Pesquisa E Desenvolvimento Tecnologico</t>
  </si>
  <si>
    <t>Transferencias A Instituicoes Privadas Com Fins Lucrativos</t>
  </si>
  <si>
    <t>Transferencias A Instituicoes Multigovernamentais</t>
  </si>
  <si>
    <t>Contribuicoes P/ Consorcios</t>
  </si>
  <si>
    <t>Contribuicoes Para O Ciderca</t>
  </si>
  <si>
    <t>Outros Auxilios</t>
  </si>
  <si>
    <t>Transferencias A Consorcios Publicos</t>
  </si>
  <si>
    <t>Material De Construção</t>
  </si>
  <si>
    <t>Material De Construção P/ Pontes</t>
  </si>
  <si>
    <t>Material P/Ponte Passo das Almas</t>
  </si>
  <si>
    <t>Material P/ Ponte Ordalina</t>
  </si>
  <si>
    <t>Material P/ Ponte Antonio Carlos</t>
  </si>
  <si>
    <t>Material P/ Ponte da Amizade</t>
  </si>
  <si>
    <t>Material P/ Ponte da Pitanga</t>
  </si>
  <si>
    <t>Material P/ Ponte do Castelo-Pinheiro</t>
  </si>
  <si>
    <t>Material P/ Ponte Travessão dos Queiroz</t>
  </si>
  <si>
    <t>Material P/Ponte dos Ebel-Sao Braz</t>
  </si>
  <si>
    <t>Material P/ Ponte do Guaraxaim</t>
  </si>
  <si>
    <t>Material P/ Ponte do Travessão da Marta</t>
  </si>
  <si>
    <t>Material P/ Ponte do Martin Tessmann</t>
  </si>
  <si>
    <t>Material P/Ponte da Luciana</t>
  </si>
  <si>
    <t>Material P/ Ponte Hilson Carlos</t>
  </si>
  <si>
    <t>Material P/Ponte Luiz Hubner</t>
  </si>
  <si>
    <t>Material para Abrigos</t>
  </si>
  <si>
    <t>Material P/Manutenção da Motoniveladora 845B</t>
  </si>
  <si>
    <t>Materiais P/Avendia 28 de dezembro</t>
  </si>
  <si>
    <t>Materiais P/Rua H</t>
  </si>
  <si>
    <t>Materiais P/Rua Q</t>
  </si>
  <si>
    <t>Materiais P/Iluminacao Publica</t>
  </si>
  <si>
    <t>Custo de Aquisição : Instalacao de Equipamentos</t>
  </si>
  <si>
    <t>Custo de Aquisição : Equip. E Utensilios Domésticos</t>
  </si>
  <si>
    <t>Custo de Aquisição : Equip. de Informática</t>
  </si>
  <si>
    <t>Custo de Aquisição : Equip. de Comunicação</t>
  </si>
  <si>
    <t>Material P/Manutenção do Pórtico</t>
  </si>
  <si>
    <t>Material P/Estradas</t>
  </si>
  <si>
    <t>Material P/obras e Instalações</t>
  </si>
  <si>
    <t>Materiais P/Aquisição de Veículos</t>
  </si>
  <si>
    <t>Consultoria Em Tecnologia Da Informação</t>
  </si>
  <si>
    <t>Aquisição De Software Sob Encomenda</t>
  </si>
  <si>
    <t>Custo de Aquisição: Serv. de Instalação Equip. E Utensilios Domésticos</t>
  </si>
  <si>
    <t>Custo de Aquisição: Serv. de Instalação Eqip. Informática</t>
  </si>
  <si>
    <t>Custo de Aquisição: Serv. de Instalação Equip. de Comunicação</t>
  </si>
  <si>
    <t>Custo de Aquisição: Servicos de Aquisição de Maq., Veiculos e Caminhõe</t>
  </si>
  <si>
    <t>Manutencao de pontes e Boeiros</t>
  </si>
  <si>
    <t>Manutencao Ponte Passo das Almas</t>
  </si>
  <si>
    <t>Manutencao Ponte Ponte Ordalina</t>
  </si>
  <si>
    <t>Manutencao Ponte Antonio Carlos</t>
  </si>
  <si>
    <t>Manutencao Ponte da Amizade</t>
  </si>
  <si>
    <t>Manutencao Ponte da Pitanga</t>
  </si>
  <si>
    <t>Manutencao Ponte do Castelo-Pinheiro</t>
  </si>
  <si>
    <t>Manutencao Ponte Travessão dos Queiroz</t>
  </si>
  <si>
    <t>Manutencao Ponte dos Ebel-Sao Braz</t>
  </si>
  <si>
    <t>Manutencao Boeiros</t>
  </si>
  <si>
    <t>Manutenção de Estradas Municipais</t>
  </si>
  <si>
    <t>Const. e Conserv. de Abrigos de Passageiros</t>
  </si>
  <si>
    <t>Servicos P/Obras e Instalações</t>
  </si>
  <si>
    <t>Prestação de Serviços Custo de Aquisição de Ar Condicionado</t>
  </si>
  <si>
    <t>Prestação de Serviços P/Avenida 28 de Dezembro</t>
  </si>
  <si>
    <t>Prestação de Serviços P/Rua Osvaldo Venzke</t>
  </si>
  <si>
    <t>Prestação de Serviços P/Rua Henrique Widenhoeft</t>
  </si>
  <si>
    <t>Prestação de Serviços P/Rua Centro de Eventos</t>
  </si>
  <si>
    <t>Prestação de Serviços P/Rua D2</t>
  </si>
  <si>
    <t>Outras Locacoes De Mao-de-obra</t>
  </si>
  <si>
    <t>Aquisicao De Softwares Sob Encomenda</t>
  </si>
  <si>
    <t>Comunicação De Dados</t>
  </si>
  <si>
    <t>Manutencao e Conservacao de Maquinas e Veiculos</t>
  </si>
  <si>
    <t>Manutenção Motoniveladora Case 845B</t>
  </si>
  <si>
    <t>manutencao de vias urbanas</t>
  </si>
  <si>
    <t>Manutenção do Portico</t>
  </si>
  <si>
    <t>Custo de Aquisição: Serv. de Instalação Mobiliario</t>
  </si>
  <si>
    <t>Custo de Aquisição: Serv. de Instalação de Gerador</t>
  </si>
  <si>
    <t>Manutenção de Pontes e Boeiros</t>
  </si>
  <si>
    <t>Manutenção Ponte da Pitanga</t>
  </si>
  <si>
    <t>Manutenção Ponte do Castelo-Pinheiro</t>
  </si>
  <si>
    <t>Manutenção Ponte Travessão dos Queiroz</t>
  </si>
  <si>
    <t>Manutenção Ponte dos Ebel-Sao Braz</t>
  </si>
  <si>
    <t>Manutenção Boeiros</t>
  </si>
  <si>
    <t>Const. e Manut. de Abrigos de Passageiros</t>
  </si>
  <si>
    <t>Servicos de Aquisição de Veiculos</t>
  </si>
  <si>
    <t>Estudos E Projetos</t>
  </si>
  <si>
    <t>Obras Em Andamento</t>
  </si>
  <si>
    <t>Instalacoes</t>
  </si>
  <si>
    <t>Almoxarifado De Obras</t>
  </si>
  <si>
    <t>Galpao para Feira do Produtor</t>
  </si>
  <si>
    <t>Cobertura Quadra Poliesportiva Esc. Arlindo B. Pires</t>
  </si>
  <si>
    <t>Const. e Conservacao de Pontes e Boeiros</t>
  </si>
  <si>
    <t>Const. e Conservacao Ponte Passo das Almas</t>
  </si>
  <si>
    <t>Const. e Conservacao Ponte Ordalina</t>
  </si>
  <si>
    <t>Const. e Conservacao Ponte Antonio Carlos</t>
  </si>
  <si>
    <t>Const. e Conservacao Ponte da Amizade</t>
  </si>
  <si>
    <t>Const. e Conservacao Ponte da Pitanga</t>
  </si>
  <si>
    <t>Const. e Conservacao Ponte do Castelo-Pinheiro</t>
  </si>
  <si>
    <t>Const. e Conservacao Ponte Travessão dos Queiroz</t>
  </si>
  <si>
    <t>Const. e Conservacao Ponte dos Ebel-Sao Braz</t>
  </si>
  <si>
    <t>Const. e Conservacao Boeiros</t>
  </si>
  <si>
    <t>Const. e Conservação de Estradas Municipais</t>
  </si>
  <si>
    <t>Const. e Manutencao de Abrigos de Passageiros</t>
  </si>
  <si>
    <t>Manutenção Pracinha do Centro de Eventos</t>
  </si>
  <si>
    <t>Obras Rua Q</t>
  </si>
  <si>
    <t>Aeronaves</t>
  </si>
  <si>
    <t>Aparelhos De Medicao E Orientacao</t>
  </si>
  <si>
    <t>Aparelhos E Equipamentos De Comunicacao</t>
  </si>
  <si>
    <t>Armamentos</t>
  </si>
  <si>
    <t>Colecoes E Materiais Bibliograficos</t>
  </si>
  <si>
    <t>Discotecas E Filmotecas</t>
  </si>
  <si>
    <t>Embarcacoes</t>
  </si>
  <si>
    <t>Equipamentos De Manobra E Patrulhamento</t>
  </si>
  <si>
    <t>Equipamento De Protecao, Seguranca E Socorro</t>
  </si>
  <si>
    <t>Maquinas E Equipamentos Energeticos</t>
  </si>
  <si>
    <t>Maquinas E Equipamentos Graficos</t>
  </si>
  <si>
    <t>Equipamentos P/ Audio, Video E Foto</t>
  </si>
  <si>
    <t>Maquinas, Ferramentas E Utensilios De Oficina</t>
  </si>
  <si>
    <t>Obras De Arte E Pecas P/ Exposicao</t>
  </si>
  <si>
    <t>Semoventes E Equipamentos De Montaria</t>
  </si>
  <si>
    <t>Veiculos Diversos</t>
  </si>
  <si>
    <t>Veiculos Ferroviarios</t>
  </si>
  <si>
    <t>Pecas Nao Incorporaveis A Imoveis</t>
  </si>
  <si>
    <t>Acessorios P/ Automoveis</t>
  </si>
  <si>
    <t>Equipamentos De Mergulho E Salvamento</t>
  </si>
  <si>
    <t>Material De Consumo De Uso Duradouro</t>
  </si>
  <si>
    <t>Equipamento E Material Permanente - Pagamento Antecipado</t>
  </si>
  <si>
    <t>Outros Materiais Permanentes</t>
  </si>
  <si>
    <t>Edificios - Realizacao De Obras</t>
  </si>
  <si>
    <t>Salas E Escritorios</t>
  </si>
  <si>
    <t>Casas E Apartamentos</t>
  </si>
  <si>
    <t>Armazens E Silos</t>
  </si>
  <si>
    <t>Outras Aquisicoes De Bens Imoveis</t>
  </si>
  <si>
    <t>Liminares Em Mandados De Seguranca</t>
  </si>
  <si>
    <t>Indenizacao</t>
  </si>
  <si>
    <t>Bens Moveis Em Poder De Terceiros</t>
  </si>
  <si>
    <t>Restituicao De Convenios E Transferencias Recebidas Da Uniao</t>
  </si>
  <si>
    <t>Edificios</t>
  </si>
  <si>
    <t>Glebas E Fazendas</t>
  </si>
  <si>
    <t>Florestas</t>
  </si>
  <si>
    <t>Apartamentos</t>
  </si>
  <si>
    <t>Outros Bens Imoveis</t>
  </si>
  <si>
    <t>Aquisicao De Bens P/ Revenda</t>
  </si>
  <si>
    <t>Outros Bens P/ Revenda</t>
  </si>
  <si>
    <t>Aquisicao De Titulos De Credito</t>
  </si>
  <si>
    <t>Diversas Aquisicoes De Titulos De Credito</t>
  </si>
  <si>
    <t>Aquisicao De Titulos Representativos De Capital Ja Integralizado</t>
  </si>
  <si>
    <t>Outros Direitos</t>
  </si>
  <si>
    <t>Concessao De Emprestimos E Financiamentos</t>
  </si>
  <si>
    <t>Emprestimos Concedidos</t>
  </si>
  <si>
    <t>Financiamentos Concedidos</t>
  </si>
  <si>
    <t>Concessao De Financiamentos A Contribuintes (art32, §3°, I, Lrf)</t>
  </si>
  <si>
    <t>Financiamentos P/ Pequenos Produtores Rurais</t>
  </si>
  <si>
    <t>Financiamentos - Estudante De Ensino Superior</t>
  </si>
  <si>
    <t>Outros Emprestimos E Financiamentos</t>
  </si>
  <si>
    <t>Diversos Depositos Compulsorios</t>
  </si>
  <si>
    <t>Aquisições De Imoveis</t>
  </si>
  <si>
    <t>Transferencias Ao Estado E Ao Distrito Federal</t>
  </si>
  <si>
    <t>Principal Da Divida Por Contrato</t>
  </si>
  <si>
    <t>Amortizacao Da Divida Contratada Com Instituicoes Financeiras</t>
  </si>
  <si>
    <t>Amortizacao Da Divida Contratada Com Governos</t>
  </si>
  <si>
    <t>Amortizacao Da Divida Contratada No Exterior</t>
  </si>
  <si>
    <t>Amortização Parecelas Programa Caminhos Da Escola</t>
  </si>
  <si>
    <t>Amortização Parecelas Programa Finame/provias</t>
  </si>
  <si>
    <t>Principal Da Divida Mobiliaria Resgatada</t>
  </si>
  <si>
    <t>Divida Mobiliaria</t>
  </si>
  <si>
    <t>Correcao Monetaria E Cambial Da Divida Por Contrato</t>
  </si>
  <si>
    <t>Correcao Monetaria E Cambial Da Divida Contratada</t>
  </si>
  <si>
    <t>Corrcao Monetaria E Cambial Da Divida Mobiliaria Resgatada</t>
  </si>
  <si>
    <t>Correcao Monetaria Das Operacoes De Credito Por Antecipacao Da Receita</t>
  </si>
  <si>
    <t>Diversas Correcoes Monetarias De Operacoes De Credito Por Antecipacao</t>
  </si>
  <si>
    <t>Principal Da Divida Mobiliaria Refinanciada</t>
  </si>
  <si>
    <t>Divida Mobiliaria Interna</t>
  </si>
  <si>
    <t>Divida Mobiliaria Externa</t>
  </si>
  <si>
    <t>Principal Corrigido Divida Contratual Refinanciado</t>
  </si>
  <si>
    <t>Amortizacao Da Divida Contratual Refinanciada Com Instituicoes Finance</t>
  </si>
  <si>
    <t>Amortizacao Da Divida Contratual Refinanciada No Exterior</t>
  </si>
  <si>
    <t>Reserva Rpps</t>
  </si>
  <si>
    <t>Descrição da Categoria</t>
  </si>
  <si>
    <t>Nivel</t>
  </si>
  <si>
    <t>Tipo</t>
  </si>
  <si>
    <t>Sintético</t>
  </si>
  <si>
    <t>Analítico</t>
  </si>
  <si>
    <t>Transferencias  A Instituicoes  Privadas Sem Fins Lucrativos</t>
  </si>
  <si>
    <t>Transferencias  A Consórcios Públicos</t>
  </si>
  <si>
    <t>MAURO</t>
  </si>
  <si>
    <t>Contribuicao  A Entidades Fechadas De Previdencia</t>
  </si>
  <si>
    <t>Contribuicao  Patronal Previdencia Privada</t>
  </si>
  <si>
    <t>Salario-familia-profesores No Efetivo Exercicio  Do Magisterio (60% Fu</t>
  </si>
  <si>
    <t>mauro</t>
  </si>
  <si>
    <t>Administrador</t>
  </si>
  <si>
    <t>Remuneração Pela  Participacao Em  Orgaos De  Deliberacao Coletiva</t>
  </si>
  <si>
    <t>Outras Despesas De Pessoal Decorrentes De  Contratos De Terceirizacao</t>
  </si>
  <si>
    <t>Substituicao  De Mao-de-obra  (art18 Par1 Lc 101)</t>
  </si>
  <si>
    <t>Gratificacao Por  Tempo De Servico-anuenio Inativo Civil</t>
  </si>
  <si>
    <t>Gratificacao Por Tempo De Servico-anuenio Pensionista  Civil</t>
  </si>
  <si>
    <t>Despesas Relativas A Programas De  Desligamento Voluntario</t>
  </si>
  <si>
    <t>Ressarcimento De Despesas  De Pessoal Requisitado</t>
  </si>
  <si>
    <t>Plano De Seguridade  Social Do Servidor - Pessoal  Ativo</t>
  </si>
  <si>
    <t>Plano De Seguridade  Social Do Servidor - Pessoal  Inativo</t>
  </si>
  <si>
    <t>Plano De Seguridade  Social Do Pensionista</t>
  </si>
  <si>
    <t>Multas Sobre A Contribuição Patronal Para O Plano De Seguridade  Socia</t>
  </si>
  <si>
    <t>Juros Sobre A Contribuição Patronal Para O Plano De Seguridade  Social</t>
  </si>
  <si>
    <t>Encargos Sobre Operacoes De Credito Por Antecipacao  Da Receita</t>
  </si>
  <si>
    <t>Transferencia A Municipio Emancipado P/ Acerto De  Contas</t>
  </si>
  <si>
    <t>Contribuição Patronal Para  Rpps De Outro Municipio</t>
  </si>
  <si>
    <t>Instituicoes De Carater Assistencial,  Cultural E Educacional</t>
  </si>
  <si>
    <t>Instituicoes De Pesquisa  E Desenvolvimento Tecnologico</t>
  </si>
  <si>
    <t>Transferencias A Instituicoes  Privadas Com Fins Lucrativos</t>
  </si>
  <si>
    <t>Transferencias  A Instituicoes Multigovernamentais</t>
  </si>
  <si>
    <t>Combustiveis  Automotivos</t>
  </si>
  <si>
    <t>Lubrificantes Veiculo INZ 9457  - Aq. Imediata</t>
  </si>
  <si>
    <t>DANIELE</t>
  </si>
  <si>
    <t>Lubrificantes P/ Veiculo Placas IWL  3346</t>
  </si>
  <si>
    <t>Combustiveis E Lubrificantes  P/  Outras Finalidades</t>
  </si>
  <si>
    <t>Material P/  Festividades E Homenagens</t>
  </si>
  <si>
    <t>Material de  Processamento de Dados - Aq. Imediata</t>
  </si>
  <si>
    <t>Material de  Processamento de Dados - Estoque</t>
  </si>
  <si>
    <t>Materiais E Medicamentos P/  Uso Veterinario</t>
  </si>
  <si>
    <t>Material De Limpeza E Produtos  De Higienizacao</t>
  </si>
  <si>
    <t>Material De Limpeza E Produtos  De Higienizacao - Legislativo</t>
  </si>
  <si>
    <t>Material De Limpeza E Produtos  De Higienizacao - Estoque</t>
  </si>
  <si>
    <t>Material P/  Manutencao De Bens Imoveis</t>
  </si>
  <si>
    <t>Material P/  Manutencao De Bens Moveis</t>
  </si>
  <si>
    <t>Material P/  Audio, Video E Foto</t>
  </si>
  <si>
    <t>Material P/  Producao Industrial</t>
  </si>
  <si>
    <t>Material P/  Manutencao De Veiculos</t>
  </si>
  <si>
    <t>Material P/  Utilizacao Em Grafica</t>
  </si>
  <si>
    <t>Material P/  Reabilitacao Profissional</t>
  </si>
  <si>
    <t>Material Tecnico P/  Selecao E Treinamento</t>
  </si>
  <si>
    <t>Material De Consumo - Pagamento  Antecipado</t>
  </si>
  <si>
    <t>Premiacoes Culturais,  Artisticas,  Cientificas,  Desportivas  E Outra</t>
  </si>
  <si>
    <t>_TCERS</t>
  </si>
  <si>
    <t>Manutencao E Conservacao  De Equipamentos</t>
  </si>
  <si>
    <t>Manutencao E Conservacao  De Bens Imoveis</t>
  </si>
  <si>
    <t>Servicos  De Apoio Administrativos, Tecnico E Operacional</t>
  </si>
  <si>
    <t>Servicos De Conservacao E Rebeneficiamento  De Mercadorias</t>
  </si>
  <si>
    <t>Confeccao De Material De Acondicionamento  E Embalagem</t>
  </si>
  <si>
    <t>Locacao De Mao-de-obra - Pagamento  Antecipado</t>
  </si>
  <si>
    <t>Locacao Bens Moveis,  Outras Naturezas E Intangiveis</t>
  </si>
  <si>
    <t>Locacao Bens Moveis,  Outras Naturezas E Intangiveis - Legislativo</t>
  </si>
  <si>
    <t>Manutencao E Conservacao  De Bens Imoveis - Legislativo</t>
  </si>
  <si>
    <t>Manutencao  E Conservacao Da Frota  De Maquinas E Equipamentos</t>
  </si>
  <si>
    <t>Manutencao  Motoniveladora 120H</t>
  </si>
  <si>
    <t>Manutencao  Motoniveladora 135H</t>
  </si>
  <si>
    <t>Manutencao  Implementos Agricolas</t>
  </si>
  <si>
    <t>Prestacao de Serviços  Veiculo Placas ISK 1256</t>
  </si>
  <si>
    <t>Prestacao de Serviços  Veiculo Placas ITP 0262</t>
  </si>
  <si>
    <t>Prestacao de Serviços  Veiculo Placas IRH 9777</t>
  </si>
  <si>
    <t>Prestacao de Serviços  Veiculo Placas IOY 7726</t>
  </si>
  <si>
    <t>Prestacao de Serviços  Veiculo Placas DUA 5272</t>
  </si>
  <si>
    <t>Prestacao de Serviços  Veiculo Placas IRS 4010</t>
  </si>
  <si>
    <t>Prestacao de Serviços  Veiculo Placas IQV 8399</t>
  </si>
  <si>
    <t>Prestacao de Serviços  Veiculo Placas IOB 6926</t>
  </si>
  <si>
    <t>Prestacao de Serviços  Veiculo Placas IRY 2027</t>
  </si>
  <si>
    <t>Prestacao de Serviços  Veiculo Placas IPN 4843</t>
  </si>
  <si>
    <t>Prestacao de Serviços  Veiculo Placas IPP 9013</t>
  </si>
  <si>
    <t>Prestacao de Serviços  Veiculo Placas IPP 9043</t>
  </si>
  <si>
    <t>Prestacao de Serviços  Veiculo Placas IMN 0762</t>
  </si>
  <si>
    <t>Prestacao de Serviços  Veiculo Placas IOD 6953</t>
  </si>
  <si>
    <t>Prestacao de Serviços  Veiculo Placas IHL 6621</t>
  </si>
  <si>
    <t>Prestacao de Serviços  Veiculo Placas IHL 6579</t>
  </si>
  <si>
    <t>Prestacao de Serviços  Veiculo Placas INZ 9457</t>
  </si>
  <si>
    <t>Prestacao de Serviços  Veiculo Placas IJY 2420</t>
  </si>
  <si>
    <t>Prestacao de Serviços  Veiculo Brigada Militar</t>
  </si>
  <si>
    <t>Manutenção Veiculo  Educação</t>
  </si>
  <si>
    <t>Lavagem e Lubrificação Veiculo  Educação</t>
  </si>
  <si>
    <t>Lavagem e Lubrificação  Veiculo Placas IWL 3346</t>
  </si>
  <si>
    <t>Manutencao E Conservacao  De Estradas E Vias</t>
  </si>
  <si>
    <t>Servicos Medico-hospitalar, Odontologicos  E Laboratoriais</t>
  </si>
  <si>
    <t>Servicos De Creches E Assistencia  Pre-escolar</t>
  </si>
  <si>
    <t>Servicos De Processamento  De Dados - Legislativo</t>
  </si>
  <si>
    <t>Fretes E Transportes  De Encomendas</t>
  </si>
  <si>
    <t>Servico  De Apoio Administrativo, Tecnico E Operacional</t>
  </si>
  <si>
    <t>Coleta e Transp. e Destino Final de  Resíduos de Saúde</t>
  </si>
  <si>
    <t>Contribuicao P/  O Pis/pasep</t>
  </si>
  <si>
    <t>Contribuicoes  Previdenciarias-servicos De Terceiros</t>
  </si>
  <si>
    <t>Contribuicoes  Previdenciarias Servicos de Terceiros - Legislativo</t>
  </si>
  <si>
    <t>Contribuicoes  Previdenciarias Servicos de Terceiros - Executivo</t>
  </si>
  <si>
    <t>Cont.  Prev. Serv. de Terceiros - Gabinete Prefeito</t>
  </si>
  <si>
    <t>Cont.  Prev. Serv. de Terceiros - SMA</t>
  </si>
  <si>
    <t>Cont.  Prev. Serv. de Terceiros - SMF</t>
  </si>
  <si>
    <t>Cont.  Prev. Serv. de Terceiros - SMOVSU</t>
  </si>
  <si>
    <t>Obrigacoes Patronais Sobre Servicos De  Pessoa Juridica</t>
  </si>
  <si>
    <t>Contribuicao P/ O  Custeio De Iluminacao Publica</t>
  </si>
  <si>
    <t>Premiacoes Culturais, Cientificas,  Artisticas, Desportivas E Outras</t>
  </si>
  <si>
    <t>Restituicoes De Despesas  Eventuais Com Alimentacao</t>
  </si>
  <si>
    <t>Indenizacoes A Servidores Pela Execucao De  Trabalho De  Campo</t>
  </si>
  <si>
    <t>Restituicao De Convenios E Transferencias  Recebidas Uniao</t>
  </si>
  <si>
    <t>Restituicoes De Convenios E Transferencias Recebidas Do  Estado</t>
  </si>
  <si>
    <t>Transferencias A Instituicoes  Privadas  Sem  Fins Lucrativos</t>
  </si>
  <si>
    <t>Instituicoes De Carater Assistencial, Cultural  E Educacional</t>
  </si>
  <si>
    <t>Outros Servicos De Terceiros - Pessoa  Fisica</t>
  </si>
  <si>
    <t>Aparelhos E Equipamentos P/  Esportes E Diversoes</t>
  </si>
  <si>
    <t>Maquinas E Equipamentos  De Natureza Industrial</t>
  </si>
  <si>
    <t>Maquinas,  Utensilios E Equipamentos  Diversos</t>
  </si>
  <si>
    <t>Maquinas E Equipamentos Agricolas  E Rodoviarios</t>
  </si>
  <si>
    <t>Equipamentos  E Sistemas De Protecao E Vigilancia Ambiental</t>
  </si>
  <si>
    <t>Transferencias  A Estados E Ao Distrito Federal</t>
  </si>
  <si>
    <t>Restituicao De  Convenios E Transferencias Recebidas Do Estado</t>
  </si>
  <si>
    <t>Constituicao  Ou Aumento De Capital De Empresas</t>
  </si>
  <si>
    <t>Concessao De Emprestimos A Contribuintes          (art32, §3°,  I, Lrf</t>
  </si>
  <si>
    <t>Amortizacao Da  Divida Contratual Refinanciada Com Governos</t>
  </si>
  <si>
    <t>13  001.003.000  CUSTO DE OBRAS E INSTALAÇÕES</t>
  </si>
  <si>
    <t>203 GERENCIAMENTO DE TEC. DA INFORMACAO E COMUNICACAO</t>
  </si>
  <si>
    <t>14  001.003.001  Construção de Imóveis</t>
  </si>
  <si>
    <t>300</t>
  </si>
  <si>
    <t>18  001.005.000  CUSTEIO OPERACIONAL</t>
  </si>
  <si>
    <t>400</t>
  </si>
  <si>
    <t>500</t>
  </si>
  <si>
    <t>CONTA EXECUÇÃOCONTA CCONTABIL</t>
  </si>
  <si>
    <t>300  CUSTEIO OPERACIONAL DO PODER LEGISLATIVO</t>
  </si>
  <si>
    <t>201  AQUISIÇÃO DE VEÍCULOS</t>
  </si>
  <si>
    <t>202  CONSTRUÇÃO, AMPLIAÇÃO E REFORMA DE PREDIO</t>
  </si>
  <si>
    <t>203  GERENCIAMENTO DE TEC. DA INFORMACAO E COMUNICACAO</t>
  </si>
  <si>
    <t>2  001.001.000  PESSOAL E ENCARGOS SOCIAIS</t>
  </si>
  <si>
    <t>600</t>
  </si>
  <si>
    <t>Folha PGTº: Serv. Efetivos., C.C. e Agente Politico</t>
  </si>
  <si>
    <t>Férias Servidores C.C.</t>
  </si>
  <si>
    <t>700</t>
  </si>
  <si>
    <t>Folha PGTº: Obrigações Patronais</t>
  </si>
  <si>
    <t>Folha PGTº: Horas Extras</t>
  </si>
  <si>
    <t>301  APERFEIÇOAMENTO E TREINAMENTO DE PESSOAL</t>
  </si>
  <si>
    <t>800</t>
  </si>
  <si>
    <t>801/800</t>
  </si>
  <si>
    <t>302 MANUTENCAO DAS ATIVIDADES DA CAMARA DE VEREADORES</t>
  </si>
  <si>
    <t>20  001.005.002  Diárias Servidores Contratados</t>
  </si>
  <si>
    <t>21  001.005.003  Diárias Servidores C.C.</t>
  </si>
  <si>
    <t>19  001.005.001  Diarias Servidores Efetivos</t>
  </si>
  <si>
    <t>Diarias Agentes Políticos</t>
  </si>
  <si>
    <t>22  001.005.004  Diárias Agente Politico</t>
  </si>
  <si>
    <t>900</t>
  </si>
  <si>
    <t>Gas de Cozinha - Almoxarifado</t>
  </si>
  <si>
    <t>24  001.005.006  Gas de Cozinha</t>
  </si>
  <si>
    <t>Generos de Alimentacao - Almoxarifado</t>
  </si>
  <si>
    <t>23  001.005.005  Generos Alimenticios</t>
  </si>
  <si>
    <t>Material de Expediente - Almoxarifado</t>
  </si>
  <si>
    <t>26  001.005.008  Material de Expediente</t>
  </si>
  <si>
    <t>Suprimentos de informatica  - Aq. Imediata</t>
  </si>
  <si>
    <t>Suprimentos de informatica  - Almoxarifado</t>
  </si>
  <si>
    <t>25  001.005.007  Suprimentos de Informatica</t>
  </si>
  <si>
    <t>45  001.005.027  Geral</t>
  </si>
  <si>
    <t>Material De Limpeza  - Aq. Imediata</t>
  </si>
  <si>
    <t>Material De Limpeza  - Almoxarifado</t>
  </si>
  <si>
    <t>Material P/ Manutencao De Bens Imoveis  - Almoxarifado</t>
  </si>
  <si>
    <t>Material P/ Manutencao De Bens Imoveis - Aq. Imediata</t>
  </si>
  <si>
    <t>30  001.005.012  Manutenção de Imóveis</t>
  </si>
  <si>
    <t>Materiais Diversos  - Aq. Imediata</t>
  </si>
  <si>
    <t>Materiais Diversos   - Almoxarifado</t>
  </si>
  <si>
    <t xml:space="preserve">U. Gestora: </t>
  </si>
  <si>
    <t>Despesas com Locomoção - Servidores Efetivos</t>
  </si>
  <si>
    <t>Despesas com Locomoção - Servidores Contratados</t>
  </si>
  <si>
    <t>Despesas com Locomoção Servidores Efetivos</t>
  </si>
  <si>
    <t>Despesas com Locomoção Servidores Contratados</t>
  </si>
  <si>
    <t>Despesas com Locomoção Servidores C.C.</t>
  </si>
  <si>
    <t>Despesas com Locomoção Agente Político</t>
  </si>
  <si>
    <t>001.005.029</t>
  </si>
  <si>
    <t>001.005.030</t>
  </si>
  <si>
    <t>001.005.031</t>
  </si>
  <si>
    <t>001.005.032</t>
  </si>
  <si>
    <t>1693  001.005.031  Despesas com Locomoção Servidores C.C.</t>
  </si>
  <si>
    <t>1694  001.005.032  Despesas com Locomoção Agente Político</t>
  </si>
  <si>
    <t>1000</t>
  </si>
  <si>
    <t>1001/1000</t>
  </si>
  <si>
    <t>001.005.033</t>
  </si>
  <si>
    <t>Consultoria</t>
  </si>
  <si>
    <t>1695  001.005.033  Consultoria</t>
  </si>
  <si>
    <t>001.005.034</t>
  </si>
  <si>
    <t>Prestação de Serviços Autômonos</t>
  </si>
  <si>
    <t>1696  001.005.034  Prestação de Serviços Autômonos</t>
  </si>
  <si>
    <t>1100</t>
  </si>
  <si>
    <t>1101/1100</t>
  </si>
  <si>
    <t>001.005.035</t>
  </si>
  <si>
    <t>1697  001.005.035  Assinaturas Jornais e Periodicos</t>
  </si>
  <si>
    <t>44  001.005.026  Processamento de Dados</t>
  </si>
  <si>
    <t>43  001.005.025  Servicos de Tecnologia da Informação</t>
  </si>
  <si>
    <t>35  001.005.017  Energia Elétrica</t>
  </si>
  <si>
    <t>36  001.005.018  Agua</t>
  </si>
  <si>
    <t>001.005.036</t>
  </si>
  <si>
    <t>1698  001.005.036  Serviços Postais</t>
  </si>
  <si>
    <t>Acesso a Internet</t>
  </si>
  <si>
    <t>37  001.005.019  Telefone Fixo</t>
  </si>
  <si>
    <t>38  001.005.020  Telefone Celular</t>
  </si>
  <si>
    <t>40  001.005.022  Internet</t>
  </si>
  <si>
    <t>29  001.005.011  Manutenção de Mobiliário</t>
  </si>
  <si>
    <t>001.005.037</t>
  </si>
  <si>
    <t>Serviços Gráficos</t>
  </si>
  <si>
    <t>1699  001.005.037  Serviços Gráficos</t>
  </si>
  <si>
    <t>Servicos Bancários</t>
  </si>
  <si>
    <t>1504  001.005.028  Serviços Bancários</t>
  </si>
  <si>
    <t>001.005.038</t>
  </si>
  <si>
    <t>1700  001.005.038  Servicos De Publicidade Legal</t>
  </si>
  <si>
    <t>001.005.039</t>
  </si>
  <si>
    <t>1701  001.005.039  Servicos De Publicidade Institucional</t>
  </si>
  <si>
    <t>001.005.040</t>
  </si>
  <si>
    <t>1702  001.005.040  Servicos De Publicidade Util. Publica</t>
  </si>
  <si>
    <t>28  001.005.010  Manutenção de Eq. de Informática</t>
  </si>
  <si>
    <t>Serviços Diversos</t>
  </si>
  <si>
    <t>41  001.005.023  Estagiarios</t>
  </si>
  <si>
    <t>42  001.005.024  Mensalidades (UVERGS, E OUTROS)</t>
  </si>
  <si>
    <t>001.005.041</t>
  </si>
  <si>
    <t>1703  001.005.041  Serviços Diversos</t>
  </si>
  <si>
    <t>1200</t>
  </si>
  <si>
    <t>Ressarcimento de Despesas</t>
  </si>
  <si>
    <t>001.005.042</t>
  </si>
  <si>
    <t>1704  001.005.042  Ressarcimentos Diversos</t>
  </si>
  <si>
    <t>303 DESENVOLVIMENTO DE SISTEMAS DE INFORMAÇÃO</t>
  </si>
  <si>
    <t>304 CONVOCAÇÕES E SESSÕES EXTRAORDINÁRIAS</t>
  </si>
  <si>
    <t>1300</t>
  </si>
  <si>
    <t>1301/1300</t>
  </si>
  <si>
    <t>46  001.006.000  SESSÕES E CONVOCAÇÕES EXTRAORDINÁRIAS</t>
  </si>
  <si>
    <t>47  001.006.001  Sessões Extraordinárias</t>
  </si>
  <si>
    <t>48  001.006.002  Convocação Extraordinárias</t>
  </si>
  <si>
    <t>TOTAL  POR PROGRAMA, AÇÃO FUNÇÃO E SUBFUNÇÃO</t>
  </si>
  <si>
    <t>Estimativa de Repassa para o exercicio de 2016</t>
  </si>
  <si>
    <t>Valor Máximo para as Despesas do Poder Legislativo em 2016</t>
  </si>
  <si>
    <t>PROJEÇÃO DO DUODÉCIMO PARA O EXERCÍCIO DE 2016</t>
  </si>
  <si>
    <t>Limite  Máximo para as Despesas com Folha de Pagamentos do Poder Legislativo em 2016 (CF/88, art. 29-A, § 1º) 70%</t>
  </si>
  <si>
    <t xml:space="preserve">Valor Orçado  Máximo para as Despesas com Folha de Pagamentos do Poder Legislativo em 2016 (CF/88, art. 29-A, § 1º) </t>
  </si>
  <si>
    <t>PROPOSTA ORÇAMENTÁRIA PARA O EXERCÍCIO DE 2016</t>
  </si>
  <si>
    <t>ORÇAMENTO DA DESPESA</t>
  </si>
  <si>
    <t>Custo de Aquisição de Equip. e Material Permanente: Material De Consumo</t>
  </si>
  <si>
    <t>Custo de Aquisição de Equip. e Material Permanente: Outros Servicos De Terceiros- Pessoa Fisica</t>
  </si>
  <si>
    <t>Custo de Aquisição de Equip. e Material Permanente: Outros Servicos De Terceiros- Pessoa Juridica</t>
  </si>
  <si>
    <t>Custo de Aquisição de Equip. e Material Permanente</t>
  </si>
  <si>
    <t>Custo de Aquisição : Material De Consumo</t>
  </si>
  <si>
    <t>Custo de Aquisição: Outros Servicos De Terceiros- Pessoa Juridica</t>
  </si>
  <si>
    <t>Custo de Aquisição : Equipamentos E Material Permanente</t>
  </si>
  <si>
    <t>Custo de Aquisição: Obrigacoes Tributarias e Contributivas</t>
  </si>
  <si>
    <r>
      <t>2/</t>
    </r>
    <r>
      <rPr>
        <b/>
        <sz val="11"/>
        <color indexed="8"/>
        <rFont val="Calibri"/>
        <family val="2"/>
      </rPr>
      <t>1</t>
    </r>
  </si>
  <si>
    <r>
      <t>3/</t>
    </r>
    <r>
      <rPr>
        <b/>
        <sz val="11"/>
        <color indexed="8"/>
        <rFont val="Calibri"/>
        <family val="2"/>
      </rPr>
      <t>1</t>
    </r>
  </si>
  <si>
    <r>
      <t>201/</t>
    </r>
    <r>
      <rPr>
        <b/>
        <sz val="11"/>
        <color indexed="8"/>
        <rFont val="Calibri"/>
        <family val="2"/>
      </rPr>
      <t>200</t>
    </r>
  </si>
  <si>
    <r>
      <t>401/</t>
    </r>
    <r>
      <rPr>
        <b/>
        <sz val="11"/>
        <color indexed="8"/>
        <rFont val="Calibri"/>
        <family val="2"/>
      </rPr>
      <t>400</t>
    </r>
  </si>
  <si>
    <r>
      <t>402/</t>
    </r>
    <r>
      <rPr>
        <b/>
        <sz val="11"/>
        <color indexed="8"/>
        <rFont val="Calibri"/>
        <family val="2"/>
      </rPr>
      <t>400</t>
    </r>
  </si>
  <si>
    <r>
      <t>403/</t>
    </r>
    <r>
      <rPr>
        <b/>
        <sz val="11"/>
        <color indexed="8"/>
        <rFont val="Calibri"/>
        <family val="2"/>
      </rPr>
      <t>400</t>
    </r>
  </si>
  <si>
    <r>
      <t>404/</t>
    </r>
    <r>
      <rPr>
        <b/>
        <sz val="11"/>
        <color indexed="8"/>
        <rFont val="Calibri"/>
        <family val="2"/>
      </rPr>
      <t>400</t>
    </r>
  </si>
  <si>
    <t>Folha PGTº: Servidores Contratados</t>
  </si>
  <si>
    <t>Ferias Indenizadas Agente Político</t>
  </si>
  <si>
    <t>1400</t>
  </si>
  <si>
    <t>1700</t>
  </si>
  <si>
    <r>
      <t>1702/</t>
    </r>
    <r>
      <rPr>
        <b/>
        <sz val="11"/>
        <color indexed="8"/>
        <rFont val="Calibri"/>
        <family val="2"/>
      </rPr>
      <t>1700</t>
    </r>
  </si>
  <si>
    <r>
      <t>1704/</t>
    </r>
    <r>
      <rPr>
        <b/>
        <sz val="11"/>
        <color indexed="8"/>
        <rFont val="Calibri"/>
        <family val="2"/>
      </rPr>
      <t>1700</t>
    </r>
  </si>
  <si>
    <t>Seleção e Treinamento: Serv. Efetivos</t>
  </si>
  <si>
    <t>001.005.043</t>
  </si>
  <si>
    <t>Seleção e Treinamento: Serv. Contratado</t>
  </si>
  <si>
    <t>001.005.044</t>
  </si>
  <si>
    <t>Seleção e Treinamento: Serv. C.C.</t>
  </si>
  <si>
    <t>Seleção e Treinamento: Agente Político</t>
  </si>
  <si>
    <t>39  001.005.021  Seleção e Treinamento: Serv. Efetivos</t>
  </si>
  <si>
    <t>1800</t>
  </si>
  <si>
    <r>
      <t>1801/</t>
    </r>
    <r>
      <rPr>
        <b/>
        <sz val="11"/>
        <color indexed="8"/>
        <rFont val="Calibri"/>
        <family val="2"/>
      </rPr>
      <t>1800</t>
    </r>
  </si>
  <si>
    <r>
      <t>1802/</t>
    </r>
    <r>
      <rPr>
        <b/>
        <sz val="11"/>
        <color indexed="8"/>
        <rFont val="Calibri"/>
        <family val="2"/>
      </rPr>
      <t>1800</t>
    </r>
  </si>
  <si>
    <r>
      <t>1803/</t>
    </r>
    <r>
      <rPr>
        <b/>
        <sz val="11"/>
        <color indexed="8"/>
        <rFont val="Calibri"/>
        <family val="2"/>
      </rPr>
      <t>1800</t>
    </r>
  </si>
  <si>
    <t>Material De Copa e Cozinha  - Aq. Imediata</t>
  </si>
  <si>
    <t>Material De Copa e Cozinha  - Almoxarifado</t>
  </si>
  <si>
    <t>001.005.045</t>
  </si>
  <si>
    <t>001.005.046</t>
  </si>
  <si>
    <t>Passagens e Despesas Com Locomocao</t>
  </si>
  <si>
    <t>Servicos de Assessoria e  Consultoria</t>
  </si>
  <si>
    <t>2000</t>
  </si>
  <si>
    <r>
      <t>2001/</t>
    </r>
    <r>
      <rPr>
        <b/>
        <sz val="11"/>
        <color indexed="8"/>
        <rFont val="Calibri"/>
        <family val="2"/>
      </rPr>
      <t>2000</t>
    </r>
  </si>
  <si>
    <t>2100</t>
  </si>
  <si>
    <r>
      <t>2101/</t>
    </r>
    <r>
      <rPr>
        <b/>
        <sz val="11"/>
        <color indexed="8"/>
        <rFont val="Calibri"/>
        <family val="2"/>
      </rPr>
      <t>2100</t>
    </r>
  </si>
  <si>
    <r>
      <t>2102/</t>
    </r>
    <r>
      <rPr>
        <b/>
        <sz val="11"/>
        <color indexed="8"/>
        <rFont val="Calibri"/>
        <family val="2"/>
      </rPr>
      <t>2100</t>
    </r>
  </si>
  <si>
    <r>
      <t>2103/</t>
    </r>
    <r>
      <rPr>
        <b/>
        <sz val="11"/>
        <color indexed="8"/>
        <rFont val="Calibri"/>
        <family val="2"/>
      </rPr>
      <t>2100</t>
    </r>
  </si>
  <si>
    <t>Servicos de Limpeza E Conservacao</t>
  </si>
  <si>
    <t>2200</t>
  </si>
  <si>
    <r>
      <t>2201/</t>
    </r>
    <r>
      <rPr>
        <b/>
        <sz val="11"/>
        <color indexed="8"/>
        <rFont val="Calibri"/>
        <family val="2"/>
      </rPr>
      <t>2200</t>
    </r>
  </si>
  <si>
    <r>
      <t>2202/</t>
    </r>
    <r>
      <rPr>
        <b/>
        <sz val="11"/>
        <color indexed="8"/>
        <rFont val="Calibri"/>
        <family val="2"/>
      </rPr>
      <t>2200</t>
    </r>
  </si>
  <si>
    <r>
      <t>2203/</t>
    </r>
    <r>
      <rPr>
        <b/>
        <sz val="11"/>
        <color indexed="8"/>
        <rFont val="Calibri"/>
        <family val="2"/>
      </rPr>
      <t>2200</t>
    </r>
  </si>
  <si>
    <r>
      <t>2204/</t>
    </r>
    <r>
      <rPr>
        <b/>
        <sz val="11"/>
        <color indexed="8"/>
        <rFont val="Calibri"/>
        <family val="2"/>
      </rPr>
      <t>2200</t>
    </r>
  </si>
  <si>
    <r>
      <t>2205/</t>
    </r>
    <r>
      <rPr>
        <b/>
        <sz val="11"/>
        <color indexed="8"/>
        <rFont val="Calibri"/>
        <family val="2"/>
      </rPr>
      <t>2200</t>
    </r>
  </si>
  <si>
    <r>
      <t>2206/</t>
    </r>
    <r>
      <rPr>
        <b/>
        <sz val="11"/>
        <color indexed="8"/>
        <rFont val="Calibri"/>
        <family val="2"/>
      </rPr>
      <t>2200</t>
    </r>
  </si>
  <si>
    <t>Conta de Energia Elétrica</t>
  </si>
  <si>
    <r>
      <t>2207/</t>
    </r>
    <r>
      <rPr>
        <b/>
        <sz val="11"/>
        <color indexed="8"/>
        <rFont val="Calibri"/>
        <family val="2"/>
      </rPr>
      <t>2200</t>
    </r>
  </si>
  <si>
    <r>
      <t>2208/</t>
    </r>
    <r>
      <rPr>
        <b/>
        <sz val="11"/>
        <color indexed="8"/>
        <rFont val="Calibri"/>
        <family val="2"/>
      </rPr>
      <t>2200</t>
    </r>
  </si>
  <si>
    <r>
      <t>2209/</t>
    </r>
    <r>
      <rPr>
        <b/>
        <sz val="11"/>
        <color indexed="8"/>
        <rFont val="Calibri"/>
        <family val="2"/>
      </rPr>
      <t>2200</t>
    </r>
  </si>
  <si>
    <r>
      <t>2210/</t>
    </r>
    <r>
      <rPr>
        <b/>
        <sz val="11"/>
        <color indexed="8"/>
        <rFont val="Calibri"/>
        <family val="2"/>
      </rPr>
      <t>2200</t>
    </r>
  </si>
  <si>
    <r>
      <t>2211/</t>
    </r>
    <r>
      <rPr>
        <b/>
        <sz val="11"/>
        <color indexed="8"/>
        <rFont val="Calibri"/>
        <family val="2"/>
      </rPr>
      <t>2200</t>
    </r>
  </si>
  <si>
    <r>
      <t>2212/</t>
    </r>
    <r>
      <rPr>
        <b/>
        <sz val="11"/>
        <color indexed="8"/>
        <rFont val="Calibri"/>
        <family val="2"/>
      </rPr>
      <t>2200</t>
    </r>
  </si>
  <si>
    <t>Servicos Gráficos</t>
  </si>
  <si>
    <r>
      <t>2213/</t>
    </r>
    <r>
      <rPr>
        <b/>
        <sz val="11"/>
        <color indexed="8"/>
        <rFont val="Calibri"/>
        <family val="2"/>
      </rPr>
      <t>2200</t>
    </r>
  </si>
  <si>
    <t>Servicos de Limpeza e Conservação</t>
  </si>
  <si>
    <r>
      <t>2214/</t>
    </r>
    <r>
      <rPr>
        <b/>
        <sz val="11"/>
        <color indexed="8"/>
        <rFont val="Calibri"/>
        <family val="2"/>
      </rPr>
      <t>2200</t>
    </r>
  </si>
  <si>
    <r>
      <t>2215/</t>
    </r>
    <r>
      <rPr>
        <b/>
        <sz val="11"/>
        <color indexed="8"/>
        <rFont val="Calibri"/>
        <family val="2"/>
      </rPr>
      <t>2200</t>
    </r>
  </si>
  <si>
    <r>
      <t>2216/</t>
    </r>
    <r>
      <rPr>
        <b/>
        <sz val="11"/>
        <color indexed="8"/>
        <rFont val="Calibri"/>
        <family val="2"/>
      </rPr>
      <t>2200</t>
    </r>
  </si>
  <si>
    <t>2300</t>
  </si>
  <si>
    <r>
      <t>2301/</t>
    </r>
    <r>
      <rPr>
        <b/>
        <sz val="11"/>
        <color indexed="8"/>
        <rFont val="Calibri"/>
        <family val="2"/>
      </rPr>
      <t>2300</t>
    </r>
  </si>
  <si>
    <r>
      <t>2302/</t>
    </r>
    <r>
      <rPr>
        <b/>
        <sz val="11"/>
        <color indexed="8"/>
        <rFont val="Calibri"/>
        <family val="2"/>
      </rPr>
      <t>2300</t>
    </r>
  </si>
  <si>
    <t>INSS S/Serviços Autonômos</t>
  </si>
  <si>
    <t>INSS S/Serviços P. Juridica e M.E.I.</t>
  </si>
  <si>
    <t>2400</t>
  </si>
  <si>
    <r>
      <t>2401/</t>
    </r>
    <r>
      <rPr>
        <b/>
        <sz val="11"/>
        <color indexed="8"/>
        <rFont val="Calibri"/>
        <family val="2"/>
      </rPr>
      <t>2400</t>
    </r>
  </si>
  <si>
    <t>2500</t>
  </si>
  <si>
    <r>
      <t>2501/</t>
    </r>
    <r>
      <rPr>
        <b/>
        <sz val="11"/>
        <color indexed="8"/>
        <rFont val="Calibri"/>
        <family val="2"/>
      </rPr>
      <t>2500</t>
    </r>
  </si>
  <si>
    <t>Serviços de  Desenvolvimento de Sistemas de Informação</t>
  </si>
  <si>
    <t>Materiais para  Desenvolvimento de Sistemas de Informação</t>
  </si>
  <si>
    <t>Suprimentos de informática  - Aq. Imediata</t>
  </si>
  <si>
    <t>2700</t>
  </si>
  <si>
    <r>
      <t>2701/</t>
    </r>
    <r>
      <rPr>
        <b/>
        <sz val="11"/>
        <color indexed="8"/>
        <rFont val="Calibri"/>
        <family val="2"/>
      </rPr>
      <t>2700</t>
    </r>
  </si>
  <si>
    <t>2900</t>
  </si>
  <si>
    <r>
      <t>2901/</t>
    </r>
    <r>
      <rPr>
        <b/>
        <sz val="11"/>
        <color indexed="8"/>
        <rFont val="Calibri"/>
        <family val="2"/>
      </rPr>
      <t>2900</t>
    </r>
  </si>
  <si>
    <t>3000</t>
  </si>
  <si>
    <r>
      <t>3001/</t>
    </r>
    <r>
      <rPr>
        <b/>
        <sz val="11"/>
        <color indexed="8"/>
        <rFont val="Calibri"/>
        <family val="2"/>
      </rPr>
      <t>3000</t>
    </r>
  </si>
  <si>
    <r>
      <t>3002/</t>
    </r>
    <r>
      <rPr>
        <b/>
        <sz val="11"/>
        <color indexed="8"/>
        <rFont val="Calibri"/>
        <family val="2"/>
      </rPr>
      <t>3000</t>
    </r>
  </si>
  <si>
    <t>Folha PGTº: Sessões e Convocações Extraordinárias</t>
  </si>
  <si>
    <t>305 CONVOCAÇÕES E SESSÕES EXTRAORDINÁRIAS</t>
  </si>
  <si>
    <t>INSS Patronal S/Sessão Extraordinária</t>
  </si>
  <si>
    <t>INSS Patronal S/Convocação Extraordinária</t>
  </si>
  <si>
    <t>Convocação Extraordinária</t>
  </si>
  <si>
    <t>1002/1000</t>
  </si>
  <si>
    <t>1201/1200</t>
  </si>
  <si>
    <t>1401/1400</t>
  </si>
  <si>
    <t>Gratificação Lei 463 Comissão de Sindicância</t>
  </si>
  <si>
    <t>Anuênio</t>
  </si>
  <si>
    <t>Férias Agente Político</t>
  </si>
  <si>
    <t>Diarias Prefeito</t>
  </si>
  <si>
    <t>Diarias Vice Prefeito</t>
  </si>
  <si>
    <t>Material Eletrico - Aq. Imediata</t>
  </si>
  <si>
    <t>Material Segurança - Aq. Imediata</t>
  </si>
  <si>
    <t>Lavagem e Lubrificação Veiculo Placas IVY 8350</t>
  </si>
  <si>
    <t>Multas Veiculo IVY 8350</t>
  </si>
  <si>
    <t>Material P/  Manutencao De Bens Imoveis - Aq. Imediata</t>
  </si>
  <si>
    <t>Material de Seguranca  - Aq. Imediata</t>
  </si>
  <si>
    <t>Material e Peças P/Veiculo IRS 4010  - Aq. Imediata</t>
  </si>
  <si>
    <t>Gasolina P/Veiculo IRS 4010  - Aq. Imediata</t>
  </si>
  <si>
    <t>Lubrificantes P/Veiculo IRS 4010 - Aq. Imediata</t>
  </si>
  <si>
    <t>Manutenção Veiculo IRS  4010</t>
  </si>
  <si>
    <t>Seguros Veiculo IRS 4010</t>
  </si>
  <si>
    <t>Lavagem e Lubrificação Veiculo Placas IRS 4010</t>
  </si>
  <si>
    <t>INSS S/Servicos Veiculo IRS 4010 P. Juridica e M.E.I.</t>
  </si>
  <si>
    <t>Gasolina P/Veiculo Brigada Militar  - Aq. Imediata</t>
  </si>
  <si>
    <t>Manutenção Veiculo Brigada Militar</t>
  </si>
  <si>
    <t>Conta de Telefone Fixo</t>
  </si>
  <si>
    <t>INSS S/Servicos Veiculo Brigada Militar P. Juridica e M.E.I.</t>
  </si>
  <si>
    <t>300 AQUISIÇÃO DE EQUIPAMENTOS E MATERIAL PERMANENTE</t>
  </si>
  <si>
    <t>06 GESTAO ADMINISTRATIVA</t>
  </si>
  <si>
    <t>58  002.002.001  Informática</t>
  </si>
  <si>
    <t>57  002.002.000  CUSTO DE AQUISICAO DE EQUIPAMENTOS</t>
  </si>
  <si>
    <t>59  002.002.002  Mobiliário</t>
  </si>
  <si>
    <t>136  002.002.006  Equipamentos de Comunicação</t>
  </si>
  <si>
    <t>002.002.007</t>
  </si>
  <si>
    <t>1709  002.002.007  Equip. e Utensilios Domesticos</t>
  </si>
  <si>
    <t>Custo de Aquisição : Material P/Inst. de Equip. e Utensilios Domesticos</t>
  </si>
  <si>
    <t>Custo de Aquisição : Material P/Inst. de Mobiliário</t>
  </si>
  <si>
    <t>Custo de Aquisição : Material P/Inst. de Equip. de Comunicacao</t>
  </si>
  <si>
    <t>Custo de Aquisição: Inst. de Equip. e Utensilios Domesticos</t>
  </si>
  <si>
    <t>Custo de Aquisição: Inst. de Equip. de informática</t>
  </si>
  <si>
    <t>Custo de Aquisição: Inst. de Mobiliário</t>
  </si>
  <si>
    <t>Custo de Aquisição:Inst. de Equip. de Comunicacao</t>
  </si>
  <si>
    <t>401 CUSTEIO OPERACIONAL DO PODER EXECUTIVO</t>
  </si>
  <si>
    <t>52  002.001.000  PESSOAL E ENCARGOS SOCIAIS</t>
  </si>
  <si>
    <t>001.001.005</t>
  </si>
  <si>
    <t>001.001.006</t>
  </si>
  <si>
    <t>Férias Servidores Contratados</t>
  </si>
  <si>
    <t>001.001.007</t>
  </si>
  <si>
    <t>001.001.008</t>
  </si>
  <si>
    <t>001.001.009</t>
  </si>
  <si>
    <t>001.001.010</t>
  </si>
  <si>
    <t>13º Salário Servidores Contratados</t>
  </si>
  <si>
    <t>001.001.011</t>
  </si>
  <si>
    <t>13º Salário Servidores Efetivos</t>
  </si>
  <si>
    <t>001.001.012</t>
  </si>
  <si>
    <t>13º Salário Servidores C.C.</t>
  </si>
  <si>
    <t>001.001.013</t>
  </si>
  <si>
    <t>Contribuição Patronal INSS : Serv. Contratados</t>
  </si>
  <si>
    <t>001.001.014</t>
  </si>
  <si>
    <t>Contribuição Patronal INSS : Serv. Efetivos</t>
  </si>
  <si>
    <t>001.001.015</t>
  </si>
  <si>
    <t>Contribuição Patronal INSS : Serv. C.C.</t>
  </si>
  <si>
    <t>001.001.016</t>
  </si>
  <si>
    <t>Contribuição Patronal INSS : Agente Político</t>
  </si>
  <si>
    <t>001.001.017</t>
  </si>
  <si>
    <t>Horas Extras : Serv. Contratados</t>
  </si>
  <si>
    <t>001.001.018</t>
  </si>
  <si>
    <t>Horas Extras : Serv. Efetivos</t>
  </si>
  <si>
    <t>Vencimentos Servidores Efetivos</t>
  </si>
  <si>
    <t>Vencimentos Servidores Contratados</t>
  </si>
  <si>
    <t>Vencimentos Servidores C.C.</t>
  </si>
  <si>
    <t>3  001.001.001  Vencimentos Servidores Efetivos</t>
  </si>
  <si>
    <t>5  001.001.003  Vencimentos Servidores C.C.</t>
  </si>
  <si>
    <t>6  001.001.004  Subsidios Agente Politico</t>
  </si>
  <si>
    <t>Vencimentos Sevidores C.C.</t>
  </si>
  <si>
    <t>Subsídios Agente Politico</t>
  </si>
  <si>
    <t>Vencimentos  Sevidores C.C.</t>
  </si>
  <si>
    <t>002.001.006</t>
  </si>
  <si>
    <t>002.001.007</t>
  </si>
  <si>
    <t>002.001.008</t>
  </si>
  <si>
    <t>002.001.009</t>
  </si>
  <si>
    <t>002.001.010</t>
  </si>
  <si>
    <t>002.001.011</t>
  </si>
  <si>
    <t>002.001.012</t>
  </si>
  <si>
    <t>002.001.013</t>
  </si>
  <si>
    <t>13º Salário Agente Político</t>
  </si>
  <si>
    <t>002.001.014</t>
  </si>
  <si>
    <t>Contribuição Patronal INSS: Serv. Contratados</t>
  </si>
  <si>
    <t>002.001.015</t>
  </si>
  <si>
    <t>Contribuição Patronal INSS: Serv. Efetivos</t>
  </si>
  <si>
    <t>002.001.016</t>
  </si>
  <si>
    <t>Contribuição Patronal INSS: Serv. C.C.</t>
  </si>
  <si>
    <t>002.001.017</t>
  </si>
  <si>
    <t>Contribuição Patronal INSS: Agente Político</t>
  </si>
  <si>
    <t>002.001.018</t>
  </si>
  <si>
    <t>Horas Extras: Serv. Contratados</t>
  </si>
  <si>
    <t>002.001.019</t>
  </si>
  <si>
    <t>Horas Extras: Serv. Efetivos</t>
  </si>
  <si>
    <t>002.001.020</t>
  </si>
  <si>
    <t>002.001.021</t>
  </si>
  <si>
    <t>53  002.001.001  Vencimentos Servidores Efetivos</t>
  </si>
  <si>
    <t>55  002.001.003  Vencimentos Sevidores C.C.</t>
  </si>
  <si>
    <t>1740  002.001.021  Adicional Noturno</t>
  </si>
  <si>
    <t>1739  002.001.021  Anuênio</t>
  </si>
  <si>
    <t>1725  002.001.007  Férias Servidores Efetivos</t>
  </si>
  <si>
    <t>1726  002.001.008  Férias Servidores C.C.</t>
  </si>
  <si>
    <t>1727  002.001.009  Férias Agente Político</t>
  </si>
  <si>
    <t>1729  002.001.011  13º Salário Servidores Efetivos</t>
  </si>
  <si>
    <t>1730  002.001.012  13º Salário Servidores C.C.</t>
  </si>
  <si>
    <t>1731  002.001.013  13º Salário Agente Político</t>
  </si>
  <si>
    <t>1383  002.001.005  Gratificacao Lei 463</t>
  </si>
  <si>
    <t>Subsídio Agente Politico</t>
  </si>
  <si>
    <t>56  002.001.004  Subsídio Agente Politico</t>
  </si>
  <si>
    <t>1733  002.001.015  Contribuição Patronal INSS: Serv. Efetivos</t>
  </si>
  <si>
    <t>1734  002.001.016  Contribuição Patronal INSS: Serv. C.C.</t>
  </si>
  <si>
    <t>1735  002.001.017  Contribuição Patronal INSS: Agente Político</t>
  </si>
  <si>
    <t>1737  002.001.019  Horas Extras: Serv. Efetivos</t>
  </si>
  <si>
    <t>Material Eletrico - Almoxarifado</t>
  </si>
  <si>
    <t>Material Segurança - Almoxarifado</t>
  </si>
  <si>
    <t>Auxilio-Transporte</t>
  </si>
  <si>
    <t>405 MANUTENÇÃO DO CONSELHO TUTELAR</t>
  </si>
  <si>
    <t>243 Assistência à Criança e ao Adolescente</t>
  </si>
  <si>
    <t>Gasolina P/Veiculo IRS 4010  - Almoxarifado</t>
  </si>
  <si>
    <t>Lubrificantes P/Veiculo IRS 4010 - Almoxarifado</t>
  </si>
  <si>
    <t>Generos De Alimentacao - Almoxarifado</t>
  </si>
  <si>
    <t>Material de Expediente -  Almoxarifado</t>
  </si>
  <si>
    <t>Material De Limpeza e Higienizacao - Almoxarifado</t>
  </si>
  <si>
    <t>Material P/  Manutencao De Bens Imoveis - Almoxarifado</t>
  </si>
  <si>
    <t>Material de Seguranca  - Almoxarifado</t>
  </si>
  <si>
    <t>Material e Peças P/Veiculo IRS  4010 - Almoxarifado</t>
  </si>
  <si>
    <t>Material Diversos - Almoxarifado</t>
  </si>
  <si>
    <t>Despesas com Locomoção - Conselheiros Tutelares</t>
  </si>
  <si>
    <t>10 CHUVISCA MAIS PROTEGIDA</t>
  </si>
  <si>
    <t>490 DEFESA CIVIL</t>
  </si>
  <si>
    <t>182 Defesa Civil</t>
  </si>
  <si>
    <t xml:space="preserve">491 APOIO E PREV. DE EVENTOS E DESESASTRES </t>
  </si>
  <si>
    <t>31 MAIS SEGURANÇA</t>
  </si>
  <si>
    <t>796 CONVENIO PARA APOIO A BRIGADA MILITAR</t>
  </si>
  <si>
    <t>913 CONTRATO DE RATEIO CONSÓRICO INTERM. CENTRO-SUL</t>
  </si>
  <si>
    <t>/</t>
  </si>
  <si>
    <t>7000</t>
  </si>
  <si>
    <t>7200</t>
  </si>
  <si>
    <t>7300</t>
  </si>
  <si>
    <t>7400</t>
  </si>
  <si>
    <t>7500</t>
  </si>
  <si>
    <t>8100</t>
  </si>
  <si>
    <t>9100</t>
  </si>
  <si>
    <t>9200</t>
  </si>
  <si>
    <t>Custo de Aquisicção: Equip. e Utensilios Domesticos</t>
  </si>
  <si>
    <t>Custo de Aquisicção: Mobiliário</t>
  </si>
  <si>
    <t>Custo de Aquisicção: Equip. de Informatica</t>
  </si>
  <si>
    <t>Custo de Aquisicção: Equipamentos de Comunicação</t>
  </si>
  <si>
    <t>Ferias Indenizadas Serv. Efetivos</t>
  </si>
  <si>
    <t>Ferias Indenizadas Serv. C.C.</t>
  </si>
  <si>
    <t>13º Salario Serv. Efetivos</t>
  </si>
  <si>
    <t>13º Salario Serv. C.C.</t>
  </si>
  <si>
    <t>Férias Serv. Efetivos</t>
  </si>
  <si>
    <t>Férias Serv. C.C.</t>
  </si>
  <si>
    <t>Subvençoes Sociais - Corede</t>
  </si>
  <si>
    <t>002.004.031</t>
  </si>
  <si>
    <t>Subvençoes Sociais - Consepro</t>
  </si>
  <si>
    <t>103  002.004.030  Subvençoes Sociais - Corede</t>
  </si>
  <si>
    <t>1741  002.004.031  Subvençoes Sociais - Consepro</t>
  </si>
  <si>
    <t>69  002.004.004  Diárias Prefeito</t>
  </si>
  <si>
    <t>70  002.004.005  Diárias Vice Prefeito</t>
  </si>
  <si>
    <t>68  002.004.003  Diárias Servidores C.C.</t>
  </si>
  <si>
    <t>65  002.004.000  CUSTEIO OPERACIONAL</t>
  </si>
  <si>
    <t>66  002.004.001  Diárias Servidores Efetivos</t>
  </si>
  <si>
    <t>95  002.005.001  Combustível Veículo IVY 8350</t>
  </si>
  <si>
    <t>96  002.005.002  Lubrificantes Veículo IVY 8350</t>
  </si>
  <si>
    <t>1682  002.005.007  Combustível Veículo ITP 0262</t>
  </si>
  <si>
    <t>1683  002.005.008  Combustível Veículo IRS 4010</t>
  </si>
  <si>
    <t>72  002.004.007  Gas de Cozinha</t>
  </si>
  <si>
    <t>71  002.004.006  Generos alimenticios</t>
  </si>
  <si>
    <t>75  002.004.010  Material Expediente</t>
  </si>
  <si>
    <t>76  002.004.011  Suprimentos de Informática</t>
  </si>
  <si>
    <t>73  002.004.008  Material de Copa e Cozinha</t>
  </si>
  <si>
    <t>74  002.004.009  Material de Limpeza</t>
  </si>
  <si>
    <t>77  002.004.012  Manutenção de Bens Imóveis</t>
  </si>
  <si>
    <t>002.004.032</t>
  </si>
  <si>
    <t>Materiais de Segurança e Prevenção de Incêndio</t>
  </si>
  <si>
    <t>1742  002.004.032  Material Elétrico</t>
  </si>
  <si>
    <t>97  002.005.003  Material e Peças Veículo IVY 8350</t>
  </si>
  <si>
    <t>1744  001.004.034  Materiais Diversos</t>
  </si>
  <si>
    <t>Material de Divulgação</t>
  </si>
  <si>
    <t>002.004.033</t>
  </si>
  <si>
    <t>002.004.034</t>
  </si>
  <si>
    <t>002.004.035</t>
  </si>
  <si>
    <t>1743  002.004.033  Materiais de Segurança e Prevenção de Incêndio</t>
  </si>
  <si>
    <t>1745  002.004.035  Material de Divulgação</t>
  </si>
  <si>
    <t>002.004.036</t>
  </si>
  <si>
    <t>002.004.037</t>
  </si>
  <si>
    <t>002.004.038</t>
  </si>
  <si>
    <t>002.004.039</t>
  </si>
  <si>
    <t>Despesas C/Locomoção Serv. Efetivos</t>
  </si>
  <si>
    <t>Despesas C/Locomoção Serv. Contratados</t>
  </si>
  <si>
    <t>Despesas C/Locomoção Serv. C.C.</t>
  </si>
  <si>
    <t>Despesas C/Locomoção  Agente Político</t>
  </si>
  <si>
    <t>1746  002.004.036  Despesas C/Locomoção Serv. Efetivos</t>
  </si>
  <si>
    <t>1748  002.004.038  Despesas C/Locomoção Serv. C.C.</t>
  </si>
  <si>
    <t>1749  002.004.039  Despesas C/Locomoção  Agente Político</t>
  </si>
  <si>
    <t>002.004.040</t>
  </si>
  <si>
    <t>Assessoria e Consultoria</t>
  </si>
  <si>
    <t>1750  002.004.040  Assessoria e Consultoria</t>
  </si>
  <si>
    <t>91  002.004.026  Servicos Técnicos Profissionais</t>
  </si>
  <si>
    <t>002.004.041</t>
  </si>
  <si>
    <t>002.004.042</t>
  </si>
  <si>
    <t>Prestação de Serviços Autonômos</t>
  </si>
  <si>
    <t>1752  002.004.042  Prestação de Serviços Autonômos</t>
  </si>
  <si>
    <t>002.004.043</t>
  </si>
  <si>
    <t>1753  002.004.043  Assinaturas Jornais e Periodicos</t>
  </si>
  <si>
    <t>98  002.005.004  Manutenção Veículo IVY 8350</t>
  </si>
  <si>
    <t>79  002.004.014  Manutenção de Mobiliário</t>
  </si>
  <si>
    <t>84  002.004.019  Telefone Fixo</t>
  </si>
  <si>
    <t>85  002.004.020  Telefone Celular</t>
  </si>
  <si>
    <t>002.004.044</t>
  </si>
  <si>
    <t>1754  002.004.044  Serviços Gráficos</t>
  </si>
  <si>
    <t>99  002.005.005  Seguro e Licenciamento Veículo IVY 8350</t>
  </si>
  <si>
    <t>002.004.045</t>
  </si>
  <si>
    <t>002.004.046</t>
  </si>
  <si>
    <t>002.004.047</t>
  </si>
  <si>
    <t>002.004.048</t>
  </si>
  <si>
    <t>002.004.049</t>
  </si>
  <si>
    <t>002.004.050</t>
  </si>
  <si>
    <t>002.004.051</t>
  </si>
  <si>
    <t>002.004.052</t>
  </si>
  <si>
    <t>1759  002.004.049  Seleção e Treinamento: Serv. Efetivos</t>
  </si>
  <si>
    <t>1761  002.004.051  Seleção e Treinamento: Serv. C.C.</t>
  </si>
  <si>
    <t>1762  002.004.052  Seleção e Treinamento: Agente Político</t>
  </si>
  <si>
    <t>1756  002.004.046  Servicos De Publicidade Institucional</t>
  </si>
  <si>
    <t>1755  002.004.045  Servicos De Publicidade Legal</t>
  </si>
  <si>
    <t>1757  002.004.047  Servicos De Publicidade Util. Publica</t>
  </si>
  <si>
    <t>78  002.004.013  Manutenção de Eq. Informática</t>
  </si>
  <si>
    <t>86  002.004.021  Estagiários</t>
  </si>
  <si>
    <t>90  002.004.025  Mensalidade AMZCS</t>
  </si>
  <si>
    <t>88  002.004.023  Mensalidade FAMURS</t>
  </si>
  <si>
    <t>89  002.004.024  Mensalidade CNM</t>
  </si>
  <si>
    <t>1751  002.004.041  Serviços Diversos</t>
  </si>
  <si>
    <t>100  002.005.006  Multas de Trânsito Veículo IVY 8350</t>
  </si>
  <si>
    <t>002.004.053</t>
  </si>
  <si>
    <t>102  002.004.029  Auxilio Transporte</t>
  </si>
  <si>
    <t>1758  002.004.048  Ressarcimentos Diversos</t>
  </si>
  <si>
    <t>1570  002.010.001  Contrato de Rateio P/Despesas com Pessoal</t>
  </si>
  <si>
    <t>1569  002.010.000  CONSÓRCIO INTERMUNICIPAL CENTRO-SUL</t>
  </si>
  <si>
    <t>134  002.008.000  APOIO A BRIGADA MILITAR</t>
  </si>
  <si>
    <t>002.008.008</t>
  </si>
  <si>
    <t>Combustiveis Veículo</t>
  </si>
  <si>
    <t>1764  002.008.008  Combustiveis Veículo</t>
  </si>
  <si>
    <t>140  002.008.004  Agua</t>
  </si>
  <si>
    <t>138  002.008.002  Manutenção de Veiculo</t>
  </si>
  <si>
    <t>137  002.008.001  Locação de Imóvel</t>
  </si>
  <si>
    <t>143  002.008.007  Geral</t>
  </si>
  <si>
    <t>139  002.008.003  Energia Elétrica</t>
  </si>
  <si>
    <t>142  002.008.006  Internet</t>
  </si>
  <si>
    <t>101  002.006.000  CONSELHO TUTELAR</t>
  </si>
  <si>
    <t>104  002.006.001  Pessoal e Encargos Sociais</t>
  </si>
  <si>
    <t>105  002.006.002  Diárias Conselheiros</t>
  </si>
  <si>
    <t>Diarias  Conselheiros</t>
  </si>
  <si>
    <t>106  002.006.003  Diárias Servidores Efetivos</t>
  </si>
  <si>
    <t>107  002.006.004  Diárias Servidores Contratados</t>
  </si>
  <si>
    <t>114  002.006.011  Lubrificantes Veiculo IRS 4010</t>
  </si>
  <si>
    <t>113  002.006.010  Combustivel Veiculo IRS 4010</t>
  </si>
  <si>
    <t>112  002.006.009  Gas de Cozinha</t>
  </si>
  <si>
    <t>109  002.006.006  Generos Alimentícios</t>
  </si>
  <si>
    <t>111  002.006.008  Material de Expediente</t>
  </si>
  <si>
    <t>129  002.006.026  Manutenção de Equipamentos de Informatica</t>
  </si>
  <si>
    <t>122  002.006.019  Serviço de Limpeza e Conservação</t>
  </si>
  <si>
    <t>Gasolina P/Veiculo ITP 0262 -  Aq. Imediata</t>
  </si>
  <si>
    <t>Gasolina P/Veiculo IRS 4010 -  Aq. Imediata</t>
  </si>
  <si>
    <t>062.000.000</t>
  </si>
  <si>
    <t>AQUISIÇÃO DE MATERIAIS, BENS E SERVICOS CONSÓRCIO INTERM. CENTROSUL</t>
  </si>
  <si>
    <t>062.001.000</t>
  </si>
  <si>
    <t>062.001.001</t>
  </si>
  <si>
    <t>062.001.002</t>
  </si>
  <si>
    <t>1765  062.000.000  AQUISIÇÃO DE MATERIAIS, BENS E SERVICOS CONSÓRCIO INTERM. CENTROSUL</t>
  </si>
  <si>
    <t>1767  062.001.001  Material de Expediente</t>
  </si>
  <si>
    <t>Material de Expediente  - Aq. por Consórcio</t>
  </si>
  <si>
    <t>1479  002.006.030  Agua Mineral</t>
  </si>
  <si>
    <t>Material de Informática - Almoxarifado</t>
  </si>
  <si>
    <t>132  002.006.029  Geral</t>
  </si>
  <si>
    <t>115  002.006.012  Material e Peças Veiculo IRS 4010</t>
  </si>
  <si>
    <t>Material Diversos - Aq. Imediata</t>
  </si>
  <si>
    <t>8200</t>
  </si>
  <si>
    <t>8300</t>
  </si>
  <si>
    <t>Valor Realizado</t>
  </si>
  <si>
    <t>Gasolina P/Veiculo Placas ABK 7176</t>
  </si>
  <si>
    <t>Lubrificantes P/ Veiculo Placas ABK 7176</t>
  </si>
  <si>
    <t>Material e Peças P/Manutenção Grade Arrastão</t>
  </si>
  <si>
    <t>Material e Peças Veiculo Placas ABK 7176</t>
  </si>
  <si>
    <t>Manutenção Gerador de Energia</t>
  </si>
  <si>
    <t>Manutenção Ensiladeira</t>
  </si>
  <si>
    <t>Prestação de Serviços Veiculo Placas ABK 7176</t>
  </si>
  <si>
    <t>Lavagem e Lubrificação  Veiculo Placas ABK 7176</t>
  </si>
  <si>
    <t>Seguros Veiculo Placas ABK 7176</t>
  </si>
  <si>
    <t>Material de Limpeza e Higienização</t>
  </si>
  <si>
    <t>Autepeças e Materiais</t>
  </si>
  <si>
    <t>Custo de aquisição: Instalação de Ar Condicionado</t>
  </si>
  <si>
    <t>Despesa Realizada</t>
  </si>
  <si>
    <t>Descrição da Unidade</t>
  </si>
  <si>
    <t>Orgão</t>
  </si>
  <si>
    <t>Descrição da Orgão</t>
  </si>
  <si>
    <t>Unidade</t>
  </si>
  <si>
    <t>01</t>
  </si>
  <si>
    <t>02</t>
  </si>
  <si>
    <t>03</t>
  </si>
  <si>
    <t>04</t>
  </si>
  <si>
    <t>10</t>
  </si>
  <si>
    <t>PREFEITURA MUNICIPAL DE CHUVISCA</t>
  </si>
  <si>
    <t>3.3.9.0.47.00.00.0000</t>
  </si>
  <si>
    <t>4.4.9.0.30.00.00.0000</t>
  </si>
  <si>
    <t>4.4.9.0.36.00.00.0000</t>
  </si>
  <si>
    <t>4.4.9.0.39.00.00.0000</t>
  </si>
  <si>
    <t>4.4.9.0.52.00.00.0000</t>
  </si>
  <si>
    <t>3.1.9.0.11.00.00.0000</t>
  </si>
  <si>
    <t>3.1.9.0.13.00.00.0000</t>
  </si>
  <si>
    <t>3.1.9.0.16.00.00.0000</t>
  </si>
  <si>
    <t>3.3.5.0.43.00.00.0000</t>
  </si>
  <si>
    <t>3.3.9.0.14.00.00.0000</t>
  </si>
  <si>
    <t>3.3.9.0.30.00.00.0000</t>
  </si>
  <si>
    <t>3.3.9.0.32.00.00.0000</t>
  </si>
  <si>
    <t>3.3.9.0.33.00.00.0000</t>
  </si>
  <si>
    <t>3.3.9.0.36.00.00.0000</t>
  </si>
  <si>
    <t>3.3.9.0.39.00.00.0000</t>
  </si>
  <si>
    <t>3.3.9.0.46.00.00.0000</t>
  </si>
  <si>
    <t>3.3.9.0.49.00.00.0000</t>
  </si>
  <si>
    <t>3.3.9.0.93.00.00.0000</t>
  </si>
  <si>
    <t>3.1.7.1.70.00.00.0000</t>
  </si>
  <si>
    <t>Transferencias  A Consórcios Públicos</t>
  </si>
  <si>
    <t>4.4.9.0.51.00.00.0000</t>
  </si>
  <si>
    <t>4.4.9.0.61.00.00.0000</t>
  </si>
  <si>
    <t>3.1.9.0.04.00.00.0000</t>
  </si>
  <si>
    <t>3.3.9.0.35.00.00.0000</t>
  </si>
  <si>
    <t>3.3.3.0.93.00.00.0000</t>
  </si>
  <si>
    <t>3.3.9.3.30.00.00.0000</t>
  </si>
  <si>
    <t>3.3.9.0.31.00.00.0000</t>
  </si>
  <si>
    <t>3.1.9.0.08.00.00.0000</t>
  </si>
  <si>
    <t>3.1.9.0.91.00.00.0000</t>
  </si>
  <si>
    <t>3.1.9.0.91.06.00.0000</t>
  </si>
  <si>
    <t>3.3.9.0.39.81.00.0000</t>
  </si>
  <si>
    <t>3.3.9.0.47.12.00.0000</t>
  </si>
  <si>
    <t>3.3.9.0.47.15.00.0000</t>
  </si>
  <si>
    <t>3.3.9.0.47.16.00.0000</t>
  </si>
  <si>
    <t>4.4.2.0.93.00.00.0000</t>
  </si>
  <si>
    <t>4.4.3.0.93.00.00.0000</t>
  </si>
  <si>
    <t>4.6.9.0.71.00.00.0000</t>
  </si>
  <si>
    <t>3.3.9.0.47.18.00.0000</t>
  </si>
  <si>
    <t>3.3.9.0.47.20.00.0000</t>
  </si>
  <si>
    <t>4.4.9.0.52.12.00.0000</t>
  </si>
  <si>
    <t>4.4.9.0.52.35.00.0000</t>
  </si>
  <si>
    <t>4.4.9.0.52.42.00.0000</t>
  </si>
  <si>
    <t>3.1.9.0.04.15.00.0000</t>
  </si>
  <si>
    <t>3.1.9.0.11.04.00.0000</t>
  </si>
  <si>
    <t>3.1.9.0.11.33.00.0000</t>
  </si>
  <si>
    <t>3.1.9.0.11.37.00.0000</t>
  </si>
  <si>
    <t>3.1.9.0.16.44.00.0000</t>
  </si>
  <si>
    <t>3.3.9.0.30.07.00.0000</t>
  </si>
  <si>
    <t>3.3.9.0.30.17.00.0000</t>
  </si>
  <si>
    <t>3.3.9.0.30.99.00.0000</t>
  </si>
  <si>
    <t>3.3.9.0.36.06.00.0000</t>
  </si>
  <si>
    <t>3.3.9.0.36.15.00.0000</t>
  </si>
  <si>
    <t>3.3.9.0.36.25.00.0000</t>
  </si>
  <si>
    <t>3.3.9.0.39.01.00.0000</t>
  </si>
  <si>
    <t>3.3.9.0.39.05.00.0000</t>
  </si>
  <si>
    <t>3.3.9.0.39.43.00.0000</t>
  </si>
  <si>
    <t>3.3.9.0.39.44.00.0000</t>
  </si>
  <si>
    <t>3.3.9.0.39.48.00.0000</t>
  </si>
  <si>
    <t>3.3.9.0.39.63.00.0000</t>
  </si>
  <si>
    <t>3.3.9.0.39.95.00.0000</t>
  </si>
  <si>
    <t>3.3.9.0.49.01.00.0000</t>
  </si>
  <si>
    <t>3.3.9.3.30.02.00.0000</t>
  </si>
  <si>
    <t>3.3.9.0.39.16.00.0000</t>
  </si>
  <si>
    <t>4.4.9.0.52.52.00.0000</t>
  </si>
  <si>
    <t>3.1.9.0.11.45.00.0000</t>
  </si>
  <si>
    <t>3.3.9.0.30.16.00.0000</t>
  </si>
  <si>
    <t>3.3.9.0.30.24.00.0000</t>
  </si>
  <si>
    <t>3.3.9.0.39.11.00.0000</t>
  </si>
  <si>
    <t>4.4.9.0.51.99.00.0000</t>
  </si>
  <si>
    <t>3.1.9.0.11.42.00.0000</t>
  </si>
  <si>
    <t>3.1.9.0.11.43.00.0000</t>
  </si>
  <si>
    <t>3.3.9.0.30.04.00.0000</t>
  </si>
  <si>
    <t>3.3.9.0.30.14.00.0000</t>
  </si>
  <si>
    <t>3.3.9.0.92.00.00.0000</t>
  </si>
  <si>
    <t>3.1.9.0.04.99.00.0000</t>
  </si>
  <si>
    <t>3.3.9.0.33.01.00.0000</t>
  </si>
  <si>
    <t>Outros Servicos De Terceiros-Pessoa Juridica</t>
  </si>
  <si>
    <t>4.4.9.0.52.34.00.0000</t>
  </si>
  <si>
    <t>3.3.9.0.30.28.00.0000</t>
  </si>
  <si>
    <t>3.3.9.0.39.22.00.0000</t>
  </si>
  <si>
    <t>3.3.9.0.30.44.00.0000</t>
  </si>
  <si>
    <t>3.3.9.0.31.99.00.0000</t>
  </si>
  <si>
    <t>3.3.9.0.36.23.00.0000</t>
  </si>
  <si>
    <t>3.3.9.0.31.04.00.0000</t>
  </si>
  <si>
    <t>4.4.9.0.30.25.00.0000</t>
  </si>
  <si>
    <t>4.4.9.0.52.08.00.0000</t>
  </si>
  <si>
    <t>3.1.9.0.11.07.00.0000</t>
  </si>
  <si>
    <t>3.1.9.0.11.47.00.0000</t>
  </si>
  <si>
    <t>3.3.9.0.36.22.00.0000</t>
  </si>
  <si>
    <t>3.3.9.0.30.09.00.0000</t>
  </si>
  <si>
    <t>3.3.9.0.30.19.00.0000</t>
  </si>
  <si>
    <t>3.3.9.0.36.30.00.0000</t>
  </si>
  <si>
    <t>3.3.9.0.39.50.00.0000</t>
  </si>
  <si>
    <t>3.3.9.3.30.01.00.0000</t>
  </si>
  <si>
    <t>3.3.9.3.39.00.00.0000</t>
  </si>
  <si>
    <t>3.3.9.3.39.01.00.0000</t>
  </si>
  <si>
    <t>3.3.9.0.30.18.00.0000</t>
  </si>
  <si>
    <t>3.3.9.0.30.36.00.0000</t>
  </si>
  <si>
    <t>3.3.9.0.32.99.00.0000</t>
  </si>
  <si>
    <t>4.4.9.0.30.99.00.0000</t>
  </si>
  <si>
    <t>4.4.9.0.52.33.00.0000</t>
  </si>
  <si>
    <t>3.3.6.0.45.00.00.0000</t>
  </si>
  <si>
    <t>3.3.9.0.30.40.00.0000</t>
  </si>
  <si>
    <t>3.3.3.0.41.00.00.0000</t>
  </si>
  <si>
    <t>3.3.9.0.39.53.00.0000</t>
  </si>
  <si>
    <t>3.3.5.0.43.01.00.0000</t>
  </si>
  <si>
    <t>3.3.5.0.43.99.00.0000</t>
  </si>
  <si>
    <t>3.3.9.0.32.03.00.0000</t>
  </si>
  <si>
    <t>3.3.9.0.39.12.00.0000</t>
  </si>
  <si>
    <t>3.1.7.1.00.00.00.0000</t>
  </si>
  <si>
    <t>Rateio Pela Participação Em Consórcio Público</t>
  </si>
  <si>
    <t>3.1.7.1.70.01.00.0000</t>
  </si>
  <si>
    <t>3.1.9.0.04.01.00.0000</t>
  </si>
  <si>
    <t>Professores Substitutos/Visitantes</t>
  </si>
  <si>
    <t>3.1.9.0.08.99.00.0000</t>
  </si>
  <si>
    <t>3.1.9.0.11.01.00.0000</t>
  </si>
  <si>
    <t>3.1.9.0.11.31.00.0000</t>
  </si>
  <si>
    <t>Licenca-Premio</t>
  </si>
  <si>
    <t>3.1.9.0.11.73.00.0000</t>
  </si>
  <si>
    <t>3.1.9.0.11.74.00.0000</t>
  </si>
  <si>
    <t>3.1.9.0.11.99.00.0000</t>
  </si>
  <si>
    <t>3.1.9.0.13.01.00.0000</t>
  </si>
  <si>
    <t>3.1.9.0.13.02.00.0000</t>
  </si>
  <si>
    <t>3.1.9.0.13.99.00.0000</t>
  </si>
  <si>
    <t>3.2.0.0.00.00.00.0000</t>
  </si>
  <si>
    <t>3.2.9.0.00.00.00.0000</t>
  </si>
  <si>
    <t>3.3.3.0.41.39.00.0000</t>
  </si>
  <si>
    <t>Instituicoes De Carater Assistencial,  Cultural E Educacional</t>
  </si>
  <si>
    <t>Subvencoes Economicas</t>
  </si>
  <si>
    <t>3.3.9.0.14.14.00.0000</t>
  </si>
  <si>
    <t>3.3.9.0.14.99.00.0000</t>
  </si>
  <si>
    <t>3.3.9.0.30.01.00.0000</t>
  </si>
  <si>
    <t>Combustiveis  Automotivos</t>
  </si>
  <si>
    <t>3.3.9.0.30.03.00.0000</t>
  </si>
  <si>
    <t>Combustiveis E Lubrificantes  P/  Outras Finalidades</t>
  </si>
  <si>
    <t>Materiais E Medicamentos P/  Uso Veterinario</t>
  </si>
  <si>
    <t>3.3.9.0.30.21.00.0000</t>
  </si>
  <si>
    <t>3.3.9.0.30.22.00.0000</t>
  </si>
  <si>
    <t>Material De Limpeza E Produtos  De Higienizacao</t>
  </si>
  <si>
    <t>3.3.9.0.30.23.00.0000</t>
  </si>
  <si>
    <t>Material P/  Manutencao De Bens Imoveis</t>
  </si>
  <si>
    <t>3.3.9.0.30.25.00.0000</t>
  </si>
  <si>
    <t>Material P/  Manutencao De Bens Moveis</t>
  </si>
  <si>
    <t>3.3.9.0.30.26.00.0000</t>
  </si>
  <si>
    <t>3.3.9.0.30.31.00.0000</t>
  </si>
  <si>
    <t>3.3.9.0.30.39.00.0000</t>
  </si>
  <si>
    <t>Material P/  Manutencao De Veiculos</t>
  </si>
  <si>
    <t>3.3.9.0.30.50.00.0000</t>
  </si>
  <si>
    <t>3.3.9.0.32.04.00.0000</t>
  </si>
  <si>
    <t>3.3.9.0.32.05.00.0000</t>
  </si>
  <si>
    <t>3.3.9.0.32.09.00.0000</t>
  </si>
  <si>
    <t>3.3.9.0.33.08.00.0000</t>
  </si>
  <si>
    <t>3.3.9.0.33.99.00.0000</t>
  </si>
  <si>
    <t>3.3.9.0.35.01.00.0000</t>
  </si>
  <si>
    <t>3.3.9.0.36.20.00.0000</t>
  </si>
  <si>
    <t>Manutencao E Conservacao  De Bens Imoveis</t>
  </si>
  <si>
    <t>3.3.9.0.36.28.00.0000</t>
  </si>
  <si>
    <t>3.3.9.0.36.99.00.0000</t>
  </si>
  <si>
    <t>3.3.9.0.39.08.00.0000</t>
  </si>
  <si>
    <t>3.3.9.0.39.14.00.0000</t>
  </si>
  <si>
    <t>Locacao Bens Moveis,  Outras Naturezas E Intangiveis</t>
  </si>
  <si>
    <t>3.3.9.0.39.17.00.0000</t>
  </si>
  <si>
    <t>Manutencao  E Conservacao Da Frota  De Maquinas E Equipamentos</t>
  </si>
  <si>
    <t>3.3.9.0.39.19.00.0000</t>
  </si>
  <si>
    <t>3.3.9.0.39.30.00.0000</t>
  </si>
  <si>
    <t>3.3.9.0.39.47.00.0000</t>
  </si>
  <si>
    <t>Servicos Medico-Hospitalar, Odontologicos  E Laboratoriais</t>
  </si>
  <si>
    <t>3.3.9.0.39.57.00.0000</t>
  </si>
  <si>
    <t>Servicos De Processamento  De Dados</t>
  </si>
  <si>
    <t>3.3.9.0.39.58.00.0000</t>
  </si>
  <si>
    <t>3.3.9.0.39.69.00.0000</t>
  </si>
  <si>
    <t>3.3.9.0.39.78.00.0000</t>
  </si>
  <si>
    <t>3.3.9.0.39.90.00.0000</t>
  </si>
  <si>
    <t>3.3.9.0.39.92.00.0000</t>
  </si>
  <si>
    <t>3.3.9.0.39.93.00.0000</t>
  </si>
  <si>
    <t>3.3.9.0.39.99.00.0000</t>
  </si>
  <si>
    <t>Auxilio-Alimentacao</t>
  </si>
  <si>
    <t>3.3.9.0.46.01.00.0000</t>
  </si>
  <si>
    <t>Indenizacao Auxilio-Alimentacao</t>
  </si>
  <si>
    <t>Contribuicao P/  O Pis/Pasep</t>
  </si>
  <si>
    <t>Contribuicoes  Previdenciarias-Servicos De Terceiros</t>
  </si>
  <si>
    <t>Obrigacoes Patronais Sobre Servicos De  Pessoa Juridica</t>
  </si>
  <si>
    <t>Indenizacao Auxilio-Transporte</t>
  </si>
  <si>
    <t>3.3.9.0.92.39.00.0000</t>
  </si>
  <si>
    <t>3.3.9.0.93.99.00.0000</t>
  </si>
  <si>
    <t>3.3.9.3.00.00.00.0000</t>
  </si>
  <si>
    <t>Aplicação Direta Decorrente De Consórcio Público</t>
  </si>
  <si>
    <t>3.3.9.3.30.05.00.0000</t>
  </si>
  <si>
    <t>Outros Serviços De Terceiros - Pessoa Jurídica</t>
  </si>
  <si>
    <t>4.4.9.0.30.24.00.0000</t>
  </si>
  <si>
    <t>4.4.9.0.36.99.00.0000</t>
  </si>
  <si>
    <t>Outros Servicos De Terceiros - Pessoa  Fisica</t>
  </si>
  <si>
    <t>4.4.9.0.39.99.00.0000</t>
  </si>
  <si>
    <t>4.4.9.0.52.06.00.0000</t>
  </si>
  <si>
    <t>Maquinas,  Utensilios E Equipamentos  Diversos</t>
  </si>
  <si>
    <t>4.4.9.0.52.38.00.0000</t>
  </si>
  <si>
    <t>4.4.9.0.61.03.00.0000</t>
  </si>
  <si>
    <t>4.6.0.0.00.00.00.0000</t>
  </si>
  <si>
    <t>4.6.9.0.00.00.00.0000</t>
  </si>
  <si>
    <t>9.0.0.0.00.00.00.0000</t>
  </si>
  <si>
    <t>9.9.0.0.00.00.00.0000</t>
  </si>
  <si>
    <t>9.9.9.9.00.00.00.0000</t>
  </si>
  <si>
    <t>3.1.9.0.11.02.00.0000</t>
  </si>
  <si>
    <t>Vencimentos Professores</t>
  </si>
  <si>
    <t>Remuneração Conselho Tutelar</t>
  </si>
  <si>
    <t>3.1.9.0.13.15.00.0000</t>
  </si>
  <si>
    <t>3.3.9.0.08.00.00.0000</t>
  </si>
  <si>
    <t>Outros Benefícios Assistênciais</t>
  </si>
  <si>
    <t>3.3.9.0.08.54.00.0000</t>
  </si>
  <si>
    <t>Auxílio Funeral</t>
  </si>
  <si>
    <t>,</t>
  </si>
  <si>
    <t>3.3.9.0.30.10.00.0000</t>
  </si>
  <si>
    <t>Material Odontológico</t>
  </si>
  <si>
    <t>3.3.9.0.30.54.00.0000</t>
  </si>
  <si>
    <t>Material Para Manutençao E Conservação De Estradas e Vias</t>
  </si>
  <si>
    <t>3.3.9.0.39.20.00.0000</t>
  </si>
  <si>
    <t>Manutencao E Conservacao De Bens Móveis</t>
  </si>
  <si>
    <t>3.3.9.0.91.00.00.0000</t>
  </si>
  <si>
    <t>Sentenças Judiciais</t>
  </si>
  <si>
    <t>4.4.9.0.52.26.00.0000</t>
  </si>
  <si>
    <t>Instrumentos Musicais  e Artisticos</t>
  </si>
  <si>
    <t>4.4.9.0.52.40.00.0000</t>
  </si>
  <si>
    <t>Maquinas e Implementos Agricolas</t>
  </si>
  <si>
    <t>Principal da Dívida por Contrato</t>
  </si>
  <si>
    <t>4.6.9.0.71.02.00.0000</t>
  </si>
  <si>
    <t>4.6.9.0.71.99.00.0000</t>
  </si>
  <si>
    <t>Amortização da Dívida Contratada com Governo</t>
  </si>
  <si>
    <t>Amortização Parcelas Programa Caminhos da Escola</t>
  </si>
  <si>
    <t>3.3.7.1.39.00.00.0000</t>
  </si>
  <si>
    <t>3.2.9.0.21.02.00.0000</t>
  </si>
  <si>
    <t>3.2.9.0.21.99.00.0000</t>
  </si>
  <si>
    <t>Juros Sobre a Divida Contratada com Governo</t>
  </si>
  <si>
    <t>Amortização de Juros Programa Caminhos da Escola</t>
  </si>
  <si>
    <t>Arrec. Até Agosto de 2015</t>
  </si>
  <si>
    <t>3.1.9.0.16.04.00.0000</t>
  </si>
  <si>
    <t>Convocação Extraordinaria</t>
  </si>
  <si>
    <t>3.3.9.0.30.15.00.0000</t>
  </si>
  <si>
    <t>Material P/Festividades e Homenagens</t>
  </si>
  <si>
    <t>3.3.9.0.30.29.00.0000</t>
  </si>
  <si>
    <t>Material P/Audio, Video e Foto</t>
  </si>
  <si>
    <t>3.3.9.0.31.01.00.0000</t>
  </si>
  <si>
    <t>4.4.9.0.52.18.00.0000</t>
  </si>
  <si>
    <t>Coleções e Materiais Bibliográficos</t>
  </si>
  <si>
    <t>3.3.3.0.93.39.00.0000</t>
  </si>
  <si>
    <t>Equip. de Informática</t>
  </si>
  <si>
    <t>Custo de Construção de Obras e Instalações</t>
  </si>
  <si>
    <t>501/500</t>
  </si>
  <si>
    <t>502/500</t>
  </si>
  <si>
    <t>Custo de Construção de Obras e Instalações:  Obrigações Tributarias e Contributivas</t>
  </si>
  <si>
    <t>Custo de Construção de Obras e Instalações: INSS S/Servicos P. Fisica</t>
  </si>
  <si>
    <t>Custo de Construção de Obras e Instalações: INSS S/Serv. P. Juridica e M.E.I.</t>
  </si>
  <si>
    <t>601/600</t>
  </si>
  <si>
    <t>701/700</t>
  </si>
  <si>
    <t>901/900</t>
  </si>
  <si>
    <t>Custo de Construção de Obras e Instalações: Material De Consumo</t>
  </si>
  <si>
    <t>Custo de Construção de Obras e Instalações: Outros Servicos De Terceiros- Pessoa Juridica</t>
  </si>
  <si>
    <t xml:space="preserve">Custo de Construção de Obras e Instalações: Ampliação, Reforma  e Construção </t>
  </si>
  <si>
    <t>Custo de Construção de Obras e Instalações:  Material de Consumo</t>
  </si>
  <si>
    <t>Custo de Construção de Obras e Instalações: Outros Serviços De Terceiros- Pessoa Fisica</t>
  </si>
  <si>
    <t>Custo de Construção de Obras e Instalações: Serviços P. Fisica</t>
  </si>
  <si>
    <t>Custo de Construção de Obras e Instalações: Serviços P. Jurídica</t>
  </si>
  <si>
    <t>Custo de Aquisição: Outros Serviços De Terceiros- Pessoa Fisica</t>
  </si>
  <si>
    <t>Custo de Aquisição: Equip. de Informática</t>
  </si>
  <si>
    <r>
      <t>1705/</t>
    </r>
    <r>
      <rPr>
        <b/>
        <sz val="11"/>
        <color indexed="8"/>
        <rFont val="Calibri"/>
        <family val="2"/>
      </rPr>
      <t>1700</t>
    </r>
  </si>
  <si>
    <r>
      <t>1308/</t>
    </r>
    <r>
      <rPr>
        <b/>
        <sz val="11"/>
        <color indexed="8"/>
        <rFont val="Calibri"/>
        <family val="2"/>
      </rPr>
      <t>1700</t>
    </r>
  </si>
  <si>
    <r>
      <t>1707/</t>
    </r>
    <r>
      <rPr>
        <b/>
        <sz val="11"/>
        <color indexed="8"/>
        <rFont val="Calibri"/>
        <family val="2"/>
      </rPr>
      <t>1700</t>
    </r>
  </si>
  <si>
    <r>
      <t>1708/</t>
    </r>
    <r>
      <rPr>
        <b/>
        <sz val="11"/>
        <color indexed="8"/>
        <rFont val="Calibri"/>
        <family val="2"/>
      </rPr>
      <t>1700</t>
    </r>
  </si>
  <si>
    <r>
      <t>2002/</t>
    </r>
    <r>
      <rPr>
        <b/>
        <sz val="11"/>
        <color indexed="8"/>
        <rFont val="Calibri"/>
        <family val="2"/>
      </rPr>
      <t>2000</t>
    </r>
  </si>
  <si>
    <r>
      <t>2003/</t>
    </r>
    <r>
      <rPr>
        <b/>
        <sz val="11"/>
        <color indexed="8"/>
        <rFont val="Calibri"/>
        <family val="2"/>
      </rPr>
      <t>2000</t>
    </r>
  </si>
  <si>
    <r>
      <t>2004/</t>
    </r>
    <r>
      <rPr>
        <b/>
        <sz val="11"/>
        <color indexed="8"/>
        <rFont val="Calibri"/>
        <family val="2"/>
      </rPr>
      <t>2000</t>
    </r>
  </si>
  <si>
    <t>Treinamento de Servidores Efetivos</t>
  </si>
  <si>
    <t>Treinamento de Servidores Contratados</t>
  </si>
  <si>
    <t>Treinamento de Servidores C.C.</t>
  </si>
  <si>
    <t>Treinamento de  Agente Político</t>
  </si>
  <si>
    <t>1800  001.005.043  Seleção e Treinamento: Serv. Contratado</t>
  </si>
  <si>
    <t>1799  001.005.044  Seleção e Treinamento: Serv. C.C.</t>
  </si>
  <si>
    <t>1801  001.005.045  Seleção e Treinamento: Agente Político</t>
  </si>
  <si>
    <r>
      <t>2104/</t>
    </r>
    <r>
      <rPr>
        <b/>
        <sz val="11"/>
        <color indexed="8"/>
        <rFont val="Calibri"/>
        <family val="2"/>
      </rPr>
      <t>2100</t>
    </r>
  </si>
  <si>
    <t>Suprimentos de Informática  - Aq. Imediata</t>
  </si>
  <si>
    <t>Suprimentos de Informática  - Almoxarifado</t>
  </si>
  <si>
    <t>1802  001.005.046  Material de Copa e Cozinha</t>
  </si>
  <si>
    <t>Material De Limpeza e Higienização  - Aq. Imediata</t>
  </si>
  <si>
    <t>Material De Limpeza e Higienização  - Almoxarifado</t>
  </si>
  <si>
    <t>27  001.005.009  Material de Limpeza e Higienização</t>
  </si>
  <si>
    <r>
      <t>2303/</t>
    </r>
    <r>
      <rPr>
        <b/>
        <sz val="11"/>
        <color indexed="8"/>
        <rFont val="Calibri"/>
        <family val="2"/>
      </rPr>
      <t>2300</t>
    </r>
  </si>
  <si>
    <r>
      <t>2304/</t>
    </r>
    <r>
      <rPr>
        <b/>
        <sz val="11"/>
        <color indexed="8"/>
        <rFont val="Calibri"/>
        <family val="2"/>
      </rPr>
      <t>2300</t>
    </r>
  </si>
  <si>
    <t>Passagens - Servidores Efetivos</t>
  </si>
  <si>
    <t>Passagens  - Servidores C.C.</t>
  </si>
  <si>
    <t>Passagens  - Agente Político</t>
  </si>
  <si>
    <t>Locomoção Urbana - Servidores Efetivos</t>
  </si>
  <si>
    <t>Locomoção Urbana- Servidores C.C.</t>
  </si>
  <si>
    <t>Locomoção Urbana- Agente Político</t>
  </si>
  <si>
    <r>
      <t>2502/</t>
    </r>
    <r>
      <rPr>
        <b/>
        <sz val="11"/>
        <color indexed="8"/>
        <rFont val="Calibri"/>
        <family val="2"/>
      </rPr>
      <t>2500</t>
    </r>
  </si>
  <si>
    <r>
      <t>2503/</t>
    </r>
    <r>
      <rPr>
        <b/>
        <sz val="11"/>
        <color indexed="8"/>
        <rFont val="Calibri"/>
        <family val="2"/>
      </rPr>
      <t>2500</t>
    </r>
  </si>
  <si>
    <t>2600</t>
  </si>
  <si>
    <t>Serviços de Energia Elétrica</t>
  </si>
  <si>
    <t>Serviços de  Agua</t>
  </si>
  <si>
    <r>
      <t>2601/</t>
    </r>
    <r>
      <rPr>
        <b/>
        <sz val="11"/>
        <color indexed="8"/>
        <rFont val="Calibri"/>
        <family val="2"/>
      </rPr>
      <t>2600</t>
    </r>
  </si>
  <si>
    <r>
      <t>2602/</t>
    </r>
    <r>
      <rPr>
        <b/>
        <sz val="11"/>
        <color indexed="8"/>
        <rFont val="Calibri"/>
        <family val="2"/>
      </rPr>
      <t>2600</t>
    </r>
  </si>
  <si>
    <r>
      <t>2603/</t>
    </r>
    <r>
      <rPr>
        <b/>
        <sz val="11"/>
        <color indexed="8"/>
        <rFont val="Calibri"/>
        <family val="2"/>
      </rPr>
      <t>2600</t>
    </r>
  </si>
  <si>
    <r>
      <t>2604/</t>
    </r>
    <r>
      <rPr>
        <b/>
        <sz val="11"/>
        <color indexed="8"/>
        <rFont val="Calibri"/>
        <family val="2"/>
      </rPr>
      <t>2600</t>
    </r>
  </si>
  <si>
    <r>
      <t>2605/</t>
    </r>
    <r>
      <rPr>
        <b/>
        <sz val="11"/>
        <color indexed="8"/>
        <rFont val="Calibri"/>
        <family val="2"/>
      </rPr>
      <t>2600</t>
    </r>
  </si>
  <si>
    <r>
      <t>2606/</t>
    </r>
    <r>
      <rPr>
        <b/>
        <sz val="11"/>
        <color indexed="8"/>
        <rFont val="Calibri"/>
        <family val="2"/>
      </rPr>
      <t>2600</t>
    </r>
  </si>
  <si>
    <r>
      <t>2607/</t>
    </r>
    <r>
      <rPr>
        <b/>
        <sz val="11"/>
        <color indexed="8"/>
        <rFont val="Calibri"/>
        <family val="2"/>
      </rPr>
      <t>2600</t>
    </r>
  </si>
  <si>
    <r>
      <t>2608/</t>
    </r>
    <r>
      <rPr>
        <b/>
        <sz val="11"/>
        <color indexed="8"/>
        <rFont val="Calibri"/>
        <family val="2"/>
      </rPr>
      <t>2600</t>
    </r>
  </si>
  <si>
    <r>
      <t>2609/</t>
    </r>
    <r>
      <rPr>
        <b/>
        <sz val="11"/>
        <color indexed="8"/>
        <rFont val="Calibri"/>
        <family val="2"/>
      </rPr>
      <t>2600</t>
    </r>
  </si>
  <si>
    <r>
      <t>2610/</t>
    </r>
    <r>
      <rPr>
        <b/>
        <sz val="11"/>
        <color indexed="8"/>
        <rFont val="Calibri"/>
        <family val="2"/>
      </rPr>
      <t>2600</t>
    </r>
  </si>
  <si>
    <r>
      <t>2611/</t>
    </r>
    <r>
      <rPr>
        <b/>
        <sz val="11"/>
        <color indexed="8"/>
        <rFont val="Calibri"/>
        <family val="2"/>
      </rPr>
      <t>2600</t>
    </r>
  </si>
  <si>
    <r>
      <t>2612/</t>
    </r>
    <r>
      <rPr>
        <b/>
        <sz val="11"/>
        <color indexed="8"/>
        <rFont val="Calibri"/>
        <family val="2"/>
      </rPr>
      <t>2600</t>
    </r>
  </si>
  <si>
    <r>
      <t>2613/</t>
    </r>
    <r>
      <rPr>
        <b/>
        <sz val="11"/>
        <color indexed="8"/>
        <rFont val="Calibri"/>
        <family val="2"/>
      </rPr>
      <t>2600</t>
    </r>
  </si>
  <si>
    <r>
      <t>2614/</t>
    </r>
    <r>
      <rPr>
        <b/>
        <sz val="11"/>
        <color indexed="8"/>
        <rFont val="Calibri"/>
        <family val="2"/>
      </rPr>
      <t>2600</t>
    </r>
  </si>
  <si>
    <r>
      <t>2615/</t>
    </r>
    <r>
      <rPr>
        <b/>
        <sz val="11"/>
        <color indexed="8"/>
        <rFont val="Calibri"/>
        <family val="2"/>
      </rPr>
      <t>2600</t>
    </r>
  </si>
  <si>
    <r>
      <t>2616/</t>
    </r>
    <r>
      <rPr>
        <b/>
        <sz val="11"/>
        <color indexed="8"/>
        <rFont val="Calibri"/>
        <family val="2"/>
      </rPr>
      <t>2600</t>
    </r>
  </si>
  <si>
    <r>
      <t>2617/</t>
    </r>
    <r>
      <rPr>
        <b/>
        <sz val="11"/>
        <color indexed="8"/>
        <rFont val="Calibri"/>
        <family val="2"/>
      </rPr>
      <t>2600</t>
    </r>
  </si>
  <si>
    <r>
      <t>2618/</t>
    </r>
    <r>
      <rPr>
        <b/>
        <sz val="11"/>
        <color indexed="8"/>
        <rFont val="Calibri"/>
        <family val="2"/>
      </rPr>
      <t>2600</t>
    </r>
  </si>
  <si>
    <r>
      <t>2619/</t>
    </r>
    <r>
      <rPr>
        <b/>
        <sz val="11"/>
        <color indexed="8"/>
        <rFont val="Calibri"/>
        <family val="2"/>
      </rPr>
      <t>2600</t>
    </r>
  </si>
  <si>
    <r>
      <t>2620/</t>
    </r>
    <r>
      <rPr>
        <b/>
        <sz val="11"/>
        <color indexed="8"/>
        <rFont val="Calibri"/>
        <family val="2"/>
      </rPr>
      <t>2600</t>
    </r>
  </si>
  <si>
    <r>
      <t>2621/</t>
    </r>
    <r>
      <rPr>
        <b/>
        <sz val="11"/>
        <color indexed="8"/>
        <rFont val="Calibri"/>
        <family val="2"/>
      </rPr>
      <t>2600</t>
    </r>
  </si>
  <si>
    <r>
      <t>2702/</t>
    </r>
    <r>
      <rPr>
        <b/>
        <sz val="11"/>
        <color indexed="8"/>
        <rFont val="Calibri"/>
        <family val="2"/>
      </rPr>
      <t>2700</t>
    </r>
  </si>
  <si>
    <t>3100</t>
  </si>
  <si>
    <r>
      <t>3101/</t>
    </r>
    <r>
      <rPr>
        <b/>
        <sz val="11"/>
        <color indexed="8"/>
        <rFont val="Calibri"/>
        <family val="2"/>
      </rPr>
      <t>3100</t>
    </r>
  </si>
  <si>
    <t>3200</t>
  </si>
  <si>
    <r>
      <t>3201/</t>
    </r>
    <r>
      <rPr>
        <b/>
        <sz val="11"/>
        <color indexed="8"/>
        <rFont val="Calibri"/>
        <family val="2"/>
      </rPr>
      <t>3200</t>
    </r>
  </si>
  <si>
    <t>3300</t>
  </si>
  <si>
    <r>
      <t>3301/</t>
    </r>
    <r>
      <rPr>
        <b/>
        <sz val="11"/>
        <color indexed="8"/>
        <rFont val="Calibri"/>
        <family val="2"/>
      </rPr>
      <t>3300</t>
    </r>
  </si>
  <si>
    <r>
      <t>3302/</t>
    </r>
    <r>
      <rPr>
        <b/>
        <sz val="11"/>
        <color indexed="8"/>
        <rFont val="Calibri"/>
        <family val="2"/>
      </rPr>
      <t>3300</t>
    </r>
  </si>
  <si>
    <t>3500</t>
  </si>
  <si>
    <t>3600</t>
  </si>
  <si>
    <r>
      <t>3501/</t>
    </r>
    <r>
      <rPr>
        <b/>
        <sz val="11"/>
        <color indexed="8"/>
        <rFont val="Calibri"/>
        <family val="2"/>
      </rPr>
      <t>3500</t>
    </r>
  </si>
  <si>
    <r>
      <t>3502/</t>
    </r>
    <r>
      <rPr>
        <b/>
        <sz val="11"/>
        <color indexed="8"/>
        <rFont val="Calibri"/>
        <family val="2"/>
      </rPr>
      <t>3500</t>
    </r>
  </si>
  <si>
    <r>
      <t>3601/</t>
    </r>
    <r>
      <rPr>
        <b/>
        <sz val="11"/>
        <color indexed="8"/>
        <rFont val="Calibri"/>
        <family val="2"/>
      </rPr>
      <t>3600</t>
    </r>
  </si>
  <si>
    <r>
      <t>3602/</t>
    </r>
    <r>
      <rPr>
        <b/>
        <sz val="11"/>
        <color indexed="8"/>
        <rFont val="Calibri"/>
        <family val="2"/>
      </rPr>
      <t>3600</t>
    </r>
  </si>
  <si>
    <t>Custo de Aq. de Eq. e Material Perm.:  Obrigações Tributarias e Contributivas</t>
  </si>
  <si>
    <t>5200</t>
  </si>
  <si>
    <t>5300</t>
  </si>
  <si>
    <t>5400</t>
  </si>
  <si>
    <t xml:space="preserve">Subvenções Sociais : Corede, Consepro, e Outros </t>
  </si>
  <si>
    <t>Diárias P/Servidores Contratados, Efetivos, C.C. e Agente Político</t>
  </si>
  <si>
    <t>Materiais P/Manutenção do Gabinete Prefeito</t>
  </si>
  <si>
    <t>Arrecadação 2015 Reestimado</t>
  </si>
  <si>
    <t>Arrecadação 2014</t>
  </si>
  <si>
    <t>Arrecadação 2015 Até Agosto</t>
  </si>
  <si>
    <t>CFEM</t>
  </si>
  <si>
    <t>QSE</t>
  </si>
  <si>
    <t>IPI EXP.</t>
  </si>
  <si>
    <t>Fonte: Balancete da receita exercicios de 2012, 2013, 2014 e 2015(base período de janeiro a Agosto) projetado pela média para o exercicio de 2015.</t>
  </si>
  <si>
    <t>Receita De Aplicação Programa Saude da Familia</t>
  </si>
  <si>
    <t>Receita De Remun. De Dep. Rec. Vinc. - QSE</t>
  </si>
  <si>
    <t>Arrecadação        2015                     Até Agosto</t>
  </si>
  <si>
    <t>Programa Saúde da Família</t>
  </si>
  <si>
    <t>PBV-II/SCFV</t>
  </si>
  <si>
    <t>ACESSUAS</t>
  </si>
  <si>
    <t>Anos de Distribuição: 2016</t>
  </si>
  <si>
    <t>Estimativa da População 2015</t>
  </si>
  <si>
    <t xml:space="preserve">ORIGEM DADOS PAD TCE/RS. </t>
  </si>
  <si>
    <t>Rec. De Rend. De Aplic. Financ. Fmas PBV-II/SCFV</t>
  </si>
  <si>
    <t>Gestão Plena Serv. SIA  MEDIA COMPLEXIDADE</t>
  </si>
  <si>
    <t>Rede Segonha</t>
  </si>
  <si>
    <t>Servicos De Saúde</t>
  </si>
  <si>
    <t>MEDIA DA Variação do IPCA  E IGP-DI para 2016</t>
  </si>
  <si>
    <t>Variação do IPCA base informativo conjunto congresso nacional ldo uniao para 2016</t>
  </si>
  <si>
    <t>Variação do IGP - DI  base informativo conjunto congresso nacional ldo uniao para 2016</t>
  </si>
  <si>
    <t>Crescimento do PIB ( Variação Anual)  base informativo conjunto congresso nacional ldo uniao para 2016</t>
  </si>
  <si>
    <t>Taxa SELIC ( Média)  base informativo conjunto congresso nacional ldo uniao para 2016</t>
  </si>
  <si>
    <t>Taxa de Câmbio (R$/US$) – dez  base informativo conjunto congresso nacional ldo uniao para 2016</t>
  </si>
  <si>
    <t>Média de Arrecadação 2012 a 2015 - IPTU</t>
  </si>
  <si>
    <t>Média de Arrecadação 2012 a 2015 - IRRF S/Folha Pagamento</t>
  </si>
  <si>
    <t xml:space="preserve">Média de Arrecadação 2012 a 2015 - IRRF S/Serv.  </t>
  </si>
  <si>
    <t>Média de Arrecadação 2012 a 2015 - ITBI</t>
  </si>
  <si>
    <t>Média de Arrecadação 2012 a 2015 - ISS</t>
  </si>
  <si>
    <t>Média de arrecadação 2012 a 2015 - ITR</t>
  </si>
  <si>
    <t>Média de arrecadação 2012 a 2015 - Fep</t>
  </si>
  <si>
    <t>Matriculas base censo escolar 2015 - FONTE DADOS PARCIAIS DO INEP - PRE-ESCOLA</t>
  </si>
  <si>
    <t>Matriculas base censo escolar 2015 - FONTE DADOS PARCIAIS DO INEP - ANOS INICIAIS - RURAL</t>
  </si>
  <si>
    <t>Matriculas base censo escolar 2015- FONTE DADOS PARCIAIS DO INEP - ANOS FINAIS - RURAL</t>
  </si>
  <si>
    <t>Matriculas base censo escolar 2015 - FONTE DADOS PARCIAIS DO INEP - EJA</t>
  </si>
  <si>
    <t>Matriculas base censo escolar 2015 - FONTE DADOS PARCIAIS DO INEP - ED. ESPECIAL  PRE-ESCOLA</t>
  </si>
  <si>
    <t>Matriculas base censo escolar 2015 - FONTE DADOS PARCIAIS DO INEP - ED. ESPECIAL ANOS INICIAIS</t>
  </si>
  <si>
    <t>Matriculas base censo escolar 2015 - FONTE DADOS PARCIAIS DO INEP - ED. ESPECIAL ANOS FINAIS</t>
  </si>
  <si>
    <t>Estimativa de INDICE DO ICMS PARA 2016</t>
  </si>
  <si>
    <t>Estimativa de INDICE DA CIDE PARA 2016</t>
  </si>
  <si>
    <t>Estimativa de valor do FPM - 2016 pelo coeficiente 0.6</t>
  </si>
  <si>
    <t>Estimativa de valor do FPM - 2016 cota extra de 1% - Dezembro</t>
  </si>
  <si>
    <t>Estimativa de valor do FPM - 2016 cota extra de 0,75% - Julho</t>
  </si>
  <si>
    <t xml:space="preserve">Matriculas base censo escolar 2015 - FONTE DADOS PARCIAIS DO INEP - EJA ESPECIAL </t>
  </si>
  <si>
    <t>Crescimento Médio da Arrecadação</t>
  </si>
  <si>
    <t>4.1.7.2.1.01.03.00.0000</t>
  </si>
  <si>
    <t>Cota -Parte do fundo de participaçaõ dos Municipios - 1% Cota Entregue</t>
  </si>
  <si>
    <t>Cota - Fpm Cota Extra 1% Mês de Julho - Próprio</t>
  </si>
  <si>
    <t>4.1.7.2.1.01.03.01.0000</t>
  </si>
  <si>
    <t>4.1.7.2.1.01.03.02.0000</t>
  </si>
  <si>
    <t>Cota - Fpm Cota Extra 1% Mês de Julho - MDE</t>
  </si>
  <si>
    <t>4.1.7.2.1.01.03.03.0000</t>
  </si>
  <si>
    <t>Cota - Fpm Cota Extra 1% Mês de Julho - ASPS</t>
  </si>
  <si>
    <t>Cota - Fpm Cota Extra 1% Mês de Dezembro - Próprio</t>
  </si>
  <si>
    <t>Cota - Fpm Cota Extra 1% Mês de Dezembro - MDE</t>
  </si>
  <si>
    <t>Cota - Fpm Cota Extra 1% Mês de Dezembro - ASPS</t>
  </si>
  <si>
    <t>4.1.7.6.1.03.00.11.0000</t>
  </si>
  <si>
    <t>Transferencias De Convenios- Fnas ACESSUAS</t>
  </si>
  <si>
    <t>Estimativa de  Arrecadação de Receita De Aplicação Prog. ACS</t>
  </si>
  <si>
    <t>4.1.3.2.5.01.03.13.0000</t>
  </si>
  <si>
    <t>Rec. Rem. Dep. FMS SAUDE DA FAMILIA</t>
  </si>
  <si>
    <t>Estimativa de  Arrecadação de Rec. Rem. Dep. Farmacia Básica - Saude da Familia</t>
  </si>
  <si>
    <t>Receita De Aplicacao FNAS SCFV</t>
  </si>
  <si>
    <t>4.1.3.2.5.01.99.09.1200</t>
  </si>
  <si>
    <t>Receita De Aplicacao FNAS ACESSUAS</t>
  </si>
  <si>
    <t>Estimativa de  Arrecadação de Receita De Aplicação FNAS ACESSUAS</t>
  </si>
  <si>
    <t>Receita De Aplicacao - PETE/RS</t>
  </si>
  <si>
    <t>Receita De Aplic. De Sentenças Judiciais</t>
  </si>
  <si>
    <t>Estimativa de  Arrecadação de Remuneracao De Aplic. De Sentenças Judiciais</t>
  </si>
  <si>
    <t>4.1.7.2.2.33.00.99.0400</t>
  </si>
  <si>
    <t>4.1.7.2.2.33.00.99.0500</t>
  </si>
  <si>
    <t>4.1.7.2.2.33.00.99.0600</t>
  </si>
  <si>
    <t>Saude da Familia</t>
  </si>
  <si>
    <t>Estimativa de Transferencias do Estado - S.I.A.  Média Complexidade</t>
  </si>
  <si>
    <t>Estimativa de Transferencias do Estado - Rede Segonha</t>
  </si>
  <si>
    <t>Estimativa de Transferencias do Estado -  Saúde da Familia</t>
  </si>
  <si>
    <t>Cons. Pop. 2013 P/Capacitacao e Qualificacao Profissional</t>
  </si>
  <si>
    <t>Cons. Pop. 2013 P/Apoio a eventos Culturais Chuvisca</t>
  </si>
  <si>
    <t>Estimativa de Transferencias de Convenios do Estado -  consulta Popular 2013 - Qualificação Profissional</t>
  </si>
  <si>
    <t>Estimativa de Transferencias de Convenios do Estado -  consulta Popular 2015 - Qualificação Profissional</t>
  </si>
  <si>
    <t>Cons. Pop. 2015 P/Capacitacao e Qualificacao Profissional</t>
  </si>
  <si>
    <t>Cons. Pop. 2015 P/projeto de melhoria socio ambiental e desv. Sustentavel</t>
  </si>
  <si>
    <t>Multas E Juros De Mora Das Taxas - Poder de Policia</t>
  </si>
  <si>
    <t>Multas E Juros De Mora Das Taxas - Campeonatos</t>
  </si>
  <si>
    <t>4.1.9.1.1.99.01.01.0000</t>
  </si>
  <si>
    <t>Multas E Juros De Mora Da Divida Ativa Do Iptu Cobrança Administrativa - Proprio</t>
  </si>
  <si>
    <t>Multas E Juros De Mora Da Divida Ativa Do Iptu Cobrança Administrativa - Mde</t>
  </si>
  <si>
    <t>Multas E Juros De Mora Da Divida Ativa Do Iptu Cobrança Administrativa - Asps</t>
  </si>
  <si>
    <t>Multas E Juros De Mora Da Divida Ativa Do Iptu Cobrança Judicial - Proprio</t>
  </si>
  <si>
    <t>Multas E Juros De Mora Da Divida Ativa Do Iptu Cobrança Judicial - Mde</t>
  </si>
  <si>
    <t>Multas E Juros De Mora Da Divida Ativa Do Iptu Cobrança Judicial - Asps</t>
  </si>
  <si>
    <t>Estimativa de Receitas de Multas E Juros De Mora Da Divida Ativa Do Imposto Sobre A Propriedade Predial E Territorial Urbana  - Iptu Cobrança Judicial</t>
  </si>
  <si>
    <t>Estimativa de Receitas de Multas E Juros De Mora Da Divida Ativa Do Imposto Sobre A Propriedade Predial E Territorial Urbana - Iptu Cobrança Administrativa</t>
  </si>
  <si>
    <t>Multas E Juros De Mora Da Divida Ativa Do Iss Cobrança Administrativa - Proprio</t>
  </si>
  <si>
    <t>Multas E Juros De Mora Da Divida Ativa Do Iss  Cobrança Administrativa - Mde</t>
  </si>
  <si>
    <t>Multas E Juros De Mora Da Divida Ativa Do Iss  Cobrança Administrativa - Asps</t>
  </si>
  <si>
    <t>Multas E Juros De Mora Da Divida Ativa Do Iss  Cobrança Judicial- Mde</t>
  </si>
  <si>
    <t>Multas E Juros De Mora Da Divida Ativa Do Iss  Cobrança Judicial - Proprio</t>
  </si>
  <si>
    <t>Multas E Juros De Mora Da Divida Ativa Do Iss  Cobrança Judicial - Asps</t>
  </si>
  <si>
    <t>4.1.9.1.3.13.00.04.0000</t>
  </si>
  <si>
    <t>4.1.9.1.3.13.00.05.0000</t>
  </si>
  <si>
    <t>4.1.9.1.3.13.00.06.0000</t>
  </si>
  <si>
    <t>4.1.9.1.3.11.00.04.0000</t>
  </si>
  <si>
    <t>4.1.9.1.3.11.00.05.0000</t>
  </si>
  <si>
    <t>4.1.9.1.3.11.00.06.0000</t>
  </si>
  <si>
    <t>Estimativa de Receitas de Multas E Juros De Mora Da Divida Ativa Do Imposto Sobre Servicos De Qualquer Natureza - Iss Cobrança Administrativa</t>
  </si>
  <si>
    <t>Estimativa de Receitas de Multas E Juros De Mora Da Divida Ativa Do Imposto Sobre Servicos De Qualquer Natureza - Iss Cobrança Judicial</t>
  </si>
  <si>
    <t>Multas E Juros De Mora Da Divida Ativa Das Taxas poder policia Cobrança Administrativa</t>
  </si>
  <si>
    <t>Estimativa de Receitas de Multas E Juros De Mora Da Divida Ativa Das Taxas prest. Serviços Cobrança Admin.</t>
  </si>
  <si>
    <t>Estimativa de Receitas de Multas E Juros De Mora Da Divida Ativa Das Taxas prest. Serviços Cobrança Judicial</t>
  </si>
  <si>
    <t>Multas E Juros De Mora Da Divida Ativa Das Taxas P. Prest. Serviços Cobrança Administrativa</t>
  </si>
  <si>
    <t>4.1.9.1.3.99.00.02.0000</t>
  </si>
  <si>
    <t>Multas E Juros De Mora Da Divida Ativa Das Taxas P. Prest. Serviços Cobrança Judicial</t>
  </si>
  <si>
    <t>Multas E Juros De Mora Da Divida Ativa Das Taxas poder policia Cobrança Judicial</t>
  </si>
  <si>
    <t>Estimativa de Receitas de Multas E Juros De Mora Da Divida Ativa Das Taxas poder policia Cobrança Admin.</t>
  </si>
  <si>
    <t>Estimativa de Receitas de Multas E Juros De Mora Da Divida Ativa Das Taxas poder policia  Cobrança Judicial</t>
  </si>
  <si>
    <t>4.1.9.1.5.99.00.02.0000</t>
  </si>
  <si>
    <t>Multas e Juros Div. Ativ. - Titulo Executivo TCE</t>
  </si>
  <si>
    <t>Multas e Juros Div. Ativ. - Prestação de Serviços De Implementos</t>
  </si>
  <si>
    <t>4.1.9.1.5.99.00.04.0000</t>
  </si>
  <si>
    <t>4.1.9.1.9.99.00.00.0000</t>
  </si>
  <si>
    <t>Multa de Campeonatos</t>
  </si>
  <si>
    <t>Restituição de Sentenças de Ações Judiciais</t>
  </si>
  <si>
    <t>4.1.9.2.2.99.00.08.0000</t>
  </si>
  <si>
    <t>Restituicoes Multa de Transito</t>
  </si>
  <si>
    <t>Receita Da Divida Ativa Do Iss Cobrança Administrativa - Proprio</t>
  </si>
  <si>
    <t>Receita Da Divida Ativa Do Iss Cobrança Administrativa - Mde</t>
  </si>
  <si>
    <t>Receita Da Divida Ativa Do Iss Cobrança Administrativa- Asps</t>
  </si>
  <si>
    <t>Receita Da Divida Ativa Do Iss Cobrança Judicial - Proprio</t>
  </si>
  <si>
    <t>Receita Da Divida Ativa Do Iss Cobrança Judicial  - Mde</t>
  </si>
  <si>
    <t>Receita Da Divida Ativa Do Iss Cobrança Judicial - Asps</t>
  </si>
  <si>
    <t>Receita Da Divida Ativa Do Iptu  Cobrança Administrativa - Proprio</t>
  </si>
  <si>
    <t>Receita Da Divida Ativa Do Iptu  Cobrança Administrativa - Mde</t>
  </si>
  <si>
    <t>Receita Da Divida Ativa Do Iptu  Cobrança Administrativa - Asps</t>
  </si>
  <si>
    <t>4.1.9.3.1.11.00.04.0000</t>
  </si>
  <si>
    <t>4.1.9.3.1.11.00.05.0000</t>
  </si>
  <si>
    <t>4.1.9.3.1.11.00.06.0000</t>
  </si>
  <si>
    <t>Receita Da Divida Ativa Do Iptu Cobrança Judicial  - Proprio</t>
  </si>
  <si>
    <t>Receita Da Divida Ativa Do Iptu  Cobrança Judicial  - Mde</t>
  </si>
  <si>
    <t>Receita Da Divida Ativa Do Iptu  Cobrança Judicial  - Asps</t>
  </si>
  <si>
    <t>4.1.9.3.1.13.00.04.0000</t>
  </si>
  <si>
    <t>4.1.9.3.1.13.00.05.0000</t>
  </si>
  <si>
    <t>4.1.9.3.1.13.00.06.0000</t>
  </si>
  <si>
    <t>4.1.9.3.1.99.01.04.0000</t>
  </si>
  <si>
    <t>4.1.9.3.1.99.01.05.0000</t>
  </si>
  <si>
    <t>4.1.9.3.1.99.01.06.0000</t>
  </si>
  <si>
    <t>4.1.9.3.1.99.01.03.0000</t>
  </si>
  <si>
    <t>Divida Ativa Das Taxas Poder Policia Cobrança Administrativa</t>
  </si>
  <si>
    <t>Divida Ativa Das Taxas Poder Policia Cobrança Judicial</t>
  </si>
  <si>
    <t>Divida Ativa Das Taxas Prest. Servicos Cobrança Administrativa</t>
  </si>
  <si>
    <t>Divida Ativa Das Taxas Prest. Servicos Cobrança Judicial</t>
  </si>
  <si>
    <t>4.1.9.3.2.99.01.06.0000</t>
  </si>
  <si>
    <t>Divida Ativa Nao Tributaria Prov. De Diarias de Implementos</t>
  </si>
  <si>
    <t>Divida Ativa Nao Tributaria Prov. De Serviços de Máquinas</t>
  </si>
  <si>
    <t>Agrifest/Fefumo - Patrocinio</t>
  </si>
  <si>
    <t>Agrifest/Fefumo - Ingresso Festa</t>
  </si>
  <si>
    <t>Agrifest/Fefumo - Ingresso Baile</t>
  </si>
  <si>
    <t>Agrifest/Fefumo - Ingresso Domingueira</t>
  </si>
  <si>
    <t>Festa Natalina - Patrocínio</t>
  </si>
  <si>
    <t>4.1.9.9.0.99.00.15.0000</t>
  </si>
  <si>
    <t>Agrifest/Fefumo - Bebidas/Cozinha</t>
  </si>
  <si>
    <t>4.1.9.9.0.99.00.16.0000</t>
  </si>
  <si>
    <t>Agrifest/Fefumo - Locações : Espaços, Copa, Cozinha e Outros</t>
  </si>
  <si>
    <t>4.1.9.9.0.99.00.17.0000</t>
  </si>
  <si>
    <t>Agrifest/Fefumo - Locações : Espaços P/Expositores</t>
  </si>
  <si>
    <t>4.2.2.1.9.00.00.00.0000</t>
  </si>
  <si>
    <t>Alienacao de Sucatas e Materiais Diversos</t>
  </si>
  <si>
    <t>Estimativa de Alienacao de Sucatas e Materiais Diversos</t>
  </si>
  <si>
    <t>Estimativa de alienação de Equipamentos</t>
  </si>
  <si>
    <t>Estimativa de alienação de Moveis e Utensilios</t>
  </si>
  <si>
    <t>4.2.4.7.1.99.00.32.0000</t>
  </si>
  <si>
    <t>Convênio MAPA P/Aquisição de Retroescavadeira</t>
  </si>
  <si>
    <t>Estimativa de receita de Convênio MAPA P/Aquisição de Retroescavadeira</t>
  </si>
  <si>
    <t>Estimativa de receita de Convênio MAPA P/Aquisição de Trator e Colhedora de Milho</t>
  </si>
  <si>
    <t>Convênio MAPA P/Aquisição de Trator e Colhedora de Milho</t>
  </si>
  <si>
    <t>4.2.4.7.1.99.00.33.0000</t>
  </si>
  <si>
    <t>4.2.4.7.1.99.00.34.0000</t>
  </si>
  <si>
    <t>Convênio MDA P/Aquisição de Pickup C/Câmara Fria</t>
  </si>
  <si>
    <t>Estimativa de receita de Convênio MDA P/Aquisição de Pickup C/Câmara Fria</t>
  </si>
  <si>
    <t>4.2.4.7.2.02.00.00.0000</t>
  </si>
  <si>
    <t>Transferencias De Convenios Do Estado Destinadas A Programas De Educacão</t>
  </si>
  <si>
    <t>4.2.4.7.2.01.00.01.0000</t>
  </si>
  <si>
    <t>Estimativa de receita de Consulta Popular 2013  P/aquis.  Equip.  e Mobiliário Educação</t>
  </si>
  <si>
    <t>Consulta Popular 2013  P/aquis.  Equip.  e Mobiliário Educação</t>
  </si>
  <si>
    <t>4.2.4.7.2.99.00.16.0000</t>
  </si>
  <si>
    <t>Estimativa de receita de Consulta Popular 2013  P/aquis.  Veículo Utilitário para Agricultura</t>
  </si>
  <si>
    <t>Consulta Popular 2013  P/aquis.  Veículo Utilitário para Agricultura</t>
  </si>
  <si>
    <t>4.2.4.7.2.99.00.17.0000</t>
  </si>
  <si>
    <t>Estimativa de receita de Consulta Popular 2014  P/aquis.  Equip. Agric. Familiar</t>
  </si>
  <si>
    <t>Consulta Popular 2014  P/aquis.  Equip. Agric. Familiar</t>
  </si>
  <si>
    <t xml:space="preserve">Cons. Pop. 2014 P/Cursos Centro Ref. Alimentar e Nutric. Sustentavel </t>
  </si>
  <si>
    <t>Estimativa de Transf. de Convenios do Estado - Consulta Popular 2013 - Apoio a eventos Culturais Chuvisca</t>
  </si>
  <si>
    <t>Estimativa de Transf. de Convenios do Estado - Consulta Popular 2015 - Proj. Soc. Ambiental e Desenv. Sustent.</t>
  </si>
  <si>
    <t xml:space="preserve">Estimativa de Transf. de Convenios do Estado - Cons. Pop. 2014 P/Cursos Centro Ref. Alimentar e Nutric. Sustentavel </t>
  </si>
  <si>
    <t>Estimativa de Transf. de Convenios do Estado - Cons. Pop. 2014 P/Desenv. Esporte e do Lazer p/Pratica Esportiva</t>
  </si>
  <si>
    <t>4.2.4.7.2.99.00.18.0000</t>
  </si>
  <si>
    <t>Consulta Popular 2015  P/Qualificação aquis. Implementos e Materiais Esportivos</t>
  </si>
  <si>
    <t>Estimativa de receita de Consulta Popular 2015  P/Qualificação aquis. Implementos e Materiais Esportivos</t>
  </si>
  <si>
    <t>4.2.4.7.2.99.00.19.0000</t>
  </si>
  <si>
    <t xml:space="preserve">Consulta Popular 2015  P/Regionalização Abasteceimento Aquisição de Veículo </t>
  </si>
  <si>
    <t xml:space="preserve">Estimativa de receita de Consulta Popular 2015  P/Regionalização Abasteceimento Aquisição de Veículo </t>
  </si>
  <si>
    <t>Consulta Popular 2014  P/Reforma UBS</t>
  </si>
  <si>
    <t>Estimativa de receita de Consulta Popular 2014  P/Reforma UBS</t>
  </si>
  <si>
    <t>Consulta Popular 2015  P/Aquisição de Equipamentos UBS</t>
  </si>
  <si>
    <t>Estimativa de receita de Consulta Popular 2015  P/Aquisição de Equipamentos UBS</t>
  </si>
  <si>
    <t>Estimativa de receita de  Consulta Popular Reginalização Saúde  P/Aquisição de Equipamentos e Mobiliario Saúde</t>
  </si>
  <si>
    <t>Consulta Popular Reginalização Saúde  P/Aquisição de Equipamentos e Mobiliario Saúde</t>
  </si>
  <si>
    <t>4.2.4.7.2.99.00.20.0000</t>
  </si>
  <si>
    <t>Transferencia do Estado Convênio Lei 1020/2015 - Recursos P/Pesca e Cooperativismo</t>
  </si>
  <si>
    <t>Estimativa de receita de Transferencia do Estado Convênio Lei 1020/2015 - Recursos P/Pesca e Cooperativismo</t>
  </si>
  <si>
    <t>4.2.5.9.0.00.00.02.3600</t>
  </si>
  <si>
    <t>Rend. Aplic. Bancarias - Consulta Popular 2012 P/aquis. Equip. ubs</t>
  </si>
  <si>
    <t>Rend. Aplic. Bancarias -Transf. PAC Const. De Mod. Sanitaria</t>
  </si>
  <si>
    <t>Receita De Rem. De Depositos  Bancarios  - QSE</t>
  </si>
  <si>
    <t>4.1.3.2.5.01.99.24.0000</t>
  </si>
  <si>
    <t xml:space="preserve">Receita De Aplic.  Cons. Pop. -  P/Cursos Centro Ref. Alimentar e Nutric. Sustentavel </t>
  </si>
  <si>
    <t>4.1.3.2.5.01.99.25.0000</t>
  </si>
  <si>
    <t>Receita De Aplic.  Cons. Pop. -  P/P/Melhoria Socio Amb. e Des. Sustentavel</t>
  </si>
  <si>
    <t>SIA Média Complexidade</t>
  </si>
  <si>
    <t>4.1.7.6.2.99.00.21.0000</t>
  </si>
  <si>
    <t>4.1.7.6.2.99.00.22.0000</t>
  </si>
  <si>
    <t>4.1.7.6.2.99.00.23.0000</t>
  </si>
  <si>
    <t>4.1.7.6.2.99.00.24.0000</t>
  </si>
  <si>
    <t>4.1.7.6.2.99.00.25.0000</t>
  </si>
  <si>
    <t>4.1.7.6.2.99.00.26.0000</t>
  </si>
  <si>
    <t>Estimativa de Receitas de Multas E Juros De Mora Das Taxas - Campeonatos</t>
  </si>
  <si>
    <t>4.2.4.7.2.01.00.16.0000</t>
  </si>
  <si>
    <t>4.2.4.7.2.01.00.17.0000</t>
  </si>
  <si>
    <t>4.2.4.7.2.01.00.18.0000</t>
  </si>
  <si>
    <t>Rem. Depositos Bancarios - Consulta Popular - REFORMA UBS</t>
  </si>
  <si>
    <t>Rend. Aplic. Bancarias - Convênio MAPA P/Aquisição de Retroescavadeira</t>
  </si>
  <si>
    <t>Rend. Aplic. Bancarias - Convênio MDA P/Aquisição de Pickup C/Câmara Fria</t>
  </si>
  <si>
    <t>Rend. Aplic. Bancarias - Convênio MAPA P/Aquisição de Trator e Colhedora de Milho</t>
  </si>
  <si>
    <t>Rend. Aplic. Bancarias - Consulta Popular 2014  P/Reforma UBS</t>
  </si>
  <si>
    <t>Rend. Aplic. Bancarias - Consulta Popular 2015  P/Aquisição de Equipamentos UBS</t>
  </si>
  <si>
    <t>Rend. Aplic. Bancarias - Consulta Popular Reginalização Saúde  P/Aquisição de Equipamentos e Mobiliario Saúde</t>
  </si>
  <si>
    <t>Rend. Aplic. Bancarias - Consulta Popular 2013  P/aquis.  Equip.  e Mobiliário Educação</t>
  </si>
  <si>
    <t>4.2.5.9.0.00.00.02.7300</t>
  </si>
  <si>
    <t>Rend. Aplic. Banc. Consulta Popular 2013  P/aquis.  Veículo Utilitário para Agricultura</t>
  </si>
  <si>
    <t>Rend. Aplic. Banc. Consulta Popular 2014  P/aquis.  Equip. Agric. Familiar</t>
  </si>
  <si>
    <t>Rend. Aplic. Banc. Consulta Popular 2015  P/Qualificação aquis. Implementos e Materiais Esportivos</t>
  </si>
  <si>
    <t>Rend. Aplic. Banc. Transferencia do Estado Convênio Lei 1020/2015 - Recursos P/Pesca e Cooperativismo</t>
  </si>
  <si>
    <t xml:space="preserve">Rend. Aplic. Banc. Consulta Popular 2015  P/Reg. Abasteceimento Aquisição de Veículo </t>
  </si>
  <si>
    <t>4.1.9.1.1.99.01.99.0000</t>
  </si>
  <si>
    <t>4.2.5.9.0.00.00.02.7001</t>
  </si>
  <si>
    <t>4.2.5.9.0.00.00.02.7002</t>
  </si>
  <si>
    <t>4.2.5.9.0.00.00.02.7101</t>
  </si>
  <si>
    <t>4.2.5.9.0.00.00.02.7201</t>
  </si>
  <si>
    <t>4.2.5.9.0.00.00.02.7202</t>
  </si>
  <si>
    <t>4.2.5.9.0.00.00.02.7203</t>
  </si>
  <si>
    <t>4.2.5.9.0.00.00.02.7204</t>
  </si>
  <si>
    <t>4.2.5.9.0.00.00.02.7205</t>
  </si>
  <si>
    <t>4.2.5.9.0.00.00.02.7206</t>
  </si>
  <si>
    <t>4.2.5.9.0.00.00.02.7207</t>
  </si>
  <si>
    <t>4.2.5.9.0.00.00.02.7208</t>
  </si>
  <si>
    <t xml:space="preserve">A) Os valores referentes aos exercícios de 2012 a 2015 foram obtidos a partir dos dados constantes nos respectivos balanços anuais. 
B) Os valores relativos à arrecadação de 2015 foram obtidos a partir da receita arrecadada até o mês de Agosto acrescida da tendência de arrecadação até o final do exercício.
C) Em linhas gerais, nas projeções para o exercício de 2015, o cenário projetado sinaliza para um crescimento global das receitas em torno de uma taxa média de cerca de 11,20%, mantida a tendência atual de manutenção da estabilidade nos índices inflacionários em relação a media de crescimento do período de 2012 a 2015.
D) O pressuposto geral de comportamento da Receita Municipal é o da existência de uma correlação do comportamento dessa com o desempenho dos agregados macroeconômicos. Além disso, pressupõe-se em algumas receitas diretamente arrecadadas pelo Município, que as taxas de crescimento real sejam maiores, devido aos esforços de melhoria de gestão e diminuição de inadimplência. Os indicadores macroeconômicos básicos utilizados para a estimativa da Receita foram obtidos conforme a tabela parametros em anexo e conforme resumo a seguir:
</t>
  </si>
  <si>
    <t>Estimativa de Transferencias de FNAS ACESSUAS</t>
  </si>
  <si>
    <t xml:space="preserve">E) Com base nesses agregados,  detalhamos as estimativas de Receitas:
-Receitas Diretamente Arrecadadas: nas receitas tributárias, o melhor desempenho verificado nos anos anteriores ficou com o IRRF;
- Para o IPTU, as projeções apontam para um crescimento medio de 63,47% e na receita do ITBI de um crescimento médio de 14,87%.
- Nas outras receitas tributárias, os estudos apontam para uma manutenção da variação média apontada nos últimos anos, conforme segue : irrf s/folha 20,59%,  irrf s/serv. 35,40%, taxas 61,34%.
- Nas outras receitas correntes,  cuja meta de crescimento é na média de 25,11% aa..
 - Receitas de Transferências: nas principais receitas que alimentam essa fonte, as expectativas apontam para um crescimento médio de 9,99% ao ano, em decorrência de uma maior participação no índice de retorno do ICMS, com reflexo direto na estimativa de transferência desse tributo, bem como nas transferências do IPI/Exportação e LC 87/96 (Lei Kandir). Com relação ao retorno do FPM, as expectativas, os estudos elaborados pela Secretaria do Tesouro Nacional apontam para uma variação de 7,91%.
 -  Nas transferências do IPVA, a expectativa é de melhoria, em razão do esforço fiscal empreendido pelo Estado, a quem compete fiscalizar e arrecadar o tributo. Aliado a esse fato, a administração municipal pretende aumentar a fiscalização de trânsito com vistas a verificar a regularidade  do licenciamento dos veículos registrados no Município. Em decorrência dessas medidas, é esperado um crescimento de 17,75%. 
  - Em relação ao FUNDEB, o desempenho esperado é de 4,77% e um plus de 22,42%, devido ao aumento  do número de alunos matriculados bem como em razão do bom bom desempenho das receitas formadoras do FUNDEB  (FPM, ITR, LC 87/96, ICMS, IPVA e IPI/Exportação). Assim, a diferença líquida entre a contribuição e retorno do município tende a ser de ganho no valor de R$643.435,71.
  - Outra transferências importantes são as do SUS, repassadas pelo  Fundo Nacional de Saúde e Fundo Estadual de Saúde. As previsões apontam para uma estabilidade, ou seja, o valor a ser repassado nos próximos anos esta calculado pela arrecadação projetada do exercício de 2015.
-  Para as outras transferências legais (CIDE, Fex, FNDE, FNAS e outras),  a perspectiva é de estabilidade, ou seja, prevê-se uma variação em função dos índices inflacionários ou acompanhando a variação das receitas da União.
  - Nas transferências voluntárias correntes e de capital, realizadas em função de auxílios convênios e contratos de repasse, a expectativa é que sejam mantidos os níveis hierárquicos recentes. 
</t>
  </si>
  <si>
    <t>2012/2013</t>
  </si>
  <si>
    <t>2013/2014</t>
  </si>
  <si>
    <t>2014/2015</t>
  </si>
  <si>
    <t>CRESCIMENTO DOS INVESTIMENTOS DO PODER LEGISLATIVO MEDIA DE 2012 a 2015</t>
  </si>
  <si>
    <t>CRESCIMENTO DOS INVESTIMENTOS DO PODER EXECUTIVO MÉDIA DE 2012 A 2015</t>
  </si>
  <si>
    <t>Estimativa de valor Servicos Pessoa Fisica - Obras e Instalações</t>
  </si>
  <si>
    <t>Estimativa de valor Servicos Pessoa Juridica - Obras e Instalações</t>
  </si>
  <si>
    <t>Estimativa de valor Material de Consumo - Obras e Instalações</t>
  </si>
  <si>
    <t>Alíquota INSS Patronal S/Prestação de Serviços Pessoa Fisica, Pessoa Juricia e MEI</t>
  </si>
  <si>
    <t>Folha Pagamento Servidores Efetivos e C.C.</t>
  </si>
  <si>
    <t>Estimativa de Valor para Treinamento de Pessoal</t>
  </si>
  <si>
    <t>Estimativa de Valor para Desp. C/Material de Consumo - M.E.I.</t>
  </si>
  <si>
    <t>Estimativa de valor Material para Intalação de Equipamentos - M.E.I.</t>
  </si>
  <si>
    <t>Estimativa de valor Material de Consumo - Obras e Instalações - M.E.I.</t>
  </si>
  <si>
    <t>Estimativa de valor Servicos Pessoa Juridica - Obras e Instalações  - M.E.I.</t>
  </si>
  <si>
    <t>Estimativa de valor Servicos de Intalação de Equipamentos Pessoa Juridica - M.E.I.</t>
  </si>
  <si>
    <t>Estimativa de valor para Aquisição de Equipamento e Material Permanente - M.E.I.</t>
  </si>
  <si>
    <t>Estimativa de valor para Obras e Instalações  - M.E.I.</t>
  </si>
  <si>
    <t>Estimativa de valor Aquisição de Equip. Gerenc. de tecnologia da informação e comunicação  - M.E.I.</t>
  </si>
  <si>
    <t>Estimativa de valor Aquisição de Equip. Gerenc. de tecnologia da informação e comunicação</t>
  </si>
  <si>
    <t>Estimativa de valor Material de Consumo Gerenc. de tecnologia da informação e comunicação</t>
  </si>
  <si>
    <t>Estimativa de valor Material de Consumo Gerenc. de tecnologia da informação e comunicação - M.E.I.</t>
  </si>
  <si>
    <t>Estimativa de valor Servicos Pessoa Fisica Gerenc. de tecnologia da informação e comunicação</t>
  </si>
  <si>
    <t>Estimativa de valor Servicos Pessoa Juridica Gerenc. de tecnologia da informação e comunicação</t>
  </si>
  <si>
    <t>Estimativa de valor Servicos Pessoa Juridica Gerenc. de tecnologia da informação e comunicaçãoo - M.E.I.</t>
  </si>
  <si>
    <t>Estimativa de Valor para Desp. C/Desenvolvimento de Sistemas de Informação - Pessoa Juridica</t>
  </si>
  <si>
    <t>Estimativa de Valor para Desp. C/Desenvolvimento de Sistemas de Informação - M.E.I.</t>
  </si>
  <si>
    <t>Estimativa de Valor para Desp. C/Desenvolvimento de Sistemas de Informação - Pessoa Física</t>
  </si>
  <si>
    <t>Estimativa de Valor para Desp. C/Materiais para  Desenvolvimento de Sistemas de Informação</t>
  </si>
  <si>
    <t>Estimativa de Valor para Desp. C/Materiais para  Desenvolvimento de Sistemas de Informação - M.E.I.</t>
  </si>
  <si>
    <t>Secretaria Municipal de Administração</t>
  </si>
  <si>
    <t>Secretaria  Municipal da Fazenda</t>
  </si>
  <si>
    <t>Secretaria  Municipal de Obras, Viação e Serviços Urbanos</t>
  </si>
  <si>
    <t>Secretaria Municipal de Agricultura e Meio ambiente</t>
  </si>
  <si>
    <t>Fundo Municipal da Agricultura</t>
  </si>
  <si>
    <t>Fundo Municipal do meio ambiente</t>
  </si>
  <si>
    <t>Fundo de Habitação e de Interesse Social</t>
  </si>
  <si>
    <t>Conselhos Municipais</t>
  </si>
  <si>
    <t xml:space="preserve">Gestão, Coordenação e Planejamento, Manutenção e Desenvolvimento do Ensino </t>
  </si>
  <si>
    <t>Desenvolvimento do Ensino - FUNDEB</t>
  </si>
  <si>
    <t>Desenvolvimento do Ensino - Programas Estaduais</t>
  </si>
  <si>
    <t>Desenvolvimento do Ensino - Programas Federais</t>
  </si>
  <si>
    <t>Desenvolvimento do Ensino – Recursos Livres</t>
  </si>
  <si>
    <t>Departamento e Alimentação e Nutrição Escolar</t>
  </si>
  <si>
    <t>Departamento de Cultura</t>
  </si>
  <si>
    <t>Departamento de Desporto</t>
  </si>
  <si>
    <t xml:space="preserve"> Departamento de Turismo</t>
  </si>
  <si>
    <t>Gestão, Coordenação e Planejamento Administrativo</t>
  </si>
  <si>
    <t>Fundo Municipal de Saúde – Programas Municipais</t>
  </si>
  <si>
    <t>Fundo Municipal de Saúde – Programas Estaduais</t>
  </si>
  <si>
    <t xml:space="preserve"> Fundo Municipal de Saúde – Programas Federais</t>
  </si>
  <si>
    <t>Fundo Municipal Assistência Social – Programas Municipais</t>
  </si>
  <si>
    <t>Fundo Municipal Assistência Social – Programas Estaduais</t>
  </si>
  <si>
    <t>Fundo Municipal Assistência Social – Programas Federais</t>
  </si>
  <si>
    <t xml:space="preserve"> Fundo Municipal da Criança e do Adolescente</t>
  </si>
  <si>
    <t>Câmara Municipal de Vereadores</t>
  </si>
  <si>
    <t>Gabinete do Prefeito</t>
  </si>
  <si>
    <t>02 - PREFEITURA MUNICIPAL DE CHUVISCA</t>
  </si>
  <si>
    <t>01 - Gabinete do Prefeito</t>
  </si>
  <si>
    <t>Custo de Aq. de Veículos: Obrigações Tributarias e Contributivas</t>
  </si>
  <si>
    <t>Custo de Aq. de Veículos:  Material De Consumo</t>
  </si>
  <si>
    <t>Custo de Aq. de Veículos:  Outros Servicos De Terceiros- Pessoa Fisica</t>
  </si>
  <si>
    <t>Custo de Aq. de Veículos:  Outros Servicos De Terceiros- Pessoa Juridica</t>
  </si>
  <si>
    <t>Custo de Aq. de Veículos: INSS S/Servicos P. Fisica</t>
  </si>
  <si>
    <t>Custo de Aq. de Veículos:  INSS S/Serv. P. Juridica e M.E.I.</t>
  </si>
  <si>
    <t xml:space="preserve">Custo de Aquisição : Material P/Aq. de Veículos: </t>
  </si>
  <si>
    <t xml:space="preserve">Custo de Aquisição: Aq. de Veículos: </t>
  </si>
  <si>
    <t>Custo de Aquisição: Aq. de Veículos</t>
  </si>
  <si>
    <t>63  002.003.000  CUSTO DE AQUISIÇÃO DE VEÍCULOS</t>
  </si>
  <si>
    <t>64  002.003.001  Veículos</t>
  </si>
  <si>
    <t>302 AQUISIÇÃO E MODERNIZAÇÃO DA FROTA DE VEÍCULOS</t>
  </si>
  <si>
    <t>5700</t>
  </si>
  <si>
    <t>5800</t>
  </si>
  <si>
    <t>5900</t>
  </si>
  <si>
    <t>Venc. e Vant. Fixas Servidores Efetivos</t>
  </si>
  <si>
    <t>Gasolina P/Veiculo Aq. Imediata</t>
  </si>
  <si>
    <t>Gasolina P/Veiculo Almoxarifado</t>
  </si>
  <si>
    <t>Lubrificantes P/Veiculo Aq. Imediata</t>
  </si>
  <si>
    <t>Lubrificantes P/Veiculo  Almoxarifado</t>
  </si>
  <si>
    <t>Material e Peças P/Veiculo  - Aq. Imediata</t>
  </si>
  <si>
    <t>Material e Peças P/Veiculo - Almoxarifado</t>
  </si>
  <si>
    <t>Seleção e Treinamento : Serv. Efetivos</t>
  </si>
  <si>
    <t xml:space="preserve">Seleção e Treinamento : Serv. C.C. </t>
  </si>
  <si>
    <t>Seleção e Treinamento : Serv. Agente Politicos</t>
  </si>
  <si>
    <t>Mensalidades: CNM</t>
  </si>
  <si>
    <t>Mensalidades: AMZCS</t>
  </si>
  <si>
    <t>Mensalidades: FAMURS</t>
  </si>
  <si>
    <t>INSS S/Servicos Veiculo P. Fisica</t>
  </si>
  <si>
    <t>INSS S/Servicos Veiculo P. Juridica e M.E.I.</t>
  </si>
  <si>
    <t>9000</t>
  </si>
  <si>
    <t>9300</t>
  </si>
  <si>
    <t xml:space="preserve">Diarias Servidores Contratados </t>
  </si>
  <si>
    <t>108  002.006.005  Diárias Servidores C.C.</t>
  </si>
  <si>
    <t>Agua Mineral - Aq. Imediata</t>
  </si>
  <si>
    <t>Agua Mineral - Almoxarifado</t>
  </si>
  <si>
    <t>9400</t>
  </si>
  <si>
    <t>10000</t>
  </si>
  <si>
    <t>10100</t>
  </si>
  <si>
    <t>10200</t>
  </si>
  <si>
    <t>10300</t>
  </si>
  <si>
    <t>10400</t>
  </si>
  <si>
    <t>10500</t>
  </si>
  <si>
    <t>10600</t>
  </si>
  <si>
    <t>11000</t>
  </si>
  <si>
    <t>11100</t>
  </si>
  <si>
    <t>11200</t>
  </si>
  <si>
    <t>11300</t>
  </si>
  <si>
    <t>11400</t>
  </si>
  <si>
    <t>11500</t>
  </si>
  <si>
    <t>11600</t>
  </si>
  <si>
    <t>Custo de Aquisição Eq. Informatica: Contrib. Patronal P. Fisica</t>
  </si>
  <si>
    <t>Custo de Aquisição Eq. informatica: Contrib. Patronal P.  Juridica e M.E.I.</t>
  </si>
  <si>
    <t>Custo de Aquisição Eq. e Utensílios Domésticos: Contrib. Patronal P.  Fisica</t>
  </si>
  <si>
    <t>Custo de Aquisição Eq. Informatica: Contrib. Patronal P. isica</t>
  </si>
  <si>
    <t>Custo de Aquisição Mobiliário: Contrib. Patronal P. Fisica</t>
  </si>
  <si>
    <t>Custo de Aquisição Eq. de Comunicação: Contrib. Patronal P.  Fisica</t>
  </si>
  <si>
    <t>Custo de Aquisição Eq. e Utensílios Domésticos: Contrib. Patronal P.  Juridica e M.E.I.</t>
  </si>
  <si>
    <t>Custo de Aquisição Eq. Informatica: Contrib. Patronal P.  Juridica e M.E.I.</t>
  </si>
  <si>
    <t>Custo de Aquisição Mobiliário: Contrib. Patronal P. Juridica e M.E.I.</t>
  </si>
  <si>
    <t>Custo de Aquisição Eq. de Comunicação: Contrib. Patronal P.  Juridica e M.E.I.</t>
  </si>
  <si>
    <t xml:space="preserve">Crescimento Vegetativo da Folha Salarial do Poder Executivo </t>
  </si>
  <si>
    <t>Crescimento Autonomo de Outros Custeios Poder Executivo</t>
  </si>
  <si>
    <t>Subvenções Sociais : Corede, Consepro, e Outros</t>
  </si>
  <si>
    <t>Estimativa de Valor para Desp. C/Material de Consumo  M.E.I.</t>
  </si>
  <si>
    <t xml:space="preserve">Auxilio Transporte </t>
  </si>
  <si>
    <t>Material de Consumo - Consórcio</t>
  </si>
  <si>
    <t>Estimativa de Valor para Desp. C/Material de Consumo - Consórcio</t>
  </si>
  <si>
    <t>Estimativa de Valor para Desp. C/Transferencias  A Consórcios Públicos</t>
  </si>
  <si>
    <t>Estimativa de Valor para Desp. C/Material P/ Divulgacao</t>
  </si>
  <si>
    <t>Estimativa de Valor para Desp. C/Passagens e Despesas Com Locomoção</t>
  </si>
  <si>
    <t>Estimativa de Valor para Desp. C/Servicos de Assessoria e  Consultoria</t>
  </si>
  <si>
    <t>Estimativa de Valor para Desp. C/Contribuição para o Corede</t>
  </si>
  <si>
    <t>Estimativa de Valor para Desp. C/Contribuição para o Consepro</t>
  </si>
  <si>
    <t>Estimativa de Valor para Desp. C/Custo de Aq. de Veículos:  Material De Consumo</t>
  </si>
  <si>
    <t>Estimativa de Valor para Desp. C/Custo de Aq. de Veículos:  Material De Consumo M.E.I</t>
  </si>
  <si>
    <t>Estimativa de Valor para Desp. C/Custo de Aq. de Veículos:  Outros Servicos De Terceiros- Pessoa Fisica</t>
  </si>
  <si>
    <t>Estimativa de Valor para Desp. C/Custo de Aq. de Veículos:  Outros Servicos De Terceiros- Pessoa Juridica</t>
  </si>
  <si>
    <t>Estimativa de Valor para Desp. C/Custo de Aq. de Veículos:  Outros Servicos De Terceiros- Pessoa Juridica M.E.I</t>
  </si>
  <si>
    <t>Estimativa de Valor para Desp. C/Custo de Aq. de Veículos</t>
  </si>
  <si>
    <t>Estimativa de Valor para Desp. C/Vencimentos Serv. Contratados</t>
  </si>
  <si>
    <t>11</t>
  </si>
  <si>
    <t>RESERVA DE CONTINGÊNCIA</t>
  </si>
  <si>
    <t>Custo de Aq. de Veículos : Veículos</t>
  </si>
  <si>
    <t>Férias C.C.</t>
  </si>
  <si>
    <t>7401</t>
  </si>
  <si>
    <t>02 - Secretaria Municipal de Administração</t>
  </si>
  <si>
    <t>195  003.005.002  Utensílios Domesticos</t>
  </si>
  <si>
    <t>196  003.005.003  Informática</t>
  </si>
  <si>
    <t>194  003.005.001  Mobiliário</t>
  </si>
  <si>
    <t>197  003.005.004  Comunicação</t>
  </si>
  <si>
    <t>193  003.005.000  CUSTO DE AQUISIÇÃO DE BENS MOVEIS, IMÓVEIS E VEÍCULOS</t>
  </si>
  <si>
    <t>13200</t>
  </si>
  <si>
    <t>304  AQUISIÇÃO DE EQUIPAMENTOS E SISTEMAS DE INFORMÁTICA</t>
  </si>
  <si>
    <t>301 CONSTRUÇÃO, AMPLIAÇÃO E REFORMA DE PRÉDIOS</t>
  </si>
  <si>
    <t>13300</t>
  </si>
  <si>
    <t>13400</t>
  </si>
  <si>
    <t>14000</t>
  </si>
  <si>
    <t>14100</t>
  </si>
  <si>
    <t>Férias Sec. Mun. Administração</t>
  </si>
  <si>
    <t>13º Salario Sec. Mun. Administração</t>
  </si>
  <si>
    <t>Ferias Indenizadas Sec. Mun. Administração</t>
  </si>
  <si>
    <t>Subsidios  Sec. Mun. Administração</t>
  </si>
  <si>
    <t>INSS - Sec. Mun. Administração</t>
  </si>
  <si>
    <t>Diarias Sec. Municipal da Administração</t>
  </si>
  <si>
    <t>Materiais P/Manutenção da Sec. Mun. Administração</t>
  </si>
  <si>
    <t>Mensalidade DPM</t>
  </si>
  <si>
    <t>Seleção e Treinamento : Sec. Mun. Administração</t>
  </si>
  <si>
    <t>Conta de Energia Elétrica - Centro Administrativo</t>
  </si>
  <si>
    <t>Conta de Energia Elétrica - Almoxarifado</t>
  </si>
  <si>
    <t>Conta de Água - Centro Administrativo</t>
  </si>
  <si>
    <t>Conta de Água - Almoxarifado</t>
  </si>
  <si>
    <t>Servicos Postais</t>
  </si>
  <si>
    <t>Telefone Fixo - Centro Administrativo</t>
  </si>
  <si>
    <t>Telefone Fixo -  Almoxarifado</t>
  </si>
  <si>
    <t>Locação de Copiadoras e Impressoras</t>
  </si>
  <si>
    <t>403 CONVENIOS E PARCERIAS</t>
  </si>
  <si>
    <t>Devolução de Saldo</t>
  </si>
  <si>
    <t>Servicos De Terceiros - Pessoa Jurídica</t>
  </si>
  <si>
    <t>406 GERENCIAM. DE SIST. DE INFORMÁTICA E COMUNICAÇÃO</t>
  </si>
  <si>
    <t>Material de Consumo - Contra Partida</t>
  </si>
  <si>
    <t>Servicos de Informatica</t>
  </si>
  <si>
    <t>Conta de Acesso a Internet - Centro Administrativo</t>
  </si>
  <si>
    <t>03 - Secretaria  Municipal da Fazenda</t>
  </si>
  <si>
    <t>123 Administração Financeira</t>
  </si>
  <si>
    <t>Gratificação Lei 233/2001</t>
  </si>
  <si>
    <t>Ferias Indenizadas Sec. Mun. Fazenda</t>
  </si>
  <si>
    <t>13º Salario Sec. Mun. Fazenda</t>
  </si>
  <si>
    <t>Férias Sec. Mun. Fazenda</t>
  </si>
  <si>
    <t>Subsidios  Sec. Mun. Fazenda</t>
  </si>
  <si>
    <t>INSS Patronal - Vencimentos: Servidores Efetivos</t>
  </si>
  <si>
    <t>INSS Patronal - Vencimentos: Servidores C.C.</t>
  </si>
  <si>
    <t>INSS Patronal - Vencimentos: Sec. Mun. Fazenda</t>
  </si>
  <si>
    <t>Diarias Sec. Mun. Fazenda</t>
  </si>
  <si>
    <t>Materiais P/Manutenção da Sec. Mun. Fazenda</t>
  </si>
  <si>
    <t>Telefone Fixo - Sec. Mun. Fazenda</t>
  </si>
  <si>
    <t>04 - Secretaria  Municipal de Obras, Viação e Serviços Urbanos</t>
  </si>
  <si>
    <t>12</t>
  </si>
  <si>
    <t>INSS - Vencimentos Serv. Contratados - Obras e Viação</t>
  </si>
  <si>
    <t>Vencimentos Serv. Contratados - Obras e Viação</t>
  </si>
  <si>
    <t>Férias Indenizadas Serv. Contratado - Obras e Viação</t>
  </si>
  <si>
    <t>13º Salário Serv. Contratado - Obras e Viação</t>
  </si>
  <si>
    <t>Adicional Noturo Serv. Contratados - Obras e Viação</t>
  </si>
  <si>
    <t>7100</t>
  </si>
  <si>
    <t>7301</t>
  </si>
  <si>
    <t>7900</t>
  </si>
  <si>
    <t>8000</t>
  </si>
  <si>
    <t>8400</t>
  </si>
  <si>
    <t>8500</t>
  </si>
  <si>
    <t>133  002.007.000  DEFESA CIVIL</t>
  </si>
  <si>
    <t>135  002.009.000  PREVENÇÃO DE DESASTRES</t>
  </si>
  <si>
    <t>09 - Conselhos Municipais</t>
  </si>
  <si>
    <t>Custo de Aquisição: Equip. e Material Permanente</t>
  </si>
  <si>
    <t>12200</t>
  </si>
  <si>
    <t>12300</t>
  </si>
  <si>
    <t>12400</t>
  </si>
  <si>
    <t>Custo de Const., Ampl. e Reforma:  Obras e Instalações</t>
  </si>
  <si>
    <t>Custo de Const., Ampl. e Reforma:  Material De Consumo</t>
  </si>
  <si>
    <t>Custo de Const., Ampl. e Reforma:   Obrigações Tributarias e Contributivas</t>
  </si>
  <si>
    <t>12700</t>
  </si>
  <si>
    <t>12800</t>
  </si>
  <si>
    <t>12900</t>
  </si>
  <si>
    <t>Custo de Aquisição:  Obrigações Tributarias e Contributivas</t>
  </si>
  <si>
    <t>Custo de Aquisição:  Material De Consumo</t>
  </si>
  <si>
    <t>Custo de Aquisição:  Equip. e Material Permanente</t>
  </si>
  <si>
    <t>150  003.002.000  CUSTEIO OPERACIONAL</t>
  </si>
  <si>
    <t>145  003.001.000  GESTÃO ADMINISTRATIVA</t>
  </si>
  <si>
    <t>14200</t>
  </si>
  <si>
    <t>14300</t>
  </si>
  <si>
    <t>14400</t>
  </si>
  <si>
    <t>14800</t>
  </si>
  <si>
    <t>14900</t>
  </si>
  <si>
    <t>15000</t>
  </si>
  <si>
    <t>15100</t>
  </si>
  <si>
    <t>15200</t>
  </si>
  <si>
    <t>15300</t>
  </si>
  <si>
    <t>15400</t>
  </si>
  <si>
    <t>Material de Consumo - Aquisição por Consórcio</t>
  </si>
  <si>
    <t>16000</t>
  </si>
  <si>
    <t>16300</t>
  </si>
  <si>
    <t>16400</t>
  </si>
  <si>
    <t>16500</t>
  </si>
  <si>
    <t>190  003.004.000  GESTÃO DE CONVENIOS E PARCERIAS</t>
  </si>
  <si>
    <t>17100</t>
  </si>
  <si>
    <t>17200</t>
  </si>
  <si>
    <t>17300</t>
  </si>
  <si>
    <t>17400</t>
  </si>
  <si>
    <t>182  003.003.000  GESTAO DE SISTEMAS DE INFORMÁTICA E COMUNICACAO</t>
  </si>
  <si>
    <t>18200</t>
  </si>
  <si>
    <t>18300</t>
  </si>
  <si>
    <t>18400</t>
  </si>
  <si>
    <t>18700</t>
  </si>
  <si>
    <t>18800</t>
  </si>
  <si>
    <t>18900</t>
  </si>
  <si>
    <t>19000</t>
  </si>
  <si>
    <t>19100</t>
  </si>
  <si>
    <t>19200</t>
  </si>
  <si>
    <t>19300</t>
  </si>
  <si>
    <t>19400</t>
  </si>
  <si>
    <t>407 PROG. DE EDUC. FISCAL E INTEGRAÇAO TRIBUTÁRITARIA</t>
  </si>
  <si>
    <t>Custo de Aq. de Eq. e Mat. Perm.:  Obrig. Trib. e Contributivas</t>
  </si>
  <si>
    <t>Custo de Aq. Eq. e Utensílios Domésticos: Contrib. Patronal P.  Fisica</t>
  </si>
  <si>
    <t>Custo de Aq. Eq. Informatica: Contrib. Patronal P. isica</t>
  </si>
  <si>
    <t>Custo de Aq. Mobiliário: Contrib. Patronal P. Fisica</t>
  </si>
  <si>
    <t>Custo de Aq. Eq. de Comunicação: Contrib. Patronal P.  Fisica</t>
  </si>
  <si>
    <t>Custo de Aq. Eq. e Utensílios Domésticos: Contrib. Patronal P.  Juridica e M.E.I.</t>
  </si>
  <si>
    <t>Custo de Aq. Eq. Informatica: Contrib. Patronal P.  Juridica e M.E.I.</t>
  </si>
  <si>
    <t>Custo de Aq. Mobiliário: Contrib. Patronal P. Juridica e M.E.I.</t>
  </si>
  <si>
    <t>Custo de Aq. Eq. de Comunicação: Contrib. Patronal P.  Juridica e M.E.I.</t>
  </si>
  <si>
    <t>Custo de Aq. : Material P/Inst. de Equip. e Utensilios Domesticos</t>
  </si>
  <si>
    <t>Custo de Aq. : Material P/Inst. de Equip. de informática</t>
  </si>
  <si>
    <t>Custo de Aq. : Material P/Inst. de Mobiliário</t>
  </si>
  <si>
    <t>Custo de Aq. : Material P/Inst. de Equip. de Comunicacao</t>
  </si>
  <si>
    <t>19301</t>
  </si>
  <si>
    <t>19800</t>
  </si>
  <si>
    <t>19900</t>
  </si>
  <si>
    <t>19902</t>
  </si>
  <si>
    <t>19903</t>
  </si>
  <si>
    <t>19904</t>
  </si>
  <si>
    <t>19905</t>
  </si>
  <si>
    <t>20000</t>
  </si>
  <si>
    <t>19401</t>
  </si>
  <si>
    <t>19402</t>
  </si>
  <si>
    <t>20100</t>
  </si>
  <si>
    <t>20200</t>
  </si>
  <si>
    <t>20300</t>
  </si>
  <si>
    <t>Seleção e Treinamento : Sec. Mun. Fazenda</t>
  </si>
  <si>
    <t>20600</t>
  </si>
  <si>
    <t>20700</t>
  </si>
  <si>
    <t>20800</t>
  </si>
  <si>
    <t>21200</t>
  </si>
  <si>
    <t>21300</t>
  </si>
  <si>
    <t>21302</t>
  </si>
  <si>
    <t>21400</t>
  </si>
  <si>
    <t>22200</t>
  </si>
  <si>
    <t>22300</t>
  </si>
  <si>
    <t>22400</t>
  </si>
  <si>
    <t>22700</t>
  </si>
  <si>
    <t>22800</t>
  </si>
  <si>
    <t>22900</t>
  </si>
  <si>
    <t>23200</t>
  </si>
  <si>
    <t>23300</t>
  </si>
  <si>
    <t>23400</t>
  </si>
  <si>
    <t>Ferias Indenizadas Sec. Mun. Obras, Viação e Serv. Urb.</t>
  </si>
  <si>
    <t>13º Salario Sec. Mun. Obras, Viação e Serv. Urb.</t>
  </si>
  <si>
    <t>Férias Sec. Mun. Obras, Viação e Serv. Urb.</t>
  </si>
  <si>
    <t>Subsidios  Sec. Mun. Obras, Viação e Serv. Urb.</t>
  </si>
  <si>
    <t>INSS Patronal - Vencimentos: Sec. Mun. Obras, Viação e Serv. Urb.</t>
  </si>
  <si>
    <t>Diarias - Sec. Mun. Obras, Viação e Serv. Urb.</t>
  </si>
  <si>
    <t>Gasolina Veiculo ITP 0262 - Estoque</t>
  </si>
  <si>
    <t>Gasolina Veiculo IQV 8399 - Estoque</t>
  </si>
  <si>
    <t>Gasolina Veiculo ABK 7176 - Estoque</t>
  </si>
  <si>
    <t>Lubrificantes Veiculo ABK 7176 - Estoque</t>
  </si>
  <si>
    <t>Manutenção Veiculo IQV 8399</t>
  </si>
  <si>
    <t>Conta de Energia Elétrica - SMOVSU</t>
  </si>
  <si>
    <t>Conta de Água - SMOVSU</t>
  </si>
  <si>
    <t>Seleção e Treinamento : Sec. Mun. Obras, Viação e Serv. Urb.</t>
  </si>
  <si>
    <t>Telefone Fixo - SMOVSU</t>
  </si>
  <si>
    <t>25000</t>
  </si>
  <si>
    <t>25100</t>
  </si>
  <si>
    <t>25200</t>
  </si>
  <si>
    <t>25300</t>
  </si>
  <si>
    <t xml:space="preserve">13 MAIS ESTRADAS  - Construção, Ampliação, Recuperação e Modernização da Malha Viaria Municipal </t>
  </si>
  <si>
    <t>524 MANUTENÇÃO RECURSOS DA CIDE</t>
  </si>
  <si>
    <t xml:space="preserve">14 MAIS INFRAESTRUTURA  - URBANA </t>
  </si>
  <si>
    <t>15 MAIS QUALIDADE URBANDA  - CIDADE LIMPA</t>
  </si>
  <si>
    <t xml:space="preserve">16 MAIS INFRAESTRUTURA - RURAL </t>
  </si>
  <si>
    <t>Custo de Aq. de Eq. e Mat. Permanente: Material De Consumo</t>
  </si>
  <si>
    <t>233  004.004.000  CUSTO DE AQUISICAO DE EQUIPAMENTOS E MATERIAL PERMANENTE</t>
  </si>
  <si>
    <t>Custo de Aquisição de Eq. e Mat. Permanente: Servicos Pessoa Fisica</t>
  </si>
  <si>
    <t>Custo de Aquisição de Eq. e Mat. Permanente: Servicos Pessoa Jurídica</t>
  </si>
  <si>
    <t>Custo de Aq. de Eq. de Informatica:  Obrig. Trib. e Contributivas</t>
  </si>
  <si>
    <t>Custo de Aq. de Eq. de Informatica:  Material De Consumo</t>
  </si>
  <si>
    <t>Custo de Aq. de Eq. de Informatica:  Equip. e Material Permanente</t>
  </si>
  <si>
    <t>Custo de Aq. de Eq. de Informatica: Servicos Pessoa Juridica</t>
  </si>
  <si>
    <t>Custo de Aq. de Eq. de Informatica: Servicos Pessoa Fisica</t>
  </si>
  <si>
    <t>207  004.001.000  PESSOAL E ENCARGOS SOCIAIS</t>
  </si>
  <si>
    <t>212  004.002.000  GESTÃO OPERACIONAL</t>
  </si>
  <si>
    <t>Folha de Pagamento: Auxilio-Transporte</t>
  </si>
  <si>
    <t>Prog. Ed. Fisc. Integ. Trib. : Material De Consumo</t>
  </si>
  <si>
    <t>232  004.003.000  Programa de Integração Tributaria</t>
  </si>
  <si>
    <t>Prog. Ed. Fisc. Integ. Trib. : Premiações</t>
  </si>
  <si>
    <t>Prog. Ed. Fisc. Integ. Trib. : Material P/Divulgação</t>
  </si>
  <si>
    <t>Prog. Ed. Fisc. Integ. Trib. : Serv. - Pessoa Fisica</t>
  </si>
  <si>
    <t>Prog. Ed. Fisc. Integ. Trib. : Aq. Equip. e Outros</t>
  </si>
  <si>
    <t>Prog. Ed. Fisc. Integ. Trib. : Serv. - Pessoa Juridica</t>
  </si>
  <si>
    <t>Prog. Ed. Fisc. Integ. Trib. : Obrigacoes Trib. e Contrib.</t>
  </si>
  <si>
    <t>Gerenc. Sist. Inf. e Com.: Material de Consumo</t>
  </si>
  <si>
    <t>Gerenc. Sist. Inf. e Com.: Serv. - Pessoa Fisica</t>
  </si>
  <si>
    <t>Gerenc. Sist. Inf. e Com.: Serv. - Pessoa Juridica</t>
  </si>
  <si>
    <t>Gerenc. Sist. Inf. e Com.: Obrig. Trib. e Contrib.</t>
  </si>
  <si>
    <t>Gerenc. Sist. Inf. e Com.: Equip. e Material Permanente</t>
  </si>
  <si>
    <t>Gerenc. Sist. Inf. e Com.: Materiais de Consumo</t>
  </si>
  <si>
    <t>20500</t>
  </si>
  <si>
    <t>21500</t>
  </si>
  <si>
    <t>20501</t>
  </si>
  <si>
    <t>004.008.000</t>
  </si>
  <si>
    <t>1804  004.008.000  GESTAO DE SISTEMAS DE INFORMÁTICA E COMUNICACAO</t>
  </si>
  <si>
    <t>21600</t>
  </si>
  <si>
    <t>268  005.002.000  GESTÃO OPERACIONAL</t>
  </si>
  <si>
    <t>Custo de Aq. de Veículos : Aq. de Veículos</t>
  </si>
  <si>
    <t>Custo de Aquisição: Material De Consumo</t>
  </si>
  <si>
    <t>Custo de Aquisição: Obrigações Tributarias e Contributivas</t>
  </si>
  <si>
    <t>Custo de Aquisição: Servicos - Pessoa Fisica</t>
  </si>
  <si>
    <t>Custo de Aquisição: Servicos - Pessoa Juridica</t>
  </si>
  <si>
    <t>263  005.001.000  PESSOAL E ENCARGOS SOCIAIS</t>
  </si>
  <si>
    <t>25301</t>
  </si>
  <si>
    <t>25302</t>
  </si>
  <si>
    <t>25400</t>
  </si>
  <si>
    <t>Materiais P/Manutenção da Sec. Mun. Obras, Viação e Serv. Urbanos</t>
  </si>
  <si>
    <t>25800</t>
  </si>
  <si>
    <t>25900</t>
  </si>
  <si>
    <t>26000</t>
  </si>
  <si>
    <t>26100</t>
  </si>
  <si>
    <t>26200</t>
  </si>
  <si>
    <t>26300</t>
  </si>
  <si>
    <t>Material de Consumo - Aq. Por Consórcio</t>
  </si>
  <si>
    <t>27100</t>
  </si>
  <si>
    <t>27101</t>
  </si>
  <si>
    <t>27200</t>
  </si>
  <si>
    <t>27300</t>
  </si>
  <si>
    <t>27400</t>
  </si>
  <si>
    <t>510 Abertura, Ampliação e Pavimentação  de Vias Urbanas</t>
  </si>
  <si>
    <t>551 Construção, Manutenção de Cemiterio e Capela Mortuária</t>
  </si>
  <si>
    <t>15 Urbanismo</t>
  </si>
  <si>
    <t>451 Infra-Estrutura Urbana</t>
  </si>
  <si>
    <t>Const. Ampl. Pav. de Vias: Obrig. Trib. e Contrib.</t>
  </si>
  <si>
    <t>Const. Ampl. Pav. de Vias: Material de Consumo</t>
  </si>
  <si>
    <t>Const. Ampl. Pav. de Vias: Serv. - Pessoa Fisica</t>
  </si>
  <si>
    <t>Const. Ampl. Pav. de Vias: Serv. - Pessoa Juridica</t>
  </si>
  <si>
    <t>368  005.009.000  CONSTRUÇÃO E MANUTENCAO DE VIAS URBANAS</t>
  </si>
  <si>
    <t>28000</t>
  </si>
  <si>
    <t>28200</t>
  </si>
  <si>
    <t>28300</t>
  </si>
  <si>
    <t>28400</t>
  </si>
  <si>
    <t>Const. Ampl. Pav. de Vias:  Obras e Instalações</t>
  </si>
  <si>
    <t>29000</t>
  </si>
  <si>
    <t>29200</t>
  </si>
  <si>
    <t>29300</t>
  </si>
  <si>
    <t>29400</t>
  </si>
  <si>
    <t>Const. Manut. Cem. Cap. Mort.: Material de Consumo</t>
  </si>
  <si>
    <t>29500</t>
  </si>
  <si>
    <t>Const. Manut. Cem. Cap. Mort.: Serv. - Pessoa Física</t>
  </si>
  <si>
    <t>391  005.014.000  MANUTENÇÃO E CONSERVAÇÃO CAPELA MUNICIPAL E CEMITÉRIO</t>
  </si>
  <si>
    <t>Const. Manut. Cem. Cap. Mort.: Serv. - Pessoa Juridica</t>
  </si>
  <si>
    <t>Const. Manut. Cem. Cap. Mort.: Obrig. Trib. e Contrib.</t>
  </si>
  <si>
    <t>Const. Manut. Cem. Cap. Mort.:  Eq. e Mat. Perm.</t>
  </si>
  <si>
    <t>Const. Manut. Cem. Cap. Mort.: Obras e Instalações</t>
  </si>
  <si>
    <t>30000</t>
  </si>
  <si>
    <t>30200</t>
  </si>
  <si>
    <t>30300</t>
  </si>
  <si>
    <t>30400</t>
  </si>
  <si>
    <t>30500</t>
  </si>
  <si>
    <t>552 MANUTENÇÃO FUNDO MUN. ILUM. PUBLICA LEI 946/2013</t>
  </si>
  <si>
    <t>Manut. Ilim. Pública Urbana: Material de Consumo</t>
  </si>
  <si>
    <t>Manut. Ilim. Pública Urbana:  Serv. - Pessoa Física</t>
  </si>
  <si>
    <t>Manut. Ilim. Pública Urbana: Serv. - Pessoa Juridica</t>
  </si>
  <si>
    <t>Manut. Ilim. Pública Urbana:  Obrig. Trib. e Contrib.</t>
  </si>
  <si>
    <t>Manut. Ilim. Pública Urbana:  Obras e Instalações</t>
  </si>
  <si>
    <t>Manut. Ilim. Pública Urbana:  Eq. e Mat. Perm.</t>
  </si>
  <si>
    <t>397  005.015.000  MANUTENÇÃO DA ILUMINAÇÃO PÚBLICA</t>
  </si>
  <si>
    <t>553 MANUTENÇÃO DO PORTICO</t>
  </si>
  <si>
    <t>Manut. Pórticos: Material de Consumo</t>
  </si>
  <si>
    <t>Manut. Pórticos:  Serv. - Pessoa Física</t>
  </si>
  <si>
    <t>Manut. Pórticos: Serv. - Pessoa Juridica</t>
  </si>
  <si>
    <t>Manut. Pórticos: Obrig. Trib. e Contrib.</t>
  </si>
  <si>
    <t>Manut. Pórticos: Obras e Instalações</t>
  </si>
  <si>
    <t>Manut. Pórticos: Eq. e Mat. Perm.</t>
  </si>
  <si>
    <t>31000</t>
  </si>
  <si>
    <t>31200</t>
  </si>
  <si>
    <t>31300</t>
  </si>
  <si>
    <t>31400</t>
  </si>
  <si>
    <t>31500</t>
  </si>
  <si>
    <t>401  005.016.000  MANUTENÇÃO DO PÓRTICO</t>
  </si>
  <si>
    <t>32000</t>
  </si>
  <si>
    <t>32200</t>
  </si>
  <si>
    <t>32300</t>
  </si>
  <si>
    <t>32400</t>
  </si>
  <si>
    <t>32500</t>
  </si>
  <si>
    <t>540 COLETA, TRANSPORTE DE LIXO E DISPOSIÇÃO FINAL</t>
  </si>
  <si>
    <t>Coleta, Transp. de Lixo e Disp. Final: Material de Consumo</t>
  </si>
  <si>
    <t>Coleta, Transp. de Lixo e Disp. Final: Serv. - Pessoa Física</t>
  </si>
  <si>
    <t>Coleta, Transp. de Lixo e Disp. Final: Serv. - Pessoa Juridica</t>
  </si>
  <si>
    <t>Coleta, Transp. de Lixo e Disp. Final: Obrig. Trib. e Contrib.</t>
  </si>
  <si>
    <t>Coleta, Transp. de Lixo e Disp. Final: Obras e Instalações</t>
  </si>
  <si>
    <t>Coleta, Transp. de Lixo e Disp. Final: Eq. e Mat. Perm.</t>
  </si>
  <si>
    <t>452 Serviços Urbanos</t>
  </si>
  <si>
    <t>373  005.010.000  GESTÃO COLETA DE LIXO</t>
  </si>
  <si>
    <t>33000</t>
  </si>
  <si>
    <t>33200</t>
  </si>
  <si>
    <t>33300</t>
  </si>
  <si>
    <t>33400</t>
  </si>
  <si>
    <t>33500</t>
  </si>
  <si>
    <t>570 IMPL. MAN. E AMPL. DA ILUM. PUBLICA NO MEIO RURAL</t>
  </si>
  <si>
    <t>20 Agricultura</t>
  </si>
  <si>
    <t>752 Energia Elétrica</t>
  </si>
  <si>
    <t>Imp. e Man. Ilum. Pública: Material de Consumo</t>
  </si>
  <si>
    <t>Imp. e Man. Ilum. Pública: Serv. - Pessoa Física</t>
  </si>
  <si>
    <t>Imp. e Man. Ilum. Pública: Serv. - Pessoa Juridica</t>
  </si>
  <si>
    <t>Imp. e Man. Ilum. Pública: Obrig. Trib. e Contrib.</t>
  </si>
  <si>
    <t>Imp. e Man. Ilum. Pública: Obras e Instalações</t>
  </si>
  <si>
    <t>Imp. e Man. Ilum. Pública: Eq. e Mat. Perm.</t>
  </si>
  <si>
    <t>34000</t>
  </si>
  <si>
    <t>34200</t>
  </si>
  <si>
    <t>34300</t>
  </si>
  <si>
    <t>34400</t>
  </si>
  <si>
    <t>480 AQUISIÇÃO DE MÁQUINAS, VEÍCULOS E CAMINHÕES</t>
  </si>
  <si>
    <t>481 CONSTRUÇÃO E REFORMA DE PONTES E BUEIROS</t>
  </si>
  <si>
    <t>26 Transporte</t>
  </si>
  <si>
    <t>782 Transporte Rodoviário</t>
  </si>
  <si>
    <t>Aq. de Maq. Veic. e Caminhoes:  Serv. - Pessoa Física</t>
  </si>
  <si>
    <t>Aq. de Maq. Veic. e Caminhoes:  Serv. - Pessoa Juridica</t>
  </si>
  <si>
    <t>Aq. de Maq. Veic. e Caminhoes:  Obrig. Trib. e Contrib.</t>
  </si>
  <si>
    <t>Aq. de Maq. Veic. e Caminhoes: Maquinas, Veic. e Caminhoes</t>
  </si>
  <si>
    <t>Aq. de Maq. Veic. e Caminhoes:  Material de Consumo</t>
  </si>
  <si>
    <t>310  005.006.000  GESTÃO DA FROTA DE VEICULOS E MAQUINAS RODOVIÁRIAS</t>
  </si>
  <si>
    <t>35000</t>
  </si>
  <si>
    <t>35200</t>
  </si>
  <si>
    <t>35300</t>
  </si>
  <si>
    <t>35400</t>
  </si>
  <si>
    <t>35500</t>
  </si>
  <si>
    <t>Const. e Reforma de Pontes e Bueiros: Material de Consumo</t>
  </si>
  <si>
    <t>Const. e Reforma de Pontes e Bueiros: Obras e Instalações</t>
  </si>
  <si>
    <t>Const. e Reforma de Pontes e Bueiros: Obrig. Trib. e Contrib.</t>
  </si>
  <si>
    <t>Const. e Reforma de Pontes e Bueiros: Serv. - Pessoa Física</t>
  </si>
  <si>
    <t>Const. e Reforma de Pontes e Bueiros: Serv. - Pessoa Juridica</t>
  </si>
  <si>
    <t>Const. e Reforma de Pontes e Bueiros: Eq. e Mat. Perm.</t>
  </si>
  <si>
    <t>36000</t>
  </si>
  <si>
    <t>36200</t>
  </si>
  <si>
    <t>36300</t>
  </si>
  <si>
    <t>36400</t>
  </si>
  <si>
    <t>36500</t>
  </si>
  <si>
    <t>520 MANUTENÇÃO DE VIAS MUNICIPAIS</t>
  </si>
  <si>
    <t>521 MANUTENÇÃO DA FROTA DE VEÍCULOS E MAQUINAS</t>
  </si>
  <si>
    <t>522 Construção e Manutenção de Abrigos de Passageiro</t>
  </si>
  <si>
    <t>523 Construção e Manutenção de Predio para parque de Maquinas</t>
  </si>
  <si>
    <t>525 Manutenção recursos do FEP</t>
  </si>
  <si>
    <t>526 Manutenção de Recurso Horas Máquina</t>
  </si>
  <si>
    <t>Manutenção de vias Municipais: Material de Consumo</t>
  </si>
  <si>
    <t>Manutenção de vias Municipais: Serv. - Pessoa Física</t>
  </si>
  <si>
    <t>Manutenção de vias Municipais: Serv. - Pessoa Juridica</t>
  </si>
  <si>
    <t>Manutenção de vias Municipais: Obrig. Trib. e Contrib.</t>
  </si>
  <si>
    <t>Manutenção de vias Municipais: Obras e Instalações</t>
  </si>
  <si>
    <t>Manutenção de vias Municipais: Eq. e Mat. Perm.</t>
  </si>
  <si>
    <t>262  005.000.000  SECRETARIA MUN. DE OBRAS, VIAÇÃO E SERV. URBANOS</t>
  </si>
  <si>
    <t>383  005.012.000  CONSTRUÇÃO, MANUTENÇÃO E CONSERVAÇÃO DE ESTRADAS</t>
  </si>
  <si>
    <t>37000</t>
  </si>
  <si>
    <t>37200</t>
  </si>
  <si>
    <t>37300</t>
  </si>
  <si>
    <t>37400</t>
  </si>
  <si>
    <t>Manut. da Frota de Veiculos e Maq.: Material de Consumo</t>
  </si>
  <si>
    <t>Manut. da Frota de Veiculos e Maq.: Serv. - Pessoa Física</t>
  </si>
  <si>
    <t>Manut. da Frota de Veiculos e Maq.: Serv. - Pessoa Juridica</t>
  </si>
  <si>
    <t>Manut. da Frota de Veiculos e Maq.: Obrig. Trib. e Contrib.</t>
  </si>
  <si>
    <t>Manut. da Frota de Veiculos e Maq.: Eq. e Mat. Perm.</t>
  </si>
  <si>
    <t>Const. e Manut. de Abrigos de Passag.: Material de Consumo</t>
  </si>
  <si>
    <t>Const. e Manut. de Abrigos de Passag.: Serv. - Pessoa Física</t>
  </si>
  <si>
    <t>Const. e Manut. de Abrigos de Passag.: Serv. - Pessoa Juridica</t>
  </si>
  <si>
    <t>Const. e Manut. de Abrigos de Passag.: Obrig. Trib. e Contrib.</t>
  </si>
  <si>
    <t>Const. e Manut. de Abrigos de Passag.: Obras e Instalações</t>
  </si>
  <si>
    <t>Const. e Manut. de Abrigos de Passag.: Eq. e Mat. Perm.</t>
  </si>
  <si>
    <t>38000</t>
  </si>
  <si>
    <t>38200</t>
  </si>
  <si>
    <t>38300</t>
  </si>
  <si>
    <t>38400</t>
  </si>
  <si>
    <t>38500</t>
  </si>
  <si>
    <t>39000</t>
  </si>
  <si>
    <t>39200</t>
  </si>
  <si>
    <t>39300</t>
  </si>
  <si>
    <t>39400</t>
  </si>
  <si>
    <t>39500</t>
  </si>
  <si>
    <t>Aplicação Recursos da CIDE: Material de Consumo</t>
  </si>
  <si>
    <t>Aplicação Recursos da CIDE: Serv. - Pessoa Física</t>
  </si>
  <si>
    <t>Aplicação Recursos da CIDE: Serv. - Pessoa Juridica</t>
  </si>
  <si>
    <t>Aplicação Recursos da CIDE: Obrig. Trib. e Contrib.</t>
  </si>
  <si>
    <t>Aplicação Recursos da CIDE: Obras e Instalações</t>
  </si>
  <si>
    <t>Aplicação Recursos da CIDE: Eq. e Mat. Perm.</t>
  </si>
  <si>
    <t>299  005.004.000  GESTÃO RECURSO CIDE</t>
  </si>
  <si>
    <t>40000</t>
  </si>
  <si>
    <t>40200</t>
  </si>
  <si>
    <t>40300</t>
  </si>
  <si>
    <t>40400</t>
  </si>
  <si>
    <t>40500</t>
  </si>
  <si>
    <t>304  005.005.000  GESTÃO RECURSO FEPE</t>
  </si>
  <si>
    <t>Aplicação Recursos do FEP: Material de Consumo</t>
  </si>
  <si>
    <t>Aplicação Recursos do FEP:  Serv. - Pessoa Física</t>
  </si>
  <si>
    <t>Aplicação Recursos do FEP:  Serv. - Pessoa Juridica</t>
  </si>
  <si>
    <t>Aplicação Recursos do FEP: Obrig. Trib. e Contrib.</t>
  </si>
  <si>
    <t>Aplicação Recursos do FEP: Obras e Instalações</t>
  </si>
  <si>
    <t>Aplicação Recursos do FEP: Eq. e Mat. Perm.</t>
  </si>
  <si>
    <t>Aplicação Recursos de Hora Máq.: Material de Consumo</t>
  </si>
  <si>
    <t>Aplicação Recursos de Hora Máq.: Serv. - Pessoa Física</t>
  </si>
  <si>
    <t>Aplicação Recursos de Hora Máq.: Serv. - Pessoa Juridica</t>
  </si>
  <si>
    <t>Aplicação Recursos de Hora Máq.: Obrig. Trib. e Contrib.</t>
  </si>
  <si>
    <t>Aplicação Recursos de Hora Máq.: Eq. e Mat. Perm.</t>
  </si>
  <si>
    <t>41000</t>
  </si>
  <si>
    <t>41200</t>
  </si>
  <si>
    <t>41300</t>
  </si>
  <si>
    <t>41400</t>
  </si>
  <si>
    <t>41500</t>
  </si>
  <si>
    <t>42000</t>
  </si>
  <si>
    <t>42200</t>
  </si>
  <si>
    <t>42300</t>
  </si>
  <si>
    <t>42400</t>
  </si>
  <si>
    <t>390  005.013.000  GESTÃO DE RECURSOS DE HORA MAQUINA</t>
  </si>
  <si>
    <t>CONSTRUÇÃO E MANUTENÇÃO DE ABRIGOS</t>
  </si>
  <si>
    <t>005.017.000</t>
  </si>
  <si>
    <t>005.018.000</t>
  </si>
  <si>
    <t>1807  005.018.000  CONSTRUÇÃO E MANUTENÇÃO DE ABRIGOS</t>
  </si>
  <si>
    <t>CONSTRUÇÃO E MANUTENÇÃO DE PREDIO E PARQUE DE MÁQUINAS</t>
  </si>
  <si>
    <t>005.019.000</t>
  </si>
  <si>
    <t>1808  005.019.000  CONSTRUÇÃO E MANUTENÇÃO DE PREDIO E PARQUE DE MÁQUINAS</t>
  </si>
  <si>
    <t>Const. e Manut. Predio e Parque Maq.: Material de Consumo</t>
  </si>
  <si>
    <t>Const. e Manut. Predio e Parque Maq.: Serv. - Pessoa Física</t>
  </si>
  <si>
    <t>Const. e Manut. Predio e Parque Maq.: Serv. - Pessoa Juridica</t>
  </si>
  <si>
    <t>Const. e Manut. Predio e Parque Maq.: Obrig. Trib. e Contrib.</t>
  </si>
  <si>
    <t>Const. e Manut. Predio e Parque Maq.: Obras e Instalações</t>
  </si>
  <si>
    <t>Const. e Manut. Predio e Parque Maq.: Eq. e Mat. Perm.</t>
  </si>
  <si>
    <t>33600</t>
  </si>
  <si>
    <t>28900</t>
  </si>
  <si>
    <t>05 - Secretaria Municipal de Agricultura e Meio ambiente</t>
  </si>
  <si>
    <t>1140  040.003.000  CUSTO DE AQUISIÇÃO DE BENS MOVEIS E IMÓVEIS</t>
  </si>
  <si>
    <t>Custo de Aq. Eq. Informatica: Contrib. Patronal P. Fisica</t>
  </si>
  <si>
    <t>43200</t>
  </si>
  <si>
    <t>43300</t>
  </si>
  <si>
    <t>43400</t>
  </si>
  <si>
    <t>44200</t>
  </si>
  <si>
    <t>44300</t>
  </si>
  <si>
    <t>44400</t>
  </si>
  <si>
    <t>1147  040.004.000  FROTA DE VEICULOS</t>
  </si>
  <si>
    <t>45200</t>
  </si>
  <si>
    <t>45300</t>
  </si>
  <si>
    <t>45400</t>
  </si>
  <si>
    <t>040.013.000</t>
  </si>
  <si>
    <t>1809  040.013.000  GESTAO DE SISTEMAS DE INFORMÁTICA E COMUNICACAO</t>
  </si>
  <si>
    <t>1107  040.001.000  PESSOAL E ENCARGOS SOCIAIS</t>
  </si>
  <si>
    <t>46000</t>
  </si>
  <si>
    <t>46100</t>
  </si>
  <si>
    <t>Folha PGTº: Serv. Efetivos, C.C. e Agente Politico</t>
  </si>
  <si>
    <t>46200</t>
  </si>
  <si>
    <t>46300</t>
  </si>
  <si>
    <t>46400</t>
  </si>
  <si>
    <t>Materiais P/Manutenção da Sec. Mun. Agricultura</t>
  </si>
  <si>
    <t>1113  040.002.000  GESTÃO E COORDENAÇÃO ADMINISTRATIVA</t>
  </si>
  <si>
    <t>46800</t>
  </si>
  <si>
    <t>46900</t>
  </si>
  <si>
    <t>47000</t>
  </si>
  <si>
    <t>47100</t>
  </si>
  <si>
    <t>47200</t>
  </si>
  <si>
    <t>47300</t>
  </si>
  <si>
    <t>48100</t>
  </si>
  <si>
    <t>48200</t>
  </si>
  <si>
    <t>48300</t>
  </si>
  <si>
    <t>48400</t>
  </si>
  <si>
    <t>06 - Fundo Municipal da Agricultura</t>
  </si>
  <si>
    <t>23 MAIS AGRICULTURA</t>
  </si>
  <si>
    <t>24 MAIS PRODUÇÃO</t>
  </si>
  <si>
    <t>26 AGUA BOA</t>
  </si>
  <si>
    <t>27 MAIS ACESSO AS PROPRIEDADES E LAVOURAS</t>
  </si>
  <si>
    <t>670 Patrulha Agricola</t>
  </si>
  <si>
    <t>671 Aquisição de Maquina para Colheita de Grãos</t>
  </si>
  <si>
    <t>608</t>
  </si>
  <si>
    <t>Promoção da Produção Agropecuária</t>
  </si>
  <si>
    <t>608 Promoção da Produção Agropecuária</t>
  </si>
  <si>
    <t>50200</t>
  </si>
  <si>
    <t>50300</t>
  </si>
  <si>
    <t>50400</t>
  </si>
  <si>
    <t>040.014.000</t>
  </si>
  <si>
    <t>Custo de Aq. Pat. Agricola: Obrig. Trib. e Contributivas</t>
  </si>
  <si>
    <t>Custo de Aq. Pat. Agricola: Material De Consumo</t>
  </si>
  <si>
    <t>Custo de Aq. Pat. Agricola: Servicos - Pessoa Fisica</t>
  </si>
  <si>
    <t>Custo de Aq. Pat. Agricola: Servicos - Pessoa Juridica</t>
  </si>
  <si>
    <t>Custo de Aq. Pat. Agricola: Aq. de Maq. e Implem. Agric.</t>
  </si>
  <si>
    <t>CUSTO DE AQUISICAO DE MAQ., VEICULOS E IMPL. AGRICOLAS</t>
  </si>
  <si>
    <t>1810  040.014.000  CUSTO DE AQUISICAO DE MAQ., VEICULOS E IMPL. AGRICOLAS</t>
  </si>
  <si>
    <t>Custo de Aq. Maq. P/Colheita de Grãos: Obrig. Trib. e Contributivas</t>
  </si>
  <si>
    <t>Custo de Aq. Maq. P/Colheita de Grãos:  Material De Consumo</t>
  </si>
  <si>
    <t>Custo de Aq. Maq. P/Colheita de Grãos:  Servicos - Pessoa Fisica</t>
  </si>
  <si>
    <t>Custo de Aq. Maq. P/Colheita de Grãos:  Servicos - Pessoa Juridica</t>
  </si>
  <si>
    <t>Custo de Aq. Maq. P/Colheita de Grãos:  Aq. de Maq. e Implem. Agric.</t>
  </si>
  <si>
    <t>51200</t>
  </si>
  <si>
    <t>51300</t>
  </si>
  <si>
    <t>51400</t>
  </si>
  <si>
    <t>51500</t>
  </si>
  <si>
    <t>52200</t>
  </si>
  <si>
    <t>52300</t>
  </si>
  <si>
    <t>52400</t>
  </si>
  <si>
    <t>673 AQUISIÇÃO DE VEÍCULOS E UTILITÁRIOS</t>
  </si>
  <si>
    <t>Custo de Aq. Veic. e Utilitarios: Obrig. Trib. e Contributivas</t>
  </si>
  <si>
    <t>Custo de Aq. Veic. e Utilitarios: Material De Consumo</t>
  </si>
  <si>
    <t>Custo de Aq. Veic. e Utilitarios:  Servicos - Pessoa Fisica</t>
  </si>
  <si>
    <t>Custo de Aq. Veic. e Utilitarios:  Servicos - Pessoa Juridica</t>
  </si>
  <si>
    <t>Custo de Aq. Veic. e Utilitarios: Aq. de Veiculos e Utilitários</t>
  </si>
  <si>
    <t>721 Apoio Tecnico</t>
  </si>
  <si>
    <t>722 Realização de Convenios</t>
  </si>
  <si>
    <t>726 Manutenção de Patrulhas Agricolas com Horas Máquinas</t>
  </si>
  <si>
    <t>727 GRUPO DE JOVENS RURAIS</t>
  </si>
  <si>
    <t>728 GESTÃO, COORD. E PLANEJAMENO UNIDADE DE AGROPECUÁRIA</t>
  </si>
  <si>
    <t>53100</t>
  </si>
  <si>
    <t>53101</t>
  </si>
  <si>
    <t>53200</t>
  </si>
  <si>
    <t>53300</t>
  </si>
  <si>
    <t>53400</t>
  </si>
  <si>
    <t>54100</t>
  </si>
  <si>
    <t>54200</t>
  </si>
  <si>
    <t>54300</t>
  </si>
  <si>
    <t>Apoio Técnico: Material de Consumo</t>
  </si>
  <si>
    <t>Apoio Técnico: Serv. - Pessoa Fisica</t>
  </si>
  <si>
    <t>Apoio Técnico:  Serv. - Pessoa Juridica</t>
  </si>
  <si>
    <t>Apoio Técnico:  Obrig. Trib. e Contrib.</t>
  </si>
  <si>
    <t>Apoio Técnico:  Equip. e Material Permanente</t>
  </si>
  <si>
    <t>Convênio Emater</t>
  </si>
  <si>
    <t>1207  040.007.000  GESTÃO DA AGROPECUARIA - ATENDIMENTO AO PRODUTOR</t>
  </si>
  <si>
    <t>Manut. Maq. Convenio Estado: Material de Consumo</t>
  </si>
  <si>
    <t>Manut. Maq. Convenio Estado: Serv. - Pessoa Fisica</t>
  </si>
  <si>
    <t>Manut. Maq. Convenio Estado: Obrig. Trib. e Contrib.</t>
  </si>
  <si>
    <t>040.015.000</t>
  </si>
  <si>
    <t>MANUTENÇÃO MAQUINAS E IMPLEMNTOS DE CONVENIO COM ESTADO</t>
  </si>
  <si>
    <t>1811  040.015.000  MANUTENÇÃO MAQUINAS E IMPLEMNTOS DE CONVENIO COM ESTADO</t>
  </si>
  <si>
    <t>Manut. Maq. Convenio Estado: Serv. - Pessoa Juridica</t>
  </si>
  <si>
    <t>Discriminação</t>
  </si>
  <si>
    <t>1.1.0.0.00.00.00.00.00</t>
  </si>
  <si>
    <t>Contribuição do Servidor Ativo Civil</t>
  </si>
  <si>
    <t>1.2.1.0.29.07.00.00.00</t>
  </si>
  <si>
    <t>Contribuição para o Custeio do Serviço de Iluminação Pública</t>
  </si>
  <si>
    <t>1.2.3.0.00.00.00.00.00</t>
  </si>
  <si>
    <t>Cota-parte do Fundo de Participação dos Municípios - FPM</t>
  </si>
  <si>
    <t>1.7.2.1.01.02.00.00.00</t>
  </si>
  <si>
    <t>(-) Redutor do FPM</t>
  </si>
  <si>
    <t>(1.7.2.1.01.02.05.00.00)</t>
  </si>
  <si>
    <t>Transferência da União - Cota-parte do ITR</t>
  </si>
  <si>
    <t>1.7.2.1.01.05.00.00.00</t>
  </si>
  <si>
    <t>Transferência da União - Cota-parte de Imposto s/Operações de Crédito, Câmbio e Seguro ou Relativos a Títulos e Valores Mobiliários - Comércio do Ouro</t>
  </si>
  <si>
    <t>1.7.2.1.01.32.00.00.00</t>
  </si>
  <si>
    <t>Transferência Financeira do ICMS - Desoneração - LC 87/96</t>
  </si>
  <si>
    <t>1.7.2.1.36.00.00.00.00</t>
  </si>
  <si>
    <t>Transferência do Estado - Cota-parte do ICMS</t>
  </si>
  <si>
    <t>1.7.2.2.01.01.00.00.00</t>
  </si>
  <si>
    <t>Cota-parte do IPVA</t>
  </si>
  <si>
    <t>1.7.2.2.01.02.00.00.00</t>
  </si>
  <si>
    <t>Transferência do Estado - Cota-parte do IPI Exportação</t>
  </si>
  <si>
    <t>1.7.2.2.01.04.00.00.00</t>
  </si>
  <si>
    <t>Transferência do Estado - Cota-parte da CIDE</t>
  </si>
  <si>
    <t>1.7.2.2.01.13.00.00.00</t>
  </si>
  <si>
    <t>1.7.2.2.01.99.01.00.00</t>
  </si>
  <si>
    <t>Multa e Juros de Mora dos Tributos</t>
  </si>
  <si>
    <t>1.9.1.1.00.00.00.00.00</t>
  </si>
  <si>
    <t>Multas e Juros de Mora da Contribuição do Servidor</t>
  </si>
  <si>
    <t>1.9.1.2.29.02.00.00.00</t>
  </si>
  <si>
    <t>Multa e Juros de Mora da Dívida Ativa dos Tributos</t>
  </si>
  <si>
    <t>1.9.1.3.00.00.00.00.00</t>
  </si>
  <si>
    <t>Multa e Juros de Mora da Dívida Ativa da Contribuição do Servidor Ativo ao RPPS</t>
  </si>
  <si>
    <t>1.9.1.4.99.01.01.00.00</t>
  </si>
  <si>
    <t>Receita da Dívida Ativa Tributária</t>
  </si>
  <si>
    <t>1.9.3.1.00.00.00.00.00</t>
  </si>
  <si>
    <t>Receita da Dívida Ativa da Contribuição do Servidor Ativo para o RPPS</t>
  </si>
  <si>
    <t>1.9.3.2.16.01.01.00.00</t>
  </si>
  <si>
    <t>(-) Deduções das receitas acima (exceto CP = 105)</t>
  </si>
  <si>
    <t>TOTAL DA RECEITA EFETIVAMENTE REALIZADA NO EXERCÍCIO ANTERIOR - RREA</t>
  </si>
  <si>
    <r>
      <t xml:space="preserve">Transferência do Estado - Cota-parte do antigo ITCD </t>
    </r>
    <r>
      <rPr>
        <i/>
        <sz val="10"/>
        <color indexed="8"/>
        <rFont val="Arial"/>
        <family val="2"/>
      </rPr>
      <t>(CF/67)</t>
    </r>
  </si>
  <si>
    <t>9.1.1.0.00.00.00.00.00</t>
  </si>
  <si>
    <t>OBS.: Conforme dispõe a Instrução normativa TCE/RS 007-2015, o valor do duodecimo devera ser ajustado mensalmente para fins de calculo do total de despesa com pessoal, o qual devera ser lançado no ajuste do modelo 13 do sistema SIAPC/PAD.</t>
  </si>
  <si>
    <t>723 MANUTENÇÃO DA FROTA MAQ. VEIC. E IMPL. AGRICOLAS</t>
  </si>
  <si>
    <t>55100</t>
  </si>
  <si>
    <t>55200</t>
  </si>
  <si>
    <t>55300</t>
  </si>
  <si>
    <t>Manut. Frota Maq. Veic. E Impl. Agric.: Material de Consumo</t>
  </si>
  <si>
    <t>Manut. Frota Maq. Veic. E Impl. Agric.: Serv. - Pessoa Fisica</t>
  </si>
  <si>
    <t>Manut. Frota Maq. Veic. E Impl. Agric.: Serv. - Pessoa Juridica</t>
  </si>
  <si>
    <t>55400</t>
  </si>
  <si>
    <t>Manut. Frota Maq. Veic. E Impl. Agric.: Eq. e Mat. Perm.</t>
  </si>
  <si>
    <t>FROTA DE MAQUINAS VEÍCULOS E IMPLEMENTOS AGRICOLAS</t>
  </si>
  <si>
    <t>1183  040.006.000  FROTA DE MAQUINAS VEÍCULOS E IMPLEMENTOS AGRICOLAS</t>
  </si>
  <si>
    <t>Manut. Frota Maq. Veic. E Impl. Agric.: Mat. de Consumo Aq. P/Consórcio</t>
  </si>
  <si>
    <t>55500</t>
  </si>
  <si>
    <t>1216  040.008.000  MANUTENÇÃO DE MÁQUINAS E IMPLEMENTOS - HORA MAQUINA</t>
  </si>
  <si>
    <t>56100</t>
  </si>
  <si>
    <t>56200</t>
  </si>
  <si>
    <t>56300</t>
  </si>
  <si>
    <t>56400</t>
  </si>
  <si>
    <t>56500</t>
  </si>
  <si>
    <t>Manut. Frota Maq. e Impl. Agric.: Material de Consumo</t>
  </si>
  <si>
    <t>Manut. Frota Maq. e Impl. Agric.: Serv. - Pessoa Fisica</t>
  </si>
  <si>
    <t>Manut. Frota Maq. e Impl. Agric.: Serv. - Pessoa Juridica</t>
  </si>
  <si>
    <t>Manut. Frota Maq. e Impl. Agric.: Mat. de Consumo Aq. P/Consórcio</t>
  </si>
  <si>
    <t>Manut. Frota Maq. e Impl. Agric.: Eq. e Mat. Perm.</t>
  </si>
  <si>
    <t>Manut. Frota Maq. e Impl. Agric.: Obrig. Trib. e Contrib.</t>
  </si>
  <si>
    <t>57100</t>
  </si>
  <si>
    <t>57200</t>
  </si>
  <si>
    <t>57300</t>
  </si>
  <si>
    <t>57400</t>
  </si>
  <si>
    <t>Grupo de Jovens Rurais: Material de Consumo</t>
  </si>
  <si>
    <t>Grupo de Jovens Rurais: Serv. - Pessoa Fisica</t>
  </si>
  <si>
    <t>Grupo de Jovens Rurais: Serv. - Pessoa Juridica</t>
  </si>
  <si>
    <t>Grupo de Jovens Rurais: Obrig. Trib. e Contrib.</t>
  </si>
  <si>
    <t>Grupo de Jovens Rurais: Eq. e Mat. Perm.</t>
  </si>
  <si>
    <t>GRUPO DE JOVENS RURAIS</t>
  </si>
  <si>
    <t>040.016.000</t>
  </si>
  <si>
    <t>1813  040.016.000  GRUPO DE JOVENS RURAIS</t>
  </si>
  <si>
    <t>680 IMPLANTAÇÃO DE AGROINDUSTRIAS</t>
  </si>
  <si>
    <t>730 APOIO A AGRICULTURA FAMILIAR</t>
  </si>
  <si>
    <t xml:space="preserve">732 APOIO TÉCNICO </t>
  </si>
  <si>
    <t>734 APOIO A ASSOCIAÇÃO DOS PRODUTORES DE LEITE</t>
  </si>
  <si>
    <t>735 TROCA-TROCA DE SEMENTES</t>
  </si>
  <si>
    <t>100100</t>
  </si>
  <si>
    <t>100200</t>
  </si>
  <si>
    <t>100300</t>
  </si>
  <si>
    <t>100400</t>
  </si>
  <si>
    <t>Implantação de Agroindústria: Material de Consumo</t>
  </si>
  <si>
    <t>Implantação de Agroindústria: Serv. - Pessoa Juridica</t>
  </si>
  <si>
    <t>Implantação de Agroindústria: Obrig. Trib. e Contrib.</t>
  </si>
  <si>
    <t>Implantação de Agroindústria: Eq. e Mat. Perm.</t>
  </si>
  <si>
    <t>Implantação de Agroindústria: Obras e Instalações</t>
  </si>
  <si>
    <t>Implantação de Agroindústria: Serv. - Pessoa Fisica</t>
  </si>
  <si>
    <t>736 AQ. E MANUT. DE VEIC., MAQ. E IMPLEM. AGRICOLAS</t>
  </si>
  <si>
    <t>IMPLANTAÇÃO E MANUTENCAO DE AGROINDUSTRIAS</t>
  </si>
  <si>
    <t>040.017.000</t>
  </si>
  <si>
    <t>1814  040.017.000  IMPLANTAÇÃO E MANUTENCAO DE AGROINDUSTRIAS</t>
  </si>
  <si>
    <t>58000</t>
  </si>
  <si>
    <t>58100</t>
  </si>
  <si>
    <t>58200</t>
  </si>
  <si>
    <t>58300</t>
  </si>
  <si>
    <t>58400</t>
  </si>
  <si>
    <t>58700</t>
  </si>
  <si>
    <t>58800</t>
  </si>
  <si>
    <t>Diárias P/Servidores Contratados, Efetivos, C.C. e F.G.</t>
  </si>
  <si>
    <t>58900</t>
  </si>
  <si>
    <t>59000</t>
  </si>
  <si>
    <t>59100</t>
  </si>
  <si>
    <t>59200</t>
  </si>
  <si>
    <t>59300</t>
  </si>
  <si>
    <t>101100</t>
  </si>
  <si>
    <t>101200</t>
  </si>
  <si>
    <t>101300</t>
  </si>
  <si>
    <t>101400</t>
  </si>
  <si>
    <t>101500</t>
  </si>
  <si>
    <t>1106  040.000.000  SEC. MUN. AGRIC. E MEIO AMBIENTE</t>
  </si>
  <si>
    <t>Apoio a Agric. Familiar: Material de Consumo</t>
  </si>
  <si>
    <t>Apoio a Agric. Familiar: Obrig. Trib. e Contrib.</t>
  </si>
  <si>
    <t>Apoio a Agric. Familiar: Serv. - Pessoa Fisica</t>
  </si>
  <si>
    <t>Apoio a Agric. Familiar: Serv. - Pessoa Juridica</t>
  </si>
  <si>
    <t>Apoio a Agric. Familiar: Obras e Instalações</t>
  </si>
  <si>
    <t>Apoio a Agric. Familiar: Eq. e Mat. Perm.</t>
  </si>
  <si>
    <t>102100</t>
  </si>
  <si>
    <t>102200</t>
  </si>
  <si>
    <t>102300</t>
  </si>
  <si>
    <t>Apoio a Agric. Familiar: Cons. Pop. 2014 Aq. Eq. Ag. Fam.</t>
  </si>
  <si>
    <t>101600</t>
  </si>
  <si>
    <t>101700</t>
  </si>
  <si>
    <t>Apoio a Agric. Familiar: Cons. Pop. 2015 Reg. Abast. Aq. Veic.</t>
  </si>
  <si>
    <t>101800</t>
  </si>
  <si>
    <t>Apoio a Agric. Familiar: Conv. MDA Aq. Pickup C/Cam. Fria</t>
  </si>
  <si>
    <t>101900</t>
  </si>
  <si>
    <t>102000</t>
  </si>
  <si>
    <t>Apoio a Agric. Familiar: Cont.Part. Aq. Veículos</t>
  </si>
  <si>
    <t>Apoio a Agric. Familiar: Cont.Part. Aq. Equip.</t>
  </si>
  <si>
    <t>105100</t>
  </si>
  <si>
    <t>105200</t>
  </si>
  <si>
    <t>105300</t>
  </si>
  <si>
    <t>105400</t>
  </si>
  <si>
    <t>105500</t>
  </si>
  <si>
    <t>25 MAIS PEIXE</t>
  </si>
  <si>
    <t>690 Construção de Açudes e Tanques</t>
  </si>
  <si>
    <t>691 Aquisição e Manutenção de Maquinas e Veiculos</t>
  </si>
  <si>
    <t>Apoio Assoc. Prod. de Leite: Subvenções Econômicas</t>
  </si>
  <si>
    <t>Apoio Assoc. Prod. de Leite: Material de Consumo</t>
  </si>
  <si>
    <t>Apoio Assoc. Prod. de Leite:  Serv. - Pessoa Fisica</t>
  </si>
  <si>
    <t>Apoio Assoc. Prod. de Leite:  Serv. - Pessoa Juridica</t>
  </si>
  <si>
    <t>Apoio Assoc. Prod. de Leite: Obrig. Trib. e Contrib.</t>
  </si>
  <si>
    <t>Apoio Assoc. Prod. de Leite:  Obras e Instalações</t>
  </si>
  <si>
    <t>Apoio Assoc. Prod. de Leite: Eq. e Mat. Perm.</t>
  </si>
  <si>
    <t>Apoio Técnico: Serv. - Pessoa Juridica</t>
  </si>
  <si>
    <t>Apoio Técnico: Obrig. Trib. e Contrib.</t>
  </si>
  <si>
    <t>Apoio Técnico: Obras e Instalações</t>
  </si>
  <si>
    <t>Apoio Técnico: Eq. e Mat. Perm.</t>
  </si>
  <si>
    <t>106300</t>
  </si>
  <si>
    <t>106400</t>
  </si>
  <si>
    <t>106500</t>
  </si>
  <si>
    <t>106600</t>
  </si>
  <si>
    <t>Apoio Assoc. Prod. de Leite: Mat. Dist. Grat.</t>
  </si>
  <si>
    <t>106700</t>
  </si>
  <si>
    <t>108000</t>
  </si>
  <si>
    <t>108100</t>
  </si>
  <si>
    <t>108200</t>
  </si>
  <si>
    <t>740 Distribuição de Alevinos</t>
  </si>
  <si>
    <t>109000</t>
  </si>
  <si>
    <t>Distrib. de Alevinos: Mat. Dist. Grat.</t>
  </si>
  <si>
    <t>760 Melhoramento de acesso a propriedades e lavoras</t>
  </si>
  <si>
    <t>761 Realização de terraplanagem  com isenção H.M.</t>
  </si>
  <si>
    <t>110000</t>
  </si>
  <si>
    <t>Melh. Acesso a Propriedades e Lavouras: Obras e Inst.</t>
  </si>
  <si>
    <t>Real. de Terraplanagem com Isenção H.M.: Obras e Inst.</t>
  </si>
  <si>
    <t>111000</t>
  </si>
  <si>
    <t>07 - Fundo Municipal do meio ambiente</t>
  </si>
  <si>
    <t>112000</t>
  </si>
  <si>
    <t>112200</t>
  </si>
  <si>
    <t>112300</t>
  </si>
  <si>
    <t>112400</t>
  </si>
  <si>
    <t>113000</t>
  </si>
  <si>
    <t>113200</t>
  </si>
  <si>
    <t>113300</t>
  </si>
  <si>
    <t>Gest. Coord. Un. Meio Ambiente : Material de Consumo</t>
  </si>
  <si>
    <t>Gest. Coord. Un. Meio Ambiente : Material Distrib. Grat.</t>
  </si>
  <si>
    <t>Gest. Coord. Un. Meio Ambiente :  Serv. - Pessoa Fisica</t>
  </si>
  <si>
    <t>Gest. Coord. Un. Meio Ambiente : Serv. - Pessoa Juridica</t>
  </si>
  <si>
    <t>Gest. Coord. Un. Meio Ambiente : Obrigacoes Tributarias E Contributivas</t>
  </si>
  <si>
    <t>Gest. Coord. Un. Meio Ambiente : Material de Consumo - Aq. Por Consórcio</t>
  </si>
  <si>
    <t>Gest. Coord. Un. Meio Ambiente : Ressarcimento de Despesas</t>
  </si>
  <si>
    <t>Gest. Coord. Un. Meio Ambiente : Eq. e Mat. Perm.</t>
  </si>
  <si>
    <t>Gest. Coord. Un. Agropec. : Material de Consumo</t>
  </si>
  <si>
    <t>Gest. Coord. Un. Agropec. : Material Distrib. Grat.</t>
  </si>
  <si>
    <t>Gest. Coord. Un. Agropec. : Serv. - Pessoa Fisica</t>
  </si>
  <si>
    <t>Gest. Coord. Un. Agropec. : Serv. - Pessoa Juridica</t>
  </si>
  <si>
    <t>Gest. Coord. Un. Agropec. : Obrigacoes Tributarias E Contributivas</t>
  </si>
  <si>
    <t>Gest. Coord. Un. Agropec. : Ressarcimento de Despesas</t>
  </si>
  <si>
    <t>Gest. Coord. Un. Agropec. : Material de Consumo - Aq. Por Consórcio</t>
  </si>
  <si>
    <t>Gest. Coord. Un. Agropec. : Eq. e Mat. Perm.</t>
  </si>
  <si>
    <t>Gest. Coord. Un. Meio Ambiente : Desp. Com Locomoção</t>
  </si>
  <si>
    <t>113400</t>
  </si>
  <si>
    <t>750 Abertura e Manutenção de Poços Artesianos</t>
  </si>
  <si>
    <t>752 Preservação de nascentes e Mananciais</t>
  </si>
  <si>
    <t>760 Melhoramento de acesso a Propriedades e Lavouras</t>
  </si>
  <si>
    <t>18 Gestão Ambiental</t>
  </si>
  <si>
    <t>541 Preservação e Conservação Ambiental</t>
  </si>
  <si>
    <t>511 Saneamento Básico Rural</t>
  </si>
  <si>
    <t>17 Saneamento</t>
  </si>
  <si>
    <t>114200</t>
  </si>
  <si>
    <t>114300</t>
  </si>
  <si>
    <t>114400</t>
  </si>
  <si>
    <t>1255  040.011.000  GESTÃO DO MEIO AMBIENTE</t>
  </si>
  <si>
    <t>Preservação de nasc. e Mananc. : Obrigacoes Tributarias E Contributivas</t>
  </si>
  <si>
    <t>Preservação de nasc. e Mananc. : Material de Consumo</t>
  </si>
  <si>
    <t>Preservação de nasc. e Mananc. :  Serv. - Pessoa Fisica</t>
  </si>
  <si>
    <t>Preservação de nasc. e Mananc. : Serv. - Pessoa Juridica</t>
  </si>
  <si>
    <t>Preservação de nasc. e Mananc. : Eq. e Mat. Perm.</t>
  </si>
  <si>
    <t>115000</t>
  </si>
  <si>
    <t>115200</t>
  </si>
  <si>
    <t>115300</t>
  </si>
  <si>
    <t>115400</t>
  </si>
  <si>
    <t>115500</t>
  </si>
  <si>
    <t>30 CUIDADO COM MEIO AMBIENTE</t>
  </si>
  <si>
    <t>785 Capacitação em Educação Ambiental</t>
  </si>
  <si>
    <t>787 Licenciamento Ambiental</t>
  </si>
  <si>
    <t>789 Recuperação de Areas Degradas</t>
  </si>
  <si>
    <t>790 Coleta e Análise de Água</t>
  </si>
  <si>
    <t>Capac. e Educ. Ambiental : Obrigacoes Tributarias E Contributivas</t>
  </si>
  <si>
    <t>Capac. e Educ. Ambiental : Material de Consumo</t>
  </si>
  <si>
    <t>Capac. e Educ. Ambiental : Serv. - Pessoa Juridica</t>
  </si>
  <si>
    <t>Capac. e Educ. Ambiental : Serv. - Pessoa Fisica</t>
  </si>
  <si>
    <t>Preservação de nasc. e Mananc. : Obras e Inst.</t>
  </si>
  <si>
    <t>116000</t>
  </si>
  <si>
    <t>116200</t>
  </si>
  <si>
    <t>116300</t>
  </si>
  <si>
    <t>116400</t>
  </si>
  <si>
    <t>116500</t>
  </si>
  <si>
    <t>117000</t>
  </si>
  <si>
    <t>117200</t>
  </si>
  <si>
    <t>117300</t>
  </si>
  <si>
    <t>117400</t>
  </si>
  <si>
    <t>117500</t>
  </si>
  <si>
    <t>Licenciamento Ambiental : Obrigacoes Tributarias E Contributivas</t>
  </si>
  <si>
    <t>Licenciamento Ambiental : Material de Consumo</t>
  </si>
  <si>
    <t>Licenciamento Ambiental : Serv. - Pessoa Fisica</t>
  </si>
  <si>
    <t>Licenciamento Ambiental : Obras e Inst.</t>
  </si>
  <si>
    <t>Licenciamento Ambiental : Eq. e Mat. Perm.</t>
  </si>
  <si>
    <t>Rec. de Areas Degradadas: Obrigacoes Tributarias E Contributivas</t>
  </si>
  <si>
    <t>Rec. de Areas Degradadas: Material de Consumo</t>
  </si>
  <si>
    <t>Rec. de Areas Degradadas: Serv. - Pessoa Fisica</t>
  </si>
  <si>
    <t>Rec. de Areas Degradadas: Obras e Inst.</t>
  </si>
  <si>
    <t>Rec. de Areas Degradadas: Eq. e Mat. Perm.</t>
  </si>
  <si>
    <t>Rec. de Areas Degradadas: Serv. - Pessoa Juridica</t>
  </si>
  <si>
    <t>Licenciamento Ambiental : Serv. - Pessoa Juridica</t>
  </si>
  <si>
    <t>118000</t>
  </si>
  <si>
    <t>118200</t>
  </si>
  <si>
    <t>118300</t>
  </si>
  <si>
    <t>118400</t>
  </si>
  <si>
    <t>118500</t>
  </si>
  <si>
    <t>119000</t>
  </si>
  <si>
    <t>119200</t>
  </si>
  <si>
    <t>119300</t>
  </si>
  <si>
    <t>119400</t>
  </si>
  <si>
    <t>Capac. e Educ. Ambiental :  Eq. e Mat. Perm.</t>
  </si>
  <si>
    <t>791 Promoção do Desenvolvimento Sustentável</t>
  </si>
  <si>
    <t>792 GESTÃO, COORD. E PLANEJ. UNIDADE DE MEIO AMBIENTE</t>
  </si>
  <si>
    <t>Prom. do Desenv. Sustentavel: Obrigacoes Tributarias E Contributivas</t>
  </si>
  <si>
    <t>Prom. do Desenv. Sustentavel:  Material de Consumo</t>
  </si>
  <si>
    <t>Prom. do Desenv. Sustentavel:  Serv. - Pessoa Fisica</t>
  </si>
  <si>
    <t>Prom. do Desenv. Sustentavel:  Serv. - Pessoa Juridica</t>
  </si>
  <si>
    <t>Prom. do Desenv. Sustentavel:  Obras e Inst.</t>
  </si>
  <si>
    <t>Prom. do Desenv. Sustentavel:  Eq. e Mat. Perm.</t>
  </si>
  <si>
    <t xml:space="preserve">Prom. do Desenv. Sustentavel: Dev. Saldo </t>
  </si>
  <si>
    <t>113500</t>
  </si>
  <si>
    <t>114100</t>
  </si>
  <si>
    <t>118600</t>
  </si>
  <si>
    <t>118700</t>
  </si>
  <si>
    <t>119100</t>
  </si>
  <si>
    <t>119800</t>
  </si>
  <si>
    <t>119900</t>
  </si>
  <si>
    <t>120000</t>
  </si>
  <si>
    <t>120100</t>
  </si>
  <si>
    <t>120200</t>
  </si>
  <si>
    <t>120300</t>
  </si>
  <si>
    <t>120400</t>
  </si>
  <si>
    <t>Transf. P/Aquisição de Veículo</t>
  </si>
  <si>
    <t>Estimativa de receita de Transf. P/Aquisição de Veículo Saúde</t>
  </si>
  <si>
    <t>Transferência P/Aquisição de Plataforma</t>
  </si>
  <si>
    <t>4.2.4.7.2.01.00.20.0000</t>
  </si>
  <si>
    <t>Transferência P/Aquisição Veículos</t>
  </si>
  <si>
    <t>4.2.4.7.2.01.00.21.0000</t>
  </si>
  <si>
    <t>Transferência P/Aquisição de Veículo Saúde Mental</t>
  </si>
  <si>
    <t>4.2.4.7.2.01.00.22.0000</t>
  </si>
  <si>
    <t>4.2.4.7.2.01.00.23.0000</t>
  </si>
  <si>
    <t>Transferência P/Reforma Rede Elétrica</t>
  </si>
  <si>
    <t>4.2.5.9.0.00.00.02.7400</t>
  </si>
  <si>
    <t>4.2.5.9.0.00.00.02.7500</t>
  </si>
  <si>
    <t>4.2.5.9.0.00.00.02.7600</t>
  </si>
  <si>
    <t>4.2.5.9.0.00.00.02.7700</t>
  </si>
  <si>
    <t>4.2.5.9.0.00.00.02.7800</t>
  </si>
  <si>
    <t>1812  002.002.007  Equip. e Utensilios Domesticos</t>
  </si>
  <si>
    <t>Cons. Pop. 2015 P/Desenv. do Esporte e Pratica Esportiva</t>
  </si>
  <si>
    <t>Coleta e Análise de Água: Material de Consumo</t>
  </si>
  <si>
    <t>Coleta e Análise de Água: Serv. - Pessoa Fisica</t>
  </si>
  <si>
    <t>Coleta e Análise de Água: Serv. - Pessoa Juridica</t>
  </si>
  <si>
    <t>Coleta e Análise de Água: Obrigacoes Tributarias E Contributivas</t>
  </si>
  <si>
    <t>Coleta e Análise de Água: Obras e Inst.</t>
  </si>
  <si>
    <t>Coleta e Análise de Água: Eq. e Mat. Perm.</t>
  </si>
  <si>
    <t>08 - Fundo de Habitação e de Interesse Social</t>
  </si>
  <si>
    <t>150000</t>
  </si>
  <si>
    <t>Melhorias em Residencias: Obrigacoes Tributarias E Contributivas</t>
  </si>
  <si>
    <t>Melhorias em Residencias: Devolução de Saldo</t>
  </si>
  <si>
    <t>150600</t>
  </si>
  <si>
    <t>150700</t>
  </si>
  <si>
    <t>1271  050.000.000  FUNDO DE HABITAÇÃO DE INTERESSE SOCIAL</t>
  </si>
  <si>
    <t>29 MAIS MORADIA</t>
  </si>
  <si>
    <t>781 Melhorias em Residencias</t>
  </si>
  <si>
    <t>16 Habitação</t>
  </si>
  <si>
    <t>481 Habitação Rural</t>
  </si>
  <si>
    <t>Melhorias em Residencias: Obras e Instalações</t>
  </si>
  <si>
    <t>160000</t>
  </si>
  <si>
    <t>160100</t>
  </si>
  <si>
    <t>160200</t>
  </si>
  <si>
    <t>160300</t>
  </si>
  <si>
    <t>08 Assistência Social</t>
  </si>
  <si>
    <t>160400</t>
  </si>
  <si>
    <t>160500</t>
  </si>
  <si>
    <t>160600</t>
  </si>
  <si>
    <t>160700</t>
  </si>
  <si>
    <t>Servicos - Pessoa Juridica</t>
  </si>
  <si>
    <t>160800</t>
  </si>
  <si>
    <t>160900</t>
  </si>
  <si>
    <t>161000</t>
  </si>
  <si>
    <t>161100</t>
  </si>
  <si>
    <t>161200</t>
  </si>
  <si>
    <t>Plano de Saude dos Servidores</t>
  </si>
  <si>
    <t>Obrigacoes Patronais - Multa e Juros</t>
  </si>
  <si>
    <t>Sentencas Judiciais - Precatórios e RPVS</t>
  </si>
  <si>
    <t>Multas Conta Convenio Telefone Celular</t>
  </si>
  <si>
    <t>Convenio Telefone Celular</t>
  </si>
  <si>
    <t>Convenio Pedagio</t>
  </si>
  <si>
    <t>Juros - Pasep</t>
  </si>
  <si>
    <t>Contribuicao P/Pasep</t>
  </si>
  <si>
    <t>Multas - Pasep</t>
  </si>
  <si>
    <t>Restituicao Receitas do Estado Exercicios Anteriores</t>
  </si>
  <si>
    <t>Restituicoes de Programa Troca-Troca</t>
  </si>
  <si>
    <t>Devolucao saldos Recurso Receb. Da Uniao</t>
  </si>
  <si>
    <t>Devolucao saldos Recurso Receb. do Estado</t>
  </si>
  <si>
    <t>00 ENCARGOS ESPECIAIS</t>
  </si>
  <si>
    <t>28 Encargos Especiais</t>
  </si>
  <si>
    <t>846 Outros Encargos Especiais</t>
  </si>
  <si>
    <t>20 Encargos Gerais</t>
  </si>
  <si>
    <t>162000</t>
  </si>
  <si>
    <t>246  004.005.000  OPERAÇÕES ESPECIAIS</t>
  </si>
  <si>
    <t>247  004.005.001  Plano de Saude - IPE</t>
  </si>
  <si>
    <t>248  004.005.002  Sentenças Judicias</t>
  </si>
  <si>
    <t>249  004.005.003  Convenio  Celular</t>
  </si>
  <si>
    <t>250  004.005.004  Serviços Bancários</t>
  </si>
  <si>
    <t>251  004.005.005  Convênio Pedagógico</t>
  </si>
  <si>
    <t>255  004.005.009  Multa e Juros - PASEP</t>
  </si>
  <si>
    <t>256  004.005.010  Contribuição - PASEP</t>
  </si>
  <si>
    <t>261  004.005.012  Devolução Recursos do Estado</t>
  </si>
  <si>
    <t>253  004.005.007  Devolução de Programa Troca-Troca</t>
  </si>
  <si>
    <t>254  004.005.008  Hora Máquina</t>
  </si>
  <si>
    <t>260  004.005.011  Devolução Recursos da União</t>
  </si>
  <si>
    <t>163000</t>
  </si>
  <si>
    <t>162100</t>
  </si>
  <si>
    <t>162200</t>
  </si>
  <si>
    <t>162300</t>
  </si>
  <si>
    <t>162400</t>
  </si>
  <si>
    <t>162500</t>
  </si>
  <si>
    <t>162600</t>
  </si>
  <si>
    <t>162700</t>
  </si>
  <si>
    <t>162800</t>
  </si>
  <si>
    <t>162900</t>
  </si>
  <si>
    <t>11 - RESERVA DE CONTINGÊNCIA</t>
  </si>
  <si>
    <t>10 - Encargos Especiais</t>
  </si>
  <si>
    <t>Plano de Saúde dos Servidores</t>
  </si>
  <si>
    <t>Servicos Pessoa Juridica</t>
  </si>
  <si>
    <t>Indenizacoes e Restituicoes</t>
  </si>
  <si>
    <t>163100</t>
  </si>
  <si>
    <t xml:space="preserve">21 MANUTENÇÃO E SUPORTE A PROCESSO ELEITORAL </t>
  </si>
  <si>
    <t>170000</t>
  </si>
  <si>
    <t>170100</t>
  </si>
  <si>
    <t>402 Reserva de Contingência</t>
  </si>
  <si>
    <t xml:space="preserve">099 Reserva de Contingência </t>
  </si>
  <si>
    <t xml:space="preserve">99 Reserva de Contingência </t>
  </si>
  <si>
    <t>200000</t>
  </si>
  <si>
    <t>Reserva De Contingência</t>
  </si>
  <si>
    <t>063.000.000</t>
  </si>
  <si>
    <t>1850  063.000.000  Reserva De Contingência</t>
  </si>
  <si>
    <t>GESTÃO E COORDENAÇÃO DE CONVENIOS UNIAO E ESTADO</t>
  </si>
  <si>
    <t>12 - GESTÃO E COORDENAÇÃO DE CONVENIOS UNIAO E ESTADO</t>
  </si>
  <si>
    <t>12 PROGRAMAS DO P.A.C.</t>
  </si>
  <si>
    <t>456 PAC 2 GRUPO 3 MELHORIAS SANITARIAS DOMICILIARES</t>
  </si>
  <si>
    <t>200100</t>
  </si>
  <si>
    <t>200200</t>
  </si>
  <si>
    <t>200300</t>
  </si>
  <si>
    <t>P.A.C. - Saneamento: Devolução de Saldo</t>
  </si>
  <si>
    <t>257  004.006.000  GESTÃO DE CONVÊNIOS DO PAC</t>
  </si>
  <si>
    <t>200400</t>
  </si>
  <si>
    <t>P.A.C. - Saneamento: Serviços P. Jurídica</t>
  </si>
  <si>
    <t>P.A.C. - Saneamento: Obras e Instalações</t>
  </si>
  <si>
    <t>P.A.C. - Saneamento:  Obras e Instalações</t>
  </si>
  <si>
    <t>03 - SECRETARIA MUNICIPAL DE EDUCAÇÃO, CULTURA E DESPORTO</t>
  </si>
  <si>
    <t xml:space="preserve">01 - Gestão, Coordenação e Planejamento, Manutenção e Desenvolvimento do Ensino </t>
  </si>
  <si>
    <t>17 MAIS EDUCAÇÃO</t>
  </si>
  <si>
    <t>12 Educação</t>
  </si>
  <si>
    <t>600 Construção, Ampliação Manutenção e Reforma de Escolas</t>
  </si>
  <si>
    <t>601 Construção, Ampliação Manutenção e Reforma de Creches</t>
  </si>
  <si>
    <t>602 Informatização da Educação Básica</t>
  </si>
  <si>
    <t>603 Aquisição de equipamentos e veiculos</t>
  </si>
  <si>
    <t>580 Gestão, Coordenação e Planejamento Educacional</t>
  </si>
  <si>
    <t>300200</t>
  </si>
  <si>
    <t>300300</t>
  </si>
  <si>
    <t>300400</t>
  </si>
  <si>
    <t>Custo de Const., Ampl. Man. e Ref. de Esc:  Obrigações Tributarias e Contributivas</t>
  </si>
  <si>
    <t>Custo de Const., Ampl. Man. e Ref. de Esc:  Material De Consumo</t>
  </si>
  <si>
    <t>Custo de Const., Ampl. Man. e Ref. de Esc: Obras e Instalações</t>
  </si>
  <si>
    <t>412  006.000.000  SECRETARIA MUNICIPAL DE EDUCAÇÃO</t>
  </si>
  <si>
    <t>361 Ensino Fundamental</t>
  </si>
  <si>
    <t>Custo de Inform. da Educ. Básica: Material De Consumo</t>
  </si>
  <si>
    <t>Custo de Inform. da Educ. Básica: Obrigações Tributarias e Contributivas</t>
  </si>
  <si>
    <t>Custo de Inform. da Educ. Básica: Outros Servicos De Terceiros- Pessoa Fisica</t>
  </si>
  <si>
    <t>Custo de Inform. da Educ. Básica: Outros Servicos De Terceiros- Pessoa Juridica</t>
  </si>
  <si>
    <t>Custo de Inform. da Educ. Básica: Obras e Instalações</t>
  </si>
  <si>
    <t>301200</t>
  </si>
  <si>
    <t>301300</t>
  </si>
  <si>
    <t>301400</t>
  </si>
  <si>
    <t>302200</t>
  </si>
  <si>
    <t>302300</t>
  </si>
  <si>
    <t>302301</t>
  </si>
  <si>
    <t>302400</t>
  </si>
  <si>
    <t>Materiais de Consumo</t>
  </si>
  <si>
    <t>Folha PGTº: Serv. Efetivos., F.G., C.C. e Agente Politico</t>
  </si>
  <si>
    <t>Custo de Aq. de Equip. e Veículos: Obrigações Tributarias e Contributivas</t>
  </si>
  <si>
    <t>Custo de Aq. de Equip. e Veículos: Material De Consumo</t>
  </si>
  <si>
    <t>Custo de Aq. de Equip. e Veículos: Outros Servicos De Terceiros- Pessoa Fisica</t>
  </si>
  <si>
    <t>Custo de Aq. de Equip. e Veículos: Outros Servicos De Terceiros- Pessoa Juridica</t>
  </si>
  <si>
    <t>Custo de Aq. de Equip. e Veículos: Obras e Instalações</t>
  </si>
  <si>
    <t xml:space="preserve">Diárias </t>
  </si>
  <si>
    <t>305000</t>
  </si>
  <si>
    <t>305100</t>
  </si>
  <si>
    <t>305200</t>
  </si>
  <si>
    <t>305300</t>
  </si>
  <si>
    <t>305400</t>
  </si>
  <si>
    <t>305800</t>
  </si>
  <si>
    <t>305900</t>
  </si>
  <si>
    <t>306000</t>
  </si>
  <si>
    <t>306100</t>
  </si>
  <si>
    <t>Despesas Com Locomoção</t>
  </si>
  <si>
    <t>Servicos - Pessoa Fisica</t>
  </si>
  <si>
    <t>365 Educação Infantil</t>
  </si>
  <si>
    <t>307200</t>
  </si>
  <si>
    <t>307300</t>
  </si>
  <si>
    <t>307400</t>
  </si>
  <si>
    <t>Const., Ampl., Man. e Reforma de Creches:  Material De Consumo</t>
  </si>
  <si>
    <t>Const., Ampl., Man. e Reforma de Creches:  Obras e Instalações</t>
  </si>
  <si>
    <t>308000</t>
  </si>
  <si>
    <t>308100</t>
  </si>
  <si>
    <t>308200</t>
  </si>
  <si>
    <t>308300</t>
  </si>
  <si>
    <t>308400</t>
  </si>
  <si>
    <t>308800</t>
  </si>
  <si>
    <t>308900</t>
  </si>
  <si>
    <t>309000</t>
  </si>
  <si>
    <t>309100</t>
  </si>
  <si>
    <t>309200</t>
  </si>
  <si>
    <t>309300</t>
  </si>
  <si>
    <t>309400</t>
  </si>
  <si>
    <t>306600</t>
  </si>
  <si>
    <t>306700</t>
  </si>
  <si>
    <t>306800</t>
  </si>
  <si>
    <t>306900</t>
  </si>
  <si>
    <t>595 MANUTENÇÃO DE CRESCHE</t>
  </si>
  <si>
    <t>309500</t>
  </si>
  <si>
    <t>Aq. de Equipamentos</t>
  </si>
  <si>
    <t>33 MAIS TRANSPORTE ESCOLAR - ENSINO FUNDAMENTAL</t>
  </si>
  <si>
    <t>34 MAIS TRANSPORTE ESCOLAR - EDUCAÇÃO INFANTIL</t>
  </si>
  <si>
    <t>35 MAIS TRANSPORTE ESCOLAR - EDUCAÇÃO ESPECIAL</t>
  </si>
  <si>
    <t>36 MAIS TRANSPORTE ESCOLAR - EDUCAÇÃO JOVENS E ADULTOS</t>
  </si>
  <si>
    <t>37 MAIS TRANSPORTE ESCOLAR - EDUCAÇÃO SUPERIOR</t>
  </si>
  <si>
    <t>38 MAIS TRANSPORTE ESCOLAR - ENSINO MEDIO</t>
  </si>
  <si>
    <t>39 MAIS TRANSPORTE ESCOLAR - ENSINO PROFISSIONALIZANTE</t>
  </si>
  <si>
    <t>40 MAIS TRANSPORTE ESCOLAR - CURSO PREVESTIBULAR</t>
  </si>
  <si>
    <t>41 MAIS TRANSPORTE ESCOLAR - DOCENTES</t>
  </si>
  <si>
    <t>42 MAIS TRANSPORTE ESCOLAR - PNATE - PROGRAMA NACIONAL DE TRANSPORTE ESCOLAR</t>
  </si>
  <si>
    <t>43 MAIS TRANSPORTE ESCOLAR - PEATE/RS - PROGRAMA ESTADUAL DE TRANSPORTE ESCOLAR</t>
  </si>
  <si>
    <t>303001</t>
  </si>
  <si>
    <t>810 Transporte Escolar do Ensino Fundamental</t>
  </si>
  <si>
    <t xml:space="preserve">Folha PGTº: Serv. Efetivos., F.G., C.C. </t>
  </si>
  <si>
    <t>310000</t>
  </si>
  <si>
    <t>310100</t>
  </si>
  <si>
    <t>310200</t>
  </si>
  <si>
    <t>310300</t>
  </si>
  <si>
    <t>310400</t>
  </si>
  <si>
    <t>310800</t>
  </si>
  <si>
    <t>310900</t>
  </si>
  <si>
    <t>311000</t>
  </si>
  <si>
    <t>311100</t>
  </si>
  <si>
    <t>311200</t>
  </si>
  <si>
    <t>311300</t>
  </si>
  <si>
    <t>Aquisição de Veic. eEquipamentos</t>
  </si>
  <si>
    <t>310700</t>
  </si>
  <si>
    <t>02 - Desenvolvimento do Ensino - FUNDEB</t>
  </si>
  <si>
    <t>320200</t>
  </si>
  <si>
    <t>320300</t>
  </si>
  <si>
    <t>320400</t>
  </si>
  <si>
    <t>321200</t>
  </si>
  <si>
    <t>321300</t>
  </si>
  <si>
    <t>321400</t>
  </si>
  <si>
    <t>325200</t>
  </si>
  <si>
    <t>325300</t>
  </si>
  <si>
    <t>325400</t>
  </si>
  <si>
    <t>330000</t>
  </si>
  <si>
    <t>330100</t>
  </si>
  <si>
    <t>330200</t>
  </si>
  <si>
    <t>330300</t>
  </si>
  <si>
    <t>330400</t>
  </si>
  <si>
    <t>331000</t>
  </si>
  <si>
    <t>331100</t>
  </si>
  <si>
    <t>331200</t>
  </si>
  <si>
    <t>331300</t>
  </si>
  <si>
    <t>331400</t>
  </si>
  <si>
    <t>581 Custeio Operacional e Manutenção e Promoção da Educação Básica - Ensino  Fundamental</t>
  </si>
  <si>
    <t>582 Custeio Operacional e Manutenção e Promoção da Educação Básica - ED. INFANTIL</t>
  </si>
  <si>
    <t>583 Custeio Operacional e Manutenção e Promoção da Educação Básica - ED. Especial</t>
  </si>
  <si>
    <t>584 Implantação e Manutenção de Tele-centro nas escolas municipais</t>
  </si>
  <si>
    <t>585 Inclusão  no Ensino Fundamental – EJA</t>
  </si>
  <si>
    <t>593 Manutenção Educaçã Básica - Aplicação  Lei 11.494/2007, ART. 21</t>
  </si>
  <si>
    <t>306150</t>
  </si>
  <si>
    <t>306160</t>
  </si>
  <si>
    <t>306170</t>
  </si>
  <si>
    <t>306180</t>
  </si>
  <si>
    <t>306190</t>
  </si>
  <si>
    <t>306220</t>
  </si>
  <si>
    <t>306240</t>
  </si>
  <si>
    <t>306250</t>
  </si>
  <si>
    <t>306310</t>
  </si>
  <si>
    <t>306320</t>
  </si>
  <si>
    <t>306350</t>
  </si>
  <si>
    <t>306360</t>
  </si>
  <si>
    <t>306380</t>
  </si>
  <si>
    <t>Material P/ Distribuição Gratuita</t>
  </si>
  <si>
    <t>Servicos - Pessoa Jurídica</t>
  </si>
  <si>
    <t>306370</t>
  </si>
  <si>
    <t>332100</t>
  </si>
  <si>
    <t>332200</t>
  </si>
  <si>
    <t>332300</t>
  </si>
  <si>
    <t>332400</t>
  </si>
  <si>
    <t>332500</t>
  </si>
  <si>
    <t>333100</t>
  </si>
  <si>
    <t>333200</t>
  </si>
  <si>
    <t>333300</t>
  </si>
  <si>
    <t>333400</t>
  </si>
  <si>
    <t>333500</t>
  </si>
  <si>
    <t>333600</t>
  </si>
  <si>
    <t>Man. Telecentros : Materiais de Consumo</t>
  </si>
  <si>
    <t>Man. Telecentros : Aq. e Mat. Perm. e Informática</t>
  </si>
  <si>
    <t>Man. Telecentros : Obrig. Trib. e Contrib.</t>
  </si>
  <si>
    <t>Man. Telecentros : Servicos - Pessoa Juridica</t>
  </si>
  <si>
    <t>Man. Telecentros : Servicos - Pessoa Fisica</t>
  </si>
  <si>
    <t>Man. Telecentros : Mat. de Consumo - Aq. por Consórcio</t>
  </si>
  <si>
    <t>Man. Ed. Básica Apl. Lei 494/2007, art. 21: Materiais de Consumo</t>
  </si>
  <si>
    <t>Man. Ed. Básica Apl. Lei 494/2007, art. 21: Servicos - Pessoa Fisica</t>
  </si>
  <si>
    <t>Man. Ed. Básica Apl. Lei 494/2007, art. 21: Servicos - Pessoa Juridica</t>
  </si>
  <si>
    <t>Man. Ed. Básica Apl. Lei 494/2007, art. 21: Obrig. Trib. e Contrib.</t>
  </si>
  <si>
    <t>Man. Ed. Básica Apl. Lei 494/2007, art. 21:  Obras e Instalações</t>
  </si>
  <si>
    <t>Man. Ed. Básica Apl. Lei 494/2007, art. 21:  Aq. e Mat. Perm. e Informática</t>
  </si>
  <si>
    <t>Man. Ed. Bás. Apl. Lei 494/2007, art. 21:  Materiais - Aq. P/Consórcio</t>
  </si>
  <si>
    <t>400000</t>
  </si>
  <si>
    <t>400100</t>
  </si>
  <si>
    <t>400200</t>
  </si>
  <si>
    <t>400300</t>
  </si>
  <si>
    <t>400400</t>
  </si>
  <si>
    <t>400800</t>
  </si>
  <si>
    <t>400900</t>
  </si>
  <si>
    <t>401000</t>
  </si>
  <si>
    <t>401100</t>
  </si>
  <si>
    <t>401200</t>
  </si>
  <si>
    <t>401300</t>
  </si>
  <si>
    <t>402000</t>
  </si>
  <si>
    <t>402100</t>
  </si>
  <si>
    <t>402200</t>
  </si>
  <si>
    <t>402300</t>
  </si>
  <si>
    <t>330800</t>
  </si>
  <si>
    <t>330900</t>
  </si>
  <si>
    <t>401400</t>
  </si>
  <si>
    <t>401500</t>
  </si>
  <si>
    <t>Aquisição de Equipamentos e Material Permanente</t>
  </si>
  <si>
    <t>366 Educação de Jovens e Adultos</t>
  </si>
  <si>
    <t>402400</t>
  </si>
  <si>
    <t>402800</t>
  </si>
  <si>
    <t>402900</t>
  </si>
  <si>
    <t>403000</t>
  </si>
  <si>
    <t>403100</t>
  </si>
  <si>
    <t>403200</t>
  </si>
  <si>
    <t>403300</t>
  </si>
  <si>
    <t>403400</t>
  </si>
  <si>
    <t>403500</t>
  </si>
  <si>
    <t>367 Educação Especial</t>
  </si>
  <si>
    <t>404000</t>
  </si>
  <si>
    <t>404100</t>
  </si>
  <si>
    <t>404200</t>
  </si>
  <si>
    <t>404300</t>
  </si>
  <si>
    <t>404400</t>
  </si>
  <si>
    <t>404800</t>
  </si>
  <si>
    <t>404900</t>
  </si>
  <si>
    <t>405000</t>
  </si>
  <si>
    <t>405100</t>
  </si>
  <si>
    <t>405200</t>
  </si>
  <si>
    <t>405300</t>
  </si>
  <si>
    <t>405400</t>
  </si>
  <si>
    <t>405500</t>
  </si>
  <si>
    <t>589 Apoio ao Aluno</t>
  </si>
  <si>
    <t>Apoio ao Aluno: Material Para Distribuição Gratuita</t>
  </si>
  <si>
    <t>Folha PGTº Transp. Esc.: Servidores Contratados</t>
  </si>
  <si>
    <t xml:space="preserve">Folha PGTº Transp. Esc.:  Serv. Efetivos., F.G., C.C. </t>
  </si>
  <si>
    <t>Folha PGTº Transp. Esc.: Obrigações Patronais</t>
  </si>
  <si>
    <t>Folha PGTº Transp. Esc.: Horas Extras</t>
  </si>
  <si>
    <t>Transp. Esc.: Obrigacoes Tributarias E Contributivas</t>
  </si>
  <si>
    <t xml:space="preserve">Transp. Esc.: Diárias </t>
  </si>
  <si>
    <t>Transp. Esc.: Materiais de Consumo</t>
  </si>
  <si>
    <t>Transp. Esc.: Despesas Com Locomoção</t>
  </si>
  <si>
    <t>Transp. Esc.: Servicos de Consultoria</t>
  </si>
  <si>
    <t>Transp. Esc.: Servicos - Pessoa Fisica</t>
  </si>
  <si>
    <t>Transp. Esc.: Ressarcimento de Despesas</t>
  </si>
  <si>
    <t>815 Transporte Escolar da Educacao Infantil</t>
  </si>
  <si>
    <t>820 Transporte Escolar da Educacao Especial</t>
  </si>
  <si>
    <t>825 Transporte Escolar para Alunos Eja</t>
  </si>
  <si>
    <t>830 Transporte Escolar da Educacao Superior</t>
  </si>
  <si>
    <t>835 Transporte Escolar do Ensino Medio</t>
  </si>
  <si>
    <t>840 Transporte Escolar do Ensino Profissionalizante</t>
  </si>
  <si>
    <t>845 Transporte Escolar de Alunos Cursos Pre Vestibular</t>
  </si>
  <si>
    <t>850 Transporte Escolar para Docentes</t>
  </si>
  <si>
    <t>855 Programa Nacional de Transporte Escolar - PNATE</t>
  </si>
  <si>
    <t>860 Programa Estadual de Transporte Escolar - PEATE/RS</t>
  </si>
  <si>
    <t>406000</t>
  </si>
  <si>
    <t>406100</t>
  </si>
  <si>
    <t>406200</t>
  </si>
  <si>
    <t>406300</t>
  </si>
  <si>
    <t>406400</t>
  </si>
  <si>
    <t>406800</t>
  </si>
  <si>
    <t>406900</t>
  </si>
  <si>
    <t>407000</t>
  </si>
  <si>
    <t>407100</t>
  </si>
  <si>
    <t>407200</t>
  </si>
  <si>
    <t>407300</t>
  </si>
  <si>
    <t>407400</t>
  </si>
  <si>
    <t>407500</t>
  </si>
  <si>
    <t>406700</t>
  </si>
  <si>
    <t>Folha de PGTº Transp. Esc.: Auxilio-Transporte</t>
  </si>
  <si>
    <t>Transp. Esc.: Mat. Consumo - Aq. P/Consórcio</t>
  </si>
  <si>
    <t>Transp. Esc.: Aquisição de Equip., Mat. Perm. E Veículos</t>
  </si>
  <si>
    <t>407600</t>
  </si>
  <si>
    <t>Transp. Esc. Ed. Inf.: Servicos - Pessoa Juridica</t>
  </si>
  <si>
    <t>Transp. Esc. Ed. Inf.: Obrigacoes Tributarias E Contributivas</t>
  </si>
  <si>
    <t>407700</t>
  </si>
  <si>
    <t>407800</t>
  </si>
  <si>
    <t>Transp. Esc. Ed. Esp.: Servicos - Pessoa Juridica</t>
  </si>
  <si>
    <t>Transp. Esc. Ed. Esp.: Obrigacoes Tributarias E Contributivas</t>
  </si>
  <si>
    <t>Transp. Esc. EJA: Servicos - Pessoa Juridica</t>
  </si>
  <si>
    <t>Transp. Esc. EJA: Obrigacoes Tributarias E Contributivas</t>
  </si>
  <si>
    <t>407900</t>
  </si>
  <si>
    <t>408000</t>
  </si>
  <si>
    <t>408100</t>
  </si>
  <si>
    <t>408200</t>
  </si>
  <si>
    <t>Transp. Esc. Docentes: Servicos - Pessoa Juridica</t>
  </si>
  <si>
    <t>Transp. Esc. Docentes: Obrigacoes Tributarias E Contributivas</t>
  </si>
  <si>
    <t>03 - Desenvolvimento do Ensino - Programas Estaduais</t>
  </si>
  <si>
    <t>588 Consulta Popular</t>
  </si>
  <si>
    <t>410300</t>
  </si>
  <si>
    <t>410400</t>
  </si>
  <si>
    <t>Consulta Popular: Obrigações Tributarias e Contributivas</t>
  </si>
  <si>
    <t>Consulta Popular: Material De Consumo</t>
  </si>
  <si>
    <t>Consulta Popular: Aq. Equipmantos</t>
  </si>
  <si>
    <t>Consulta Popular: Devolução de Saldo</t>
  </si>
  <si>
    <t>411000</t>
  </si>
  <si>
    <t>411100</t>
  </si>
  <si>
    <t>PEATE/RS: Devolução de Saldo</t>
  </si>
  <si>
    <t>PEATE/RS: Servicos - Pessoa Juridica</t>
  </si>
  <si>
    <t>PEATE/RS: Obrigacoes Tributarias E Contributivas</t>
  </si>
  <si>
    <t>411200</t>
  </si>
  <si>
    <t>04 - Desenvolvimento do Ensino - Programas Federais</t>
  </si>
  <si>
    <t>420000</t>
  </si>
  <si>
    <t>420100</t>
  </si>
  <si>
    <t>420200</t>
  </si>
  <si>
    <t>420300</t>
  </si>
  <si>
    <t>587 CONVENIOS - UNIÃO</t>
  </si>
  <si>
    <t>594 Manutenção Educacao Básica - Q.S.E.</t>
  </si>
  <si>
    <t>640 Programa Nacional de Alimentação Escolar - PNAE</t>
  </si>
  <si>
    <t xml:space="preserve">19 MAIS ALIMENTO NA ESCOLA </t>
  </si>
  <si>
    <t>306 Alimentação e Nutrição</t>
  </si>
  <si>
    <t>PNATE: Devolução de Saldo</t>
  </si>
  <si>
    <t>PNATE: Servicos - Pessoa Juridica</t>
  </si>
  <si>
    <t>PNATE: Obrigacoes Tributarias E Contributivas</t>
  </si>
  <si>
    <t>Man. Ed. Básica - Q.S.E.: Materiais de Consumo</t>
  </si>
  <si>
    <t>Man. Ed. Básica - Q.S.E.: Servicos - Pessoa Fisica</t>
  </si>
  <si>
    <t>Man. Ed. Básica - Q.S.E.:  Servicos - Pessoa Juridica</t>
  </si>
  <si>
    <t>Man. Ed. Básica - Q.S.E.:  Obrigacoes Tributarias E Contributivas</t>
  </si>
  <si>
    <t>Man. Ed. Básica - Q.S.E.:  Aq. de Equip. e Mat. Perm.</t>
  </si>
  <si>
    <t>425000</t>
  </si>
  <si>
    <t>425100</t>
  </si>
  <si>
    <t>425200</t>
  </si>
  <si>
    <t>425300</t>
  </si>
  <si>
    <t>425400</t>
  </si>
  <si>
    <t>426000</t>
  </si>
  <si>
    <t>426100</t>
  </si>
  <si>
    <t>426200</t>
  </si>
  <si>
    <t>427000</t>
  </si>
  <si>
    <t>427100</t>
  </si>
  <si>
    <t>427200</t>
  </si>
  <si>
    <t>05 - Desenvolvimento do Ensino – Recursos Livres</t>
  </si>
  <si>
    <t>430000</t>
  </si>
  <si>
    <t>430100</t>
  </si>
  <si>
    <t>430200</t>
  </si>
  <si>
    <t>430300</t>
  </si>
  <si>
    <t>430400</t>
  </si>
  <si>
    <t>430800</t>
  </si>
  <si>
    <t>430900</t>
  </si>
  <si>
    <t>431000</t>
  </si>
  <si>
    <t>431100</t>
  </si>
  <si>
    <t>431200</t>
  </si>
  <si>
    <t>431300</t>
  </si>
  <si>
    <t>630 Aquisicao de Equipamentos e Material Permanente</t>
  </si>
  <si>
    <t>432000</t>
  </si>
  <si>
    <t>432100</t>
  </si>
  <si>
    <t>432200</t>
  </si>
  <si>
    <t>432300</t>
  </si>
  <si>
    <t>432400</t>
  </si>
  <si>
    <t>PNAE: Aq. de Alimentos</t>
  </si>
  <si>
    <t>PNAE: Aq. de Alimentos - Agricultura Familiar</t>
  </si>
  <si>
    <t>PNAE: Servicos - Pessoa Juridica</t>
  </si>
  <si>
    <t>PMAE: Aq. de Alimentos</t>
  </si>
  <si>
    <t>PMAE: Aq. de Alimentos - Agricultura Familiar</t>
  </si>
  <si>
    <t>433000</t>
  </si>
  <si>
    <t>433100</t>
  </si>
  <si>
    <t>641 Programa Municipal de Alimentação Escolar - PMAE</t>
  </si>
  <si>
    <t>642 Custeio Operacional do Departamento da Alimentação Escolar</t>
  </si>
  <si>
    <t>630 Transporte Escolar da Educacao Superior</t>
  </si>
  <si>
    <t>Transp. Escolar . Ensino Médio</t>
  </si>
  <si>
    <t>Transp. Escolar . Ensino Superior</t>
  </si>
  <si>
    <t>Transp. Escolar . Ensino Profissionalizante</t>
  </si>
  <si>
    <t>Transp. Escolar . Cursos Pré-Vestibular</t>
  </si>
  <si>
    <t>Transp. Escolar . Docentes</t>
  </si>
  <si>
    <t>434000</t>
  </si>
  <si>
    <t>434100</t>
  </si>
  <si>
    <t>434200</t>
  </si>
  <si>
    <t>434300</t>
  </si>
  <si>
    <t>434400</t>
  </si>
  <si>
    <t>434800</t>
  </si>
  <si>
    <t>434900</t>
  </si>
  <si>
    <t>435000</t>
  </si>
  <si>
    <t>435100</t>
  </si>
  <si>
    <t>435200</t>
  </si>
  <si>
    <t>435300</t>
  </si>
  <si>
    <t>435400</t>
  </si>
  <si>
    <t>06 - Departamento e Alimentação e Nutrição Escolar</t>
  </si>
  <si>
    <t>433200</t>
  </si>
  <si>
    <t>433300</t>
  </si>
  <si>
    <t>433400</t>
  </si>
  <si>
    <t>433500</t>
  </si>
  <si>
    <t>433600</t>
  </si>
  <si>
    <t>07 - Departamento de Cultura</t>
  </si>
  <si>
    <t>Consulta Popular: Servicos - Pessoa Fisica</t>
  </si>
  <si>
    <t>Consulta Popular: Servicos - Pessoa Jurídica</t>
  </si>
  <si>
    <t>410500</t>
  </si>
  <si>
    <t>410600</t>
  </si>
  <si>
    <t>Const. De Cobert. Quadra Poliesp. : Dev. de Saldo</t>
  </si>
  <si>
    <t>Const. De Cobert. Quadra Poliesp. : Serv. Pessoa Física</t>
  </si>
  <si>
    <t>Const. De Cobert. Quadra Poliesp. : Obras e Instalações</t>
  </si>
  <si>
    <t xml:space="preserve">Const. De Cobert. Quadra Poliesp. : Obras e Instalações </t>
  </si>
  <si>
    <t>Const. De Cobert. Quadra Poliesp. : Serv. Pessoa Jurídica</t>
  </si>
  <si>
    <t>Const. De Cobert. Quadra Poliesp. : Obrig. Trib. e Contrib.</t>
  </si>
  <si>
    <t>420400</t>
  </si>
  <si>
    <t>420500</t>
  </si>
  <si>
    <t xml:space="preserve">Aq. de Eq. e Mat. Perm.: Obrigacoes Tributarias E Contributivas </t>
  </si>
  <si>
    <t xml:space="preserve">Aq. de Eq. e Mat. Perm.: Material De Consumo </t>
  </si>
  <si>
    <t xml:space="preserve">Aq. de Eq. e Mat. Perm.: Serviços - Pessoa Fisica  </t>
  </si>
  <si>
    <t xml:space="preserve">Aq. de Eq. e Mat. Perm.: Serviços - Pessoa Juridica </t>
  </si>
  <si>
    <t xml:space="preserve">Aq. de Eq. e Mat. Perm.: Eq. e Material Permanente </t>
  </si>
  <si>
    <t>Folha PGTº Dep. Alim. Esc.: Servidores Contratados</t>
  </si>
  <si>
    <t>Folha PGTº Dep. Alim. Esc.: Serv. Efetivos., F.G., C.C.</t>
  </si>
  <si>
    <t>Folha PGTº Dep. Alim. Esc.: Horas Extras</t>
  </si>
  <si>
    <t>Folha PGTº Dep. Alim. Esc.: Auxilio-Transporte</t>
  </si>
  <si>
    <t>Folha PGTº Dep. Alim. Esc.: Obrigações Patronais</t>
  </si>
  <si>
    <t xml:space="preserve">Dep. Alim. Esc.: Diárias </t>
  </si>
  <si>
    <t>Dep. Alim. Esc.: Materiais de Consumo</t>
  </si>
  <si>
    <t>Dep. Alim. Esc.: Material Distribuição Gratuita</t>
  </si>
  <si>
    <t>Dep. Alim. Esc.: Despesas Com Locomoção</t>
  </si>
  <si>
    <t>Dep. Alim. Esc.: Servicos de Consultoria</t>
  </si>
  <si>
    <t>Dep. Alim. Esc.: Servicos - Pessoa Fisica</t>
  </si>
  <si>
    <t>Dep. Alim. Esc.: Servicos - Pessoa Juridica</t>
  </si>
  <si>
    <t>Dep. Alim. Esc.: Obrigacoes Tributarias E Contributivas</t>
  </si>
  <si>
    <t>Dep. Alim. Esc.: Ressarcimento de Despesas</t>
  </si>
  <si>
    <t>Dep. Alim. Esc.: Material de Consumo - Aq. P/Consórcio</t>
  </si>
  <si>
    <t>Folha PGTº Dep. Cultura: Servidores Contratados</t>
  </si>
  <si>
    <t>Custo de Aq. de Equip. e Mat. Perm. Dep. Cult.: Servicos - Pessoa Fisica</t>
  </si>
  <si>
    <t>Custo de Aq. de Equip. e Mat. Perm. Dep. Cult.: Obrig. Trib. e Contrib.</t>
  </si>
  <si>
    <t>Custo de Aq. de Equip. e Mat. Perm. Dep. Cult.: Material De Consumo</t>
  </si>
  <si>
    <t>Custo de Aq. de Equip. e Mat. Perm. Dep. Cult.: Servicos - Pessoa Juridica</t>
  </si>
  <si>
    <t>Custo de Aq. de Equip. e Mat. Perm. Dep. Cult.: Eq. e Mat. Permanente</t>
  </si>
  <si>
    <t>13 Cultura</t>
  </si>
  <si>
    <t>436200</t>
  </si>
  <si>
    <t>436300</t>
  </si>
  <si>
    <t>436400</t>
  </si>
  <si>
    <t>438000</t>
  </si>
  <si>
    <t>438100</t>
  </si>
  <si>
    <t>438200</t>
  </si>
  <si>
    <t>438300</t>
  </si>
  <si>
    <t>438400</t>
  </si>
  <si>
    <t>438800</t>
  </si>
  <si>
    <t>438900</t>
  </si>
  <si>
    <t>439000</t>
  </si>
  <si>
    <t>439100</t>
  </si>
  <si>
    <t>439200</t>
  </si>
  <si>
    <t>439300</t>
  </si>
  <si>
    <t>439400</t>
  </si>
  <si>
    <t>Folha PGTº Dep. Cultura:  Serv. Efetivos., C.C.</t>
  </si>
  <si>
    <t>Folha PGTº Dep. Cultura: Obrigações Patronais</t>
  </si>
  <si>
    <t>Folha PGTº Dep. Cultura: Horas Extras</t>
  </si>
  <si>
    <t>Folha PGTº Dep. Cultura:  Auxilio-Transporte</t>
  </si>
  <si>
    <t xml:space="preserve">Dep. Cultura: Diárias </t>
  </si>
  <si>
    <t>Dep. Cultura: Material de Consumo</t>
  </si>
  <si>
    <t>Dep. Cultura: Material Distribuição Gratuita</t>
  </si>
  <si>
    <t>Dep. Cultura: Despesas Com Locomoção</t>
  </si>
  <si>
    <t>Dep. Cultura: Servicos de Consultoria</t>
  </si>
  <si>
    <t>Dep. Cultura: Servicos - Pessoa Fisica</t>
  </si>
  <si>
    <t>Dep. Cultura: Servicos - Pessoa Juridica</t>
  </si>
  <si>
    <t>Dep. Cultura: Obrig.Trib. e Contrib.</t>
  </si>
  <si>
    <t>Dep. Cultura: Ressarcimento de Despesas</t>
  </si>
  <si>
    <t>672 Implantacao e Manutenção da Biblioteca Municipal</t>
  </si>
  <si>
    <t>673 Mais Cultura - Semana Farroupilha</t>
  </si>
  <si>
    <t>674 Feira do Livro</t>
  </si>
  <si>
    <t xml:space="preserve">675 Festival de Musica Sacra </t>
  </si>
  <si>
    <t>676 Realização de Espetáculos de Música, Artes e Dança</t>
  </si>
  <si>
    <t>677 Cursos de Música, Artes e Dança</t>
  </si>
  <si>
    <t>682 Realização de Festival de Talentos</t>
  </si>
  <si>
    <t>683 Mais Cultura - Festa do Padroeiro</t>
  </si>
  <si>
    <t>684 Mais Cultura - Banda Municipal</t>
  </si>
  <si>
    <t>685 Mais Cultura - Grupo Cultural União dos Pagos</t>
  </si>
  <si>
    <t>686 Mais Cultura - Manutenção do Centro de Eventos</t>
  </si>
  <si>
    <t>689 Mais Cultura - DER OSTERBAUM</t>
  </si>
  <si>
    <t>690 Manutenção da Semana da Pátria</t>
  </si>
  <si>
    <t>715 Manutenção da Festa de Aniversário do Municipio</t>
  </si>
  <si>
    <t>716 Festa Natalina</t>
  </si>
  <si>
    <t>718 Convenios e Transf. do Estado para Eventos Culturais</t>
  </si>
  <si>
    <t>20 MAIS CULTURA</t>
  </si>
  <si>
    <t>392 Difusão Cultural</t>
  </si>
  <si>
    <t>439800</t>
  </si>
  <si>
    <t>439900</t>
  </si>
  <si>
    <t>440000</t>
  </si>
  <si>
    <t>440100</t>
  </si>
  <si>
    <t>Man. Biblioteca Mun.: Material de Consumo</t>
  </si>
  <si>
    <t>Man. Biblioteca Mun.: Material Distribuição Gratuita</t>
  </si>
  <si>
    <t>Man. Biblioteca Mun.: Servicos - Pessoa Fisica</t>
  </si>
  <si>
    <t>Man. Biblioteca Mun.: Servicos - Pessoa Juridica</t>
  </si>
  <si>
    <t>Man. Biblioteca Mun.: Obrig.Trib. e Contrib.</t>
  </si>
  <si>
    <t>Man. Biblioteca Mun.: Material de Consumo - Aq. P/Consórcio</t>
  </si>
  <si>
    <t>Man. Biblioteca Mun.: Aq. de Eq. e Mat. Permanente</t>
  </si>
  <si>
    <t>439700</t>
  </si>
  <si>
    <t>Semana Farroupilha: Material de Consumo</t>
  </si>
  <si>
    <t>Semana Farroupilha: Material Distribuição Gratuita</t>
  </si>
  <si>
    <t>Semana Farroupilha: Servicos - Pessoa Fisica</t>
  </si>
  <si>
    <t>Semana Farroupilha: Servicos - Pessoa Juridica</t>
  </si>
  <si>
    <t>Semana Farroupilha: Material de Consumo - Aq. P/Consórcio</t>
  </si>
  <si>
    <t>Semana Farroupilha: Aq. de Eq. e Mat. Permanente</t>
  </si>
  <si>
    <t>Semana Farroupilha: Obrig.Trib. e Contrib.</t>
  </si>
  <si>
    <t>440400</t>
  </si>
  <si>
    <t>440500</t>
  </si>
  <si>
    <t>440600</t>
  </si>
  <si>
    <t>440700</t>
  </si>
  <si>
    <t>440800</t>
  </si>
  <si>
    <t>440150</t>
  </si>
  <si>
    <t>Man. Biblioteca Mun.: Obras e Instalações</t>
  </si>
  <si>
    <t>Festival de Musica Sacra: Material de Consumo</t>
  </si>
  <si>
    <t>Festival de Musica Sacra: Material Distribuição Gratuita</t>
  </si>
  <si>
    <t>Festival de Musica Sacra: Servicos - Pessoa Fisica</t>
  </si>
  <si>
    <t>Festival de Musica Sacra: Servicos - Pessoa Juridica</t>
  </si>
  <si>
    <t>Festival de Musica Sacra: Obrig.Trib. e Contrib.</t>
  </si>
  <si>
    <t>Festival de Musica Sacra: Material de Consumo - Aq. P/Consórcio</t>
  </si>
  <si>
    <t>Festival de Musica Sacra: Aq. de Eq. e Mat. Permanente</t>
  </si>
  <si>
    <t>Festival de Musica Sacra: Premiações</t>
  </si>
  <si>
    <t>441900</t>
  </si>
  <si>
    <t>442000</t>
  </si>
  <si>
    <t>442100</t>
  </si>
  <si>
    <t>442200</t>
  </si>
  <si>
    <t>442300</t>
  </si>
  <si>
    <t>442700</t>
  </si>
  <si>
    <t>442800</t>
  </si>
  <si>
    <t>442900</t>
  </si>
  <si>
    <t>443000</t>
  </si>
  <si>
    <t>443100</t>
  </si>
  <si>
    <t>Real. de Esp. de Musica, Artes e Dança: Material de Consumo</t>
  </si>
  <si>
    <t>Real. de Esp. de Musica, Artes e Dança: Premiações</t>
  </si>
  <si>
    <t>Real. de Esp. de Musica, Artes e Dança: Material Distribuição Gratuita</t>
  </si>
  <si>
    <t>Real. de Esp. de Musica, Artes e Dança: Servicos - Pessoa Fisica</t>
  </si>
  <si>
    <t>Real. de Esp. de Musica, Artes e Dança: Servicos - Pessoa Juridica</t>
  </si>
  <si>
    <t>Real. de Esp. de Musica, Artes e Dança: Obrig.Trib. e Contrib.</t>
  </si>
  <si>
    <t>Real. de Esp. de Musica, Artes e Dança: Material de Consumo - Aq. P/Consórcio</t>
  </si>
  <si>
    <t>Real. de Esp. de Musica, Artes e Dança: Aq. de Eq. e Mat. Permanente</t>
  </si>
  <si>
    <t>Real. de Festival de Talentos: Material de Consumo</t>
  </si>
  <si>
    <t>Real. de Festival de Talentos: Premiações</t>
  </si>
  <si>
    <t>Real. de Festival de Talentos: Material Distribuição Gratuita</t>
  </si>
  <si>
    <t>Real. de Festival de Talentos: Servicos - Pessoa Fisica</t>
  </si>
  <si>
    <t>Real. de Festival de Talentos: Servicos - Pessoa Juridica</t>
  </si>
  <si>
    <t>Real. de Festival de Talentos: Obrig.Trib. e Contrib.</t>
  </si>
  <si>
    <t>Real. de Festival de Talentos: Material de Consumo - Aq. P/Consórcio</t>
  </si>
  <si>
    <t>Real. de Festival de Talentos: Aq. de Eq. e Mat. Permanente</t>
  </si>
  <si>
    <t>443500</t>
  </si>
  <si>
    <t>443600</t>
  </si>
  <si>
    <t>443700</t>
  </si>
  <si>
    <t>443800</t>
  </si>
  <si>
    <t>443900</t>
  </si>
  <si>
    <t>444200</t>
  </si>
  <si>
    <t>444300</t>
  </si>
  <si>
    <t>444400</t>
  </si>
  <si>
    <t>444500</t>
  </si>
  <si>
    <t>444600</t>
  </si>
  <si>
    <t>Festa do Padroeiro: Material de Consumo</t>
  </si>
  <si>
    <t>Festa do Padroeiro:  Material Distribuição Gratuita</t>
  </si>
  <si>
    <t>Festa do Padroeiro: Servicos - Pessoa Fisica</t>
  </si>
  <si>
    <t>Festa do Padroeiro: Servicos - Pessoa Juridica</t>
  </si>
  <si>
    <t>Festa do Padroeiro: Obrig.Trib. e Contrib.</t>
  </si>
  <si>
    <t>Festa do Padroeiro:  Material de Consumo - Aq. P/Consórcio</t>
  </si>
  <si>
    <t>Festa do Padroeiro: Aq. de Eq. e Mat. Permanente</t>
  </si>
  <si>
    <t>Banda Municipal: Material de Consumo</t>
  </si>
  <si>
    <t>Banda Municipal: Material Distribuição Gratuita</t>
  </si>
  <si>
    <t>Banda Municipal: Servicos - Pessoa Fisica</t>
  </si>
  <si>
    <t>Banda Municipal: Servicos - Pessoa Juridica</t>
  </si>
  <si>
    <t>Banda Municipal: Obrig.Trib. e Contrib.</t>
  </si>
  <si>
    <t>Banda Municipal: Material de Consumo - Aq. P/Consórcio</t>
  </si>
  <si>
    <t>Banda Municipal: Aq. de Eq. e Mat. Permanente</t>
  </si>
  <si>
    <t>444900</t>
  </si>
  <si>
    <t>445000</t>
  </si>
  <si>
    <t>445100</t>
  </si>
  <si>
    <t>445200</t>
  </si>
  <si>
    <t>445300</t>
  </si>
  <si>
    <t>Grupo Cult. União dos Pagos: Material de Consumo</t>
  </si>
  <si>
    <t>Grupo Cult. União dos Pagos: Material Distribuição Gratuita</t>
  </si>
  <si>
    <t>Grupo Cult. União dos Pagos: Servicos - Pessoa Fisica</t>
  </si>
  <si>
    <t>Grupo Cult. União dos Pagos: Servicos - Pessoa Juridica</t>
  </si>
  <si>
    <t>Grupo Cult. União dos Pagos: Obrig.Trib. e Contrib.</t>
  </si>
  <si>
    <t>Grupo Cult. União dos Pagos: Material de Consumo - Aq. P/Consórcio</t>
  </si>
  <si>
    <t>445600</t>
  </si>
  <si>
    <t>445700</t>
  </si>
  <si>
    <t>445800</t>
  </si>
  <si>
    <t>445900</t>
  </si>
  <si>
    <t>446000</t>
  </si>
  <si>
    <t>Manut. Centro de Eventos: Material de Consumo</t>
  </si>
  <si>
    <t>Manut. Centro de Eventos: Material Distribuição Gratuita</t>
  </si>
  <si>
    <t>Manut. Centro de Eventos:  Servicos - Pessoa Fisica</t>
  </si>
  <si>
    <t>Manut. Centro de Eventos:  Servicos - Pessoa Juridica</t>
  </si>
  <si>
    <t>Manut. Centro de Eventos:  Obrig.Trib. e Contrib.</t>
  </si>
  <si>
    <t>Manut. Centro de Eventos:  Material de Consumo - Aq. P/Consórcio</t>
  </si>
  <si>
    <t>Manut. Centro de Eventos:  Aq. de Eq. e Mat. Permanente</t>
  </si>
  <si>
    <t>Grupo Cult. União dos Pagos: Aq. de Eq. e Mat. Permanente</t>
  </si>
  <si>
    <t>446300</t>
  </si>
  <si>
    <t>446400</t>
  </si>
  <si>
    <t>446500</t>
  </si>
  <si>
    <t>446600</t>
  </si>
  <si>
    <t>446700</t>
  </si>
  <si>
    <t>Der Osterbaum: Material de Consumo</t>
  </si>
  <si>
    <t>Der Osterbaum: Material Distribuição Gratuita</t>
  </si>
  <si>
    <t>Der Osterbaum: Servicos - Pessoa Fisica</t>
  </si>
  <si>
    <t>Der Osterbaum: Servicos - Pessoa Juridica</t>
  </si>
  <si>
    <t>Der Osterbaum: Obrig.Trib. e Contrib.</t>
  </si>
  <si>
    <t>Der Osterbaum: Material de Consumo - Aq. P/Consórcio</t>
  </si>
  <si>
    <t>Der Osterbaum: Aq. de Eq. e Mat. Permanente</t>
  </si>
  <si>
    <t>447100</t>
  </si>
  <si>
    <t>447200</t>
  </si>
  <si>
    <t>447300</t>
  </si>
  <si>
    <t>447400</t>
  </si>
  <si>
    <t>447700</t>
  </si>
  <si>
    <t>447800</t>
  </si>
  <si>
    <t>447900</t>
  </si>
  <si>
    <t>448000</t>
  </si>
  <si>
    <t>448100</t>
  </si>
  <si>
    <t>Semana da Patria: Material de Consumo</t>
  </si>
  <si>
    <t>Semana da Patria: Material Distribuição Gratuita</t>
  </si>
  <si>
    <t>Semana da Patria: Servicos - Pessoa Fisica</t>
  </si>
  <si>
    <t>Semana da Patria: Servicos - Pessoa Juridica</t>
  </si>
  <si>
    <t>Semana da Patria: Obrig.Trib. e Contrib.</t>
  </si>
  <si>
    <t>Semana da Patria: Material de Consumo - Aq. P/Consórcio</t>
  </si>
  <si>
    <t>Semana da Patria: Aq. de Eq. e Mat. Permanente</t>
  </si>
  <si>
    <t>Festa de Aniversário do Município: Material de Consumo</t>
  </si>
  <si>
    <t>Festa de Aniversário do Município: Material Distribuição Gratuita</t>
  </si>
  <si>
    <t>Festa de Aniversário do Município: Servicos - Pessoa Fisica</t>
  </si>
  <si>
    <t>Festa de Aniversário do Município: Servicos - Pessoa Juridica</t>
  </si>
  <si>
    <t>Festa de Aniversário do Município: Obrig.Trib. e Contrib.</t>
  </si>
  <si>
    <t>Festa de Aniversário do Município: Material de Consumo - Aq. P/Consórcio</t>
  </si>
  <si>
    <t>Festa de Aniversário do Município: Aq. de Eq. e Mat. Permanente</t>
  </si>
  <si>
    <t>Festa Natalina: Material de Consumo</t>
  </si>
  <si>
    <t>Festa Natalina: Material Distribuição Gratuita</t>
  </si>
  <si>
    <t>Festa Natalina: Servicos - Pessoa Fisica</t>
  </si>
  <si>
    <t>Festa Natalina: Servicos - Pessoa Juridica</t>
  </si>
  <si>
    <t>Festa Natalina: Obrig.Trib. e Contrib.</t>
  </si>
  <si>
    <t>Festa Natalina: Material de Consumo - Aq. P/Consórcio</t>
  </si>
  <si>
    <t>Festa Natalina: Aq. de Eq. e Mat. Permanente</t>
  </si>
  <si>
    <t>448400</t>
  </si>
  <si>
    <t>448500</t>
  </si>
  <si>
    <t>448600</t>
  </si>
  <si>
    <t>448700</t>
  </si>
  <si>
    <t>448800</t>
  </si>
  <si>
    <t>449200</t>
  </si>
  <si>
    <t>449300</t>
  </si>
  <si>
    <t>449400</t>
  </si>
  <si>
    <t>449500</t>
  </si>
  <si>
    <t>449900</t>
  </si>
  <si>
    <t>450000</t>
  </si>
  <si>
    <t>450100</t>
  </si>
  <si>
    <t>450200</t>
  </si>
  <si>
    <t>Cons. Pop. P/Apoio Eventos Culturais: Devolução de Saldo</t>
  </si>
  <si>
    <t>Cons. Pop. P/Apoio Eventos Culturais: Material de Consumo</t>
  </si>
  <si>
    <t>08 - Departamento de Desporto</t>
  </si>
  <si>
    <t>Custo de Aq. de Equip. e Mat. Perm. Dep. Desp.: Obrig. Trib. e Contrib.</t>
  </si>
  <si>
    <t>Custo de Aq. de Equip. e Mat. Perm. Dep. Desp.: Material De Consumo</t>
  </si>
  <si>
    <t>Custo de Aq. de Equip. e Mat. Perm. Dep. Desp.: Servicos - Pessoa Fisica</t>
  </si>
  <si>
    <t>Custo de Aq. de Equip. e Mat. Perm. Dep. Desp.: Servicos - Pessoa Juridica</t>
  </si>
  <si>
    <t>Custo de Aq. de Equip. e Mat. Perm. Dep. Desp.: Eq. e Mat. Permanente</t>
  </si>
  <si>
    <t>Folha PGTº Dep. Desporto: Servidores Contratados</t>
  </si>
  <si>
    <t>Folha PGTº Dep. Desporto: Obrigações Patronais</t>
  </si>
  <si>
    <t>Folha PGTº Dep. Desporto: Serv. Efetivos., C.C.</t>
  </si>
  <si>
    <t>Folha PGTº Dep. Desporto: Horas Extras</t>
  </si>
  <si>
    <t xml:space="preserve">Dep. Desporto: Diárias </t>
  </si>
  <si>
    <t>Dep. Desporto: Material Distribuição Gratuita</t>
  </si>
  <si>
    <t>Dep. Desporto: Material de Consumo</t>
  </si>
  <si>
    <t>Dep. Desporto: Servicos de Consultoria</t>
  </si>
  <si>
    <t>Dep. Desporto: Despesas Com Locomoção</t>
  </si>
  <si>
    <t>Dep. Desporto: Servicos - Pessoa Fisica</t>
  </si>
  <si>
    <t>Dep. Desporto: Servicos - Pessoa Juridica</t>
  </si>
  <si>
    <t>Dep. Desporto: Obrig.Trib. e Contrib.</t>
  </si>
  <si>
    <t>Folha PGTº Dep. Desporto:  Auxilio-Transporte</t>
  </si>
  <si>
    <t>Dep. Desporto:  Ressarcimento de Despesas</t>
  </si>
  <si>
    <t>Dep. Desporto:  Material de Consumo - Aq. P/Consórcio</t>
  </si>
  <si>
    <t>461200</t>
  </si>
  <si>
    <t>461300</t>
  </si>
  <si>
    <t>461400</t>
  </si>
  <si>
    <t>462000</t>
  </si>
  <si>
    <t>462100</t>
  </si>
  <si>
    <t>462200</t>
  </si>
  <si>
    <t>462300</t>
  </si>
  <si>
    <t>462400</t>
  </si>
  <si>
    <t>462800</t>
  </si>
  <si>
    <t>462900</t>
  </si>
  <si>
    <t>463000</t>
  </si>
  <si>
    <t>463100</t>
  </si>
  <si>
    <t>463200</t>
  </si>
  <si>
    <t>463300</t>
  </si>
  <si>
    <t>463400</t>
  </si>
  <si>
    <t>Manut. Centro de Eventos:  Obras e Instalações</t>
  </si>
  <si>
    <t>446800</t>
  </si>
  <si>
    <t>447500</t>
  </si>
  <si>
    <t>448200</t>
  </si>
  <si>
    <t>448900</t>
  </si>
  <si>
    <t>449600</t>
  </si>
  <si>
    <t>450300</t>
  </si>
  <si>
    <t>450400</t>
  </si>
  <si>
    <t>27 Desporto e Lazer</t>
  </si>
  <si>
    <t>22 MAIS ESPORTE E LAZER</t>
  </si>
  <si>
    <t>700 Apoio a realização de Eventos Esportivos e de Lazer</t>
  </si>
  <si>
    <t>812 Desporto Comunitário</t>
  </si>
  <si>
    <t>Materiais de Consumo: Campeonato Praiano de Futebol e Voleibol</t>
  </si>
  <si>
    <t>Materiais de Consumo: Circuito de Verão SESC</t>
  </si>
  <si>
    <t>Materiais de Consumo: Campeonato Intercolonial de Futebol Sete</t>
  </si>
  <si>
    <t>Materiais de Consumo: Campeonato Montain Bike</t>
  </si>
  <si>
    <t>Materiais de Consumo: Projeto Velocross</t>
  </si>
  <si>
    <t>Materiais de Consumo: Copa Chuvisca de Futebol de Campo</t>
  </si>
  <si>
    <t>Materiais de Consumo: Grenal de Integração</t>
  </si>
  <si>
    <t>Materiais de Consumo: Olimpiadas Rurais de Chuvisca</t>
  </si>
  <si>
    <t>Materiais de Consumo: Participação dos JIRGS</t>
  </si>
  <si>
    <t>Materiais de Consumo: Projeto Mun. Futsal</t>
  </si>
  <si>
    <t>Premiações: Campeonato Praiano de Futebol e Voleibol</t>
  </si>
  <si>
    <t>Premiações: Circuito de Verão SESC</t>
  </si>
  <si>
    <t>Premiações: Campeonato Intercolonial de Futebol Sete</t>
  </si>
  <si>
    <t>Premiações:  Campeonato Montain Bike</t>
  </si>
  <si>
    <t>Premiações:  Projeto Velocross</t>
  </si>
  <si>
    <t>Premiações: Copa Chuvisca de Futebol de Campo</t>
  </si>
  <si>
    <t>Premiações:  Grenal de Integração</t>
  </si>
  <si>
    <t>Premiações: Olimpiadas Rurais de Chuvisca</t>
  </si>
  <si>
    <t>Premiações:  Participação dos JIRGS</t>
  </si>
  <si>
    <t>Premiações: Projeto Mun. Futsal</t>
  </si>
  <si>
    <t>Apoio a Real. De Ev. Esp. e Lazer: Serv. P. Física</t>
  </si>
  <si>
    <t>Serv. P. Física: Campeonato Praiano de Futebol e Voleibol</t>
  </si>
  <si>
    <t>Serv. P. Física: Circuito de Verão SESC</t>
  </si>
  <si>
    <t>Serv. P. Física: Campeonato Intercolonial de Futebol Sete</t>
  </si>
  <si>
    <t>Serv. P. Física:  Campeonato Montain Bike</t>
  </si>
  <si>
    <t>Serv. P. Física:  Projeto Velocross</t>
  </si>
  <si>
    <t>Serv. P. Física: Copa Chuvisca de Futebol de Campo</t>
  </si>
  <si>
    <t>Serv. P. Física:  Grenal de Integração</t>
  </si>
  <si>
    <t>Serv. P. Física:  Olimpiadas Rurais de Chuvisca</t>
  </si>
  <si>
    <t>Serv. P. Física:  Participação dos JIRGS</t>
  </si>
  <si>
    <t>Serv. P. Física: Projeto Mun. Futsal</t>
  </si>
  <si>
    <t>Serv. P. Jurídica: Campeonato Praiano de Futebol e Voleibol</t>
  </si>
  <si>
    <t>Serv. P. Jurídica: Circuito de Verão SESC</t>
  </si>
  <si>
    <t>Serv. P. Jurídica:  Campeonato Intercolonial de Futebol Sete</t>
  </si>
  <si>
    <t>Serv. P. Jurídica:  Campeonato Montain Bike</t>
  </si>
  <si>
    <t>Serv. P. Jurídica:   Projeto Velocross</t>
  </si>
  <si>
    <t>Serv. P. Jurídica: Copa Chuvisca de Futebol de Campo</t>
  </si>
  <si>
    <t>Serv. P. Jurídica:  Grenal de Integração</t>
  </si>
  <si>
    <t>Serv. P. Jurídica:  Olimpiadas Rurais de Chuvisca</t>
  </si>
  <si>
    <t>Serv. P. Jurídica:   Participação dos JIRGS</t>
  </si>
  <si>
    <t>Serv. P. Jurídica:  Projeto Mun. Futsal</t>
  </si>
  <si>
    <t>INSS S/Serv. P. Física: Campeonato Praiano de Futebol e Voleibol</t>
  </si>
  <si>
    <t>INSS S/Serv. P. Física: Circuito de Verão SESC</t>
  </si>
  <si>
    <t>INSS S/Serv. P. Física:  Campeonato Montain Bike</t>
  </si>
  <si>
    <t>INSS S/Serv. P. Física:   Projeto Velocross</t>
  </si>
  <si>
    <t>INSS S/Serv. P. Física:  Copa Chuvisca de Futebol de Campo</t>
  </si>
  <si>
    <t>INSS S/Serv. P. Física:   Grenal de Integração</t>
  </si>
  <si>
    <t>INSS S/Serv. P. Física:  Olimpiadas Rurais de Chuvisca</t>
  </si>
  <si>
    <t>INSS S/Serv. P. Física:  Participação dos JIRGS</t>
  </si>
  <si>
    <t>INSS S/Serv. P. Física:  Projeto Mun. Futsal</t>
  </si>
  <si>
    <t>INSS S/Serv. P. Jurídica e M.E.I.: Camp. Praiano de Futebol e Voleibol</t>
  </si>
  <si>
    <t>INSS S/Serv. P. Jurídica e M.E.I.: Circuito de Verão SESC</t>
  </si>
  <si>
    <t>INSS S/Serv. P. Jurídica e M.E.I.:  Camp. Intercolonial de Futebol Sete</t>
  </si>
  <si>
    <t>INSS S/Serv. P. Jurídica e M.E.I.:  Campeonato Montain Bike</t>
  </si>
  <si>
    <t>INSS S/Serv. P. Jurídica e M.E.I.:  Projeto Velocross</t>
  </si>
  <si>
    <t>INSS S/Serv. P. Jurídica e M.E.I.:  Copa Chuvisca de Futebol de Campo</t>
  </si>
  <si>
    <t>INSS S/Serv. P. Jurídica e M.E.I.:   Grenal de Integração</t>
  </si>
  <si>
    <t>INSS S/Serv. P. Jurídica e M.E.I.:  Olimpiadas Rurais de Chuvisca</t>
  </si>
  <si>
    <t>INSS S/Serv. P. Jurídica e M.E.I.: Participação dos JIRGS</t>
  </si>
  <si>
    <t>INSS S/Serv. P. Jurídica e M.E.I.:  Projeto Mun. Futsal</t>
  </si>
  <si>
    <t>Apoio a Real. de Ev. Esp. e Lazer:  Obrig. Trib. e Contrib.</t>
  </si>
  <si>
    <t>Apoio a Real. de Ev. Esp. e Lazer: Serv. P. Jurídica</t>
  </si>
  <si>
    <t>Apoio a Real. de Ev. Esp. e Lazer: Premiações</t>
  </si>
  <si>
    <t>Apoio a Real. de Ev. Esp. e Lazer: Material de Consumo</t>
  </si>
  <si>
    <t>INSS S/Serv. P. Física:   Camp. Intercolonial de Futebol Sete</t>
  </si>
  <si>
    <t>Apoio a Real. de Ev. Esp. e Lazer: Aq. de Eq. e Mat. Perm.</t>
  </si>
  <si>
    <t>Aq. Eq. e Mat. Perm.: Campeonato Praiano de Futebol e Voleibol</t>
  </si>
  <si>
    <t>Aq. Eq. e Mat. Perm.: Campeonato Intercolonial de Futebol Sete</t>
  </si>
  <si>
    <t>Aq. Eq. e Mat. Perm.: Campeonato Montain Bike</t>
  </si>
  <si>
    <t>Aq. Eq. e Mat. Perm.: Projeto Velocross</t>
  </si>
  <si>
    <t>Aq. Eq. e Mat. Perm.: Copa Chuvisca de Futebol de Campo</t>
  </si>
  <si>
    <t>Aq. Eq. e Mat. Perm.: Grenal de Integração</t>
  </si>
  <si>
    <t>Aq. Eq. e Mat. Perm.: Olimpiadas Rurais de Chuvisca</t>
  </si>
  <si>
    <t>Aq. Eq. e Mat. Perm.: Participação dos JIRGS</t>
  </si>
  <si>
    <t>Aq. Eq. e Mat. Perm.: Projeto Mun. Futsal</t>
  </si>
  <si>
    <t>Aq. Eq. e Mat. Perm.: Circuito de Verão SESC</t>
  </si>
  <si>
    <t>Aq. Eq. e Mat. Perm.: Eq. de Gisnastica P/Praça Comunitária</t>
  </si>
  <si>
    <t>Aq. Eq. e Mat. Perm.: Eq. Campo Universal</t>
  </si>
  <si>
    <t>Apoio a Real. de Ev. Esp. e Lazer: Invest. No Campo do Universal</t>
  </si>
  <si>
    <t>Obras e Inst.: Const. de Banheiros,  Vestiarios e Copa</t>
  </si>
  <si>
    <t>704 Convenios Com Uniao e Estado</t>
  </si>
  <si>
    <t>466200</t>
  </si>
  <si>
    <t>466300</t>
  </si>
  <si>
    <t>466400</t>
  </si>
  <si>
    <t>466500</t>
  </si>
  <si>
    <t>466600</t>
  </si>
  <si>
    <t>466700</t>
  </si>
  <si>
    <t>Cons. Pop. P/Aq. Mat. e Desenv. Desp.: Devolução de Saldo</t>
  </si>
  <si>
    <t>Cons. Pop. P/Aq. Mat. e Desenv. Desp.: Material de Consumo</t>
  </si>
  <si>
    <t>Cons. Pop. P/Aq. Mat. e Desenv. Desp.: Servicos - Pessoa Fisica</t>
  </si>
  <si>
    <t>Cons. Pop. P/Aq. Mat. e Desenv. Desp.: Servicos - Pessoa Juridica</t>
  </si>
  <si>
    <t>Cons. Pop. P/Aq. Mat. e Desenv. Desp.:  Servicos - Pessoa Juridica</t>
  </si>
  <si>
    <t>Cons. Pop. P/Aq. Mat. e Desenv. Desp.: Obrig.Trib. e Contrib.</t>
  </si>
  <si>
    <t>Cons. Pop. P/Aq. Mat. e Desenv. Desp.: Aq. de Eq. e Mat. Permanente</t>
  </si>
  <si>
    <t>Cons. Pop. P/Aq. Mat. e Desenv. Desp.: Mat. de Consumo - Aq. P/Consórcio</t>
  </si>
  <si>
    <t>09 -  Departamento de Turismo</t>
  </si>
  <si>
    <t>693 Realização da Agrifest e Festa do Fumo</t>
  </si>
  <si>
    <t>21 MAIS TURISMO</t>
  </si>
  <si>
    <t>695 Turismo</t>
  </si>
  <si>
    <t>Realiz. Agrifest e Festa do Fumo: Material de Consumo</t>
  </si>
  <si>
    <t>Realiz. Agrifest e Festa do Fumo: Material Distribuição Gratuita</t>
  </si>
  <si>
    <t>Realiz. Agrifest e Festa do Fumo: Servicos - Pessoa Fisica</t>
  </si>
  <si>
    <t>Realiz. Agrifest e Festa do Fumo: Servicos - Pessoa Juridica</t>
  </si>
  <si>
    <t>Realiz. Agrifest e Festa do Fumo: Obrig.Trib. e Contrib.</t>
  </si>
  <si>
    <t>Realiz. Agrifest e Festa do Fumo: Material de Consumo - Aq. P/Consórcio</t>
  </si>
  <si>
    <t>Realiz. Agrifest e Festa do Fumo: Aq. de Eq. e Mat. Permanente</t>
  </si>
  <si>
    <t>Realiz. Agrifest e Festa do Fumo: Obras e Instalações</t>
  </si>
  <si>
    <t>470400</t>
  </si>
  <si>
    <t>470500</t>
  </si>
  <si>
    <t>470600</t>
  </si>
  <si>
    <t>470700</t>
  </si>
  <si>
    <t>697 Construção do Pórtico</t>
  </si>
  <si>
    <t>E.P. P/Construção Pórtico: Devolução de Saldo</t>
  </si>
  <si>
    <t>E.P. P/Construção Pórtico: Material de Consumo</t>
  </si>
  <si>
    <t>E.P. P/Construção Pórtico: Servicos - Pessoa Fisica</t>
  </si>
  <si>
    <t>E.P. P/Construção Pórtico: Servicos - Pessoa Juridica</t>
  </si>
  <si>
    <t>E.P. P/Construção Pórtico: Obrig.Trib. e Contrib.</t>
  </si>
  <si>
    <t>471300</t>
  </si>
  <si>
    <t>471400</t>
  </si>
  <si>
    <t>471500</t>
  </si>
  <si>
    <t>471600</t>
  </si>
  <si>
    <t>Realiz. Agrifest e Festa do Fumo: Diárias</t>
  </si>
  <si>
    <t>Realiz. Agrifest e Festa do Fumo: Desp. C/Locomoção</t>
  </si>
  <si>
    <t>Realiz. Agrifest e Festa do Fumo: Ressarcimento de Despesas</t>
  </si>
  <si>
    <t>470800</t>
  </si>
  <si>
    <t>470900</t>
  </si>
  <si>
    <t>471000</t>
  </si>
  <si>
    <t>E.P. P/Construção Pórtico: Obras e Instalações</t>
  </si>
  <si>
    <t>01 - Gestão, Coordenação e Planejamento Administrativo</t>
  </si>
  <si>
    <t>100 - MAIS SAÚDE</t>
  </si>
  <si>
    <t>10 Saúde</t>
  </si>
  <si>
    <t>720 Aquisição de Equipamentos e Material Permanente</t>
  </si>
  <si>
    <t>721 Construção, Ampliação e Reforma de Prédios</t>
  </si>
  <si>
    <t>722 Aquisição e modernização  da Frota de veículos</t>
  </si>
  <si>
    <t xml:space="preserve">870 Gestao, Coordenação e Planejamento </t>
  </si>
  <si>
    <t>881 Manutenção do Consórcio</t>
  </si>
  <si>
    <t xml:space="preserve">894 Manutenção da Frota de Veículos </t>
  </si>
  <si>
    <t>905 Manutenção do Conselho Municipal de Saúde</t>
  </si>
  <si>
    <t>500200</t>
  </si>
  <si>
    <t>500300</t>
  </si>
  <si>
    <t>500400</t>
  </si>
  <si>
    <t>501200</t>
  </si>
  <si>
    <t>501300</t>
  </si>
  <si>
    <t>501400</t>
  </si>
  <si>
    <t>Const., Ref. e Ampl Pred. Sec. Mun. Saúde: Obrig. Trib. e Contrib.</t>
  </si>
  <si>
    <t>Const., Ref. e Ampl Pred. Sec. Mun. Saúde: Material de Consumo</t>
  </si>
  <si>
    <t>Const., Ref. e Ampl Pred. Sec. Mun. Saúde: Servicos - Pessoa Fisica</t>
  </si>
  <si>
    <t>Const., Ref. e Ampl Pred. Sec. Mun. Saúde:  Obras e Instalações</t>
  </si>
  <si>
    <t>Const., Ref. e Ampl Pred. Sec. Mun. Saúde:  Servicos - Pessoa Juridica</t>
  </si>
  <si>
    <t>502200</t>
  </si>
  <si>
    <t>502300</t>
  </si>
  <si>
    <t>502400</t>
  </si>
  <si>
    <t>Aq. e Moder. Frota Veículos: Obrig. Trib. e Contrib.</t>
  </si>
  <si>
    <t>Aq. e Moder. Frota Veículos: Material de Consumo</t>
  </si>
  <si>
    <t>Aq. e Moder. Frota Veículos:Servicos - Pessoa Fisica</t>
  </si>
  <si>
    <t>Aq. e Moder. Frota Veículos:Servicos - Pessoa Juridica</t>
  </si>
  <si>
    <t>Aq. e Moder. Frota Veículos:  Aq. Veículos e Eq.</t>
  </si>
  <si>
    <t>Aq. de Eq. e Mat. Perm. Sec. Mun. Saúde: Obrig. Trib. e Contrib.</t>
  </si>
  <si>
    <t>Aq. de Eq. e Mat. Perm. Sec. Mun. Saúde: Material de Consumo</t>
  </si>
  <si>
    <t>Aq. de Eq. e Mat. Perm. Sec. Mun. Saúde: Servicos - Pessoa Fisica</t>
  </si>
  <si>
    <t>Aq. de Eq. e Mat. Perm. Sec. Mun. Saúde: Servicos - Pessoa Juridica</t>
  </si>
  <si>
    <t>Aq. de Eq. e Mat. Perm. Sec. Mun. Saúde: Eq. e Mat. Permanente</t>
  </si>
  <si>
    <t>723 Aquisição de Equipamentos e Sistemas de Informática</t>
  </si>
  <si>
    <t>503200</t>
  </si>
  <si>
    <t>503300</t>
  </si>
  <si>
    <t>503400</t>
  </si>
  <si>
    <t>Aq. de Eq. e Sist. de Inform.: Obrig. Trib. e Contrib.</t>
  </si>
  <si>
    <t>Aq. de Eq. e Sist. de Inform.: Material de Consumo</t>
  </si>
  <si>
    <t>Aq. de Eq. e Sist. de Inform.: Servicos - Pessoa Fisica</t>
  </si>
  <si>
    <t>Aq. de Eq. e Sist. de Inform.: Servicos - Pessoa Juridica</t>
  </si>
  <si>
    <t>Aq. de Eq. e Sist. de Inform.: Aq. de Eq. e Sistemas de Informática</t>
  </si>
  <si>
    <t>Folha PGTº Sec. Mun. Saúde: Servidores Contratados</t>
  </si>
  <si>
    <t>Folha PGTº Sec. Mun. Saúde: Obrigações Patronais</t>
  </si>
  <si>
    <t>Folha PGTº Sec. Mun. Saúde: Horas Extras</t>
  </si>
  <si>
    <t>Sec. Mun. Saúde: Material de Consumo</t>
  </si>
  <si>
    <t>Sec. Mun. Saúde: Despesas Com Locomoção</t>
  </si>
  <si>
    <t>Sec. Mun. Saúde: Servicos - Pessoa Juridica</t>
  </si>
  <si>
    <t>Sec. Mun. Saúde: Material Distribuição Gratuita</t>
  </si>
  <si>
    <t>Sec. Mun. Saúde :Servicos de Consultoria</t>
  </si>
  <si>
    <t>Sec. Mun. Saúde: Servicos - Pessoa Fisica</t>
  </si>
  <si>
    <t>Sec. Mun. Saúde: Obrig.Trib. e Contrib.</t>
  </si>
  <si>
    <t>Sec. Mun. Saúde: Ressarcimento de Despesas</t>
  </si>
  <si>
    <t>Sec. Mun. Saúde: Material de Consumo - Aq. P/Consórcio</t>
  </si>
  <si>
    <t xml:space="preserve">Sec. Mun. Saúde: Diárias </t>
  </si>
  <si>
    <t>510000</t>
  </si>
  <si>
    <t>510100</t>
  </si>
  <si>
    <t>510200</t>
  </si>
  <si>
    <t>510300</t>
  </si>
  <si>
    <t>510400</t>
  </si>
  <si>
    <t>510800</t>
  </si>
  <si>
    <t>510900</t>
  </si>
  <si>
    <t>511000</t>
  </si>
  <si>
    <t>511100</t>
  </si>
  <si>
    <t>511200</t>
  </si>
  <si>
    <t>511300</t>
  </si>
  <si>
    <t>511400</t>
  </si>
  <si>
    <t>Folha PGTº Sec. Mun. Saúde: Serv. Efetivos., C.C. e Agente Político</t>
  </si>
  <si>
    <t>Folha PGTº Sec. Mun. Saúde:  Auxilio-Transporte</t>
  </si>
  <si>
    <t>512000</t>
  </si>
  <si>
    <t>Gestão Frota Veic. Sec. Mun. Saúde: Material de Consumo</t>
  </si>
  <si>
    <t>Gestão Frota Veic. Sec. Mun. Saúde: Servicos - Pessoa Fisica</t>
  </si>
  <si>
    <t>Gestão Frota Veic. Sec. Mun. Saúde: Servicos - Pessoa Juridica</t>
  </si>
  <si>
    <t>Gestão Frota Veic. Sec. Mun. Saúde: Mat. de Consumo - Aq. P/Consórcio</t>
  </si>
  <si>
    <t>513100</t>
  </si>
  <si>
    <t>513200</t>
  </si>
  <si>
    <t>513300</t>
  </si>
  <si>
    <t>513400</t>
  </si>
  <si>
    <t>Gestão Frota Veic. Sec. Mun. Saúde: Obrig. Trib. e Contrib.</t>
  </si>
  <si>
    <t>02 - Fundo Municipal de Saúde – Programas Municipais</t>
  </si>
  <si>
    <t>Aq. de Eq. e Mat. Perm. U.B.S.: Obrig. Trib. e Contrib.</t>
  </si>
  <si>
    <t>Aq. de Eq. e Mat. Perm. U.B.S.: Material de Consumo</t>
  </si>
  <si>
    <t>Aq. de Eq. e Mat. Perm. U.B.S.: Servicos - Pessoa Fisica</t>
  </si>
  <si>
    <t>Aq. de Eq. e Mat. Perm. U.B.S.: Servicos - Pessoa Juridica</t>
  </si>
  <si>
    <t>Aq. de Eq. e Mat. Perm. U.B.S.: Eq. e Mat. Permanente</t>
  </si>
  <si>
    <t>Const., Ref. e Ampl Pred. U.B.S.: Obrig. Trib. e Contrib.</t>
  </si>
  <si>
    <t>Const., Ref. e Ampl Pred. U.B.S.:  Material de Consumo</t>
  </si>
  <si>
    <t>Const., Ref. e Ampl Pred. U.B.S.:  Servicos - Pessoa Fisica</t>
  </si>
  <si>
    <t>Const., Ref. e Ampl Pred. U.B.S.:  Servicos - Pessoa Juridica</t>
  </si>
  <si>
    <t>Const., Ref. e Ampl Pred. U.B.S.:   Obras e Instalações</t>
  </si>
  <si>
    <t>Aq. e Moder. Frota Veículos U.B.S.: Obrig. Trib. e Contrib.</t>
  </si>
  <si>
    <t>Aq. e Moder. Frota Veículos U.B.S.: Servicos - Pessoa Juridica</t>
  </si>
  <si>
    <t>Aq. e Moder. Frota Veículos U.B.S.: Servicos - Pessoa Fisica</t>
  </si>
  <si>
    <t>Aq. e Moder. Frota Veículos U.B.S.: Material de Consumo</t>
  </si>
  <si>
    <t>Aq. e Moder. Frota Veículos U.B.S.: Aq. Veículos e Eq.</t>
  </si>
  <si>
    <t>Aq. de Eq. e Sist. de Inform. U.B.S.: Obrig. Trib. e Contrib.</t>
  </si>
  <si>
    <t>Aq. de Eq. e Sist. de Inform. U.B.S.:  Material de Consumo</t>
  </si>
  <si>
    <t>Aq. de Eq. e Sist. de Inform. U.B.S.: Servicos - Pessoa Fisica</t>
  </si>
  <si>
    <t>Aq. de Eq. e Sist. de Inform. U.B.S.:  Servicos - Pessoa Juridica</t>
  </si>
  <si>
    <t>Aq. de Eq. e Sist. de Inform. U.B.S.:  Aq. de Eq. e Sistemas de Informática</t>
  </si>
  <si>
    <t>Folha PGTº  U.B.S.: Servidores Contratados</t>
  </si>
  <si>
    <t>Folha PGTº  U.B.S.: Obrigações Patronais</t>
  </si>
  <si>
    <t>Folha PGTº  U.B.S.: Horas Extras</t>
  </si>
  <si>
    <t xml:space="preserve">Folha PGTº  U.B.S.:  Diárias </t>
  </si>
  <si>
    <t>Manutenção U.B.S.:  Material de Consumo</t>
  </si>
  <si>
    <t>Manutenção U.B.S.:  Material Distribuição Gratuita</t>
  </si>
  <si>
    <t>Manutenção U.B.S.:  Despesas Com Locomoção</t>
  </si>
  <si>
    <t>Manutenção U.B.S.:  Servicos de Consultoria</t>
  </si>
  <si>
    <t>Manutenção U.B.S.:  Servicos - Pessoa Fisica</t>
  </si>
  <si>
    <t>Manutenção U.B.S.:  Servicos - Pessoa Juridica</t>
  </si>
  <si>
    <t>Manutenção U.B.S.:  Obrig.Trib. e Contrib.</t>
  </si>
  <si>
    <t>Folha PGTº U.B.S.:  Auxilio-Transporte</t>
  </si>
  <si>
    <t>Manutenção U.B.S.: Ressarcimento de Despesas</t>
  </si>
  <si>
    <t>Manutenção U.B.S.:  Material de Consumo - Aq. P/Consórcio</t>
  </si>
  <si>
    <t>301 Atenção Básica</t>
  </si>
  <si>
    <t>600200</t>
  </si>
  <si>
    <t>600300</t>
  </si>
  <si>
    <t>600400</t>
  </si>
  <si>
    <t>601200</t>
  </si>
  <si>
    <t>601300</t>
  </si>
  <si>
    <t>601400</t>
  </si>
  <si>
    <t>602200</t>
  </si>
  <si>
    <t>602300</t>
  </si>
  <si>
    <t>602400</t>
  </si>
  <si>
    <t>603200</t>
  </si>
  <si>
    <t>603300</t>
  </si>
  <si>
    <t>603400</t>
  </si>
  <si>
    <t>871 Manutenção da Unidade Básica de Saúde</t>
  </si>
  <si>
    <t>610000</t>
  </si>
  <si>
    <t>610200</t>
  </si>
  <si>
    <t>610100</t>
  </si>
  <si>
    <t>610300</t>
  </si>
  <si>
    <t>610400</t>
  </si>
  <si>
    <t>610800</t>
  </si>
  <si>
    <t>610900</t>
  </si>
  <si>
    <t>611000</t>
  </si>
  <si>
    <t>611100</t>
  </si>
  <si>
    <t>611200</t>
  </si>
  <si>
    <t>611300</t>
  </si>
  <si>
    <t>611400</t>
  </si>
  <si>
    <t>Folha PGTº  U.B.S.: Serv. Efetivos., F.G., C.C.</t>
  </si>
  <si>
    <t>Gasolina P/Veiculo Placas IVY 8354 - Estoque</t>
  </si>
  <si>
    <t>Materiais Diversos - Aq. Imediata</t>
  </si>
  <si>
    <t>Materiais Diversos - Estoque</t>
  </si>
  <si>
    <t>Gasolina P/Veiculo Placas IVY 8354 - Aq. Imediata</t>
  </si>
  <si>
    <t>Material e Peças P/ Veiculo Placas ITP 0262 - Estoque</t>
  </si>
  <si>
    <t>Lubrificantes P/ Veiculo ITP 0262 - Estoque</t>
  </si>
  <si>
    <t>Oleo Diesel P/Veiculo IOY 7726 - Aq. Imediata</t>
  </si>
  <si>
    <t>Lubrificantes P/Veiculo Placas IOY 7726 - Aq. Imediata</t>
  </si>
  <si>
    <t>Lubrificantes P/ Veiculo ITP 0262 - Aq. Imediata</t>
  </si>
  <si>
    <t>Gasolina P/Veiculo Placas IRS 4010 - Estoque</t>
  </si>
  <si>
    <t>Material e Peças Veiculo Placas IVP 4366 - Aq. Imediata</t>
  </si>
  <si>
    <t>Material e Peças Veiculo Placas IVP 4366 - Estoque</t>
  </si>
  <si>
    <t>Lubrificantes P/ Veiculo Placas IVP 4366 - Estoque</t>
  </si>
  <si>
    <t>Lubrificantes P/ Veiculo IRH 9777 - Aq. Imediata</t>
  </si>
  <si>
    <t>Lubrificantes P/ Veiculo IRH 9777 - Estoque</t>
  </si>
  <si>
    <t>Material e Peças P/Veiculo IRH 9777 - Estoque</t>
  </si>
  <si>
    <t>Material e Peças P/ Veiculo Placas ITP 0262 - Aq. Imediata</t>
  </si>
  <si>
    <t>Lubrificantes P/ Veiculo Placas IWC 5251 - Aq. Imediata</t>
  </si>
  <si>
    <t>Material e Peças P/ Veiculo Placas IWC 5251 - Aq. Imediata</t>
  </si>
  <si>
    <t>Material e Peças P/ Veiculo Placas IWC 5251 - Estoque</t>
  </si>
  <si>
    <t>Lubrificantes P/ Veiculo Placas IWC 5251 - Estoque</t>
  </si>
  <si>
    <t>Material e Peças P/Veiculo IRH 9777 - Aq. Imediata</t>
  </si>
  <si>
    <t>Material e Peças P/ Veiculo IWE 4544 - Estoque</t>
  </si>
  <si>
    <t>Material e Peças P/ Veiculo IWE 4544 - Aq. Imediata</t>
  </si>
  <si>
    <t>Gasolina P/Veiculo Placas ITP 0262 - Aq. Imediata</t>
  </si>
  <si>
    <t>Gasolina P/Veiculo Placas ITP 0262 - Estoque</t>
  </si>
  <si>
    <t>Gasolina P/Veiculo Placas IVP 4366 - Estoque</t>
  </si>
  <si>
    <t>Lubrificantes P/ Veiculo Placas IWE 4544 - Estoque</t>
  </si>
  <si>
    <t>Oleo Diesel P/Veiculo IOY 7726 - Estoque</t>
  </si>
  <si>
    <t>Lubrificantes P/ Veiculo Placas IVP 4366 - Aq. Imediata</t>
  </si>
  <si>
    <t>Gasolina P/Veiculo Placas IVP 4366 - Aq. Imediata</t>
  </si>
  <si>
    <t>Oleo Diesel P/Veiculo IEW 4544 - Estoque</t>
  </si>
  <si>
    <t>Oleo Diesel P/Veiculo IEW 4544 - Aq. Imediata</t>
  </si>
  <si>
    <t>Oleo Diesel P/Veiculo IWC 5251 - Estoque</t>
  </si>
  <si>
    <t>Lubrificantes P/ Veiculo Placas IWE 4544 - Aq. Imediata</t>
  </si>
  <si>
    <t>Oleo Diesel P/Veiculo Placas IRH 9777 - Estoque</t>
  </si>
  <si>
    <t>Material e peças P/Veiculo Placas IOY 7726 - Aq. Imediata</t>
  </si>
  <si>
    <t>Material e peças P/Veiculo Placas IOY 7726 - Estoque</t>
  </si>
  <si>
    <t>Oleo Diesel P/Veiculo Placas IRH 9777 - Aq. Imediata</t>
  </si>
  <si>
    <t>Oleo Diesel P/Veiculo IWC 5251 - Aq. Imediata</t>
  </si>
  <si>
    <t>Serviço de Lavagem e Lubrificacao IOY 7726</t>
  </si>
  <si>
    <t>Seguros Veiculo IWC 5251</t>
  </si>
  <si>
    <t>Serviço de Lavagem e Lubrificacao IRH 9777</t>
  </si>
  <si>
    <t>Seguros Veiculo ITP 0262</t>
  </si>
  <si>
    <t>Serviço de Lavagem e Lubrificacao IWE 4544</t>
  </si>
  <si>
    <t>Serviço de Lavagem e Lubrificacao IVY 8354</t>
  </si>
  <si>
    <t>Seguros Veiculo IRH 9777</t>
  </si>
  <si>
    <t>Serviço de Lavagem e Lubrificacao IVP4366</t>
  </si>
  <si>
    <t>Seguros Veiculo  IOB 6926</t>
  </si>
  <si>
    <t>Seguros e Licenciamento Veículo IWE 4544</t>
  </si>
  <si>
    <t>Seguros e Licenciamento Veículo IOY 7726</t>
  </si>
  <si>
    <t>Serviço de Lavagem e Lubrificacao IWC 5251</t>
  </si>
  <si>
    <t>Serviço de Lavagem e Lubrificacao ITP 0262</t>
  </si>
  <si>
    <t>Manutenção Veiculo Placas IWC 5251</t>
  </si>
  <si>
    <t>Manutenção Veiculo Placas IWE 4544</t>
  </si>
  <si>
    <t>Manutenção Veiculo Placa IOY 7726</t>
  </si>
  <si>
    <t>Manutenção Veiculo Placa ITP 0262</t>
  </si>
  <si>
    <t>Manutenção Veiculo Placa IRH 9777</t>
  </si>
  <si>
    <t>INSS PATRONAL S/SERV. P. JURIDICA E MEI VEICULO IVY 8354</t>
  </si>
  <si>
    <t>INSS PATRONAL S/SERV. P. JURIDICA E MEI VEICULO IWC 5251</t>
  </si>
  <si>
    <t>INSS PATRONAL S/SERV. P. JURIDICA E MEI VEICULO IRH 9777</t>
  </si>
  <si>
    <t>INSS PATRONAL S/SERV. P. JURIDICA E MEI VEICULO IEW 4544</t>
  </si>
  <si>
    <t>INSS PATRONAL S/SERV. P. JURIDICA E MEI VEICULO IOY 7726</t>
  </si>
  <si>
    <t>INSS PATRONAL S/SERV. P. JURIDICA E MEI VEICULO IWL 3346</t>
  </si>
  <si>
    <t>INSS PATRONAL S/SERV. P. JURIDICA E MEI VEICULO IVP 4366</t>
  </si>
  <si>
    <t>INSS PATRONAL S/SERV. P. JURIDICA E MEI VEICULO ITP 0262</t>
  </si>
  <si>
    <t>Lubrificantes P/Veiculo IVP 4366 - Consorcio</t>
  </si>
  <si>
    <t>Lubrificantes P/Veiculo ITP 0262 - Consorcio</t>
  </si>
  <si>
    <t>Folha PGTº  Farmácia Municipal: Servidores Contratados</t>
  </si>
  <si>
    <t>Folha PGTº  Farmácia Municipal: Serv. Efetivos., F.G., C.C.</t>
  </si>
  <si>
    <t>Folha PGTº  Farmácia Municipal: Obrigações Patronais</t>
  </si>
  <si>
    <t>Folha PGTº  Farmácia Municipal: Horas Extras</t>
  </si>
  <si>
    <t xml:space="preserve">Folha PGTº  Farmácia Municipal: Diárias </t>
  </si>
  <si>
    <t>Farmácia Municipal: Material P/Distribuição Gratuita</t>
  </si>
  <si>
    <t>612000</t>
  </si>
  <si>
    <t>612100</t>
  </si>
  <si>
    <t>612200</t>
  </si>
  <si>
    <t>612300</t>
  </si>
  <si>
    <t>612400</t>
  </si>
  <si>
    <t>613100</t>
  </si>
  <si>
    <t>613200</t>
  </si>
  <si>
    <t>613300</t>
  </si>
  <si>
    <t>613400</t>
  </si>
  <si>
    <t>Folha PGTº  Farmácia Municipal: Auxilio-Transporte</t>
  </si>
  <si>
    <t>Farmácia Municipal: Material de Consumo - Aq. P/Consórcio</t>
  </si>
  <si>
    <t>877 ATENDIMENTO ODONTOLÓGICO</t>
  </si>
  <si>
    <t>Folha PGTº  Atend. Odontológico: Servidores Contratados</t>
  </si>
  <si>
    <t>Folha PGTº  Atend. Odontológico: Serv. Efetivos., F.G., C.C.</t>
  </si>
  <si>
    <t>Folha PGTº  Atend. Odontológico: Obrigações Patronais</t>
  </si>
  <si>
    <t>Folha PGTº  Atend. Odontológico: Horas Extras</t>
  </si>
  <si>
    <t xml:space="preserve">Atend. Odontológico: Diárias </t>
  </si>
  <si>
    <t>Atend. Odontológico: Material De Consumo</t>
  </si>
  <si>
    <t>Atend. Odontológico: Material P/Distribuição Gratuita</t>
  </si>
  <si>
    <t>Folha PGTº  Atend. Odontológico: Auxilio-Transporte</t>
  </si>
  <si>
    <t>Atend. Odontológico: Ressarcimento de Despesas</t>
  </si>
  <si>
    <t>614000</t>
  </si>
  <si>
    <t>614100</t>
  </si>
  <si>
    <t>614200</t>
  </si>
  <si>
    <t>614300</t>
  </si>
  <si>
    <t>614400</t>
  </si>
  <si>
    <t>614700</t>
  </si>
  <si>
    <t>614800</t>
  </si>
  <si>
    <t>Atend. Odontológico: Obras e Instalações</t>
  </si>
  <si>
    <t>614900</t>
  </si>
  <si>
    <t>615000</t>
  </si>
  <si>
    <t>Atend. Odontológico: Aq. de Eq. e Mat. Perm.</t>
  </si>
  <si>
    <t>616000</t>
  </si>
  <si>
    <t>616100</t>
  </si>
  <si>
    <t>Atend. a População P/Consórcio: Material Consumo</t>
  </si>
  <si>
    <t>Atend. a População P/Consórcio:  Serviços Médicos, Amb. e  Hospitalares</t>
  </si>
  <si>
    <t>888 PROMOÇÃO E REALIZAÇÃO DE PRÉ-NATAL</t>
  </si>
  <si>
    <t>886 E.S.F. MUNICIPAL</t>
  </si>
  <si>
    <t>Folha PGTº  Atend. Pré-Natal: Servidores Contratados</t>
  </si>
  <si>
    <t>Folha PGTº  Atend. Pré-Natal:  Serv. Efetivos., F.G., C.C.</t>
  </si>
  <si>
    <t>Folha PGTº  Atend. Pré-Natal: Obrigações Patronais</t>
  </si>
  <si>
    <t xml:space="preserve">Atend. Pré-Natal: Diárias </t>
  </si>
  <si>
    <t>Folha PGTº  Atend. Pré-Natal: Horas Extras</t>
  </si>
  <si>
    <t>Atend. Pré-Natal: Material De Consumo</t>
  </si>
  <si>
    <t>Atend. Pré-Natal: Ressarcimento de Despesas</t>
  </si>
  <si>
    <t>Atend. Pré-Natal: Aq. de Eq. e Mat. Perm.</t>
  </si>
  <si>
    <t>302 Assistência Hospitalar e Ambulatorial</t>
  </si>
  <si>
    <t>304 Vigilância Sanitária</t>
  </si>
  <si>
    <t>883 VIGILÂNCIA SANITÁRIA</t>
  </si>
  <si>
    <t>884 VIGILÂNCIA EPIDEMIOLÓGICA</t>
  </si>
  <si>
    <t>885 CAMPANHA DE VACINAÇÃO</t>
  </si>
  <si>
    <t>Folha PGTº  Vig. Sanitária: Servidores Contratados</t>
  </si>
  <si>
    <t>Folha PGTº  Vig. Sanitária: Serv. Efetivos., F.G., C.C.</t>
  </si>
  <si>
    <t>Folha PGTº  Vig. Sanitária: Obrigações Patronais</t>
  </si>
  <si>
    <t>Folha PGTº  Vig. Sanitária: Horas Extras</t>
  </si>
  <si>
    <t>Atend. Vig. Sanitária: Material De Consumo</t>
  </si>
  <si>
    <t>Atend. Vig. Sanitária: Material De Informatica - Estoque</t>
  </si>
  <si>
    <t>Atend. Vig. Sanitária: Material De Informatica - Aq. Imediata</t>
  </si>
  <si>
    <t>Atend. Vig. Sanitária: Material P/Distribuição Gratuita</t>
  </si>
  <si>
    <t>Folha PGTº  Vig. Sanitária:  Auxilio-Transporte</t>
  </si>
  <si>
    <t>Atend. Vig. Sanitária: Ressarcimento de Despesas</t>
  </si>
  <si>
    <t>Atend. Vig. Sanitária: Aq. de Eq. e Mat. Perm.</t>
  </si>
  <si>
    <t>Folha PGTº  Atend. Pré-Natal: Auxilio-Transporte</t>
  </si>
  <si>
    <t>Folha PGTº  Vig. Epidemiológica: Servidores Contratados</t>
  </si>
  <si>
    <t>Folha PGTº  Vig. Epidemiológica: Obrigações Patronais</t>
  </si>
  <si>
    <t>Folha PGTº  Vig. Epidemiológica: Serv. Efetivos., F.G., C.C.</t>
  </si>
  <si>
    <t>Folha PGTº  Vig. Epidemiológica: Horas Extras</t>
  </si>
  <si>
    <t>Vig. Epidemiológica: Material De Informatica - Estoque</t>
  </si>
  <si>
    <t>Vig. Epidemiológica: Material De Informatica - Aq. Imediata</t>
  </si>
  <si>
    <t>Vig. Epidemiológica:  Material P/Distribuição Gratuita</t>
  </si>
  <si>
    <t>Folha PGTº  Vig. Epidemiológica: Auxilio-Transporte</t>
  </si>
  <si>
    <t>Vig. Epidemiológica:  Ressarcimento de Despesas</t>
  </si>
  <si>
    <t>Vig. Epidemiológica:  Aq. de Eq. e Mat. Perm.</t>
  </si>
  <si>
    <t>Vig. Epidemiológica: Aq. Mat. P/Consórcio</t>
  </si>
  <si>
    <t>Atend. Vig. Sanitária: Aq. Mat. P/Consórcio</t>
  </si>
  <si>
    <t>305 Vigilância Epidemiológica</t>
  </si>
  <si>
    <t xml:space="preserve">Campanha de Vacinação: Diárias </t>
  </si>
  <si>
    <t>Campanha de Vacinação:  Material De Consumo</t>
  </si>
  <si>
    <t>Campanha de Vacinação:  Material P/Distribuição Gratuita</t>
  </si>
  <si>
    <t>Campanha de Vacinação: Aq. Mat. P/Consórcio</t>
  </si>
  <si>
    <t>Campanha de Vacinação: Aq. de Eq. e Mat. Perm.</t>
  </si>
  <si>
    <t xml:space="preserve">Vig. Epidemiológica: Diárias </t>
  </si>
  <si>
    <t>Vig. Epidemiológica:  Material De Consumo</t>
  </si>
  <si>
    <t xml:space="preserve">Vig. Sanitária: Diárias </t>
  </si>
  <si>
    <t xml:space="preserve">Atend. Vig. Sanitária: Diárias </t>
  </si>
  <si>
    <t>917 Atendimento Nutricional e Combate a Obesidade</t>
  </si>
  <si>
    <t>918 Atendimento Psicológico e Saúde Mental</t>
  </si>
  <si>
    <t>303 Suporte Profilático e Terapêutico</t>
  </si>
  <si>
    <t>Folha PGTº  Atend. Psic. e Saúde Mental: Servidores Contratados</t>
  </si>
  <si>
    <t>Folha PGTº  Atend. Psic. e Saúde Mental: Serv. Efetivos., F.G., C.C.</t>
  </si>
  <si>
    <t>Folha PGTº  Atend. Psic. e Saúde Mental: Obrigações Patronais</t>
  </si>
  <si>
    <t>Folha PGTº  Atend. Psic. e Saúde Mental: Horas Extras</t>
  </si>
  <si>
    <t xml:space="preserve">Atend. Psic. e Saúde Mental: Diárias </t>
  </si>
  <si>
    <t>Atend. Psic. e Saúde Mental: Material De Consumo</t>
  </si>
  <si>
    <t>Atend. Psic. e Saúde Mental: Ressarcimento de Despesas</t>
  </si>
  <si>
    <t>Atend. Psic. e Saúde Mental: Aq. Mat. P/Consórcio</t>
  </si>
  <si>
    <t>Atend. Psic. e Saúde Mental: Aq. de Eq. e Mat. Perm.</t>
  </si>
  <si>
    <t>Folha PGTº  Atend. Psic. e Saúde Mental: Auxilio-Transporte</t>
  </si>
  <si>
    <t>Atend. Psic. e Saúde Mental: Material P/Distribuição Gratuita</t>
  </si>
  <si>
    <t xml:space="preserve">Man. Conselho Mun. de Saúde: Diárias </t>
  </si>
  <si>
    <t>Man. Conselho Mun. de Saúde: Material De Consumo</t>
  </si>
  <si>
    <t>Man. Conselho Mun. de Saúde: Material P/Distribuição Gratuita</t>
  </si>
  <si>
    <t>Man. Conselho Mun. de Saúde: Ressarcimento de Despesas</t>
  </si>
  <si>
    <t>Man. Conselho Mun. de Saúde: Aq. Mat. P/Consórcio</t>
  </si>
  <si>
    <t>Man. Conselho Mun. de Saúde: Aq. de Eq. e Mat. Perm.</t>
  </si>
  <si>
    <t>Folha PGTº Atend. Nutric. e Comb. a Obesid.: Servidores Contratados</t>
  </si>
  <si>
    <t>Folha PGTº  Atend. Nutric. e Comb. a Obesid.: Serv. Efetivos., F.G., C.C.</t>
  </si>
  <si>
    <t>Folha PGTº Atend. Nutric. e Comb. a Obesid.: Obrigações Patronais</t>
  </si>
  <si>
    <t>Folha PGTº Atend. Nutric. e Comb. a Obesid.: Horas Extras</t>
  </si>
  <si>
    <t xml:space="preserve">Atend. Nutric. e Comb. a Obesid.: Diárias </t>
  </si>
  <si>
    <t>Atend. Nutric. e Comb. a Obesid.: Material De Consumo</t>
  </si>
  <si>
    <t>Atend. Nutric. e Comb. a Obesid.: Material P/Distribuição Gratuita</t>
  </si>
  <si>
    <t>Folha PGTº Atend. Nutric. e Comb. a Obesid.: Auxilio-Transporte</t>
  </si>
  <si>
    <t>Atend. Nutric. e Comb. a Obesid.: Ressarcimento de Despesas</t>
  </si>
  <si>
    <t>Atend. Nutric. e Comb. a Obesid.: Aq. Mat. P/Consórcio</t>
  </si>
  <si>
    <t>Atend. Nutric. e Comb. a Obesid.: Aq. de Eq. e Mat. Perm.</t>
  </si>
  <si>
    <t>03 - Fundo Municipal de Saúde – Programas Estaduais</t>
  </si>
  <si>
    <t>Cons. Pop. P/Aq. Mat. Gerador: Devolução de Saldo</t>
  </si>
  <si>
    <t>Cons. Pop. P/Aq. de Eq. : Devolução de Saldo</t>
  </si>
  <si>
    <t>Cons. Pop. P/Aq. Mat. Gerador: Material de Consumo</t>
  </si>
  <si>
    <t>Cons. Pop. P/Aq. de Eq. : Material de Consumo</t>
  </si>
  <si>
    <t>Cons. Pop. P/Aq. Mat. Gerador: Servicos - Pessoa Fisica</t>
  </si>
  <si>
    <t>Cons. Pop. P/Aq. de Eq. : Servicos - Pessoa Fisica</t>
  </si>
  <si>
    <t>Cons. Pop. P/Aq. Mat. Gerador: Servicos - Pessoa Juridica</t>
  </si>
  <si>
    <t>Cons. Pop. P/Aq. de Eq. : Servicos - Pessoa Juridica</t>
  </si>
  <si>
    <t>Cons. Pop. P/Aq. Mat. Gerador: Obrig.Trib. e Contrib.</t>
  </si>
  <si>
    <t>Cons. Pop. P/Aq. de Eq. : Obrig.Trib. e Contrib.</t>
  </si>
  <si>
    <t>Cons. Pop. P/Aq. Mat. Gerador: Aq. de Eq. e Mat. Permanente</t>
  </si>
  <si>
    <t>Cons. Pop. P/Aq. de Eq. UBS: Aq. de Eq. e Mat. Permanente</t>
  </si>
  <si>
    <t xml:space="preserve">919 Convênio Consulta Popular: Aq. de Equip. </t>
  </si>
  <si>
    <t xml:space="preserve">920 Convênio Consulta Popular: Obras e Instalações </t>
  </si>
  <si>
    <t>922 Manut. e Apoio a Portadores de Diábetes</t>
  </si>
  <si>
    <t>925 Piso Atenção Básica Fixo</t>
  </si>
  <si>
    <t>926 Convenios União P/Aq. de Equipamentos</t>
  </si>
  <si>
    <t>927 Convênios União P/Obras e Instalações</t>
  </si>
  <si>
    <t>Cons. Pop. P/Obras e Instalações: Devolução de Saldo</t>
  </si>
  <si>
    <t>Cons. Pop. P/Reforma U.B.S.: Obrig.Trib. e Contrib.</t>
  </si>
  <si>
    <t>Cons. Pop. P/Obras e Instalações: Obrig.Trib. e Contrib.</t>
  </si>
  <si>
    <t>Cons. Pop. P/Reforma U.B.S.: Devolução de Saldo</t>
  </si>
  <si>
    <t>Cons. Pop. P/Reforma U.B.S.: Material de Consumo</t>
  </si>
  <si>
    <t>Cons. Pop. P/Reforma U.B.S.: Servicos - Pessoa Fisica</t>
  </si>
  <si>
    <t>Cons. Pop. P/Reforma U.B.S.:  Servicos - Pessoa Juridica</t>
  </si>
  <si>
    <t>Cons. Pop. P/Obras e Instalações: Material de Consumo</t>
  </si>
  <si>
    <t>Cons. Pop. P/Obras e Instalações: Servicos - Pessoa Fisica</t>
  </si>
  <si>
    <t>Cons. Pop. P/Obras e Instalações: Servicos - Pessoa Juridica</t>
  </si>
  <si>
    <t>Assist. Farm. básica: Material de Consumo</t>
  </si>
  <si>
    <t>Assist. Farm. básica: Serv. P. Jurídica</t>
  </si>
  <si>
    <t>Assist. Farm. básica: Material P/Distribuição Gratuita</t>
  </si>
  <si>
    <t>Apoio a Port. de Diabétes: Material de Consumo</t>
  </si>
  <si>
    <t>Apoio a Port. de Diabétes: Material P/Distribuição Gratuita</t>
  </si>
  <si>
    <t>Apoio a Port. de Diabétes: Serv. P. Jurídica</t>
  </si>
  <si>
    <t>Folha PGTº  Saúde da Família: Servidores Contratados</t>
  </si>
  <si>
    <t>Folha PGTº  Saúde da Família:  Serv. Efetivos., F.G., C.C.</t>
  </si>
  <si>
    <t>Folha PGTº  Saúde da Família: Obrigações Patronais</t>
  </si>
  <si>
    <t>Saúde da Família: Material De Consumo</t>
  </si>
  <si>
    <t xml:space="preserve">Saúde da Família: Diárias </t>
  </si>
  <si>
    <t>Folha PGTº  Saúde da Família: Horas Extras</t>
  </si>
  <si>
    <t>Saúde da Família: Material P/Distribuição Gratuita</t>
  </si>
  <si>
    <t>Folha PGTº  Saúde da Família: Auxilio-Transporte</t>
  </si>
  <si>
    <t>Saúde da Família: Ressarcimento de Despesas</t>
  </si>
  <si>
    <t>Saúde da Família: Aq. de Eq. e Mat. Perm.</t>
  </si>
  <si>
    <t xml:space="preserve">Piso Atenção Básica: Diárias </t>
  </si>
  <si>
    <t>Piso Atenção Básica: Material De Consumo</t>
  </si>
  <si>
    <t>Piso Atenção Básica: Material P/Distribuição Gratuita</t>
  </si>
  <si>
    <t>Piso Atenção Básica: Ressarcimento de Despesas</t>
  </si>
  <si>
    <t>Piso Atenção Básica: Obras e Instalações</t>
  </si>
  <si>
    <t>Piso Atenção Básica: Aq. de Mat. P/Consórcio</t>
  </si>
  <si>
    <t>Piso Atenção Básica: Obrig. Trib. e Contrib.</t>
  </si>
  <si>
    <t>Piso Atenção Básica: Serviços P. Jurídica</t>
  </si>
  <si>
    <t>Piso Atenção Básica: Serviços P. Física</t>
  </si>
  <si>
    <t>Saúde da Família: Serviços P. Física</t>
  </si>
  <si>
    <t>Saúde da Família: Serviços P. Jurídica</t>
  </si>
  <si>
    <t>Saúde da Família: Obrig. Trib. e Contrib.</t>
  </si>
  <si>
    <t>Saúde da Família: Aq. de Mat. P/Consórcio</t>
  </si>
  <si>
    <t>Atend. Psic. e Saúde Mental: Serviços P. Física</t>
  </si>
  <si>
    <t>Atend. Psic. e Saúde Mental: Serviços P. Jurídica</t>
  </si>
  <si>
    <t>Atend. Psic. e Saúde Mental: Obrig. Trib. e Contrib.</t>
  </si>
  <si>
    <t>Vig. Epidemiológica: Serviços P. Física</t>
  </si>
  <si>
    <t>Vig. Epidemiológica: Serviços P. Jurídica</t>
  </si>
  <si>
    <t>Vig. Epidemiológica: Obrig. Trib. e Contrib.</t>
  </si>
  <si>
    <t>Vig. Epidemiológica: Ressarcimento de Despesas</t>
  </si>
  <si>
    <t>Cons. Pop. P/Aq.Veículos: Obrig.Trib. e Contrib.</t>
  </si>
  <si>
    <t>Cons. Pop. P/Aq.Veículos: Devolução de Saldo</t>
  </si>
  <si>
    <t>Cons. Pop. P/Aq.Veículos: Material de Consumo</t>
  </si>
  <si>
    <t>Cons. Pop. P/Aq.Veículos:  Servicos - Pessoa Fisica</t>
  </si>
  <si>
    <t>Cons. Pop. P/Aq.Veículos: Servicos - Pessoa Juridica</t>
  </si>
  <si>
    <t>Cons. Pop. P/Aq.Veículos:  Servicos - Pessoa Juridica</t>
  </si>
  <si>
    <t>Cons. Pop. P/Aq.Veículos: Aq. de Eq. e Mat. Permanente</t>
  </si>
  <si>
    <t>Cons. Pop. P/Aq. Van: Obrig.Trib. e Contrib.</t>
  </si>
  <si>
    <t>Cons. Pop. P/Aq. Van: Devolução de Saldo</t>
  </si>
  <si>
    <t>Cons. Pop. P/Aq. Van: Material de Consumo</t>
  </si>
  <si>
    <t>Cons. Pop. P/Aq. Van: Servicos - Pessoa Fisica</t>
  </si>
  <si>
    <t>Cons. Pop. P/Aq. Van: Servicos - Pessoa Juridica</t>
  </si>
  <si>
    <t>Cons. Pop. P/Aq. Van: Aq. de Eq. e Mat. Permanente</t>
  </si>
  <si>
    <t>04 -  Fundo Municipal de Saúde – Programas Federais</t>
  </si>
  <si>
    <t>930 Cadastro SUS</t>
  </si>
  <si>
    <t>931 Farmácia Básica</t>
  </si>
  <si>
    <t xml:space="preserve">PAB FIXO: Diárias </t>
  </si>
  <si>
    <t>PAB FIXO: Material De Consumo</t>
  </si>
  <si>
    <t>PAB FIXO: Material P/Distribuição Gratuita</t>
  </si>
  <si>
    <t>PAB FIXO: Serviços P. Física</t>
  </si>
  <si>
    <t>PAB FIXO: Serviços P. Jurídica</t>
  </si>
  <si>
    <t>PAB FIXO: Obrig. Trib. e Contrib.</t>
  </si>
  <si>
    <t>PAB FIXO: Ressarcimento de Despesas</t>
  </si>
  <si>
    <t>PAB FIXO: Aq. Mat. P/Consórcio</t>
  </si>
  <si>
    <t>Conv. União P/Aq. de Equip.: Obrig.Trib. e Contrib.</t>
  </si>
  <si>
    <t>Conv. União P/Aq. de Equip.: Devolução de Saldo</t>
  </si>
  <si>
    <t>Conv. União P/Aq. de Equip.: Material de Consumo</t>
  </si>
  <si>
    <t>Conv. União P/Aq. de Equip.: Servicos - Pessoa Fisica</t>
  </si>
  <si>
    <t>Conv. União P/Aq. de Equip.: Aq. de Eq. e Mat. Permanente</t>
  </si>
  <si>
    <t>Conv. União P/Aq. de Equip.: Servicos - Pessoa Juridica</t>
  </si>
  <si>
    <t>Conv. União P/Obras e Instalações: Obrig.Trib. e Contrib.</t>
  </si>
  <si>
    <t>Conv. União P/Obras e Instalações: Devolução de Saldo</t>
  </si>
  <si>
    <t>Conv. União P/Obras e Instalações: Material de Consumo</t>
  </si>
  <si>
    <t>Conv. União P/Obras e Instalações: Servicos - Pessoa Fisica</t>
  </si>
  <si>
    <t>Conv. União P/Obras e Instalações: Servicos - Pessoa Juridica</t>
  </si>
  <si>
    <t>Conv. União P/Obras e Instalações: Obras e Instalações</t>
  </si>
  <si>
    <t>Conv. União P/Aq. de Veículos: Obrig.Trib. e Contrib.</t>
  </si>
  <si>
    <t>Conv. União P/Aq. de Veículos:  Devolução de Saldo</t>
  </si>
  <si>
    <t>Conv. União P/Aq. de Veículos:  Material de Consumo</t>
  </si>
  <si>
    <t>Conv. União P/Aq. de Veículos:  Servicos - Pessoa Fisica</t>
  </si>
  <si>
    <t>Conv. União P/Aq. de Veículos: Servicos - Pessoa Juridica</t>
  </si>
  <si>
    <t>Conv. União P/Aq. de Veículos: Aq. De Veículos</t>
  </si>
  <si>
    <t>Cadastro SUS:  Material de Consumo</t>
  </si>
  <si>
    <t>Farmácia Básica: Servicos - Pessoa Juridica</t>
  </si>
  <si>
    <t>Farmácia Básica: Material de Consumo</t>
  </si>
  <si>
    <t>Farmácia Básica: Material de Distrib. Gratuita</t>
  </si>
  <si>
    <t>Folha PGTº  Vig. Sanitária:  Obrigações Patronais</t>
  </si>
  <si>
    <t>Vig. Sanitária: Material De Consumo</t>
  </si>
  <si>
    <t>Vig. Sanitária: Material P/Distribuição Gratuita</t>
  </si>
  <si>
    <t>Vig. Sanitária: Serviços P. Física</t>
  </si>
  <si>
    <t>Vig. Sanitária: Serviços P. Jurídica</t>
  </si>
  <si>
    <t>Vig. Sanitária: Obrig. Trib. e Contrib.</t>
  </si>
  <si>
    <t>Folha PGTº  Vig. Sanitária: Auxilio-Transporte</t>
  </si>
  <si>
    <t>Vig. Sanitária: Ressarcimento de Despesas</t>
  </si>
  <si>
    <t>Vig. Sanitária: Aq. Mat. P/Consórcio</t>
  </si>
  <si>
    <t>Vig. Sanitária: Aq. de Eq. e Mat. Perm.</t>
  </si>
  <si>
    <t>Gestão, Coordenação e Planej. do Conselho Mun. de Saúde</t>
  </si>
  <si>
    <t>874 Estratégia Saúde da Família Chuvisquense(ESFC)</t>
  </si>
  <si>
    <t>Folha PGTº  Est. Saúde Familia Chuv. ESFC: Servidores Contratados</t>
  </si>
  <si>
    <t>Folha PGTº  Est. Saúde Familia Chuv. ESFC: Serv. Efetivos., F.G., C.C.</t>
  </si>
  <si>
    <t>Folha PGTº  Est. Saúde Familia Chuv. ESFC:  Obrigações Patronais</t>
  </si>
  <si>
    <t>Folha PGTº  Est. Saúde Familia Chuv. ESFC:  Horas Extras</t>
  </si>
  <si>
    <t>Est. Saúde Familia Chuv. ESFC:  Auxilio-Transporte</t>
  </si>
  <si>
    <t xml:space="preserve">Est. Saúde Familia Chuv. ESFC: Diárias </t>
  </si>
  <si>
    <t>Est. Saúde Familia Chuv. ESFC: Material P/Distribuição Gratuita</t>
  </si>
  <si>
    <t>Est. Saúde Familia Chuv. ESFC: Ressarcimento de Despesas</t>
  </si>
  <si>
    <t>Est. Saúde Familia Chuv. ESFC: Aq. de Eq. e Mat. Perm.</t>
  </si>
  <si>
    <t>Est. Saúde Familia Chuv. ESFC: Material de Consumo</t>
  </si>
  <si>
    <t>Est. Saúde Familia Chuv. ESFC: Material de Consumo - Aq. P/Consórcio</t>
  </si>
  <si>
    <t>Farmácia Municipal: Despesas C/Locomoção</t>
  </si>
  <si>
    <t>Farmácia Municipal: Serv. P. Física</t>
  </si>
  <si>
    <t>Farmácia Municipal: Serv. P. Jurídica</t>
  </si>
  <si>
    <t>Farmácia Municipal: Material de Consumo</t>
  </si>
  <si>
    <t>Farmácia Municipal: Obrig. Trib. Contrib.</t>
  </si>
  <si>
    <t>Farmácia Municipal: Ressarcimento de Despesas</t>
  </si>
  <si>
    <t>Farmácia Municipal: Aq. de Eq. e Mat. Perm.</t>
  </si>
  <si>
    <t>873 FARMACIA MUNICIPAL</t>
  </si>
  <si>
    <t>Est. Saúde Familia Chuv. ESFC:  Desp. C/Locomoção</t>
  </si>
  <si>
    <t>Est. Saúde Familia Chuv. ESFC:  Serv. de Consultoria</t>
  </si>
  <si>
    <t>Est. Saúde Familia Chuv. ESFC:  Serv. P. Física</t>
  </si>
  <si>
    <t>Est. Saúde Familia Chuv. ESFC:  Serv. P. Jurídica</t>
  </si>
  <si>
    <t>615100</t>
  </si>
  <si>
    <t>615200</t>
  </si>
  <si>
    <t>615300</t>
  </si>
  <si>
    <t>615400</t>
  </si>
  <si>
    <t>Est. Saúde Familia Chuv. ESFC:  Obrig. Trib. Contrib.</t>
  </si>
  <si>
    <t>615500</t>
  </si>
  <si>
    <t>616200</t>
  </si>
  <si>
    <t>616300</t>
  </si>
  <si>
    <t>616400</t>
  </si>
  <si>
    <t>Atend. Odontológico: Desp. C/Locomoção</t>
  </si>
  <si>
    <t>Atend. Odontológico: Serv. de Consultoria</t>
  </si>
  <si>
    <t>Atend. Odontológico: Serv. P. Física</t>
  </si>
  <si>
    <t>Atend. Odontológico: Serv. P. Jurídica</t>
  </si>
  <si>
    <t>Atend. Odontológico: Obrig. Trib. Contrib.</t>
  </si>
  <si>
    <t>Atend. Odontológico: Aq. De Mat. P/Consórcio</t>
  </si>
  <si>
    <t>617200</t>
  </si>
  <si>
    <t>617300</t>
  </si>
  <si>
    <t>617400</t>
  </si>
  <si>
    <t>617500</t>
  </si>
  <si>
    <t>617600</t>
  </si>
  <si>
    <t>618000</t>
  </si>
  <si>
    <t>618100</t>
  </si>
  <si>
    <t>619000</t>
  </si>
  <si>
    <t>619100</t>
  </si>
  <si>
    <t>619200</t>
  </si>
  <si>
    <t>619300</t>
  </si>
  <si>
    <t>619400</t>
  </si>
  <si>
    <t>Atend. Pré-Natal: Material P/Distribuição Gratuita</t>
  </si>
  <si>
    <t>Atend. Pré-Natal: Aq. de Mat. P/Consórcio</t>
  </si>
  <si>
    <t>Atend. Pré-Natal: Desp. C/Locomoção</t>
  </si>
  <si>
    <t>Atend. Pré-Natal: Serv. P. Física</t>
  </si>
  <si>
    <t>Atend. Pré-Natal: Serv. P. Jurídica</t>
  </si>
  <si>
    <t>Atend. Pré-Natal: Obrig. Trib. Contrib.</t>
  </si>
  <si>
    <t>Atend. Pré-Natal: Serv. de Consultoria</t>
  </si>
  <si>
    <t>620200</t>
  </si>
  <si>
    <t>620300</t>
  </si>
  <si>
    <t>620400</t>
  </si>
  <si>
    <t>620500</t>
  </si>
  <si>
    <t>Atend. Pré-Natal: Obras e Instalações</t>
  </si>
  <si>
    <t>620600</t>
  </si>
  <si>
    <t xml:space="preserve">894 Gestão da Frota de Veículos </t>
  </si>
  <si>
    <t>Gestão da Frota Veículos: Diárias</t>
  </si>
  <si>
    <t>Gestão da Frota Veículos: Materiais,  Autopeças, Comb. e Lub. e Outros</t>
  </si>
  <si>
    <t>621101</t>
  </si>
  <si>
    <t>621102</t>
  </si>
  <si>
    <t>Gestão da Frota Veículos: Serviços - Pessoa Fisica</t>
  </si>
  <si>
    <t>Gestão da Frota Veículos: Serviços - Pessoa Juridica</t>
  </si>
  <si>
    <t>Gestão da Frota Veículos: Despesas com Locomoção</t>
  </si>
  <si>
    <t>621200</t>
  </si>
  <si>
    <t>621401</t>
  </si>
  <si>
    <t>Gestão da Frota Veículos: Obrig. Trib. e Contrib.</t>
  </si>
  <si>
    <t>621501</t>
  </si>
  <si>
    <t>621502</t>
  </si>
  <si>
    <t>Gestão da Frota Veículos: Aq. de Mat., Autopeças e Outros P/Consórcio</t>
  </si>
  <si>
    <t>Gestão da Frota Veículos: Obras e Instalações</t>
  </si>
  <si>
    <t>Gestão da Frota Veículos: Aq. de Eq. e Mat. Perm.</t>
  </si>
  <si>
    <t>Gestão da Frota Veículos: Ressarcimento de Despesas</t>
  </si>
  <si>
    <t>621701</t>
  </si>
  <si>
    <t>621702</t>
  </si>
  <si>
    <t>05 - Gestão, Coordenação e Planej. do Conselho Mun. de Saúde</t>
  </si>
  <si>
    <t>932 ASSISTÊNCIA HOSPITALAR E AMBULATORIAL E EMERGÊNCIA</t>
  </si>
  <si>
    <t>Assist. Hosp. e Amb. e Emerg.: Diárias</t>
  </si>
  <si>
    <t>Assist. Hosp. e Amb. e Emerg.: Material De Consumo</t>
  </si>
  <si>
    <t>Assist. Hosp. e Amb. e Emerg.: Mat., Bem Ou Serviço P/Dist. Gratuita</t>
  </si>
  <si>
    <t>Assist. Hosp. e Amb. e Emerg.: Servicos - Pessoa Fisica</t>
  </si>
  <si>
    <t>Assist. Hosp. e Amb. e Emerg.: Servicos - Pessoa Juridica</t>
  </si>
  <si>
    <t>Assist. Hosp. e Amb. e Emerg.: Serviços Hosp. - Hosp. Nossa Senhora Aparecida</t>
  </si>
  <si>
    <t>Assist. Hosp. e Amb. e Emerg.: Convenio Hosp. Nossa Senhora Aparecida - Atendimento Media Complex.</t>
  </si>
  <si>
    <t>Assist. Hosp. e Amb. e Emerg.: Obrigacoes Tributarias E Contributivas</t>
  </si>
  <si>
    <t>Assist. Hosp. e Amb. e Emerg.: Aq. de Equip. e Material Permanente</t>
  </si>
  <si>
    <t>Assist. Hosp. e Amb. e Emerg.: Ressarcimento de Despesas</t>
  </si>
  <si>
    <t>Assist. Hosp. e Amb. e Emerg.: Desp C/Locomoção</t>
  </si>
  <si>
    <t>622501</t>
  </si>
  <si>
    <t>622502</t>
  </si>
  <si>
    <t>623000</t>
  </si>
  <si>
    <t>623100</t>
  </si>
  <si>
    <t>623200</t>
  </si>
  <si>
    <t>623300</t>
  </si>
  <si>
    <t>623400</t>
  </si>
  <si>
    <t>Atend. Psic. e Saúde Mental: Despesas C/Deslocamento</t>
  </si>
  <si>
    <t>Atend. Psic. e Saúde Mental: Serviços de Consultoria</t>
  </si>
  <si>
    <t>624200</t>
  </si>
  <si>
    <t>625000</t>
  </si>
  <si>
    <t>625100</t>
  </si>
  <si>
    <t>625200</t>
  </si>
  <si>
    <t>625300</t>
  </si>
  <si>
    <t>625400</t>
  </si>
  <si>
    <t>625501</t>
  </si>
  <si>
    <t>625502</t>
  </si>
  <si>
    <t>Atend. Vig. Sanitária: Despesas C/Deslocamento</t>
  </si>
  <si>
    <t>Atend. Vig. Sanitária: Serviços de Consultoria</t>
  </si>
  <si>
    <t>626200</t>
  </si>
  <si>
    <t>Atend. Vig. Sanitária: Serviços P. Física</t>
  </si>
  <si>
    <t>Atend. Vig. Sanitária: Serviços P. Jurídica</t>
  </si>
  <si>
    <t>Atend. Vig. Sanitária: Obrig. Trib. e Contrib.</t>
  </si>
  <si>
    <t>624300</t>
  </si>
  <si>
    <t>624400</t>
  </si>
  <si>
    <t>624500</t>
  </si>
  <si>
    <t>Atend. Psic. e Saúde Mental: Serv. P. Juridica P/Consórcio</t>
  </si>
  <si>
    <t>624600</t>
  </si>
  <si>
    <t>626300</t>
  </si>
  <si>
    <t>626400</t>
  </si>
  <si>
    <t>Atend. Vig. Sanitária:  Serv. P. Juridica P/Consórcio</t>
  </si>
  <si>
    <t>626500</t>
  </si>
  <si>
    <t>626600</t>
  </si>
  <si>
    <t>Vig. Epidemiológica:   Despesas C/Deslocamento</t>
  </si>
  <si>
    <t>Vig. Epidemiológica:   Serviços de Consultoria</t>
  </si>
  <si>
    <t>Vig. Epidemiológica:   Serviços P. Física</t>
  </si>
  <si>
    <t>Vig. Epidemiológica:  Serviços P. Jurídica</t>
  </si>
  <si>
    <t>Vig. Epidemiológica:   Obrig. Trib. e Contrib.</t>
  </si>
  <si>
    <t>Vig. Epidemiológica:  Serv. P. Juridica P/Consórcio</t>
  </si>
  <si>
    <t>627000</t>
  </si>
  <si>
    <t>627100</t>
  </si>
  <si>
    <t>627200</t>
  </si>
  <si>
    <t>627300</t>
  </si>
  <si>
    <t>627400</t>
  </si>
  <si>
    <t>627501</t>
  </si>
  <si>
    <t>627502</t>
  </si>
  <si>
    <t>628200</t>
  </si>
  <si>
    <t>628300</t>
  </si>
  <si>
    <t>628400</t>
  </si>
  <si>
    <t>628500</t>
  </si>
  <si>
    <t>628600</t>
  </si>
  <si>
    <t>Campanha de Vacinação:  Ressarcimento de Despesas</t>
  </si>
  <si>
    <t>Campanha de Vacinação:  Obrig. Trib. e Contrib.</t>
  </si>
  <si>
    <t>Campanha de Vacinação:  Serviços P. Jurídica</t>
  </si>
  <si>
    <t>Campanha de Vacinação:  Serviços P. Física</t>
  </si>
  <si>
    <t>Campanha de Vacinação:  Despesas C/Deslocamento</t>
  </si>
  <si>
    <t>Campanha de Vacinação:  Serv. P. Juridica P/Consórcio</t>
  </si>
  <si>
    <t>629000</t>
  </si>
  <si>
    <t>629700</t>
  </si>
  <si>
    <t>629800</t>
  </si>
  <si>
    <t>629900</t>
  </si>
  <si>
    <t>630000</t>
  </si>
  <si>
    <t>631000</t>
  </si>
  <si>
    <t>631100</t>
  </si>
  <si>
    <t>631200</t>
  </si>
  <si>
    <t>631300</t>
  </si>
  <si>
    <t>631400</t>
  </si>
  <si>
    <t>Atend. Nutric. e Comb. a Obesid.:  Despesas C/Deslocamento</t>
  </si>
  <si>
    <t>Atend. Nutric. e Comb. a Obesid.: Serviços P. Física</t>
  </si>
  <si>
    <t>Atend. Nutric. e Comb. a Obesid.:Serviços P. Jurídica</t>
  </si>
  <si>
    <t>Atend. Nutric. e Comb. a Obesid.: Obrig. Trib. e Contrib.</t>
  </si>
  <si>
    <t>Atend. Nutric. e Comb. a Obesid.:  Serviços de Consultoria</t>
  </si>
  <si>
    <t>Atend. Nutric. e Comb. a Obesid.:  Serv. P. Juridica P/Consórcio</t>
  </si>
  <si>
    <t>632200</t>
  </si>
  <si>
    <t>632300</t>
  </si>
  <si>
    <t>632400</t>
  </si>
  <si>
    <t>632500</t>
  </si>
  <si>
    <t>632600</t>
  </si>
  <si>
    <t>933 MAIS SAÚDE - CAMPANHAS OUTUBRO ROSA E NOVEMBRO AZUL</t>
  </si>
  <si>
    <t>Campanhas Outubro Rosa: Material Consumo</t>
  </si>
  <si>
    <t>618200</t>
  </si>
  <si>
    <t>618300</t>
  </si>
  <si>
    <t>Campanhas Novembro Azul: Material Consumo</t>
  </si>
  <si>
    <t>Campanhas Novembro Azul: Mat. Distruição Gratuita</t>
  </si>
  <si>
    <t>Campanhas Outubro Rosa: Mat. Distruição Gratuita</t>
  </si>
  <si>
    <t>Campanhas Outubro Rosa: Serv. P. Física</t>
  </si>
  <si>
    <t>Campanhas Novembro Azul: Serv. P. Física</t>
  </si>
  <si>
    <t>618250</t>
  </si>
  <si>
    <t>618260</t>
  </si>
  <si>
    <t>618270</t>
  </si>
  <si>
    <t>618280</t>
  </si>
  <si>
    <t>618290</t>
  </si>
  <si>
    <t>618350</t>
  </si>
  <si>
    <t>Campanhas Outubro Rosa: Serv. P. Jurídica</t>
  </si>
  <si>
    <t>Campanhas Novembro Azul: Serv. P. Jurídica</t>
  </si>
  <si>
    <t>Campanhas Outubro Rosa: Obrig. Trib. Contrib.</t>
  </si>
  <si>
    <t>Campanhas Novembro Azul: Obrig. Trib. Contrib.</t>
  </si>
  <si>
    <t>Campanhas Novembro Azul: Aq. de Eq. e Mat. Perm.</t>
  </si>
  <si>
    <t>Campanhas Outubro Rosa: Aq. de Eq. e Mat. Perm.</t>
  </si>
  <si>
    <t>618360</t>
  </si>
  <si>
    <t>640000</t>
  </si>
  <si>
    <t>640100</t>
  </si>
  <si>
    <t>640900</t>
  </si>
  <si>
    <t>641000</t>
  </si>
  <si>
    <t>641100</t>
  </si>
  <si>
    <t>641200</t>
  </si>
  <si>
    <t>641300</t>
  </si>
  <si>
    <t>618670</t>
  </si>
  <si>
    <t>618380</t>
  </si>
  <si>
    <t>618390</t>
  </si>
  <si>
    <t>643000</t>
  </si>
  <si>
    <t>643100</t>
  </si>
  <si>
    <t>643600</t>
  </si>
  <si>
    <t>643700</t>
  </si>
  <si>
    <t>643800</t>
  </si>
  <si>
    <t>643900</t>
  </si>
  <si>
    <t>644000</t>
  </si>
  <si>
    <t>644100</t>
  </si>
  <si>
    <t>644200</t>
  </si>
  <si>
    <t>644300</t>
  </si>
  <si>
    <t>Cons. Pop. P/Reforma U.B.S.: Obras e Instalações</t>
  </si>
  <si>
    <t>Cons. Pop. P/Obras e Instalações: Obras e Instalações</t>
  </si>
  <si>
    <t>645200</t>
  </si>
  <si>
    <t>921 ASSISTÊNCIA FARMACEUTICA BÁSICA</t>
  </si>
  <si>
    <t>646200</t>
  </si>
  <si>
    <t>636000</t>
  </si>
  <si>
    <t>636100</t>
  </si>
  <si>
    <t>636200</t>
  </si>
  <si>
    <t>636300</t>
  </si>
  <si>
    <t>636400</t>
  </si>
  <si>
    <t>637100</t>
  </si>
  <si>
    <t>637200</t>
  </si>
  <si>
    <t>637300</t>
  </si>
  <si>
    <t>Saúde da Família: Despesas C/Locomoção</t>
  </si>
  <si>
    <t>Saúde da Família: Serv. P. Jurídica P/Consórcio</t>
  </si>
  <si>
    <t>637400</t>
  </si>
  <si>
    <t>647000</t>
  </si>
  <si>
    <t>647100</t>
  </si>
  <si>
    <t>647600</t>
  </si>
  <si>
    <t>647700</t>
  </si>
  <si>
    <t>647800</t>
  </si>
  <si>
    <t>647900</t>
  </si>
  <si>
    <t>648000</t>
  </si>
  <si>
    <t>648100</t>
  </si>
  <si>
    <t>648200</t>
  </si>
  <si>
    <t>648300</t>
  </si>
  <si>
    <t>923 Consulta Popular P/Aquisição de Veículos</t>
  </si>
  <si>
    <t>924  Piso Atenção Básica Fixo</t>
  </si>
  <si>
    <t>925 Convenios União P/Aq. de Equipamentos</t>
  </si>
  <si>
    <t>926 Convênios União P/Obras e Instalações</t>
  </si>
  <si>
    <t>927 Convênios União P/Aq. de Veículos</t>
  </si>
  <si>
    <t>928 Piso Atenção Básica</t>
  </si>
  <si>
    <t>930 Farmácia Básica</t>
  </si>
  <si>
    <t>Piso Atenção Básica: Serv. P. Jurídica P/Consórcio</t>
  </si>
  <si>
    <t>649000</t>
  </si>
  <si>
    <t>649600</t>
  </si>
  <si>
    <t>649700</t>
  </si>
  <si>
    <t>649800</t>
  </si>
  <si>
    <t>649900</t>
  </si>
  <si>
    <t>650000</t>
  </si>
  <si>
    <t>Piso Atenção Básica: Aq. de Eq. e Mat. Perm. e Veic.</t>
  </si>
  <si>
    <t>637500</t>
  </si>
  <si>
    <t>Atend. Psic. e Saúde Mental: Despesas C/Locomoção</t>
  </si>
  <si>
    <t>651000</t>
  </si>
  <si>
    <t>651100</t>
  </si>
  <si>
    <t>651200</t>
  </si>
  <si>
    <t>651300</t>
  </si>
  <si>
    <t>651400</t>
  </si>
  <si>
    <t>652100</t>
  </si>
  <si>
    <t>652200</t>
  </si>
  <si>
    <t>652300</t>
  </si>
  <si>
    <t>652400</t>
  </si>
  <si>
    <t>652500</t>
  </si>
  <si>
    <t>Atend. Psic. e Saúde Mental: Serv. P. Jurídica P/Consórcio</t>
  </si>
  <si>
    <t>Vig. Epidemiológica:  Material P/Despesa C/Locomoção</t>
  </si>
  <si>
    <t>Vig. Epidemiológica: Serv. P. Jurídica P/Consórcio</t>
  </si>
  <si>
    <t>653000</t>
  </si>
  <si>
    <t>653100</t>
  </si>
  <si>
    <t>653200</t>
  </si>
  <si>
    <t>653300</t>
  </si>
  <si>
    <t>653400</t>
  </si>
  <si>
    <t>654100</t>
  </si>
  <si>
    <t>654200</t>
  </si>
  <si>
    <t>654300</t>
  </si>
  <si>
    <t>654400</t>
  </si>
  <si>
    <t>654500</t>
  </si>
  <si>
    <t>PAB FIXO: Material P/Desp. C/Locomoção</t>
  </si>
  <si>
    <t>PAB FIXO: Serv. P. Jurídica P/Consórcio</t>
  </si>
  <si>
    <t>PAB FIXO: Obras e Instalações</t>
  </si>
  <si>
    <t>PAB FIXO: Aq. de Eq. e Mat. Perm. e Veículos</t>
  </si>
  <si>
    <t>660000</t>
  </si>
  <si>
    <t>660700</t>
  </si>
  <si>
    <t>660800</t>
  </si>
  <si>
    <t>660900</t>
  </si>
  <si>
    <t>661000</t>
  </si>
  <si>
    <t>661100</t>
  </si>
  <si>
    <t>662000</t>
  </si>
  <si>
    <t>662300</t>
  </si>
  <si>
    <t>662400</t>
  </si>
  <si>
    <t>662500</t>
  </si>
  <si>
    <t>662600</t>
  </si>
  <si>
    <t>663000</t>
  </si>
  <si>
    <t>663300</t>
  </si>
  <si>
    <t>663400</t>
  </si>
  <si>
    <t>663500</t>
  </si>
  <si>
    <t>663600</t>
  </si>
  <si>
    <t>929 CONVÊNIOS UNIÃO P/AQ. DE VEÍCULOS</t>
  </si>
  <si>
    <t>664000</t>
  </si>
  <si>
    <t>664300</t>
  </si>
  <si>
    <t>664400</t>
  </si>
  <si>
    <t>664500</t>
  </si>
  <si>
    <t>664600</t>
  </si>
  <si>
    <t>666200</t>
  </si>
  <si>
    <t xml:space="preserve">Farmácia Básica Contrib. Municipio: Material de Consumo </t>
  </si>
  <si>
    <t>Vig. Sanitária: Material P/Desp. C/Locomoção</t>
  </si>
  <si>
    <t>Vig. Sanitária: Serv. P. Física P/Consórcio</t>
  </si>
  <si>
    <t>667000</t>
  </si>
  <si>
    <t>667100</t>
  </si>
  <si>
    <t>667200</t>
  </si>
  <si>
    <t>667300</t>
  </si>
  <si>
    <t>667400</t>
  </si>
  <si>
    <t>668100</t>
  </si>
  <si>
    <t>668200</t>
  </si>
  <si>
    <t>668300</t>
  </si>
  <si>
    <t>668400</t>
  </si>
  <si>
    <t>668500</t>
  </si>
  <si>
    <t>669000</t>
  </si>
  <si>
    <t>669300</t>
  </si>
  <si>
    <t>669400</t>
  </si>
  <si>
    <t>669500</t>
  </si>
  <si>
    <t>669600</t>
  </si>
  <si>
    <t>Man. Conselho Mun. de Saúde: Despesas C/Locomoção</t>
  </si>
  <si>
    <t>Man. Conselho Mun. de Saúde: Serv. de Consultoria</t>
  </si>
  <si>
    <t>Man. Conselho Mun. de Saúde: Serv. P. Física</t>
  </si>
  <si>
    <t>Man. Conselho Mun. de Saúde: Serv. P. Jurídica</t>
  </si>
  <si>
    <t>669700</t>
  </si>
  <si>
    <t>Man. Conselho Mun. de Saúde: Obrig. Trib e Contrib.</t>
  </si>
  <si>
    <t>670000</t>
  </si>
  <si>
    <t>04 - SECRETARIA MUNICIPAL DE SAÚDE</t>
  </si>
  <si>
    <t>05 - SECRETARIA MUNICIPAL DE ASSISTÊNCIA SOCIAL</t>
  </si>
  <si>
    <t xml:space="preserve"> 806 Equipamentos e Mat. Permanente para SMAS</t>
  </si>
  <si>
    <t>809 Equipamentos e Mat. Permanente para o CREAS</t>
  </si>
  <si>
    <t>28 MAIS ASSISTÊNCIA SOCIAL</t>
  </si>
  <si>
    <t>700200</t>
  </si>
  <si>
    <t>700300</t>
  </si>
  <si>
    <t>700400</t>
  </si>
  <si>
    <t>934 Gestão da Frota de Veículos</t>
  </si>
  <si>
    <t>779 Manutenção da Sec. Mun. da Assist. Social</t>
  </si>
  <si>
    <t>702000</t>
  </si>
  <si>
    <t>702100</t>
  </si>
  <si>
    <t>702200</t>
  </si>
  <si>
    <t>702300</t>
  </si>
  <si>
    <t>702400</t>
  </si>
  <si>
    <t>702800</t>
  </si>
  <si>
    <t>702900</t>
  </si>
  <si>
    <t>703000</t>
  </si>
  <si>
    <t>703100</t>
  </si>
  <si>
    <t>703200</t>
  </si>
  <si>
    <t>703300</t>
  </si>
  <si>
    <t>703400</t>
  </si>
  <si>
    <t>Folha PGTº Sec. Mun. Assist. Social: Servidores Contratados</t>
  </si>
  <si>
    <t>Folha PGTº Sec. Mun. Assist. Social: Serv. Efetivos., C.C. e Agente Político</t>
  </si>
  <si>
    <t>Folha PGTº Sec. Mun. Assist. Social: Obrigações Patronais</t>
  </si>
  <si>
    <t>Folha PGTº Sec. Mun. Assist. Social: Horas Extras</t>
  </si>
  <si>
    <t xml:space="preserve"> Sec. Mun. Assist. Social: Diárias </t>
  </si>
  <si>
    <t xml:space="preserve"> Sec. Mun. Assist. Social: Material de Consumo</t>
  </si>
  <si>
    <t xml:space="preserve"> Sec. Mun. Assist. Social: Material Distribuição Gratuita</t>
  </si>
  <si>
    <t xml:space="preserve"> Sec. Mun. Assist. Social: Despesas Com Locomoção</t>
  </si>
  <si>
    <t xml:space="preserve"> Sec. Mun. Assist. Social: Servicos de Consultoria</t>
  </si>
  <si>
    <t xml:space="preserve"> Sec. Mun. Assist. Social: Servicos - Pessoa Fisica</t>
  </si>
  <si>
    <t xml:space="preserve"> Sec. Mun. Assist. Social: Servicos - Pessoa Juridica</t>
  </si>
  <si>
    <t xml:space="preserve"> Sec. Mun. Assist. Social: Obrig.Trib. e Contrib.</t>
  </si>
  <si>
    <t>Folha PGTº  Sec. Mun. Assist. Social: Auxilio-Transporte</t>
  </si>
  <si>
    <t xml:space="preserve"> Sec. Mun. Assist. Social: Ressarcimento de Despesas</t>
  </si>
  <si>
    <t xml:space="preserve"> Sec. Mun. Assist. Social: Material de Consumo - Aq. P/Consórcio</t>
  </si>
  <si>
    <t>704300</t>
  </si>
  <si>
    <t>704500</t>
  </si>
  <si>
    <t>704400</t>
  </si>
  <si>
    <t>704600</t>
  </si>
  <si>
    <t>704000</t>
  </si>
  <si>
    <t>704700</t>
  </si>
  <si>
    <t>Aq. de Eq. e Mat. Perm. Sec. Mun. Assist. Social: Obrig. Trib. e Contrib.</t>
  </si>
  <si>
    <t>Aq. de Eq. e Mat. Perm. Sec. Mun. Assist. Social: Material de Consumo</t>
  </si>
  <si>
    <t>Aq. de Eq. e Mat. Perm. Sec. Mun. Assist. Social: Servicos - Pessoa Fisica</t>
  </si>
  <si>
    <t>Aq. de Eq. e Mat. Perm. Sec. Mun. Assist. Social: Servicos - Pessoa Juridica</t>
  </si>
  <si>
    <t>Aq. de Eq. e Mat. Perm. Sec. Mun. Assist. Social: Eq. e Mat. Permanente</t>
  </si>
  <si>
    <t>Gestão Frota Veic. S.M.A.S.: Materiais, Autop., Comb. e Outros</t>
  </si>
  <si>
    <t xml:space="preserve">Gestão Frota Veic. S.M.A.S.:  Diárias </t>
  </si>
  <si>
    <t>Gestão Frota Veic. S.M.A.S.: Servicos - Pessoa Fisica</t>
  </si>
  <si>
    <t>Gestão Frota Veic. S.M.A.S.:  Servicos - Pessoa Juridica</t>
  </si>
  <si>
    <t>Gestão Frota Veic. S.M.A.S.: Obrig. Trib. e Contrib.</t>
  </si>
  <si>
    <t>Gestão Frota Veic. S.M.A.S.: Ressarcimento de Despesas</t>
  </si>
  <si>
    <t>Gestão Frota Veic. S.M.A.S.: Mat. de Consumo - Aq. P/Consórcio</t>
  </si>
  <si>
    <t>Gestão Frota Veic. S.M.A.S.: Despesas C/Locomoção</t>
  </si>
  <si>
    <t>Gestão Frota Veic. S.M.A.S.: Aq. de Eq. e Veículos</t>
  </si>
  <si>
    <t>704800</t>
  </si>
  <si>
    <t>765 BENEFICIOS EVENTUAIS</t>
  </si>
  <si>
    <t>710000</t>
  </si>
  <si>
    <t>710100</t>
  </si>
  <si>
    <t>895 CAPACITAÇÃO DOS PROFIS. E CONSELH. ASSIST. SOCIAL</t>
  </si>
  <si>
    <t>898 MANUT. DA PROT. SOC. BÁS. AO PORT. DE DEFICIÊNCIA</t>
  </si>
  <si>
    <t>777 APOIO A ESTUDANTES CARENTES</t>
  </si>
  <si>
    <t>774 MAN. SERV. DE PROT. SOC. ESP. A CRIANÇA E ADOLESC.</t>
  </si>
  <si>
    <t>776 EXAM E CONS. A PAC. DO MUNICIPIO DE CHUVISCA.</t>
  </si>
  <si>
    <t>770 MANUTENÇÃO DO CREAS</t>
  </si>
  <si>
    <t>772 APOIO A FAMILIA</t>
  </si>
  <si>
    <t>773 APOIO AO IDOSO</t>
  </si>
  <si>
    <t>766 AUXILIOS DIVERSOS : NATALIDADE, FUNERAL, E OUTROS</t>
  </si>
  <si>
    <t>767 MANUTENÇÃO DO CRAS</t>
  </si>
  <si>
    <t>769 Realização de Cursos e Oficinas</t>
  </si>
  <si>
    <t>900 MAN. SERV. PROT. AT. ESP. A FAM. E INDIV. - PAEFI</t>
  </si>
  <si>
    <t>902 PROMOÇÃO DE CURSOS DE CAPAC. DE TRAB. ACESSUAS</t>
  </si>
  <si>
    <t>241 Assistência ao Idoso</t>
  </si>
  <si>
    <t>242 Assistência ao Portador de Deficiência</t>
  </si>
  <si>
    <t>Proteção a Pessoa C/Deficiencia: Subvenções Sociais</t>
  </si>
  <si>
    <t>Proteção a Pessoa C/Deficiencia: Conv. Assoc. Defic. Fisicos</t>
  </si>
  <si>
    <t>Proteção a Pessoa C/Deficiencia: Convenio APAE</t>
  </si>
  <si>
    <t>Proteção a Pessoa C/Deficiencia: Material De Consumo</t>
  </si>
  <si>
    <t>Proteção a Pessoa C/Deficiencia: Mat., P/Distribuição Gratuita</t>
  </si>
  <si>
    <t>Proteção a Pessoa C/Deficiencia: Servicos - Pessoa Fisica</t>
  </si>
  <si>
    <t>Proteção a Pessoa C/Deficiencia: Servicos - pessoa Juridica</t>
  </si>
  <si>
    <t>Proteção a Pessoa C/Deficiencia: Obrig. Trib. e Contributivas</t>
  </si>
  <si>
    <t>Proteção a Pessoa C/Deficiencia: Aq. de Eq. e Material Perm.</t>
  </si>
  <si>
    <t>Manut. Do CREAS: Material De Consumo</t>
  </si>
  <si>
    <t>Manut. Do CREAS: Material P/Distribuição Gratuita</t>
  </si>
  <si>
    <t>Manut. Do CREAS: Servicos - Pessoa Fisica</t>
  </si>
  <si>
    <t>Manut. Do CREAS: Servicos - Pessoa Juridica</t>
  </si>
  <si>
    <t>Manut. Do CREAS: Obrig. Trib. e Contributivas</t>
  </si>
  <si>
    <t>Manut. S.P.S.E.C.A.: Material De Consumo</t>
  </si>
  <si>
    <t>Manut. S.P.S.E.C.A.: Material P/Distribuição Gratuita</t>
  </si>
  <si>
    <t>Manut. S.P.S.E.C.A.: Servicos - Pessoa Fisica</t>
  </si>
  <si>
    <t>Manut. S.P.S.E.C.A.: Servicos - Pessoa Juridica</t>
  </si>
  <si>
    <t>Manut. S.P.S.E.C.A.: Obrig. Trib. e Contributivas</t>
  </si>
  <si>
    <t>Apoio a Estudantes Carentes: Outros Beneficios Assistenciais</t>
  </si>
  <si>
    <t>Apoio a Estudantes Carentes: Material P/Distribuição Gratuita</t>
  </si>
  <si>
    <t>Apoio ao Idoso: Outros Beneficios Assistenciais</t>
  </si>
  <si>
    <t>Apoio ao Idoso: Material P/Distribuição Gratuita</t>
  </si>
  <si>
    <t>244 Assistência Comunitária</t>
  </si>
  <si>
    <t>Manut. Do CRAS: Material De Consumo</t>
  </si>
  <si>
    <t>Manut. Do CRAS: Material P/Distribuição Gratuita</t>
  </si>
  <si>
    <t>Manut. Do CRAS: Servicos - Pessoa Fisica</t>
  </si>
  <si>
    <t>Manut. Do CRAS: Servicos - Pessoa Juridica</t>
  </si>
  <si>
    <t>Manut. Do CRAS: Obrig. Trib. e Contributivas</t>
  </si>
  <si>
    <t>Manut. Do CRAS: Aq. de Eq. e Mat. Perm.</t>
  </si>
  <si>
    <t>Real de Oficinas: Material De Consumo</t>
  </si>
  <si>
    <t>Real de Oficinas:  Material P/Distribuição Gratuita</t>
  </si>
  <si>
    <t>Real de Oficinas:  Servicos - Pessoa Fisica</t>
  </si>
  <si>
    <t>Real de Oficinas:  Servicos - Pessoa Juridica</t>
  </si>
  <si>
    <t>Real de Oficinas: Obrig. Trib. e Contributivas</t>
  </si>
  <si>
    <t>Real de Oficinas: Aq. de Eq. e Mat. Perm.</t>
  </si>
  <si>
    <t>Real de Oficinas: Aq. de Materiais P/Consórcio</t>
  </si>
  <si>
    <t>Real de Oficinas: Serv. P. Jurídica P/Consórcio</t>
  </si>
  <si>
    <t>Apoio a Família: Outros Beneficios Assistenciais</t>
  </si>
  <si>
    <t>Apoio a Família: Material P/Distribuição Gratuita</t>
  </si>
  <si>
    <t xml:space="preserve">778 Apoio a Vitimas de Desastres </t>
  </si>
  <si>
    <t>Prom. Cursos Cap. Trab.: Material De Consumo</t>
  </si>
  <si>
    <t>Prom. Cursos Cap. Trab.:  Material P/Distribuição Gratuita</t>
  </si>
  <si>
    <t>Prom. Cursos Cap. Trab.:  Servicos - Pessoa Fisica</t>
  </si>
  <si>
    <t>Prom. Cursos Cap. Trab.:  Servicos - Pessoa Juridica</t>
  </si>
  <si>
    <t>Prom. Cursos Cap. Trab.:  Obrig. Trib. e Contributivas</t>
  </si>
  <si>
    <t>Prom. Cursos Cap. Trab.:  Aq. de Materiais P/Consórcio</t>
  </si>
  <si>
    <t>Prom. Cursos Cap. Trab.: Serv. P. Jurídica P/Consórcio</t>
  </si>
  <si>
    <t>Prom. Cursos Cap. Trab.: Aq. de Eq. e Mat. Perm.</t>
  </si>
  <si>
    <t>Man. PAEFI: Outros Beneficios Assistenciais</t>
  </si>
  <si>
    <t>Man. PAEFI: Material P/Distribuição Gratuita</t>
  </si>
  <si>
    <t>Man. PAEFI: Servicos - Pessoa Juridica</t>
  </si>
  <si>
    <t>Man. PAEFI: Obrig. Trib. e Contributivas</t>
  </si>
  <si>
    <t>Man. PAEFI: Aq. de Materiais P/Consórcio</t>
  </si>
  <si>
    <t>Man. PAEFI:Serv. P. Jurídica P/Consórcio</t>
  </si>
  <si>
    <t>Apoio a Vit. de Desastres: Outros Beneficios Assistenciais</t>
  </si>
  <si>
    <t>Apoio a Vit. de Desastres: Material De Consumo</t>
  </si>
  <si>
    <t>Apoio a Vit. de Desastres: Material P/Distribuição Gratuita</t>
  </si>
  <si>
    <t>Apoio a Vit. de Desastres:Servicos - Pessoa Fisica</t>
  </si>
  <si>
    <t>Apoio a Vit. de Desastres: Servicos - Pessoa Juridica</t>
  </si>
  <si>
    <t>Apoio a Vit. de Desastres: Obrig. Trib. e Contributivas</t>
  </si>
  <si>
    <t>Apoio a Vit. de Desastres: Serv. P. Jurídica P/Consórcio</t>
  </si>
  <si>
    <t>Apoio a Vit. de Desastres: Aq. de Materiais P/Consórcio</t>
  </si>
  <si>
    <t>Apoio a Pacinetes Carentes: Outros Beneficios Assistenciais</t>
  </si>
  <si>
    <t>Apoio a Pacinetes Carentes:  Material P/Distribuição Gratuita</t>
  </si>
  <si>
    <t>Apoio a Pacinetes Carentes:  Servicos - Pessoa Fisica</t>
  </si>
  <si>
    <t>Apoio a Pacinetes Carentes:  Servicos - Pessoa Juridica</t>
  </si>
  <si>
    <t>Apoio a Pacinetes Carentes:  Obrig. Trib. e Contributivas</t>
  </si>
  <si>
    <t>Apoio a Pacinetes Carentes:  Serv. P. Jurídica P/Consórcio</t>
  </si>
  <si>
    <t>03 - Fundo Municipal Assistência Social – Programas Estaduais</t>
  </si>
  <si>
    <t>935 CONSULTA POPULAR</t>
  </si>
  <si>
    <t>936 FMAS BPC</t>
  </si>
  <si>
    <t>937 FMAS FEAS</t>
  </si>
  <si>
    <t>Cons. Pop. CRANS:  Material P/Distribuição Gratuita</t>
  </si>
  <si>
    <t>Cons. Pop. CRANS:  Servicos - Pessoa Fisica</t>
  </si>
  <si>
    <t>Cons. Pop. CRANS:  Servicos - Pessoa Juridica</t>
  </si>
  <si>
    <t>Cons. Pop. CRANS:   Obrig. Trib. e Contributivas</t>
  </si>
  <si>
    <t>Cons. Pop. CRANS:  Aq. de Materiais P/Consórcio</t>
  </si>
  <si>
    <t>Cons. Pop. CRANS:  Serv. P. Jurídica P/Consórcio</t>
  </si>
  <si>
    <t>Cons. Pop. CRANS:  Aq. de Eq. e Mat. Perm.</t>
  </si>
  <si>
    <t>Cons. Pop. CRANS:  Material de Consumo</t>
  </si>
  <si>
    <t>FMAS FEAS:  Material de Consumo</t>
  </si>
  <si>
    <t>FMAS FEAS:  Material P/Distribuição Gratuita</t>
  </si>
  <si>
    <t>FMAS FEAS:   Servicos - Pessoa Fisica</t>
  </si>
  <si>
    <t>FMAS FEAS:  Servicos - Pessoa Juridica</t>
  </si>
  <si>
    <t>FMAS FEAS:  Serv. P. Jurídica P/Consórcio</t>
  </si>
  <si>
    <t>FMAS FEAS:  Aq. de Eq. e Mat. Perm.</t>
  </si>
  <si>
    <t>FMAS FEAS:  Aq. de Materiais P/Consórcio</t>
  </si>
  <si>
    <t>FMAS FEAS:  Obrig. Trib. e Contributivas</t>
  </si>
  <si>
    <t>FMAS BPC: Material P/Distribuição Gratuita</t>
  </si>
  <si>
    <t>FMAS BPC: Material de Consumo</t>
  </si>
  <si>
    <t>Material P/ Manutenção de Imoveis - Aq. Imediata</t>
  </si>
  <si>
    <t>Material P/ Manutenção de Imoveis - Estoque</t>
  </si>
  <si>
    <t>Manutenção Veiculo Placas ISK 1256</t>
  </si>
  <si>
    <t>Vencimentos</t>
  </si>
  <si>
    <t>13 Salário</t>
  </si>
  <si>
    <t>Ferias Indenizadas  </t>
  </si>
  <si>
    <t>INSS Patronal - Vencimentos</t>
  </si>
  <si>
    <t>Hora Extra - Serv. Contratado</t>
  </si>
  <si>
    <t>Hora Extra - Serv. Efetivos</t>
  </si>
  <si>
    <t>Material e Peças P/Veiculo Placas ISK 1256 - Aq. Imediata</t>
  </si>
  <si>
    <t>Material de Informática - Aq. Imediata</t>
  </si>
  <si>
    <t>Material de Informática - Estoque</t>
  </si>
  <si>
    <t>Material e Peças P/ Veiculo IRY 2027 - Estoque</t>
  </si>
  <si>
    <t>Material e Peças P/ Veiculo IRY 2027 - Aq. Imediata</t>
  </si>
  <si>
    <t>Material Elétrico - Estoque</t>
  </si>
  <si>
    <t>Material De Expediente - Aq. Imediata</t>
  </si>
  <si>
    <t>Material De Expediente - Estoque</t>
  </si>
  <si>
    <t>Material e Peças P/Veiculo Placas ISK 1256 - estoque</t>
  </si>
  <si>
    <t>Material Elétrico - Aq. Imediata</t>
  </si>
  <si>
    <t>Locacao deImpressoras</t>
  </si>
  <si>
    <t>Manutenção de Equipamentos de Informática</t>
  </si>
  <si>
    <t>INSS S/Serv. Veículo ISK 1256</t>
  </si>
  <si>
    <t>MULTA INSS S/Serv. Veículo ISK 1256</t>
  </si>
  <si>
    <t>Auxilio-transporte - PAIF</t>
  </si>
  <si>
    <t>Lubrificantes P/Veiculo ISK 1256 - CONSÓRCIO</t>
  </si>
  <si>
    <t>Material de Expediente - CONSÓRCIO</t>
  </si>
  <si>
    <t>Lubrificantes P/Veiculo IRY 2027 - CONSÓRCIO</t>
  </si>
  <si>
    <t>Generos Alimenticios - Estoque</t>
  </si>
  <si>
    <t>Material Educativo e Esportivo - Aq. Imediata</t>
  </si>
  <si>
    <t>Material Educativo e Esportivo - Estoque</t>
  </si>
  <si>
    <t>Material e Peças P/ Veiculo Placas ISK 1256 - Estoque</t>
  </si>
  <si>
    <t>Material e Peças P/ Veiculo Placas ISK 1256 - Aq. Imediata</t>
  </si>
  <si>
    <t>Locações de Imóveis - CRAS</t>
  </si>
  <si>
    <t>Serviços de Sonorização</t>
  </si>
  <si>
    <t>Manutenção de Equipamenetos de Informatica</t>
  </si>
  <si>
    <t>Locação de Impressora</t>
  </si>
  <si>
    <t>INSS Patronal S/Prest. Servicos P. Juridica e M.E.I.</t>
  </si>
  <si>
    <t>INSS Patronal S/Prest. Servicos P. Fisica</t>
  </si>
  <si>
    <t>768 MANUTENÇÃO DO IGDBF</t>
  </si>
  <si>
    <t>903 MANUTENÇÃO DO IGD - SUAS</t>
  </si>
  <si>
    <t>908 MAN. DO SERV. DE PROT. E AT. INTEG. A FAM. - PAIF</t>
  </si>
  <si>
    <t>912 PROGRAMA P.T.M.C.</t>
  </si>
  <si>
    <t>909 MAN. DO SERV. DE CONV. E FORT. VINC. - SCFV</t>
  </si>
  <si>
    <t>712000</t>
  </si>
  <si>
    <t>712001</t>
  </si>
  <si>
    <t>712002</t>
  </si>
  <si>
    <t>713000</t>
  </si>
  <si>
    <t>714000</t>
  </si>
  <si>
    <t>715000</t>
  </si>
  <si>
    <t>712100</t>
  </si>
  <si>
    <t>712200</t>
  </si>
  <si>
    <t>712300</t>
  </si>
  <si>
    <t>712400</t>
  </si>
  <si>
    <t>712500</t>
  </si>
  <si>
    <t>712600</t>
  </si>
  <si>
    <t>713100</t>
  </si>
  <si>
    <t>713200</t>
  </si>
  <si>
    <t>713300</t>
  </si>
  <si>
    <t>713400</t>
  </si>
  <si>
    <t>714100</t>
  </si>
  <si>
    <t>714200</t>
  </si>
  <si>
    <t>714300</t>
  </si>
  <si>
    <t>714400</t>
  </si>
  <si>
    <t>Manut. S.P.S.E.C.A.: Aq. de Eq. e Mat. Perm.</t>
  </si>
  <si>
    <t>713500</t>
  </si>
  <si>
    <t>714500</t>
  </si>
  <si>
    <t>Manut. Do CREAS: Aq. de Eq. e Mat. Perm.</t>
  </si>
  <si>
    <t>Manut. Do CREAS: Obras e Instalações</t>
  </si>
  <si>
    <t>713600</t>
  </si>
  <si>
    <t>715100</t>
  </si>
  <si>
    <t>715001</t>
  </si>
  <si>
    <t>Ben. Eventuais: Auxilio-funeral</t>
  </si>
  <si>
    <t>Ben. Eventuais: Outros Beneficios Assistenciais</t>
  </si>
  <si>
    <t>Ben. Eventuais: Material P/Distribuição Gratuita</t>
  </si>
  <si>
    <t>716000</t>
  </si>
  <si>
    <t>716100</t>
  </si>
  <si>
    <t>716200</t>
  </si>
  <si>
    <t>716300</t>
  </si>
  <si>
    <t>716400</t>
  </si>
  <si>
    <t>716500</t>
  </si>
  <si>
    <t>716600</t>
  </si>
  <si>
    <t>Manut. Do CRAS: Obras e Instalações</t>
  </si>
  <si>
    <t>717000</t>
  </si>
  <si>
    <t>717100</t>
  </si>
  <si>
    <t>717200</t>
  </si>
  <si>
    <t>717300</t>
  </si>
  <si>
    <t>717400</t>
  </si>
  <si>
    <t>717500</t>
  </si>
  <si>
    <t>717600</t>
  </si>
  <si>
    <t>717700</t>
  </si>
  <si>
    <t>718000</t>
  </si>
  <si>
    <t>718100</t>
  </si>
  <si>
    <t>719000</t>
  </si>
  <si>
    <t>719100</t>
  </si>
  <si>
    <t>719200</t>
  </si>
  <si>
    <t>719300</t>
  </si>
  <si>
    <t>719400</t>
  </si>
  <si>
    <t>719500</t>
  </si>
  <si>
    <t>720000</t>
  </si>
  <si>
    <t>720100</t>
  </si>
  <si>
    <t>720200</t>
  </si>
  <si>
    <t>720300</t>
  </si>
  <si>
    <t>720400</t>
  </si>
  <si>
    <t>720500</t>
  </si>
  <si>
    <t>720600</t>
  </si>
  <si>
    <t>720700</t>
  </si>
  <si>
    <t>721000</t>
  </si>
  <si>
    <t>721100</t>
  </si>
  <si>
    <t>721200</t>
  </si>
  <si>
    <t>721300</t>
  </si>
  <si>
    <t>721400</t>
  </si>
  <si>
    <t>721500</t>
  </si>
  <si>
    <t>721600</t>
  </si>
  <si>
    <t>721700</t>
  </si>
  <si>
    <t>Man. PAEFI: Material De Consumo</t>
  </si>
  <si>
    <t>Man. PAEFI: Servicos - Pessoa Fisica</t>
  </si>
  <si>
    <t>722000</t>
  </si>
  <si>
    <t>722100</t>
  </si>
  <si>
    <t>722200</t>
  </si>
  <si>
    <t>722300</t>
  </si>
  <si>
    <t>722400</t>
  </si>
  <si>
    <t>722500</t>
  </si>
  <si>
    <t>722600</t>
  </si>
  <si>
    <t>722700</t>
  </si>
  <si>
    <t>730000</t>
  </si>
  <si>
    <t>730100</t>
  </si>
  <si>
    <t>730200</t>
  </si>
  <si>
    <t>730300</t>
  </si>
  <si>
    <t>730400</t>
  </si>
  <si>
    <t>730500</t>
  </si>
  <si>
    <t>730600</t>
  </si>
  <si>
    <t>730700</t>
  </si>
  <si>
    <t>730800</t>
  </si>
  <si>
    <t>Cons. Pop. CRANS:  Devolução de Saldo</t>
  </si>
  <si>
    <t>730900</t>
  </si>
  <si>
    <t>731000</t>
  </si>
  <si>
    <t>731100</t>
  </si>
  <si>
    <t>731200</t>
  </si>
  <si>
    <t xml:space="preserve">FMAS BPC: serv. P. Jurídica </t>
  </si>
  <si>
    <t>732000</t>
  </si>
  <si>
    <t>732100</t>
  </si>
  <si>
    <t>732200</t>
  </si>
  <si>
    <t>732300</t>
  </si>
  <si>
    <t>732400</t>
  </si>
  <si>
    <t>732500</t>
  </si>
  <si>
    <t>732600</t>
  </si>
  <si>
    <t>732700</t>
  </si>
  <si>
    <t>FMAS FEAS:  Devolucao de Saldo</t>
  </si>
  <si>
    <t>732800</t>
  </si>
  <si>
    <t>750000</t>
  </si>
  <si>
    <t>750100</t>
  </si>
  <si>
    <t>750200</t>
  </si>
  <si>
    <t>750300</t>
  </si>
  <si>
    <t>750400</t>
  </si>
  <si>
    <t>750500</t>
  </si>
  <si>
    <t>Gestão Rec. IGDBF: Diarias - Pessoal</t>
  </si>
  <si>
    <t>Gestão Rec. IGDBF: Material De Consumo</t>
  </si>
  <si>
    <t>Gestão Rec. IGDBF: Obrigacoes Tributarias E Contributivas</t>
  </si>
  <si>
    <t>Gestão Rec. IGDBF: Aq. de Equip. e Material Permanente</t>
  </si>
  <si>
    <t>Gestão Rec. IGDBF:  Servicos - Pessoa Fisica</t>
  </si>
  <si>
    <t>Gestão Rec. IGDBF: Servicos - Pessoa Juridica</t>
  </si>
  <si>
    <t>Gestão Rec. IGDBF: Mat., bens ou Serv. Distrib. Gratuita</t>
  </si>
  <si>
    <t>750600</t>
  </si>
  <si>
    <t>751000</t>
  </si>
  <si>
    <t>751100</t>
  </si>
  <si>
    <t>751200</t>
  </si>
  <si>
    <t>751300</t>
  </si>
  <si>
    <t>751400</t>
  </si>
  <si>
    <t>751600</t>
  </si>
  <si>
    <t>751700</t>
  </si>
  <si>
    <t>751800</t>
  </si>
  <si>
    <t>Gestão Rec. IGDBF:  Aq. de Materiais P/Consórcio</t>
  </si>
  <si>
    <t>Gestão Rec. IGDBF:  Serv. P. Jurídica P/Consórcio</t>
  </si>
  <si>
    <t>750700</t>
  </si>
  <si>
    <t>750800</t>
  </si>
  <si>
    <t>750900</t>
  </si>
  <si>
    <t>Gestão Rec. IGDBF: Obras e Instalações</t>
  </si>
  <si>
    <t>Gestão Rec. ACESSUAS: Diarias - Pessoal</t>
  </si>
  <si>
    <t>Gestão Rec. ACESSUAS: Material De Consumo</t>
  </si>
  <si>
    <t>Gestão Rec. ACESSUAS: Serviços de Transporte - Pronatec</t>
  </si>
  <si>
    <t>Gestão Rec. ACESSUAS: Obrigacoes Tributarias E Contributivas</t>
  </si>
  <si>
    <t>Gestão Rec. ACESSUAS:   Aq. de Materiais P/Consórcio</t>
  </si>
  <si>
    <t>Gestão Rec. ACESSUAS:  Serv. P. Jurídica P/Consórcio</t>
  </si>
  <si>
    <t>Gestão Rec. ACESSUAS: Aq. de Eq. e Mat. Perm.</t>
  </si>
  <si>
    <t>Gestão Rec. ACESSUAS: Obras e Instalações</t>
  </si>
  <si>
    <t>Gestão Rec. ACESSUAS: Mat., bens ou Serv. Distrib. Gratuita</t>
  </si>
  <si>
    <t>Gestão Rec. ACESSUAS: Servicos - Pessoa Fisica</t>
  </si>
  <si>
    <t>Gestão Rec. ACESSUAS: Servicos - Pessoa Juridica</t>
  </si>
  <si>
    <t>751900</t>
  </si>
  <si>
    <t>751401</t>
  </si>
  <si>
    <t>Gestão Rec. IGD-SUAS:  Equipamentos de Ponto Eletronico</t>
  </si>
  <si>
    <t>Gestão Rec. IGD-SUAS:  Aq. de Equip. e Material Permanente</t>
  </si>
  <si>
    <t>Gestão Rec. IGD-SUAS:  Obras e Instalações</t>
  </si>
  <si>
    <t>Gestão Rec. IGD-SUAS: Serv. P. Jurídica P/Consórcio</t>
  </si>
  <si>
    <t>Gestão Rec. IGD-SUAS:  Aq. de Materiais P/Consórcio</t>
  </si>
  <si>
    <t>Gestão Rec. IGD-SUAS: Serviços Bancários</t>
  </si>
  <si>
    <t>Gestão Rec. IGD-SUAS:  Servicos - Pessoa Juridica</t>
  </si>
  <si>
    <t>Gestão Rec. IGD-SUAS:  Servicos- Pessoa Fisica</t>
  </si>
  <si>
    <t>Gestão Rec. IGD-SUAS:  Mat., bens ou Serv. Distrib. Gratuita</t>
  </si>
  <si>
    <t>Gestão Rec. IGD-SUAS:  Material De Consumo</t>
  </si>
  <si>
    <t>Gestão Rec. IGD-SUAS:  Diarias Servidores C.C.</t>
  </si>
  <si>
    <t>Gestão Rec. IGD-SUAS:  Diarias Servidores Contratados</t>
  </si>
  <si>
    <t>Gestão Rec. IGD-SUAS:  Diarias</t>
  </si>
  <si>
    <t>752000</t>
  </si>
  <si>
    <t>752100</t>
  </si>
  <si>
    <t>752200</t>
  </si>
  <si>
    <t>752300</t>
  </si>
  <si>
    <t>752400</t>
  </si>
  <si>
    <t>752500</t>
  </si>
  <si>
    <t>752600</t>
  </si>
  <si>
    <t>752700</t>
  </si>
  <si>
    <t>752800</t>
  </si>
  <si>
    <t>752900</t>
  </si>
  <si>
    <t>752001</t>
  </si>
  <si>
    <t>752002</t>
  </si>
  <si>
    <t>752401</t>
  </si>
  <si>
    <t>752901</t>
  </si>
  <si>
    <t>Gestão Rec. IGD-SUAS: Obrigacoes Tributarias E Contributivas</t>
  </si>
  <si>
    <t>753000</t>
  </si>
  <si>
    <t>753001</t>
  </si>
  <si>
    <t>Folha PGTº PAIF: Servidores Contratados</t>
  </si>
  <si>
    <t>Folha PGTº PAIF:   Servidores Efetivos e C.C.</t>
  </si>
  <si>
    <t>Folha PGTº PAIF: Obrigacoes Patronais</t>
  </si>
  <si>
    <t>Folha PGTº PAIF:  Hora Extra</t>
  </si>
  <si>
    <t>Folha PGTº PAIF:  Auxilio-transporte</t>
  </si>
  <si>
    <t>Gestão Rec. PAIF: Diarias</t>
  </si>
  <si>
    <t>Gestão Rec. PAIF: Material De Consumo</t>
  </si>
  <si>
    <t>Gestão Rec. PAIF: Mat., bens ou Serv. Distrib. Gratuita</t>
  </si>
  <si>
    <t>Gestão Rec. PAIF: Servicos - Pessoa Fisica</t>
  </si>
  <si>
    <t>Gestão Rec. PAIF: Servicos - Pessoa Juridica</t>
  </si>
  <si>
    <t>Gestão Rec. PAIF: Obrigacoes Tributarias E Contributivas</t>
  </si>
  <si>
    <t>Gestão Rec. PAIF:  MATERIAL Aq. P/CONSÓRCIO</t>
  </si>
  <si>
    <t>Gestão Rec. PAIF:  Serv. P. Jurídica P/Consórcio</t>
  </si>
  <si>
    <t>Gestão Rec. PAIF:  Obras e Instalações</t>
  </si>
  <si>
    <t>Gestão Rec. PAIF:  Aq. de Equip. e Material Permanente</t>
  </si>
  <si>
    <t>Gestão Rec. PAIF: Ressarcimento de Despesas</t>
  </si>
  <si>
    <t>753100</t>
  </si>
  <si>
    <t>753200</t>
  </si>
  <si>
    <t>753300</t>
  </si>
  <si>
    <t>753301</t>
  </si>
  <si>
    <t>753400</t>
  </si>
  <si>
    <t>753500</t>
  </si>
  <si>
    <t>753501</t>
  </si>
  <si>
    <t>753600</t>
  </si>
  <si>
    <t>753700</t>
  </si>
  <si>
    <t>753800</t>
  </si>
  <si>
    <t>753801</t>
  </si>
  <si>
    <t>753900</t>
  </si>
  <si>
    <t>753901</t>
  </si>
  <si>
    <t>754000</t>
  </si>
  <si>
    <t>754001</t>
  </si>
  <si>
    <t>754200</t>
  </si>
  <si>
    <t>754201</t>
  </si>
  <si>
    <t>754300</t>
  </si>
  <si>
    <t>754500</t>
  </si>
  <si>
    <t>754400</t>
  </si>
  <si>
    <t>754100</t>
  </si>
  <si>
    <t>Folha PGTº SCFV: Servidores Contratados</t>
  </si>
  <si>
    <t>Folha PGTº SCFV: Hora Extra</t>
  </si>
  <si>
    <t>Folha PGTº SCFV: Obrigacoes Patronais</t>
  </si>
  <si>
    <t>Folha PGTº SCFV: Servidores Efetivos e C.C.</t>
  </si>
  <si>
    <t>Gestão Rec. SCFV: Diarias</t>
  </si>
  <si>
    <t>Gestão Rec. SCFV: Mat., bens ou Serv. Distrib. Gratuita</t>
  </si>
  <si>
    <t>Gestão Rec. SCFV: Servicos - Pessoa Fisica</t>
  </si>
  <si>
    <t>Gestão Rec. SCFV: Servicos - Pessoa Juridica</t>
  </si>
  <si>
    <t>Gestão Rec. SCFV: Obrigacoes Tributarias E Contributivas</t>
  </si>
  <si>
    <t>Gestão Rec. SCFV: Ressarcimento de Despesas</t>
  </si>
  <si>
    <t>Gestão Rec. SCFV: Serv. P. Jurídica P/Consórcio</t>
  </si>
  <si>
    <t>Gestão Rec. SCFV:  Obras e Instalações</t>
  </si>
  <si>
    <t>Gestão Rec. SCFV:  Aq. de Equip. e Material Permanente</t>
  </si>
  <si>
    <t>755000</t>
  </si>
  <si>
    <t>755100</t>
  </si>
  <si>
    <t>755300</t>
  </si>
  <si>
    <t>755200</t>
  </si>
  <si>
    <t>755400</t>
  </si>
  <si>
    <t>755500</t>
  </si>
  <si>
    <t>755600</t>
  </si>
  <si>
    <t>755700</t>
  </si>
  <si>
    <t>755800</t>
  </si>
  <si>
    <t>755900</t>
  </si>
  <si>
    <t>756000</t>
  </si>
  <si>
    <t>756100</t>
  </si>
  <si>
    <t>756200</t>
  </si>
  <si>
    <t>756300</t>
  </si>
  <si>
    <t>756400</t>
  </si>
  <si>
    <t>756500</t>
  </si>
  <si>
    <t>Gestão Rec. SCFV: Material De Consumo</t>
  </si>
  <si>
    <t>Folha PGTº Gestão SCFV::  Auxilio-transporte</t>
  </si>
  <si>
    <t>Gestão Rec. SCFV:  Material Aq. P/Consórcio</t>
  </si>
  <si>
    <t>Gestçao Rec. P.T.M.C.: Material De Consumo</t>
  </si>
  <si>
    <t>Gestçao Rec. P.T.M.C.: Servicos - Pessoa Juridica</t>
  </si>
  <si>
    <t>04 - Fundo Municipal Assistência Social – Programas Federais</t>
  </si>
  <si>
    <t>05 -  Fundo Municipal da Criança e do Adolescente</t>
  </si>
  <si>
    <t>916 Manutenção do Fundo Municipal da Criança e Adolescente</t>
  </si>
  <si>
    <t>800100</t>
  </si>
  <si>
    <t>800000</t>
  </si>
  <si>
    <t>800200</t>
  </si>
  <si>
    <t>800300</t>
  </si>
  <si>
    <t>800400</t>
  </si>
  <si>
    <t>800500</t>
  </si>
  <si>
    <t>800600</t>
  </si>
  <si>
    <t>800700</t>
  </si>
  <si>
    <t>800900</t>
  </si>
  <si>
    <t>801000</t>
  </si>
  <si>
    <t>Gestão do F.M.C.A.: Diarias - Pessoal</t>
  </si>
  <si>
    <t>Gestão do F.M.C.A.: Material De Consumo</t>
  </si>
  <si>
    <t>Gestão do F.M.C.A.: Mat., bens ou Serv. Distrib. Gratuita</t>
  </si>
  <si>
    <t>Gestão do F.M.C.A.: Servicos - Pessoa Fisica</t>
  </si>
  <si>
    <t>Gestão do F.M.C.A.: Obrigacoes Tributarias E Contributivas</t>
  </si>
  <si>
    <t>Gestão do F.M.C.A.: Servicos - Pessoa Juridica</t>
  </si>
  <si>
    <t>Gestão do F.M.C.A.: Aq. de Materiais P/Consórcio</t>
  </si>
  <si>
    <t>Gestão do F.M.C.A.: Serv. P. Jurídica P/Consórcio</t>
  </si>
  <si>
    <t>Gestão do F.M.C.A.: Obras e Instalações</t>
  </si>
  <si>
    <t>Gestão do F.M.C.A.: Aq. de Equip. e Material Permanente</t>
  </si>
  <si>
    <t>Gestão do F.M.C.A.: Ressarcimento de Despesas</t>
  </si>
  <si>
    <t>800800</t>
  </si>
  <si>
    <t>Gestão, Coordenação e Planej. do Conselho Mun. de Assistência Social</t>
  </si>
  <si>
    <t>06 - Gestão, Coordenação e Planej. do Conselho Mun. de Assistência Social</t>
  </si>
  <si>
    <t>Gestão do C.M.A.S.:  Material De Consumo</t>
  </si>
  <si>
    <t>Gestão do C.M.A.S.: Mat., bens ou Serv. Distrib. Gratuita</t>
  </si>
  <si>
    <t>Gestão do C.M.A.S.:  Servicos - Pessoa Juridica</t>
  </si>
  <si>
    <t>Gestão do C.M.A.S.:  Obrigacoes Tributarias E Contributivas</t>
  </si>
  <si>
    <t>Gestão do C.M.A.S.:  Aq. de Equip. e Material Permanente</t>
  </si>
  <si>
    <t>GGestão do C.M.A.S.: Servicos - Pessoa Fisica</t>
  </si>
  <si>
    <t>802000</t>
  </si>
  <si>
    <t>802100</t>
  </si>
  <si>
    <t>802200</t>
  </si>
  <si>
    <t>802300</t>
  </si>
  <si>
    <t>802400</t>
  </si>
  <si>
    <t>802500</t>
  </si>
  <si>
    <t>802600</t>
  </si>
  <si>
    <t>915 Manutenção e Organização do Conselho de Assist. Social</t>
  </si>
  <si>
    <t>Gestão do C.M.A.S.: Diarias</t>
  </si>
  <si>
    <t>CONVENIO PARA APOIO A BRIGADA MILITAR</t>
  </si>
  <si>
    <t>Estimativa de Valor para Desp. C/Material De Consumo</t>
  </si>
  <si>
    <t>Estimativa de Valor para Desp. C/Outros Servicos De Terceiros - Pessoa Fisica</t>
  </si>
  <si>
    <t>Estimativa de Valor para Desp. C/Outros Servicos De Terceiros - Pessoa Jurídica</t>
  </si>
  <si>
    <t>Estimativa de Valor para Desp. C/Outros Servicos De Terceiros - Pessoa Jurídica M.E.I.</t>
  </si>
  <si>
    <t>Estimativa de Valor para Desp. C/Material, Bem Ou Serviço Para Distribuição Gratuita</t>
  </si>
  <si>
    <t>Estimativa de Valor para Desp. C/Obras e Instalações</t>
  </si>
  <si>
    <t>Estimativa de Valor para Desp. C/Equipamentos e Material Permanente</t>
  </si>
  <si>
    <t xml:space="preserve">APOIO E PREV. DE EVENTOS E DESESASTRES </t>
  </si>
  <si>
    <t>AQUISIÇÃO E MODERNIZAÇÃO DA FROTA DE VEÍCULOS</t>
  </si>
  <si>
    <t>8001</t>
  </si>
  <si>
    <t>Estimativa de Valor para Desp. C/Devolução de Saldo Recurso 1155</t>
  </si>
  <si>
    <t>Estimativa de Valor para Desp. C/Material de Consumo  Recurso 1155</t>
  </si>
  <si>
    <t>Estimativa de Valor para Desp. C/Material de Consumo - Contra Partida  Recurso 1155</t>
  </si>
  <si>
    <t>Estimativa de Valor para Desp. C/Servicos De Terceiros - Pessoa Fisica Recurso 1155</t>
  </si>
  <si>
    <t>Estimativa de Valor para Desp. C/Servicos De Terceiros - Pessoa Jurídica Recurso 1155</t>
  </si>
  <si>
    <t>Estimativa de Valor para Desp. C/Obrigacoes Tributarias E Contributivas Recurso 1155</t>
  </si>
  <si>
    <t>4.1.7.2.2.33.00.99.0700</t>
  </si>
  <si>
    <t>Prestador de Serviços Sus/Produção</t>
  </si>
  <si>
    <t>Estimativa de Transferencias do Estado - Prestador de Serviços Sus/Produção</t>
  </si>
  <si>
    <t>AQUISIÇÃO DE EQUIPAMENTOS E MATERIAL PERMANENTE</t>
  </si>
  <si>
    <t>Estimativa de valor para Desp. C/Custo de Aquisição de Equip. e Mat. Perm.  - Servicos P. Física</t>
  </si>
  <si>
    <t>Estimativa de valor para Desp. C/Custo de Aquisição de Equip. e Mat. Perm.  - Servicos P. Jurídica</t>
  </si>
  <si>
    <t>Estimativa de valor para Desp. C/Custo de Aquisição de Equip. e Mat. Perm.  - Servicos M.E.I.</t>
  </si>
  <si>
    <t>Estimativa de valor para Desp. C/Custo de Aquisição de Equip. e Mat. Perm.  - Material de Consumo M.E.I.</t>
  </si>
  <si>
    <t>CONSTRUÇÃO, AMPLIAÇÃO E REFORMA DE PRÉDIOS</t>
  </si>
  <si>
    <t>Estimativa de Valor para Desp C/Const., Ampl. e Reforma:  Material De Consumo</t>
  </si>
  <si>
    <t>Estimativa de Valor para Desp C/Const., Ampl. e Reforma:  Obras e Instalações</t>
  </si>
  <si>
    <t>Estimativa de Valor para Desp C/Const., Ampl. e Reforma:  Material De Consumo M.E.I.</t>
  </si>
  <si>
    <t>Estimativa de Valor para Desp C/ Const., Ampl. e Reforma:  Servicos - Pessoa Juridica M.E.I.</t>
  </si>
  <si>
    <t>Estimativa de Valor para Desp C/ Const., Ampl. e Reforma:  Servicos - Pessoa Fisica</t>
  </si>
  <si>
    <t>Estimativa de Valor para Desp C/Const., Ampl. e Reforma:  Servicos - Pessoa Juridica</t>
  </si>
  <si>
    <t>Custo de Const., Ampl. e Reforma:  Servicos - Pessoa Fisica</t>
  </si>
  <si>
    <t>Custo de Const., Ampl. e Reforma:  Servicos - Pessoa Juridica</t>
  </si>
  <si>
    <t>Custo de Aquisição:  Servicos - Pessoa Fisica</t>
  </si>
  <si>
    <t>Custo de Aquisição:  Servicos - Pessoa Juridica</t>
  </si>
  <si>
    <t>Estimativa de Valor para Desp C/Custo de Aquisição:  Material De Consumo</t>
  </si>
  <si>
    <t>Estimativa de Valor para Desp C/Custo de Aquisição:  Servicos - Pessoa Fisica</t>
  </si>
  <si>
    <t>Estimativa de Valor para Desp C/Custo de Aquisição:  Servicos - Pessoa Juridica</t>
  </si>
  <si>
    <t>Estimativa de Valor para Desp C/Custo de Aquisição:  Equip. e Material Permanente</t>
  </si>
  <si>
    <t>Estimativa de Valor para Desp C/Custo de Aquisição:  Material De Consumo M.E.I.</t>
  </si>
  <si>
    <t>Estimativa de Valor para Desp C/Custo de Aquisição:  Servicos - Pessoa Juridica M.E.I.</t>
  </si>
  <si>
    <t>CUSTEIO OPERACIONAL DO PODER EXECUTIVO</t>
  </si>
  <si>
    <t>Estimativa de Valor para Desp C/Serviços Extraordinários servidores Efetivos e Contratados</t>
  </si>
  <si>
    <t>Estimativa de Valor para Desp. C/Material de Consumo M.E.I.</t>
  </si>
  <si>
    <t>Estimativa de Valor para Desp. C/Desp. C/Locomoção</t>
  </si>
  <si>
    <t>Estimativa de Valor para Desp. C/Aq. Materiais P/Consórcio</t>
  </si>
  <si>
    <t>CONVENIOS E PARCERIAS</t>
  </si>
  <si>
    <t>GERENCIAM. DE SIST. DE INFORMÁTICA E COMUNICAÇÃO</t>
  </si>
  <si>
    <t>Estimativa de Valor para Desp C/Prog. Ed. Fisc. Integ. Trib. : Material De Consumo</t>
  </si>
  <si>
    <t>Estimativa de Valor para Desp C/Prog. Ed. Fisc. Integ. Trib. : Premiações</t>
  </si>
  <si>
    <t>Estimativa de Valor para Desp C/Prog. Ed. Fisc. Integ. Trib. : Material P/Divulgação</t>
  </si>
  <si>
    <t>Estimativa de Valor para Desp C/Prog. Ed. Fisc. Integ. Trib. : Serv. - Pessoa Fisica</t>
  </si>
  <si>
    <t>Estimativa de Valor para Desp C/Prog. Ed. Fisc. Integ. Trib. : Serv. - Pessoa Juridica</t>
  </si>
  <si>
    <t>Estimativa de Valor para Desp C/Prog. Ed. Fisc. Integ. Trib. : Aq. Equip. e Outros</t>
  </si>
  <si>
    <t>PROG. DE EDUC. FISCAL E INTEGRAÇAO TRIBUTÁRITARIA</t>
  </si>
  <si>
    <t>Estimativa de Valor para Desp C/Prog. Ed. Fisc. Integ. Trib. : Material De Consumo M.E.I.</t>
  </si>
  <si>
    <t>Estimativa de Valor para Desp C/Prog. Ed. Fisc. Integ. Trib. : Serv. - Pessoa Juridica M.E.I.</t>
  </si>
  <si>
    <t>Estimativa de Valor para Desp C/Aquisição de Veículo</t>
  </si>
  <si>
    <t>AQUISIÇÃO DE EQUIPAMENTOS E SISTEMAS DE INFORMÁTICA</t>
  </si>
  <si>
    <t>Estimativa de Valor para Desp C/Material Bem ou Serviço para Distribuição Gratuita</t>
  </si>
  <si>
    <t>Estimativa de Valor para Desp C/Despesa com Locomoção</t>
  </si>
  <si>
    <t>Estimativa de Valor para Desp C/Locação</t>
  </si>
  <si>
    <t>Estimativa de Valor para Desp C/Servicos - Pessoa Juridica</t>
  </si>
  <si>
    <t>Estimativa de Valor para Desp C/Servicos - Pessoa Juridica M.E.I.</t>
  </si>
  <si>
    <t>Estimativa de Valor para Desp C/Servicos - Pessoa Fisica</t>
  </si>
  <si>
    <t>Estimativa de Valor para Desp C/Material De Consumo M.E.I.</t>
  </si>
  <si>
    <t>Estimativa de Valor para Desp C/Material De Consumo</t>
  </si>
  <si>
    <t xml:space="preserve"> Abertura, Ampliação e Pavimentação  de Vias Urbanas</t>
  </si>
  <si>
    <t>Construção, Manutenção de Cemiterio e Capela Mortuária</t>
  </si>
  <si>
    <t>Estimativa de Valor para Desp C/Const. Ampl. Pav. de Vias: Material de Consumo</t>
  </si>
  <si>
    <t>Estimativa de Valor para Desp C/Const. Ampl. Pav. de Vias: Material de Consumo M.E.I.</t>
  </si>
  <si>
    <t>Estimativa de Valor para Desp C/Const. Ampl. Pav. de Vias: Serv. - Pessoa Fisica</t>
  </si>
  <si>
    <t>Estimativa de Valor para Desp C/Const. Ampl. Pav. de Vias: Serv. - Pessoa Juridica</t>
  </si>
  <si>
    <t>Estimativa de Valor para Desp C/Const. Ampl. Pav. de Vias: Serv. - Pessoa Juridica M.E.I.</t>
  </si>
  <si>
    <t>Estimativa de Valor para Desp C/Const. Ampl. Pav. de Vias:  Obras e Instalações</t>
  </si>
  <si>
    <t>Estimativa de Valor para Desp C/Const. Manut. Cem. Cap. Mort.: Material de Consumo</t>
  </si>
  <si>
    <t>Estimativa de Valor para Desp C/Const. Manut. Cem. Cap. Mort.: Material de Consumo M.E.I.</t>
  </si>
  <si>
    <t>Estimativa de Valor para Desp C/Const. Manut. Cem. Cap. Mort.: Serv. - Pessoa Física</t>
  </si>
  <si>
    <t>Estimativa de Valor para Desp C/Const. Manut. Cem. Cap. Mort.: Serv. - Pessoa Juridica</t>
  </si>
  <si>
    <t>Estimativa de Valor para Desp C/Const. Manut. Cem. Cap. Mort.: Serv. - Pessoa Juridica M.E.I.</t>
  </si>
  <si>
    <t>Estimativa de Valor para Desp C/Const. Manut. Cem. Cap. Mort.: Obras e Instalações</t>
  </si>
  <si>
    <t>Estimativa de Valor para Desp C/Const. Manut. Cem. Cap. Mort.:  Eq. e Mat. Perm.</t>
  </si>
  <si>
    <t>MANUTENÇÃO FUNDO MUN. ILUM. PUBLICA LEI 946/2013</t>
  </si>
  <si>
    <t>Estimativa de Valor para Desp C/Manut. Ilim. Pública Urbana: Material de Consumo</t>
  </si>
  <si>
    <t>Estimativa de Valor para Desp C/Manut. Ilim. Pública Urbana: Material de Consumo M.E.I.</t>
  </si>
  <si>
    <t>Estimativa de Valor para Desp C/Manut. Ilim. Pública Urbana:  Serv. - Pessoa Física</t>
  </si>
  <si>
    <t>Estimativa de Valor para Desp C/Manut. Ilim. Pública Urbana: Serv. - Pessoa Juridica</t>
  </si>
  <si>
    <t>Estimativa de Valor para Desp C/Manut. Ilim. Pública Urbana: Serv. - Pessoa Juridica M.E.I.</t>
  </si>
  <si>
    <t>Estimativa de Valor para Desp C/Manut. Ilim. Pública Urbana:  Obras e Instalações</t>
  </si>
  <si>
    <t>Estimativa de Valor para Desp C/Manut. Ilim. Pública Urbana:  Eq. e Mat. Perm.</t>
  </si>
  <si>
    <t>MANUTENÇÃO DO PORTICO</t>
  </si>
  <si>
    <t>Estimativa de Valor para Desp C/Manut. Pórticos: Material de Consumo</t>
  </si>
  <si>
    <t>Estimativa de Valor para Desp C/Manut. Pórticos: Material de Consumo M.E.I.</t>
  </si>
  <si>
    <t>Estimativa de Valor para Desp C/Manut. Pórticos:  Serv. - Pessoa Física</t>
  </si>
  <si>
    <t>Estimativa de Valor para Desp C/Manut. Pórticos: Serv. - Pessoa Juridica</t>
  </si>
  <si>
    <t>Estimativa de Valor para Desp C/Manut. Pórticos: Serv. - Pessoa Juridica M.E.I.</t>
  </si>
  <si>
    <t>Estimativa de Valor para Desp C/Manut. Pórticos: Obras e Instalações</t>
  </si>
  <si>
    <t>Estimativa de Valor para Desp C/Manut. Pórticos: Eq. e Mat. Perm.</t>
  </si>
  <si>
    <t>COLETA, TRANSPORTE DE LIXO E DISPOSIÇÃO FINAL</t>
  </si>
  <si>
    <t>Estimativa de Valor para Desp C/Coleta, Transp. de Lixo e Disp. Final: Material de Consumo</t>
  </si>
  <si>
    <t>Estimativa de Valor para Desp C/Coleta, Transp. de Lixo e Disp. Final: Material de Consumo  M.E.I.</t>
  </si>
  <si>
    <t>Estimativa de Valor para Desp C/Coleta, Transp. de Lixo e Disp. Final: Serv. - Pessoa Física</t>
  </si>
  <si>
    <t>Estimativa de Valor para Desp C/Coleta, Transp. de Lixo e Disp. Final: Serv. - Pessoa Juridica</t>
  </si>
  <si>
    <t>Estimativa de Valor para Desp C/Coleta, Transp. de Lixo e Disp. Final: Serv. - Pessoa Juridica  M.E.I.</t>
  </si>
  <si>
    <t>Estimativa de Valor para Desp C/Coleta, Transp. de Lixo e Disp. Final: Obras e Instalações</t>
  </si>
  <si>
    <t>Estimativa de Valor para Desp C/Coleta, Transp. de Lixo e Disp. Final: Eq. e Mat. Perm.</t>
  </si>
  <si>
    <t>31900</t>
  </si>
  <si>
    <t>Coleta, Transp. de Lixo e Disp. Final: Diárias</t>
  </si>
  <si>
    <t>32380</t>
  </si>
  <si>
    <t>Coleta, Transp. de Lixo e Disp. Final: Ressarc. de Despesas</t>
  </si>
  <si>
    <t>Estimativa de Valor para Desp C/Coleta, Transp. de Lixo e Disp. Final: Diárias</t>
  </si>
  <si>
    <t>Estimativa de Valor para Desp C/Coleta, Transp. de Lixo e Disp. Final: Ressarc. de Despesas</t>
  </si>
  <si>
    <t>Estimativa de Valor para Desp C/Imp. e Man. Ilum. Pública: Material de Consumo</t>
  </si>
  <si>
    <t>Estimativa de Valor para Desp C/Imp. e Man. Ilum. Pública: Material de Consumo M.E.I.</t>
  </si>
  <si>
    <t>Estimativa de Valor para Desp C/Imp. e Man. Ilum. Pública: Serv. - Pessoa Física</t>
  </si>
  <si>
    <t>Estimativa de Valor para Desp C/Imp. e Man. Ilum. Pública: Serv. - Pessoa Juridica</t>
  </si>
  <si>
    <t>Estimativa de Valor para Desp C/Imp. e Man. Ilum. Pública: Serv. - Pessoa Juridica M.E.I.</t>
  </si>
  <si>
    <t>Estimativa de Valor para Desp C/Imp. e Man. Ilum. Pública: Obras e Instalações</t>
  </si>
  <si>
    <t>Estimativa de Valor para Desp C/Imp. e Man. Ilum. Pública: Eq. e Mat. Perm.</t>
  </si>
  <si>
    <t>IMPL. MAN. E AMPL. DA ILUM. PUBLICA NO MEIO RURAL</t>
  </si>
  <si>
    <t>Manutenção recursos do FEP</t>
  </si>
  <si>
    <t>CONSTRUÇÃO E REFORMA DE PONTES E BUEIROS</t>
  </si>
  <si>
    <t>Estimativa de Valor para Desp C/Aq. de Maq. Veic. e Caminhoes:  Material de Consumo</t>
  </si>
  <si>
    <t>Estimativa de Valor para Desp C/Aq. de Maq. Veic. e Caminhoes:  Serv. - Pessoa Física</t>
  </si>
  <si>
    <t>Estimativa de Valor para Desp C/Aq. de Maq. Veic. e Caminhoes:  Serv. - Pessoa Juridica</t>
  </si>
  <si>
    <t>Estimativa de Valor para Desp C/Aq. de Maq. Veic. e Caminhoes: Maquinas, Veic. e Caminhoes</t>
  </si>
  <si>
    <t>AQUISIÇÃO DE MÁQUINAS, VEÍCULOS E CAMINHÕES</t>
  </si>
  <si>
    <t>Estimativa de Valor para Desp C/Aq. de Maq. Veic. e Caminhoes:  Material de Consumo M.E.I.</t>
  </si>
  <si>
    <t>Estimativa de Valor para Desp C/Aq. de Maq. Veic. e Caminhoes:  Serv. - Pessoa Juridica M.E.I.</t>
  </si>
  <si>
    <t>Estimativa de Valor para Desp C/Const. e Reforma de Pontes e Bueiros: Material de Consumo</t>
  </si>
  <si>
    <t>Estimativa de Valor para Desp C/Const. e Reforma de Pontes e Bueiros: Serv. - Pessoa Física</t>
  </si>
  <si>
    <t>Estimativa de Valor para Desp C/Const. e Reforma de Pontes e Bueiros: Serv. - Pessoa Juridica</t>
  </si>
  <si>
    <t>Estimativa de Valor para Desp C/Const. e Reforma de Pontes e Bueiros: Obras e Instalações</t>
  </si>
  <si>
    <t>Estimativa de Valor para Desp C/Const. e Reforma de Pontes e Bueiros: Eq. e Mat. Perm.</t>
  </si>
  <si>
    <t>Estimativa de Valor para Desp C/Const. e Reforma de Pontes e Bueiros: Material de Consumo M.E.I.</t>
  </si>
  <si>
    <t>Estimativa de Valor para Desp C/Const. e Reforma de Pontes e Bueiros: Serv. - Pessoa Juridica M.E.I.</t>
  </si>
  <si>
    <t>MANUTENÇÃO DE VIAS MUNICIPAIS</t>
  </si>
  <si>
    <t>Estimativa de Valor para Desp C/Manutenção de vias Municipais: Material de Consumo</t>
  </si>
  <si>
    <t>Estimativa de Valor para Desp C/Manutenção de vias Municipais: Material de Consumo M.E.I.</t>
  </si>
  <si>
    <t>Estimativa de Valor para Desp C/Manutenção de vias Municipais: Serv. - Pessoa Física</t>
  </si>
  <si>
    <t>Estimativa de Valor para Desp C/Manutenção de vias Municipais: Serv. - Pessoa Juridica</t>
  </si>
  <si>
    <t>Estimativa de Valor para Desp C/Manutenção de vias Municipais: Serv. - Pessoa Juridica M.E.I.</t>
  </si>
  <si>
    <t>Estimativa de Valor para Desp C/Manutenção de vias Municipais: Obras e Instalações</t>
  </si>
  <si>
    <t>Estimativa de Valor para Desp C/Manutenção de vias Municipais: Eq. e Mat. Perm.</t>
  </si>
  <si>
    <t>MANUTENÇÃO DA FROTA DE VEÍCULOS E MAQUINAS</t>
  </si>
  <si>
    <t>Construção e Manutenção de Abrigos de Passageiro</t>
  </si>
  <si>
    <t>Construção e Manutenção de Predio para parque de Maquinas</t>
  </si>
  <si>
    <t>Estimativa de Valor para Desp C/Manut. da Frota de Veiculos e Maq.: Material de Consumo M.E.I.</t>
  </si>
  <si>
    <t>Estimativa de Valor para Desp C/Manut. da Frota de Veiculos e Maq.: Serv. - Pessoa Física</t>
  </si>
  <si>
    <t>Estimativa de Valor para Desp C/Manut. da Frota de Veiculos e Maq.: Serv. - Pessoa Juridica</t>
  </si>
  <si>
    <t>Estimativa de Valor para Desp C/Manut. da Frota de Veiculos e Maq.: Serv. - Pessoa Juridica M.E.I.</t>
  </si>
  <si>
    <t>Estimativa de Valor para Desp C/Manut. da Frota de Veiculos e Maq.: Eq. e Mat. Perm.</t>
  </si>
  <si>
    <t>Estimativa de Valor para Desp C/Const. e Manut. de Abrigos de Passag.: Material de Consumo</t>
  </si>
  <si>
    <t>Estimativa de Valor para Desp C/Const. e Manut. de Abrigos de Passag.: Material de Consumo M.E.I.</t>
  </si>
  <si>
    <t>Estimativa de Valor para Desp C/Const. e Manut. de Abrigos de Passag.: Serv. - Pessoa Física</t>
  </si>
  <si>
    <t>Estimativa de Valor para Desp C/Const. e Manut. de Abrigos de Passag.: Serv. - Pessoa Juridica</t>
  </si>
  <si>
    <t>Estimativa de Valor para Desp C/Const. e Manut. de Abrigos de Passag.: Serv. - Pessoa Juridica M.E.I.</t>
  </si>
  <si>
    <t>Estimativa de Valor para Desp C/Const. e Manut. de Abrigos de Passag.: Obras e Instalações</t>
  </si>
  <si>
    <t>Estimativa de Valor para Desp C/Const. e Manut. de Abrigos de Passag.: Eq. e Mat. Perm.</t>
  </si>
  <si>
    <t>Estimativa de Valor para Desp C/Const. e Manut. Predio e Parque Maq.: Material de Consumo</t>
  </si>
  <si>
    <t>Estimativa de Valor para Desp C/Const. e Manut. Predio e Parque Maq.: Material de Consumo M.E.I.</t>
  </si>
  <si>
    <t>Estimativa de Valor para Desp C/Const. e Manut. Predio e Parque Maq.: Serv. - Pessoa Física</t>
  </si>
  <si>
    <t>Estimativa de Valor para Desp C/Const. e Manut. Predio e Parque Maq.: Serv. - Pessoa Juridica</t>
  </si>
  <si>
    <t>Estimativa de Valor para Desp C/Const. e Manut. Predio e Parque Maq.: Serv. - Pessoa Juridica M.E.I.</t>
  </si>
  <si>
    <t>Estimativa de Valor para Desp C/Const. e Manut. Predio e Parque Maq.: Obras e Instalações</t>
  </si>
  <si>
    <t>Estimativa de Valor para Desp C/Const. e Manut. Predio e Parque Maq.: Eq. e Mat. Perm.</t>
  </si>
  <si>
    <t>MANUTENÇÃO RECURSOS DA CIDE</t>
  </si>
  <si>
    <t>Estimativa de Valor para Desp C/Aplicação Recursos da CIDE: Material de Consumo</t>
  </si>
  <si>
    <t>Estimativa de Valor para Desp C/Aplicação Recursos da CIDE: Material de Consumo M.E.I.</t>
  </si>
  <si>
    <t>Estimativa de Valor para Desp C/Aplicação Recursos da CIDE: Serv. - Pessoa Física</t>
  </si>
  <si>
    <t>Estimativa de Valor para Desp C/Aplicação Recursos da CIDE: Serv. - Pessoa Juridica</t>
  </si>
  <si>
    <t>Estimativa de Valor para Desp C/Aplicação Recursos da CIDE: Serv. - Pessoa Juridica M.E.I.</t>
  </si>
  <si>
    <t>Estimativa de Valor para Desp C/Aplicação Recursos da CIDE: Obras e Instalações</t>
  </si>
  <si>
    <t>Estimativa de Valor para Desp C/Aplicação Recursos da CIDE: Eq. e Mat. Perm.</t>
  </si>
  <si>
    <t>Aplicação Recursos do FEP: Material de Consumo M.E.I.</t>
  </si>
  <si>
    <t>Aplicação Recursos do FEP:  Serv. - Pessoa Juridica M.E.I.</t>
  </si>
  <si>
    <t>Aplicação Recursos de Hora Máq.: Material de Consumo M.E.I.</t>
  </si>
  <si>
    <t>Aplicação Recursos de Hora Máq.: Serv. - Pessoa Juridica M.E.I.</t>
  </si>
  <si>
    <t>Manutenção de Recurso Horas Máquina</t>
  </si>
  <si>
    <t>Aplicação Recursos do FEP: Obrig. Trib. e Contrib. PASEP</t>
  </si>
  <si>
    <t>Aplicação Recursos do FEP: Obrig. Trib. e Contrib. INSS S/Serviços</t>
  </si>
  <si>
    <t>Estimativa de Valor para Desp C/Aplicação  Recursos da CIDE: Obrig. Trib. e Contrib. INSS S/Serviços</t>
  </si>
  <si>
    <t>Estimativa de Valor para Desp C/Aplicação  Recursos da CIDE: Obrig. Trib. e Contrib. PASEP</t>
  </si>
  <si>
    <t>Gest. Coord. Un. Agricultura: Material de Consumo</t>
  </si>
  <si>
    <t>Gest. Coord. Un. Agricultura: Material Distrib. Grat.</t>
  </si>
  <si>
    <t>Gest. Coord. Un. Agricultura: Serv. - Pessoa Fisica</t>
  </si>
  <si>
    <t>Gest. Coord. Un. Agricultura: Serv. - Pessoa Juridica</t>
  </si>
  <si>
    <t>Gest. Coord. Un. Agricultura: Obrigacoes Tributarias E Contributivas</t>
  </si>
  <si>
    <t>Gest. Coord. Un. Agricultura: Ressarcimento de Despesas</t>
  </si>
  <si>
    <t>Gest. Coord. Un. Agricultura: Material de Consumo - Aq. Por Consórcio</t>
  </si>
  <si>
    <t>Gest. Coord. Un. Agricultura: Eq. e Mat. Perm.</t>
  </si>
  <si>
    <t>Gest. Coord. Un. Agricultura: Folha PGTº: Horas Extras</t>
  </si>
  <si>
    <t>Gest. Coord. Un. Agricultura: Folha PGTº: Obrigações Patronais</t>
  </si>
  <si>
    <t>Gest. Coord. Un. Agricultura:  Folha PGTº: Servidores Contratados</t>
  </si>
  <si>
    <t>60000</t>
  </si>
  <si>
    <t>60100</t>
  </si>
  <si>
    <t>60200</t>
  </si>
  <si>
    <t>60300</t>
  </si>
  <si>
    <t>60400</t>
  </si>
  <si>
    <t>60700</t>
  </si>
  <si>
    <t>60800</t>
  </si>
  <si>
    <t>60900</t>
  </si>
  <si>
    <t>61000</t>
  </si>
  <si>
    <t>61100</t>
  </si>
  <si>
    <t>61200</t>
  </si>
  <si>
    <t>61300</t>
  </si>
  <si>
    <t>729 GESTÃO, COORD. E PLANEJ. UNIDADE DE AGRICULTURA</t>
  </si>
  <si>
    <t>Gest. Coord. Un. Agropec. : Folha PGTº: Servidores Contratados</t>
  </si>
  <si>
    <t>Gest. Coord. Un. Agropec. : Folha PGTº: Servidores Efetivos, C.C. e F.G.</t>
  </si>
  <si>
    <t>Gest. Coord. Un. Agropec. : Folha PGTº: Obrigações Patronais</t>
  </si>
  <si>
    <t>Gest. Coord. Un. Agropec. : Folha PGTº: Horas Extras</t>
  </si>
  <si>
    <t>Gest. Coord. Un. Agropec. : Diárias P/Servidores Contratados, Efetivos, C.C. e F.G.</t>
  </si>
  <si>
    <t>Gest. Coord. Un. Agropec. : Folha de Pagamento: Auxilio-Transporte</t>
  </si>
  <si>
    <t>Gest. Coord. Un. Agricultura: Folha PGTº: Serv. Efetivos, C.C. e F.G.</t>
  </si>
  <si>
    <t>Gest. Coord. Un. Agricultura: Diárias P/Serv. Cont., Efet., C.C. e F.G.</t>
  </si>
  <si>
    <t>Gest. Coord. Un. Agricultura: Folha de Pagamento: Auxilio-Transporte</t>
  </si>
  <si>
    <t>Gest. Coord. Un. Agricultura: Despesas C/Locomoção</t>
  </si>
  <si>
    <t>Gest. Coord. Un. Agropec. : Despesas C/Locomoção</t>
  </si>
  <si>
    <t>INSS - Vencimentos Serv. Contratados</t>
  </si>
  <si>
    <t>Vencimentos Serv. Contratados</t>
  </si>
  <si>
    <t xml:space="preserve">Férias Indenizadas Serv. Contratado </t>
  </si>
  <si>
    <t>13º Salário Serv. Contratado</t>
  </si>
  <si>
    <t xml:space="preserve">Adicional Noturo Serv. Contratados </t>
  </si>
  <si>
    <t>Ferias Indenizadas Sec. Mun. Agricul. e do Meio Amb.</t>
  </si>
  <si>
    <t>13º Salario SSec. Mun. Agricul. e do Meio Amb.</t>
  </si>
  <si>
    <t>Férias Sec. Mun. Agricul. e do Meio Amb.</t>
  </si>
  <si>
    <t>Subsidios  Sec. Mun. Agricul. e do Meio Amb.</t>
  </si>
  <si>
    <t>INSS Patronal - Vencimentos: Sec. Mun. Agricul. e do Meio Amb.</t>
  </si>
  <si>
    <t>Diarias - Sec. Mun. Agricul. e do Meio Amb.</t>
  </si>
  <si>
    <t>Seleção e Treinamento : Sec. Mun. Agricul. e do Meio Amb.</t>
  </si>
  <si>
    <t>Conta de Energia Elétrica - SMAG</t>
  </si>
  <si>
    <t>Conta de Água - SMAG</t>
  </si>
  <si>
    <t>Estimativa de Valor para Desp C/Bolsa Auxilio Estagiários</t>
  </si>
  <si>
    <t>Telefone Fixo - SMAG</t>
  </si>
  <si>
    <t>Estimativa de Valor para Desp C/Custo de Aq. Pat. Agricola: Obrig. Trib. e Contributivas</t>
  </si>
  <si>
    <t>Estimativa de Valor para Desp C/Custo de Aq. Pat. Agricola: Material De Consumo</t>
  </si>
  <si>
    <t>Estimativa de Valor para Desp C/Custo de Aq. Pat. Agricola: Servicos - Pessoa Fisica</t>
  </si>
  <si>
    <t>Estimativa de Valor para Desp C/Custo de Aq. Pat. Agricola: Servicos - Pessoa Juridica</t>
  </si>
  <si>
    <t>Estimativa de Valor para Desp C/Custo de Aq. Pat. Agricola: Aq. de Maq. e Implem. Agric.</t>
  </si>
  <si>
    <t>Estimativa de Valor para Desp C/Custo de Aq. Maq. P/Colheita de Grãos:  Material De Consumo</t>
  </si>
  <si>
    <t>Estimativa de Valor para Desp C/Custo de Aq. Maq. P/Colheita de Grãos:  Servicos - Pessoa Fisica</t>
  </si>
  <si>
    <t>Estimativa de Valor para Desp C/Custo de Aq. Maq. P/Colheita de Grãos:  Servicos - Pessoa Juridica</t>
  </si>
  <si>
    <t>Estimativa de Valor para Desp C/Custo de Aq. Maq. P/Colheita de Grãos:  Aq. de Maq. e Implem. Agric.</t>
  </si>
  <si>
    <t>Estimativa de Valor para Desp C/Custo de Aq. Maq. P/Colheita de Grãos: Obrig. Trib. e Contributivas</t>
  </si>
  <si>
    <t>Aquisição de Maquina para Colheita de Grãos</t>
  </si>
  <si>
    <t xml:space="preserve"> AQUISIÇÃO DE VEÍCULOS E UTILITÁRIOS</t>
  </si>
  <si>
    <t xml:space="preserve"> Apoio Tecnico</t>
  </si>
  <si>
    <t>Estimativa de Valor para Desp C/Custo de Aq. Veic. e Utilitarios: Obrig. Trib. e Contributivas</t>
  </si>
  <si>
    <t>Estimativa de Valor para Desp C/Custo de Aq. Veic. e Utilitarios: Material De Consumo</t>
  </si>
  <si>
    <t>Estimativa de Valor para Desp C/Custo de Aq. Veic. e Utilitarios:  Servicos - Pessoa Fisica</t>
  </si>
  <si>
    <t>Estimativa de Valor para Desp C/Custo de Aq. Veic. e Utilitarios:  Servicos - Pessoa Juridica</t>
  </si>
  <si>
    <t>Estimativa de Valor para Desp C/Custo de Aq. Veic. e Utilitarios: Aq. de Veiculos e Utilitários</t>
  </si>
  <si>
    <t>Estimativa de Valor para Desp C/Apoio Técnico: Material de Consumo</t>
  </si>
  <si>
    <t>Estimativa de Valor para Desp C/Apoio Técnico: Material de Consumo  M.E.I.</t>
  </si>
  <si>
    <t>Estimativa de Valor para Desp C/Apoio Técnico: Serv. - Pessoa Fisica</t>
  </si>
  <si>
    <t>Estimativa de Valor para Desp C/Apoio Técnico:  Serv. - Pessoa Juridica</t>
  </si>
  <si>
    <t>Estimativa de Valor para Desp C/Apoio Técnico:  Serv. - Pessoa Juridica M.E.I.</t>
  </si>
  <si>
    <t>Estimativa de Valor para Desp C/Apoio Técnico: EMATER</t>
  </si>
  <si>
    <t>Estimativa de Valor para Desp C/Apoio Técnico:  Equip. e Material Permanente</t>
  </si>
  <si>
    <t>Realização de Convenios</t>
  </si>
  <si>
    <t>Estimativa de Valor para Desp C/Manut. Maq. Convenio Estado: Material de Consumo</t>
  </si>
  <si>
    <t>Estimativa de Valor para Desp C/Manut. Maq. Convenio Estado: Serv. - Pessoa Fisica</t>
  </si>
  <si>
    <t>Estimativa de Valor para Desp C/Manut. Maq. Convenio Estado: Serv. - Pessoa Juridica</t>
  </si>
  <si>
    <t>Estimativa de Valor para Desp C/Manut. Maq. Convenio Estado: Material de Consumo M.E.I.</t>
  </si>
  <si>
    <t>Estimativa de Valor para Desp C/Manut. Maq. Convenio Estado: Serv. - Pessoa Juridica M.E.I.</t>
  </si>
  <si>
    <t>MANUTENÇÃO DA FROTA MAQ. VEIC. E IMPL. AGRICOLAS</t>
  </si>
  <si>
    <t>Manutenção de Patrulhas Agricolas com Horas Máquinas</t>
  </si>
  <si>
    <t>Estimativa de Valor para Desp C/Manut. Frota Maq. Veic. E Impl. Agric.: Material de Consumo</t>
  </si>
  <si>
    <t>Estimativa de Valor para Desp C/Manut. Frota Maq. Veic. E Impl. Agric.: Material de Consumo  M.E.I.</t>
  </si>
  <si>
    <t>Estimativa de Valor para Desp C/Manut. Frota Maq. Veic. E Impl. Agric.: Serv. - Pessoa Fisica</t>
  </si>
  <si>
    <t>Estimativa de Valor para Desp C/Manut. Frota Maq. Veic. E Impl. Agric.: Serv. - Pessoa Juridica</t>
  </si>
  <si>
    <t>Estimativa de Valor para Desp C/Manut. Frota Maq. Veic. E Impl. Agric.: Serv. - Pessoa Juridica  M.E.I.</t>
  </si>
  <si>
    <t>Estimativa de Valor para Desp C/Manut. Frota Maq. Veic. E Impl. Agric.: Mat. de Consumo Aq. P/Consórcio</t>
  </si>
  <si>
    <t>Estimativa de Valor para Desp C/Manut. Frota Maq. Veic. E Impl. Agric.: Eq. e Mat. Perm.</t>
  </si>
  <si>
    <t>Estimativa de Valor para Desp C/Manut. Frota Maq. e Impl. Agric.: Material de Consumo</t>
  </si>
  <si>
    <t>Estimativa de Valor para Desp C/Manut. Frota Maq. e Impl. Agric.: Material de Consumo M.E.I.</t>
  </si>
  <si>
    <t>Estimativa de Valor para Desp C/Manut. Frota Maq. e Impl. Agric.: Serv. - Pessoa Fisica</t>
  </si>
  <si>
    <t>Estimativa de Valor para Desp C/Manut. Frota Maq. e Impl. Agric.: Serv. - Pessoa Juridica</t>
  </si>
  <si>
    <t>Estimativa de Valor para Desp C/Manut. Frota Maq. e Impl. Agric.: Serv. - Pessoa Juridica M.E.I.</t>
  </si>
  <si>
    <t>Estimativa de Valor para Desp C/Manut. Frota Maq. e Impl. Agric.: Obrig. Trib. e Contrib.</t>
  </si>
  <si>
    <t>Estimativa de Valor para Desp C/Manut. Frota Maq. e Impl. Agric.: Mat. de Consumo Aq. P/Consórcio</t>
  </si>
  <si>
    <t>Estimativa de Valor para Desp C/Manut. Frota Maq. e Impl. Agric.: Eq. e Mat. Perm.</t>
  </si>
  <si>
    <t xml:space="preserve"> GRUPO DE JOVENS RURAIS</t>
  </si>
  <si>
    <t>Estimativa de Valor para Desp C/Grupo de Jovens Rurais: Material de Consumo</t>
  </si>
  <si>
    <t>Estimativa de Valor para Desp C/Grupo de Jovens Rurais: Serv. - Pessoa Fisica</t>
  </si>
  <si>
    <t>Estimativa de Valor para Desp C/Grupo de Jovens Rurais: Serv. - Pessoa Juridica</t>
  </si>
  <si>
    <t>Estimativa de Valor para Desp C/Grupo de Jovens Rurais: Eq. e Mat. Perm.</t>
  </si>
  <si>
    <t>Estimativa de Valor para Desp C/Grupo de Jovens Rurais: Material de Consumo   M.E.I.</t>
  </si>
  <si>
    <t>Estimativa de Valor para Desp C/Grupo de Jovens Rurais: Serv. - Pessoa Juridica  M.E.I.</t>
  </si>
  <si>
    <t>GESTÃO, COORD. E PLANEJAMENO UNIDADE DE AGROPECUÁRIA</t>
  </si>
  <si>
    <t>Estimativa de Valor para Desp C/Gest. Coord. Un. Agropec. : Material de Consumo</t>
  </si>
  <si>
    <t>Estimativa de Valor para Desp C/Gest. Coord. Un. Agropec. : Material Distrib. Grat.</t>
  </si>
  <si>
    <t>Estimativa de Valor para Desp C/Gest. Coord. Un. Agropec. : Despesas C/Locomoção</t>
  </si>
  <si>
    <t>Estimativa de Valor para Desp C/Gest. Coord. Un. Agropec. : Serv. - Pessoa Fisica</t>
  </si>
  <si>
    <t>Estimativa de Valor para Desp C/Gest. Coord. Un. Agropec. : Serv. - Pessoa Juridica</t>
  </si>
  <si>
    <t>Estimativa de Valor para Desp C/Gest. Coord. Un. Agropec. : Folha de Pagamento: Auxilio-Transporte</t>
  </si>
  <si>
    <t>Estimativa de Valor para Desp C/Gest. Coord. Un. Agropec. : Ressarcimento de Despesas</t>
  </si>
  <si>
    <t>Estimativa de Valor para Desp C/Gest. Coord. Un. Agropec. : Material de Consumo - Aq. Por Consórcio</t>
  </si>
  <si>
    <t>Estimativa de Valor para Desp C/Gest. Coord. Un. Agropec. : Eq. e Mat. Perm.</t>
  </si>
  <si>
    <t>Estimativa de Valor para Desp C/Gest. Coord. Un. Agropec. : Diárias P/Serv., Cont., Efetivos, C.C. e F.G.</t>
  </si>
  <si>
    <t>Estimativa de Valor para Desp C/Gest. Coord. Un. Agropec. : Material de Consumo M.E.I.</t>
  </si>
  <si>
    <t>Estimativa de Valor para Desp C/Gest. Coord. Un. Agropec. : Serv. - Pessoa Juridica M.E.I.</t>
  </si>
  <si>
    <t>GESTÃO, COORD. E PLANEJ. UNIDADE DE AGRICULTURA</t>
  </si>
  <si>
    <t>Estimativa de Valor para Desp C/Gest. Coord. Un. Agricultura: Material de Consumo</t>
  </si>
  <si>
    <t>Estimativa de Valor para Desp C/Gest. Coord. Un. Agricultura: Material de Consumo M.E.I.</t>
  </si>
  <si>
    <t>Estimativa de Valor para Desp C/Gest. Coord. Un. Agricultura: Material Distrib. Grat.</t>
  </si>
  <si>
    <t>Estimativa de Valor para Desp C/Gest. Coord. Un. Agricultura: Despesas C/Locomoção</t>
  </si>
  <si>
    <t>Estimativa de Valor para Desp C/Gest. Coord. Un. Agricultura: Serv. - Pessoa Fisica</t>
  </si>
  <si>
    <t>Estimativa de Valor para Desp C/Gest. Coord. Un. Agricultura: Serv. - Pessoa Juridica</t>
  </si>
  <si>
    <t>Estimativa de Valor para Desp C/Gest. Coord. Un. Agricultura: Serv. - Pessoa Juridica M.E.I.</t>
  </si>
  <si>
    <t>Estimativa de Valor para Desp C/Gest. Coord. Un. Agricultura: Folha de Pagamento: Auxilio-Transporte</t>
  </si>
  <si>
    <t>Estimativa de Valor para Desp C/Gest. Coord. Un. Agricultura: Ressarcimento de Despesas</t>
  </si>
  <si>
    <t>Estimativa de Valor para Desp C/Gest. Coord. Un. Agricultura: Material de Consumo - Aq. Por Consórcio</t>
  </si>
  <si>
    <t>Estimativa de Valor para Desp C/Gest. Coord. Un. Agricultura: Eq. e Mat. Perm.</t>
  </si>
  <si>
    <t xml:space="preserve"> IMPLANTAÇÃO DE AGROINDUSTRIAS</t>
  </si>
  <si>
    <t>APOIO A AGRICULTURA FAMILIAR</t>
  </si>
  <si>
    <t>Apoio a Agric. Familiar: Dev. Saldo Conv. MDA Aq. Pickup C/Cam. Fria</t>
  </si>
  <si>
    <t>Apoio a Agric. Familiar: Dev. SaldoCons. Pop. 2014 Aq. Eq. Ag. Fam.</t>
  </si>
  <si>
    <t>Apoio a Agric. Familiar: Dev. SaldoCons. Pop. 2015 Reg. Abast. Aq. Veic.</t>
  </si>
  <si>
    <t>Estimativa de Valor para Desp C/Implantação de Agroindústria: Material de Consumo</t>
  </si>
  <si>
    <t>Estimativa de Valor para Desp C/Implantação de Agroindústria: Material de Consumo M.E.I.</t>
  </si>
  <si>
    <t>Estimativa de Valor para Desp C/Implantação de Agroindústria: Serv. - Pessoa Fisica</t>
  </si>
  <si>
    <t>Estimativa de Valor para Desp C/Implantação de Agroindústria: Serv. - Pessoa Juridica</t>
  </si>
  <si>
    <t>Estimativa de Valor para Desp C/Implantação de Agroindústria: Serv. - Pessoa Juridica M.E.I.</t>
  </si>
  <si>
    <t>Estimativa de Valor para Desp C/Implantação de Agroindústria: Obras e Instalações</t>
  </si>
  <si>
    <t>Estimativa de Valor para Desp C/Implantação de Agroindústria: Eq. e Mat. Perm.</t>
  </si>
  <si>
    <t>Estimativa de Valor para Desp C/Apoio a Agric. Familiar: Material de Consumo</t>
  </si>
  <si>
    <t>Estimativa de Valor para Desp C/Apoio a Agric. Familiar: Material de Consumo M.E.I.</t>
  </si>
  <si>
    <t>Estimativa de Valor para Desp C/Apoio a Agric. Familiar: Serv. - Pessoa Fisica</t>
  </si>
  <si>
    <t>Estimativa de Valor para Desp C/Apoio a Agric. Familiar: Serv. - Pessoa Juridica</t>
  </si>
  <si>
    <t>Estimativa de Valor para Desp C/Apoio a Agric. Familiar: Serv. - Pessoa Juridica M.E.I.</t>
  </si>
  <si>
    <t>Estimativa de Valor para Desp C/Apoio a Agric. Familiar: Obras e Instalações</t>
  </si>
  <si>
    <t>Estimativa de Valor para Desp C/Apoio a Agric. Familiar: Eq. e Mat. Perm.</t>
  </si>
  <si>
    <t>Estimativa de Valor para Desp C/Apoio a Agric. Familiar: Cont.Part. Aq. Veículos</t>
  </si>
  <si>
    <t>Estimativa de Valor para Desp C/Apoio a Agric. Familiar: Cont.Part. Aq. Equip.</t>
  </si>
  <si>
    <t>Estimativa de Valor para Desp C/Apoio a Agric. Familiar: Cons. Pop. 2014 Aq. Eq. Ag. Fam.</t>
  </si>
  <si>
    <t>Estimativa de Valor para Desp C/Apoio a Agric. Familiar: Cons. Pop. 2015 Reg. Abast. Aq. Veic.</t>
  </si>
  <si>
    <t>Estimativa de Valor para Desp C/Apoio a Agric. Familiar: Conv. MDA Aq. Pickup C/Cam. Fria</t>
  </si>
  <si>
    <t>Estimativa de Valor para Desp C/Apoio a Agric. Familiar: Dev. Saldo Cons. Pop. 2015 Reg. Abast. Aq. Veic.</t>
  </si>
  <si>
    <t>Estimativa de Valor para Desp C/Apoio a Agric. Familiar: Dev. Saldo Cons. Pop. 2014 Aq. Eq. Ag. Fam.</t>
  </si>
  <si>
    <t>Estimativa de Valor para Desp C/Apoio a Agric. Familiar: Dev. Saldo Conv. MDA Aq. Pickup C/Cam. Fria</t>
  </si>
  <si>
    <t xml:space="preserve">APOIO TÉCNICO </t>
  </si>
  <si>
    <t>APOIO A ASSOCIAÇÃO DOS PRODUTORES DE LEITE</t>
  </si>
  <si>
    <t>Estimativa de Valor para Desp C/Apoio Técnico: Material de Consumo M.E.I.</t>
  </si>
  <si>
    <t>Estimativa de Valor para Desp C/Apoio Técnico: Serv. - Pessoa Juridica</t>
  </si>
  <si>
    <t>Estimativa de Valor para Desp C/Apoio Técnico: Serv. - Pessoa Juridica M.E.I.</t>
  </si>
  <si>
    <t>Estimativa de Valor para Desp C/Apoio Técnico: Obras e Instalações</t>
  </si>
  <si>
    <t>Estimativa de Valor para Desp C/Apoio Técnico: Eq. e Mat. Perm.</t>
  </si>
  <si>
    <t>Estimativa de Valor para Desp C/Apoio Assoc. Prod. de Leite: Subvenções Econômicas</t>
  </si>
  <si>
    <t>Estimativa de Valor para Desp C/Apoio Assoc. Prod. de Leite: Material de Consumo</t>
  </si>
  <si>
    <t>Estimativa de Valor para Desp C/Apoio Assoc. Prod. de Leite: Material de Consumo M.E.I.</t>
  </si>
  <si>
    <t>Estimativa de Valor para Desp C/Apoio Assoc. Prod. de Leite: Mat. Dist. Grat.</t>
  </si>
  <si>
    <t>Estimativa de Valor para Desp C/Apoio Assoc. Prod. de Leite:  Serv. - Pessoa Fisica</t>
  </si>
  <si>
    <t>Estimativa de Valor para Desp C/Apoio Assoc. Prod. de Leite:  Serv. - Pessoa Juridica</t>
  </si>
  <si>
    <t>Estimativa de Valor para Desp C/Apoio Assoc. Prod. de Leite:  Serv. - Pessoa Juridica M.E.I.</t>
  </si>
  <si>
    <t>Estimativa de Valor para Desp C/Apoio Assoc. Prod. de Leite:  Obras e Instalações</t>
  </si>
  <si>
    <t>Estimativa de Valor para Desp C/Apoio Assoc. Prod. de Leite: Eq. e Mat. Perm.</t>
  </si>
  <si>
    <t>Construção de Açudes e Tanques</t>
  </si>
  <si>
    <t>TROCA-TROCA DE SEMENTES</t>
  </si>
  <si>
    <t>Distribuição de Alevinos</t>
  </si>
  <si>
    <t>Melhoramento de acesso a propriedades e lavoras</t>
  </si>
  <si>
    <t>Realização de terraplanagem  com isenção H.M.</t>
  </si>
  <si>
    <t>50500</t>
  </si>
  <si>
    <t>Gest. Coord. Un. Agricultura: Obras e Instalações</t>
  </si>
  <si>
    <t>61400</t>
  </si>
  <si>
    <t>Estimativa de Valor para Desp C/Gest. Coord. Un. Agricultura: Obras e Instalaçõs</t>
  </si>
  <si>
    <t>Abertura e Manutenção de Poços Artesianos</t>
  </si>
  <si>
    <t>Abert. e Man. De Poços Artesianos: Material de Consumo</t>
  </si>
  <si>
    <t>Abert. e Man. De Poços Artesianos: Serv. - Pessoa Juridica</t>
  </si>
  <si>
    <t>Abert. e Man. De Poços Artesianos: Serv. - Pessoa Fisica</t>
  </si>
  <si>
    <t>Abert. e Man. De Poços Artesianos: Obrig. Trib. e Contributivas</t>
  </si>
  <si>
    <t>Abert. e Man. De Poços Artesianos: Obras e Inst.</t>
  </si>
  <si>
    <t xml:space="preserve"> Preservação de nascentes e Mananciais</t>
  </si>
  <si>
    <t>Capacitação em Educação Ambiental</t>
  </si>
  <si>
    <t xml:space="preserve"> Licenciamento Ambiental</t>
  </si>
  <si>
    <t>Recuperação de Areas Degradas</t>
  </si>
  <si>
    <t>Coleta e Análise de Água</t>
  </si>
  <si>
    <t xml:space="preserve"> Promoção do Desenvolvimento Sustentável</t>
  </si>
  <si>
    <t>Gest. Coord. Un. Meio Amb.: Folha PGTº: Serv. Contratados</t>
  </si>
  <si>
    <t>Gest. Coord. Un. Meio Amb.: Folha PGTº: Serv. Efetivos, C.C. e F.G.</t>
  </si>
  <si>
    <t>Gest. Coord. Un. Meio Amb.: Folha PGTº: Obrigações Patronais</t>
  </si>
  <si>
    <t>Gest. Coord. Un. Meio Amb.: Folha PGTº: Horas Extras</t>
  </si>
  <si>
    <t>Gest. Coord. Un. Meio Amb.:  Folha de Pagamento: Auxilio-Transporte</t>
  </si>
  <si>
    <t>GESTÃO, COORD. E PLANEJ. UNIDADE DE MEIO AMBIENTE</t>
  </si>
  <si>
    <t>Estimativa de Valor para Desp C/Distrib. de Alevinos: Mat. Dist. Grat.</t>
  </si>
  <si>
    <t>Estimativa de Valor para Desp C/Melh. Acesso a Propriedades e Lavouras: Obras e Inst.</t>
  </si>
  <si>
    <t>Estimativa de Valor para Desp C/Real. de Terraplanagem com Isenção H.M.: Obras e Inst.</t>
  </si>
  <si>
    <t>Estimativa de Valor para Desp C/Abert. e Man. De Poços Artesianos: Material de Consumo</t>
  </si>
  <si>
    <t>Estimativa de Valor para Desp C/Abert. e Man. De Poços Artesianos: Material de Consumo M.E.I.</t>
  </si>
  <si>
    <t>Estimativa de Valor para Desp C/Abert. e Man. De Poços Artesianos: Serv. - Pessoa Fisica</t>
  </si>
  <si>
    <t>Estimativa de Valor para Desp C/Abert. e Man. De Poços Artesianos: Serv. - Pessoa Juridica</t>
  </si>
  <si>
    <t>Estimativa de Valor para Desp C/Abert. e Man. De Poços Artesianos: Serv. - Pessoa Juridica M.E.I.</t>
  </si>
  <si>
    <t>Estimativa de Valor para Desp C/Abert. e Man. De Poços Artesianos: Obras e Inst.</t>
  </si>
  <si>
    <t>Estimativa de Valor para Desp C/Preservação de nasc. e Mananc. : Material de Consumo</t>
  </si>
  <si>
    <t>Estimativa de Valor para Desp C/Preservação de nasc. e Mananc. : Material de Consumo M.E.I.</t>
  </si>
  <si>
    <t>Estimativa de Valor para Desp C/Preservação de nasc. e Mananc. :  Serv. - Pessoa Fisica</t>
  </si>
  <si>
    <t>Estimativa de Valor para Desp C/Preservação de nasc. e Mananc. : Serv. - Pessoa Juridica</t>
  </si>
  <si>
    <t>Estimativa de Valor para Desp C/Preservação de nasc. e Mananc. : Serv. - Pessoa Juridica M.E.I.</t>
  </si>
  <si>
    <t>Estimativa de Valor para Desp C/Preservação de nasc. e Mananc. : Obras e Inst.</t>
  </si>
  <si>
    <t>Estimativa de Valor para Desp C/Preservação de nasc. e Mananc. : Eq. e Mat. Perm.</t>
  </si>
  <si>
    <t>Estimativa de Valor para Desp C/Capac. e Educ. Ambiental : Material de Consumo</t>
  </si>
  <si>
    <t>Estimativa de Valor para Desp C/Capac. e Educ. Ambiental : Material de Consumo M.E.I.</t>
  </si>
  <si>
    <t>Estimativa de Valor para Desp C/Capac. e Educ. Ambiental : Serv. - Pessoa Fisica</t>
  </si>
  <si>
    <t>Estimativa de Valor para Desp C/Capac. e Educ. Ambiental : Serv. - Pessoa Juridica</t>
  </si>
  <si>
    <t>Estimativa de Valor para Desp C/Capac. e Educ. Ambiental :  Eq. e Mat. Perm.</t>
  </si>
  <si>
    <t>Estimativa de Valor para Desp C/Capac. e Educ. Ambiental : Serv. - Pessoa Juridica  M.E.I.</t>
  </si>
  <si>
    <t>Estimativa de Valor para Desp C/Licenciamento Ambiental : Material de Consumo</t>
  </si>
  <si>
    <t>Estimativa de Valor para Desp C/Licenciamento Ambiental : Serv. - Pessoa Fisica</t>
  </si>
  <si>
    <t>Estimativa de Valor para Desp C/Licenciamento Ambiental : Serv. - Pessoa Juridica</t>
  </si>
  <si>
    <t>Estimativa de Valor para Desp C/Licenciamento Ambiental : Obras e Inst.</t>
  </si>
  <si>
    <t>Estimativa de Valor para Desp C/Licenciamento Ambiental : Eq. e Mat. Perm.</t>
  </si>
  <si>
    <t>Estimativa de Valor para Desp C/Rec. de Areas Degradadas: Material de Consumo</t>
  </si>
  <si>
    <t>Estimativa de Valor para Desp C/Rec. de Areas Degradadas: Serv. - Pessoa Fisica</t>
  </si>
  <si>
    <t>Estimativa de Valor para Desp C/Rec. de Areas Degradadas: Serv. - Pessoa Juridica</t>
  </si>
  <si>
    <t>Estimativa de Valor para Desp C/Rec. de Areas Degradadas: Obras e Inst.</t>
  </si>
  <si>
    <t>Estimativa de Valor para Desp C/Rec. de Areas Degradadas: Eq. e Mat. Perm.</t>
  </si>
  <si>
    <t>Estimativa de Valor para Desp C/Coleta e Análise de Água: Material de Consumo</t>
  </si>
  <si>
    <t>Estimativa de Valor para Desp C/Coleta e Análise de Água: Serv. - Pessoa Fisica</t>
  </si>
  <si>
    <t>Estimativa de Valor para Desp C/Coleta e Análise de Água: Serv. - Pessoa Juridica</t>
  </si>
  <si>
    <t>Estimativa de Valor para Desp C/Coleta e Análise de Água: Obras e Inst.</t>
  </si>
  <si>
    <t>Estimativa de Valor para Desp C/Coleta e Análise de Água: Eq. e Mat. Perm.</t>
  </si>
  <si>
    <t xml:space="preserve">Estimativa de Valor para Desp C/Prom. do Desenv. Sustentavel: Dev. Saldo </t>
  </si>
  <si>
    <t>Estimativa de Valor para Desp C/Prom. do Desenv. Sustentavel:  Material de Consumo</t>
  </si>
  <si>
    <t>Estimativa de Valor para Desp C/Prom. do Desenv. Sustentavel:  Serv. - Pessoa Fisica</t>
  </si>
  <si>
    <t>Estimativa de Valor para Desp C/Prom. do Desenv. Sustentavel:  Serv. - Pessoa Juridica</t>
  </si>
  <si>
    <t>Estimativa de Valor para Desp C/Prom. do Desenv. Sustentavel:  Obras e Inst.</t>
  </si>
  <si>
    <t>Estimativa de Valor para Desp C/Prom. do Desenv. Sustentavel:  Eq. e Mat. Perm.</t>
  </si>
  <si>
    <t xml:space="preserve"> Melhorias em Residencias</t>
  </si>
  <si>
    <t>Estimativa de Valor para Desp C/Melhorias em Residencias: Obrigacoes Tributarias E Contributivas</t>
  </si>
  <si>
    <t>Estimativa de Valor para Desp C/Melhorias em Residencias: Devolução de Saldo</t>
  </si>
  <si>
    <t>Estimativa de Valor para Desp C/Melhorias em Residencias: Obras e Instalações</t>
  </si>
  <si>
    <t>Estimativa de Valor para Desp C/Gest. Coord. Un. Meio Ambiente : Eq. e Mat. Perm.</t>
  </si>
  <si>
    <t>Estimativa de Valor para Desp C/Gest. Coord. Un. Meio Ambiente : Material de Consumo - Aq. Por Consórcio</t>
  </si>
  <si>
    <t>Estimativa de Valor para Desp C/Gest. Coord. Un. Meio Ambiente : Ressarcimento de Despesas</t>
  </si>
  <si>
    <t>Estimativa de Valor para Desp C/Gest. Coord. Un. Meio Ambiente : Serv. - Pessoa Juridica  M.E.I.</t>
  </si>
  <si>
    <t>Estimativa de Valor para Desp C/Gest. Coord. Un. Meio Ambiente : Serv. - Pessoa Juridica</t>
  </si>
  <si>
    <t>Estimativa de Valor para Desp C/Gest. Coord. Un. Meio Ambiente :  Serv. - Pessoa Fisica</t>
  </si>
  <si>
    <t>Estimativa de Valor para Desp C/Gest. Coord. Un. Meio Ambiente : Desp. Com Locomoção</t>
  </si>
  <si>
    <t>Estimativa de Valor para Desp C/Gest. Coord. Un. Meio Ambiente : Material Distrib. Grat.</t>
  </si>
  <si>
    <t>Estimativa de Valor para Desp C/Gest. Coord. Un. Meio Ambiente : Material de Consumo M.E.I.</t>
  </si>
  <si>
    <t>Estimativa de Valor para Desp C/Diárias P/Servidores Contratados, Efetivos, C.C. e F.G.</t>
  </si>
  <si>
    <t>Estimativa de Valor para Desp C/Gest. Coord. Un. Meio Amb.: Folha PGTº: Horas Extras</t>
  </si>
  <si>
    <t>Estimativa de Valor para Desp C/Gest. Coord. Un. Meio Amb.: Folha PGTº: Serv. Contratados</t>
  </si>
  <si>
    <t>Estimativa de Valor para Desp C/Gest. Coord. Un. Meio Ambiente : Material de Consumo</t>
  </si>
  <si>
    <t>Estimativa de Valor para Desp C/Estimativa de Valor para Desp C/est. Coord. Un. Meio Amb.: Folha PGTº: Serv. Efetivos, C.C. e F.G.</t>
  </si>
  <si>
    <t>Conselho Tutelar : Material De Consumo</t>
  </si>
  <si>
    <t>Conselho Tutelar: Material, Bem Ou Serviço Para Distribuição Gratuita</t>
  </si>
  <si>
    <t>Conselho Tutelar: Passagens E Despesas Com Locomocao</t>
  </si>
  <si>
    <t>Conselho Tutelar: Servicos  - Pessoa Fisica</t>
  </si>
  <si>
    <t>Conselho Tutelar: Servicos - Pessoa Juridica</t>
  </si>
  <si>
    <t>Conselho Tutelar: Obrigacoes Tributarias E Contributivas</t>
  </si>
  <si>
    <t>Conselho Tutelar: Folha de Pagamento: Auxilio-Transporte</t>
  </si>
  <si>
    <t>Conselho Tutelar: Ressarcimento de Despesas</t>
  </si>
  <si>
    <t>Conselho Tutelar: Material de Consumo - Aq. Por Consórcio</t>
  </si>
  <si>
    <t>Conselho Tutelar: Aquisição de Eq. e Mat. Perm.</t>
  </si>
  <si>
    <t>Conselho Tutelar: Diarias</t>
  </si>
  <si>
    <t xml:space="preserve"> Conselho Tutelar:  Folha de  Pagamento</t>
  </si>
  <si>
    <t xml:space="preserve"> Conselho Tutelar:  Obrigacoes Patronais Folha Pagamento</t>
  </si>
  <si>
    <t>Estimativa de Valor para Desp C/Conselho Tutelar: Diarias</t>
  </si>
  <si>
    <t>Estimativa de Valor para Desp C/Conselho Tutelar : Material De Consumo</t>
  </si>
  <si>
    <t>Estimativa de Valor para Desp C/Conselho Tutelar : Material De Consumo  M.E.I.</t>
  </si>
  <si>
    <t>Estimativa de Valor para Desp C/Conselho Tutelar: Material, Bem Ou Serviço Para Distribuição Gratuita</t>
  </si>
  <si>
    <t>Estimativa de Valor para Desp C/Conselho Tutelar: Passagens E Despesas Com Locomocao</t>
  </si>
  <si>
    <t>Estimativa de Valor para Desp C/Conselho Tutelar: Servicos  - Pessoa Fisica</t>
  </si>
  <si>
    <t>Estimativa de Valor para Desp C/Conselho Tutelar: Servicos - Pessoa Juridica</t>
  </si>
  <si>
    <t>Estimativa de Valor para Desp C/Conselho Tutelar: Servicos - Pessoa Juridica M.E.I.</t>
  </si>
  <si>
    <t>Estimativa de Valor para Desp C/Conselho Tutelar: Folha de Pagamento: Auxilio-Transporte</t>
  </si>
  <si>
    <t>Estimativa de Valor para Desp C/Conselho Tutelar: Ressarcimento de Despesas</t>
  </si>
  <si>
    <t>Estimativa de Valor para Desp C/Conselho Tutelar: Material de Consumo - Aq. Por Consórcio</t>
  </si>
  <si>
    <t>Estimativa de Valor para Desp C/Conselho Tutelar: Aquisição de Eq. e Mat. Perm.</t>
  </si>
  <si>
    <t>Estimativa de Valor para Desp C/Conselho Tutelar:  Folha de  Pagamento</t>
  </si>
  <si>
    <t>Estimativa de Valor para Desp. C/Juros Sobre A Divida Por Contrato</t>
  </si>
  <si>
    <t>Estimativa de Valor para Desp. C/Indenizacoes e Restituicoes</t>
  </si>
  <si>
    <t>Estimativa de Valor para Desp. C/Servicos Pessoa Juridica</t>
  </si>
  <si>
    <t>Estimativa de Valor para Desp. C/PASEP Multas e Juros</t>
  </si>
  <si>
    <t>Estimativa de Valor para Desp. C/Despesas com Eleicoes - Material de Consumo</t>
  </si>
  <si>
    <t>Estimativa de Valor para Desp. C/Despesas com Eleicoes - Servicos</t>
  </si>
  <si>
    <t xml:space="preserve"> PAC 2 GRUPO 3 MELHORIAS SANITARIAS DOMICILIARES</t>
  </si>
  <si>
    <t>Construção, Ampliação Manutenção e Reforma de Escolas</t>
  </si>
  <si>
    <t>Estimativa de Valor para Desp. C/Custo de Const., Ampl. Man. e Ref. de Esc:  Material De Consumo</t>
  </si>
  <si>
    <t>Estimativa de Valor para Desp. C/Custo de Const., Ampl. Man. e Ref. de Esc:  Outros Servicos De Terceiros- Pessoa Fisica</t>
  </si>
  <si>
    <t>Estimativa de Valor para Desp. C/Custo de Const., Ampl. Man. e Ref. de Esc:  Outros Servicos De Terceiros- Pessoa Juridica</t>
  </si>
  <si>
    <t>Estimativa de Valor para Desp. C/Custo de Const., Ampl. Man. e Ref. de Esc: Obras e Instalações</t>
  </si>
  <si>
    <t>Custo de Const., Ampl. Man. e Ref. de Esc:  Servicos - Pessoa Fisica</t>
  </si>
  <si>
    <t>Custo de Const., Ampl. Man. e Ref. de Esc:  Servicos - Pessoa Juridica</t>
  </si>
  <si>
    <t>Informatização da Educação Básica</t>
  </si>
  <si>
    <t xml:space="preserve"> Aquisição de equipamentos e veiculos</t>
  </si>
  <si>
    <t>Custo de Aq. de Equip. e Veículos: Aq. de Veículos</t>
  </si>
  <si>
    <t>Custo de Inform. da Educ. Básica: Aq. de Equipamentos</t>
  </si>
  <si>
    <t xml:space="preserve"> Gestão, Coordenação e Planejamento Educacional</t>
  </si>
  <si>
    <t>Estimativa de Valor para Desp C/Folha Pagamento Serv. Contratados</t>
  </si>
  <si>
    <t>Estimativa de Valor para Desp C/Folha Pagamento Serv. Efetivos, C.C., Agente Politico</t>
  </si>
  <si>
    <t>Estimativa de Valor para Desp C/Folha Pagamento Horas Extras</t>
  </si>
  <si>
    <t>Estimativa de Valor para Desp C/Aq. Materiais P/Consórcio</t>
  </si>
  <si>
    <t>Estimativa de Valor para Desp C/Material, Bem Ou Serviço Para Distribuição Gratuita</t>
  </si>
  <si>
    <t>Estimativa de Valor para Desp C/Despesas Com Locomoção</t>
  </si>
  <si>
    <t>Estimativa de Valor para Desp C/Servicos de Consultoria</t>
  </si>
  <si>
    <t>Estimativa de Valor para Desp C/Locacao de Imoveis</t>
  </si>
  <si>
    <t xml:space="preserve"> Custeio Operacional e Manutenção e Promoção da Educação Básica - Ensino  Fundamental</t>
  </si>
  <si>
    <t>Folha PGTº: Serv. Efet., F.G. e C.C. e CLT</t>
  </si>
  <si>
    <t>Construção, Ampliação Manutenção e Reforma de Creches</t>
  </si>
  <si>
    <t xml:space="preserve"> Transporte Escolar do Ensino Fundamental</t>
  </si>
  <si>
    <t>584 IMPL. E MAN. DE TELE-CENTRO ESCOLAS MUN.</t>
  </si>
  <si>
    <t>Impl. e Man. Telecentro Esc. Mun.: Materiais de Consumo</t>
  </si>
  <si>
    <t>AImpl. e Man. Telecentro Esc. Mun.: q. De Equipamentos</t>
  </si>
  <si>
    <t>Impl. e Man. Telecentro Esc. Mun.: Servicos - Pessoa Juridica</t>
  </si>
  <si>
    <t>Impl. e Man. Telecentro Esc. Mun.: Servicos - Pessoa Fisica</t>
  </si>
  <si>
    <t>Estimativa de Valor para Desp. C/Aquisição de Veic. eEquipamentos</t>
  </si>
  <si>
    <t>Estimativa de Valor para Desp. C/PARAMETRO DE AJUSTE DO MDE</t>
  </si>
  <si>
    <t>Estimativa de Valor para Desp. C/Material de Consumo - Aquisição por Consórcio</t>
  </si>
  <si>
    <t>Estimativa de Valor para Desp. C/Ressarcimento de Despesas</t>
  </si>
  <si>
    <t>Estimativa de Valor para Desp. C/Folha de Pagamento: Dificil Acesso</t>
  </si>
  <si>
    <t>Estimativa de Valor para Desp. C/Folha de Pagamento: Auxilio-Transporte</t>
  </si>
  <si>
    <t>Estimativa de Valor para Desp. C/Servicos - Pessoa Juridica</t>
  </si>
  <si>
    <t>Estimativa de Valor para Desp. C/Servicos - Pessoa Fisica</t>
  </si>
  <si>
    <t>Estimativa de Valor para Desp. C/Despesas Com Locomoção</t>
  </si>
  <si>
    <t>Estimativa de Valor para Desp. C/Materiais de Consumo</t>
  </si>
  <si>
    <t>Estimativa de Valor para Desp. C/Folha PGTº: Horas Extras</t>
  </si>
  <si>
    <t xml:space="preserve">Estimativa de Valor para Desp. C/Folha PGTº: Serv. Efetivos., F.G., C.C. </t>
  </si>
  <si>
    <t>Estimativa de Valor para Desp. C/Folha PGTº: Servidores Contratados</t>
  </si>
  <si>
    <t>Estimativa de Valor para Desp. C/Aq. de Equipamentos</t>
  </si>
  <si>
    <t>Estimativa de Valor para Desp. C/Servicos - Locação de Imóvel</t>
  </si>
  <si>
    <t>Estimativa de Valor para Desp. C/Servicos de Consultoria</t>
  </si>
  <si>
    <t>Estimativa de Valor para Desp. C/Custo de Inform. da Educ. Básica: Material De Consumo</t>
  </si>
  <si>
    <t>Estimativa de Valor para Desp. C/Custo de Inform. da Educ. Básica: Outros Servicos De Terceiros- Pessoa Fisica</t>
  </si>
  <si>
    <t>Estimativa de Valor para Desp. C/Custo de Inform. da Educ. Básica: Obras e Instalações</t>
  </si>
  <si>
    <t>Estimativa de Valor para Desp. C/Custo de Aq. de Equip. e Veículos: Material De Consumo</t>
  </si>
  <si>
    <t>Estimativa de Valor para Desp. C/Custo de Aq. de Equip. e Veículos: Outros Servicos De Terceiros- Pessoa Fisica</t>
  </si>
  <si>
    <t>Estimativa de Valor para Desp. C/Custo de Aq. de Equip. e Veículos: Obras e Instalações</t>
  </si>
  <si>
    <t>Estimativa de Valor para Desp. C/Custo de Aq. de Equip. e Veículos: Outros Servicos De Terceiros- Pessoa Juridica</t>
  </si>
  <si>
    <t>Estimativa de Valor para Desp. C/Folha PGTº: Serv. Efet., F.G. e C.C.</t>
  </si>
  <si>
    <t>Estimativa de Valor para Desp. C/Folha PGTº: Servidores CLT</t>
  </si>
  <si>
    <t>Estimativa de Valor para Desp. C/Folha PGTº: FGTS</t>
  </si>
  <si>
    <t>Estimativa de Valor para Desp. C/Material P/ Distribuição Gratuita</t>
  </si>
  <si>
    <t>Estimativa de Valor para Desp. C/Servicos - Pessoa Jurídica</t>
  </si>
  <si>
    <t>Estimativa de Valor para Desp. C/Aq. De Equipamentos</t>
  </si>
  <si>
    <t>Estimativa de Valor para Desp. C/Const., Ampl., Man. e Reforma de Creches:  Material De Consumo</t>
  </si>
  <si>
    <t>Estimativa de Valor para Desp. C/Const., Ampl., Man. e Reforma de Creches: Outros Servicos De Terceiros- Pessoa Fisica</t>
  </si>
  <si>
    <t>Estimativa de Valor para Desp. C/Const., Ampl., Man. e Reforma de Creches:  Outros Servicos De Terceiros- Pessoa Juridica</t>
  </si>
  <si>
    <t>Estimativa de Valor para Desp. C/Const., Ampl., Man. e Reforma de Creches:  Obras e Instalações</t>
  </si>
  <si>
    <t>Estimativa de Valor para Desp. C/Folha PGTº: Serv. Efetivos., F.G., C.C. e Agente Politico</t>
  </si>
  <si>
    <t xml:space="preserve"> Implantação e Manutenção de Tele-centro nas escolas municipais</t>
  </si>
  <si>
    <t>Implantação e Manutenção de Tele-centro nas escolas municipais</t>
  </si>
  <si>
    <t>Estimativa de Valor para Desp. C/Man. Telecentros : Materiais de Consumo</t>
  </si>
  <si>
    <t>Estimativa de Valor para Desp. C/Man. Telecentros : Servicos - Pessoa Fisica</t>
  </si>
  <si>
    <t>Estimativa de Valor para Desp. C/Man. Telecentros : Servicos - Pessoa Juridica</t>
  </si>
  <si>
    <t>Estimativa de Valor para Desp. C/Man. Telecentros : Mat. de Consumo - Aq. por Consórcio</t>
  </si>
  <si>
    <t>Estimativa de Valor para Desp. C/Man. Telecentros : Aq. e Mat. Perm. e Informática</t>
  </si>
  <si>
    <t>Manutenção Educaçã Básica - Aplicação  Lei 11.494/2007, ART. 21</t>
  </si>
  <si>
    <t>Estimativa de Valor para Desp. C/Man. Ed. Básica Apl. Lei 494/2007, art. 21: Materiais de Consumo</t>
  </si>
  <si>
    <t>Estimativa de Valor para Desp. C/Man. Ed. Básica Apl. Lei 494/2007, art. 21: Servicos - Pessoa Fisica</t>
  </si>
  <si>
    <t>Estimativa de Valor para Desp. C/Man. Ed. Básica Apl. Lei 494/2007, art. 21: Servicos - Pessoa Juridica</t>
  </si>
  <si>
    <t>Estimativa de Valor para Desp. C/Man. Ed. Bás. Apl. Lei 494/2007, art. 21:  Materiais - Aq. P/Consórcio</t>
  </si>
  <si>
    <t>Estimativa de Valor para Desp. C/Man. Ed. Básica Apl. Lei 494/2007, art. 21:  Obras e Instalações</t>
  </si>
  <si>
    <t>Custeio Operacional e Manutenção e Promoção da Educação Básica - ED. INFANTIL</t>
  </si>
  <si>
    <t>C.O.M.P.E. Ed. Infantil: Folha PGTº: Servidores Contratados</t>
  </si>
  <si>
    <t xml:space="preserve">C.O.M.P.E. Ed. Infantil: Folha PGTº: Serv. Efetivos., F.G., C.C. </t>
  </si>
  <si>
    <t>C.O.M.P.E. Ed. Infantil: Folha PGTº: Obrigações Patronais</t>
  </si>
  <si>
    <t>C.O.M.P.E. Ed. Infantil: Folha PGTº: Horas Extras</t>
  </si>
  <si>
    <t xml:space="preserve">C.O.M.P.E. Ed. Infantil: Diárias </t>
  </si>
  <si>
    <t>C.O.M.P.E. Ed. Infantil: Materiais de Consumo</t>
  </si>
  <si>
    <t>C.O.M.P.E. Ed. Infantil: Material Para Distribuição Gratuita</t>
  </si>
  <si>
    <t>C.O.M.P.E. Ed. Infantil: Despesas Com Locomoção</t>
  </si>
  <si>
    <t>C.O.M.P.E. Ed. Infantil: Servicos de Consultoria</t>
  </si>
  <si>
    <t>C.O.M.P.E. Ed. Infantil: Servicos - Pessoa Fisica</t>
  </si>
  <si>
    <t>C.O.M.P.E. Ed. Infantil: Servicos - Pessoa Juridica</t>
  </si>
  <si>
    <t>C.O.M.P.E. Ed. Infantil: Obrigacoes Tributarias E Contributivas</t>
  </si>
  <si>
    <t>C.O.M.P.E. Ed. Infantil: Folha de Pagamento: Auxilio-Transporte</t>
  </si>
  <si>
    <t>C.O.M.P.E. Ed. Infantil: Ressarcimento de Despesas</t>
  </si>
  <si>
    <t>C.O.M.P.E. Ed. Infantil: Material de Consumo - Aquisição por Consórcio</t>
  </si>
  <si>
    <t>C.O.M.P.E. Ed. Infantil: Aquisição de Equipamentos e Material Permanente</t>
  </si>
  <si>
    <t>C.O.M.P.E. Ens. Fundam: Folha PGTº: Servidores Contratados</t>
  </si>
  <si>
    <t>C.O.M.P.E. Ens. Fundam:Folha PGTº: Obrigações Patronais</t>
  </si>
  <si>
    <t>C.O.M.P.E. Ens. Fundam:Folha PGTº: Horas Extras</t>
  </si>
  <si>
    <t xml:space="preserve">C.O.M.P.E. Ens. Fundam:Diárias </t>
  </si>
  <si>
    <t>C.O.M.P.E. Ens. Fundam:Materiais de Consumo</t>
  </si>
  <si>
    <t>C.O.M.P.E. Ens. Fundam:  Servicos - Pessoa Fisica</t>
  </si>
  <si>
    <t>C.O.M.P.E. Ens. Fundam: Servicos - Pessoa  Juridica</t>
  </si>
  <si>
    <t>C.O.M.P.E. Ens. Fundam: Material, Bem Ou Serv . P/Distrib. Gratuita</t>
  </si>
  <si>
    <t>C.O.M.P.E. Ens. Fundam: Obrigacoes Trib. E Contributivas</t>
  </si>
  <si>
    <t>C.O.M.P.E. Ens. Fundam: Folha de Pagamento: Auxilio-Transporte</t>
  </si>
  <si>
    <t>C.O.M.P.E. Ens. Fundam: Ressarcimento de Despesas</t>
  </si>
  <si>
    <t>C.O.M.P.E. Ens. Fundam: Material de Consumo - Aq. por Consórcio</t>
  </si>
  <si>
    <t>C.O.M.P.E. Ens. Fundam: PGTº: Serv. Efetivos., F.G., C.C.</t>
  </si>
  <si>
    <t>C.O.M.P.E. Ens. Fundam: Despesas Com Locomoção</t>
  </si>
  <si>
    <t xml:space="preserve"> Inclusão  no Ensino Fundamental – EJA</t>
  </si>
  <si>
    <t>Inc. Ens. Fundam.  E.J.A: Folha PGTº: Servidores Contratados</t>
  </si>
  <si>
    <t xml:space="preserve">Inc. Ens. Fundam.  E.J.A: Folha PGTº: Serv. Efetivos., F.G., C.C. </t>
  </si>
  <si>
    <t>Inc. Ens. Fundam.  E.J.A: Folha PGTº: Obrigações Patronais</t>
  </si>
  <si>
    <t>Inc. Ens. Fundam.  E.J.A: Folha PGTº: Horas Extras</t>
  </si>
  <si>
    <t xml:space="preserve">Inc. Ens. Fundam.  E.J.A: Diárias </t>
  </si>
  <si>
    <t>Inc. Ens. Fundam.  E.J.A: Materiais de Consumo</t>
  </si>
  <si>
    <t>Inc. Ens. Fundam.  E.J.A: Material Para Distribuição Gratuita</t>
  </si>
  <si>
    <t>Inc. Ens. Fundam.  E.J.A: Despesas Com Locomoção</t>
  </si>
  <si>
    <t>Inc. Ens. Fundam.  E.J.A: Servicos de Consultoria</t>
  </si>
  <si>
    <t>Inc. Ens. Fundam.  E.J.A: Servicos - Pessoa Fisica</t>
  </si>
  <si>
    <t>Inc. Ens. Fundam.  E.J.A: Servicos - Pessoa Juridica</t>
  </si>
  <si>
    <t>Inc. Ens. Fundam.  E.J.A: Obrigacoes Tributarias E Contributivas</t>
  </si>
  <si>
    <t>Inc. Ens. Fundam.  E.J.A: Folha de Pagamento: Auxilio-Transporte</t>
  </si>
  <si>
    <t>Inc. Ens. Fundam.  E.J.A: Ressarcimento de Despesas</t>
  </si>
  <si>
    <t>Inc. Ens. Fundam.  E.J.A: Material de Consumo - Aquisição por Consórcio</t>
  </si>
  <si>
    <t>Inc. Ens. Fundam.  E.J.A: Aq. de Equipamentos e Material Permanente</t>
  </si>
  <si>
    <t xml:space="preserve"> Custeio Operacional e Manutenção e Promoção da Educação Básica - ED. Especial</t>
  </si>
  <si>
    <t>C.O.M.P.E. Ed. Especial: Folha PGTº: Servidores Contratados</t>
  </si>
  <si>
    <t>C.O.M.P.E. Ed. Especial: Obrigacoes Tributarias E Contributivas</t>
  </si>
  <si>
    <t>C.O.M.P.E. Ed. Especial: Servicos - Pessoa Juridica</t>
  </si>
  <si>
    <t>C.O.M.P.E. Ed. Especial: Servicos - Pessoa Fisica</t>
  </si>
  <si>
    <t>C.O.M.P.E. Ed. Especial: Servicos de Consultoria</t>
  </si>
  <si>
    <t>C.O.M.P.E. Ed. Especial: Despesas Com Locomoção</t>
  </si>
  <si>
    <t>C.O.M.P.E. Ed. Especial: Material Para Distribuição Gratuita</t>
  </si>
  <si>
    <t>C.O.M.P.E. Ed. Especial: Materiais de Consumo</t>
  </si>
  <si>
    <t xml:space="preserve">C.O.M.P.E. Ed. Especial: Diárias </t>
  </si>
  <si>
    <t>C.O.M.P.E. Ed. Especial: Folha PGTº: Horas Extras</t>
  </si>
  <si>
    <t>C.O.M.P.E. Ed. Especial: Folha PGTº: Obrigações Patronais</t>
  </si>
  <si>
    <t xml:space="preserve">C.O.M.P.E. Ed. Especial: Folha PGTº: Serv. Efetivos., F.G., C.C. </t>
  </si>
  <si>
    <t>C.O.M.P.E. Ed. Especial: Folha de Pagamento: Auxilio-Transporte</t>
  </si>
  <si>
    <t>C.O.M.P.E. Ed. Especial: Ressarcimento de Despesas</t>
  </si>
  <si>
    <t>C.O.M.P.E. Ed. Especial: Material de Consumo - Aq. por Consórcio</t>
  </si>
  <si>
    <t>C.O.M.P.E. Ed. Especial:  Aq. de Equipamentos e Material Permanente</t>
  </si>
  <si>
    <t>Transporte Escolar do Ensino Fundamental</t>
  </si>
  <si>
    <t>Estimativa de Valor para Desp. C/Transp. Esc.: Aquisição de Equip., Mat. Perm. E Veículos</t>
  </si>
  <si>
    <t>Transporte Escolar da Educacao Especial</t>
  </si>
  <si>
    <t>Transporte Escolar para Alunos Eja</t>
  </si>
  <si>
    <t xml:space="preserve"> Transporte Escolar para Docentes</t>
  </si>
  <si>
    <t>Estimativa de Valor para Desp. C/Transp. Esc. Ed. Inf.: Servicos - Pessoa Juridica</t>
  </si>
  <si>
    <t>Estimativa de Valor para Desp. C/Transp. Esc. Ed. Inf.: Obrigacoes Tributarias E Contributivas</t>
  </si>
  <si>
    <t>Estimativa de Valor para Desp. C/Transp. Esc. Ed. Esp.: Servicos - Pessoa Juridica</t>
  </si>
  <si>
    <t>Estimativa de Valor para Desp. C/Transp. Esc. Ed. Esp.: Obrigacoes Tributarias E Contributivas</t>
  </si>
  <si>
    <t>Estimativa de Valor para Desp. C/Transp. Esc. EJA: Servicos - Pessoa Juridica</t>
  </si>
  <si>
    <t>Estimativa de Valor para Desp. C/Transp. Esc. EJA: Obrigacoes Tributarias E Contributivas</t>
  </si>
  <si>
    <t>Estimativa de Valor para Desp. C/Transp. Esc. Docentes: Servicos - Pessoa Juridica</t>
  </si>
  <si>
    <t>Estimativa de Valor para Desp. C/Transp. Esc. Docentes: Obrigacoes Tributarias E Contributivas</t>
  </si>
  <si>
    <t>Estimativa de Valor de Parametro de Ajuste Fundeb</t>
  </si>
  <si>
    <t>Consulta Popular</t>
  </si>
  <si>
    <t>Estimativa de Valor para Desp. C/Consulta Popular: Obrigações Tributarias e Contributivas</t>
  </si>
  <si>
    <t>Estimativa de Valor para Desp. C/Consulta Popular: Devolução de Saldo</t>
  </si>
  <si>
    <t>Estimativa de Valor para Desp. C/Consulta Popular: Material De Consumo</t>
  </si>
  <si>
    <t>Estimativa de Valor para Desp. C/Consulta Popular: Servicos - Pessoa Fisica</t>
  </si>
  <si>
    <t>Estimativa de Valor para Desp. C/Consulta Popular: Servicos - Pessoa Jurídica</t>
  </si>
  <si>
    <t>Estimativa de Valor para Desp. C/Consulta Popular: Aq. Equipmantos</t>
  </si>
  <si>
    <t xml:space="preserve"> Programa Estadual de Transporte Escolar - PEATE/RS</t>
  </si>
  <si>
    <t>Estimativa de Valor para Desp. C/PEATE/RS: Devolução de Saldo</t>
  </si>
  <si>
    <t>Estimativa de Valor para Desp. C/PEATE/RS: Servicos - Pessoa Juridica</t>
  </si>
  <si>
    <t>Estimativa de Valor para Desp. C/PEATE/RS: Obrigacoes Tributarias E Contributivas</t>
  </si>
  <si>
    <t>CONVENIOS - UNIÃO</t>
  </si>
  <si>
    <t>Estimativa de Valor para Desp. C/Const. De Cobert. Quadra Poliesp. : Obrig. Trib. e Contrib.</t>
  </si>
  <si>
    <t>Estimativa de Valor para Desp. C/Const. De Cobert. Quadra Poliesp. : Dev. de Saldo</t>
  </si>
  <si>
    <t>Estimativa de Valor para Desp. C/Const. De Cobert. Quadra Poliesp. : Serv. Pessoa Física</t>
  </si>
  <si>
    <t>Estimativa de Valor para Desp. C/Const. De Cobert. Quadra Poliesp. : Serv. Pessoa Jurídica</t>
  </si>
  <si>
    <t>Estimativa de Valor para Desp. C/Const. De Cobert. Quadra Poliesp. : Obras e Instalações</t>
  </si>
  <si>
    <t xml:space="preserve">Estimativa de Valor para Desp. C/Const. De Cobert. Quadra Poliesp. : Obras e Instalações </t>
  </si>
  <si>
    <t>Manutenção Educacao Básica - Q.S.E.</t>
  </si>
  <si>
    <t>Estimativa de Valor para Desp. C/Man. Ed. Básica - Q.S.E.: Materiais de Consumo</t>
  </si>
  <si>
    <t>Estimativa de Valor para Desp. C/Man. Ed. Básica - Q.S.E.: Servicos - Pessoa Fisica</t>
  </si>
  <si>
    <t>Estimativa de Valor para Desp. C/Man. Ed. Básica - Q.S.E.:  Servicos - Pessoa Juridica</t>
  </si>
  <si>
    <t>Estimativa de Valor para Desp. C/Man. Ed. Básica - Q.S.E.:  Obrigacoes Tributarias E Contributivas</t>
  </si>
  <si>
    <t>Estimativa de Valor para Desp. C/Man. Ed. Básica - Q.S.E.:  Aq. de Equip. e Mat. Perm.</t>
  </si>
  <si>
    <t>Programa Nacional de Alimentação Escolar - PNAE</t>
  </si>
  <si>
    <t>Estimativa de Valor para Desp. C/PNAE: Aq. de Alimentos</t>
  </si>
  <si>
    <t>Estimativa de Valor para Desp. C/PNAE: Aq. de Alimentos - Agricultura Familiar</t>
  </si>
  <si>
    <t>Estimativa de Valor para Desp. C/PNAE: Servicos - Pessoa Juridica</t>
  </si>
  <si>
    <t xml:space="preserve"> Programa Nacional de Transporte Escolar - PNATE</t>
  </si>
  <si>
    <t>C.O.M.P.E. Ens. Fundam: Servicos de Consultoria</t>
  </si>
  <si>
    <t>C.O.M.P.E. Ens. Fundam: Folha PGTº: Obrigações Patronais</t>
  </si>
  <si>
    <t>C.O.M.P.E. Ens. Fundam: Folha PGTº: Horas Extras</t>
  </si>
  <si>
    <t xml:space="preserve">C.O.M.P.E. Ens. Fundam: Diárias </t>
  </si>
  <si>
    <t>C.O.M.P.E. Ens. Fundam: Materiais de Consumo</t>
  </si>
  <si>
    <t>C.O.M.P.E. Ens. Fundam: Material Distribuição Gratuita</t>
  </si>
  <si>
    <t>C.O.M.P.E. Ens. Fundam: Servicos - Pessoa Fisica</t>
  </si>
  <si>
    <t>C.O.M.P.E. Ens. Fundam: Servicos - Pessoa Jurídica</t>
  </si>
  <si>
    <t>C.O.M.P.E. Ens. Fundam: Obrigacoes Tributarias E Contributivas</t>
  </si>
  <si>
    <t>C.O.M.P.E. Ens. Fundam: Material de Consumo - Aq. P/Consórcio</t>
  </si>
  <si>
    <t>C.O.M.P.E. Ens. Fundam: Folha PGTº: Serv. Efet., F.G., C.C. e Permuta</t>
  </si>
  <si>
    <t>Estimativa de Valor para Desp. C/PNATE: Devolução de Saldo</t>
  </si>
  <si>
    <t>Estimativa de Valor para Desp. C/PNATE: Servicos - Pessoa Juridica</t>
  </si>
  <si>
    <t>Estimativa de Valor para Desp. C/PNATE: Obrigacoes Tributarias E Contributivas</t>
  </si>
  <si>
    <t>Estimativa de Valor para Desp. C/C.O.M.P.E. Ens. Fundam: Folha PGTº: Servidores Contratados</t>
  </si>
  <si>
    <t>Estimativa de Valor para Desp. C/C.O.M.P.E. Ens. Fundam: Folha PGTº: Serv. Efet., F.G., C.C. e Permuta</t>
  </si>
  <si>
    <t>Estimativa de Valor para Desp. C/C.O.M.P.E. Ens. Fundam: Folha PGTº: Horas Extras</t>
  </si>
  <si>
    <t xml:space="preserve">Estimativa de Valor para Desp. C/C.O.M.P.E. Ens. Fundam: Diárias </t>
  </si>
  <si>
    <t>Estimativa de Valor para Desp. C/C.O.M.P.E. Ens. Fundam: Materiais de Consumo</t>
  </si>
  <si>
    <t>Estimativa de Valor para Desp. C/C.O.M.P.E. Ens. Fundam: Material Distribuição Gratuita</t>
  </si>
  <si>
    <t>Estimativa de Valor para Desp. C/C.O.M.P.E. Ens. Fundam: Despesas Com Locomoção</t>
  </si>
  <si>
    <t>Estimativa de Valor para Desp. C/C.O.M.P.E. Ens. Fundam: Servicos - Pessoa Fisica</t>
  </si>
  <si>
    <t>Estimativa de Valor para Desp. C/C.O.M.P.E. Ens. Fundam: Servicos - Pessoa Jurídica</t>
  </si>
  <si>
    <t>Estimativa de Valor para Desp. C/C.O.M.P.E. Ens. Fundam: Folha de Pagamento: Auxilio-Transporte</t>
  </si>
  <si>
    <t>Estimativa de Valor para Desp. C/C.O.M.P.E. Ens. Fundam: Ressarcimento de Despesas</t>
  </si>
  <si>
    <t>Estimativa de Valor para Desp. C/C.O.M.P.E. Ens. Fundam: Material de Consumo - Aq. P/Consórcio</t>
  </si>
  <si>
    <t>Transporte Escolar da Educacao Superior</t>
  </si>
  <si>
    <t>Estimativa de Valor para Desp. C/Transp. Escolar . Ensino Superior</t>
  </si>
  <si>
    <t>Estimativa de Valor para Desp. C/Transp. Escolar . Ensino  Ensino Médio</t>
  </si>
  <si>
    <t>Transporte Escolar do Ensino Medio</t>
  </si>
  <si>
    <t>Transporte Escolar do Ensino Profissionalizante</t>
  </si>
  <si>
    <t>Estimativa de Valor para Desp. C/Transp. Escolar . Ensino Profissionalizante</t>
  </si>
  <si>
    <t>Transporte Escolar de Alunos Cursos Pre Vestibular</t>
  </si>
  <si>
    <t>Estimativa de Valor para Desp. C/Transp. Escolar . Cursos Pre Vestibular</t>
  </si>
  <si>
    <t>Transporte Escolar para Docentes</t>
  </si>
  <si>
    <t>Estimativa de Valor para Desp. C/Transp. Escolar . Docentes</t>
  </si>
  <si>
    <t xml:space="preserve">Estimativa de Valor para Desp. C/Aq. de Eq. e Mat. Perm.: Material De Consumo </t>
  </si>
  <si>
    <t xml:space="preserve">Estimativa de Valor para Desp. C/Aq. de Eq. e Mat. Perm.: Serviços - Pessoa Fisica  </t>
  </si>
  <si>
    <t xml:space="preserve">Estimativa de Valor para Desp. C/Aq. de Eq. e Mat. Perm.: Serviços - Pessoa Juridica </t>
  </si>
  <si>
    <t xml:space="preserve">Estimativa de Valor para Desp. C/Aq. de Eq. e Mat. Perm.: Eq. e Material Permanente </t>
  </si>
  <si>
    <t>Programa Municipal de Alimentação Escolar - PMAE</t>
  </si>
  <si>
    <t>Estimativa de Valor para Desp. C/PMAE: Aq. de Alimentos</t>
  </si>
  <si>
    <t>Estimativa de Valor para Desp. C/PMAE: Aq. de Alimentos - Agricultura Familiar</t>
  </si>
  <si>
    <t>Custeio Operacional do Departamento da Alimentação Escolar</t>
  </si>
  <si>
    <t>Estimativa de Valor para Desp. C/Folha PGTº Dep. Alim. Esc.: Servidores Contratados</t>
  </si>
  <si>
    <t>Estimativa de Valor para Desp. C/Folha PGTº Dep. Alim. Esc.: Serv. Efetivos., F.G., C.C.</t>
  </si>
  <si>
    <t>Estimativa de Valor para Desp. C/Folha PGTº Dep. Alim. Esc.: Horas Extras</t>
  </si>
  <si>
    <t xml:space="preserve">Estimativa de Valor para Desp. C/Dep. Alim. Esc.: Diárias </t>
  </si>
  <si>
    <t>Estimativa de Valor para Desp. C/Dep. Alim. Esc.: Materiais de Consumo</t>
  </si>
  <si>
    <t>Estimativa de Valor para Desp. C/Dep. Alim. Esc.: Material Distribuição Gratuita</t>
  </si>
  <si>
    <t>Estimativa de Valor para Desp. C/Dep. Alim. Esc.: Despesas Com Locomoção</t>
  </si>
  <si>
    <t>Estimativa de Valor para Desp. C/Dep. Alim. Esc.: Servicos de Consultoria</t>
  </si>
  <si>
    <t>Estimativa de Valor para Desp. C/Dep. Alim. Esc.: Servicos - Pessoa Fisica</t>
  </si>
  <si>
    <t>Estimativa de Valor para Desp. C/Dep. Alim. Esc.: Servicos - Pessoa Juridica</t>
  </si>
  <si>
    <t>Estimativa de Valor para Desp. C/Folha PGTº Dep. Alim. Esc.: Auxilio-Transporte</t>
  </si>
  <si>
    <t>Estimativa de Valor para Desp. C/Dep. Alim. Esc.: Ressarcimento de Despesas</t>
  </si>
  <si>
    <t>Estimativa de Valor para Desp. C/Dep. Alim. Esc.: Material de Consumo - Aq. P/Consórcio</t>
  </si>
  <si>
    <t>Estimativa de Valor para Desp C/Aquisição de Eq. e Mat. Perm. E Informat. - Servicos P. Física</t>
  </si>
  <si>
    <t>Estimativa de Valor para Desp C/Aquisição de Eq. e Mat. Perm. E Informat. - Servicos P. Juridica</t>
  </si>
  <si>
    <t>Estimativa de Valor para Desp C/Material, Bem ou Serv. Para Distrib. Gratuita</t>
  </si>
  <si>
    <t>Dep. Cultura: Material de Consumo - Aq. P/Consórcio</t>
  </si>
  <si>
    <t>Estimativa de Valor para Desp C/Material de Consumo - Aq. P/Consórcio</t>
  </si>
  <si>
    <t>Implantacao e Manutenção da Biblioteca Municipal</t>
  </si>
  <si>
    <t>Estimativa de Valor para Desp C/Man. Biblioteca Mun.: Material de Consumo</t>
  </si>
  <si>
    <t>Estimativa de Valor para Desp C/Man. Biblioteca Mun.: Material Distribuição Gratuita</t>
  </si>
  <si>
    <t>Estimativa de Valor para Desp C/Man. Biblioteca Mun.: Servicos - Pessoa Fisica</t>
  </si>
  <si>
    <t>Estimativa de Valor para Desp C/Man. Biblioteca Mun.: Servicos - Pessoa Juridica</t>
  </si>
  <si>
    <t>Estimativa de Valor para Desp C/Man. Biblioteca Mun.: Material de Consumo - Aq. P/Consórcio</t>
  </si>
  <si>
    <t>Estimativa de Valor para Desp C/Man. Biblioteca Mun.: Obras e Instalações</t>
  </si>
  <si>
    <t>Estimativa de Valor para Desp C/Man. Biblioteca Mun.: Aq. de Eq. e Mat. Permanente</t>
  </si>
  <si>
    <t>Mais Cultura - Semana Farroupilha</t>
  </si>
  <si>
    <t>Estimativa de Valor para Desp C/Semana Farroupilha: Material de Consumo</t>
  </si>
  <si>
    <t>Estimativa de Valor para Desp C/Semana Farroupilha: Material Distribuição Gratuita</t>
  </si>
  <si>
    <t>Estimativa de Valor para Desp C/Semana Farroupilha: Servicos - Pessoa Fisica</t>
  </si>
  <si>
    <t>Estimativa de Valor para Desp C/Semana Farroupilha: Servicos - Pessoa Juridica</t>
  </si>
  <si>
    <t>Estimativa de Valor para Desp C/Semana Farroupilha: Material de Consumo - Aq. P/Consórcio</t>
  </si>
  <si>
    <t>Estimativa de Valor para Desp C/Semana Farroupilha: Aq. de Eq. e Mat. Permanente</t>
  </si>
  <si>
    <t>Feira do Livro</t>
  </si>
  <si>
    <t xml:space="preserve">Festival de Musica Sacra </t>
  </si>
  <si>
    <t>Estimativa de Valor para Desp C/Feira do Livro: Material de Consumo</t>
  </si>
  <si>
    <t>Estimativa de Valor para Desp C/Feira do Livro: Material Distribuição Gratuita</t>
  </si>
  <si>
    <t>Estimativa de Valor para Desp C/Feira do Livro: Servicos - Pessoa Fisica</t>
  </si>
  <si>
    <t>Estimativa de Valor para Desp C/Feira do Livro: Servicos - Pessoa Juridica</t>
  </si>
  <si>
    <t>Estimativa de Valor para Desp C/Feira do Livro: Material de Consumo - Aq. P/Consórcio</t>
  </si>
  <si>
    <t>Estimativa de Valor para Desp C/Feira do Livro: Aq. de Eq. e Mat. Permanente</t>
  </si>
  <si>
    <t>Estimativa de Valor para Desp C/Festival de Musica Sacra: Material de Consumo</t>
  </si>
  <si>
    <t>Estimativa de Valor para Desp C/Festival de Musica Sacra: Premiações</t>
  </si>
  <si>
    <t>Estimativa de Valor para Desp C/Festival de Musica Sacra: Material Distribuição Gratuita</t>
  </si>
  <si>
    <t>Estimativa de Valor para Desp C/Festival de Musica Sacra: Servicos - Pessoa Fisica</t>
  </si>
  <si>
    <t>Estimativa de Valor para Desp C/Festival de Musica Sacra: Servicos - Pessoa Juridica</t>
  </si>
  <si>
    <t>Estimativa de Valor para Desp C/Festival de Musica Sacra: Material de Consumo - Aq. P/Consórcio</t>
  </si>
  <si>
    <t>Estimativa de Valor para Desp C/Festival de Musica Sacra: Aq. de Eq. e Mat. Permanente</t>
  </si>
  <si>
    <t xml:space="preserve"> Realização de Espetáculos de Música, Artes e Dança</t>
  </si>
  <si>
    <t>Estimativa de Valor para Desp C/Real. de Esp. de Musica, Artes e Dança: Material de Consumo</t>
  </si>
  <si>
    <t>Estimativa de Valor para Desp C/Real. de Esp. de Musica, Artes e Dança: Premiações</t>
  </si>
  <si>
    <t>Estimativa de Valor para Desp C/Real. de Esp. de Musica, Artes e Dança: Material Distribuição Gratuita</t>
  </si>
  <si>
    <t>Estimativa de Valor para Desp C/Real. de Esp. de Musica, Artes e Dança: Servicos - Pessoa Fisica</t>
  </si>
  <si>
    <t>Estimativa de Valor para Desp C/Real. de Esp. de Musica, Artes e Dança: Servicos - Pessoa Juridica</t>
  </si>
  <si>
    <t>Estimativa de Valor para Desp C/Real. de Esp. de Musica, Artes e Dança: Obrig.Trib. e Contrib.</t>
  </si>
  <si>
    <t>Estimativa de Valor para Desp C/Real. de Esp. de Musica, Artes e Dança: Material de Consumo - Aq. P/Consórcio</t>
  </si>
  <si>
    <t>Estimativa de Valor para Desp C/Real. de Esp. de Musica, Artes e Dança: Aq. de Eq. e Mat. Permanente</t>
  </si>
  <si>
    <t xml:space="preserve"> Realização de Festival de Talentos</t>
  </si>
  <si>
    <t>Estimativa de Valor para Desp C/Real. de Festival de Talentos: Material de Consumo</t>
  </si>
  <si>
    <t>Estimativa de Valor para Desp C/Real. de Festival de Talentos: Premiações</t>
  </si>
  <si>
    <t>Estimativa de Valor para Desp C/Real. de Festival de Talentos: Material Distribuição Gratuita</t>
  </si>
  <si>
    <t>Estimativa de Valor para Desp C/Real. de Festival de Talentos: Servicos - Pessoa Fisica</t>
  </si>
  <si>
    <t>Estimativa de Valor para Desp C/Real. de Festival de Talentos: Servicos - Pessoa Juridica</t>
  </si>
  <si>
    <t>Estimativa de Valor para Desp C/Real. de Festival de Talentos: Obrig.Trib. e Contrib.</t>
  </si>
  <si>
    <t>Estimativa de Valor para Desp C/Real. de Festival de Talentos: Material de Consumo - Aq. P/Consórcio</t>
  </si>
  <si>
    <t>Estimativa de Valor para Desp C/Real. de Festival de Talentos: Aq. de Eq. e Mat. Permanente</t>
  </si>
  <si>
    <t>Festa do Padroeiro</t>
  </si>
  <si>
    <t>Estimativa de Valor para Desp C/Festa do Padroeiro: Material de Consumo</t>
  </si>
  <si>
    <t>Estimativa de Valor para Desp C/Festa do Padroeiro:  Material Distribuição Gratuita</t>
  </si>
  <si>
    <t>Estimativa de Valor para Desp C/Festa do Padroeiro: Servicos - Pessoa Fisica</t>
  </si>
  <si>
    <t>Estimativa de Valor para Desp C/Festa do Padroeiro: Servicos - Pessoa Juridica</t>
  </si>
  <si>
    <t>Estimativa de Valor para Desp C/Festa do Padroeiro: Obrig.Trib. e Contrib.</t>
  </si>
  <si>
    <t>Estimativa de Valor para Desp C/Festa do Padroeiro:  Material de Consumo - Aq. P/Consórcio</t>
  </si>
  <si>
    <t>Estimativa de Valor para Desp C/Festa do Padroeiro: Aq. de Eq. e Mat. Permanente</t>
  </si>
  <si>
    <t>Mais Cultura - Banda Municipal</t>
  </si>
  <si>
    <t>Estimativa de Valor para Desp C/Banda Municipal: Material de Consumo</t>
  </si>
  <si>
    <t>Estimativa de Valor para Desp C/Banda Municipal: Material Distribuição Gratuita</t>
  </si>
  <si>
    <t>Estimativa de Valor para Desp C/Banda Municipal: Servicos - Pessoa Fisica</t>
  </si>
  <si>
    <t>Estimativa de Valor para Desp C/Banda Municipal: Servicos - Pessoa Juridica</t>
  </si>
  <si>
    <t>Estimativa de Valor para Desp C/Banda Municipal: Obrig.Trib. e Contrib.</t>
  </si>
  <si>
    <t>Estimativa de Valor para Desp C/Banda Municipal: Material de Consumo - Aq. P/Consórcio</t>
  </si>
  <si>
    <t>Estimativa de Valor para Desp C/Banda Municipal: Aq. de Eq. e Mat. Permanente</t>
  </si>
  <si>
    <t>Mais Cultura - Grupo Cultural União dos Pagos</t>
  </si>
  <si>
    <t>Estimativa de Valor para Desp C/Grupo Cult. União dos Pagos: Material de Consumo</t>
  </si>
  <si>
    <t>Estimativa de Valor para Desp C/Grupo Cult. União dos Pagos: Material Distribuição Gratuita</t>
  </si>
  <si>
    <t>Estimativa de Valor para Desp C/Grupo Cult. União dos Pagos: Servicos - Pessoa Fisica</t>
  </si>
  <si>
    <t>Estimativa de Valor para Desp C/Grupo Cult. União dos Pagos: Servicos - Pessoa Juridica</t>
  </si>
  <si>
    <t>Estimativa de Valor para Desp C/Grupo Cult. União dos Pagos: Obrig.Trib. e Contrib.</t>
  </si>
  <si>
    <t>Estimativa de Valor para Desp C/Grupo Cult. União dos Pagos: Material de Consumo - Aq. P/Consórcio</t>
  </si>
  <si>
    <t>Estimativa de Valor para Desp C/Grupo Cult. União dos Pagos: Aq. de Eq. e Mat. Permanente</t>
  </si>
  <si>
    <t>Mais Cultura - Manutenção do Centro de Eventos</t>
  </si>
  <si>
    <t>Estimativa de Valor para Desp C/Manut. Centro de Eventos: Material de Consumo</t>
  </si>
  <si>
    <t>Estimativa de Valor para Desp C/Manut. Centro de Eventos: Material Distribuição Gratuita</t>
  </si>
  <si>
    <t>Estimativa de Valor para Desp C/Manut. Centro de Eventos:  Servicos - Pessoa Fisica</t>
  </si>
  <si>
    <t>Estimativa de Valor para Desp C/Manut. Centro de Eventos:  Servicos - Pessoa Juridica</t>
  </si>
  <si>
    <t>Estimativa de Valor para Desp C/Manut. Centro de Eventos:  Obrig.Trib. e Contrib.</t>
  </si>
  <si>
    <t>Estimativa de Valor para Desp C/Manut. Centro de Eventos:  Material de Consumo - Aq. P/Consórcio</t>
  </si>
  <si>
    <t>Estimativa de Valor para Desp C/Manut. Centro de Eventos:  Obras e Instalações</t>
  </si>
  <si>
    <t>Estimativa de Valor para Desp C/Manut. Centro de Eventos:  Aq. de Eq. e Mat. Permanente</t>
  </si>
  <si>
    <t>Mais Cultura - DER OSTERBAUM</t>
  </si>
  <si>
    <t>Estimativa de Valor para Desp C/Der Osterbaum: Material de Consumo</t>
  </si>
  <si>
    <t>Estimativa de Valor para Desp C/Der Osterbaum: Material Distribuição Gratuita</t>
  </si>
  <si>
    <t>Estimativa de Valor para Desp C/Der Osterbaum: Servicos - Pessoa Fisica</t>
  </si>
  <si>
    <t>Estimativa de Valor para Desp C/Der Osterbaum: Servicos - Pessoa Juridica</t>
  </si>
  <si>
    <t>Estimativa de Valor para Desp C/Der Osterbaum: Obrig.Trib. e Contrib.</t>
  </si>
  <si>
    <t>Estimativa de Valor para Desp C/Der Osterbaum: Material de Consumo - Aq. P/Consórcio</t>
  </si>
  <si>
    <t>Estimativa de Valor para Desp C/Der Osterbaum: Aq. de Eq. e Mat. Permanente</t>
  </si>
  <si>
    <t xml:space="preserve"> Manutenção da Semana da Pátria</t>
  </si>
  <si>
    <t>Manutenção da Festa de Aniversário do Municipio</t>
  </si>
  <si>
    <t>Festa Natalina</t>
  </si>
  <si>
    <t>Estimativa de Valor para Desp C/Semana da Patria: Material de Consumo</t>
  </si>
  <si>
    <t>Estimativa de Valor para Desp C/Semana da Patria: Material Distribuição Gratuita</t>
  </si>
  <si>
    <t>Estimativa de Valor para Desp C/Semana da Patria: Servicos - Pessoa Fisica</t>
  </si>
  <si>
    <t>Estimativa de Valor para Desp C/Semana da Patria: Servicos - Pessoa Juridica</t>
  </si>
  <si>
    <t>Estimativa de Valor para Desp C/Semana da Patria: Obrig.Trib. e Contrib.</t>
  </si>
  <si>
    <t>Estimativa de Valor para Desp C/Semana da Patria: Material de Consumo - Aq. P/Consórcio</t>
  </si>
  <si>
    <t>Estimativa de Valor para Desp C/Semana da Patria: Aq. de Eq. e Mat. Permanente</t>
  </si>
  <si>
    <t>Estimativa de Valor para Desp C/Festa de Aniversário do Município: Material de Consumo</t>
  </si>
  <si>
    <t>Estimativa de Valor para Desp C/Festa de Aniversário do Município: Material Distribuição Gratuita</t>
  </si>
  <si>
    <t>Estimativa de Valor para Desp C/Festa de Aniversário do Município: Servicos - Pessoa Fisica</t>
  </si>
  <si>
    <t>Estimativa de Valor para Desp C/Festa de Aniversário do Município: Servicos - Pessoa Juridica</t>
  </si>
  <si>
    <t>Estimativa de Valor para Desp C/Festa de Aniversário do Município: Obrig.Trib. e Contrib.</t>
  </si>
  <si>
    <t>Estimativa de Valor para Desp C/Festa de Aniversário do Município: Material de Consumo - Aq. P/Consórcio</t>
  </si>
  <si>
    <t>Estimativa de Valor para Desp C/Festa de Aniversário do Município: Aq. de Eq. e Mat. Permanente</t>
  </si>
  <si>
    <t>Estimativa de Valor para Desp C/Festa Natalina: Material de Consumo</t>
  </si>
  <si>
    <t>Estimativa de Valor para Desp C/Festa Natalina: Material Distribuição Gratuita</t>
  </si>
  <si>
    <t>Estimativa de Valor para Desp C/Festa Natalina: Servicos - Pessoa Fisica</t>
  </si>
  <si>
    <t>Estimativa de Valor para Desp C/Festa Natalina: Servicos - Pessoa Juridica</t>
  </si>
  <si>
    <t>Estimativa de Valor para Desp C/Festa Natalina: Obrig.Trib. e Contrib.</t>
  </si>
  <si>
    <t>Estimativa de Valor para Desp C/Festa Natalina: Material de Consumo - Aq. P/Consórcio</t>
  </si>
  <si>
    <t>Estimativa de Valor para Desp C/Festa Natalina: Aq. de Eq. e Mat. Permanente</t>
  </si>
  <si>
    <t>Convenios e Transf. do Estado para Eventos Culturais</t>
  </si>
  <si>
    <t>Estimativa de Valor para Desp C/Cons. Pop. P/Apoio Eventos Culturais: Devolução de Saldo</t>
  </si>
  <si>
    <t>Estimativa de Valor para Desp C/Cons. Pop. P/Apoio Eventos Culturais: Material de Consumo</t>
  </si>
  <si>
    <t>Cons. Pop. P/Apoio Eventos Culturais: Servicos - Pessoa Fisica</t>
  </si>
  <si>
    <t>Cons. Pop. P/Apoio Eventos Culturais: Servicos - Pessoa Juridica</t>
  </si>
  <si>
    <t>Cons. Pop. P/Apoio Eventos Culturais: Obrig.Trib. e Contrib.</t>
  </si>
  <si>
    <t>Cons. Pop. P/Apoio Eventos Culturais:  Material de Consumo - Aq. P/Consórcio</t>
  </si>
  <si>
    <t>Cons. Pop. P/Apoio Eventos Culturais: Aq. de Eq. e Mat. Permanente</t>
  </si>
  <si>
    <t>Estimativa de Valor para Desp C/Cons. Pop. P/Apoio Eventos Culturais: Servicos - Pessoa Fisica</t>
  </si>
  <si>
    <t>Estimativa de Valor para Desp C/Cons. Pop. P/Apoio Eventos Culturais:  Servicos - Pessoa Juridica</t>
  </si>
  <si>
    <t>Estimativa de Valor para Desp C/Cons. Pop. P/Apoio Eventos Culturais: Obrig.Trib. e Contrib.</t>
  </si>
  <si>
    <t>Estimativa de Valor para Desp C/Cons. Pop. P/Apoio Eventos Culturais: Material de Consumo - Aq. P/Consórcio</t>
  </si>
  <si>
    <t>Estimativa de Valor para Desp C/Cons. Pop. P/Apoio Eventos Culturais: Aq. de Eq. e Mat. Permanente</t>
  </si>
  <si>
    <t>Estimativa de Valor para Desp C/Custo de Aq. de Equip. e Mat. Perm. Dep. Desp.: Obrig. Trib. e Contrib.</t>
  </si>
  <si>
    <t>Estimativa de Valor para Desp C/Custo de Aq. de Equip. e Mat. Perm. Dep. Desp.: Material De Consumo</t>
  </si>
  <si>
    <t>Estimativa de Valor para Desp C/Custo de Aq. de Equip. e Mat. Perm. Dep. Desp.: Servicos - Pessoa Fisica</t>
  </si>
  <si>
    <t>Estimativa de Valor para Desp C/Custo de Aq. de Equip. e Mat. Perm. Dep. Desp.: Servicos - Pessoa Juridica</t>
  </si>
  <si>
    <t>Estimativa de Valor para Desp C/Custo de Aq. de Equip. e Mat. Perm. Dep. Desp.: Eq. e Mat. Permanente</t>
  </si>
  <si>
    <t>Apoio a realização de Eventos Esportivos e de Lazer</t>
  </si>
  <si>
    <t>Estimativa de Valor para Desp C/Folha PGTº Dep. Desporto: Servidores Contratados</t>
  </si>
  <si>
    <t>Estimativa de Valor para Desp C/Folha PGTº Dep. Desporto: Serv. Efetivos., C.C.</t>
  </si>
  <si>
    <t>Estimativa de Valor para Desp C/Folha PGTº Dep. Desporto: Horas Extras</t>
  </si>
  <si>
    <t xml:space="preserve">Estimativa de Valor para Desp C/Dep. Desporto: Diárias </t>
  </si>
  <si>
    <t>Estimativa de Valor para Desp C/Dep. Desporto: Material de Consumo</t>
  </si>
  <si>
    <t>Estimativa de Valor para Desp C/Dep. Desporto: Material Distribuição Gratuita</t>
  </si>
  <si>
    <t>Estimativa de Valor para Desp C/Dep. Desporto: Despesas Com Locomoção</t>
  </si>
  <si>
    <t>Estimativa de Valor para Desp C/Dep. Desporto: Servicos de Consultoria</t>
  </si>
  <si>
    <t>Estimativa de Valor para Desp C/Dep. Desporto: Servicos - Pessoa Fisica</t>
  </si>
  <si>
    <t>Estimativa de Valor para Desp C/Dep. Desporto: Servicos - Pessoa Juridica</t>
  </si>
  <si>
    <t>Estimativa de Valor para Desp C/Dep. Desporto: Obrig.Trib. e Contrib.</t>
  </si>
  <si>
    <t>Estimativa de Valor para Desp C/Folha PGTº Dep. Desporto:  Auxilio-Transporte</t>
  </si>
  <si>
    <t>Estimativa de Valor para Desp C/Dep. Desporto:  Ressarcimento de Despesas</t>
  </si>
  <si>
    <t>Estimativa de Valor para Desp C/Dep. Desporto:  Material de Consumo - Aq. P/Consórcio</t>
  </si>
  <si>
    <t>Estimativa de Valor para Desp C/Apoio a Real. de Ev. Esp. e Lazer: Material de Consumo</t>
  </si>
  <si>
    <t>Estimativa de Valor para Desp C/Apoio a Real. de Ev. Esp. e Lazer: Premiações</t>
  </si>
  <si>
    <t>Estimativa de Valor para Desp C/Apoio a Real. De Ev. Esp. e Lazer: Serv. P. Física</t>
  </si>
  <si>
    <t>Estimativa de Valor para Desp C/Apoio a Real. de Ev. Esp. e Lazer: Serv. P. Jurídica</t>
  </si>
  <si>
    <t>Estimativa de Valor para Desp C/Apoio a Real. de Ev. Esp. e Lazer: Invest. No Campo do Universal</t>
  </si>
  <si>
    <t>Estimativa de Valor para Desp C/Apoio a Real. de Ev. Esp. e Lazer: Aq. de Eq. e Mat. Perm.</t>
  </si>
  <si>
    <t>Estimativa de Valor para Desp C/Apoio a Real. de Ev. Esp. e Lazer: Material de Dist. Gratuita</t>
  </si>
  <si>
    <t>Apoio a Real. de Ev. Esp. e Lazer: Material Distrib. Gratuita</t>
  </si>
  <si>
    <t>Convenios Com Uniao e Estado</t>
  </si>
  <si>
    <t>Estimativa de Valor para Desp C/Cons. Pop. P/Aq. Mat. e Desenv. Desp.: Devolução de Saldo</t>
  </si>
  <si>
    <t>Estimativa de Valor para Desp C/Cons. Pop. P/Aq. Mat. e Desenv. Desp.: Material de Consumo</t>
  </si>
  <si>
    <t>Estimativa de Valor para Desp C/Cons. Pop. P/Aq. Mat. e Desenv. Desp.: Servicos - Pessoa Fisica</t>
  </si>
  <si>
    <t>Estimativa de Valor para Desp C/Cons. Pop. P/Aq. Mat. e Desenv. Desp.: Servicos - Pessoa Juridica</t>
  </si>
  <si>
    <t>Estimativa de Valor para Desp C/Cons. Pop. P/Aq. Mat. e Desenv. Desp.:  Servicos - Pessoa Juridica</t>
  </si>
  <si>
    <t>Estimativa de Valor para Desp C/Cons. Pop. P/Aq. Mat. e Desenv. Desp.: Obrig.Trib. e Contrib.</t>
  </si>
  <si>
    <t>Estimativa de Valor para Desp C/Cons. Pop. P/Aq. Mat. e Desenv. Desp.: Mat. de Consumo - Aq. P/Consórcio</t>
  </si>
  <si>
    <t>Estimativa de Valor para Desp C/Cons. Pop. P/Aq. Mat. e Desenv. Desp.: Aq. de Eq. e Mat. Permanente</t>
  </si>
  <si>
    <t>Realização da Agrifest e Festa do Fumo</t>
  </si>
  <si>
    <t>Estimativa de Valor para Desp C/Realiz. Agrifest e Festa do Fumo: Diárias</t>
  </si>
  <si>
    <t>Estimativa de Valor para Desp C/Realiz. Agrifest e Festa do Fumo: Material de Consumo</t>
  </si>
  <si>
    <t>Estimativa de Valor para Desp C/Realiz. Agrifest e Festa do Fumo: Material Distribuição Gratuita</t>
  </si>
  <si>
    <t>Estimativa de Valor para Desp C/Realiz. Agrifest e Festa do Fumo: Desp. C/Locomoção</t>
  </si>
  <si>
    <t>Estimativa de Valor para Desp C/Realiz. Agrifest e Festa do Fumo: Servicos - Pessoa Fisica</t>
  </si>
  <si>
    <t>Estimativa de Valor para Desp C/Realiz. Agrifest e Festa do Fumo: Servicos - Pessoa Juridica</t>
  </si>
  <si>
    <t>Estimativa de Valor para Desp C/Realiz. Agrifest e Festa do Fumo: Obrig.Trib. e Contrib.</t>
  </si>
  <si>
    <t>Estimativa de Valor para Desp C/Realiz. Agrifest e Festa do Fumo: Ressarcimento de Despesas</t>
  </si>
  <si>
    <t>Estimativa de Valor para Desp C/Realiz. Agrifest e Festa do Fumo: Material de Consumo - Aq. P/Consórcio</t>
  </si>
  <si>
    <t>Estimativa de Valor para Desp C/Realiz. Agrifest e Festa do Fumo: Obras e Instalações</t>
  </si>
  <si>
    <t>Estimativa de Valor para Desp C/Realiz. Agrifest e Festa do Fumo: Aq. de Eq. e Mat. Permanente</t>
  </si>
  <si>
    <t>Construção do Pórtico</t>
  </si>
  <si>
    <t>Estimativa de Valor para Desp C/E.P. P/Construção Pórtico: Obrig.Trib. e Contrib.</t>
  </si>
  <si>
    <t>Estimativa de Valor para Desp C/E.P. P/Construção Pórtico: Devolução de Saldo</t>
  </si>
  <si>
    <t>Estimativa de Valor para Desp C/E.P. P/Construção Pórtico: Material de Consumo</t>
  </si>
  <si>
    <t>Estimativa de Valor para Desp C/E.P. P/Construção Pórtico: Servicos - Pessoa Fisica</t>
  </si>
  <si>
    <t>Estimativa de Valor para Desp C/E.P. P/Construção Pórtico: Servicos - Pessoa Juridica</t>
  </si>
  <si>
    <t>Estimativa de Valor para Desp C/E.P. P/Construção Pórtico: Obras e Instalações</t>
  </si>
  <si>
    <t>Construção, Ampliação e Reforma de Prédios</t>
  </si>
  <si>
    <t>Estimativa de Valor para Desp C/Aq. de Eq. e Mat. Perm. Sec. Mun. Saúde: Obrig. Trib. e Contrib.</t>
  </si>
  <si>
    <t>Estimativa de Valor para Desp C/Aq. de Eq. e Mat. Perm. Sec. Mun. Saúde: Material de Consumo</t>
  </si>
  <si>
    <t>Estimativa de Valor para Desp C/Aq. de Eq. e Mat. Perm. Sec. Mun. Saúde: Servicos - Pessoa Fisica</t>
  </si>
  <si>
    <t>Estimativa de Valor para Desp C/Aq. de Eq. e Mat. Perm. Sec. Mun. Saúde: Servicos - Pessoa Juridica</t>
  </si>
  <si>
    <t>Estimativa de Valor para Desp C/Aq. de Eq. e Mat. Perm. Sec. Mun. Saúde: Eq. e Mat. Permanente</t>
  </si>
  <si>
    <t>Estimativa de Valor para Desp C/Const., Ref. e Ampl Pred. Sec. Mun. Saúde: Obrig. Trib. e Contrib.</t>
  </si>
  <si>
    <t>Estimativa de Valor para Desp C/Const., Ref. e Ampl Pred. Sec. Mun. Saúde: Material de Consumo</t>
  </si>
  <si>
    <t>Estimativa de Valor para Desp C/Const., Ref. e Ampl Pred. Sec. Mun. Saúde: Servicos - Pessoa Fisica</t>
  </si>
  <si>
    <t>Estimativa de Valor para Desp C/Const., Ref. e Ampl Pred. Sec. Mun. Saúde:  Servicos - Pessoa Juridica</t>
  </si>
  <si>
    <t>Estimativa de Valor para Desp C/Const., Ref. e Ampl Pred. Sec. Mun. Saúde:  Obras e Instalações</t>
  </si>
  <si>
    <t>Aquisição e modernização  da Frota de veículos</t>
  </si>
  <si>
    <t>Estimativa de Valor para Desp C/Aq. e Moder. Frota Veículos: Obrig. Trib. e Contrib.</t>
  </si>
  <si>
    <t>Estimativa de Valor para Desp C/Aq. e Moder. Frota Veículos: Material de Consumo</t>
  </si>
  <si>
    <t>Estimativa de Valor para Desp C/Aq. e Moder. Frota Veículos:Servicos - Pessoa Fisica</t>
  </si>
  <si>
    <t>Estimativa de Valor para Desp C/Aq. e Moder. Frota Veículos:Servicos - Pessoa Juridica</t>
  </si>
  <si>
    <t>Estimativa de Valor para Desp C/Aq. e Moder. Frota Veículos:  Aq. Veículos e Eq.</t>
  </si>
  <si>
    <t>Aquisição de Equipamentos e Sistemas de Informática</t>
  </si>
  <si>
    <t>Estimativa de Valor para Desp C/Aq. de Eq. e Sist. de Inform.: Obrig. Trib. e Contrib.</t>
  </si>
  <si>
    <t>Estimativa de Valor para Desp C/Aq. de Eq. e Sist. de Inform.: Material de Consumo</t>
  </si>
  <si>
    <t>Estimativa de Valor para Desp C/Aq. de Eq. e Sist. de Inform.: Servicos - Pessoa Fisica</t>
  </si>
  <si>
    <t>Estimativa de Valor para Desp C/Aq. de Eq. e Sist. de Inform.: Servicos - Pessoa Juridica</t>
  </si>
  <si>
    <t>Estimativa de Valor para Desp C/Aq. de Eq. e Sist. de Inform.: Aq. de Eq. e Sistemas de Informática</t>
  </si>
  <si>
    <t xml:space="preserve">870 Gestão, Coordenação e Planejamento </t>
  </si>
  <si>
    <t xml:space="preserve">Gestão, Coordenação e Planejamento </t>
  </si>
  <si>
    <t>Estimativa de Valor para Desp C/Folha PGTº Sec. Mun. Saúde: Servidores Contratados</t>
  </si>
  <si>
    <t>Estimativa de Valor para Desp C/Folha PGTº Sec. Mun. Saúde: Serv. Efetivos., C.C. e Agente Político</t>
  </si>
  <si>
    <t>Estimativa de Valor para Desp C/Folha PGTº Sec. Mun. Saúde: Horas Extras</t>
  </si>
  <si>
    <t xml:space="preserve">Estimativa de Valor para Desp C/Sec. Mun. Saúde: Diárias </t>
  </si>
  <si>
    <t>Estimativa de Valor para Desp C/Sec. Mun. Saúde: Material de Consumo</t>
  </si>
  <si>
    <t>Estimativa de Valor para Desp C/Sec. Mun. Saúde: Material Distribuição Gratuita</t>
  </si>
  <si>
    <t>Estimativa de Valor para Desp C/Sec. Mun. Saúde: Despesas Com Locomoção</t>
  </si>
  <si>
    <t>Estimativa de Valor para Desp C/Sec. Mun. Saúde :Servicos de Consultoria</t>
  </si>
  <si>
    <t>Estimativa de Valor para Desp C/Sec. Mun. Saúde: Servicos - Pessoa Fisica</t>
  </si>
  <si>
    <t>Estimativa de Valor para Desp C/Sec. Mun. Saúde: Servicos - Pessoa Juridica</t>
  </si>
  <si>
    <t>Estimativa de Valor para Desp C/Sec. Mun. Saúde: Obrig.Trib. e Contrib.</t>
  </si>
  <si>
    <t>Estimativa de Valor para Desp C/Folha PGTº Sec. Mun. Saúde:  Auxilio-Transporte</t>
  </si>
  <si>
    <t>Estimativa de Valor para Desp C/Sec. Mun. Saúde: Ressarcimento de Despesas</t>
  </si>
  <si>
    <t>Estimativa de Valor para Desp C/Sec. Mun. Saúde: Material de Consumo - Aq. P/Consórcio</t>
  </si>
  <si>
    <t>Manutenção do Consórcio</t>
  </si>
  <si>
    <t xml:space="preserve">Manutenção da Frota de Veículos </t>
  </si>
  <si>
    <t>Estimativa de Valor para Desp C/SGestão Frota Veic. Sec. Mun. Saúde: Material de Consumo</t>
  </si>
  <si>
    <t>Estimativa de Valor para Desp C/SGestão Frota Veic. Sec. Mun. Saúde: Servicos - Pessoa Fisica</t>
  </si>
  <si>
    <t>Estimativa de Valor para Desp C/SGestão Frota Veic. Sec. Mun. Saúde: Servicos - Pessoa Juridica</t>
  </si>
  <si>
    <t>Estimativa de Valor para Desp C/SGestão Frota Veic. Sec. Mun. Saúde: Obrig. Trib. e Contrib.</t>
  </si>
  <si>
    <t>Estimativa de Valor para Desp C/SGestão Frota Veic. Sec. Mun. Saúde: Mat. de Consumo - Aq. P/Consórcio</t>
  </si>
  <si>
    <t>Manutenção da Unidade Básica de Saúde</t>
  </si>
  <si>
    <t>Estimativa de Valor para Desp C/Aq. de Eq. e Mat. Perm. U.B.S.:Obrig. Trib. e Contrib.</t>
  </si>
  <si>
    <t>Estimativa de Valor para Desp C/Aq. de Eq. e Mat. Perm. U.B.S.: Material de Consumo</t>
  </si>
  <si>
    <t>Estimativa de Valor para Desp C/Aq. de Eq. e Mat. Perm. U.B.S.: Servicos - Pessoa Fisica</t>
  </si>
  <si>
    <t>Estimativa de Valor para Desp C/Aq. de Eq. e Mat. Perm. U.B.S.:Servicos - Pessoa Juridica</t>
  </si>
  <si>
    <t>Estimativa de Valor para Desp C/Aq. de Eq. e Mat. Perm. U.B.S.: Eq. e Mat. Permanente</t>
  </si>
  <si>
    <t>Estimativa de Valor para Desp C/Const., Ref. e Ampl Pred. U.B.S.: Obrig. Trib. e Contrib.</t>
  </si>
  <si>
    <t>Estimativa de Valor para Desp C/Const., Ref. e Ampl Pred. U.B.S.: Material de Consumo</t>
  </si>
  <si>
    <t>Estimativa de Valor para Desp C/Const., Ref. e Ampl Pred. U.B.S.: Servicos - Pessoa Fisica</t>
  </si>
  <si>
    <t>Estimativa de Valor para Desp C/Const., Ref. e Ampl Pred. U.B.S.:  Servicos - Pessoa Juridica</t>
  </si>
  <si>
    <t>Estimativa de Valor para Desp C/Const., Ref. e Ampl Pred. U.B.S.: Obras e Instalações</t>
  </si>
  <si>
    <t>Estimativa de Valor para Desp C/Aq. e Moder. Frota Veículos U.B.S.:Obrig. Trib. e Contrib.</t>
  </si>
  <si>
    <t>Estimativa de Valor para Desp C/Aq. e Moder. Frota Veículos U.B.S.: Material de Consumo</t>
  </si>
  <si>
    <t>Estimativa de Valor para Desp C/Aq. e Moder. Frota Veículos U.B.S.: Servicos - Pessoa Fisica</t>
  </si>
  <si>
    <t>Estimativa de Valor para Desp C/Aq. e Moder. Frota Veículos U.B.S.: Servicos - Pessoa Juridica</t>
  </si>
  <si>
    <t>Estimativa de Valor para Desp C/Aq. e Moder. Frota Veículos U.B.S.: Aq. Veículos e Eq.</t>
  </si>
  <si>
    <t>Estimativa de Valor para Desp C/Aq. de Eq. e Sist. de Inform. U.B.S.: Obrig. Trib. e Contrib.</t>
  </si>
  <si>
    <t>Estimativa de Valor para Desp C/Aq. de Eq. e Sist. de Inform. U.B.S.: Material de Consumo</t>
  </si>
  <si>
    <t>Estimativa de Valor para Desp C/Aq. de Eq. e Sist. de Inform. U.B.S.: Servicos - Pessoa Fisica</t>
  </si>
  <si>
    <t>Estimativa de Valor para Desp C/Aq. de Eq. e Sist. de Inform. U.B.S.: Servicos - Pessoa Juridica</t>
  </si>
  <si>
    <t>Estimativa de Valor para Desp C/Aq. de Eq. e Sist. de Inform. U.B.S.: Aq. de Eq. e Sistemas de Informática</t>
  </si>
  <si>
    <t>Estimativa de Valor para Desp C/Folha PGTº  U.B.S.: Servidores Contratados</t>
  </si>
  <si>
    <t>Estimativa de Valor para Desp C/Folha PGTº  U.B.S.: Serv. Efetivos., F.G., C.C.</t>
  </si>
  <si>
    <t>Estimativa de Valor para Desp C/Folha PGTº  U.B.S.: Horas Extras</t>
  </si>
  <si>
    <t xml:space="preserve">Estimativa de Valor para Desp C/Folha PGTº  U.B.S.:  Diárias </t>
  </si>
  <si>
    <t>Estimativa de Valor para Desp C/Manutenção U.B.S.:  Material de Consumo</t>
  </si>
  <si>
    <t>Estimativa de Valor para Desp C/Manutenção U.B.S.:  Material Distribuição Gratuita</t>
  </si>
  <si>
    <t>Estimativa de Valor para Desp C/Manutenção U.B.S.:  Despesas Com Locomoção</t>
  </si>
  <si>
    <t>Estimativa de Valor para Desp C/Manutenção U.B.S.:  Servicos de Consultoria</t>
  </si>
  <si>
    <t>Estimativa de Valor para Desp C/Manutenção U.B.S.:  Servicos - Pessoa Fisica</t>
  </si>
  <si>
    <t>Estimativa de Valor para Desp C/Manutenção U.B.S.:  Servicos - Pessoa Juridica</t>
  </si>
  <si>
    <t>Estimativa de Valor para Desp C/Manutenção U.B.S.:  Obrig.Trib. e Contrib.</t>
  </si>
  <si>
    <t>Estimativa de Valor para Desp C/Folha PGTº U.B.S.:  Auxilio-Transporte</t>
  </si>
  <si>
    <t>Estimativa de Valor para Desp C/Manutenção U.B.S.: Ressarcimento de Despesas</t>
  </si>
  <si>
    <t>Estimativa de Valor para Desp C/Manutenção U.B.S.:  Material de Consumo - Aq. P/Consórcio</t>
  </si>
  <si>
    <t>874 Estratégia Saúde da Família Chuvisquense (ESFC)</t>
  </si>
  <si>
    <t>Estimativa de Valor para Desp C/Folha PGTº  Farmácia Municipal: Servidores Contratados</t>
  </si>
  <si>
    <t>Estimativa de Valor para Desp C/Folha PGTº  Farmácia Municipal: Serv. Efetivos., F.G., C.C.</t>
  </si>
  <si>
    <t>Estimativa de Valor para Desp C/Folha PGTº  Farmácia Municipal: Horas Extras</t>
  </si>
  <si>
    <t xml:space="preserve">Estimativa de Valor para Desp C/Folha PGTº  Farmácia Municipal: Diárias </t>
  </si>
  <si>
    <t>Estimativa de Valor para Desp C/Farmácia Municipal: Material de Consumo</t>
  </si>
  <si>
    <t>Estimativa de Valor para Desp C/Farmácia Municipal: Material P/Distribuição Gratuita</t>
  </si>
  <si>
    <t>Estimativa de Valor para Desp C/Farmácia Municipal: Despesas C/Locomoção</t>
  </si>
  <si>
    <t>Estimativa de Valor para Desp C/Farmácia Municipal: Serv. P. Física</t>
  </si>
  <si>
    <t>Estimativa de Valor para Desp C/Farmácia Municipal: Serv. P. Jurídica</t>
  </si>
  <si>
    <t>Estimativa de Valor para Desp C/Farmácia Municipal: Obrig. Trib. Contrib.</t>
  </si>
  <si>
    <t>Estimativa de Valor para Desp C/Folha PGTº  Farmácia Municipal: Auxilio-Transporte</t>
  </si>
  <si>
    <t>Estimativa de Valor para Desp C/Farmácia Municipal: Ressarcimento de Despesas</t>
  </si>
  <si>
    <t>Estimativa de Valor para Desp C/Farmácia Municipal: Material de Consumo - Aq. P/Consórcio</t>
  </si>
  <si>
    <t>Estimativa de Valor para Desp C/Farmácia Municipal: Aq. de Eq. e Mat. Perm.</t>
  </si>
  <si>
    <t>Estratégia Saúde da Família Chuvisquense (ESFC)</t>
  </si>
  <si>
    <t>FARMACIA MUNICIPAL</t>
  </si>
  <si>
    <t>Estimativa de Valor para Desp C/Folha PGTº  Est. Saúde Familia Chuv. ESFC: Servidores Contratados</t>
  </si>
  <si>
    <t>Estimativa de Valor para Desp C/Folha PGTº  Est. Saúde Familia Chuv. ESFC: Serv. Efetivos., F.G., C.C.</t>
  </si>
  <si>
    <t>Estimativa de Valor para Desp C/Folha PGTº  Est. Saúde Familia Chuv. ESFC:  Horas Extras</t>
  </si>
  <si>
    <t xml:space="preserve">Estimativa de Valor para Desp C/Est. Saúde Familia Chuv. ESFC: Diárias </t>
  </si>
  <si>
    <t>Estimativa de Valor para Desp C/Est. Saúde Familia Chuv. ESFC: Material de Consumo</t>
  </si>
  <si>
    <t>Estimativa de Valor para Desp C/Est. Saúde Familia Chuv. ESFC: Material P/Distribuição Gratuita</t>
  </si>
  <si>
    <t>Estimativa de Valor para Desp C/Est. Saúde Familia Chuv. ESFC:  Desp. C/Locomoção</t>
  </si>
  <si>
    <t>Estimativa de Valor para Desp C/Est. Saúde Familia Chuv. ESFC:  Serv. de Consultoria</t>
  </si>
  <si>
    <t>Estimativa de Valor para Desp C/Est. Saúde Familia Chuv. ESFC:  Serv. P. Física</t>
  </si>
  <si>
    <t>Estimativa de Valor para Desp C/Est. Saúde Familia Chuv. ESFC:  Serv. P. Jurídica</t>
  </si>
  <si>
    <t>Estimativa de Valor para Desp C/Est. Saúde Familia Chuv. ESFC:  Obrig. Trib. Contrib.</t>
  </si>
  <si>
    <t>Estimativa de Valor para Desp C/Est. Saúde Familia Chuv. ESFC:  Auxilio-Transporte</t>
  </si>
  <si>
    <t>Estimativa de Valor para Desp C/Est. Saúde Familia Chuv. ESFC: Ressarcimento de Despesas</t>
  </si>
  <si>
    <t>Estimativa de Valor para Desp C/Est. Saúde Familia Chuv. ESFC: Material de Consumo - Aq. P/Consórcio</t>
  </si>
  <si>
    <t>Estimativa de Valor para Desp C/Est. Saúde Familia Chuv. ESFC: Aq. de Eq. e Mat. Perm.</t>
  </si>
  <si>
    <t>Estimativa de Valor para Desp C/Folha PGTº  Atend. Odontológico: Servidores Contratados</t>
  </si>
  <si>
    <t>Estimativa de Valor para Desp C/Folha PGTº  Atend. Odontológico: Serv. Efetivos., F.G., C.C.</t>
  </si>
  <si>
    <t>Estimativa de Valor para Desp C/Folha PGTº  Atend. Odontológico: Horas Extras</t>
  </si>
  <si>
    <t xml:space="preserve">Estimativa de Valor para Desp C/Atend. Odontológico: Diárias </t>
  </si>
  <si>
    <t>Estimativa de Valor para Desp C/Atend. Odontológico: Material De Consumo</t>
  </si>
  <si>
    <t>Estimativa de Valor para Desp C/Atend. Odontológico: Material P/Distribuição Gratuita</t>
  </si>
  <si>
    <t>Estimativa de Valor para Desp C/Atend. Odontológico: Desp. C/Locomoção</t>
  </si>
  <si>
    <t>Estimativa de Valor para Desp C/Atend. Odontológico: Serv. de Consultoria</t>
  </si>
  <si>
    <t>Estimativa de Valor para Desp C/Atend. Odontológico: Serv. P. Física</t>
  </si>
  <si>
    <t>Estimativa de Valor para Desp C/Atend. Odontológico: Serv. P. Jurídica</t>
  </si>
  <si>
    <t>Estimativa de Valor para Desp C/Atend. Odontológico: Obrig. Trib. Contrib.</t>
  </si>
  <si>
    <t>Estimativa de Valor para Desp C/Folha PGTº  Atend. Odontológico: Auxilio-Transporte</t>
  </si>
  <si>
    <t>Estimativa de Valor para Desp C/Atend. Odontológico: Ressarcimento de Despesas</t>
  </si>
  <si>
    <t>Estimativa de Valor para Desp C/Atend. Odontológico: Aq. De Mat. P/Consórcio</t>
  </si>
  <si>
    <t>Estimativa de Valor para Desp C/Atend. Odontológico: Obras e Instalações</t>
  </si>
  <si>
    <t>Estimativa de Valor para Desp C/Atend. Odontológico: Aq. de Eq. e Mat. Perm.</t>
  </si>
  <si>
    <t>ATENDIMENTO ODONTOLÓGICO</t>
  </si>
  <si>
    <t xml:space="preserve"> Manutenção do Consórcio</t>
  </si>
  <si>
    <t>Estimativa de Valor para Desp C/Atend. a População P/Consórcio: Material Consumo</t>
  </si>
  <si>
    <t>Estimativa de Valor para Desp C/Atend. a População P/Consórcio:  Serviços Médicos, Amb. e  Hospitalares</t>
  </si>
  <si>
    <t>MAIS SAÚDE - CAMPANHAS OUTUBRO ROSA E NOVEMBRO AZUL</t>
  </si>
  <si>
    <t>PROMOÇÃO E REALIZAÇÃO DE PRÉ-NATAL</t>
  </si>
  <si>
    <t>Estimativa de Valor para Desp C/Campanhas Outubro Rosa: Material Consumo</t>
  </si>
  <si>
    <t>Estimativa de Valor para Desp C/Campanhas Novembro Azul: Material Consumo</t>
  </si>
  <si>
    <t>Estimativa de Valor para Desp C/Campanhas Outubro Rosa: Mat. Distruição Gratuita</t>
  </si>
  <si>
    <t>Estimativa de Valor para Desp C/Campanhas Novembro Azul: Mat. Distruição Gratuita</t>
  </si>
  <si>
    <t>Estimativa de Valor para Desp C/Campanhas Outubro Rosa: Serv. P. Física</t>
  </si>
  <si>
    <t>Estimativa de Valor para Desp C/Campanhas Novembro Azul: Serv. P. Física</t>
  </si>
  <si>
    <t>Estimativa de Valor para Desp C/Campanhas Outubro Rosa: Serv. P. Jurídica</t>
  </si>
  <si>
    <t>Estimativa de Valor para Desp C/Campanhas Novembro Azul: Serv. P. Jurídica</t>
  </si>
  <si>
    <t>Estimativa de Valor para Desp C/Campanhas Outubro Rosa: Obrig. Trib. Contrib.</t>
  </si>
  <si>
    <t>Estimativa de Valor para Desp C/Campanhas Novembro Azul: Obrig. Trib. Contrib.</t>
  </si>
  <si>
    <t>Estimativa de Valor para Desp C/Campanhas Outubro Rosa: Aq. de Eq. e Mat. Perm.</t>
  </si>
  <si>
    <t>Estimativa de Valor para Desp C/Campanhas Novembro Azul: Aq. de Eq. e Mat. Perm.</t>
  </si>
  <si>
    <t>Estimativa de Valor para Desp C/Folha PGTº  Atend. Pré-Natal: Servidores Contratados</t>
  </si>
  <si>
    <t>Estimativa de Valor para Desp C/Folha PGTº  Atend. Pré-Natal:  Serv. Efetivos., F.G., C.C.</t>
  </si>
  <si>
    <t>Estimativa de Valor para Desp C/Folha PGTº  Atend. Pré-Natal: Horas Extras</t>
  </si>
  <si>
    <t xml:space="preserve">Estimativa de Valor para Desp C/Atend. Pré-Natal: Diárias </t>
  </si>
  <si>
    <t>Estimativa de Valor para Desp C/Atend. Pré-Natal: Material De Consumo</t>
  </si>
  <si>
    <t>Estimativa de Valor para Desp C/Atend. Pré-Natal: Material P/Distribuição Gratuita</t>
  </si>
  <si>
    <t>Estimativa de Valor para Desp C/Atend. Pré-Natal: Desp. C/Locomoção</t>
  </si>
  <si>
    <t>Estimativa de Valor para Desp C/Atend. Pré-Natal: Serv. de Consultoria</t>
  </si>
  <si>
    <t>Estimativa de Valor para Desp C/Atend. Pré-Natal: Serv. P. Física</t>
  </si>
  <si>
    <t>Estimativa de Valor para Desp C/Atend. Pré-Natal: Serv. P. Jurídica</t>
  </si>
  <si>
    <t>Estimativa de Valor para Desp C/Atend. Pré-Natal: Obrig. Trib. Contrib.</t>
  </si>
  <si>
    <t>Estimativa de Valor para Desp C/Folha PGTº  Atend. Pré-Natal: Auxilio-Transporte</t>
  </si>
  <si>
    <t>Estimativa de Valor para Desp C/Atend. Pré-Natal: Ressarcimento de Despesas</t>
  </si>
  <si>
    <t>Estimativa de Valor para Desp C/Atend. Pré-Natal: Aq. de Mat. P/Consórcio</t>
  </si>
  <si>
    <t>Estimativa de Valor para Desp C/Atend. Pré-Natal: Obras e Instalações</t>
  </si>
  <si>
    <t>Estimativa de Valor para Desp C/Atend. Pré-Natal: Aq. de Eq. e Mat. Perm.</t>
  </si>
  <si>
    <t xml:space="preserve">Gestão da Frota de Veículos </t>
  </si>
  <si>
    <t>Estimativa de Valor para Desp C/Gestão da Frota Veículos: Diárias</t>
  </si>
  <si>
    <t>Estimativa de Valor para Desp C/Gestão da Frota Veículos: Materiais,  Autopeças, Comb. e Lub. e Outros</t>
  </si>
  <si>
    <t>Estimativa de Valor para Desp C/Gestão da Frota Veículos: Despesas com Locomoção</t>
  </si>
  <si>
    <t>Estimativa de Valor para Desp C/Gestão da Frota Veículos: Serviços - Pessoa Fisica</t>
  </si>
  <si>
    <t>Estimativa de Valor para Desp C/Gestão da Frota Veículos: Serviços - Pessoa Juridica</t>
  </si>
  <si>
    <t>Estimativa de Valor para Desp C/Gestão da Frota Veículos: Obrig. Trib. e Contrib.</t>
  </si>
  <si>
    <t>Estimativa de Valor para Desp C/Gestão da Frota Veículos: Ressarcimento de Despesas</t>
  </si>
  <si>
    <t>Estimativa de Valor para Desp C/Gestão da Frota Veículos: Aq. de Mat., Autopeças e Outros P/Consórcio</t>
  </si>
  <si>
    <t>Estimativa de Valor para Desp C/Gestão da Frota Veículos: Obras e Instalações</t>
  </si>
  <si>
    <t>Estimativa de Valor para Desp C/Gestão da Frota Veículos: Aq. de Eq. e Mat. Perm.</t>
  </si>
  <si>
    <t>ASSISTÊNCIA FARMACEUTICA BÁSICA</t>
  </si>
  <si>
    <t>Manut. e Apoio a Portadores de Diábetes</t>
  </si>
  <si>
    <t>ASSISTÊNCIA HOSPITALAR E AMBULATORIAL E EMERGÊNCIA</t>
  </si>
  <si>
    <t>Estimativa de Valor para Desp C/Assist. Farm. básica: Material de Consumo</t>
  </si>
  <si>
    <t>Estimativa de Valor para Desp C/Assist. Farm. básica: Material P/Distribuição Gratuita</t>
  </si>
  <si>
    <t>Estimativa de Valor para Desp C/Assist. Hosp. e Amb. e Emerg.: Diárias</t>
  </si>
  <si>
    <t>Estimativa de Valor para Desp C/Assist. Hosp. e Amb. e Emerg.: Material De Consumo</t>
  </si>
  <si>
    <t>Estimativa de Valor para Desp C/Assist. Hosp. e Amb. e Emerg.: Mat., Bem Ou Serviço P/Dist. Gratuita</t>
  </si>
  <si>
    <t>Estimativa de Valor para Desp C/Assist. Hosp. e Amb. e Emerg.: Desp C/Locomoção</t>
  </si>
  <si>
    <t>Estimativa de Valor para Desp C/Assist. Hosp. e Amb. e Emerg.: Servicos - Pessoa Fisica</t>
  </si>
  <si>
    <t>Estimativa de Valor para Desp C/Assist. Hosp. e Amb. e Emerg.: Servicos - Pessoa Juridica</t>
  </si>
  <si>
    <t>Estimativa de Valor para Desp C/Assist. Hosp. e Amb. e Emerg.: Serviços Hosp. - Hosp. Nossa Senhora Aparecida</t>
  </si>
  <si>
    <t>Estimativa de Valor para Desp C/Assist. Hosp. e Amb. e Emerg.: Convenio Hosp. Nossa Senhora Aparecida - Atendimento Media Complex.</t>
  </si>
  <si>
    <t>Estimativa de Valor para Desp C/Assist. Hosp. e Amb. e Emerg.: Obrigacoes Tributarias E Contributivas</t>
  </si>
  <si>
    <t>Estimativa de Valor para Desp C/Assist. Hosp. e Amb. e Emerg.: Ressarcimento de Despesas</t>
  </si>
  <si>
    <t>Estimativa de Valor para Desp C/Assist. Hosp. e Amb. e Emerg.: Aq. de Equip. e Material Permanente</t>
  </si>
  <si>
    <t>Estimativa de Valor para Desp C/Apoio a Port. de Diabétes: Material de Consumo</t>
  </si>
  <si>
    <t>Estimativa de Valor para Desp C/Apoio a Port. de Diabétes: Material P/Distribuição Gratuita</t>
  </si>
  <si>
    <t>Atendimento Psicológico e Saúde Mental</t>
  </si>
  <si>
    <t>Estimativa de Valor para Desp C/Folha PGTº  Atend. Psic. e Saúde Mental: Servidores Contratados</t>
  </si>
  <si>
    <t>Estimativa de Valor para Desp C/Folha PGTº  Atend. Psic. e Saúde Mental: Serv. Efetivos., F.G., C.C.</t>
  </si>
  <si>
    <t>Estimativa de Valor para Desp C/Folha PGTº  Atend. Psic. e Saúde Mental: Horas Extras</t>
  </si>
  <si>
    <t xml:space="preserve">Estimativa de Valor para Desp C/Atend. Psic. e Saúde Mental: Diárias </t>
  </si>
  <si>
    <t>Estimativa de Valor para Desp C/Atend. Psic. e Saúde Mental: Material De Consumo</t>
  </si>
  <si>
    <t>Estimativa de Valor para Desp C/Atend. Psic. e Saúde Mental: Material P/Distribuição Gratuita</t>
  </si>
  <si>
    <t>Estimativa de Valor para Desp C/Atend. Psic. e Saúde Mental: Despesas C/Deslocamento</t>
  </si>
  <si>
    <t>Estimativa de Valor para Desp C/Atend. Psic. e Saúde Mental: Serviços de Consultoria</t>
  </si>
  <si>
    <t>Estimativa de Valor para Desp C/Atend. Psic. e Saúde Mental: Serviços P. Física</t>
  </si>
  <si>
    <t>Estimativa de Valor para Desp C/Atend. Psic. e Saúde Mental: Serviços P. Jurídica</t>
  </si>
  <si>
    <t>Estimativa de Valor para Desp C/Atend. Psic. e Saúde Mental: Obrig. Trib. e Contrib.</t>
  </si>
  <si>
    <t>Estimativa de Valor para Desp C/Folha PGTº  Atend. Psic. e Saúde Mental: Auxilio-Transporte</t>
  </si>
  <si>
    <t>Estimativa de Valor para Desp C/Atend. Psic. e Saúde Mental: Ressarcimento de Despesas</t>
  </si>
  <si>
    <t>Estimativa de Valor para Desp C/Atend. Psic. e Saúde Mental: Aq. Mat. P/Consórcio</t>
  </si>
  <si>
    <t>Estimativa de Valor para Desp C/Atend. Psic. e Saúde Mental: Serv. P. Juridica P/Consórcio</t>
  </si>
  <si>
    <t>Estimativa de Valor para Desp C/Atend. Psic. e Saúde Mental: Aq. de Eq. e Mat. Perm.</t>
  </si>
  <si>
    <t>Estimativa de Valor para Desp C/Folha PGTº  Vig. Sanitária: Servidores Contratados</t>
  </si>
  <si>
    <t>Estimativa de Valor para Desp C/Folha PGTº  Vig. Sanitária: Serv. Efetivos., F.G., C.C.</t>
  </si>
  <si>
    <t>Estimativa de Valor para Desp C/Folha PGTº  Vig. Sanitária: Horas Extras</t>
  </si>
  <si>
    <t xml:space="preserve">Estimativa de Valor para Desp C/Atend. Vig. Sanitária: Diárias </t>
  </si>
  <si>
    <t>Estimativa de Valor para Desp C/Atend. Vig. Sanitária: Material De Consumo</t>
  </si>
  <si>
    <t>Estimativa de Valor para Desp C/Atend. Vig. Sanitária: Material P/Distribuição Gratuita</t>
  </si>
  <si>
    <t>Estimativa de Valor para Desp C/Atend. Vig. Sanitária: Despesas C/Deslocamento</t>
  </si>
  <si>
    <t>Estimativa de Valor para Desp C/Atend. Vig. Sanitária: Serviços de Consultoria</t>
  </si>
  <si>
    <t>Estimativa de Valor para Desp C/Atend. Vig. Sanitária: Serviços P. Física</t>
  </si>
  <si>
    <t>Estimativa de Valor para Desp C/Atend. Vig. Sanitária: Serviços P. Jurídica</t>
  </si>
  <si>
    <t>Estimativa de Valor para Desp C/Atend. Vig. Sanitária: Obrig. Trib. e Contrib.</t>
  </si>
  <si>
    <t>Estimativa de Valor para Desp C/Folha PGTº  Vig. Sanitária:  Auxilio-Transporte</t>
  </si>
  <si>
    <t>Estimativa de Valor para Desp C/Atend. Vig. Sanitária: Ressarcimento de Despesas</t>
  </si>
  <si>
    <t>Estimativa de Valor para Desp C/Atend. Vig. Sanitária: Aq. Mat. P/Consórcio</t>
  </si>
  <si>
    <t>Estimativa de Valor para Desp C/Atend. Vig. Sanitária:  Serv. P. Juridica P/Consórcio</t>
  </si>
  <si>
    <t>Estimativa de Valor para Desp C/Atend. Vig. Sanitária: Aq. de Eq. e Mat. Perm.</t>
  </si>
  <si>
    <t>VIGILÂNCIA EPIDEMIOLÓGICA</t>
  </si>
  <si>
    <t>CAMPANHA DE VACINAÇÃO</t>
  </si>
  <si>
    <t>Estimativa de Valor para Desp C/Folha PGTº  Vig. Epidemiológica: Servidores Contratados</t>
  </si>
  <si>
    <t>Estimativa de Valor para Desp C/Folha PGTº  Vig. Epidemiológica: Serv. Efetivos., F.G., C.C.</t>
  </si>
  <si>
    <t>Estimativa de Valor para Desp C/ PGTº  Vig. Epidemiológica: Horas Extras</t>
  </si>
  <si>
    <t xml:space="preserve">Estimativa de Valor para Desp C/Vig. Epidemiológica: Diárias </t>
  </si>
  <si>
    <t>Estimativa de Valor para Desp C/Vig. Epidemiológica:  Material De Consumo</t>
  </si>
  <si>
    <t>Estimativa de Valor para Desp C/Vig. Epidemiológica:  Material P/Distribuição Gratuita</t>
  </si>
  <si>
    <t>Estimativa de Valor para Desp C/Vig. Epidemiológica:   Despesas C/Deslocamento</t>
  </si>
  <si>
    <t>Estimativa de Valor para Desp C/Vig. Epidemiológica:   Serviços de Consultoria</t>
  </si>
  <si>
    <t>Estimativa de Valor para Desp C/Vig. Epidemiológica:   Serviços P. Física</t>
  </si>
  <si>
    <t>Estimativa de Valor para Desp C/Vig. Epidemiológica:  Serviços P. Jurídica</t>
  </si>
  <si>
    <t>Estimativa de Valor para Desp C/Vig. Epidemiológica:   Obrig. Trib. e Contrib.</t>
  </si>
  <si>
    <t>Estimativa de Valor para Desp C/Folha PGTº  Vig. Epidemiológica: Auxilio-Transporte</t>
  </si>
  <si>
    <t>Estimativa de Valor para Desp C/Vig. Epidemiológica:  Ressarcimento de Despesas</t>
  </si>
  <si>
    <t>Estimativa de Valor para Desp C/Vig. Epidemiológica: Aq. Mat. P/Consórcio</t>
  </si>
  <si>
    <t>Estimativa de Valor para Desp C/Vig. Epidemiológica:  Serv. P. Juridica P/Consórcio</t>
  </si>
  <si>
    <t>Estimativa de Valor para Desp C/Vig. Epidemiológica:  Aq. de Eq. e Mat. Perm.</t>
  </si>
  <si>
    <t xml:space="preserve">Estimativa de Valor para Desp C/Campanha de Vacinação: Diárias </t>
  </si>
  <si>
    <t>Estimativa de Valor para Desp C/Campanha de Vacinação:  Material De Consumo</t>
  </si>
  <si>
    <t>Estimativa de Valor para Desp C/Campanha de Vacinação:  Material P/Distribuição Gratuita</t>
  </si>
  <si>
    <t>Estimativa de Valor para Desp C/Campanha de Vacinação:  Despesas C/Deslocamento</t>
  </si>
  <si>
    <t>Estimativa de Valor para Desp C/Campanha de Vacinação:  Serviços P. Física</t>
  </si>
  <si>
    <t>Estimativa de Valor para Desp C/Campanha de Vacinação:  Serviços P. Jurídica</t>
  </si>
  <si>
    <t>Estimativa de Valor para Desp C/Campanha de Vacinação:  Obrig. Trib. e Contrib.</t>
  </si>
  <si>
    <t>Estimativa de Valor para Desp C/Campanha de Vacinação:  Ressarcimento de Despesas</t>
  </si>
  <si>
    <t>Estimativa de Valor para Desp C/Campanha de Vacinação: Aq. Mat. P/Consórcio</t>
  </si>
  <si>
    <t>Estimativa de Valor para Desp C/Campanha de Vacinação:  Serv. P. Juridica P/Consórcio</t>
  </si>
  <si>
    <t>Estimativa de Valor para Desp C/Campanha de Vacinação: Aq. de Eq. e Mat. Perm.</t>
  </si>
  <si>
    <t>Atendimento Nutricional e Combate a Obesidade</t>
  </si>
  <si>
    <t>Estimativa de Valor para Desp C/Folha PGTº Atend. Nutric. e Comb. a Obesid.: Servidores Contratados</t>
  </si>
  <si>
    <t>Estimativa de Valor para Desp C/Folha PGTº  Atend. Nutric. e Comb. a Obesid.: Serv. Efetivos., F.G., C.C.</t>
  </si>
  <si>
    <t>Estimativa de Valor para Desp C/Folha PGTº Atend. Nutric. e Comb. a Obesid.: Horas Extras</t>
  </si>
  <si>
    <t xml:space="preserve">Estimativa de Valor para Desp C/Atend. Nutric. e Comb. a Obesid.: Diárias </t>
  </si>
  <si>
    <t>Estimativa de Valor para Desp C/Atend. Nutric. e Comb. a Obesid.: Material De Consumo</t>
  </si>
  <si>
    <t>Estimativa de Valor para Desp C/Atend. Nutric. e Comb. a Obesid.: Material P/Distribuição Gratuita</t>
  </si>
  <si>
    <t>Estimativa de Valor para Desp C/Atend. Nutric. e Comb. a Obesid.:  Despesas C/Deslocamento</t>
  </si>
  <si>
    <t>Estimativa de Valor para Desp C/Atend. Nutric. e Comb. a Obesid.:  Serviços de Consultoria</t>
  </si>
  <si>
    <t>Estimativa de Valor para Desp C/Atend. Nutric. e Comb. a Obesid.: Serviços P. Física</t>
  </si>
  <si>
    <t>Estimativa de Valor para Desp C/Atend. Nutric. e Comb. a Obesid.:Serviços P. Jurídica</t>
  </si>
  <si>
    <t>Estimativa de Valor para Desp C/Atend. Nutric. e Comb. a Obesid.: Obrig. Trib. e Contrib.</t>
  </si>
  <si>
    <t>Estimativa de Valor para Desp C/Folha PGTº Atend. Nutric. e Comb. a Obesid.: Auxilio-Transporte</t>
  </si>
  <si>
    <t>Estimativa de Valor para Desp C/Atend. Nutric. e Comb. a Obesid.: Ressarcimento de Despesas</t>
  </si>
  <si>
    <t>Estimativa de Valor para Desp C/Atend. Nutric. e Comb. a Obesid.: Aq. Mat. P/Consórcio</t>
  </si>
  <si>
    <t>Estimativa de Valor para Desp C/Atend. Nutric. e Comb. a Obesid.:  Serv. P. Juridica P/Consórcio</t>
  </si>
  <si>
    <t>Estimativa de Valor para Desp C/Atend. Nutric. e Comb. a Obesid.: Aq. de Eq. e Mat. Perm.</t>
  </si>
  <si>
    <t>Estratégia Saúde da Família Chuvisquense(ESFC) RECURSO 4090</t>
  </si>
  <si>
    <t>Convênio Consulta Popular: Aq. de Equip.  RECURSO 1144</t>
  </si>
  <si>
    <t>Estimativa de Valor para Desp C/Folha PGTº  Saúde da Família: Servidores Contratados</t>
  </si>
  <si>
    <t>Estimativa de Valor para Desp C/Folha PGTº  Saúde da Família:  Serv. Efetivos., F.G., C.C.</t>
  </si>
  <si>
    <t>Estimativa de Valor para Desp C/Folha PGTº  Saúde da Família: Horas Extras</t>
  </si>
  <si>
    <t xml:space="preserve">Estimativa de Valor para Desp C/Saúde da Família: Diárias </t>
  </si>
  <si>
    <t>Estimativa de Valor para Desp C/Saúde da Família: Material De Consumo</t>
  </si>
  <si>
    <t>Estimativa de Valor para Desp C/Saúde da Família: Material P/Distribuição Gratuita</t>
  </si>
  <si>
    <t>Estimativa de Valor para Desp C/Saúde da Família: Despesas C/Locomoção</t>
  </si>
  <si>
    <t>Estimativa de Valor para Desp C/Saúde da Família: Serviços P. Física</t>
  </si>
  <si>
    <t>Estimativa de Valor para Desp C/Saúde da Família: Serviços P. Jurídica</t>
  </si>
  <si>
    <t>Estimativa de Valor para Desp C/Saúde da Família: Obrig. Trib. e Contrib.</t>
  </si>
  <si>
    <t>Estimativa de Valor para Desp C/Folha PGTº  Saúde da Família: Auxilio-Transporte</t>
  </si>
  <si>
    <t>Estimativa de Valor para Desp C/Saúde da Família: Ressarcimento de Despesas</t>
  </si>
  <si>
    <t>Estimativa de Valor para Desp C/Saúde da Família: Aq. de Mat. P/Consórcio</t>
  </si>
  <si>
    <t>Estimativa de Valor para Desp C/Saúde da Família: Serv. P. Jurídica P/Consórcio</t>
  </si>
  <si>
    <t>Estimativa de Valor para Desp C/PARAMETRO DE AJUSTE ASPS</t>
  </si>
  <si>
    <t>Estimativa de Valor para Desp C/Saúde da Família: Aq. de Eq. e Mat. Perm.</t>
  </si>
  <si>
    <t>Estimativa de Valor para Desp C/PARAMETRO DE AJUSTE</t>
  </si>
  <si>
    <t>Estimativa de Valor para Desp C/Cons. Pop. P/Aq. Mat. Gerador: Obrig.Trib. e Contrib.</t>
  </si>
  <si>
    <t>Estimativa de Valor para Desp C/Cons. Pop. P/Aq. Mat. Gerador: Devolução de Saldo</t>
  </si>
  <si>
    <t>Estimativa de Valor para Desp C/Cons. Pop. P/Aq. Mat. Gerador: Material de Consumo</t>
  </si>
  <si>
    <t>Estimativa de Valor para Desp C/Cons. Pop. P/Aq. Mat. Gerador: Servicos - Pessoa Fisica</t>
  </si>
  <si>
    <t>Estimativa de Valor para Desp C/Cons. Pop. P/Aq. Mat. Gerador: Servicos - Pessoa Juridica CP</t>
  </si>
  <si>
    <t xml:space="preserve">Estimativa de Valor para Desp C/Cons. Pop. P/Aq. Mat. Gerador: Servicos - Pessoa Juridica </t>
  </si>
  <si>
    <t>Estimativa de Valor para Desp C/Cons. Pop. P/Aq. Mat. Gerador: Aq. de Eq. e Mat. Permanente</t>
  </si>
  <si>
    <t>Convênio Consulta Popular: Aq. de Equip.  RECURSO 4293</t>
  </si>
  <si>
    <t>640600</t>
  </si>
  <si>
    <t>640700</t>
  </si>
  <si>
    <t>640800</t>
  </si>
  <si>
    <t>Convênio Consulta Popular: Obras e Instalações   RECURSO 4241</t>
  </si>
  <si>
    <t>Convênio Consulta Popular: Obras e Instalações RECURSO 4295</t>
  </si>
  <si>
    <t>Estimativa de Valor para Desp C/Cons. Pop. P/Reforma U.B.S.: Gerador: Obrig.Trib. e Contrib.</t>
  </si>
  <si>
    <t>Estimativa de Valor para Desp C/Cons. Pop. P/Reforma U.B.S.:  Devolução de Saldo</t>
  </si>
  <si>
    <t>Estimativa de Valor para Desp C/Cons. Pop. P/Reforma U.B.S.:  Material de Consumo</t>
  </si>
  <si>
    <t>Estimativa de Valor para Desp C/Cons. Pop. P/Reforma U.B.S.:  Servicos - Pessoa Fisica</t>
  </si>
  <si>
    <t>Estimativa de Valor para Desp C/Cons. Pop. P/Reforma U.B.S.:  Servicos - Pessoa Juridica CP</t>
  </si>
  <si>
    <t xml:space="preserve">Estimativa de Valor para Desp C/Cons. Pop. P/Reforma U.B.S.:  Servicos - Pessoa Juridica </t>
  </si>
  <si>
    <t>Estimativa de Valor para Desp C/Obras e Instalações: Obrig.Trib. e Contrib.</t>
  </si>
  <si>
    <t>Estimativa de Valor para Desp C/Obras e Instalações: Devolução de Saldo</t>
  </si>
  <si>
    <t>Estimativa de Valor para Desp C/Obras e Instalações:  Material de Consumo</t>
  </si>
  <si>
    <t>Estimativa de Valor para Desp C/Obras e Instalações: Servicos - Pessoa Fisica</t>
  </si>
  <si>
    <t>Estimativa de Valor para Desp C/Obras e Instalações: Servicos - Pessoa Juridica CP</t>
  </si>
  <si>
    <t xml:space="preserve">Estimativa de Valor para Desp C/Obras e Instalações: Servicos - Pessoa Juridica </t>
  </si>
  <si>
    <t>Estimativa de Valor para Desp C/Obras e Instalações: Obras e Instalações</t>
  </si>
  <si>
    <t>Estimativa de Valor para Desp C/Cons. Pop. P/Reforma U.B.S.: Obras e Instalações</t>
  </si>
  <si>
    <t>Estimativa de Valor para Desp C/Assist. Farm. básica: Serv. P. Jurídica</t>
  </si>
  <si>
    <t>Estimativa de Valor para Desp C/Apoio a Port. de Diabétes: Serv. P. Jurídica</t>
  </si>
  <si>
    <t>Consulta Popular P/Aquisição de Veículos 1143</t>
  </si>
  <si>
    <t>Consulta Popular P/Aquisição de Veículos 4292</t>
  </si>
  <si>
    <t>Piso Atenção Básica</t>
  </si>
  <si>
    <t xml:space="preserve"> VIGILÂNCIA EPIDEMIOLÓGICA</t>
  </si>
  <si>
    <t>Estimativa de Valor para Desp C/Cons. Pop. P/Aq. Van: Obrig.Trib. e Contrib.</t>
  </si>
  <si>
    <t>Estimativa de Valor para Desp C/Cons. Pop. P/Aq. Van: Devolução de Saldo</t>
  </si>
  <si>
    <t>Estimativa de Valor para Desp C/Cons. Pop. P/Aq. Van: Material de Consumo</t>
  </si>
  <si>
    <t>Estimativa de Valor para Desp C/Cons. Pop. P/Aq. Van: Servicos - Pessoa Fisica</t>
  </si>
  <si>
    <t>Estimativa de Valor para Desp C/Cons. Pop. P/Aq. Van: Servicos - Pessoa Juridica CP</t>
  </si>
  <si>
    <t>Estimativa de Valor para Desp C/Cons. Pop. P/Aq. Van: Servicos - Pessoa Juridica</t>
  </si>
  <si>
    <t>Estimativa de Valor para Desp C/Cons. Pop. P/Aq. Van: Aq. de Eq. e Mat. Permanente</t>
  </si>
  <si>
    <t>Estimativa de Valor para Desp C/Cons. Pop. P/Aq.Veículos: Obrig.Trib. e Contrib.</t>
  </si>
  <si>
    <t>Estimativa de Valor para Desp C/Cons. Pop. P/Aq.Veículos: Devolução de Saldo</t>
  </si>
  <si>
    <t>Estimativa de Valor para Desp C/Cons. Pop. P/Aq.Veículos: Material de Consumo</t>
  </si>
  <si>
    <t>Estimativa de Valor para Desp C/Cons. Pop. P/Aq.Veículos:  Servicos - Pessoa Fisica</t>
  </si>
  <si>
    <t>Estimativa de Valor para Desp C/Cons. Pop. P/Aq.Veículos: Servicos - Pessoa Juridica CP</t>
  </si>
  <si>
    <t>Estimativa de Valor para Desp C/Cons. Pop. P/Aq.Veículos:  Servicos - Pessoa Juridica</t>
  </si>
  <si>
    <t>Estimativa de Valor para Desp C/Cons. Pop. P/Aq.Veículos: Aq. de Eq. e Mat. Permanente</t>
  </si>
  <si>
    <t xml:space="preserve">Estimativa de Valor para Desp C/Piso Atenção Básica: Diárias </t>
  </si>
  <si>
    <t>Estimativa de Valor para Desp C/Piso Atenção Básica: Material De Consumo</t>
  </si>
  <si>
    <t>Estimativa de Valor para Desp C/Piso Atenção Básica: Material P/Distribuição Gratuita</t>
  </si>
  <si>
    <t>Estimativa de Valor para Desp C/Piso Atenção Básica: Serviços P. Física</t>
  </si>
  <si>
    <t>Estimativa de Valor para Desp C/Piso Atenção Básica: Serviços P. Jurídica</t>
  </si>
  <si>
    <t>Estimativa de Valor para Desp C/Piso Atenção Básica: Obrig. Trib. e Contrib.</t>
  </si>
  <si>
    <t>Estimativa de Valor para Desp C/Piso Atenção Básica: Ressarcimento de Despesas</t>
  </si>
  <si>
    <t>Estimativa de Valor para Desp C/Piso Atenção Básica: Aq. de Mat. P/Consórcio</t>
  </si>
  <si>
    <t>Estimativa de Valor para Desp C/Piso Atenção Básica: Serv. P. Jurídica P/Consórcio</t>
  </si>
  <si>
    <t>Estimativa de Valor para Desp C/Piso Atenção Básica: Obras e Instalações</t>
  </si>
  <si>
    <t>Estimativa de Valor para Desp C/Piso Atenção Básica: Aq. de Eq. e Mat. Perm. e Veic.</t>
  </si>
  <si>
    <t>Estimativa de Valor para Desp C/Folha PGTº  Atend. Psic. e Saúde Mental: Obrigações Patronais</t>
  </si>
  <si>
    <t>Estimativa de Valor para Desp C/Atend. Psic. e Saúde Mental: Despesas C/Locomoção</t>
  </si>
  <si>
    <t>Estimativa de Valor para Desp C/Atend. Psic. e Saúde Mental: Serv. P. Jurídica P/Consórcio</t>
  </si>
  <si>
    <t>VAtend. Psic. e Saúde Mental: Aq. de Eq. e Mat. Perm.</t>
  </si>
  <si>
    <t>Estimativa de Valor para Desp C/Folha PGTº  Vig. Epidemiológica: Obrigações Patronais</t>
  </si>
  <si>
    <t>Estimativa de Valor para Desp C/Folha PGTº  Vig. Epidemiológica: Horas Extras</t>
  </si>
  <si>
    <t>Estimativa de Valor para Desp C/Vig. Epidemiológica:  Material P/Despesa C/Locomoção</t>
  </si>
  <si>
    <t>Estimativa de Valor para Desp C/Vig. Epidemiológica: Serviços P. Física</t>
  </si>
  <si>
    <t>Estimativa de Valor para Desp C/Vig. Epidemiológica: Serviços P. Jurídica</t>
  </si>
  <si>
    <t>Estimativa de Valor para Desp C/Vig. Epidemiológica: Obrig. Trib. e Contrib.</t>
  </si>
  <si>
    <t>Estimativa de Valor para Desp C/Vig. Epidemiológica: Ressarcimento de Despesas</t>
  </si>
  <si>
    <t>Estimativa de Valor para Desp C/Vig. Epidemiológica: Serv. P. Jurídica P/Consórcio</t>
  </si>
  <si>
    <t>Piso Atenção Básica Fixo</t>
  </si>
  <si>
    <t xml:space="preserve">Estimativa de Valor para Desp C/PAB FIXO: Diárias </t>
  </si>
  <si>
    <t>Estimativa de Valor para Desp C/PAB FIXO: Material De Consumo</t>
  </si>
  <si>
    <t>Estimativa de Valor para Desp C/PAB FIXO: Material P/Distribuição Gratuita</t>
  </si>
  <si>
    <t>Estimativa de Valor para Desp C/PAB FIXO: Material P/Desp. C/Locomoção</t>
  </si>
  <si>
    <t>Estimativa de Valor para Desp C/PAB FIXO: Serviços P. Física</t>
  </si>
  <si>
    <t>Estimativa de Valor para Desp C/PAB FIXO: Serviços P. Jurídica</t>
  </si>
  <si>
    <t>Estimativa de Valor para Desp C/PAB FIXO: Obrig. Trib. e Contrib.</t>
  </si>
  <si>
    <t>Estimativa de Valor para Desp C/PAB FIXO: Ressarcimento de Despesas</t>
  </si>
  <si>
    <t>Estimativa de Valor para Desp C/PAB FIXO: Aq. Mat. P/Consórcio</t>
  </si>
  <si>
    <t>Estimativa de Valor para Desp C/PAB FIXO: Serv. P. Jurídica P/Consórcio</t>
  </si>
  <si>
    <t>Estimativa de Valor para Desp C/PAB FIXO: Obras e Instalações</t>
  </si>
  <si>
    <t>Estimativa de Valor para Desp C/PAB FIXO: Aq. de Eq. e Mat. Perm. e Veículos</t>
  </si>
  <si>
    <t>Convenios União P/Aq. de Equipamentos</t>
  </si>
  <si>
    <t>Conv. União P/Aq. de Equip.: Aq. de Eq. e Mat. Permanente CP</t>
  </si>
  <si>
    <t xml:space="preserve"> Convenios União P/Aq. de Equipamentos</t>
  </si>
  <si>
    <t>CONVÊNIOS UNIÃO P/AQ. DE VEÍCULOS</t>
  </si>
  <si>
    <t>Conv. União P/Obras e Instalações: Obras e Instalações CP</t>
  </si>
  <si>
    <t>Conv. União P/Aq. de Veículos: Aq. De Veículos CP</t>
  </si>
  <si>
    <t>Cadastro SUS</t>
  </si>
  <si>
    <t xml:space="preserve"> Farmácia Básica</t>
  </si>
  <si>
    <t>Estimativa de Valor para Desp C/Folha PGTº  Vig. Sanitária:  Obrigações Patronais</t>
  </si>
  <si>
    <t>Manutenção do Conselho Municipal de Saúde</t>
  </si>
  <si>
    <t>Equipamentos e Mat. Permanente para SMAS</t>
  </si>
  <si>
    <t>Manutenção da Sec. Mun. da Assist. Social</t>
  </si>
  <si>
    <t xml:space="preserve">Estimativa de Valor para Desp C/Man. Conselho Mun. de Saúde: Diárias </t>
  </si>
  <si>
    <t>Estimativa de Valor para Desp C/Man. Conselho Mun. de Saúde: Material De Consumo</t>
  </si>
  <si>
    <t>Estimativa de Valor para Desp C/Man. Conselho Mun. de Saúde: Material P/Distribuição Gratuita</t>
  </si>
  <si>
    <t>Estimativa de Valor para Desp C/Man. Conselho Mun. de Saúde: Despesas C/Locomoção</t>
  </si>
  <si>
    <t>Estimativa de Valor para Desp C/Man. Conselho Mun. de Saúde: Serv. de Consultoria</t>
  </si>
  <si>
    <t>Estimativa de Valor para Desp C/Man. Conselho Mun. de Saúde: Serv. P. Física</t>
  </si>
  <si>
    <t>Estimativa de Valor para Desp C/Man. Conselho Mun. de Saúde: Serv. P. Jurídica</t>
  </si>
  <si>
    <t>Estimativa de Valor para Desp C/Man. Conselho Mun. de Saúde: Obrig. Trib e Contrib.</t>
  </si>
  <si>
    <t>Estimativa de Valor para Desp C/Man. Conselho Mun. de Saúde: Ressarcimento de Despesas</t>
  </si>
  <si>
    <t>Estimativa de Valor para Desp C/Man. Conselho Mun. de Saúde: Aq. Mat. P/Consórcio</t>
  </si>
  <si>
    <t>Estimativa de Valor para Desp C/Man. Conselho Mun. de Saúde: Aq. de Eq. e Mat. Perm.</t>
  </si>
  <si>
    <t>Estimativa de Valor para Desp C/Aq. de Eq. e Mat. Perm. Sec. Mun. Assist. Social: Obrig. Trib. e Contrib.</t>
  </si>
  <si>
    <t>Estimativa de Valor para Desp C/Aq. de Eq. e Mat. Perm. Sec. Mun. Assist. Social: Material de Consumo</t>
  </si>
  <si>
    <t>Estimativa de Valor para Desp C/Aq. de Eq. e Mat. Perm. Sec. Mun. Assist. Social: Servicos - Pessoa Fisica</t>
  </si>
  <si>
    <t>Estimativa de Valor para Desp C/Aq. de Eq. e Mat. Perm. Sec. Mun. Assist. Social: Servicos - Pessoa Juridica</t>
  </si>
  <si>
    <t>Estimativa de Valor para Desp C/Aq. de Eq. e Mat. Perm. Sec. Mun. Assist. Social: Eq. e Mat. Permanente</t>
  </si>
  <si>
    <t>Estimativa de Valor para Desp C/Folha PGTº Sec. Mun. Assist. Social: Servidores Contratados</t>
  </si>
  <si>
    <t>Estimativa de Valor para Desp C/Folha PGTº Sec. Mun. Assist. Social: Serv. Efetivos., C.C. e Agente Político</t>
  </si>
  <si>
    <t>Estimativa de Valor para Desp C/Folha PGTº Sec. Mun. Assist. Social: Horas Extras</t>
  </si>
  <si>
    <t xml:space="preserve"> Estimativa de Valor para Desp C/Sec. Mun. Assist. Social: Diárias </t>
  </si>
  <si>
    <t>Estimativa de Valor para Desp C/ Sec. Mun. Assist. Social: Material de Consumo</t>
  </si>
  <si>
    <t>Estimativa de Valor para Desp C/ Sec. Mun. Assist. Social: Material Distribuição Gratuita</t>
  </si>
  <si>
    <t>Estimativa de Valor para Desp C/ Sec. Mun. Assist. Social: Despesas Com Locomoção</t>
  </si>
  <si>
    <t>Estimativa de Valor para Desp C/ Sec. Mun. Assist. Social: Servicos de Consultoria</t>
  </si>
  <si>
    <t>Estimativa de Valor para Desp C/ Sec. Mun. Assist. Social: Servicos - Pessoa Fisica</t>
  </si>
  <si>
    <t xml:space="preserve"> Estimativa de Valor para Desp C/Sec. Mun. Assist. Social: Servicos - Pessoa Juridica</t>
  </si>
  <si>
    <t xml:space="preserve"> Estimativa de Valor para Desp C/Sec. Mun. Assist. Social: Obrig.Trib. e Contrib.</t>
  </si>
  <si>
    <t>Estimativa de Valor para Desp C/Folha PGTº  Sec. Mun. Assist. Social: Auxilio-Transporte</t>
  </si>
  <si>
    <t xml:space="preserve"> Estimativa de Valor para Desp C/Sec. Mun. Assist. Social: Ressarcimento de Despesas</t>
  </si>
  <si>
    <t xml:space="preserve"> Estimativa de Valor para Desp C/Sec. Mun. Assist. Social: Material de Consumo - Aq. P/Consórcio</t>
  </si>
  <si>
    <t xml:space="preserve"> Gestão da Frota de Veículos</t>
  </si>
  <si>
    <t>APOIO A ESTUDANTES CARENTES</t>
  </si>
  <si>
    <t xml:space="preserve"> Estimativa de Valor para Desp C/Gestão Frota Veic. S.M.A.S.:  Diárias </t>
  </si>
  <si>
    <t xml:space="preserve"> Estimativa de Valor para Desp C/Gestão Frota Veic. S.M.A.S.: Materiais, Autop., Comb. e Outros</t>
  </si>
  <si>
    <t xml:space="preserve"> Estimativa de Valor para Desp C/Gestão Frota Veic. S.M.A.S.: Despesas C/Locomoção</t>
  </si>
  <si>
    <t xml:space="preserve"> Estimativa de Valor para Desp C/Gestão Frota Veic. S.M.A.S.: Servicos - Pessoa Fisica</t>
  </si>
  <si>
    <t xml:space="preserve"> Estimativa de Valor para Desp C/Gestão Frota Veic. S.M.A.S.:  Servicos - Pessoa Juridica</t>
  </si>
  <si>
    <t xml:space="preserve"> Estimativa de Valor para Desp C/Gestão Frota Veic. S.M.A.S.: Obrig. Trib. e Contrib.</t>
  </si>
  <si>
    <t xml:space="preserve"> Estimativa de Valor para Desp C/Gestão Frota Veic. S.M.A.S.: Ressarcimento de Despesas</t>
  </si>
  <si>
    <t xml:space="preserve"> Estimativa de Valor para Desp C/Gestão Frota Veic. S.M.A.S.: Mat. de Consumo - Aq. P/Consórcio</t>
  </si>
  <si>
    <t xml:space="preserve"> Estimativa de Valor para Desp C/Gestão Frota Veic. S.M.A.S.: Aq. de Eq. e Veículos</t>
  </si>
  <si>
    <t xml:space="preserve"> Estimativa de Valor para Desp C/Apoio a Estudantes Carentes: Outros Beneficios Assistenciais</t>
  </si>
  <si>
    <t xml:space="preserve"> Estimativa de Valor para Desp C/Apoio a Estudantes Carentes: Material P/Distribuição Gratuita</t>
  </si>
  <si>
    <t>APOIO AO IDOSO</t>
  </si>
  <si>
    <t>MANUT. DA PROT. SOC. BÁS. AO PORT. DE DEFICIÊNCIA</t>
  </si>
  <si>
    <t>MANUTENÇÃO DO CREAS</t>
  </si>
  <si>
    <t>MAN. SERV. DE PROT. SOC. ESP. A CRIANÇA E ADOLESC.</t>
  </si>
  <si>
    <t>BENEFICIOS EVENTUAIS</t>
  </si>
  <si>
    <t>MANUTENÇÃO DO CRAS</t>
  </si>
  <si>
    <t>Realização de Cursos e Oficinas</t>
  </si>
  <si>
    <t xml:space="preserve"> Estimativa de Valor para Desp C/Apoio ao Idoso: Outros Beneficios Assistenciais</t>
  </si>
  <si>
    <t xml:space="preserve"> Estimativa de Valor para Desp C/Apoio ao Idoso: Material P/Distribuição Gratuita</t>
  </si>
  <si>
    <t xml:space="preserve"> Estimativa de Valor para Desp C/Proteção a Pessoa C/Deficiencia: Subvenções Sociais</t>
  </si>
  <si>
    <t xml:space="preserve"> Estimativa de Valor para Desp C/Proteção a Pessoa C/Deficiencia: Material De Consumo</t>
  </si>
  <si>
    <t xml:space="preserve"> Estimativa de Valor para Desp C/Proteção a Pessoa C/Deficiencia: Mat., P/Distribuição Gratuita</t>
  </si>
  <si>
    <t xml:space="preserve"> Estimativa de Valor para Desp C/Proteção a Pessoa C/Deficiencia: Servicos - Pessoa Fisica</t>
  </si>
  <si>
    <t xml:space="preserve"> Estimativa de Valor para Desp C/Proteção a Pessoa C/Deficiencia: Servicos - pessoa Juridica</t>
  </si>
  <si>
    <t xml:space="preserve"> Estimativa de Valor para Desp C/Proteção a Pessoa C/Deficiencia: Obrig. Trib. e Contributivas</t>
  </si>
  <si>
    <t xml:space="preserve"> Estimativa de Valor para Desp C/Proteção a Pessoa C/Deficiencia: Aq. de Eq. e Material Perm.</t>
  </si>
  <si>
    <t xml:space="preserve"> Estimativa de Valor para Desp C/Manut. Do CREAS: Material De Consumo</t>
  </si>
  <si>
    <t xml:space="preserve"> Estimativa de Valor para Desp C/Manut. Do CREAS: Material P/Distribuição Gratuita</t>
  </si>
  <si>
    <t xml:space="preserve"> Estimativa de Valor para Desp C/Manut. Do CREAS: Servicos - Pessoa Fisica</t>
  </si>
  <si>
    <t xml:space="preserve"> Estimativa de Valor para Desp C/Manut. Do CREAS: Servicos - Pessoa Juridica</t>
  </si>
  <si>
    <t xml:space="preserve"> Estimativa de Valor para Desp C/Manut. Do CREAS: Obrig. Trib. e Contributivas</t>
  </si>
  <si>
    <t xml:space="preserve"> Estimativa de Valor para Desp C/Manut. Do CREAS: Obras e Instalações</t>
  </si>
  <si>
    <t xml:space="preserve"> Estimativa de Valor para Desp C/Manut. Do CREAS: Aq. de Eq. e Mat. Perm.</t>
  </si>
  <si>
    <t xml:space="preserve"> Estimativa de Valor para Desp C/Manut. S.P.S.E.C.A.: Material De Consumo</t>
  </si>
  <si>
    <t xml:space="preserve"> Estimativa de Valor para Desp C/Manut. S.P.S.E.C.A.: Material P/Distribuição Gratuita</t>
  </si>
  <si>
    <t xml:space="preserve"> Estimativa de Valor para Desp C/Manut. S.P.S.E.C.A.: Servicos - Pessoa Fisica</t>
  </si>
  <si>
    <t xml:space="preserve"> Estimativa de Valor para Desp C/Manut. S.P.S.E.C.A.: Servicos - Pessoa Juridica</t>
  </si>
  <si>
    <t xml:space="preserve"> Estimativa de Valor para Desp C/Manut. S.P.S.E.C.A.: Obrig. Trib. e Contributivas</t>
  </si>
  <si>
    <t xml:space="preserve"> Estimativa de Valor para Desp C/Manut. S.P.S.E.C.A.: Aq. de Eq. e Mat. Perm.</t>
  </si>
  <si>
    <t xml:space="preserve"> Estimativa de Valor para Desp C/Ben. Eventuais: Outros Beneficios Assistenciais</t>
  </si>
  <si>
    <t xml:space="preserve"> Estimativa de Valor para Desp C/Ben. Eventuais: Material P/Distribuição Gratuita</t>
  </si>
  <si>
    <t xml:space="preserve"> Estimativa de Valor para Desp C/Manut. Do CRAS: Material De Consumo</t>
  </si>
  <si>
    <t xml:space="preserve"> Estimativa de Valor para Desp C/Manut. Do CRAS: Material P/Distribuição Gratuita</t>
  </si>
  <si>
    <t xml:space="preserve"> Estimativa de Valor para Desp C/Manut. Do CRAS: Servicos - Pessoa Fisica</t>
  </si>
  <si>
    <t xml:space="preserve"> Estimativa de Valor para Desp C/Manut. Do CRAS: Servicos - Pessoa Juridica</t>
  </si>
  <si>
    <t xml:space="preserve"> Estimativa de Valor para Desp C/Manut. Do CRAS: Obrig. Trib. e Contributivas</t>
  </si>
  <si>
    <t xml:space="preserve"> Estimativa de Valor para Desp C/Manut. Do CRAS: Obras e Instalações</t>
  </si>
  <si>
    <t xml:space="preserve"> Estimativa de Valor para Desp C/Manut. Do CRAS: Aq. de Eq. e Mat. Perm.</t>
  </si>
  <si>
    <t xml:space="preserve"> Estimativa de Valor para Desp C/Real de Oficinas: Material De Consumo</t>
  </si>
  <si>
    <t xml:space="preserve"> Estimativa de Valor para Desp C/Real de Oficinas:  Material P/Distribuição Gratuita</t>
  </si>
  <si>
    <t xml:space="preserve"> Estimativa de Valor para Desp C/Real de Oficinas:  Servicos - Pessoa Fisica</t>
  </si>
  <si>
    <t xml:space="preserve"> Estimativa de Valor para Desp C/Real de Oficinas:  Servicos - Pessoa Juridica</t>
  </si>
  <si>
    <t xml:space="preserve"> Estimativa de Valor para Desp C/Real de Oficinas: Obrig. Trib. e Contributivas</t>
  </si>
  <si>
    <t xml:space="preserve"> Estimativa de Valor para Desp C/Real de Oficinas: Aq. de Materiais P/Consórcio</t>
  </si>
  <si>
    <t xml:space="preserve"> Estimativa de Valor para Desp C/Real de Oficinas: Serv. P. Jurídica P/Consórcio</t>
  </si>
  <si>
    <t xml:space="preserve"> Estimativa de Valor para Desp C/Real de Oficinas: Aq. de Eq. e Mat. Perm.</t>
  </si>
  <si>
    <t>APOIO A FAMILIA</t>
  </si>
  <si>
    <t xml:space="preserve"> Estimativa de Valor para Desp C/Apoio a Família: Outros Beneficios Assistenciais</t>
  </si>
  <si>
    <t xml:space="preserve"> Estimativa de Valor para Desp C/Apoio a Família: Material P/Distribuição Gratuita</t>
  </si>
  <si>
    <t>776 EXAM E CONS. A PAC. DO MUNICIPIO DE CHUVISCA</t>
  </si>
  <si>
    <t>EXAM E CONS. A PAC. DO MUNICIPIO DE CHUVISCA.</t>
  </si>
  <si>
    <t xml:space="preserve">Apoio a Vitimas de Desastres </t>
  </si>
  <si>
    <t xml:space="preserve"> Estimativa de Valor para Desp C/Apoio a Pacinetes Carentes:  Material P/Distribuição Gratuita</t>
  </si>
  <si>
    <t xml:space="preserve"> Estimativa de Valor para Desp C/Apoio a Vit. de Desastres: Outros Beneficios Assistenciais</t>
  </si>
  <si>
    <t xml:space="preserve"> Estimativa de Valor para Desp C/Apoio a Vit. de Desastres: Material De Consumo</t>
  </si>
  <si>
    <t xml:space="preserve"> Estimativa de Valor para Desp C/Apoio a Vit. de Desastres: Material P/Distribuição Gratuita</t>
  </si>
  <si>
    <t xml:space="preserve"> Estimativa de Valor para Desp C/Apoio a Vit. de Desastres:Servicos - Pessoa Fisica</t>
  </si>
  <si>
    <t xml:space="preserve"> Estimativa de Valor para Desp C/Apoio a Vit. de Desastres: Servicos - Pessoa Juridica</t>
  </si>
  <si>
    <t xml:space="preserve"> Estimativa de Valor para Desp C/Apoio a Vit. de Desastres: Obrig. Trib. e Contributivas</t>
  </si>
  <si>
    <t xml:space="preserve"> Estimativa de Valor para Desp C/Apoio a Vit. de Desastres: Aq. de Materiais P/Consórcio</t>
  </si>
  <si>
    <t xml:space="preserve"> Estimativa de Valor para Desp C/Apoio a Vit. de Desastres: Serv. P. Jurídica P/Consórcio</t>
  </si>
  <si>
    <t>MAN. SERV. PROT. AT. ESP. A FAM. E INDIV. - PAEFI</t>
  </si>
  <si>
    <t>PROMOÇÃO DE CURSOS DE CAPAC. DE TRAB. ACESSUAS</t>
  </si>
  <si>
    <t xml:space="preserve"> CONSULTA POPULAR</t>
  </si>
  <si>
    <t xml:space="preserve"> FMAS BPC</t>
  </si>
  <si>
    <t xml:space="preserve"> Estimativa de Valor para Desp C/Man. PAEFI: Outros Beneficios Assistenciais</t>
  </si>
  <si>
    <t xml:space="preserve"> Estimativa de Valor para Desp C/Man. PAEFI: Material De Consumo</t>
  </si>
  <si>
    <t xml:space="preserve"> Estimativa de Valor para Desp C/Man. PAEFI: Material P/Distribuição Gratuita</t>
  </si>
  <si>
    <t xml:space="preserve"> Estimativa de Valor para Desp C/Man. PAEFI: Servicos - Pessoa Fisica</t>
  </si>
  <si>
    <t xml:space="preserve"> Estimativa de Valor para Desp C/Man. PAEFI: Servicos - Pessoa Juridica</t>
  </si>
  <si>
    <t xml:space="preserve"> Estimativa de Valor para Desp C/Man. PAEFI: Obrig. Trib. e Contributivas</t>
  </si>
  <si>
    <t xml:space="preserve"> Estimativa de Valor para Desp C/Man. PAEFI: Aq. de Materiais P/Consórcio</t>
  </si>
  <si>
    <t xml:space="preserve"> Estimativa de Valor para Desp C/Man. PAEFI:Serv. P. Jurídica P/Consórcio</t>
  </si>
  <si>
    <t xml:space="preserve"> Estimativa de Valor para Desp C/Prom. Cursos Cap. Trab.: Material De Consumo</t>
  </si>
  <si>
    <t xml:space="preserve"> Estimativa de Valor para Desp C/Prom. Cursos Cap. Trab.:  Material P/Distribuição Gratuita</t>
  </si>
  <si>
    <t xml:space="preserve"> Estimativa de Valor para Desp C/Prom. Cursos Cap. Trab.:  Servicos - Pessoa Fisica</t>
  </si>
  <si>
    <t xml:space="preserve"> Estimativa de Valor para Desp C/Prom. Cursos Cap. Trab.:  Servicos - Pessoa Juridica</t>
  </si>
  <si>
    <t xml:space="preserve"> Estimativa de Valor para Desp C/Prom. Cursos Cap. Trab.:  Obrig. Trib. e Contributivas</t>
  </si>
  <si>
    <t xml:space="preserve"> Estimativa de Valor para Desp C/Prom. Cursos Cap. Trab.:  Aq. de Materiais P/Consórcio</t>
  </si>
  <si>
    <t xml:space="preserve"> Estimativa de Valor para Desp C/Prom. Cursos Cap. Trab.: Serv. P. Jurídica P/Consórcio</t>
  </si>
  <si>
    <t xml:space="preserve"> Estimativa de Valor para Desp C/Prom. Cursos Cap. Trab.: Aq. de Eq. e Mat. Perm.</t>
  </si>
  <si>
    <t xml:space="preserve"> Estimativa de Valor para Desp C/Cons. Pop. CRANS:  Devolução de Saldo</t>
  </si>
  <si>
    <t xml:space="preserve"> Estimativa de Valor para Desp C/Cons. Pop. CRANS:  Material de Consumo</t>
  </si>
  <si>
    <t xml:space="preserve"> Estimativa de Valor para Desp C/Cons. Pop. CRANS:  Material P/Distribuição Gratuita</t>
  </si>
  <si>
    <t xml:space="preserve"> Estimativa de Valor para Desp C/Cons. Pop. CRANS:  Servicos - Pessoa Fisica</t>
  </si>
  <si>
    <t xml:space="preserve"> Estimativa de Valor para Desp C/Cons. Pop. CRANS:  Servicos - Pessoa Juridica</t>
  </si>
  <si>
    <t xml:space="preserve"> Estimativa de Valor para Desp C/Cons. Pop. CRANS:   Obrig. Trib. e Contributivas</t>
  </si>
  <si>
    <t xml:space="preserve"> Estimativa de Valor para Desp C/Cons. Pop. CRANS:  Aq. de Materiais P/Consórcio</t>
  </si>
  <si>
    <t xml:space="preserve"> Estimativa de Valor para Desp C/Cons. Pop. CRANS:  Serv. P. Jurídica P/Consórcio</t>
  </si>
  <si>
    <t xml:space="preserve"> Estimativa de Valor para Desp C/Cons. Pop. CRANS:  Aq. de Eq. e Mat. Perm.</t>
  </si>
  <si>
    <t xml:space="preserve"> Estimativa de Valor para Desp C/FMAS BPC: Material de Consumo</t>
  </si>
  <si>
    <t xml:space="preserve"> Estimativa de Valor para Desp C/FMAS BPC: Material P/Distribuição Gratuita</t>
  </si>
  <si>
    <t xml:space="preserve"> Estimativa de Valor para Desp C/FMAS BPC: serv. P. Jurídica </t>
  </si>
  <si>
    <t xml:space="preserve"> FMAS FEAS</t>
  </si>
  <si>
    <t>MANUTENÇÃO DO IGDBF</t>
  </si>
  <si>
    <t>MANUTENÇÃO DO IGD - SUAS</t>
  </si>
  <si>
    <t xml:space="preserve"> Estimativa de Valor para Desp C/FMAS FEAS:  Devolucao de Saldo</t>
  </si>
  <si>
    <t xml:space="preserve"> Estimativa de Valor para Desp C/FMAS FEAS:  Material de Consumo</t>
  </si>
  <si>
    <t xml:space="preserve"> Estimativa de Valor para Desp C/FMAS FEAS:  Material P/Distribuição Gratuita</t>
  </si>
  <si>
    <t xml:space="preserve"> Estimativa de Valor para Desp C/FMAS FEAS:   Servicos - Pessoa Fisica</t>
  </si>
  <si>
    <t xml:space="preserve"> Estimativa de Valor para Desp C/FMAS FEAS:  Servicos - Pessoa Juridica</t>
  </si>
  <si>
    <t xml:space="preserve"> Estimativa de Valor para Desp C/FMAS FEAS:  Obrig. Trib. e Contributivas</t>
  </si>
  <si>
    <t xml:space="preserve"> Estimativa de Valor para Desp C/FMAS FEAS:  Aq. de Materiais P/Consórcio</t>
  </si>
  <si>
    <t xml:space="preserve"> Estimativa de Valor para Desp C/FMAS FEAS:  Serv. P. Jurídica P/Consórcio</t>
  </si>
  <si>
    <t xml:space="preserve"> Estimativa de Valor para Desp C/FMAS FEAS:  Aq. de Eq. e Mat. Perm.</t>
  </si>
  <si>
    <t xml:space="preserve"> Estimativa de Valor para Desp C/Gestão Rec. IGDBF: Diarias - Pessoal</t>
  </si>
  <si>
    <t xml:space="preserve"> Estimativa de Valor para Desp C/Gestão Rec. IGDBF: Material De Consumo</t>
  </si>
  <si>
    <t xml:space="preserve"> Estimativa de Valor para Desp C/Gestão Rec. IGDBF: Mat., bens ou Serv. Distrib. Gratuita</t>
  </si>
  <si>
    <t xml:space="preserve"> Estimativa de Valor para Desp C/Gestão Rec. IGDBF:  Servicos - Pessoa Fisica</t>
  </si>
  <si>
    <t xml:space="preserve"> Estimativa de Valor para Desp C/Gestão Rec. IGDBF: Servicos - Pessoa Juridica</t>
  </si>
  <si>
    <t xml:space="preserve"> Estimativa de Valor para Desp C/Gestão Rec. IGDBF: Obrigacoes Tributarias E Contributivas</t>
  </si>
  <si>
    <t xml:space="preserve"> Estimativa de Valor para Desp C/Gestão Rec. IGDBF:  Aq. de Materiais P/Consórcio</t>
  </si>
  <si>
    <t xml:space="preserve"> Estimativa de Valor para Desp C/Gestão Rec. IGDBF:  Serv. P. Jurídica P/Consórcio</t>
  </si>
  <si>
    <t xml:space="preserve"> Estimativa de Valor para Desp C/Gestão Rec. IGDBF: Obras e Instalações</t>
  </si>
  <si>
    <t xml:space="preserve"> Estimativa de Valor para Desp C/Gestão Rec. IGDBF: Aq. de Equip. e Material Permanente</t>
  </si>
  <si>
    <t xml:space="preserve"> Estimativa de Valor para Desp C/Gestão Rec. ACESSUAS: Diarias - Pessoal</t>
  </si>
  <si>
    <t xml:space="preserve"> Estimativa de Valor para Desp C/Gestão Rec. ACESSUAS: Material De Consumo</t>
  </si>
  <si>
    <t xml:space="preserve"> Estimativa de Valor para Desp C/Gestão Rec. ACESSUAS: Mat., bens ou Serv. Distrib. Gratuita</t>
  </si>
  <si>
    <t xml:space="preserve"> Estimativa de Valor para Desp C/Gestão Rec. ACESSUAS: Servicos - Pessoa Fisica</t>
  </si>
  <si>
    <t xml:space="preserve"> Estimativa de Valor para Desp C/Gestão Rec. ACESSUAS: Servicos - Pessoa Juridica</t>
  </si>
  <si>
    <t xml:space="preserve"> Estimativa de Valor para Desp C/Gestão Rec. ACESSUAS: Serviços de Transporte - Pronatec</t>
  </si>
  <si>
    <t xml:space="preserve"> Estimativa de Valor para Desp C/Gestão Rec. ACESSUAS: Obrigacoes Tributarias E Contributivas</t>
  </si>
  <si>
    <t xml:space="preserve"> Estimativa de Valor para Desp C/Gestão Rec. ACESSUAS:   Aq. de Materiais P/Consórcio</t>
  </si>
  <si>
    <t xml:space="preserve"> Estimativa de Valor para Desp C/Gestão Rec. ACESSUAS:  Serv. P. Jurídica P/Consórcio</t>
  </si>
  <si>
    <t xml:space="preserve"> Estimativa de Valor para Desp C/Gestão Rec. ACESSUAS: Obras e Instalações</t>
  </si>
  <si>
    <t xml:space="preserve"> Estimativa de Valor para Desp C/Gestão Rec. ACESSUAS: Aq. de Eq. e Mat. Perm.</t>
  </si>
  <si>
    <t xml:space="preserve"> Estimativa de Valor para Desp C/Gestão Rec. IGD-SUAS:  Diarias</t>
  </si>
  <si>
    <t xml:space="preserve"> Estimativa de Valor para Desp C/Gestão Rec. IGD-SUAS:  Material De Consumo</t>
  </si>
  <si>
    <t xml:space="preserve"> Estimativa de Valor para Desp C/Gestão Rec. IGD-SUAS:  Mat., bens ou Serv. Distrib. Gratuita</t>
  </si>
  <si>
    <t xml:space="preserve"> Estimativa de Valor para Desp C/Gestão Rec. IGD-SUAS:  Servicos- Pessoa Fisica</t>
  </si>
  <si>
    <t xml:space="preserve"> Estimativa de Valor para Desp C/Gestão Rec. IGD-SUAS:  Servicos - Pessoa Juridica</t>
  </si>
  <si>
    <t xml:space="preserve"> Estimativa de Valor para Desp C/Gestão Rec. IGD-SUAS: Obrigacoes Tributarias E Contributivas</t>
  </si>
  <si>
    <t xml:space="preserve"> Estimativa de Valor para Desp C/Gestão Rec. IGD-SUAS:  Aq. de Materiais P/Consórcio</t>
  </si>
  <si>
    <t xml:space="preserve"> Estimativa de Valor para Desp C/Gestão Rec. IGD-SUAS: Serv. P. Jurídica P/Consórcio</t>
  </si>
  <si>
    <t xml:space="preserve"> Estimativa de Valor para Desp C/Gestão Rec. IGD-SUAS:  Obras e Instalações</t>
  </si>
  <si>
    <t xml:space="preserve"> Estimativa de Valor para Desp C/Gestão Rec. IGD-SUAS:  Aq. de Equip. e Material Permanente</t>
  </si>
  <si>
    <t>MAN. DO SERV. DE PROT. E AT. INTEG. A FAM. - PAIF</t>
  </si>
  <si>
    <t>753060</t>
  </si>
  <si>
    <t>Folha PGTº PAIF: Servidores Contratados Complemento Municipio</t>
  </si>
  <si>
    <t>Folha PGTº PAIF: Obrigacoes Patronais Complemento Municipio</t>
  </si>
  <si>
    <t>753260</t>
  </si>
  <si>
    <t>MAN. DO SERV. DE CONV. E FORT. VINC. - SCFV</t>
  </si>
  <si>
    <t>Apoio ao Aluno</t>
  </si>
  <si>
    <t>Estimativa de Valor para Desp. C/Apoio ao Aluno: Material Para Distribuição Gratuita</t>
  </si>
  <si>
    <t>Conv. Lei 1026/2015 Const. de Tanq.: Devolução de Saldo</t>
  </si>
  <si>
    <t>Conv. Lei 1026/2015 Const. de Tanq.: Obras e Instalações</t>
  </si>
  <si>
    <t>PROGRAMA P.T.M.C.</t>
  </si>
  <si>
    <t>Manutenção do Fundo Municipal da Criança e Adolescente</t>
  </si>
  <si>
    <t>Manutenção e Organização do Conselho de Assist. Social</t>
  </si>
  <si>
    <t>TOTAL POR RECURSO</t>
  </si>
  <si>
    <t>760000</t>
  </si>
  <si>
    <t>760100</t>
  </si>
  <si>
    <t>1073 PTMC</t>
  </si>
  <si>
    <t>1074 IGDBF</t>
  </si>
  <si>
    <t>1109 SCFV</t>
  </si>
  <si>
    <t>1110 PAIF</t>
  </si>
  <si>
    <t>1128 IGDSUAS</t>
  </si>
  <si>
    <t>1149 ACESSUAS</t>
  </si>
  <si>
    <t>1106 FMAS BPC</t>
  </si>
  <si>
    <t>1152 CONS. POPULAR 2014 - CRANS</t>
  </si>
  <si>
    <t>753002</t>
  </si>
  <si>
    <t>753003</t>
  </si>
  <si>
    <t>753004</t>
  </si>
  <si>
    <t>753302</t>
  </si>
  <si>
    <t>753502</t>
  </si>
  <si>
    <t>753503</t>
  </si>
  <si>
    <t>753504</t>
  </si>
  <si>
    <t>753505</t>
  </si>
  <si>
    <t>753506</t>
  </si>
  <si>
    <t>753507</t>
  </si>
  <si>
    <t>753508</t>
  </si>
  <si>
    <t>753509</t>
  </si>
  <si>
    <t>669800</t>
  </si>
  <si>
    <t>669900</t>
  </si>
  <si>
    <t>666300</t>
  </si>
  <si>
    <t>4931 AQUISIÇÃO DE EQUIP. E MAT. PERMANENTE</t>
  </si>
  <si>
    <t>4935 CONSTRUÇÃO OU AMPLIAÇÃO DE UBS OU UPA</t>
  </si>
  <si>
    <t>4940 CONVENIOS</t>
  </si>
  <si>
    <t>1143 TRANSF. EST. P/AQ. DE VAN</t>
  </si>
  <si>
    <t>1144 TRANSF. EST. P/AQ. DE GERADOR</t>
  </si>
  <si>
    <t>4011 INCENTIVO ATENÇÃO BÁSICA - PIES</t>
  </si>
  <si>
    <t>4050 FARMÁCIA BÁSICA</t>
  </si>
  <si>
    <t xml:space="preserve"> 4051  DIABETES MELLITUS</t>
  </si>
  <si>
    <t>4070 PROG. SAUDE MENTAL</t>
  </si>
  <si>
    <t>4090 SAÚDE DA FAMÍLIA</t>
  </si>
  <si>
    <t>4241 REGIONALIZAÇÃO - REFORMA DE UBS</t>
  </si>
  <si>
    <t>4295 REFORMAS</t>
  </si>
  <si>
    <t>470560</t>
  </si>
  <si>
    <t>1091 EMENDA PARLAMENTAR MIN. TURISMO</t>
  </si>
  <si>
    <t>1159  CONSULTA POP. CONVENIOS DIVERSOS</t>
  </si>
  <si>
    <t>1146   CONS. POP. P/APOIO EVENTOS CULTURAIS</t>
  </si>
  <si>
    <t>1009 ALIM. ESC. - PNAE</t>
  </si>
  <si>
    <t>1011 Q.S.E.</t>
  </si>
  <si>
    <t>1049  PNATE</t>
  </si>
  <si>
    <t>1076 CONSTRUÇÃO DE COBERTURA DE QUADRA POLIESPORTIVA</t>
  </si>
  <si>
    <t>1158 CONSULTA POPULAR EDUCAÇÃO</t>
  </si>
  <si>
    <t>1153 CONSULTA POPULAR - PMSADS</t>
  </si>
  <si>
    <t>1156 CONVENIOS MAPA</t>
  </si>
  <si>
    <t>1157 CONVENIOS MDA</t>
  </si>
  <si>
    <t>1159 CONSULTA POPULAR CONVENIOS DIVERSOS</t>
  </si>
  <si>
    <t>1160 CONVENIO LEI 1026/2015 - PESCA E COOP</t>
  </si>
  <si>
    <t>1155 CONS. POPULAR ´QUALIF. PROFISSIONAL</t>
  </si>
  <si>
    <t>Valor Orçado para 2016</t>
  </si>
  <si>
    <t>Estimativa de Valor para Desp. C/Despesas com Recurso 1127</t>
  </si>
  <si>
    <t>Estimativa de Valor para Desp. C/Despesas com Obras e Instalações Contra-Partida</t>
  </si>
  <si>
    <t>ORGAO E UNIDADES</t>
  </si>
  <si>
    <t>BASE  PARA CALCULO DE DESPESAS 2016</t>
  </si>
  <si>
    <t>REALIZADO</t>
  </si>
  <si>
    <t>PROJETADO</t>
  </si>
  <si>
    <t>Estimativa de Valor para Desp. C/Vencimentos  EfeT., C.C. e Agente Político</t>
  </si>
  <si>
    <t>BASE 2016</t>
  </si>
  <si>
    <t>Estimativa de Valor para Desp. C/Hora Extra Serv. Efetivos e Contratados</t>
  </si>
  <si>
    <t>Folha PGTº: Obrig. Patronais criterio informativo</t>
  </si>
  <si>
    <t>Gestao Gabinete: Obrig. Patronais S/Servicos e M.E.I. criterio informativo</t>
  </si>
  <si>
    <t>Estimativa de Valor para Desp. C/Material De Consumo ( Cameras e Material Viatura)</t>
  </si>
  <si>
    <t>Estimativa de Valor para Desp. C/Locação de Imovel (almoxarifado)</t>
  </si>
  <si>
    <t>Estimativa de Valor para Desp. C/Serv. P. Juridica (Agua, Energia, Telefone, e outros)</t>
  </si>
  <si>
    <t>Obrig. Patronais S/Servicos e M.E.I. criterio informativo</t>
  </si>
  <si>
    <t>Estimativa de Valor para Desp C/Manut. da Frota de Veiculos e Maq.: Comb., Autopeças e Outros</t>
  </si>
  <si>
    <t>Estimativa de Valor para Desp. C/Vencimentos  EfeT., C.C. e F.G.</t>
  </si>
  <si>
    <t>xxxxxxxxxxxx</t>
  </si>
  <si>
    <t>3.1.9.0.11.75.00.0000</t>
  </si>
  <si>
    <t>Representação Mensal</t>
  </si>
  <si>
    <t>Estimativa de Valor para Desp C/Gest. Coord. Un. Agricultura: Diárias</t>
  </si>
  <si>
    <t>Estimativa de Valor para Desp C/Gest. Coord. Un. Meio Amb.:  Folha de Pagº: Auxilio-Transporte</t>
  </si>
  <si>
    <t>Estimativa de Valor para Desp C/Conselho Tutelar: Locação de Imóvel</t>
  </si>
  <si>
    <t>Estimativa de Valor para Desp. C/Precatórios custas judiciais</t>
  </si>
  <si>
    <t>Estimativa de Valor para Desp. C/Custo de Aq. de Equip. e Veículos: Equip. e Veículos</t>
  </si>
  <si>
    <t xml:space="preserve">Estimativa de Valor para Desp C/Servi. P. Fisica </t>
  </si>
  <si>
    <t>Estimativa de Valor para Desp. C/Servicos - Pessoa Juridica, agua, energia, etc.</t>
  </si>
  <si>
    <t>Estimativa de Valor para Desp. C/Servicos - Manutenção Veículos</t>
  </si>
  <si>
    <t>Estimativa de Valor para Desp. C/Servicos - Transp. Escolar Terceirizado</t>
  </si>
  <si>
    <t>Transp. Escolar Terceirizado</t>
  </si>
  <si>
    <t>310860</t>
  </si>
  <si>
    <t>Transporte Escolar da Educacao Infantil</t>
  </si>
  <si>
    <t>406960</t>
  </si>
  <si>
    <t>Transp. Esc.: Servicos - Transp. Escolar Terceirizado</t>
  </si>
  <si>
    <t>Transp. Esc.: Servicos - Manutenção de Veículos</t>
  </si>
  <si>
    <t>Estimativa de Valor para Desp C/Manut. Centro de Eventos: Material de Consumo M.E.I.</t>
  </si>
  <si>
    <t>Estimativa de Valor para Desp C/Manut. Centro de Eventos:  Servicos - Pessoa Juridica M.E.I.</t>
  </si>
  <si>
    <t xml:space="preserve">Estimativa de Valor para Desp. C/Plano de Saúde do Servidor </t>
  </si>
  <si>
    <t>510080</t>
  </si>
  <si>
    <t>Folha PGTº Sec. Mun. Saúde: Contib. Patron. IPE</t>
  </si>
  <si>
    <t>610080</t>
  </si>
  <si>
    <t>612080</t>
  </si>
  <si>
    <t>619080</t>
  </si>
  <si>
    <t>616080</t>
  </si>
  <si>
    <t>614080</t>
  </si>
  <si>
    <t>1 Livre</t>
  </si>
  <si>
    <t>Estimativa de Valor para Desp C/Plano de Saúde do Servidor</t>
  </si>
  <si>
    <t>Estimativa de Valor para Desp C/Plano de Saúde dos Servidores Adm. Escolar</t>
  </si>
  <si>
    <t>Folha PGTº: Plano de Saúde do Servidor Adm. Escolar</t>
  </si>
  <si>
    <t>Folha PGTº: Plano de Saúde do Servidor Ens. Fund.</t>
  </si>
  <si>
    <t>Estimativa de Valor para Desp C/Plano de Saúde dos Servidores  Ens. Fund.</t>
  </si>
  <si>
    <t>308080</t>
  </si>
  <si>
    <t>Folha PGTº: Plano de Saúde do Servidor CRECHE</t>
  </si>
  <si>
    <t>310080</t>
  </si>
  <si>
    <t>Estimativa de Valor para Desp C/Plano de Saúde dos Servidores  Transp. Escolar</t>
  </si>
  <si>
    <t>Estimativa de Valor para Desp C/Plano de Saúde dos Servidores  Creche</t>
  </si>
  <si>
    <t>Estimativa de Valor para Desp C/Plano de Saúde dos Servidores Ens. Fund.</t>
  </si>
  <si>
    <t>Estimativa de Valor para Desp C/Plano de Saúde dos Servidores Ed. Infantil</t>
  </si>
  <si>
    <t>Estimativa de Valor para Desp C/Plano de Saúde dos Servidores Ed.  EJA</t>
  </si>
  <si>
    <t>Estimativa de Valor para Desp C/Plano de Saúde dos Servidores Ed. Especial</t>
  </si>
  <si>
    <t>330080</t>
  </si>
  <si>
    <t>402080</t>
  </si>
  <si>
    <t>404080</t>
  </si>
  <si>
    <t>400080</t>
  </si>
  <si>
    <t>305080</t>
  </si>
  <si>
    <t>306200</t>
  </si>
  <si>
    <t xml:space="preserve">Folha PGTº: Plano de Saúde do Servidor Ens. Fundamental </t>
  </si>
  <si>
    <t>C.O.M.P.E. Ens. Fundam: Folha PGTº Plano de Saúde do Servidor E. Fundamental</t>
  </si>
  <si>
    <t xml:space="preserve">C.O.M.P.E. Ed. Infantil: Folha PGTº: Plano de Saúde do Servidor </t>
  </si>
  <si>
    <t xml:space="preserve">C.O.M.P.E. Ed. Especial: Folha PGTº: Plano de Saúde do Servidor </t>
  </si>
  <si>
    <t>Inc. Ens. Fundam.  E.J.A: Folha PGTº: Plano de Saúde do Servidor EJA</t>
  </si>
  <si>
    <t>Estimativa de Valor para Desp C/Realiz. Agrifest e Festa do Fumo: Premiações</t>
  </si>
  <si>
    <t>Realiz. Agrifest e Festa do Fumo: Premiações</t>
  </si>
  <si>
    <t>Folha PGTº  U.B.S.: Contib. Patron. IPE</t>
  </si>
  <si>
    <t>Folha PGTº  Farmácia Municipal: Contib. Patron. IPE</t>
  </si>
  <si>
    <t>Folha PGTº Est. Saúde Familia Chuv. ESFC:  Contib. Patron. IPE</t>
  </si>
  <si>
    <t xml:space="preserve">Folha PGTº  Atend. Odontológico: Contib. Patron. IPE     </t>
  </si>
  <si>
    <t>Folha PGTº  Atend. Pré-Natal:   Contib. Patron. IPE</t>
  </si>
  <si>
    <t>702080</t>
  </si>
  <si>
    <t>Folha PGTº Sec. Mun. Assist. Social:Contrib. Patron. IPE</t>
  </si>
  <si>
    <t>711000</t>
  </si>
  <si>
    <t>711100</t>
  </si>
  <si>
    <t>Previsão 2016</t>
  </si>
  <si>
    <t>Const., Ampl., Man. e Reforma de Creches: Obrig. Trib. e Contributivas</t>
  </si>
  <si>
    <t>Const., Ampl., Man. e Reforma de Creches: Serv. - Pessoa Fisica</t>
  </si>
  <si>
    <t>Const., Ampl., Man. e Reforma de Creches:  Serv. - Pessoa Juridica</t>
  </si>
  <si>
    <t>Impl. e Man. Telecentro Esc. Mun.: Obri. Trib. E Contributivas</t>
  </si>
  <si>
    <t>Custo de Const., Ampl. Man. e Ref. de Esc:  Obrig. Trib. e Contributivas</t>
  </si>
  <si>
    <t>Custo de Const., Ampl. Man. e Ref. de Esc: Serv. - Pessoa Fisica</t>
  </si>
  <si>
    <t>Custo de Const., Ampl. Man. e Ref. de Esc:  Serv. - Pessoa Juridica</t>
  </si>
  <si>
    <t>Custo de Inform. da Educ. Básica: Serv. - Pessoa Fisica</t>
  </si>
  <si>
    <t>Custo de Inform. da Educ. Básica: Serv. - Pessoa Juridica</t>
  </si>
  <si>
    <t>Custo de Aq. de Equip. e Veículos:  Serv. - Pessoa Fisica</t>
  </si>
  <si>
    <t>Custo de Aq. de Equip. e Veículos:  Serv. - Pessoa Juridica</t>
  </si>
  <si>
    <t>755901</t>
  </si>
  <si>
    <t>755902</t>
  </si>
  <si>
    <t>75800</t>
  </si>
  <si>
    <t>755801</t>
  </si>
  <si>
    <t>755802</t>
  </si>
  <si>
    <t>755803</t>
  </si>
  <si>
    <t>755804</t>
  </si>
  <si>
    <t>755805</t>
  </si>
  <si>
    <t>755806</t>
  </si>
  <si>
    <t>755807</t>
  </si>
  <si>
    <t>755808</t>
  </si>
  <si>
    <t>755809</t>
  </si>
  <si>
    <t>755701</t>
  </si>
  <si>
    <t>755702</t>
  </si>
  <si>
    <t>755501</t>
  </si>
  <si>
    <t>755502</t>
  </si>
  <si>
    <t>755503</t>
  </si>
  <si>
    <t>755504</t>
  </si>
  <si>
    <t>755505</t>
  </si>
  <si>
    <t>755506</t>
  </si>
  <si>
    <t>755507</t>
  </si>
  <si>
    <t>755508</t>
  </si>
  <si>
    <t>753802</t>
  </si>
  <si>
    <t>753803</t>
  </si>
  <si>
    <t>753902</t>
  </si>
  <si>
    <t>754202</t>
  </si>
  <si>
    <t>754203</t>
  </si>
  <si>
    <t>Realizado até Agosto com Projeção até Dezembro de 2015</t>
  </si>
  <si>
    <t>Ação Legislativa</t>
  </si>
  <si>
    <t>PROCESSO LEGISLATIVO</t>
  </si>
  <si>
    <t>Administração</t>
  </si>
  <si>
    <t>04.123.0000.0.000.000</t>
  </si>
  <si>
    <t>04.123.0006.0.000.000</t>
  </si>
  <si>
    <t>04.126.0000.0.000.000</t>
  </si>
  <si>
    <t>Tecnologia da Informatização</t>
  </si>
  <si>
    <t>04.126.0006.0.000.000</t>
  </si>
  <si>
    <t>04.129.0000.0.000.000</t>
  </si>
  <si>
    <t>04.129.0006.0.000.000</t>
  </si>
  <si>
    <t>04.182.0000.0.000.000</t>
  </si>
  <si>
    <t>04.182.0010.0.000.000</t>
  </si>
  <si>
    <t>08.241.0000.0.000.000</t>
  </si>
  <si>
    <t>08.241.0028.0.000.000</t>
  </si>
  <si>
    <t>08.242.0000.0.000.000</t>
  </si>
  <si>
    <t>08.242.0028.0.000.000</t>
  </si>
  <si>
    <t>08.243.0006.0.000.000</t>
  </si>
  <si>
    <t>10.122.0000.0.000.000</t>
  </si>
  <si>
    <t>10.122.0100.0.000.000</t>
  </si>
  <si>
    <t>10.302.0000.0.000.000</t>
  </si>
  <si>
    <t>10.302.0100.0.000.000</t>
  </si>
  <si>
    <t>10.303.0000.0.000.000</t>
  </si>
  <si>
    <t>10.303.0100.0.000.000</t>
  </si>
  <si>
    <t>10.304.0000.0.000.000</t>
  </si>
  <si>
    <t>10.304.0100.0.000.000</t>
  </si>
  <si>
    <t>10.305.0000.0.000.000</t>
  </si>
  <si>
    <t>10.305.0100.0.000.000</t>
  </si>
  <si>
    <t>10.306.0000.0.000.000</t>
  </si>
  <si>
    <t>10.306.0100.0.000.000</t>
  </si>
  <si>
    <t>MAIS EDUCAÇÃO</t>
  </si>
  <si>
    <t>12.361.0033.0.000.000</t>
  </si>
  <si>
    <t>MAIS TRANSPORTE ESCOLAR - ENSINO FUNDAMENTAL</t>
  </si>
  <si>
    <t>12.367.0000.0.000.000</t>
  </si>
  <si>
    <t>12.367.0017.0.000.000</t>
  </si>
  <si>
    <t>12.782.0033.0.000.000</t>
  </si>
  <si>
    <t>12.782.0034.0.000.000</t>
  </si>
  <si>
    <t>MAIS TRANSPORTE ESCOLAR - EDUCAÇÃO INFANTIL</t>
  </si>
  <si>
    <t>12.782.0035.0.000.000</t>
  </si>
  <si>
    <t>MAIS TRANSPORTE ESCOLAR - EDUCAÇÃO ESPECIAL</t>
  </si>
  <si>
    <t>12.782.0036.0.000.000</t>
  </si>
  <si>
    <t>MAIS TRANSP. ESCOLAR - EDUCAÇÃO JOVENS E ADULTOS</t>
  </si>
  <si>
    <t>12.782.0037.0.000.000</t>
  </si>
  <si>
    <t>MAIS TRANSPORTE ESCOLAR - EDUCAÇÃO SUPERIOR</t>
  </si>
  <si>
    <t>12.782.0038.0.000.000</t>
  </si>
  <si>
    <t>MAIS TRANSPORTE ESCOLAR - ENSINO MEDIO</t>
  </si>
  <si>
    <t>12.782.0039.0.000.000</t>
  </si>
  <si>
    <t>MAIS TRANSP. ESCOLAR - ENSINO PROFISSIONALIZANTE</t>
  </si>
  <si>
    <t>12.782.0040.0.000.000</t>
  </si>
  <si>
    <t>MAIS TRANSP. ESCOLAR - CURSO PREVESTIBULAR</t>
  </si>
  <si>
    <t>12.782.0041.0.000.000</t>
  </si>
  <si>
    <t>MAIS TRANSPORTE ESCOLAR - DOCENTES</t>
  </si>
  <si>
    <t>12.782.0042.0.000.000</t>
  </si>
  <si>
    <t>MAIS TRANSPORTE ESCOLAR - PNATE</t>
  </si>
  <si>
    <t>12.782.0043.0.000.000</t>
  </si>
  <si>
    <t>MAIS TRANSPORTE ESCOLAR - PEATE/RS</t>
  </si>
  <si>
    <t>13.122.0000.0.000.000</t>
  </si>
  <si>
    <t>13.122.0006.0.000.000</t>
  </si>
  <si>
    <t>15.452.0000.0.000.000</t>
  </si>
  <si>
    <t>15.452.0015.0.000.000</t>
  </si>
  <si>
    <t>MAIS QUALIDADE URBANDA  - CIDADE LIMPA</t>
  </si>
  <si>
    <t>PROGRAMAS DO P.A.C.</t>
  </si>
  <si>
    <t>18.122.0026.0.000.000</t>
  </si>
  <si>
    <t>18.541.0026.0.000.000</t>
  </si>
  <si>
    <t>20.122.0006.0.000.000</t>
  </si>
  <si>
    <t>20.126.0000.0.000.000</t>
  </si>
  <si>
    <t>20.126.0006.0.000.000</t>
  </si>
  <si>
    <t>20.608.0000.0.000.000</t>
  </si>
  <si>
    <t>Promocao da Producao Agropecuaria</t>
  </si>
  <si>
    <t>20.608.0023.0.000.000</t>
  </si>
  <si>
    <t>20.608.0024.0.000.000</t>
  </si>
  <si>
    <t>MAIS PRODUÇÃO</t>
  </si>
  <si>
    <t>20.608.0025.0.000.000</t>
  </si>
  <si>
    <t>20.608.0027.0.000.000</t>
  </si>
  <si>
    <t>20.752.0000.0.000.000</t>
  </si>
  <si>
    <t>20.752.0016.0.000.000</t>
  </si>
  <si>
    <t>MAIS INFRAESTRUTURA - RURAL</t>
  </si>
  <si>
    <t>MAIS ESTRADAS  - CONST., AMPLIAÇÃO, RECUPERAÇÃO</t>
  </si>
  <si>
    <t>27.122.0000.0.000.000</t>
  </si>
  <si>
    <t>27.122.0006.0.000.000</t>
  </si>
  <si>
    <t>27.695.0000.0.000.000</t>
  </si>
  <si>
    <t>TURISMO</t>
  </si>
  <si>
    <t>27.695.0021.0.000.000</t>
  </si>
  <si>
    <t>99.099.0002.0.000.000</t>
  </si>
  <si>
    <t>Receita De Contribuições Intra-Orçamentárias</t>
  </si>
  <si>
    <t>Receita Patrimonial - Intra-Orçamentaria</t>
  </si>
  <si>
    <t>Outras Receitas Correntes Intra-Orçamentarias</t>
  </si>
  <si>
    <t>Alienação De Bens</t>
  </si>
  <si>
    <t>Amortização De Emprestimos</t>
  </si>
  <si>
    <t>Transferências De Capital</t>
  </si>
  <si>
    <t>(R) Renúncia</t>
  </si>
  <si>
    <t>(R) Compensações</t>
  </si>
  <si>
    <t>(R) Retificações</t>
  </si>
  <si>
    <t>(R) Dedução Da Receita De Transferencia Corrente</t>
  </si>
  <si>
    <t>Recursos Vinculados</t>
  </si>
  <si>
    <t>METAS FISCAIS FIXADAS NA LDO PARA 2016 ATUALIZADA</t>
  </si>
  <si>
    <t>METAS FISCAIS FIXADAS NA LDO PARA 2016</t>
  </si>
  <si>
    <t>Valor Previsto 2016</t>
  </si>
  <si>
    <t>Despesa  do  Executivo 2016</t>
  </si>
  <si>
    <t>Despesa   do Legislativo 2016</t>
  </si>
  <si>
    <t>VALOR DA RENÚNCIA EM 2016</t>
  </si>
  <si>
    <t>Custo de Aq. de Equip. e Material Permanente: Serv. - Pessoa Fisica</t>
  </si>
  <si>
    <t>Custo de Aq. de Equip. e Material Permanente: Material De Consumo</t>
  </si>
  <si>
    <t>Custo de Aq. de Eq. e Material Perm.:  Obrig. Trib. e Contributivas</t>
  </si>
  <si>
    <t>Custo de Aq. de Equip. e Material Permanente: Serv. - Pessoa Juridica</t>
  </si>
  <si>
    <t>1155 CONS. POPULAR QUALIF. PROFISSIONAL</t>
  </si>
  <si>
    <t xml:space="preserve"> Estimativa de Valor para Desp C/Apoio a Pacientes Carentes: Outros Beneficios Assistenciais</t>
  </si>
  <si>
    <t xml:space="preserve"> Estimativa de Valor para Desp C/Apoio a Pacientes Carentes:  Servicos - Pessoa Fisica</t>
  </si>
  <si>
    <t xml:space="preserve"> Estimativa de Valor para Desp C/Apoio a PacientesCarentes:  Servicos - Pessoa Juridica</t>
  </si>
  <si>
    <t xml:space="preserve"> Estimativa de Valor para Desp C/Apoio a Pacientes Carentes:  Obrig. Trib. e Contributivas</t>
  </si>
  <si>
    <t xml:space="preserve"> Estimativa de Valor para Desp C/Apoio a Pacientes Carentes:  Serv. P. Jurídica P/Consórcio</t>
  </si>
  <si>
    <t>596 Manutenção do Conselho Municipal de Educação</t>
  </si>
  <si>
    <t>Man. Cons. Mun. Educ..: Folha PGTº Serv. Contratados</t>
  </si>
  <si>
    <t>Man. Cons. Mun. Educ..: Folha PGTº Serv. Efetivos</t>
  </si>
  <si>
    <t>306950</t>
  </si>
  <si>
    <t>306960</t>
  </si>
  <si>
    <t>Man. Cons. Mun. Educ..: Folha PGTº Obrig. Patronais</t>
  </si>
  <si>
    <t>Man. Cons. Mun. Educ..: Folha PGTº  Horas Extras</t>
  </si>
  <si>
    <t>306970</t>
  </si>
  <si>
    <t>306975</t>
  </si>
  <si>
    <t>Man. Cons. Mun. Educ.: Diárias</t>
  </si>
  <si>
    <t>306980</t>
  </si>
  <si>
    <t>Man. Cons. Mun. Educ.: Material de Consumo</t>
  </si>
  <si>
    <t>306990</t>
  </si>
  <si>
    <t>306995</t>
  </si>
  <si>
    <t>Man. Cons. Mun. Educ.: Serv. P. Fisica</t>
  </si>
  <si>
    <t>Man. Cons. Mun. Educ.: Serv. P. Jurídica</t>
  </si>
  <si>
    <t>Man. Cons. Mun. Educ.: Folha PGTº Aux. Transporte</t>
  </si>
  <si>
    <t>Man. Cons. Mun. Educ.:Obrig. Trib. e Contrib.</t>
  </si>
  <si>
    <t>Man. Cons. Mun. Educ.: Ressarcimento de Despesas</t>
  </si>
  <si>
    <t>Man. Cons. Mun. Educ.: Aq. de Eq. E Mat. Permanente</t>
  </si>
  <si>
    <t>307000</t>
  </si>
  <si>
    <t>307010</t>
  </si>
  <si>
    <t>307030</t>
  </si>
  <si>
    <t>307020</t>
  </si>
  <si>
    <t>Manutenção do Conselho Municipal de Educação</t>
  </si>
  <si>
    <t>Arrecadado     2012</t>
  </si>
  <si>
    <t>Arrecadado     2013</t>
  </si>
  <si>
    <t>Projetada           2014</t>
  </si>
  <si>
    <t>Projetada           2015</t>
  </si>
  <si>
    <t>Projetado         2016</t>
  </si>
  <si>
    <t>FUNDO DE HABITAÇÃO E DE INTERESSE SOCIAL</t>
  </si>
  <si>
    <t xml:space="preserve"> 132465, 132466</t>
  </si>
  <si>
    <t>TOTAL ORÇAMENTO PODER EXECUTIVO</t>
  </si>
  <si>
    <t>TOTAL ORÇAMENTO PODER LEGISLATIVO</t>
  </si>
  <si>
    <t>TOTAL ORÇAMENTO MUNICIPIO DE CHUVISCA</t>
  </si>
  <si>
    <t>TOTAL RESERVA DE CONTINGÊNCIA</t>
  </si>
  <si>
    <t>Totais por Recurso</t>
  </si>
  <si>
    <t>DESPESA FIXADA</t>
  </si>
  <si>
    <t>RECEITA ESTIMADA</t>
  </si>
  <si>
    <t>Recurso:</t>
  </si>
  <si>
    <t>LIVRE</t>
  </si>
  <si>
    <t>MDE</t>
  </si>
  <si>
    <t>FUNDEB</t>
  </si>
  <si>
    <t>ASPS</t>
  </si>
  <si>
    <t>ALIM. ESC. - P.N.A.E.</t>
  </si>
  <si>
    <t>Q.S.E.</t>
  </si>
  <si>
    <t>PETE</t>
  </si>
  <si>
    <t>PNATE</t>
  </si>
  <si>
    <t>CCFGS</t>
  </si>
  <si>
    <t>RECURSO PTMC</t>
  </si>
  <si>
    <t>CONSTRUCAO DE COBERTURA DE QUADRA POLIES</t>
  </si>
  <si>
    <t>FEPE</t>
  </si>
  <si>
    <t>EMENDA PARLAMENTAR MIN. TURSIMO</t>
  </si>
  <si>
    <t>PROGRAMA OASF - FEAS</t>
  </si>
  <si>
    <t>FMAS BPC</t>
  </si>
  <si>
    <t>SCFV</t>
  </si>
  <si>
    <t>MIN. SAUDE - SANEAMENTO</t>
  </si>
  <si>
    <t>IGD - SUAS</t>
  </si>
  <si>
    <t>TRANSF. EST. P/AQ. DE VAN</t>
  </si>
  <si>
    <t>TRANSF. EST. P/AQ. DE GERADOR</t>
  </si>
  <si>
    <t xml:space="preserve"> CONS. POP. P/APOIO EVENTOS CULTURAIS</t>
  </si>
  <si>
    <t>CONSULTA POPULAR 2014 - CRANS</t>
  </si>
  <si>
    <t>CONSULTA POPULAR - PMSADS</t>
  </si>
  <si>
    <t>CONS. POP.  P/QUALIF. PROFISSIONAL</t>
  </si>
  <si>
    <t>CONVÊNIOS MAPA</t>
  </si>
  <si>
    <t>CONVÊNIOS MDA</t>
  </si>
  <si>
    <t>CONSULTA POPULAR EDUCAÇÃO</t>
  </si>
  <si>
    <t>CONSULTA POPULAR CONVENIOS DIVERSOS</t>
  </si>
  <si>
    <t>CONVENIO LEI 1026/2015 - PESCA E COOP</t>
  </si>
  <si>
    <t>INCENTIVO ATENÇÃO BÁSICA - PIES</t>
  </si>
  <si>
    <t>FARMÁCIA BÁSICA</t>
  </si>
  <si>
    <t>DIABETES MELLITUS</t>
  </si>
  <si>
    <t>PROG. SAUDE MENTAL</t>
  </si>
  <si>
    <t>SAÚDE DA FAMÍLIA</t>
  </si>
  <si>
    <t>EPIDEMIOLOGIA</t>
  </si>
  <si>
    <t>REGIONALIZAÇÃO - REFORMA DE UBS</t>
  </si>
  <si>
    <t>AQUISIÇÃO AMBULÂNCIAS, CARROS, UNIDADES</t>
  </si>
  <si>
    <t>AQUISICAO DE EQUIPAMENTOS</t>
  </si>
  <si>
    <t>REFORMAS</t>
  </si>
  <si>
    <t>PAB FIXO</t>
  </si>
  <si>
    <t>PAB VARIAVEL - VIGILANCIA SANITARIA</t>
  </si>
  <si>
    <t>FARMACIA BASICA</t>
  </si>
  <si>
    <t>CADASTRO SUS - GESTAO DO SUS</t>
  </si>
  <si>
    <t>AQUISIÇÃO DE EQUIP. E MAT. PERMANENTE</t>
  </si>
  <si>
    <t>CONSTRUÇÃO OU AMPLIAÇÃO DE UBS OU UPA.</t>
  </si>
  <si>
    <t>Totais Geral:</t>
  </si>
  <si>
    <t>CONSISTÊNCIA</t>
  </si>
  <si>
    <t>PROPOSTA ORÇAMENTÁRIA 2016</t>
  </si>
  <si>
    <t>RECEITA POR FONTE</t>
  </si>
  <si>
    <t>Recusro Vinculado</t>
  </si>
  <si>
    <t>(Lei Federal 4.320/64, art. 2º, § 2º, inciso I e  Art. 8º, § 1º, inciso V e art. 12 da LDO/2016)</t>
  </si>
  <si>
    <t>(Lei Federal 4.320/64, art. 2º, § 2º, inciso I e  Art. 8º, § 1º, inciso V e art. 12da LDO/2016)</t>
  </si>
  <si>
    <t>PROPOSTA ORÇAMENTARIA PARA  O EXERCICIO DE 2016</t>
  </si>
  <si>
    <t>DEMONSTRATIVO DE COMPATIBILIDADE PROGRMAS PPA E LDO</t>
  </si>
  <si>
    <t>Função/Sub-função/Programa/Classificação / Descrição da Despesa</t>
  </si>
  <si>
    <t>GESTÃO, COORD. E PLANEJAMENTO ADMINISTRATIVO</t>
  </si>
  <si>
    <t>FUNDO MUNICIPAL DE SAÚDE  - PROGRAMAS MUNICIPAIS</t>
  </si>
  <si>
    <t>FUNDO MUNICIPAL DE SAÚDE  - PROGRAMAS ESTADUAIS</t>
  </si>
  <si>
    <t>FUNDO MUNICIPAL DE SAÚDE  - PROGRAMAS FEDERAIS</t>
  </si>
  <si>
    <t>GESTÃO, COORD. E PLANEJ. DO CONSELHO MUN. DE SAÚDE</t>
  </si>
  <si>
    <t>SECRETARIA MUNICIPAL DE ASSISTENCIA  SOCIAL</t>
  </si>
  <si>
    <t>FUNDO MUN. DE ASSIST. SOCIAL - PROG. MUNICIPAIS</t>
  </si>
  <si>
    <t>FUNDO MUN. DE ASSIST. SOCIAL - PROG. ESTADUAIS</t>
  </si>
  <si>
    <t>FUNDO MUN. DE ASSIST. SOCIAL - PROG. FEDERAIS</t>
  </si>
  <si>
    <t>FUNDO MUNICIPAL DE AGRICULTURA</t>
  </si>
  <si>
    <t xml:space="preserve">ANEXO I ART.2º LOA </t>
  </si>
  <si>
    <t>ART. 3º LOA</t>
  </si>
  <si>
    <t>ANEXO II ART.4º ORC FISC.E SEG. SOCIAL</t>
  </si>
  <si>
    <t>ORGÃO        UNIDADE     CÓDIGO</t>
  </si>
  <si>
    <t>SECRETARIA MUN. DE AGRICULTURA E MEIO AMBIENTE</t>
  </si>
  <si>
    <t>FUNDO MUNICIPAL DO MEIO AMBIENTE</t>
  </si>
  <si>
    <t>CONSELHOS MUNICIPAIS</t>
  </si>
  <si>
    <t>ENCARGOS ESPECIAIS</t>
  </si>
  <si>
    <t>SECRETARIA MUNICIPAL DE EDUCAÇÃO, CULT. E DESPORTO</t>
  </si>
  <si>
    <t>GESTÃO COORD. E PLANEJ. , MANUT. E DES. DO ENSINO</t>
  </si>
  <si>
    <t>DESENVOLVIMENTO DO ENSINO - FUNDEB</t>
  </si>
  <si>
    <t>DESENVOLVIMENTO DO ENSINO - PROGRAMAS ESTADUAIS</t>
  </si>
  <si>
    <t>DESENVOLVIMENTO DO ENSINO - PROGRAMAS FEDERAIS</t>
  </si>
  <si>
    <t>DESENVOLVIMENTO DO ENSINO - RECURSOS LIVRES</t>
  </si>
  <si>
    <t>DEPARTAMENTO DE ALIMENTAÇÃO E NUTRIÇÃO ESCOLAR</t>
  </si>
  <si>
    <t>DEPARTAMENTO DE CULTURA</t>
  </si>
  <si>
    <t>DEPARTAMENTO DE DESPORTO</t>
  </si>
  <si>
    <t>DEPARTAMENTO DE TURISMO</t>
  </si>
  <si>
    <t>GESTÃO, COORDENAÇÃO E PLANEJAMENTO ADMINISTRATIVO</t>
  </si>
  <si>
    <t>FUNDO MUN. DA CRIANÇA E DO ADOLESCENTE</t>
  </si>
  <si>
    <t>GESTÃO, COORD. E PLAN. CON. MUN. DE ASSIST. SOCIAL</t>
  </si>
  <si>
    <t>T  O  T  A  L     G E R A L</t>
  </si>
  <si>
    <t>Deduções:</t>
  </si>
  <si>
    <t>Ativo disponível</t>
  </si>
  <si>
    <t>Haveres financeiros</t>
  </si>
  <si>
    <t>(-) Restos a pagar processados</t>
  </si>
  <si>
    <t>(+) Receita de privatizações</t>
  </si>
  <si>
    <t>(-) Passivos reconhecidos</t>
  </si>
  <si>
    <t>= dívida fiscal líquida</t>
  </si>
  <si>
    <t>Apuração do Resultado Nominal</t>
  </si>
  <si>
    <t>= Total da dívida consolidada líquida</t>
  </si>
  <si>
    <t>Total da dívida consolidada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</si>
</sst>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&quot;R$&quot;\ * #,##0.00_-;\-&quot;R$&quot;\ * #,##0.00_-;_-&quot;R$&quot;\ * &quot;-&quot;??_-;_-@_-"/>
    <numFmt numFmtId="164" formatCode="&quot;R$ &quot;#,##0.00_);\(&quot;R$ &quot;#,##0.00\)"/>
    <numFmt numFmtId="165" formatCode="_(* #,##0.00_);_(* \(#,##0.00\);_(* &quot;-&quot;??_);_(@_)"/>
    <numFmt numFmtId="166" formatCode="&quot;R$ &quot;#,##0.00"/>
    <numFmt numFmtId="167" formatCode="0.000000%"/>
    <numFmt numFmtId="168" formatCode="&quot;R$ &quot;#,##0.00;[Red]&quot;R$ &quot;#,##0.00"/>
    <numFmt numFmtId="169" formatCode="0.000%"/>
    <numFmt numFmtId="170" formatCode="&quot;R$&quot;\ #,##0.00"/>
    <numFmt numFmtId="171" formatCode="0.0000%"/>
    <numFmt numFmtId="172" formatCode="#;#;\0"/>
    <numFmt numFmtId="173" formatCode="#,##0_);\(#,##0\);\-"/>
    <numFmt numFmtId="174" formatCode="0;\-0;&quot;&lt;Formato Padrão&gt;&quot;"/>
    <numFmt numFmtId="175" formatCode="00000"/>
    <numFmt numFmtId="176" formatCode="#,##0.00_);\(#,##0.00\);\-"/>
  </numFmts>
  <fonts count="1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color indexed="17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sz val="9"/>
      <color indexed="17"/>
      <name val="Arial"/>
      <family val="2"/>
    </font>
    <font>
      <b/>
      <i/>
      <sz val="11"/>
      <name val="Arial"/>
      <family val="2"/>
    </font>
    <font>
      <b/>
      <sz val="9"/>
      <color indexed="17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Arial"/>
      <family val="2"/>
    </font>
    <font>
      <sz val="14"/>
      <name val="Times New Roman"/>
      <family val="1"/>
    </font>
    <font>
      <b/>
      <sz val="12"/>
      <name val="Arial Narrow"/>
      <family val="2"/>
    </font>
    <font>
      <sz val="12"/>
      <name val="Arial Narrow"/>
      <family val="2"/>
    </font>
    <font>
      <sz val="12"/>
      <color indexed="8"/>
      <name val="Arial Narrow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"/>
      <name val="Arial"/>
      <family val="2"/>
    </font>
    <font>
      <sz val="16"/>
      <color indexed="8"/>
      <name val="Calibri"/>
      <family val="2"/>
    </font>
    <font>
      <sz val="12"/>
      <color indexed="8"/>
      <name val="Arial"/>
      <family val="2"/>
    </font>
    <font>
      <sz val="12"/>
      <color indexed="8"/>
      <name val="Calibri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4"/>
      <color indexed="8"/>
      <name val="Arial"/>
      <family val="2"/>
    </font>
    <font>
      <sz val="8"/>
      <name val="Calibri"/>
      <family val="2"/>
    </font>
    <font>
      <sz val="12"/>
      <name val="MS Sans Serif"/>
      <family val="2"/>
    </font>
    <font>
      <b/>
      <sz val="8"/>
      <name val="Times New Roman"/>
      <family val="1"/>
    </font>
    <font>
      <b/>
      <sz val="11"/>
      <color indexed="9"/>
      <name val="Arial"/>
      <family val="2"/>
    </font>
    <font>
      <b/>
      <sz val="11"/>
      <color indexed="43"/>
      <name val="Verdana"/>
      <family val="2"/>
    </font>
    <font>
      <sz val="11"/>
      <color indexed="43"/>
      <name val="Verdana"/>
      <family val="2"/>
    </font>
    <font>
      <b/>
      <sz val="11"/>
      <color indexed="57"/>
      <name val="Verdana"/>
      <family val="2"/>
    </font>
    <font>
      <sz val="8"/>
      <color indexed="8"/>
      <name val="Microsoft Sans Serif"/>
      <family val="2"/>
    </font>
    <font>
      <b/>
      <sz val="8"/>
      <color indexed="8"/>
      <name val="Microsoft Sans Serif"/>
      <family val="2"/>
    </font>
    <font>
      <b/>
      <sz val="8"/>
      <name val="Microsoft Sans Serif"/>
      <family val="2"/>
    </font>
    <font>
      <sz val="8"/>
      <color indexed="17"/>
      <name val="Microsoft Sans Serif"/>
      <family val="2"/>
    </font>
    <font>
      <sz val="8"/>
      <name val="Microsoft Sans Serif"/>
      <family val="2"/>
    </font>
    <font>
      <sz val="7"/>
      <color indexed="8"/>
      <name val="Microsoft Sans Serif"/>
      <family val="2"/>
    </font>
    <font>
      <b/>
      <sz val="10"/>
      <color indexed="8"/>
      <name val="Times New Roman"/>
      <family val="1"/>
    </font>
    <font>
      <b/>
      <sz val="8"/>
      <color indexed="8"/>
      <name val="Courier New"/>
      <family val="3"/>
    </font>
    <font>
      <sz val="8"/>
      <color indexed="8"/>
      <name val="Courier New"/>
      <family val="3"/>
    </font>
    <font>
      <b/>
      <sz val="16"/>
      <color indexed="8"/>
      <name val="Arial"/>
      <family val="2"/>
    </font>
    <font>
      <b/>
      <sz val="12"/>
      <color indexed="8"/>
      <name val="Calibri"/>
      <family val="2"/>
    </font>
    <font>
      <sz val="9"/>
      <color indexed="8"/>
      <name val="Microsoft Sans Serif"/>
      <family val="2"/>
    </font>
    <font>
      <i/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FF0000"/>
      <name val="Microsoft Sans Serif"/>
      <family val="2"/>
    </font>
    <font>
      <sz val="10"/>
      <color indexed="8"/>
      <name val="Calibri"/>
      <family val="2"/>
      <scheme val="minor"/>
    </font>
    <font>
      <sz val="8"/>
      <color theme="1"/>
      <name val="Microsoft Sans Serif"/>
      <family val="2"/>
    </font>
    <font>
      <b/>
      <sz val="8"/>
      <color theme="1"/>
      <name val="Microsoft Sans Serif"/>
      <family val="2"/>
    </font>
    <font>
      <b/>
      <sz val="8"/>
      <color rgb="FFFF0000"/>
      <name val="Microsoft Sans Serif"/>
      <family val="2"/>
    </font>
    <font>
      <sz val="11"/>
      <color rgb="FF7030A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000000"/>
      <name val="Arial"/>
      <family val="2"/>
    </font>
    <font>
      <b/>
      <sz val="14"/>
      <color indexed="8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6"/>
      <color indexed="8"/>
      <name val="Arial Narrow"/>
      <family val="2"/>
    </font>
    <font>
      <sz val="14"/>
      <color indexed="8"/>
      <name val="Calibri"/>
      <family val="2"/>
      <scheme val="minor"/>
    </font>
    <font>
      <b/>
      <sz val="14"/>
      <color indexed="8"/>
      <name val="Microsoft Sans Serif"/>
      <family val="2"/>
    </font>
    <font>
      <sz val="11"/>
      <color indexed="8"/>
      <name val="Microsoft Sans Serif"/>
      <family val="2"/>
    </font>
    <font>
      <b/>
      <sz val="14"/>
      <color indexed="8"/>
      <name val="Cambria"/>
      <family val="2"/>
      <scheme val="major"/>
    </font>
    <font>
      <sz val="10"/>
      <color indexed="8"/>
      <name val="Cambria"/>
      <family val="2"/>
      <scheme val="major"/>
    </font>
    <font>
      <sz val="8"/>
      <color indexed="8"/>
      <name val="Cambria"/>
      <family val="2"/>
      <scheme val="major"/>
    </font>
    <font>
      <sz val="11"/>
      <color indexed="8"/>
      <name val="Cambria"/>
      <family val="2"/>
      <scheme val="major"/>
    </font>
    <font>
      <b/>
      <sz val="12"/>
      <color indexed="8"/>
      <name val="Cambria"/>
      <family val="2"/>
      <scheme val="major"/>
    </font>
    <font>
      <sz val="12"/>
      <color indexed="8"/>
      <name val="Cambria"/>
      <family val="2"/>
      <scheme val="major"/>
    </font>
    <font>
      <b/>
      <sz val="10"/>
      <color indexed="8"/>
      <name val="Cambria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9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/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/>
      <top style="double">
        <color indexed="64"/>
      </top>
      <bottom style="dashed">
        <color indexed="64"/>
      </bottom>
      <diagonal/>
    </border>
    <border>
      <left style="dashed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double">
        <color indexed="64"/>
      </right>
      <top style="dashed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ashed">
        <color indexed="64"/>
      </right>
      <top/>
      <bottom style="double">
        <color indexed="64"/>
      </bottom>
      <diagonal/>
    </border>
    <border>
      <left style="dashed">
        <color indexed="64"/>
      </left>
      <right/>
      <top/>
      <bottom style="double">
        <color indexed="64"/>
      </bottom>
      <diagonal/>
    </border>
    <border>
      <left style="dashed">
        <color indexed="64"/>
      </left>
      <right/>
      <top style="double">
        <color indexed="64"/>
      </top>
      <bottom/>
      <diagonal/>
    </border>
    <border>
      <left/>
      <right style="dashed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ouble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/>
      <bottom style="thick">
        <color indexed="9"/>
      </bottom>
      <diagonal/>
    </border>
    <border>
      <left style="thin">
        <color indexed="9"/>
      </left>
      <right/>
      <top/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ouble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ouble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14" fillId="0" borderId="0"/>
    <xf numFmtId="9" fontId="2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7" fillId="0" borderId="0" applyFont="0" applyFill="0" applyBorder="0" applyAlignment="0" applyProtection="0"/>
  </cellStyleXfs>
  <cellXfs count="1532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Fill="1" applyBorder="1" applyAlignment="1"/>
    <xf numFmtId="0" fontId="0" fillId="0" borderId="0" xfId="0" applyAlignment="1"/>
    <xf numFmtId="0" fontId="0" fillId="0" borderId="0" xfId="0" applyBorder="1" applyAlignment="1">
      <alignment horizontal="center"/>
    </xf>
    <xf numFmtId="0" fontId="7" fillId="0" borderId="0" xfId="0" applyFont="1"/>
    <xf numFmtId="38" fontId="8" fillId="0" borderId="0" xfId="0" applyNumberFormat="1" applyFont="1" applyBorder="1" applyAlignment="1">
      <alignment vertic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0" fillId="0" borderId="0" xfId="0" applyFont="1"/>
    <xf numFmtId="38" fontId="9" fillId="0" borderId="0" xfId="0" applyNumberFormat="1" applyFont="1" applyFill="1" applyProtection="1">
      <protection locked="0"/>
    </xf>
    <xf numFmtId="38" fontId="9" fillId="0" borderId="0" xfId="0" applyNumberFormat="1" applyFont="1" applyFill="1" applyBorder="1" applyProtection="1">
      <protection locked="0"/>
    </xf>
    <xf numFmtId="38" fontId="9" fillId="0" borderId="0" xfId="0" applyNumberFormat="1" applyFont="1" applyAlignment="1" applyProtection="1">
      <alignment horizontal="center"/>
      <protection locked="0"/>
    </xf>
    <xf numFmtId="38" fontId="9" fillId="0" borderId="0" xfId="0" applyNumberFormat="1" applyFont="1" applyProtection="1">
      <protection locked="0"/>
    </xf>
    <xf numFmtId="166" fontId="9" fillId="0" borderId="0" xfId="0" applyNumberFormat="1" applyFont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4" fontId="0" fillId="0" borderId="0" xfId="0" applyNumberFormat="1"/>
    <xf numFmtId="0" fontId="3" fillId="0" borderId="0" xfId="0" applyFont="1"/>
    <xf numFmtId="164" fontId="3" fillId="0" borderId="0" xfId="4" applyNumberFormat="1" applyFont="1" applyBorder="1" applyAlignment="1">
      <alignment horizontal="left"/>
    </xf>
    <xf numFmtId="10" fontId="3" fillId="0" borderId="0" xfId="4" applyNumberFormat="1" applyFont="1" applyBorder="1" applyAlignment="1">
      <alignment horizontal="center"/>
    </xf>
    <xf numFmtId="10" fontId="3" fillId="0" borderId="0" xfId="4" applyNumberFormat="1" applyFont="1" applyBorder="1"/>
    <xf numFmtId="0" fontId="10" fillId="0" borderId="0" xfId="0" applyFont="1"/>
    <xf numFmtId="0" fontId="3" fillId="0" borderId="0" xfId="0" applyFont="1" applyBorder="1"/>
    <xf numFmtId="164" fontId="10" fillId="0" borderId="0" xfId="4" applyNumberFormat="1" applyFont="1" applyBorder="1" applyAlignment="1">
      <alignment horizontal="left"/>
    </xf>
    <xf numFmtId="10" fontId="10" fillId="0" borderId="0" xfId="4" applyNumberFormat="1" applyFont="1" applyBorder="1" applyAlignment="1">
      <alignment horizontal="center"/>
    </xf>
    <xf numFmtId="10" fontId="10" fillId="0" borderId="0" xfId="4" applyNumberFormat="1" applyFont="1" applyBorder="1"/>
    <xf numFmtId="0" fontId="28" fillId="0" borderId="0" xfId="0" applyFont="1"/>
    <xf numFmtId="10" fontId="0" fillId="0" borderId="0" xfId="0" applyNumberFormat="1"/>
    <xf numFmtId="0" fontId="0" fillId="0" borderId="0" xfId="0" applyFont="1"/>
    <xf numFmtId="166" fontId="0" fillId="0" borderId="0" xfId="0" applyNumberFormat="1"/>
    <xf numFmtId="166" fontId="10" fillId="0" borderId="0" xfId="0" applyNumberFormat="1" applyFont="1" applyBorder="1" applyAlignment="1" applyProtection="1">
      <alignment horizontal="left"/>
      <protection locked="0"/>
    </xf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horizontal="justify"/>
    </xf>
    <xf numFmtId="0" fontId="35" fillId="0" borderId="0" xfId="0" applyFont="1" applyAlignment="1">
      <alignment horizontal="justify"/>
    </xf>
    <xf numFmtId="0" fontId="36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168" fontId="14" fillId="0" borderId="0" xfId="0" applyNumberFormat="1" applyFont="1" applyBorder="1" applyAlignment="1">
      <alignment horizontal="left"/>
    </xf>
    <xf numFmtId="0" fontId="2" fillId="0" borderId="0" xfId="0" applyFont="1" applyBorder="1" applyAlignment="1"/>
    <xf numFmtId="4" fontId="34" fillId="0" borderId="6" xfId="0" applyNumberFormat="1" applyFont="1" applyBorder="1" applyAlignment="1">
      <alignment horizontal="left" vertical="top" wrapText="1"/>
    </xf>
    <xf numFmtId="4" fontId="34" fillId="0" borderId="7" xfId="0" applyNumberFormat="1" applyFont="1" applyBorder="1" applyAlignment="1">
      <alignment horizontal="left" vertical="top" wrapText="1"/>
    </xf>
    <xf numFmtId="0" fontId="35" fillId="0" borderId="8" xfId="0" applyFont="1" applyBorder="1" applyAlignment="1">
      <alignment horizontal="center" vertical="top" wrapText="1"/>
    </xf>
    <xf numFmtId="0" fontId="34" fillId="0" borderId="2" xfId="0" applyFont="1" applyBorder="1" applyAlignment="1">
      <alignment vertical="top" wrapText="1"/>
    </xf>
    <xf numFmtId="0" fontId="34" fillId="0" borderId="3" xfId="0" applyFont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35" fillId="0" borderId="3" xfId="0" applyFont="1" applyBorder="1" applyAlignment="1">
      <alignment vertical="top" wrapText="1"/>
    </xf>
    <xf numFmtId="4" fontId="34" fillId="0" borderId="9" xfId="0" applyNumberFormat="1" applyFont="1" applyBorder="1" applyAlignment="1">
      <alignment horizontal="left" vertical="top" wrapText="1"/>
    </xf>
    <xf numFmtId="4" fontId="34" fillId="0" borderId="10" xfId="0" applyNumberFormat="1" applyFont="1" applyBorder="1" applyAlignment="1">
      <alignment horizontal="left" vertical="top" wrapText="1"/>
    </xf>
    <xf numFmtId="39" fontId="34" fillId="0" borderId="9" xfId="0" applyNumberFormat="1" applyFont="1" applyBorder="1" applyAlignment="1">
      <alignment horizontal="left" vertical="top" wrapText="1"/>
    </xf>
    <xf numFmtId="39" fontId="34" fillId="0" borderId="6" xfId="0" applyNumberFormat="1" applyFont="1" applyBorder="1" applyAlignment="1">
      <alignment horizontal="left" vertical="top" wrapText="1"/>
    </xf>
    <xf numFmtId="0" fontId="35" fillId="0" borderId="4" xfId="0" applyFont="1" applyBorder="1" applyAlignment="1">
      <alignment horizontal="center" vertical="top" wrapText="1"/>
    </xf>
    <xf numFmtId="0" fontId="35" fillId="0" borderId="5" xfId="0" applyFont="1" applyBorder="1" applyAlignment="1">
      <alignment vertical="top" wrapText="1"/>
    </xf>
    <xf numFmtId="0" fontId="40" fillId="0" borderId="11" xfId="0" applyFont="1" applyBorder="1" applyAlignment="1">
      <alignment vertical="top" wrapText="1"/>
    </xf>
    <xf numFmtId="0" fontId="40" fillId="0" borderId="12" xfId="0" applyFont="1" applyBorder="1" applyAlignment="1">
      <alignment vertical="top" wrapText="1"/>
    </xf>
    <xf numFmtId="0" fontId="40" fillId="0" borderId="13" xfId="0" applyFont="1" applyBorder="1" applyAlignment="1">
      <alignment vertical="top" wrapText="1"/>
    </xf>
    <xf numFmtId="0" fontId="40" fillId="0" borderId="14" xfId="0" applyFont="1" applyBorder="1" applyAlignment="1">
      <alignment horizontal="center" vertical="top" wrapText="1"/>
    </xf>
    <xf numFmtId="0" fontId="40" fillId="0" borderId="15" xfId="0" applyFont="1" applyBorder="1" applyAlignment="1">
      <alignment horizontal="center" vertical="top" wrapText="1"/>
    </xf>
    <xf numFmtId="0" fontId="40" fillId="0" borderId="16" xfId="0" applyFont="1" applyBorder="1" applyAlignment="1">
      <alignment horizontal="center" vertical="top" wrapText="1"/>
    </xf>
    <xf numFmtId="0" fontId="40" fillId="0" borderId="17" xfId="0" applyFont="1" applyBorder="1" applyAlignment="1">
      <alignment vertical="top" wrapText="1"/>
    </xf>
    <xf numFmtId="0" fontId="40" fillId="0" borderId="18" xfId="0" applyFont="1" applyBorder="1" applyAlignment="1">
      <alignment horizontal="right" vertical="top" wrapText="1"/>
    </xf>
    <xf numFmtId="0" fontId="40" fillId="0" borderId="19" xfId="0" applyFont="1" applyBorder="1" applyAlignment="1">
      <alignment horizontal="right" vertical="top" wrapText="1"/>
    </xf>
    <xf numFmtId="167" fontId="0" fillId="0" borderId="0" xfId="0" applyNumberFormat="1"/>
    <xf numFmtId="167" fontId="31" fillId="0" borderId="6" xfId="0" applyNumberFormat="1" applyFont="1" applyBorder="1" applyAlignment="1">
      <alignment horizontal="left"/>
    </xf>
    <xf numFmtId="0" fontId="31" fillId="0" borderId="9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4" fontId="31" fillId="0" borderId="9" xfId="0" applyNumberFormat="1" applyFont="1" applyBorder="1" applyAlignment="1">
      <alignment horizontal="left"/>
    </xf>
    <xf numFmtId="0" fontId="33" fillId="0" borderId="10" xfId="0" applyFont="1" applyBorder="1"/>
    <xf numFmtId="4" fontId="33" fillId="0" borderId="10" xfId="0" applyNumberFormat="1" applyFont="1" applyBorder="1" applyAlignment="1">
      <alignment horizontal="left"/>
    </xf>
    <xf numFmtId="167" fontId="33" fillId="0" borderId="7" xfId="0" applyNumberFormat="1" applyFont="1" applyBorder="1"/>
    <xf numFmtId="167" fontId="33" fillId="0" borderId="6" xfId="0" applyNumberFormat="1" applyFont="1" applyBorder="1"/>
    <xf numFmtId="0" fontId="4" fillId="0" borderId="0" xfId="0" applyFont="1"/>
    <xf numFmtId="3" fontId="6" fillId="0" borderId="0" xfId="0" applyNumberFormat="1" applyFont="1"/>
    <xf numFmtId="0" fontId="17" fillId="2" borderId="0" xfId="0" applyFont="1" applyFill="1" applyBorder="1"/>
    <xf numFmtId="4" fontId="15" fillId="2" borderId="0" xfId="2" applyNumberFormat="1" applyFont="1" applyFill="1" applyBorder="1"/>
    <xf numFmtId="4" fontId="7" fillId="2" borderId="0" xfId="2" applyNumberFormat="1" applyFont="1" applyFill="1" applyBorder="1"/>
    <xf numFmtId="4" fontId="6" fillId="2" borderId="0" xfId="2" applyNumberFormat="1" applyFont="1" applyFill="1" applyBorder="1"/>
    <xf numFmtId="0" fontId="15" fillId="0" borderId="0" xfId="0" applyFont="1"/>
    <xf numFmtId="4" fontId="7" fillId="0" borderId="0" xfId="0" applyNumberFormat="1" applyFont="1" applyBorder="1"/>
    <xf numFmtId="0" fontId="18" fillId="0" borderId="0" xfId="0" applyFont="1" applyAlignment="1">
      <alignment horizontal="right"/>
    </xf>
    <xf numFmtId="0" fontId="6" fillId="0" borderId="0" xfId="0" applyFont="1" applyFill="1"/>
    <xf numFmtId="0" fontId="19" fillId="0" borderId="0" xfId="0" applyFont="1"/>
    <xf numFmtId="0" fontId="17" fillId="0" borderId="0" xfId="0" applyFont="1"/>
    <xf numFmtId="0" fontId="20" fillId="0" borderId="21" xfId="0" applyFont="1" applyBorder="1" applyAlignment="1"/>
    <xf numFmtId="0" fontId="20" fillId="0" borderId="22" xfId="0" applyFont="1" applyBorder="1" applyAlignment="1"/>
    <xf numFmtId="0" fontId="21" fillId="0" borderId="21" xfId="0" applyFont="1" applyBorder="1" applyAlignment="1"/>
    <xf numFmtId="0" fontId="21" fillId="0" borderId="22" xfId="0" applyFont="1" applyBorder="1" applyAlignment="1"/>
    <xf numFmtId="38" fontId="20" fillId="0" borderId="21" xfId="0" applyNumberFormat="1" applyFont="1" applyBorder="1" applyAlignment="1"/>
    <xf numFmtId="4" fontId="0" fillId="0" borderId="6" xfId="0" applyNumberFormat="1" applyBorder="1"/>
    <xf numFmtId="4" fontId="0" fillId="0" borderId="7" xfId="0" applyNumberFormat="1" applyBorder="1"/>
    <xf numFmtId="0" fontId="0" fillId="0" borderId="9" xfId="0" applyBorder="1" applyAlignment="1">
      <alignment horizontal="center"/>
    </xf>
    <xf numFmtId="4" fontId="0" fillId="0" borderId="9" xfId="0" applyNumberFormat="1" applyBorder="1"/>
    <xf numFmtId="4" fontId="0" fillId="0" borderId="10" xfId="0" applyNumberFormat="1" applyBorder="1"/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3" fontId="0" fillId="0" borderId="9" xfId="0" applyNumberFormat="1" applyBorder="1" applyAlignment="1">
      <alignment horizontal="left"/>
    </xf>
    <xf numFmtId="0" fontId="31" fillId="0" borderId="2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38" fontId="22" fillId="0" borderId="23" xfId="0" applyNumberFormat="1" applyFont="1" applyBorder="1" applyAlignment="1">
      <alignment horizontal="center"/>
    </xf>
    <xf numFmtId="38" fontId="22" fillId="0" borderId="21" xfId="0" applyNumberFormat="1" applyFont="1" applyBorder="1" applyAlignment="1">
      <alignment horizontal="center"/>
    </xf>
    <xf numFmtId="0" fontId="3" fillId="0" borderId="0" xfId="0" applyFont="1" applyBorder="1" applyAlignment="1"/>
    <xf numFmtId="38" fontId="22" fillId="0" borderId="21" xfId="0" applyNumberFormat="1" applyFont="1" applyBorder="1" applyAlignment="1"/>
    <xf numFmtId="0" fontId="2" fillId="0" borderId="0" xfId="0" applyFont="1" applyAlignment="1"/>
    <xf numFmtId="39" fontId="35" fillId="0" borderId="9" xfId="0" applyNumberFormat="1" applyFont="1" applyBorder="1" applyAlignment="1">
      <alignment horizontal="left" vertical="top" wrapText="1"/>
    </xf>
    <xf numFmtId="39" fontId="35" fillId="0" borderId="6" xfId="0" applyNumberFormat="1" applyFont="1" applyBorder="1" applyAlignment="1">
      <alignment horizontal="left" vertical="top" wrapText="1"/>
    </xf>
    <xf numFmtId="39" fontId="35" fillId="0" borderId="10" xfId="0" applyNumberFormat="1" applyFont="1" applyBorder="1" applyAlignment="1">
      <alignment horizontal="left" vertical="top" wrapText="1"/>
    </xf>
    <xf numFmtId="39" fontId="35" fillId="0" borderId="7" xfId="0" applyNumberFormat="1" applyFont="1" applyBorder="1" applyAlignment="1">
      <alignment horizontal="left" vertical="top" wrapText="1"/>
    </xf>
    <xf numFmtId="0" fontId="0" fillId="0" borderId="0" xfId="0" applyAlignment="1">
      <alignment horizontal="right"/>
    </xf>
    <xf numFmtId="0" fontId="35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167" fontId="31" fillId="0" borderId="8" xfId="0" applyNumberFormat="1" applyFont="1" applyBorder="1" applyAlignment="1">
      <alignment horizontal="center"/>
    </xf>
    <xf numFmtId="0" fontId="66" fillId="0" borderId="0" xfId="0" applyFont="1"/>
    <xf numFmtId="0" fontId="67" fillId="0" borderId="0" xfId="0" applyFont="1"/>
    <xf numFmtId="0" fontId="13" fillId="0" borderId="0" xfId="0" applyFont="1"/>
    <xf numFmtId="0" fontId="47" fillId="0" borderId="0" xfId="0" applyFont="1" applyAlignment="1"/>
    <xf numFmtId="0" fontId="16" fillId="0" borderId="12" xfId="0" applyFont="1" applyBorder="1" applyAlignment="1">
      <alignment horizontal="center" vertical="top" wrapText="1"/>
    </xf>
    <xf numFmtId="0" fontId="48" fillId="0" borderId="21" xfId="0" applyFont="1" applyBorder="1" applyAlignment="1"/>
    <xf numFmtId="0" fontId="48" fillId="0" borderId="22" xfId="0" applyFont="1" applyBorder="1" applyAlignment="1"/>
    <xf numFmtId="0" fontId="26" fillId="7" borderId="0" xfId="0" applyFont="1" applyFill="1"/>
    <xf numFmtId="0" fontId="44" fillId="7" borderId="0" xfId="0" applyFont="1" applyFill="1"/>
    <xf numFmtId="0" fontId="44" fillId="7" borderId="0" xfId="0" applyFont="1" applyFill="1" applyAlignment="1">
      <alignment horizontal="left"/>
    </xf>
    <xf numFmtId="0" fontId="25" fillId="7" borderId="0" xfId="0" applyFont="1" applyFill="1" applyBorder="1"/>
    <xf numFmtId="0" fontId="25" fillId="7" borderId="0" xfId="0" applyFont="1" applyFill="1" applyBorder="1" applyProtection="1">
      <protection locked="0"/>
    </xf>
    <xf numFmtId="10" fontId="25" fillId="7" borderId="0" xfId="0" applyNumberFormat="1" applyFont="1" applyFill="1" applyBorder="1" applyAlignment="1" applyProtection="1">
      <alignment horizontal="left"/>
      <protection locked="0"/>
    </xf>
    <xf numFmtId="10" fontId="25" fillId="7" borderId="0" xfId="0" applyNumberFormat="1" applyFont="1" applyFill="1" applyBorder="1" applyAlignment="1">
      <alignment horizontal="left"/>
    </xf>
    <xf numFmtId="166" fontId="25" fillId="7" borderId="0" xfId="0" applyNumberFormat="1" applyFont="1" applyFill="1" applyBorder="1" applyAlignment="1">
      <alignment horizontal="left"/>
    </xf>
    <xf numFmtId="0" fontId="26" fillId="7" borderId="0" xfId="0" applyFont="1" applyFill="1" applyBorder="1"/>
    <xf numFmtId="0" fontId="25" fillId="7" borderId="0" xfId="0" applyFont="1" applyFill="1" applyBorder="1" applyAlignment="1">
      <alignment horizontal="left"/>
    </xf>
    <xf numFmtId="171" fontId="25" fillId="7" borderId="0" xfId="0" applyNumberFormat="1" applyFont="1" applyFill="1" applyBorder="1" applyAlignment="1">
      <alignment horizontal="left"/>
    </xf>
    <xf numFmtId="0" fontId="25" fillId="7" borderId="0" xfId="0" applyFont="1" applyFill="1" applyBorder="1" applyAlignment="1" applyProtection="1">
      <alignment horizontal="left"/>
      <protection locked="0"/>
    </xf>
    <xf numFmtId="0" fontId="26" fillId="7" borderId="0" xfId="0" applyFont="1" applyFill="1" applyBorder="1" applyAlignment="1">
      <alignment wrapText="1"/>
    </xf>
    <xf numFmtId="166" fontId="25" fillId="7" borderId="0" xfId="3" applyNumberFormat="1" applyFont="1" applyFill="1" applyBorder="1" applyAlignment="1">
      <alignment horizontal="left" vertical="center"/>
    </xf>
    <xf numFmtId="166" fontId="26" fillId="7" borderId="0" xfId="0" applyNumberFormat="1" applyFont="1" applyFill="1" applyBorder="1" applyAlignment="1">
      <alignment horizontal="left"/>
    </xf>
    <xf numFmtId="0" fontId="43" fillId="7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35" fillId="0" borderId="0" xfId="0" applyFont="1" applyBorder="1" applyAlignment="1">
      <alignment horizontal="left" vertical="top" wrapText="1"/>
    </xf>
    <xf numFmtId="0" fontId="35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top" wrapText="1"/>
    </xf>
    <xf numFmtId="0" fontId="0" fillId="0" borderId="0" xfId="0" applyFont="1" applyBorder="1" applyAlignment="1"/>
    <xf numFmtId="0" fontId="49" fillId="3" borderId="24" xfId="0" applyFont="1" applyFill="1" applyBorder="1" applyAlignment="1">
      <alignment wrapText="1"/>
    </xf>
    <xf numFmtId="0" fontId="49" fillId="3" borderId="25" xfId="0" applyFont="1" applyFill="1" applyBorder="1" applyAlignment="1">
      <alignment wrapText="1"/>
    </xf>
    <xf numFmtId="0" fontId="49" fillId="3" borderId="25" xfId="0" applyFont="1" applyFill="1" applyBorder="1" applyAlignment="1">
      <alignment horizontal="center" wrapText="1"/>
    </xf>
    <xf numFmtId="0" fontId="13" fillId="2" borderId="26" xfId="0" applyFont="1" applyFill="1" applyBorder="1"/>
    <xf numFmtId="0" fontId="13" fillId="2" borderId="27" xfId="0" applyFont="1" applyFill="1" applyBorder="1" applyAlignment="1">
      <alignment horizontal="center" wrapText="1"/>
    </xf>
    <xf numFmtId="0" fontId="52" fillId="4" borderId="0" xfId="0" applyFont="1" applyFill="1" applyAlignment="1">
      <alignment wrapText="1"/>
    </xf>
    <xf numFmtId="3" fontId="52" fillId="4" borderId="0" xfId="0" applyNumberFormat="1" applyFont="1" applyFill="1" applyAlignment="1">
      <alignment horizontal="right" wrapText="1"/>
    </xf>
    <xf numFmtId="0" fontId="52" fillId="4" borderId="0" xfId="0" applyFont="1" applyFill="1" applyAlignment="1">
      <alignment horizontal="right" wrapText="1"/>
    </xf>
    <xf numFmtId="170" fontId="9" fillId="0" borderId="0" xfId="0" applyNumberFormat="1" applyFont="1" applyFill="1" applyProtection="1">
      <protection locked="0"/>
    </xf>
    <xf numFmtId="170" fontId="9" fillId="0" borderId="0" xfId="0" applyNumberFormat="1" applyFont="1" applyFill="1" applyBorder="1" applyProtection="1">
      <protection locked="0"/>
    </xf>
    <xf numFmtId="0" fontId="25" fillId="7" borderId="0" xfId="0" applyFont="1" applyFill="1" applyBorder="1" applyAlignment="1"/>
    <xf numFmtId="0" fontId="25" fillId="7" borderId="0" xfId="0" applyFont="1" applyFill="1" applyBorder="1" applyAlignment="1" applyProtection="1">
      <protection locked="0"/>
    </xf>
    <xf numFmtId="0" fontId="68" fillId="0" borderId="0" xfId="0" applyNumberFormat="1" applyFont="1" applyAlignment="1" applyProtection="1">
      <alignment horizontal="left"/>
      <protection locked="0"/>
    </xf>
    <xf numFmtId="170" fontId="35" fillId="0" borderId="0" xfId="0" applyNumberFormat="1" applyFont="1" applyBorder="1" applyAlignment="1">
      <alignment horizontal="left" vertical="top" wrapText="1"/>
    </xf>
    <xf numFmtId="0" fontId="0" fillId="0" borderId="0" xfId="0" applyAlignment="1">
      <alignment vertical="top"/>
    </xf>
    <xf numFmtId="167" fontId="13" fillId="2" borderId="27" xfId="0" applyNumberFormat="1" applyFont="1" applyFill="1" applyBorder="1" applyAlignment="1">
      <alignment horizontal="center" wrapText="1"/>
    </xf>
    <xf numFmtId="38" fontId="9" fillId="0" borderId="0" xfId="0" applyNumberFormat="1" applyFont="1" applyAlignment="1" applyProtection="1">
      <alignment horizontal="left"/>
      <protection locked="0"/>
    </xf>
    <xf numFmtId="166" fontId="57" fillId="8" borderId="0" xfId="0" applyNumberFormat="1" applyFont="1" applyFill="1" applyBorder="1" applyAlignment="1" applyProtection="1">
      <alignment horizontal="left"/>
      <protection locked="0"/>
    </xf>
    <xf numFmtId="166" fontId="69" fillId="8" borderId="0" xfId="0" applyNumberFormat="1" applyFont="1" applyFill="1" applyBorder="1" applyAlignment="1" applyProtection="1">
      <alignment horizontal="left"/>
      <protection locked="0"/>
    </xf>
    <xf numFmtId="0" fontId="70" fillId="0" borderId="0" xfId="0" applyFont="1" applyAlignment="1">
      <alignment vertical="top"/>
    </xf>
    <xf numFmtId="38" fontId="56" fillId="8" borderId="0" xfId="0" applyNumberFormat="1" applyFont="1" applyFill="1" applyProtection="1">
      <protection locked="0"/>
    </xf>
    <xf numFmtId="38" fontId="56" fillId="8" borderId="0" xfId="0" applyNumberFormat="1" applyFont="1" applyFill="1" applyBorder="1" applyProtection="1">
      <protection locked="0"/>
    </xf>
    <xf numFmtId="0" fontId="71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/>
    </xf>
    <xf numFmtId="0" fontId="54" fillId="8" borderId="0" xfId="0" applyFont="1" applyFill="1" applyAlignment="1">
      <alignment horizontal="left" vertical="top" wrapText="1"/>
    </xf>
    <xf numFmtId="0" fontId="54" fillId="8" borderId="0" xfId="0" applyFont="1" applyFill="1" applyAlignment="1">
      <alignment horizontal="left" vertical="top" wrapText="1" readingOrder="1"/>
    </xf>
    <xf numFmtId="4" fontId="71" fillId="8" borderId="0" xfId="0" applyNumberFormat="1" applyFont="1" applyFill="1" applyAlignment="1">
      <alignment vertical="top"/>
    </xf>
    <xf numFmtId="3" fontId="53" fillId="8" borderId="0" xfId="0" applyNumberFormat="1" applyFont="1" applyFill="1" applyAlignment="1">
      <alignment horizontal="center" vertical="top"/>
    </xf>
    <xf numFmtId="0" fontId="53" fillId="8" borderId="0" xfId="0" applyFont="1" applyFill="1" applyAlignment="1">
      <alignment horizontal="left" vertical="top"/>
    </xf>
    <xf numFmtId="172" fontId="53" fillId="8" borderId="0" xfId="0" applyNumberFormat="1" applyFont="1" applyFill="1" applyAlignment="1">
      <alignment vertical="top"/>
    </xf>
    <xf numFmtId="0" fontId="53" fillId="8" borderId="0" xfId="0" applyFont="1" applyFill="1" applyAlignment="1">
      <alignment horizontal="left" vertical="top" wrapText="1"/>
    </xf>
    <xf numFmtId="3" fontId="53" fillId="8" borderId="0" xfId="0" applyNumberFormat="1" applyFont="1" applyFill="1" applyAlignment="1">
      <alignment horizontal="left" vertical="top"/>
    </xf>
    <xf numFmtId="166" fontId="71" fillId="8" borderId="0" xfId="0" applyNumberFormat="1" applyFont="1" applyFill="1" applyAlignment="1">
      <alignment vertical="top"/>
    </xf>
    <xf numFmtId="172" fontId="71" fillId="8" borderId="0" xfId="0" applyNumberFormat="1" applyFont="1" applyFill="1" applyAlignment="1">
      <alignment vertical="top"/>
    </xf>
    <xf numFmtId="166" fontId="71" fillId="8" borderId="0" xfId="0" applyNumberFormat="1" applyFont="1" applyFill="1" applyBorder="1" applyAlignment="1" applyProtection="1">
      <alignment horizontal="left"/>
      <protection locked="0"/>
    </xf>
    <xf numFmtId="3" fontId="71" fillId="8" borderId="0" xfId="0" applyNumberFormat="1" applyFont="1" applyFill="1" applyAlignment="1">
      <alignment horizontal="left" vertical="top"/>
    </xf>
    <xf numFmtId="0" fontId="53" fillId="8" borderId="0" xfId="0" applyFont="1" applyFill="1" applyAlignment="1">
      <alignment horizontal="left" vertical="top" wrapText="1" readingOrder="1"/>
    </xf>
    <xf numFmtId="0" fontId="71" fillId="8" borderId="0" xfId="0" applyFont="1" applyFill="1" applyAlignment="1">
      <alignment horizontal="center" vertical="top"/>
    </xf>
    <xf numFmtId="166" fontId="55" fillId="8" borderId="0" xfId="0" applyNumberFormat="1" applyFont="1" applyFill="1" applyBorder="1" applyAlignment="1" applyProtection="1">
      <alignment horizontal="left"/>
      <protection locked="0"/>
    </xf>
    <xf numFmtId="3" fontId="69" fillId="8" borderId="0" xfId="0" applyNumberFormat="1" applyFont="1" applyFill="1" applyAlignment="1">
      <alignment horizontal="center" vertical="top"/>
    </xf>
    <xf numFmtId="0" fontId="69" fillId="8" borderId="0" xfId="0" applyFont="1" applyFill="1" applyAlignment="1">
      <alignment vertical="top"/>
    </xf>
    <xf numFmtId="0" fontId="69" fillId="8" borderId="0" xfId="0" applyFont="1" applyFill="1" applyAlignment="1">
      <alignment horizontal="left" vertical="top"/>
    </xf>
    <xf numFmtId="172" fontId="69" fillId="8" borderId="0" xfId="0" applyNumberFormat="1" applyFont="1" applyFill="1" applyAlignment="1">
      <alignment vertical="top"/>
    </xf>
    <xf numFmtId="0" fontId="69" fillId="8" borderId="0" xfId="0" applyFont="1" applyFill="1" applyAlignment="1">
      <alignment horizontal="left" vertical="top" wrapText="1"/>
    </xf>
    <xf numFmtId="3" fontId="69" fillId="8" borderId="0" xfId="0" applyNumberFormat="1" applyFont="1" applyFill="1" applyAlignment="1">
      <alignment horizontal="left" vertical="top"/>
    </xf>
    <xf numFmtId="3" fontId="54" fillId="8" borderId="0" xfId="0" applyNumberFormat="1" applyFont="1" applyFill="1" applyAlignment="1">
      <alignment horizontal="center" vertical="top"/>
    </xf>
    <xf numFmtId="0" fontId="72" fillId="8" borderId="0" xfId="0" applyFont="1" applyFill="1" applyAlignment="1">
      <alignment vertical="top"/>
    </xf>
    <xf numFmtId="0" fontId="54" fillId="8" borderId="0" xfId="0" applyFont="1" applyFill="1" applyAlignment="1">
      <alignment horizontal="left" vertical="top"/>
    </xf>
    <xf numFmtId="172" fontId="54" fillId="8" borderId="0" xfId="0" applyNumberFormat="1" applyFont="1" applyFill="1" applyAlignment="1">
      <alignment vertical="top"/>
    </xf>
    <xf numFmtId="3" fontId="54" fillId="8" borderId="0" xfId="0" applyNumberFormat="1" applyFont="1" applyFill="1" applyAlignment="1">
      <alignment horizontal="left" vertical="top"/>
    </xf>
    <xf numFmtId="0" fontId="72" fillId="8" borderId="0" xfId="0" applyFont="1" applyFill="1" applyAlignment="1">
      <alignment horizontal="left" vertical="top"/>
    </xf>
    <xf numFmtId="4" fontId="72" fillId="8" borderId="0" xfId="0" applyNumberFormat="1" applyFont="1" applyFill="1" applyAlignment="1">
      <alignment vertical="top"/>
    </xf>
    <xf numFmtId="0" fontId="72" fillId="8" borderId="0" xfId="0" applyFont="1" applyFill="1" applyAlignment="1">
      <alignment horizontal="center" vertical="top"/>
    </xf>
    <xf numFmtId="166" fontId="72" fillId="8" borderId="0" xfId="0" applyNumberFormat="1" applyFont="1" applyFill="1" applyAlignment="1">
      <alignment vertical="top"/>
    </xf>
    <xf numFmtId="4" fontId="55" fillId="8" borderId="0" xfId="0" applyNumberFormat="1" applyFont="1" applyFill="1" applyBorder="1" applyAlignment="1" applyProtection="1">
      <alignment horizontal="left"/>
      <protection locked="0"/>
    </xf>
    <xf numFmtId="3" fontId="73" fillId="8" borderId="0" xfId="0" applyNumberFormat="1" applyFont="1" applyFill="1" applyAlignment="1">
      <alignment horizontal="center" vertical="top"/>
    </xf>
    <xf numFmtId="0" fontId="73" fillId="8" borderId="0" xfId="0" applyFont="1" applyFill="1" applyAlignment="1">
      <alignment vertical="top"/>
    </xf>
    <xf numFmtId="0" fontId="73" fillId="8" borderId="0" xfId="0" applyFont="1" applyFill="1" applyAlignment="1">
      <alignment horizontal="left" vertical="top"/>
    </xf>
    <xf numFmtId="172" fontId="73" fillId="8" borderId="0" xfId="0" applyNumberFormat="1" applyFont="1" applyFill="1" applyAlignment="1">
      <alignment vertical="top"/>
    </xf>
    <xf numFmtId="0" fontId="73" fillId="8" borderId="0" xfId="0" applyFont="1" applyFill="1" applyAlignment="1">
      <alignment horizontal="left" vertical="top" wrapText="1"/>
    </xf>
    <xf numFmtId="166" fontId="73" fillId="8" borderId="0" xfId="0" applyNumberFormat="1" applyFont="1" applyFill="1" applyBorder="1" applyAlignment="1" applyProtection="1">
      <alignment horizontal="left"/>
      <protection locked="0"/>
    </xf>
    <xf numFmtId="3" fontId="73" fillId="8" borderId="0" xfId="0" applyNumberFormat="1" applyFont="1" applyFill="1" applyAlignment="1">
      <alignment horizontal="left" vertical="top"/>
    </xf>
    <xf numFmtId="0" fontId="72" fillId="8" borderId="0" xfId="0" applyFont="1" applyFill="1" applyAlignment="1">
      <alignment horizontal="right" vertical="top"/>
    </xf>
    <xf numFmtId="4" fontId="72" fillId="8" borderId="0" xfId="0" applyNumberFormat="1" applyFont="1" applyFill="1" applyAlignment="1">
      <alignment horizontal="left" vertical="top"/>
    </xf>
    <xf numFmtId="166" fontId="54" fillId="8" borderId="0" xfId="0" applyNumberFormat="1" applyFont="1" applyFill="1" applyAlignment="1">
      <alignment horizontal="left" vertical="top" wrapText="1"/>
    </xf>
    <xf numFmtId="166" fontId="55" fillId="9" borderId="0" xfId="0" applyNumberFormat="1" applyFont="1" applyFill="1" applyBorder="1" applyAlignment="1" applyProtection="1">
      <alignment horizontal="left"/>
      <protection locked="0"/>
    </xf>
    <xf numFmtId="166" fontId="72" fillId="8" borderId="0" xfId="0" applyNumberFormat="1" applyFont="1" applyFill="1" applyAlignment="1">
      <alignment horizontal="left" vertical="top"/>
    </xf>
    <xf numFmtId="4" fontId="54" fillId="8" borderId="0" xfId="0" applyNumberFormat="1" applyFont="1" applyFill="1" applyAlignment="1">
      <alignment horizontal="left" vertical="top" wrapText="1"/>
    </xf>
    <xf numFmtId="170" fontId="55" fillId="8" borderId="0" xfId="0" applyNumberFormat="1" applyFont="1" applyFill="1" applyBorder="1" applyAlignment="1" applyProtection="1">
      <alignment horizontal="left"/>
      <protection locked="0"/>
    </xf>
    <xf numFmtId="0" fontId="55" fillId="10" borderId="0" xfId="0" applyFont="1" applyFill="1" applyBorder="1" applyAlignment="1" applyProtection="1">
      <alignment vertical="center"/>
      <protection locked="0"/>
    </xf>
    <xf numFmtId="0" fontId="72" fillId="10" borderId="0" xfId="0" applyFont="1" applyFill="1" applyBorder="1" applyAlignment="1" applyProtection="1">
      <alignment vertical="center"/>
      <protection locked="0"/>
    </xf>
    <xf numFmtId="166" fontId="72" fillId="8" borderId="0" xfId="0" applyNumberFormat="1" applyFont="1" applyFill="1" applyBorder="1" applyAlignment="1" applyProtection="1">
      <alignment horizontal="left"/>
      <protection locked="0"/>
    </xf>
    <xf numFmtId="3" fontId="72" fillId="8" borderId="0" xfId="0" applyNumberFormat="1" applyFont="1" applyFill="1" applyAlignment="1">
      <alignment horizontal="left" vertical="top"/>
    </xf>
    <xf numFmtId="3" fontId="72" fillId="8" borderId="0" xfId="0" applyNumberFormat="1" applyFont="1" applyFill="1" applyAlignment="1">
      <alignment horizontal="center" vertical="top"/>
    </xf>
    <xf numFmtId="0" fontId="72" fillId="8" borderId="0" xfId="0" applyFont="1" applyFill="1" applyAlignment="1">
      <alignment horizontal="left" vertical="top" wrapText="1"/>
    </xf>
    <xf numFmtId="0" fontId="55" fillId="8" borderId="0" xfId="0" applyFont="1" applyFill="1" applyAlignment="1">
      <alignment vertical="top"/>
    </xf>
    <xf numFmtId="0" fontId="34" fillId="0" borderId="29" xfId="0" applyFont="1" applyBorder="1" applyAlignment="1">
      <alignment horizontal="left" vertical="center" wrapText="1"/>
    </xf>
    <xf numFmtId="0" fontId="35" fillId="0" borderId="30" xfId="0" applyFont="1" applyBorder="1" applyAlignment="1">
      <alignment vertical="center" wrapText="1"/>
    </xf>
    <xf numFmtId="0" fontId="34" fillId="0" borderId="31" xfId="0" applyFont="1" applyBorder="1" applyAlignment="1">
      <alignment vertical="center" wrapText="1"/>
    </xf>
    <xf numFmtId="0" fontId="13" fillId="0" borderId="29" xfId="0" applyFont="1" applyBorder="1" applyAlignment="1">
      <alignment horizontal="left" vertical="center" wrapText="1"/>
    </xf>
    <xf numFmtId="9" fontId="34" fillId="0" borderId="29" xfId="0" applyNumberFormat="1" applyFont="1" applyBorder="1" applyAlignment="1">
      <alignment horizontal="left" vertical="center" wrapText="1"/>
    </xf>
    <xf numFmtId="0" fontId="44" fillId="7" borderId="28" xfId="0" applyFont="1" applyFill="1" applyBorder="1" applyAlignment="1">
      <alignment horizontal="center" vertical="center" wrapText="1"/>
    </xf>
    <xf numFmtId="0" fontId="24" fillId="7" borderId="28" xfId="0" applyFont="1" applyFill="1" applyBorder="1" applyAlignment="1">
      <alignment horizontal="center" vertical="center"/>
    </xf>
    <xf numFmtId="0" fontId="44" fillId="7" borderId="28" xfId="0" applyFont="1" applyFill="1" applyBorder="1" applyAlignment="1">
      <alignment horizontal="center" vertical="center"/>
    </xf>
    <xf numFmtId="0" fontId="74" fillId="0" borderId="0" xfId="0" applyFont="1"/>
    <xf numFmtId="0" fontId="24" fillId="7" borderId="0" xfId="0" applyFont="1" applyFill="1" applyBorder="1" applyAlignment="1">
      <alignment horizontal="left"/>
    </xf>
    <xf numFmtId="0" fontId="44" fillId="7" borderId="0" xfId="0" applyFont="1" applyFill="1" applyBorder="1" applyAlignment="1">
      <alignment wrapText="1"/>
    </xf>
    <xf numFmtId="0" fontId="75" fillId="0" borderId="0" xfId="0" applyFont="1" applyAlignment="1">
      <alignment vertical="top"/>
    </xf>
    <xf numFmtId="0" fontId="35" fillId="0" borderId="29" xfId="0" applyFont="1" applyBorder="1" applyAlignment="1">
      <alignment horizontal="left" vertical="center" wrapText="1"/>
    </xf>
    <xf numFmtId="0" fontId="66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Border="1" applyAlignment="1">
      <alignment vertical="top"/>
    </xf>
    <xf numFmtId="44" fontId="0" fillId="0" borderId="0" xfId="0" applyNumberFormat="1" applyFont="1" applyBorder="1" applyAlignment="1">
      <alignment vertical="top"/>
    </xf>
    <xf numFmtId="0" fontId="0" fillId="0" borderId="0" xfId="0"/>
    <xf numFmtId="44" fontId="35" fillId="0" borderId="6" xfId="0" applyNumberFormat="1" applyFont="1" applyBorder="1" applyAlignment="1">
      <alignment horizontal="left" vertical="top" wrapText="1"/>
    </xf>
    <xf numFmtId="44" fontId="34" fillId="0" borderId="9" xfId="0" applyNumberFormat="1" applyFont="1" applyBorder="1" applyAlignment="1">
      <alignment horizontal="left" vertical="top" wrapText="1"/>
    </xf>
    <xf numFmtId="44" fontId="34" fillId="0" borderId="6" xfId="0" applyNumberFormat="1" applyFont="1" applyBorder="1" applyAlignment="1">
      <alignment horizontal="left" vertical="top" wrapText="1"/>
    </xf>
    <xf numFmtId="44" fontId="35" fillId="0" borderId="9" xfId="0" applyNumberFormat="1" applyFont="1" applyBorder="1" applyAlignment="1">
      <alignment horizontal="left" vertical="top" wrapText="1"/>
    </xf>
    <xf numFmtId="44" fontId="35" fillId="0" borderId="10" xfId="0" applyNumberFormat="1" applyFont="1" applyBorder="1" applyAlignment="1">
      <alignment horizontal="left" vertical="top" wrapText="1"/>
    </xf>
    <xf numFmtId="44" fontId="35" fillId="0" borderId="7" xfId="0" applyNumberFormat="1" applyFont="1" applyBorder="1" applyAlignment="1">
      <alignment horizontal="left" vertical="top" wrapText="1"/>
    </xf>
    <xf numFmtId="0" fontId="34" fillId="0" borderId="52" xfId="0" applyFont="1" applyBorder="1" applyAlignment="1">
      <alignment horizontal="left" vertical="center" wrapText="1"/>
    </xf>
    <xf numFmtId="0" fontId="25" fillId="7" borderId="28" xfId="0" applyFont="1" applyFill="1" applyBorder="1" applyAlignment="1">
      <alignment vertical="center"/>
    </xf>
    <xf numFmtId="0" fontId="24" fillId="7" borderId="28" xfId="0" applyFont="1" applyFill="1" applyBorder="1" applyAlignment="1">
      <alignment horizontal="left" vertical="center"/>
    </xf>
    <xf numFmtId="166" fontId="24" fillId="7" borderId="0" xfId="0" applyNumberFormat="1" applyFont="1" applyFill="1" applyBorder="1" applyAlignment="1">
      <alignment horizontal="left"/>
    </xf>
    <xf numFmtId="0" fontId="78" fillId="5" borderId="0" xfId="0" applyFont="1" applyFill="1" applyAlignment="1">
      <alignment vertical="top"/>
    </xf>
    <xf numFmtId="0" fontId="80" fillId="0" borderId="0" xfId="0" applyFont="1" applyAlignment="1">
      <alignment vertical="top"/>
    </xf>
    <xf numFmtId="0" fontId="81" fillId="0" borderId="54" xfId="0" applyFont="1" applyBorder="1" applyAlignment="1">
      <alignment horizontal="center" vertical="top" wrapText="1" readingOrder="1"/>
    </xf>
    <xf numFmtId="0" fontId="81" fillId="0" borderId="55" xfId="0" applyFont="1" applyBorder="1" applyAlignment="1">
      <alignment horizontal="center" vertical="top" wrapText="1" readingOrder="1"/>
    </xf>
    <xf numFmtId="0" fontId="83" fillId="0" borderId="0" xfId="0" applyFont="1" applyAlignment="1">
      <alignment vertical="top"/>
    </xf>
    <xf numFmtId="0" fontId="82" fillId="0" borderId="0" xfId="0" applyFont="1" applyAlignment="1">
      <alignment horizontal="center" vertical="top"/>
    </xf>
    <xf numFmtId="0" fontId="83" fillId="0" borderId="0" xfId="0" applyFont="1" applyAlignment="1">
      <alignment vertical="top" wrapText="1" readingOrder="1"/>
    </xf>
    <xf numFmtId="0" fontId="83" fillId="0" borderId="61" xfId="0" applyFont="1" applyBorder="1" applyAlignment="1">
      <alignment vertical="top" wrapText="1" readingOrder="1"/>
    </xf>
    <xf numFmtId="0" fontId="82" fillId="0" borderId="53" xfId="0" applyFont="1" applyBorder="1" applyAlignment="1">
      <alignment horizontal="center" vertical="top" wrapText="1" readingOrder="1"/>
    </xf>
    <xf numFmtId="0" fontId="82" fillId="0" borderId="54" xfId="0" applyFont="1" applyBorder="1" applyAlignment="1">
      <alignment horizontal="center" vertical="top" wrapText="1" readingOrder="1"/>
    </xf>
    <xf numFmtId="0" fontId="82" fillId="0" borderId="55" xfId="0" applyFont="1" applyBorder="1" applyAlignment="1">
      <alignment horizontal="center" vertical="top" wrapText="1" readingOrder="1"/>
    </xf>
    <xf numFmtId="0" fontId="82" fillId="0" borderId="56" xfId="0" applyFont="1" applyBorder="1" applyAlignment="1">
      <alignment vertical="top" wrapText="1"/>
    </xf>
    <xf numFmtId="0" fontId="83" fillId="0" borderId="56" xfId="0" applyFont="1" applyBorder="1" applyAlignment="1">
      <alignment vertical="top"/>
    </xf>
    <xf numFmtId="0" fontId="82" fillId="0" borderId="58" xfId="0" applyFont="1" applyBorder="1" applyAlignment="1">
      <alignment vertical="top" wrapText="1" readingOrder="1"/>
    </xf>
    <xf numFmtId="44" fontId="83" fillId="0" borderId="0" xfId="0" applyNumberFormat="1" applyFont="1" applyBorder="1" applyAlignment="1">
      <alignment vertical="top"/>
    </xf>
    <xf numFmtId="44" fontId="82" fillId="0" borderId="54" xfId="0" applyNumberFormat="1" applyFont="1" applyBorder="1" applyAlignment="1">
      <alignment horizontal="center" vertical="top" wrapText="1" readingOrder="1"/>
    </xf>
    <xf numFmtId="44" fontId="82" fillId="0" borderId="55" xfId="0" applyNumberFormat="1" applyFont="1" applyBorder="1" applyAlignment="1">
      <alignment horizontal="center" vertical="top" wrapText="1" readingOrder="1"/>
    </xf>
    <xf numFmtId="0" fontId="82" fillId="0" borderId="56" xfId="0" applyFont="1" applyBorder="1" applyAlignment="1">
      <alignment horizontal="left" vertical="top" wrapText="1" readingOrder="1"/>
    </xf>
    <xf numFmtId="0" fontId="83" fillId="0" borderId="56" xfId="0" applyFont="1" applyBorder="1" applyAlignment="1">
      <alignment horizontal="left" vertical="top"/>
    </xf>
    <xf numFmtId="0" fontId="82" fillId="0" borderId="58" xfId="0" applyFont="1" applyBorder="1" applyAlignment="1">
      <alignment horizontal="left" vertical="top" wrapText="1" readingOrder="1"/>
    </xf>
    <xf numFmtId="0" fontId="5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left"/>
    </xf>
    <xf numFmtId="170" fontId="66" fillId="11" borderId="0" xfId="0" applyNumberFormat="1" applyFont="1" applyFill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/>
    </xf>
    <xf numFmtId="0" fontId="35" fillId="12" borderId="0" xfId="0" applyFont="1" applyFill="1" applyBorder="1" applyAlignment="1">
      <alignment horizontal="center" vertical="center" wrapText="1"/>
    </xf>
    <xf numFmtId="0" fontId="35" fillId="12" borderId="0" xfId="0" applyFont="1" applyFill="1" applyBorder="1" applyAlignment="1">
      <alignment horizontal="center" vertical="top" wrapText="1"/>
    </xf>
    <xf numFmtId="0" fontId="35" fillId="13" borderId="0" xfId="0" applyFont="1" applyFill="1" applyBorder="1" applyAlignment="1">
      <alignment horizontal="left" vertical="top" wrapText="1"/>
    </xf>
    <xf numFmtId="170" fontId="35" fillId="13" borderId="0" xfId="0" applyNumberFormat="1" applyFont="1" applyFill="1" applyBorder="1" applyAlignment="1">
      <alignment horizontal="left" vertical="top" wrapText="1"/>
    </xf>
    <xf numFmtId="0" fontId="13" fillId="14" borderId="0" xfId="0" applyFont="1" applyFill="1" applyBorder="1" applyAlignment="1">
      <alignment horizontal="left" vertical="top" wrapText="1"/>
    </xf>
    <xf numFmtId="170" fontId="13" fillId="14" borderId="0" xfId="0" applyNumberFormat="1" applyFont="1" applyFill="1" applyBorder="1" applyAlignment="1">
      <alignment horizontal="left" vertical="top" wrapText="1"/>
    </xf>
    <xf numFmtId="0" fontId="15" fillId="15" borderId="0" xfId="0" applyFont="1" applyFill="1" applyBorder="1"/>
    <xf numFmtId="170" fontId="35" fillId="15" borderId="0" xfId="0" applyNumberFormat="1" applyFont="1" applyFill="1" applyBorder="1" applyAlignment="1">
      <alignment horizontal="left"/>
    </xf>
    <xf numFmtId="170" fontId="35" fillId="15" borderId="0" xfId="0" applyNumberFormat="1" applyFont="1" applyFill="1" applyBorder="1" applyAlignment="1">
      <alignment horizontal="left" vertical="top" wrapText="1"/>
    </xf>
    <xf numFmtId="0" fontId="15" fillId="12" borderId="0" xfId="0" applyFont="1" applyFill="1" applyBorder="1" applyAlignment="1">
      <alignment horizontal="center" vertical="center"/>
    </xf>
    <xf numFmtId="0" fontId="13" fillId="14" borderId="0" xfId="0" applyFont="1" applyFill="1" applyBorder="1"/>
    <xf numFmtId="170" fontId="13" fillId="14" borderId="0" xfId="0" applyNumberFormat="1" applyFont="1" applyFill="1" applyBorder="1" applyAlignment="1">
      <alignment horizontal="left"/>
    </xf>
    <xf numFmtId="170" fontId="1" fillId="14" borderId="0" xfId="0" applyNumberFormat="1" applyFont="1" applyFill="1" applyBorder="1" applyAlignment="1">
      <alignment horizontal="left"/>
    </xf>
    <xf numFmtId="4" fontId="1" fillId="15" borderId="0" xfId="0" applyNumberFormat="1" applyFont="1" applyFill="1" applyBorder="1"/>
    <xf numFmtId="4" fontId="0" fillId="15" borderId="0" xfId="0" applyNumberFormat="1" applyFont="1" applyFill="1" applyBorder="1"/>
    <xf numFmtId="4" fontId="0" fillId="0" borderId="0" xfId="0" applyNumberFormat="1" applyFont="1" applyBorder="1"/>
    <xf numFmtId="4" fontId="0" fillId="14" borderId="0" xfId="0" applyNumberFormat="1" applyFont="1" applyFill="1" applyBorder="1"/>
    <xf numFmtId="0" fontId="0" fillId="16" borderId="0" xfId="0" applyFont="1" applyFill="1" applyBorder="1" applyAlignment="1">
      <alignment horizontal="center" vertical="center"/>
    </xf>
    <xf numFmtId="0" fontId="0" fillId="16" borderId="0" xfId="0" applyFill="1" applyBorder="1"/>
    <xf numFmtId="0" fontId="0" fillId="16" borderId="0" xfId="0" applyFill="1" applyBorder="1" applyAlignment="1">
      <alignment horizontal="center" vertical="center"/>
    </xf>
    <xf numFmtId="167" fontId="0" fillId="17" borderId="0" xfId="0" applyNumberFormat="1" applyFont="1" applyFill="1" applyBorder="1" applyAlignment="1">
      <alignment horizontal="center" vertical="center"/>
    </xf>
    <xf numFmtId="167" fontId="0" fillId="17" borderId="0" xfId="0" applyNumberFormat="1" applyFont="1" applyFill="1" applyBorder="1"/>
    <xf numFmtId="0" fontId="35" fillId="13" borderId="0" xfId="0" applyFont="1" applyFill="1" applyBorder="1" applyAlignment="1">
      <alignment horizontal="center" vertical="top" wrapText="1"/>
    </xf>
    <xf numFmtId="0" fontId="35" fillId="13" borderId="0" xfId="0" applyFont="1" applyFill="1" applyBorder="1" applyAlignment="1">
      <alignment horizontal="center" vertical="center" wrapText="1"/>
    </xf>
    <xf numFmtId="4" fontId="0" fillId="18" borderId="0" xfId="0" applyNumberFormat="1" applyFont="1" applyFill="1" applyBorder="1"/>
    <xf numFmtId="0" fontId="13" fillId="0" borderId="0" xfId="0" applyFont="1" applyBorder="1" applyAlignment="1" applyProtection="1">
      <alignment horizontal="center" vertical="center"/>
      <protection locked="0"/>
    </xf>
    <xf numFmtId="4" fontId="0" fillId="19" borderId="0" xfId="0" applyNumberFormat="1" applyFont="1" applyFill="1" applyBorder="1"/>
    <xf numFmtId="0" fontId="28" fillId="0" borderId="0" xfId="0" applyFont="1" applyBorder="1" applyAlignment="1">
      <alignment horizontal="center"/>
    </xf>
    <xf numFmtId="0" fontId="35" fillId="13" borderId="0" xfId="0" applyFont="1" applyFill="1" applyBorder="1" applyAlignment="1">
      <alignment vertical="center"/>
    </xf>
    <xf numFmtId="0" fontId="35" fillId="20" borderId="0" xfId="0" applyFont="1" applyFill="1" applyBorder="1" applyAlignment="1">
      <alignment horizontal="center" vertical="top" wrapText="1"/>
    </xf>
    <xf numFmtId="0" fontId="35" fillId="20" borderId="0" xfId="0" applyFont="1" applyFill="1" applyBorder="1" applyAlignment="1">
      <alignment vertical="center"/>
    </xf>
    <xf numFmtId="0" fontId="35" fillId="20" borderId="0" xfId="0" applyFont="1" applyFill="1" applyBorder="1" applyAlignment="1">
      <alignment horizontal="center" vertical="center" wrapText="1"/>
    </xf>
    <xf numFmtId="0" fontId="13" fillId="14" borderId="0" xfId="0" applyFont="1" applyFill="1" applyBorder="1" applyAlignment="1" applyProtection="1">
      <alignment vertical="center"/>
      <protection locked="0"/>
    </xf>
    <xf numFmtId="4" fontId="0" fillId="21" borderId="0" xfId="0" applyNumberFormat="1" applyFont="1" applyFill="1" applyBorder="1"/>
    <xf numFmtId="0" fontId="3" fillId="16" borderId="0" xfId="0" applyFont="1" applyFill="1" applyBorder="1" applyAlignment="1">
      <alignment horizontal="center"/>
    </xf>
    <xf numFmtId="0" fontId="10" fillId="11" borderId="0" xfId="0" applyFont="1" applyFill="1" applyBorder="1"/>
    <xf numFmtId="164" fontId="10" fillId="11" borderId="0" xfId="4" applyNumberFormat="1" applyFont="1" applyFill="1" applyBorder="1" applyAlignment="1">
      <alignment horizontal="left"/>
    </xf>
    <xf numFmtId="10" fontId="10" fillId="11" borderId="0" xfId="4" applyNumberFormat="1" applyFont="1" applyFill="1" applyBorder="1" applyAlignment="1">
      <alignment horizontal="center"/>
    </xf>
    <xf numFmtId="10" fontId="10" fillId="11" borderId="0" xfId="4" applyNumberFormat="1" applyFont="1" applyFill="1" applyBorder="1"/>
    <xf numFmtId="164" fontId="3" fillId="11" borderId="0" xfId="4" applyNumberFormat="1" applyFont="1" applyFill="1" applyBorder="1" applyAlignment="1">
      <alignment horizontal="left"/>
    </xf>
    <xf numFmtId="10" fontId="3" fillId="11" borderId="0" xfId="4" applyNumberFormat="1" applyFont="1" applyFill="1" applyBorder="1" applyAlignment="1">
      <alignment horizontal="center"/>
    </xf>
    <xf numFmtId="10" fontId="3" fillId="11" borderId="0" xfId="4" applyNumberFormat="1" applyFont="1" applyFill="1" applyBorder="1"/>
    <xf numFmtId="0" fontId="3" fillId="19" borderId="0" xfId="0" applyFont="1" applyFill="1" applyBorder="1"/>
    <xf numFmtId="164" fontId="3" fillId="19" borderId="0" xfId="4" applyNumberFormat="1" applyFont="1" applyFill="1" applyBorder="1" applyAlignment="1">
      <alignment horizontal="left"/>
    </xf>
    <xf numFmtId="10" fontId="3" fillId="19" borderId="0" xfId="4" applyNumberFormat="1" applyFont="1" applyFill="1" applyBorder="1" applyAlignment="1">
      <alignment horizontal="center"/>
    </xf>
    <xf numFmtId="10" fontId="3" fillId="19" borderId="0" xfId="4" applyNumberFormat="1" applyFont="1" applyFill="1" applyBorder="1"/>
    <xf numFmtId="0" fontId="3" fillId="20" borderId="0" xfId="0" applyFont="1" applyFill="1" applyBorder="1" applyAlignment="1">
      <alignment horizontal="center" wrapText="1"/>
    </xf>
    <xf numFmtId="164" fontId="3" fillId="20" borderId="0" xfId="4" applyNumberFormat="1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vertical="center"/>
    </xf>
    <xf numFmtId="0" fontId="31" fillId="14" borderId="0" xfId="0" applyFont="1" applyFill="1" applyBorder="1" applyAlignment="1">
      <alignment horizontal="left" vertical="top" wrapText="1"/>
    </xf>
    <xf numFmtId="164" fontId="10" fillId="14" borderId="0" xfId="4" applyNumberFormat="1" applyFont="1" applyFill="1" applyBorder="1" applyAlignment="1">
      <alignment horizontal="left"/>
    </xf>
    <xf numFmtId="10" fontId="10" fillId="14" borderId="0" xfId="4" applyNumberFormat="1" applyFont="1" applyFill="1" applyBorder="1" applyAlignment="1">
      <alignment horizontal="center"/>
    </xf>
    <xf numFmtId="10" fontId="10" fillId="14" borderId="0" xfId="4" applyNumberFormat="1" applyFont="1" applyFill="1" applyBorder="1"/>
    <xf numFmtId="0" fontId="3" fillId="12" borderId="0" xfId="0" applyFont="1" applyFill="1" applyBorder="1"/>
    <xf numFmtId="164" fontId="3" fillId="12" borderId="0" xfId="0" applyNumberFormat="1" applyFont="1" applyFill="1" applyBorder="1" applyAlignment="1">
      <alignment horizontal="left"/>
    </xf>
    <xf numFmtId="10" fontId="3" fillId="12" borderId="0" xfId="4" applyNumberFormat="1" applyFont="1" applyFill="1" applyBorder="1" applyAlignment="1">
      <alignment horizontal="center"/>
    </xf>
    <xf numFmtId="165" fontId="3" fillId="12" borderId="0" xfId="0" applyNumberFormat="1" applyFont="1" applyFill="1" applyBorder="1" applyAlignment="1">
      <alignment horizontal="left"/>
    </xf>
    <xf numFmtId="10" fontId="3" fillId="12" borderId="0" xfId="4" applyNumberFormat="1" applyFont="1" applyFill="1" applyBorder="1"/>
    <xf numFmtId="164" fontId="3" fillId="12" borderId="0" xfId="4" applyNumberFormat="1" applyFont="1" applyFill="1" applyBorder="1" applyAlignment="1">
      <alignment horizontal="left"/>
    </xf>
    <xf numFmtId="0" fontId="33" fillId="12" borderId="0" xfId="0" applyFont="1" applyFill="1" applyBorder="1" applyAlignment="1">
      <alignment horizontal="left" vertical="top" wrapText="1"/>
    </xf>
    <xf numFmtId="164" fontId="10" fillId="12" borderId="0" xfId="4" applyNumberFormat="1" applyFont="1" applyFill="1" applyBorder="1" applyAlignment="1">
      <alignment horizontal="left"/>
    </xf>
    <xf numFmtId="10" fontId="10" fillId="12" borderId="0" xfId="4" applyNumberFormat="1" applyFont="1" applyFill="1" applyBorder="1" applyAlignment="1">
      <alignment horizontal="center"/>
    </xf>
    <xf numFmtId="10" fontId="10" fillId="12" borderId="0" xfId="4" applyNumberFormat="1" applyFont="1" applyFill="1" applyBorder="1"/>
    <xf numFmtId="0" fontId="31" fillId="11" borderId="0" xfId="0" applyFont="1" applyFill="1" applyBorder="1"/>
    <xf numFmtId="0" fontId="11" fillId="11" borderId="0" xfId="0" applyFont="1" applyFill="1" applyBorder="1"/>
    <xf numFmtId="0" fontId="3" fillId="12" borderId="0" xfId="0" applyFont="1" applyFill="1" applyBorder="1" applyAlignment="1">
      <alignment horizontal="center"/>
    </xf>
    <xf numFmtId="0" fontId="84" fillId="21" borderId="0" xfId="0" applyFont="1" applyFill="1" applyBorder="1"/>
    <xf numFmtId="166" fontId="84" fillId="21" borderId="0" xfId="0" applyNumberFormat="1" applyFont="1" applyFill="1" applyBorder="1" applyAlignment="1">
      <alignment horizontal="left"/>
    </xf>
    <xf numFmtId="0" fontId="2" fillId="21" borderId="0" xfId="0" applyFont="1" applyFill="1" applyBorder="1"/>
    <xf numFmtId="166" fontId="2" fillId="21" borderId="0" xfId="0" applyNumberFormat="1" applyFont="1" applyFill="1" applyBorder="1" applyAlignment="1">
      <alignment horizontal="left"/>
    </xf>
    <xf numFmtId="0" fontId="2" fillId="14" borderId="0" xfId="0" applyFont="1" applyFill="1" applyBorder="1"/>
    <xf numFmtId="166" fontId="2" fillId="14" borderId="0" xfId="0" applyNumberFormat="1" applyFont="1" applyFill="1" applyBorder="1" applyAlignment="1">
      <alignment horizontal="left"/>
    </xf>
    <xf numFmtId="10" fontId="2" fillId="14" borderId="0" xfId="0" applyNumberFormat="1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Border="1"/>
    <xf numFmtId="166" fontId="2" fillId="13" borderId="0" xfId="0" applyNumberFormat="1" applyFont="1" applyFill="1" applyBorder="1" applyAlignment="1">
      <alignment horizontal="left"/>
    </xf>
    <xf numFmtId="0" fontId="2" fillId="12" borderId="0" xfId="0" applyFont="1" applyFill="1" applyBorder="1" applyAlignment="1">
      <alignment horizontal="center"/>
    </xf>
    <xf numFmtId="0" fontId="2" fillId="12" borderId="0" xfId="0" applyFont="1" applyFill="1" applyBorder="1"/>
    <xf numFmtId="166" fontId="2" fillId="12" borderId="0" xfId="0" applyNumberFormat="1" applyFont="1" applyFill="1" applyBorder="1" applyAlignment="1">
      <alignment horizontal="left"/>
    </xf>
    <xf numFmtId="10" fontId="2" fillId="12" borderId="0" xfId="0" applyNumberFormat="1" applyFont="1" applyFill="1" applyBorder="1"/>
    <xf numFmtId="10" fontId="2" fillId="13" borderId="0" xfId="0" applyNumberFormat="1" applyFont="1" applyFill="1" applyBorder="1"/>
    <xf numFmtId="0" fontId="2" fillId="22" borderId="0" xfId="0" applyFont="1" applyFill="1" applyBorder="1"/>
    <xf numFmtId="0" fontId="2" fillId="23" borderId="0" xfId="0" applyFont="1" applyFill="1" applyBorder="1"/>
    <xf numFmtId="166" fontId="2" fillId="23" borderId="0" xfId="0" applyNumberFormat="1" applyFont="1" applyFill="1" applyBorder="1" applyAlignment="1">
      <alignment horizontal="left"/>
    </xf>
    <xf numFmtId="10" fontId="2" fillId="23" borderId="0" xfId="0" applyNumberFormat="1" applyFont="1" applyFill="1" applyBorder="1"/>
    <xf numFmtId="0" fontId="0" fillId="24" borderId="0" xfId="0" applyFont="1" applyFill="1" applyBorder="1"/>
    <xf numFmtId="0" fontId="0" fillId="24" borderId="0" xfId="0" applyFont="1" applyFill="1" applyBorder="1" applyAlignment="1">
      <alignment wrapText="1"/>
    </xf>
    <xf numFmtId="0" fontId="67" fillId="24" borderId="0" xfId="0" applyFont="1" applyFill="1" applyBorder="1"/>
    <xf numFmtId="0" fontId="0" fillId="24" borderId="0" xfId="0" applyFont="1" applyFill="1" applyBorder="1" applyAlignment="1">
      <alignment vertical="center"/>
    </xf>
    <xf numFmtId="0" fontId="0" fillId="24" borderId="0" xfId="0" applyFont="1" applyFill="1" applyBorder="1" applyAlignment="1">
      <alignment vertical="center" wrapText="1"/>
    </xf>
    <xf numFmtId="0" fontId="0" fillId="13" borderId="0" xfId="0" applyFont="1" applyFill="1" applyBorder="1"/>
    <xf numFmtId="0" fontId="66" fillId="13" borderId="0" xfId="0" applyFont="1" applyFill="1" applyBorder="1"/>
    <xf numFmtId="0" fontId="0" fillId="13" borderId="0" xfId="0" applyFont="1" applyFill="1" applyBorder="1" applyAlignment="1">
      <alignment horizontal="right"/>
    </xf>
    <xf numFmtId="0" fontId="47" fillId="11" borderId="0" xfId="0" applyFont="1" applyFill="1" applyBorder="1" applyAlignment="1"/>
    <xf numFmtId="44" fontId="47" fillId="11" borderId="0" xfId="0" applyNumberFormat="1" applyFont="1" applyFill="1" applyBorder="1" applyAlignment="1"/>
    <xf numFmtId="10" fontId="9" fillId="11" borderId="0" xfId="0" applyNumberFormat="1" applyFont="1" applyFill="1" applyBorder="1" applyAlignment="1" applyProtection="1">
      <alignment horizontal="left"/>
      <protection locked="0"/>
    </xf>
    <xf numFmtId="166" fontId="10" fillId="11" borderId="0" xfId="0" applyNumberFormat="1" applyFont="1" applyFill="1" applyBorder="1" applyAlignment="1" applyProtection="1">
      <alignment horizontal="left"/>
      <protection locked="0"/>
    </xf>
    <xf numFmtId="0" fontId="68" fillId="12" borderId="0" xfId="0" applyNumberFormat="1" applyFont="1" applyFill="1" applyBorder="1" applyAlignment="1" applyProtection="1">
      <alignment horizontal="center"/>
      <protection locked="0"/>
    </xf>
    <xf numFmtId="0" fontId="68" fillId="16" borderId="0" xfId="0" applyNumberFormat="1" applyFont="1" applyFill="1" applyBorder="1" applyAlignment="1" applyProtection="1">
      <alignment horizontal="left"/>
      <protection locked="0"/>
    </xf>
    <xf numFmtId="44" fontId="68" fillId="16" borderId="0" xfId="0" applyNumberFormat="1" applyFont="1" applyFill="1" applyBorder="1" applyAlignment="1" applyProtection="1">
      <alignment horizontal="left"/>
      <protection locked="0"/>
    </xf>
    <xf numFmtId="166" fontId="3" fillId="16" borderId="0" xfId="0" applyNumberFormat="1" applyFont="1" applyFill="1" applyBorder="1" applyAlignment="1" applyProtection="1">
      <alignment horizontal="left"/>
      <protection locked="0"/>
    </xf>
    <xf numFmtId="0" fontId="68" fillId="13" borderId="0" xfId="0" applyNumberFormat="1" applyFont="1" applyFill="1" applyBorder="1" applyAlignment="1" applyProtection="1">
      <alignment horizontal="left"/>
      <protection locked="0"/>
    </xf>
    <xf numFmtId="44" fontId="68" fillId="13" borderId="0" xfId="0" applyNumberFormat="1" applyFont="1" applyFill="1" applyBorder="1" applyAlignment="1" applyProtection="1">
      <alignment horizontal="left"/>
      <protection locked="0"/>
    </xf>
    <xf numFmtId="166" fontId="3" fillId="13" borderId="0" xfId="0" applyNumberFormat="1" applyFont="1" applyFill="1" applyBorder="1" applyAlignment="1" applyProtection="1">
      <alignment horizontal="left"/>
      <protection locked="0"/>
    </xf>
    <xf numFmtId="0" fontId="68" fillId="25" borderId="0" xfId="0" applyNumberFormat="1" applyFont="1" applyFill="1" applyBorder="1" applyAlignment="1" applyProtection="1">
      <alignment horizontal="left"/>
      <protection locked="0"/>
    </xf>
    <xf numFmtId="44" fontId="68" fillId="25" borderId="0" xfId="0" applyNumberFormat="1" applyFont="1" applyFill="1" applyBorder="1" applyAlignment="1" applyProtection="1">
      <alignment horizontal="left"/>
      <protection locked="0"/>
    </xf>
    <xf numFmtId="10" fontId="68" fillId="25" borderId="0" xfId="0" applyNumberFormat="1" applyFont="1" applyFill="1" applyBorder="1" applyAlignment="1" applyProtection="1">
      <alignment horizontal="left"/>
      <protection locked="0"/>
    </xf>
    <xf numFmtId="166" fontId="3" fillId="25" borderId="0" xfId="0" applyNumberFormat="1" applyFont="1" applyFill="1" applyBorder="1" applyAlignment="1" applyProtection="1">
      <alignment horizontal="left"/>
      <protection locked="0"/>
    </xf>
    <xf numFmtId="0" fontId="31" fillId="0" borderId="62" xfId="0" applyFont="1" applyBorder="1" applyAlignment="1">
      <alignment horizontal="center"/>
    </xf>
    <xf numFmtId="0" fontId="31" fillId="0" borderId="63" xfId="0" applyFont="1" applyBorder="1" applyAlignment="1">
      <alignment horizontal="center"/>
    </xf>
    <xf numFmtId="4" fontId="31" fillId="0" borderId="64" xfId="0" applyNumberFormat="1" applyFont="1" applyBorder="1" applyAlignment="1">
      <alignment horizontal="left"/>
    </xf>
    <xf numFmtId="166" fontId="0" fillId="29" borderId="0" xfId="0" applyNumberFormat="1" applyFill="1" applyBorder="1" applyAlignment="1">
      <alignment horizontal="center"/>
    </xf>
    <xf numFmtId="169" fontId="14" fillId="29" borderId="0" xfId="0" applyNumberFormat="1" applyFont="1" applyFill="1" applyBorder="1" applyAlignment="1">
      <alignment horizontal="center"/>
    </xf>
    <xf numFmtId="168" fontId="14" fillId="29" borderId="0" xfId="0" applyNumberFormat="1" applyFont="1" applyFill="1" applyBorder="1" applyAlignment="1">
      <alignment horizontal="left"/>
    </xf>
    <xf numFmtId="164" fontId="2" fillId="30" borderId="0" xfId="0" applyNumberFormat="1" applyFont="1" applyFill="1" applyBorder="1" applyAlignment="1">
      <alignment horizontal="left"/>
    </xf>
    <xf numFmtId="166" fontId="0" fillId="31" borderId="0" xfId="0" applyNumberFormat="1" applyFill="1" applyBorder="1" applyAlignment="1">
      <alignment horizontal="center"/>
    </xf>
    <xf numFmtId="169" fontId="14" fillId="31" borderId="0" xfId="0" applyNumberFormat="1" applyFont="1" applyFill="1" applyBorder="1" applyAlignment="1">
      <alignment horizontal="center"/>
    </xf>
    <xf numFmtId="168" fontId="14" fillId="31" borderId="0" xfId="0" applyNumberFormat="1" applyFont="1" applyFill="1" applyBorder="1" applyAlignment="1">
      <alignment horizontal="left"/>
    </xf>
    <xf numFmtId="164" fontId="2" fillId="32" borderId="0" xfId="0" applyNumberFormat="1" applyFont="1" applyFill="1" applyBorder="1" applyAlignment="1">
      <alignment horizontal="left"/>
    </xf>
    <xf numFmtId="0" fontId="6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" fontId="0" fillId="0" borderId="0" xfId="0" applyNumberFormat="1"/>
    <xf numFmtId="49" fontId="0" fillId="0" borderId="0" xfId="0" applyNumberFormat="1" applyAlignment="1">
      <alignment horizontal="right"/>
    </xf>
    <xf numFmtId="0" fontId="66" fillId="25" borderId="0" xfId="0" applyFont="1" applyFill="1" applyAlignment="1">
      <alignment horizontal="center" vertical="center" wrapText="1"/>
    </xf>
    <xf numFmtId="170" fontId="66" fillId="25" borderId="0" xfId="0" applyNumberFormat="1" applyFont="1" applyFill="1" applyAlignment="1">
      <alignment horizontal="right" vertical="center" wrapText="1"/>
    </xf>
    <xf numFmtId="0" fontId="66" fillId="14" borderId="0" xfId="0" applyFont="1" applyFill="1" applyAlignment="1">
      <alignment horizontal="center" vertical="center" wrapText="1"/>
    </xf>
    <xf numFmtId="170" fontId="66" fillId="14" borderId="0" xfId="0" applyNumberFormat="1" applyFont="1" applyFill="1" applyAlignment="1">
      <alignment horizontal="right" vertical="center" wrapText="1"/>
    </xf>
    <xf numFmtId="0" fontId="66" fillId="22" borderId="0" xfId="0" applyFont="1" applyFill="1" applyAlignment="1">
      <alignment horizontal="center" vertical="center" wrapText="1"/>
    </xf>
    <xf numFmtId="170" fontId="66" fillId="22" borderId="0" xfId="0" applyNumberFormat="1" applyFont="1" applyFill="1" applyAlignment="1">
      <alignment horizontal="right" vertical="center" wrapText="1"/>
    </xf>
    <xf numFmtId="0" fontId="66" fillId="19" borderId="0" xfId="0" applyFont="1" applyFill="1" applyAlignment="1">
      <alignment horizontal="center" vertical="center" wrapText="1"/>
    </xf>
    <xf numFmtId="170" fontId="66" fillId="19" borderId="0" xfId="0" applyNumberFormat="1" applyFont="1" applyFill="1" applyAlignment="1">
      <alignment horizontal="right" vertical="center" wrapText="1"/>
    </xf>
    <xf numFmtId="0" fontId="66" fillId="30" borderId="0" xfId="0" applyFont="1" applyFill="1" applyAlignment="1">
      <alignment horizontal="center" vertical="center" wrapText="1"/>
    </xf>
    <xf numFmtId="170" fontId="66" fillId="30" borderId="0" xfId="0" applyNumberFormat="1" applyFont="1" applyFill="1" applyAlignment="1">
      <alignment horizontal="right" vertical="center" wrapText="1"/>
    </xf>
    <xf numFmtId="0" fontId="66" fillId="25" borderId="0" xfId="0" applyFont="1" applyFill="1" applyAlignment="1">
      <alignment horizontal="left" vertical="center" wrapText="1"/>
    </xf>
    <xf numFmtId="0" fontId="66" fillId="14" borderId="0" xfId="0" applyFont="1" applyFill="1" applyAlignment="1">
      <alignment horizontal="left" vertical="center" wrapText="1"/>
    </xf>
    <xf numFmtId="0" fontId="66" fillId="22" borderId="0" xfId="0" applyFont="1" applyFill="1" applyAlignment="1">
      <alignment horizontal="left" vertical="center" wrapText="1"/>
    </xf>
    <xf numFmtId="0" fontId="66" fillId="19" borderId="0" xfId="0" applyFont="1" applyFill="1" applyAlignment="1">
      <alignment horizontal="left" vertical="center" wrapText="1"/>
    </xf>
    <xf numFmtId="0" fontId="66" fillId="30" borderId="0" xfId="0" applyFont="1" applyFill="1" applyAlignment="1">
      <alignment horizontal="left" vertical="center" wrapText="1"/>
    </xf>
    <xf numFmtId="49" fontId="0" fillId="15" borderId="0" xfId="0" applyNumberFormat="1" applyFill="1" applyAlignment="1">
      <alignment horizontal="right" vertical="center" wrapText="1"/>
    </xf>
    <xf numFmtId="1" fontId="0" fillId="15" borderId="0" xfId="0" applyNumberFormat="1" applyFill="1" applyAlignment="1">
      <alignment vertical="center" wrapText="1"/>
    </xf>
    <xf numFmtId="0" fontId="0" fillId="15" borderId="0" xfId="0" applyFill="1" applyAlignment="1">
      <alignment vertical="center" wrapText="1"/>
    </xf>
    <xf numFmtId="0" fontId="0" fillId="15" borderId="0" xfId="0" applyFill="1" applyAlignment="1">
      <alignment horizontal="center" vertical="center" wrapText="1"/>
    </xf>
    <xf numFmtId="170" fontId="0" fillId="15" borderId="0" xfId="0" applyNumberFormat="1" applyFill="1" applyAlignment="1">
      <alignment horizontal="right" vertical="center" wrapText="1"/>
    </xf>
    <xf numFmtId="0" fontId="0" fillId="15" borderId="0" xfId="0" applyFill="1" applyAlignment="1">
      <alignment horizontal="left" vertical="center" wrapText="1"/>
    </xf>
    <xf numFmtId="0" fontId="0" fillId="15" borderId="0" xfId="0" applyFill="1" applyAlignment="1">
      <alignment horizontal="center"/>
    </xf>
    <xf numFmtId="170" fontId="0" fillId="15" borderId="0" xfId="0" applyNumberFormat="1" applyFill="1" applyAlignment="1">
      <alignment horizontal="right"/>
    </xf>
    <xf numFmtId="1" fontId="66" fillId="30" borderId="0" xfId="0" applyNumberFormat="1" applyFont="1" applyFill="1" applyAlignment="1">
      <alignment vertical="center" wrapText="1"/>
    </xf>
    <xf numFmtId="0" fontId="66" fillId="30" borderId="0" xfId="0" applyFont="1" applyFill="1" applyAlignment="1">
      <alignment vertical="center" wrapText="1"/>
    </xf>
    <xf numFmtId="1" fontId="66" fillId="25" borderId="0" xfId="0" applyNumberFormat="1" applyFont="1" applyFill="1" applyAlignment="1">
      <alignment horizontal="center" vertical="center" wrapText="1"/>
    </xf>
    <xf numFmtId="1" fontId="66" fillId="14" borderId="0" xfId="0" applyNumberFormat="1" applyFont="1" applyFill="1" applyAlignment="1">
      <alignment horizontal="center" vertical="center" wrapText="1"/>
    </xf>
    <xf numFmtId="1" fontId="66" fillId="22" borderId="0" xfId="0" applyNumberFormat="1" applyFont="1" applyFill="1" applyAlignment="1">
      <alignment horizontal="center" vertical="center" wrapText="1"/>
    </xf>
    <xf numFmtId="1" fontId="66" fillId="19" borderId="0" xfId="0" applyNumberFormat="1" applyFont="1" applyFill="1" applyAlignment="1">
      <alignment horizontal="center" vertical="center" wrapText="1"/>
    </xf>
    <xf numFmtId="1" fontId="66" fillId="30" borderId="0" xfId="0" applyNumberFormat="1" applyFont="1" applyFill="1" applyAlignment="1">
      <alignment horizontal="center" vertical="center" wrapText="1"/>
    </xf>
    <xf numFmtId="1" fontId="0" fillId="15" borderId="0" xfId="0" applyNumberFormat="1" applyFill="1" applyAlignment="1">
      <alignment horizontal="center" vertical="center" wrapText="1"/>
    </xf>
    <xf numFmtId="1" fontId="0" fillId="15" borderId="0" xfId="0" applyNumberFormat="1" applyFill="1" applyAlignment="1">
      <alignment horizontal="center"/>
    </xf>
    <xf numFmtId="0" fontId="0" fillId="0" borderId="0" xfId="0"/>
    <xf numFmtId="0" fontId="0" fillId="0" borderId="0" xfId="0"/>
    <xf numFmtId="0" fontId="80" fillId="0" borderId="0" xfId="0" applyFont="1"/>
    <xf numFmtId="0" fontId="81" fillId="8" borderId="0" xfId="0" applyFont="1" applyFill="1" applyAlignment="1">
      <alignment horizontal="left" vertical="top" wrapText="1" readingOrder="1"/>
    </xf>
    <xf numFmtId="3" fontId="81" fillId="8" borderId="0" xfId="0" applyNumberFormat="1" applyFont="1" applyFill="1" applyAlignment="1">
      <alignment horizontal="left" vertical="top"/>
    </xf>
    <xf numFmtId="0" fontId="80" fillId="0" borderId="0" xfId="0" applyFont="1" applyAlignment="1">
      <alignment horizontal="right"/>
    </xf>
    <xf numFmtId="0" fontId="68" fillId="5" borderId="0" xfId="0" applyFont="1" applyFill="1" applyBorder="1" applyAlignment="1">
      <alignment horizontal="left"/>
    </xf>
    <xf numFmtId="170" fontId="68" fillId="5" borderId="0" xfId="0" applyNumberFormat="1" applyFont="1" applyFill="1" applyBorder="1" applyAlignment="1">
      <alignment horizontal="left"/>
    </xf>
    <xf numFmtId="49" fontId="85" fillId="0" borderId="0" xfId="0" applyNumberFormat="1" applyFont="1" applyAlignment="1">
      <alignment horizontal="center"/>
    </xf>
    <xf numFmtId="49" fontId="86" fillId="28" borderId="0" xfId="0" applyNumberFormat="1" applyFont="1" applyFill="1" applyAlignment="1">
      <alignment horizontal="left" vertical="center" wrapText="1"/>
    </xf>
    <xf numFmtId="0" fontId="86" fillId="28" borderId="0" xfId="0" applyFont="1" applyFill="1" applyAlignment="1">
      <alignment horizontal="center" vertical="center" textRotation="90" wrapText="1"/>
    </xf>
    <xf numFmtId="1" fontId="86" fillId="28" borderId="0" xfId="0" applyNumberFormat="1" applyFont="1" applyFill="1" applyAlignment="1">
      <alignment horizontal="center" vertical="center" textRotation="90" wrapText="1"/>
    </xf>
    <xf numFmtId="0" fontId="86" fillId="28" borderId="0" xfId="0" applyFont="1" applyFill="1" applyAlignment="1">
      <alignment horizontal="center" vertical="center" wrapText="1"/>
    </xf>
    <xf numFmtId="0" fontId="0" fillId="0" borderId="0" xfId="0"/>
    <xf numFmtId="10" fontId="85" fillId="0" borderId="0" xfId="0" applyNumberFormat="1" applyFont="1" applyAlignment="1">
      <alignment horizontal="center"/>
    </xf>
    <xf numFmtId="10" fontId="0" fillId="0" borderId="0" xfId="0" applyNumberFormat="1" applyAlignment="1">
      <alignment horizontal="right"/>
    </xf>
    <xf numFmtId="10" fontId="80" fillId="0" borderId="0" xfId="0" applyNumberFormat="1" applyFont="1" applyAlignment="1">
      <alignment horizontal="right"/>
    </xf>
    <xf numFmtId="10" fontId="86" fillId="28" borderId="0" xfId="0" applyNumberFormat="1" applyFont="1" applyFill="1" applyAlignment="1">
      <alignment horizontal="center" vertical="center" wrapText="1"/>
    </xf>
    <xf numFmtId="10" fontId="66" fillId="25" borderId="0" xfId="0" applyNumberFormat="1" applyFont="1" applyFill="1" applyAlignment="1">
      <alignment horizontal="right" vertical="center" wrapText="1"/>
    </xf>
    <xf numFmtId="10" fontId="66" fillId="14" borderId="0" xfId="0" applyNumberFormat="1" applyFont="1" applyFill="1" applyAlignment="1">
      <alignment horizontal="right" vertical="center" wrapText="1"/>
    </xf>
    <xf numFmtId="10" fontId="66" fillId="22" borderId="0" xfId="0" applyNumberFormat="1" applyFont="1" applyFill="1" applyAlignment="1">
      <alignment horizontal="right" vertical="center" wrapText="1"/>
    </xf>
    <xf numFmtId="10" fontId="66" fillId="19" borderId="0" xfId="0" applyNumberFormat="1" applyFont="1" applyFill="1" applyAlignment="1">
      <alignment horizontal="right" vertical="center" wrapText="1"/>
    </xf>
    <xf numFmtId="10" fontId="66" fillId="30" borderId="0" xfId="0" applyNumberFormat="1" applyFont="1" applyFill="1" applyAlignment="1">
      <alignment horizontal="right" vertical="center" wrapText="1"/>
    </xf>
    <xf numFmtId="10" fontId="0" fillId="15" borderId="0" xfId="0" applyNumberFormat="1" applyFill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0" fillId="0" borderId="0" xfId="0" applyAlignment="1">
      <alignment vertical="center"/>
    </xf>
    <xf numFmtId="0" fontId="81" fillId="8" borderId="0" xfId="0" applyFont="1" applyFill="1" applyAlignment="1">
      <alignment horizontal="left" vertical="top" wrapText="1" readingOrder="1"/>
    </xf>
    <xf numFmtId="49" fontId="85" fillId="0" borderId="0" xfId="0" applyNumberFormat="1" applyFont="1" applyAlignment="1">
      <alignment horizontal="center"/>
    </xf>
    <xf numFmtId="0" fontId="0" fillId="0" borderId="0" xfId="0"/>
    <xf numFmtId="0" fontId="0" fillId="0" borderId="0" xfId="0"/>
    <xf numFmtId="0" fontId="66" fillId="0" borderId="0" xfId="0" applyFont="1" applyAlignment="1">
      <alignment vertical="center" wrapText="1"/>
    </xf>
    <xf numFmtId="0" fontId="86" fillId="28" borderId="0" xfId="0" applyFont="1" applyFill="1" applyAlignment="1">
      <alignment horizontal="center" vertical="center" wrapText="1"/>
    </xf>
    <xf numFmtId="0" fontId="81" fillId="8" borderId="0" xfId="0" applyFont="1" applyFill="1" applyAlignment="1">
      <alignment horizontal="left" vertical="top" wrapText="1" readingOrder="1"/>
    </xf>
    <xf numFmtId="49" fontId="85" fillId="0" borderId="0" xfId="0" applyNumberFormat="1" applyFont="1" applyAlignment="1">
      <alignment horizontal="center"/>
    </xf>
    <xf numFmtId="0" fontId="0" fillId="0" borderId="0" xfId="0"/>
    <xf numFmtId="0" fontId="66" fillId="15" borderId="0" xfId="0" applyFont="1" applyFill="1" applyAlignment="1">
      <alignment horizontal="center" vertical="center" wrapText="1"/>
    </xf>
    <xf numFmtId="4" fontId="66" fillId="0" borderId="0" xfId="0" applyNumberFormat="1" applyFont="1" applyAlignment="1">
      <alignment vertical="center" wrapText="1"/>
    </xf>
    <xf numFmtId="0" fontId="0" fillId="0" borderId="0" xfId="0"/>
    <xf numFmtId="1" fontId="0" fillId="15" borderId="0" xfId="0" applyNumberFormat="1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" fontId="0" fillId="15" borderId="0" xfId="0" applyNumberFormat="1" applyFont="1" applyFill="1" applyAlignment="1">
      <alignment vertical="center" wrapText="1"/>
    </xf>
    <xf numFmtId="0" fontId="0" fillId="15" borderId="0" xfId="0" applyFont="1" applyFill="1" applyAlignment="1">
      <alignment vertical="center" wrapText="1"/>
    </xf>
    <xf numFmtId="0" fontId="0" fillId="15" borderId="0" xfId="0" applyFont="1" applyFill="1" applyAlignment="1">
      <alignment horizontal="left" vertical="center" wrapText="1"/>
    </xf>
    <xf numFmtId="170" fontId="0" fillId="15" borderId="0" xfId="0" applyNumberFormat="1" applyFont="1" applyFill="1" applyAlignment="1">
      <alignment horizontal="right" vertical="center" wrapText="1"/>
    </xf>
    <xf numFmtId="10" fontId="0" fillId="15" borderId="0" xfId="0" applyNumberFormat="1" applyFont="1" applyFill="1" applyAlignment="1">
      <alignment horizontal="right" vertical="center" wrapText="1"/>
    </xf>
    <xf numFmtId="0" fontId="0" fillId="15" borderId="0" xfId="0" applyNumberFormat="1" applyFill="1" applyAlignment="1">
      <alignment horizontal="right" vertical="center" wrapText="1"/>
    </xf>
    <xf numFmtId="49" fontId="8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81" fillId="8" borderId="0" xfId="0" applyFont="1" applyFill="1" applyAlignment="1">
      <alignment horizontal="left" vertical="top" wrapText="1"/>
    </xf>
    <xf numFmtId="0" fontId="0" fillId="0" borderId="0" xfId="0"/>
    <xf numFmtId="0" fontId="11" fillId="0" borderId="0" xfId="0" applyFont="1" applyAlignment="1">
      <alignment vertical="top"/>
    </xf>
    <xf numFmtId="170" fontId="11" fillId="0" borderId="0" xfId="0" applyNumberFormat="1" applyFont="1" applyAlignment="1">
      <alignment horizontal="left" vertical="top"/>
    </xf>
    <xf numFmtId="0" fontId="3" fillId="19" borderId="0" xfId="0" applyFont="1" applyFill="1" applyBorder="1" applyAlignment="1">
      <alignment horizontal="left" vertical="center"/>
    </xf>
    <xf numFmtId="0" fontId="3" fillId="19" borderId="0" xfId="0" applyFont="1" applyFill="1" applyBorder="1" applyAlignment="1">
      <alignment vertical="center"/>
    </xf>
    <xf numFmtId="170" fontId="3" fillId="19" borderId="0" xfId="0" applyNumberFormat="1" applyFont="1" applyFill="1" applyBorder="1" applyAlignment="1">
      <alignment horizontal="left" vertical="center" wrapText="1"/>
    </xf>
    <xf numFmtId="10" fontId="3" fillId="19" borderId="0" xfId="0" applyNumberFormat="1" applyFont="1" applyFill="1" applyBorder="1" applyAlignment="1">
      <alignment horizontal="center"/>
    </xf>
    <xf numFmtId="10" fontId="3" fillId="8" borderId="0" xfId="0" applyNumberFormat="1" applyFont="1" applyFill="1" applyBorder="1" applyAlignment="1">
      <alignment horizontal="left"/>
    </xf>
    <xf numFmtId="170" fontId="12" fillId="0" borderId="0" xfId="0" applyNumberFormat="1" applyFont="1" applyAlignment="1">
      <alignment horizontal="left" vertical="top"/>
    </xf>
    <xf numFmtId="10" fontId="12" fillId="0" borderId="0" xfId="0" applyNumberFormat="1" applyFont="1" applyAlignment="1">
      <alignment horizontal="left" vertical="top"/>
    </xf>
    <xf numFmtId="0" fontId="12" fillId="0" borderId="0" xfId="0" applyFont="1" applyAlignment="1">
      <alignment vertical="top"/>
    </xf>
    <xf numFmtId="10" fontId="12" fillId="0" borderId="0" xfId="0" applyNumberFormat="1" applyFont="1" applyAlignment="1">
      <alignment vertical="top"/>
    </xf>
    <xf numFmtId="10" fontId="10" fillId="8" borderId="0" xfId="4" applyNumberFormat="1" applyFont="1" applyFill="1" applyBorder="1" applyAlignment="1">
      <alignment horizontal="left"/>
    </xf>
    <xf numFmtId="10" fontId="11" fillId="0" borderId="0" xfId="0" applyNumberFormat="1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1" fillId="19" borderId="0" xfId="0" applyFont="1" applyFill="1" applyAlignment="1">
      <alignment vertical="center"/>
    </xf>
    <xf numFmtId="0" fontId="12" fillId="0" borderId="0" xfId="0" applyFont="1" applyAlignment="1">
      <alignment vertical="top" wrapText="1" readingOrder="1"/>
    </xf>
    <xf numFmtId="170" fontId="11" fillId="0" borderId="0" xfId="0" applyNumberFormat="1" applyFont="1" applyAlignment="1">
      <alignment vertical="top"/>
    </xf>
    <xf numFmtId="0" fontId="12" fillId="0" borderId="0" xfId="0" applyFont="1" applyAlignment="1">
      <alignment vertical="top" wrapText="1"/>
    </xf>
    <xf numFmtId="170" fontId="12" fillId="0" borderId="0" xfId="0" applyNumberFormat="1" applyFont="1" applyAlignment="1">
      <alignment vertical="top"/>
    </xf>
    <xf numFmtId="4" fontId="12" fillId="0" borderId="0" xfId="0" applyNumberFormat="1" applyFont="1" applyAlignment="1">
      <alignment vertical="top"/>
    </xf>
    <xf numFmtId="170" fontId="3" fillId="8" borderId="0" xfId="4" applyNumberFormat="1" applyFont="1" applyFill="1" applyBorder="1" applyAlignment="1">
      <alignment horizontal="left"/>
    </xf>
    <xf numFmtId="10" fontId="3" fillId="8" borderId="0" xfId="4" applyNumberFormat="1" applyFont="1" applyFill="1" applyBorder="1" applyAlignment="1"/>
    <xf numFmtId="10" fontId="3" fillId="8" borderId="0" xfId="4" applyNumberFormat="1" applyFont="1" applyFill="1" applyBorder="1" applyAlignment="1">
      <alignment horizontal="left"/>
    </xf>
    <xf numFmtId="0" fontId="11" fillId="0" borderId="0" xfId="0" applyFont="1" applyAlignment="1">
      <alignment vertical="top" wrapText="1"/>
    </xf>
    <xf numFmtId="4" fontId="11" fillId="0" borderId="0" xfId="0" applyNumberFormat="1" applyFont="1" applyAlignment="1">
      <alignment vertical="top"/>
    </xf>
    <xf numFmtId="0" fontId="12" fillId="20" borderId="0" xfId="0" applyFont="1" applyFill="1" applyAlignment="1">
      <alignment vertical="top" wrapText="1" readingOrder="1"/>
    </xf>
    <xf numFmtId="170" fontId="12" fillId="20" borderId="0" xfId="0" applyNumberFormat="1" applyFont="1" applyFill="1" applyAlignment="1">
      <alignment vertical="top"/>
    </xf>
    <xf numFmtId="170" fontId="12" fillId="20" borderId="0" xfId="0" applyNumberFormat="1" applyFont="1" applyFill="1" applyAlignment="1">
      <alignment horizontal="left" vertical="top"/>
    </xf>
    <xf numFmtId="10" fontId="12" fillId="20" borderId="0" xfId="0" applyNumberFormat="1" applyFont="1" applyFill="1" applyAlignment="1">
      <alignment horizontal="left" vertical="top"/>
    </xf>
    <xf numFmtId="10" fontId="10" fillId="8" borderId="0" xfId="0" applyNumberFormat="1" applyFont="1" applyFill="1" applyBorder="1" applyAlignment="1">
      <alignment horizontal="left"/>
    </xf>
    <xf numFmtId="10" fontId="3" fillId="20" borderId="0" xfId="0" applyNumberFormat="1" applyFont="1" applyFill="1" applyBorder="1" applyAlignment="1">
      <alignment horizontal="left"/>
    </xf>
    <xf numFmtId="0" fontId="0" fillId="15" borderId="0" xfId="0" applyFill="1" applyAlignment="1">
      <alignment horizontal="center" vertical="center" wrapText="1"/>
    </xf>
    <xf numFmtId="49" fontId="0" fillId="15" borderId="0" xfId="0" applyNumberFormat="1" applyFill="1" applyAlignment="1">
      <alignment horizontal="right" vertical="center" wrapText="1"/>
    </xf>
    <xf numFmtId="1" fontId="0" fillId="15" borderId="0" xfId="0" applyNumberFormat="1" applyFill="1" applyAlignment="1">
      <alignment horizontal="center" vertical="center" wrapText="1"/>
    </xf>
    <xf numFmtId="0" fontId="0" fillId="15" borderId="0" xfId="0" applyFill="1" applyAlignment="1">
      <alignment horizontal="left" vertical="center" wrapText="1"/>
    </xf>
    <xf numFmtId="170" fontId="0" fillId="15" borderId="0" xfId="0" applyNumberFormat="1" applyFill="1" applyAlignment="1">
      <alignment horizontal="right" vertical="center" wrapText="1"/>
    </xf>
    <xf numFmtId="10" fontId="0" fillId="15" borderId="0" xfId="0" applyNumberFormat="1" applyFill="1" applyAlignment="1">
      <alignment horizontal="right" vertical="center" wrapText="1"/>
    </xf>
    <xf numFmtId="0" fontId="0" fillId="0" borderId="0" xfId="0"/>
    <xf numFmtId="0" fontId="0" fillId="15" borderId="0" xfId="0" applyFill="1" applyAlignment="1">
      <alignment horizontal="center" vertical="center" wrapText="1"/>
    </xf>
    <xf numFmtId="1" fontId="0" fillId="15" borderId="0" xfId="0" applyNumberFormat="1" applyFill="1" applyAlignment="1">
      <alignment horizontal="center" vertical="center" wrapText="1"/>
    </xf>
    <xf numFmtId="170" fontId="0" fillId="15" borderId="0" xfId="0" applyNumberFormat="1" applyFill="1" applyAlignment="1">
      <alignment horizontal="right" vertical="center" wrapText="1"/>
    </xf>
    <xf numFmtId="10" fontId="0" fillId="15" borderId="0" xfId="0" applyNumberFormat="1" applyFill="1" applyAlignment="1">
      <alignment horizontal="right" vertical="center" wrapText="1"/>
    </xf>
    <xf numFmtId="0" fontId="0" fillId="15" borderId="0" xfId="0" applyFill="1" applyAlignment="1">
      <alignment horizontal="left" vertical="center" wrapText="1"/>
    </xf>
    <xf numFmtId="49" fontId="0" fillId="15" borderId="0" xfId="0" applyNumberFormat="1" applyFill="1" applyAlignment="1">
      <alignment horizontal="right" vertical="center" wrapText="1"/>
    </xf>
    <xf numFmtId="0" fontId="0" fillId="0" borderId="0" xfId="0"/>
    <xf numFmtId="0" fontId="66" fillId="15" borderId="0" xfId="0" applyNumberFormat="1" applyFont="1" applyFill="1" applyAlignment="1">
      <alignment horizontal="left" vertical="center" wrapText="1"/>
    </xf>
    <xf numFmtId="0" fontId="0" fillId="0" borderId="0" xfId="0"/>
    <xf numFmtId="49" fontId="0" fillId="15" borderId="0" xfId="0" applyNumberFormat="1" applyFill="1" applyAlignment="1">
      <alignment vertical="center" wrapText="1"/>
    </xf>
    <xf numFmtId="49" fontId="66" fillId="15" borderId="0" xfId="0" applyNumberFormat="1" applyFont="1" applyFill="1" applyAlignment="1">
      <alignment vertical="center" wrapText="1"/>
    </xf>
    <xf numFmtId="0" fontId="66" fillId="15" borderId="0" xfId="0" applyNumberFormat="1" applyFont="1" applyFill="1" applyAlignment="1">
      <alignment vertical="center" wrapText="1"/>
    </xf>
    <xf numFmtId="170" fontId="0" fillId="15" borderId="0" xfId="0" applyNumberFormat="1" applyFill="1" applyAlignment="1">
      <alignment vertical="center" wrapText="1"/>
    </xf>
    <xf numFmtId="0" fontId="0" fillId="22" borderId="0" xfId="0" applyFont="1" applyFill="1" applyBorder="1"/>
    <xf numFmtId="0" fontId="0" fillId="19" borderId="0" xfId="0" applyFont="1" applyFill="1" applyBorder="1"/>
    <xf numFmtId="0" fontId="66" fillId="24" borderId="0" xfId="0" applyFont="1" applyFill="1" applyBorder="1"/>
    <xf numFmtId="10" fontId="3" fillId="0" borderId="0" xfId="4" applyNumberFormat="1" applyFont="1" applyBorder="1" applyAlignment="1">
      <alignment horizontal="left"/>
    </xf>
    <xf numFmtId="0" fontId="0" fillId="0" borderId="0" xfId="0"/>
    <xf numFmtId="10" fontId="84" fillId="21" borderId="0" xfId="0" applyNumberFormat="1" applyFont="1" applyFill="1" applyBorder="1" applyAlignment="1">
      <alignment horizontal="left"/>
    </xf>
    <xf numFmtId="10" fontId="2" fillId="21" borderId="0" xfId="0" applyNumberFormat="1" applyFont="1" applyFill="1" applyBorder="1" applyAlignment="1">
      <alignment horizontal="left"/>
    </xf>
    <xf numFmtId="10" fontId="2" fillId="13" borderId="0" xfId="0" applyNumberFormat="1" applyFont="1" applyFill="1" applyBorder="1" applyAlignment="1">
      <alignment horizontal="left"/>
    </xf>
    <xf numFmtId="0" fontId="83" fillId="24" borderId="0" xfId="0" applyFont="1" applyFill="1" applyAlignment="1">
      <alignment horizontal="left" vertical="top" wrapText="1"/>
    </xf>
    <xf numFmtId="0" fontId="64" fillId="8" borderId="0" xfId="0" applyFont="1" applyFill="1" applyAlignment="1">
      <alignment horizontal="left" vertical="top" wrapText="1"/>
    </xf>
    <xf numFmtId="0" fontId="0" fillId="0" borderId="0" xfId="0" applyFont="1" applyAlignment="1">
      <alignment wrapText="1"/>
    </xf>
    <xf numFmtId="0" fontId="34" fillId="0" borderId="31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left" vertical="center" wrapText="1"/>
    </xf>
    <xf numFmtId="0" fontId="35" fillId="0" borderId="30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center" vertical="center" wrapText="1"/>
    </xf>
    <xf numFmtId="4" fontId="34" fillId="0" borderId="31" xfId="0" applyNumberFormat="1" applyFont="1" applyBorder="1" applyAlignment="1">
      <alignment horizontal="left" vertical="center" wrapText="1"/>
    </xf>
    <xf numFmtId="164" fontId="34" fillId="0" borderId="31" xfId="0" applyNumberFormat="1" applyFont="1" applyBorder="1" applyAlignment="1">
      <alignment horizontal="left" vertical="center" wrapText="1"/>
    </xf>
    <xf numFmtId="0" fontId="3" fillId="19" borderId="0" xfId="0" applyFont="1" applyFill="1" applyBorder="1" applyAlignment="1">
      <alignment horizontal="center" vertical="center"/>
    </xf>
    <xf numFmtId="10" fontId="0" fillId="22" borderId="0" xfId="0" applyNumberFormat="1" applyFont="1" applyFill="1" applyBorder="1"/>
    <xf numFmtId="9" fontId="0" fillId="22" borderId="0" xfId="0" applyNumberFormat="1" applyFont="1" applyFill="1" applyBorder="1"/>
    <xf numFmtId="9" fontId="0" fillId="19" borderId="0" xfId="0" applyNumberFormat="1" applyFont="1" applyFill="1" applyBorder="1"/>
    <xf numFmtId="164" fontId="0" fillId="24" borderId="0" xfId="0" applyNumberFormat="1" applyFont="1" applyFill="1" applyBorder="1"/>
    <xf numFmtId="164" fontId="0" fillId="24" borderId="0" xfId="0" applyNumberFormat="1" applyFont="1" applyFill="1" applyBorder="1" applyAlignment="1">
      <alignment wrapText="1"/>
    </xf>
    <xf numFmtId="4" fontId="0" fillId="24" borderId="0" xfId="0" applyNumberFormat="1" applyFont="1" applyFill="1" applyBorder="1"/>
    <xf numFmtId="3" fontId="0" fillId="24" borderId="0" xfId="0" applyNumberFormat="1" applyFont="1" applyFill="1" applyBorder="1"/>
    <xf numFmtId="37" fontId="0" fillId="24" borderId="0" xfId="0" applyNumberFormat="1" applyFont="1" applyFill="1" applyBorder="1"/>
    <xf numFmtId="164" fontId="66" fillId="24" borderId="0" xfId="0" applyNumberFormat="1" applyFont="1" applyFill="1" applyBorder="1"/>
    <xf numFmtId="37" fontId="67" fillId="24" borderId="0" xfId="0" applyNumberFormat="1" applyFont="1" applyFill="1" applyBorder="1"/>
    <xf numFmtId="167" fontId="0" fillId="24" borderId="0" xfId="0" applyNumberFormat="1" applyFont="1" applyFill="1" applyBorder="1"/>
    <xf numFmtId="4" fontId="67" fillId="24" borderId="0" xfId="0" applyNumberFormat="1" applyFont="1" applyFill="1" applyBorder="1"/>
    <xf numFmtId="0" fontId="0" fillId="24" borderId="0" xfId="0" applyNumberFormat="1" applyFont="1" applyFill="1" applyBorder="1"/>
    <xf numFmtId="4" fontId="0" fillId="24" borderId="0" xfId="0" applyNumberFormat="1" applyFont="1" applyFill="1" applyBorder="1" applyAlignment="1">
      <alignment vertical="center"/>
    </xf>
    <xf numFmtId="4" fontId="0" fillId="24" borderId="0" xfId="0" applyNumberFormat="1" applyFont="1" applyFill="1" applyBorder="1" applyAlignment="1">
      <alignment wrapText="1"/>
    </xf>
    <xf numFmtId="0" fontId="83" fillId="24" borderId="0" xfId="0" applyFont="1" applyFill="1" applyBorder="1" applyAlignment="1">
      <alignment horizontal="left" vertical="top" wrapText="1"/>
    </xf>
    <xf numFmtId="4" fontId="0" fillId="0" borderId="0" xfId="0" applyNumberFormat="1" applyFont="1"/>
    <xf numFmtId="0" fontId="66" fillId="12" borderId="0" xfId="0" applyFont="1" applyFill="1" applyBorder="1"/>
    <xf numFmtId="0" fontId="66" fillId="12" borderId="0" xfId="0" applyFont="1" applyFill="1" applyBorder="1" applyAlignment="1">
      <alignment horizontal="center"/>
    </xf>
    <xf numFmtId="0" fontId="66" fillId="12" borderId="0" xfId="0" applyFont="1" applyFill="1" applyBorder="1" applyAlignment="1">
      <alignment horizontal="center" vertical="center" wrapText="1"/>
    </xf>
    <xf numFmtId="10" fontId="66" fillId="13" borderId="0" xfId="0" applyNumberFormat="1" applyFont="1" applyFill="1" applyBorder="1"/>
    <xf numFmtId="10" fontId="0" fillId="13" borderId="0" xfId="0" applyNumberFormat="1" applyFont="1" applyFill="1" applyBorder="1"/>
    <xf numFmtId="10" fontId="0" fillId="19" borderId="0" xfId="0" applyNumberFormat="1" applyFont="1" applyFill="1" applyBorder="1"/>
    <xf numFmtId="10" fontId="0" fillId="24" borderId="0" xfId="0" applyNumberFormat="1" applyFont="1" applyFill="1" applyBorder="1"/>
    <xf numFmtId="0" fontId="83" fillId="24" borderId="0" xfId="0" applyFont="1" applyFill="1" applyAlignment="1">
      <alignment horizontal="left" vertical="top" wrapText="1" readingOrder="1"/>
    </xf>
    <xf numFmtId="10" fontId="66" fillId="24" borderId="0" xfId="0" applyNumberFormat="1" applyFont="1" applyFill="1" applyBorder="1"/>
    <xf numFmtId="10" fontId="67" fillId="24" borderId="0" xfId="0" applyNumberFormat="1" applyFont="1" applyFill="1" applyBorder="1"/>
    <xf numFmtId="0" fontId="0" fillId="24" borderId="0" xfId="0" applyFont="1" applyFill="1" applyAlignment="1">
      <alignment vertical="top"/>
    </xf>
    <xf numFmtId="0" fontId="35" fillId="0" borderId="66" xfId="0" applyFont="1" applyBorder="1" applyAlignment="1">
      <alignment horizontal="left" vertical="center" wrapText="1"/>
    </xf>
    <xf numFmtId="0" fontId="35" fillId="0" borderId="67" xfId="0" applyFont="1" applyBorder="1" applyAlignment="1">
      <alignment vertical="center" wrapText="1"/>
    </xf>
    <xf numFmtId="0" fontId="35" fillId="0" borderId="68" xfId="0" applyFont="1" applyBorder="1" applyAlignment="1">
      <alignment vertical="center" wrapText="1"/>
    </xf>
    <xf numFmtId="164" fontId="13" fillId="0" borderId="31" xfId="0" applyNumberFormat="1" applyFont="1" applyBorder="1" applyAlignment="1">
      <alignment horizontal="left" vertical="center" wrapText="1"/>
    </xf>
    <xf numFmtId="4" fontId="35" fillId="0" borderId="31" xfId="0" applyNumberFormat="1" applyFont="1" applyBorder="1" applyAlignment="1">
      <alignment horizontal="left" vertical="center" wrapText="1"/>
    </xf>
    <xf numFmtId="4" fontId="35" fillId="0" borderId="67" xfId="0" applyNumberFormat="1" applyFont="1" applyBorder="1" applyAlignment="1">
      <alignment vertical="center" wrapText="1"/>
    </xf>
    <xf numFmtId="10" fontId="12" fillId="0" borderId="0" xfId="0" applyNumberFormat="1" applyFont="1" applyAlignment="1">
      <alignment vertical="top" wrapText="1" readingOrder="1"/>
    </xf>
    <xf numFmtId="10" fontId="11" fillId="0" borderId="0" xfId="0" applyNumberFormat="1" applyFont="1" applyAlignment="1">
      <alignment vertical="top"/>
    </xf>
    <xf numFmtId="10" fontId="3" fillId="19" borderId="0" xfId="0" applyNumberFormat="1" applyFont="1" applyFill="1" applyBorder="1" applyAlignment="1">
      <alignment horizontal="center" vertical="center"/>
    </xf>
    <xf numFmtId="10" fontId="3" fillId="19" borderId="0" xfId="0" applyNumberFormat="1" applyFont="1" applyFill="1" applyBorder="1" applyAlignment="1">
      <alignment vertical="center"/>
    </xf>
    <xf numFmtId="10" fontId="10" fillId="20" borderId="0" xfId="0" applyNumberFormat="1" applyFont="1" applyFill="1" applyBorder="1" applyAlignment="1">
      <alignment horizontal="left"/>
    </xf>
    <xf numFmtId="10" fontId="11" fillId="20" borderId="0" xfId="0" applyNumberFormat="1" applyFont="1" applyFill="1" applyAlignment="1">
      <alignment horizontal="left" vertical="top"/>
    </xf>
    <xf numFmtId="0" fontId="24" fillId="7" borderId="0" xfId="0" applyFont="1" applyFill="1" applyBorder="1"/>
    <xf numFmtId="0" fontId="24" fillId="7" borderId="0" xfId="0" applyFont="1" applyFill="1" applyBorder="1" applyProtection="1">
      <protection locked="0"/>
    </xf>
    <xf numFmtId="170" fontId="44" fillId="7" borderId="0" xfId="0" applyNumberFormat="1" applyFont="1" applyFill="1" applyBorder="1" applyAlignment="1">
      <alignment horizontal="left"/>
    </xf>
    <xf numFmtId="49" fontId="0" fillId="15" borderId="0" xfId="0" applyNumberFormat="1" applyFill="1" applyAlignment="1">
      <alignment horizontal="right" vertical="center" wrapText="1"/>
    </xf>
    <xf numFmtId="49" fontId="66" fillId="15" borderId="0" xfId="0" applyNumberFormat="1" applyFont="1" applyFill="1" applyAlignment="1">
      <alignment horizontal="left" vertical="center" wrapText="1"/>
    </xf>
    <xf numFmtId="1" fontId="0" fillId="15" borderId="0" xfId="0" applyNumberFormat="1" applyFill="1" applyAlignment="1">
      <alignment horizontal="center" vertical="center" wrapText="1"/>
    </xf>
    <xf numFmtId="0" fontId="0" fillId="15" borderId="0" xfId="0" applyFill="1" applyAlignment="1">
      <alignment horizontal="left" vertical="center" wrapText="1"/>
    </xf>
    <xf numFmtId="0" fontId="0" fillId="15" borderId="0" xfId="0" applyFill="1" applyAlignment="1">
      <alignment horizontal="center" vertical="center" wrapText="1"/>
    </xf>
    <xf numFmtId="0" fontId="0" fillId="0" borderId="0" xfId="0"/>
    <xf numFmtId="0" fontId="87" fillId="0" borderId="0" xfId="0" applyFont="1"/>
    <xf numFmtId="0" fontId="88" fillId="0" borderId="0" xfId="0" applyFont="1"/>
    <xf numFmtId="1" fontId="88" fillId="0" borderId="0" xfId="0" applyNumberFormat="1" applyFont="1"/>
    <xf numFmtId="49" fontId="77" fillId="0" borderId="0" xfId="0" applyNumberFormat="1" applyFont="1" applyAlignment="1">
      <alignment horizontal="right" vertical="top" wrapText="1" readingOrder="1"/>
    </xf>
    <xf numFmtId="49" fontId="77" fillId="0" borderId="0" xfId="0" applyNumberFormat="1" applyFont="1" applyAlignment="1">
      <alignment horizontal="right" vertical="top"/>
    </xf>
    <xf numFmtId="0" fontId="77" fillId="0" borderId="0" xfId="0" applyFont="1" applyAlignment="1">
      <alignment vertical="top"/>
    </xf>
    <xf numFmtId="49" fontId="70" fillId="0" borderId="0" xfId="0" applyNumberFormat="1" applyFont="1" applyAlignment="1">
      <alignment horizontal="right" vertical="top"/>
    </xf>
    <xf numFmtId="0" fontId="70" fillId="0" borderId="0" xfId="0" applyFont="1" applyAlignment="1">
      <alignment horizontal="left" vertical="top"/>
    </xf>
    <xf numFmtId="49" fontId="88" fillId="0" borderId="0" xfId="0" applyNumberFormat="1" applyFont="1" applyAlignment="1">
      <alignment horizontal="right" vertical="top"/>
    </xf>
    <xf numFmtId="0" fontId="88" fillId="0" borderId="0" xfId="0" applyFont="1" applyAlignment="1">
      <alignment vertical="top"/>
    </xf>
    <xf numFmtId="0" fontId="89" fillId="0" borderId="0" xfId="0" applyNumberFormat="1" applyFont="1" applyAlignment="1" applyProtection="1">
      <protection locked="0"/>
    </xf>
    <xf numFmtId="1" fontId="89" fillId="0" borderId="0" xfId="0" applyNumberFormat="1" applyFont="1" applyAlignment="1" applyProtection="1">
      <protection locked="0"/>
    </xf>
    <xf numFmtId="0" fontId="87" fillId="0" borderId="0" xfId="0" applyNumberFormat="1" applyFont="1" applyAlignment="1" applyProtection="1">
      <alignment horizontal="left"/>
      <protection locked="0"/>
    </xf>
    <xf numFmtId="0" fontId="70" fillId="0" borderId="0" xfId="0" applyFont="1" applyAlignment="1">
      <alignment horizontal="center" vertical="center"/>
    </xf>
    <xf numFmtId="1" fontId="70" fillId="0" borderId="0" xfId="0" applyNumberFormat="1" applyFont="1" applyAlignment="1">
      <alignment horizontal="center" vertical="center"/>
    </xf>
    <xf numFmtId="0" fontId="87" fillId="0" borderId="0" xfId="0" applyNumberFormat="1" applyFont="1" applyProtection="1">
      <protection locked="0"/>
    </xf>
    <xf numFmtId="0" fontId="89" fillId="0" borderId="0" xfId="0" applyNumberFormat="1" applyFont="1" applyProtection="1">
      <protection locked="0"/>
    </xf>
    <xf numFmtId="49" fontId="88" fillId="0" borderId="0" xfId="0" applyNumberFormat="1" applyFont="1" applyAlignment="1" applyProtection="1">
      <alignment horizontal="left"/>
      <protection locked="0"/>
    </xf>
    <xf numFmtId="49" fontId="89" fillId="0" borderId="0" xfId="0" applyNumberFormat="1" applyFont="1" applyAlignment="1" applyProtection="1">
      <alignment horizontal="left"/>
      <protection locked="0"/>
    </xf>
    <xf numFmtId="49" fontId="90" fillId="0" borderId="0" xfId="0" applyNumberFormat="1" applyFont="1" applyAlignment="1" applyProtection="1">
      <alignment horizontal="left"/>
      <protection locked="0"/>
    </xf>
    <xf numFmtId="1" fontId="87" fillId="0" borderId="0" xfId="0" applyNumberFormat="1" applyFont="1"/>
    <xf numFmtId="0" fontId="77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1" fontId="88" fillId="0" borderId="0" xfId="0" applyNumberFormat="1" applyFont="1" applyAlignment="1">
      <alignment vertical="center" wrapText="1"/>
    </xf>
    <xf numFmtId="0" fontId="77" fillId="0" borderId="0" xfId="0" applyFont="1" applyAlignment="1">
      <alignment horizontal="right" vertical="top" wrapText="1" readingOrder="1"/>
    </xf>
    <xf numFmtId="0" fontId="87" fillId="0" borderId="0" xfId="0" applyFont="1" applyAlignment="1">
      <alignment vertical="top"/>
    </xf>
    <xf numFmtId="1" fontId="77" fillId="0" borderId="0" xfId="0" applyNumberFormat="1" applyFont="1" applyAlignment="1">
      <alignment horizontal="left" vertical="top" wrapText="1" readingOrder="1"/>
    </xf>
    <xf numFmtId="174" fontId="77" fillId="0" borderId="0" xfId="0" applyNumberFormat="1" applyFont="1" applyAlignment="1">
      <alignment horizontal="right" vertical="top"/>
    </xf>
    <xf numFmtId="1" fontId="77" fillId="0" borderId="0" xfId="0" applyNumberFormat="1" applyFont="1" applyAlignment="1">
      <alignment vertical="top"/>
    </xf>
    <xf numFmtId="1" fontId="70" fillId="0" borderId="0" xfId="0" applyNumberFormat="1" applyFont="1" applyAlignment="1">
      <alignment vertical="top"/>
    </xf>
    <xf numFmtId="174" fontId="70" fillId="0" borderId="0" xfId="0" applyNumberFormat="1" applyFont="1" applyAlignment="1">
      <alignment horizontal="right" vertical="top"/>
    </xf>
    <xf numFmtId="0" fontId="24" fillId="7" borderId="0" xfId="0" applyFont="1" applyFill="1" applyBorder="1" applyAlignment="1" applyProtection="1">
      <alignment horizontal="left"/>
      <protection locked="0"/>
    </xf>
    <xf numFmtId="0" fontId="66" fillId="8" borderId="0" xfId="0" applyFont="1" applyFill="1" applyAlignment="1">
      <alignment vertical="center" wrapText="1"/>
    </xf>
    <xf numFmtId="0" fontId="0" fillId="8" borderId="0" xfId="0" applyFill="1" applyAlignment="1">
      <alignment vertical="center" wrapText="1"/>
    </xf>
    <xf numFmtId="0" fontId="44" fillId="7" borderId="0" xfId="0" applyFont="1" applyFill="1" applyBorder="1"/>
    <xf numFmtId="0" fontId="81" fillId="8" borderId="0" xfId="0" applyFont="1" applyFill="1" applyAlignment="1">
      <alignment horizontal="left" vertical="top" wrapText="1" readingOrder="1"/>
    </xf>
    <xf numFmtId="0" fontId="0" fillId="0" borderId="0" xfId="0"/>
    <xf numFmtId="0" fontId="81" fillId="8" borderId="0" xfId="0" applyFont="1" applyFill="1" applyAlignment="1">
      <alignment horizontal="left" vertical="top" wrapText="1" readingOrder="1"/>
    </xf>
    <xf numFmtId="0" fontId="0" fillId="0" borderId="0" xfId="0"/>
    <xf numFmtId="49" fontId="0" fillId="8" borderId="0" xfId="0" applyNumberFormat="1" applyFill="1" applyAlignment="1">
      <alignment horizontal="right" vertical="center" wrapText="1"/>
    </xf>
    <xf numFmtId="1" fontId="0" fillId="8" borderId="0" xfId="0" applyNumberFormat="1" applyFill="1" applyAlignment="1">
      <alignment vertical="center" wrapText="1"/>
    </xf>
    <xf numFmtId="0" fontId="0" fillId="8" borderId="0" xfId="0" applyFill="1" applyAlignment="1">
      <alignment horizontal="center" vertical="center" wrapText="1"/>
    </xf>
    <xf numFmtId="1" fontId="0" fillId="8" borderId="0" xfId="0" applyNumberFormat="1" applyFill="1" applyAlignment="1">
      <alignment horizontal="center" vertical="center" wrapText="1"/>
    </xf>
    <xf numFmtId="0" fontId="0" fillId="8" borderId="0" xfId="0" applyFill="1" applyAlignment="1">
      <alignment horizontal="left" vertical="center" wrapText="1"/>
    </xf>
    <xf numFmtId="170" fontId="0" fillId="8" borderId="0" xfId="0" applyNumberFormat="1" applyFill="1" applyAlignment="1">
      <alignment horizontal="right" vertical="center" wrapText="1"/>
    </xf>
    <xf numFmtId="10" fontId="0" fillId="8" borderId="0" xfId="0" applyNumberFormat="1" applyFill="1" applyAlignment="1">
      <alignment horizontal="right" vertical="center" wrapText="1"/>
    </xf>
    <xf numFmtId="0" fontId="0" fillId="8" borderId="0" xfId="0" applyNumberFormat="1" applyFill="1" applyAlignment="1">
      <alignment horizontal="right" vertical="center" wrapText="1"/>
    </xf>
    <xf numFmtId="0" fontId="66" fillId="8" borderId="0" xfId="0" applyNumberFormat="1" applyFont="1" applyFill="1" applyAlignment="1">
      <alignment horizontal="left" vertical="center" wrapText="1"/>
    </xf>
    <xf numFmtId="0" fontId="0" fillId="0" borderId="0" xfId="0"/>
    <xf numFmtId="49" fontId="66" fillId="8" borderId="0" xfId="0" applyNumberFormat="1" applyFont="1" applyFill="1" applyAlignment="1">
      <alignment horizontal="left" vertical="center" wrapText="1"/>
    </xf>
    <xf numFmtId="0" fontId="81" fillId="8" borderId="0" xfId="0" applyFont="1" applyFill="1" applyAlignment="1">
      <alignment horizontal="left" vertical="top" wrapText="1" readingOrder="1"/>
    </xf>
    <xf numFmtId="0" fontId="0" fillId="0" borderId="0" xfId="0"/>
    <xf numFmtId="0" fontId="68" fillId="5" borderId="0" xfId="0" applyFont="1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49" fontId="70" fillId="0" borderId="0" xfId="0" applyNumberFormat="1" applyFont="1" applyAlignment="1">
      <alignment horizontal="left" vertical="top"/>
    </xf>
    <xf numFmtId="0" fontId="77" fillId="0" borderId="0" xfId="0" applyFont="1" applyAlignment="1">
      <alignment horizontal="left" vertical="top" wrapText="1" readingOrder="1"/>
    </xf>
    <xf numFmtId="0" fontId="81" fillId="8" borderId="0" xfId="0" applyFont="1" applyFill="1" applyAlignment="1">
      <alignment horizontal="left" vertical="top" wrapText="1" readingOrder="1"/>
    </xf>
    <xf numFmtId="0" fontId="0" fillId="0" borderId="0" xfId="0"/>
    <xf numFmtId="0" fontId="35" fillId="0" borderId="0" xfId="0" applyFont="1" applyAlignment="1">
      <alignment horizontal="center"/>
    </xf>
    <xf numFmtId="0" fontId="0" fillId="0" borderId="0" xfId="0"/>
    <xf numFmtId="3" fontId="90" fillId="0" borderId="0" xfId="0" applyNumberFormat="1" applyFont="1" applyAlignment="1" applyProtection="1">
      <alignment horizontal="left"/>
      <protection locked="0"/>
    </xf>
    <xf numFmtId="0" fontId="89" fillId="0" borderId="0" xfId="0" applyNumberFormat="1" applyFont="1" applyAlignment="1" applyProtection="1">
      <alignment horizontal="left"/>
      <protection locked="0"/>
    </xf>
    <xf numFmtId="0" fontId="90" fillId="0" borderId="0" xfId="0" applyNumberFormat="1" applyFont="1" applyAlignment="1" applyProtection="1">
      <alignment horizontal="right"/>
      <protection locked="0"/>
    </xf>
    <xf numFmtId="0" fontId="77" fillId="0" borderId="0" xfId="0" applyFont="1" applyAlignment="1">
      <alignment vertical="top" wrapText="1" readingOrder="1"/>
    </xf>
    <xf numFmtId="0" fontId="88" fillId="0" borderId="0" xfId="0" applyNumberFormat="1" applyFont="1" applyProtection="1">
      <protection locked="0"/>
    </xf>
    <xf numFmtId="0" fontId="88" fillId="0" borderId="0" xfId="0" applyNumberFormat="1" applyFont="1" applyAlignment="1" applyProtection="1">
      <alignment horizontal="left"/>
      <protection locked="0"/>
    </xf>
    <xf numFmtId="0" fontId="87" fillId="0" borderId="0" xfId="0" applyFont="1" applyAlignment="1">
      <alignment vertical="center"/>
    </xf>
    <xf numFmtId="0" fontId="88" fillId="0" borderId="0" xfId="0" applyFont="1" applyAlignment="1">
      <alignment horizontal="left" vertical="center" indent="5"/>
    </xf>
    <xf numFmtId="0" fontId="91" fillId="0" borderId="0" xfId="0" applyFont="1" applyAlignment="1">
      <alignment vertical="center"/>
    </xf>
    <xf numFmtId="0" fontId="92" fillId="0" borderId="0" xfId="0" applyFont="1" applyAlignment="1">
      <alignment horizontal="left" vertical="center" indent="5"/>
    </xf>
    <xf numFmtId="0" fontId="88" fillId="0" borderId="0" xfId="0" applyFont="1" applyAlignment="1">
      <alignment horizontal="left"/>
    </xf>
    <xf numFmtId="4" fontId="88" fillId="0" borderId="0" xfId="0" applyNumberFormat="1" applyFont="1" applyProtection="1">
      <protection locked="0"/>
    </xf>
    <xf numFmtId="0" fontId="87" fillId="0" borderId="0" xfId="0" applyFont="1" applyAlignment="1">
      <alignment horizontal="left"/>
    </xf>
    <xf numFmtId="49" fontId="88" fillId="0" borderId="30" xfId="0" applyNumberFormat="1" applyFont="1" applyBorder="1"/>
    <xf numFmtId="0" fontId="93" fillId="0" borderId="0" xfId="0" applyNumberFormat="1" applyFont="1" applyAlignment="1" applyProtection="1">
      <protection locked="0"/>
    </xf>
    <xf numFmtId="0" fontId="93" fillId="0" borderId="0" xfId="0" applyNumberFormat="1" applyFont="1" applyAlignment="1" applyProtection="1">
      <alignment horizontal="left"/>
      <protection locked="0"/>
    </xf>
    <xf numFmtId="0" fontId="70" fillId="0" borderId="0" xfId="0" applyFont="1" applyAlignment="1">
      <alignment horizontal="center" vertical="center" wrapText="1"/>
    </xf>
    <xf numFmtId="0" fontId="70" fillId="0" borderId="0" xfId="0" applyFont="1" applyAlignment="1">
      <alignment horizontal="left" vertical="center" wrapText="1"/>
    </xf>
    <xf numFmtId="166" fontId="70" fillId="0" borderId="0" xfId="0" applyNumberFormat="1" applyFont="1" applyAlignment="1">
      <alignment horizontal="left" vertical="center"/>
    </xf>
    <xf numFmtId="3" fontId="88" fillId="0" borderId="0" xfId="0" applyNumberFormat="1" applyFont="1" applyAlignment="1" applyProtection="1">
      <alignment horizontal="left"/>
      <protection locked="0"/>
    </xf>
    <xf numFmtId="0" fontId="70" fillId="0" borderId="0" xfId="0" applyFont="1"/>
    <xf numFmtId="0" fontId="77" fillId="0" borderId="0" xfId="0" applyFont="1" applyAlignment="1">
      <alignment horizontal="center" vertical="center" wrapText="1"/>
    </xf>
    <xf numFmtId="0" fontId="70" fillId="0" borderId="0" xfId="0" applyFont="1" applyAlignment="1">
      <alignment horizontal="left" vertical="center"/>
    </xf>
    <xf numFmtId="0" fontId="77" fillId="6" borderId="15" xfId="0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88" fillId="0" borderId="0" xfId="0" applyFont="1" applyAlignment="1">
      <alignment vertical="center" wrapText="1"/>
    </xf>
    <xf numFmtId="0" fontId="77" fillId="0" borderId="0" xfId="0" applyFont="1" applyAlignment="1">
      <alignment horizontal="left" vertical="top"/>
    </xf>
    <xf numFmtId="49" fontId="70" fillId="0" borderId="0" xfId="0" applyNumberFormat="1" applyFont="1" applyAlignment="1">
      <alignment vertical="top"/>
    </xf>
    <xf numFmtId="49" fontId="88" fillId="0" borderId="0" xfId="0" applyNumberFormat="1" applyFont="1" applyAlignment="1">
      <alignment vertical="top"/>
    </xf>
    <xf numFmtId="49" fontId="88" fillId="0" borderId="0" xfId="0" applyNumberFormat="1" applyFont="1"/>
    <xf numFmtId="49" fontId="88" fillId="0" borderId="0" xfId="0" applyNumberFormat="1" applyFont="1" applyAlignment="1">
      <alignment horizontal="left" vertical="center" wrapText="1"/>
    </xf>
    <xf numFmtId="1" fontId="77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left" vertical="center" wrapText="1"/>
    </xf>
    <xf numFmtId="166" fontId="77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left" vertical="top"/>
    </xf>
    <xf numFmtId="0" fontId="0" fillId="0" borderId="0" xfId="0"/>
    <xf numFmtId="0" fontId="38" fillId="0" borderId="0" xfId="0" applyFont="1" applyBorder="1" applyAlignment="1">
      <alignment horizontal="left" vertical="top" wrapText="1"/>
    </xf>
    <xf numFmtId="164" fontId="38" fillId="0" borderId="0" xfId="0" applyNumberFormat="1" applyFont="1" applyBorder="1" applyAlignment="1">
      <alignment horizontal="left" vertical="top" wrapText="1"/>
    </xf>
    <xf numFmtId="0" fontId="94" fillId="0" borderId="56" xfId="0" applyFont="1" applyBorder="1" applyAlignment="1">
      <alignment vertical="center" wrapText="1"/>
    </xf>
    <xf numFmtId="0" fontId="94" fillId="0" borderId="31" xfId="0" applyFont="1" applyBorder="1" applyAlignment="1">
      <alignment horizontal="center" vertical="center" wrapText="1"/>
    </xf>
    <xf numFmtId="164" fontId="16" fillId="0" borderId="31" xfId="0" applyNumberFormat="1" applyFont="1" applyBorder="1" applyAlignment="1">
      <alignment horizontal="left" vertical="center" wrapText="1"/>
    </xf>
    <xf numFmtId="164" fontId="16" fillId="0" borderId="57" xfId="0" applyNumberFormat="1" applyFont="1" applyBorder="1" applyAlignment="1">
      <alignment horizontal="left" vertical="center" wrapText="1"/>
    </xf>
    <xf numFmtId="164" fontId="41" fillId="33" borderId="59" xfId="0" applyNumberFormat="1" applyFont="1" applyFill="1" applyBorder="1" applyAlignment="1">
      <alignment horizontal="left" vertical="center" wrapText="1"/>
    </xf>
    <xf numFmtId="164" fontId="41" fillId="33" borderId="60" xfId="0" applyNumberFormat="1" applyFont="1" applyFill="1" applyBorder="1" applyAlignment="1">
      <alignment horizontal="left" vertical="center" wrapText="1"/>
    </xf>
    <xf numFmtId="4" fontId="35" fillId="0" borderId="55" xfId="0" applyNumberFormat="1" applyFont="1" applyBorder="1" applyAlignment="1">
      <alignment horizontal="left" vertical="top" wrapText="1"/>
    </xf>
    <xf numFmtId="3" fontId="34" fillId="0" borderId="57" xfId="0" applyNumberFormat="1" applyFont="1" applyBorder="1" applyAlignment="1">
      <alignment horizontal="left" vertical="top" wrapText="1"/>
    </xf>
    <xf numFmtId="10" fontId="34" fillId="0" borderId="57" xfId="0" applyNumberFormat="1" applyFont="1" applyBorder="1" applyAlignment="1">
      <alignment horizontal="left" vertical="top" wrapText="1"/>
    </xf>
    <xf numFmtId="4" fontId="35" fillId="0" borderId="57" xfId="0" applyNumberFormat="1" applyFont="1" applyBorder="1" applyAlignment="1">
      <alignment horizontal="left" vertical="top" wrapText="1"/>
    </xf>
    <xf numFmtId="4" fontId="35" fillId="0" borderId="60" xfId="0" applyNumberFormat="1" applyFont="1" applyBorder="1" applyAlignment="1">
      <alignment horizontal="left" vertical="top" wrapText="1"/>
    </xf>
    <xf numFmtId="0" fontId="70" fillId="0" borderId="0" xfId="0" applyFont="1" applyAlignment="1">
      <alignment horizontal="left" vertical="top"/>
    </xf>
    <xf numFmtId="0" fontId="0" fillId="0" borderId="0" xfId="0"/>
    <xf numFmtId="0" fontId="0" fillId="0" borderId="0" xfId="0"/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0" fillId="14" borderId="0" xfId="0" applyFont="1" applyFill="1" applyAlignment="1">
      <alignment vertical="top"/>
    </xf>
    <xf numFmtId="0" fontId="83" fillId="14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0" fillId="0" borderId="0" xfId="0"/>
    <xf numFmtId="1" fontId="80" fillId="0" borderId="0" xfId="0" applyNumberFormat="1" applyFont="1"/>
    <xf numFmtId="1" fontId="66" fillId="0" borderId="0" xfId="0" applyNumberFormat="1" applyFont="1"/>
    <xf numFmtId="1" fontId="66" fillId="0" borderId="0" xfId="0" applyNumberFormat="1" applyFont="1" applyAlignment="1">
      <alignment vertical="center"/>
    </xf>
    <xf numFmtId="1" fontId="0" fillId="0" borderId="0" xfId="0" applyNumberFormat="1" applyAlignment="1">
      <alignment vertical="center"/>
    </xf>
    <xf numFmtId="1" fontId="0" fillId="0" borderId="0" xfId="0" applyNumberFormat="1" applyFont="1"/>
    <xf numFmtId="1" fontId="66" fillId="30" borderId="0" xfId="0" applyNumberFormat="1" applyFont="1" applyFill="1"/>
    <xf numFmtId="0" fontId="70" fillId="0" borderId="0" xfId="0" applyFont="1" applyAlignment="1">
      <alignment horizontal="left" vertical="top"/>
    </xf>
    <xf numFmtId="0" fontId="0" fillId="0" borderId="0" xfId="0"/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0" fillId="0" borderId="0" xfId="0"/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10" fontId="0" fillId="15" borderId="0" xfId="0" applyNumberFormat="1" applyFill="1" applyAlignment="1">
      <alignment horizontal="right" vertical="center" wrapText="1"/>
    </xf>
    <xf numFmtId="170" fontId="0" fillId="15" borderId="0" xfId="0" applyNumberFormat="1" applyFill="1" applyAlignment="1">
      <alignment horizontal="right" vertical="center" wrapText="1"/>
    </xf>
    <xf numFmtId="0" fontId="0" fillId="0" borderId="0" xfId="0"/>
    <xf numFmtId="0" fontId="66" fillId="0" borderId="0" xfId="0" applyFont="1" applyFill="1" applyAlignment="1">
      <alignment wrapText="1"/>
    </xf>
    <xf numFmtId="175" fontId="66" fillId="0" borderId="0" xfId="0" applyNumberFormat="1" applyFont="1" applyFill="1"/>
    <xf numFmtId="1" fontId="66" fillId="15" borderId="0" xfId="0" applyNumberFormat="1" applyFont="1" applyFill="1" applyAlignment="1">
      <alignment horizontal="center" vertical="center" wrapText="1"/>
    </xf>
    <xf numFmtId="1" fontId="66" fillId="34" borderId="0" xfId="0" applyNumberFormat="1" applyFont="1" applyFill="1" applyAlignment="1">
      <alignment horizontal="center" vertical="center" wrapText="1"/>
    </xf>
    <xf numFmtId="0" fontId="76" fillId="0" borderId="0" xfId="0" applyFont="1" applyFill="1"/>
    <xf numFmtId="0" fontId="76" fillId="0" borderId="0" xfId="0" applyFont="1" applyFill="1" applyAlignment="1">
      <alignment horizontal="left"/>
    </xf>
    <xf numFmtId="175" fontId="66" fillId="0" borderId="0" xfId="0" applyNumberFormat="1" applyFont="1" applyFill="1" applyAlignment="1">
      <alignment horizontal="left"/>
    </xf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0" fontId="0" fillId="0" borderId="0" xfId="0"/>
    <xf numFmtId="49" fontId="67" fillId="15" borderId="0" xfId="0" applyNumberFormat="1" applyFont="1" applyFill="1" applyAlignment="1">
      <alignment horizontal="right" vertical="center" wrapText="1"/>
    </xf>
    <xf numFmtId="49" fontId="95" fillId="15" borderId="0" xfId="0" applyNumberFormat="1" applyFont="1" applyFill="1" applyAlignment="1">
      <alignment horizontal="left" vertical="center" wrapText="1"/>
    </xf>
    <xf numFmtId="0" fontId="95" fillId="15" borderId="0" xfId="0" applyNumberFormat="1" applyFont="1" applyFill="1" applyAlignment="1">
      <alignment horizontal="left" vertical="center" wrapText="1"/>
    </xf>
    <xf numFmtId="1" fontId="67" fillId="15" borderId="0" xfId="0" applyNumberFormat="1" applyFont="1" applyFill="1" applyAlignment="1">
      <alignment vertical="center" wrapText="1"/>
    </xf>
    <xf numFmtId="0" fontId="67" fillId="15" borderId="0" xfId="0" applyFont="1" applyFill="1" applyAlignment="1">
      <alignment vertical="center" wrapText="1"/>
    </xf>
    <xf numFmtId="0" fontId="67" fillId="15" borderId="0" xfId="0" applyFont="1" applyFill="1" applyAlignment="1">
      <alignment horizontal="center" vertical="center" wrapText="1"/>
    </xf>
    <xf numFmtId="1" fontId="67" fillId="15" borderId="0" xfId="0" applyNumberFormat="1" applyFont="1" applyFill="1" applyAlignment="1">
      <alignment horizontal="center" vertical="center" wrapText="1"/>
    </xf>
    <xf numFmtId="0" fontId="67" fillId="15" borderId="0" xfId="0" applyFont="1" applyFill="1" applyAlignment="1">
      <alignment horizontal="left" vertical="center" wrapText="1"/>
    </xf>
    <xf numFmtId="170" fontId="67" fillId="15" borderId="0" xfId="0" applyNumberFormat="1" applyFont="1" applyFill="1" applyAlignment="1">
      <alignment horizontal="right" vertical="center" wrapText="1"/>
    </xf>
    <xf numFmtId="10" fontId="67" fillId="15" borderId="0" xfId="0" applyNumberFormat="1" applyFont="1" applyFill="1" applyAlignment="1">
      <alignment horizontal="right" vertical="center" wrapText="1"/>
    </xf>
    <xf numFmtId="0" fontId="81" fillId="8" borderId="0" xfId="0" applyFont="1" applyFill="1" applyAlignment="1">
      <alignment horizontal="left" vertical="top" wrapText="1" readingOrder="1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81" fillId="8" borderId="0" xfId="0" applyFont="1" applyFill="1" applyAlignment="1">
      <alignment horizontal="left" vertical="top" wrapText="1" readingOrder="1"/>
    </xf>
    <xf numFmtId="49" fontId="85" fillId="0" borderId="0" xfId="0" applyNumberFormat="1" applyFont="1" applyAlignment="1">
      <alignment horizontal="center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13" fillId="0" borderId="31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left" vertical="center" wrapText="1"/>
    </xf>
    <xf numFmtId="170" fontId="0" fillId="0" borderId="0" xfId="0" applyNumberFormat="1" applyAlignment="1">
      <alignment horizontal="right"/>
    </xf>
    <xf numFmtId="49" fontId="66" fillId="8" borderId="0" xfId="0" applyNumberFormat="1" applyFont="1" applyFill="1" applyAlignment="1">
      <alignment vertical="center" wrapText="1"/>
    </xf>
    <xf numFmtId="0" fontId="0" fillId="0" borderId="0" xfId="0"/>
    <xf numFmtId="0" fontId="0" fillId="0" borderId="0" xfId="0"/>
    <xf numFmtId="49" fontId="66" fillId="8" borderId="0" xfId="0" applyNumberFormat="1" applyFont="1" applyFill="1" applyAlignment="1">
      <alignment horizontal="left" vertical="center" wrapText="1"/>
    </xf>
    <xf numFmtId="0" fontId="0" fillId="0" borderId="0" xfId="0"/>
    <xf numFmtId="170" fontId="66" fillId="15" borderId="0" xfId="0" applyNumberFormat="1" applyFont="1" applyFill="1" applyAlignment="1">
      <alignment horizontal="right" vertical="center" wrapText="1"/>
    </xf>
    <xf numFmtId="10" fontId="66" fillId="21" borderId="0" xfId="0" applyNumberFormat="1" applyFont="1" applyFill="1" applyAlignment="1">
      <alignment horizontal="right" vertical="center" wrapText="1"/>
    </xf>
    <xf numFmtId="170" fontId="66" fillId="8" borderId="0" xfId="0" applyNumberFormat="1" applyFont="1" applyFill="1" applyAlignment="1">
      <alignment horizontal="right" vertical="center" wrapText="1"/>
    </xf>
    <xf numFmtId="10" fontId="66" fillId="8" borderId="0" xfId="0" applyNumberFormat="1" applyFont="1" applyFill="1" applyAlignment="1">
      <alignment horizontal="right" vertical="center" wrapText="1"/>
    </xf>
    <xf numFmtId="0" fontId="81" fillId="8" borderId="0" xfId="0" applyFont="1" applyFill="1" applyAlignment="1">
      <alignment vertical="top" wrapText="1" readingOrder="1"/>
    </xf>
    <xf numFmtId="0" fontId="81" fillId="8" borderId="0" xfId="0" applyFont="1" applyFill="1" applyAlignment="1">
      <alignment horizontal="left" vertical="top" wrapText="1" readingOrder="1"/>
    </xf>
    <xf numFmtId="0" fontId="0" fillId="0" borderId="0" xfId="0"/>
    <xf numFmtId="170" fontId="0" fillId="0" borderId="0" xfId="0" applyNumberFormat="1"/>
    <xf numFmtId="49" fontId="66" fillId="0" borderId="0" xfId="0" applyNumberFormat="1" applyFont="1"/>
    <xf numFmtId="49" fontId="66" fillId="8" borderId="0" xfId="0" applyNumberFormat="1" applyFont="1" applyFill="1" applyAlignment="1">
      <alignment horizontal="center" vertical="center" wrapText="1"/>
    </xf>
    <xf numFmtId="10" fontId="66" fillId="15" borderId="0" xfId="0" applyNumberFormat="1" applyFont="1" applyFill="1" applyAlignment="1">
      <alignment horizontal="right" vertical="center" wrapText="1"/>
    </xf>
    <xf numFmtId="0" fontId="66" fillId="35" borderId="0" xfId="0" applyFont="1" applyFill="1" applyAlignment="1">
      <alignment horizontal="center"/>
    </xf>
    <xf numFmtId="170" fontId="66" fillId="35" borderId="0" xfId="0" applyNumberFormat="1" applyFont="1" applyFill="1"/>
    <xf numFmtId="10" fontId="66" fillId="35" borderId="0" xfId="0" applyNumberFormat="1" applyFont="1" applyFill="1" applyAlignment="1">
      <alignment horizontal="right" vertical="center" wrapText="1"/>
    </xf>
    <xf numFmtId="0" fontId="0" fillId="0" borderId="0" xfId="0"/>
    <xf numFmtId="0" fontId="24" fillId="7" borderId="0" xfId="0" applyFont="1" applyFill="1" applyBorder="1" applyAlignment="1"/>
    <xf numFmtId="0" fontId="0" fillId="0" borderId="0" xfId="0" applyAlignment="1">
      <alignment horizontal="center"/>
    </xf>
    <xf numFmtId="0" fontId="0" fillId="0" borderId="0" xfId="0"/>
    <xf numFmtId="170" fontId="80" fillId="0" borderId="0" xfId="0" applyNumberFormat="1" applyFont="1" applyAlignment="1">
      <alignment horizontal="right"/>
    </xf>
    <xf numFmtId="170" fontId="66" fillId="34" borderId="0" xfId="0" applyNumberFormat="1" applyFont="1" applyFill="1" applyAlignment="1">
      <alignment horizontal="right" vertical="center" wrapText="1"/>
    </xf>
    <xf numFmtId="170" fontId="66" fillId="34" borderId="0" xfId="0" applyNumberFormat="1" applyFont="1" applyFill="1" applyAlignment="1">
      <alignment horizontal="right"/>
    </xf>
    <xf numFmtId="0" fontId="44" fillId="7" borderId="0" xfId="0" applyFont="1" applyFill="1" applyBorder="1" applyAlignment="1"/>
    <xf numFmtId="0" fontId="25" fillId="7" borderId="0" xfId="1" applyFont="1" applyFill="1" applyBorder="1" applyAlignment="1">
      <alignment horizontal="left" vertical="center" wrapText="1"/>
    </xf>
    <xf numFmtId="0" fontId="26" fillId="7" borderId="0" xfId="0" applyFont="1" applyFill="1" applyBorder="1" applyAlignment="1"/>
    <xf numFmtId="0" fontId="24" fillId="7" borderId="0" xfId="1" applyFont="1" applyFill="1" applyBorder="1" applyAlignment="1">
      <alignment horizontal="left" vertical="center"/>
    </xf>
    <xf numFmtId="0" fontId="25" fillId="7" borderId="0" xfId="1" applyFont="1" applyFill="1" applyBorder="1" applyAlignment="1">
      <alignment horizontal="left" vertical="center"/>
    </xf>
    <xf numFmtId="170" fontId="25" fillId="7" borderId="0" xfId="0" applyNumberFormat="1" applyFont="1" applyFill="1" applyBorder="1" applyAlignment="1"/>
    <xf numFmtId="0" fontId="66" fillId="21" borderId="0" xfId="0" applyFont="1" applyFill="1" applyAlignment="1">
      <alignment horizontal="center" vertical="center" wrapText="1"/>
    </xf>
    <xf numFmtId="1" fontId="66" fillId="21" borderId="0" xfId="0" applyNumberFormat="1" applyFont="1" applyFill="1" applyAlignment="1">
      <alignment horizontal="center" vertical="center" wrapText="1"/>
    </xf>
    <xf numFmtId="0" fontId="66" fillId="21" borderId="0" xfId="0" applyFont="1" applyFill="1" applyAlignment="1">
      <alignment horizontal="left" vertical="center" wrapText="1"/>
    </xf>
    <xf numFmtId="170" fontId="66" fillId="21" borderId="0" xfId="0" applyNumberFormat="1" applyFont="1" applyFill="1" applyAlignment="1">
      <alignment horizontal="right" vertical="center" wrapText="1"/>
    </xf>
    <xf numFmtId="0" fontId="0" fillId="0" borderId="0" xfId="0"/>
    <xf numFmtId="49" fontId="66" fillId="34" borderId="0" xfId="0" applyNumberFormat="1" applyFont="1" applyFill="1" applyAlignment="1">
      <alignment horizontal="right"/>
    </xf>
    <xf numFmtId="49" fontId="66" fillId="34" borderId="0" xfId="0" applyNumberFormat="1" applyFont="1" applyFill="1" applyAlignment="1">
      <alignment horizontal="left"/>
    </xf>
    <xf numFmtId="1" fontId="66" fillId="34" borderId="0" xfId="0" applyNumberFormat="1" applyFont="1" applyFill="1" applyAlignment="1">
      <alignment vertical="center" wrapText="1"/>
    </xf>
    <xf numFmtId="0" fontId="66" fillId="34" borderId="0" xfId="0" applyFont="1" applyFill="1" applyAlignment="1">
      <alignment vertical="center" wrapText="1"/>
    </xf>
    <xf numFmtId="0" fontId="66" fillId="34" borderId="0" xfId="0" applyFont="1" applyFill="1" applyAlignment="1">
      <alignment horizontal="center" vertical="center" wrapText="1"/>
    </xf>
    <xf numFmtId="1" fontId="0" fillId="34" borderId="0" xfId="0" applyNumberFormat="1" applyFill="1"/>
    <xf numFmtId="0" fontId="0" fillId="34" borderId="0" xfId="0" applyFill="1"/>
    <xf numFmtId="49" fontId="0" fillId="34" borderId="0" xfId="0" applyNumberFormat="1" applyFill="1" applyAlignment="1">
      <alignment horizontal="right"/>
    </xf>
    <xf numFmtId="49" fontId="0" fillId="34" borderId="0" xfId="0" applyNumberFormat="1" applyFont="1" applyFill="1" applyAlignment="1">
      <alignment horizontal="right"/>
    </xf>
    <xf numFmtId="49" fontId="66" fillId="34" borderId="0" xfId="0" applyNumberFormat="1" applyFont="1" applyFill="1" applyAlignment="1">
      <alignment horizontal="left" vertical="center" wrapText="1"/>
    </xf>
    <xf numFmtId="0" fontId="66" fillId="34" borderId="0" xfId="0" applyFont="1" applyFill="1" applyAlignment="1">
      <alignment horizontal="left" vertical="center" wrapText="1"/>
    </xf>
    <xf numFmtId="0" fontId="0" fillId="34" borderId="0" xfId="0" applyFont="1" applyFill="1" applyAlignment="1">
      <alignment vertical="center" wrapText="1"/>
    </xf>
    <xf numFmtId="1" fontId="66" fillId="34" borderId="0" xfId="0" applyNumberFormat="1" applyFont="1" applyFill="1"/>
    <xf numFmtId="0" fontId="66" fillId="34" borderId="0" xfId="0" applyFont="1" applyFill="1"/>
    <xf numFmtId="10" fontId="66" fillId="34" borderId="0" xfId="0" applyNumberFormat="1" applyFont="1" applyFill="1" applyAlignment="1">
      <alignment horizontal="right"/>
    </xf>
    <xf numFmtId="1" fontId="0" fillId="34" borderId="0" xfId="0" applyNumberFormat="1" applyFont="1" applyFill="1" applyAlignment="1">
      <alignment vertical="center" wrapText="1"/>
    </xf>
    <xf numFmtId="1" fontId="0" fillId="34" borderId="0" xfId="0" applyNumberFormat="1" applyFont="1" applyFill="1"/>
    <xf numFmtId="0" fontId="0" fillId="34" borderId="0" xfId="0" applyFont="1" applyFill="1"/>
    <xf numFmtId="10" fontId="0" fillId="34" borderId="0" xfId="0" applyNumberFormat="1" applyFont="1" applyFill="1" applyAlignment="1">
      <alignment horizontal="right"/>
    </xf>
    <xf numFmtId="1" fontId="0" fillId="34" borderId="0" xfId="0" applyNumberFormat="1" applyFill="1" applyAlignment="1">
      <alignment vertical="center" wrapText="1"/>
    </xf>
    <xf numFmtId="0" fontId="0" fillId="34" borderId="0" xfId="0" applyFill="1" applyAlignment="1">
      <alignment vertical="center" wrapText="1"/>
    </xf>
    <xf numFmtId="0" fontId="80" fillId="8" borderId="0" xfId="0" applyFont="1" applyFill="1" applyAlignment="1">
      <alignment vertical="center" wrapText="1"/>
    </xf>
    <xf numFmtId="170" fontId="0" fillId="34" borderId="0" xfId="0" applyNumberFormat="1" applyFont="1" applyFill="1" applyAlignment="1">
      <alignment horizontal="right"/>
    </xf>
    <xf numFmtId="170" fontId="0" fillId="34" borderId="0" xfId="0" applyNumberFormat="1" applyFill="1" applyAlignment="1">
      <alignment horizontal="right"/>
    </xf>
    <xf numFmtId="49" fontId="0" fillId="34" borderId="0" xfId="0" applyNumberFormat="1" applyFont="1" applyFill="1" applyAlignment="1">
      <alignment horizontal="left"/>
    </xf>
    <xf numFmtId="0" fontId="79" fillId="7" borderId="0" xfId="0" applyFont="1" applyFill="1"/>
    <xf numFmtId="166" fontId="26" fillId="7" borderId="0" xfId="0" applyNumberFormat="1" applyFont="1" applyFill="1" applyBorder="1" applyAlignment="1">
      <alignment horizontal="right"/>
    </xf>
    <xf numFmtId="0" fontId="81" fillId="8" borderId="0" xfId="0" applyFont="1" applyFill="1" applyAlignment="1">
      <alignment horizontal="left" vertical="top" wrapText="1" readingOrder="1"/>
    </xf>
    <xf numFmtId="0" fontId="86" fillId="28" borderId="0" xfId="0" applyFont="1" applyFill="1" applyAlignment="1">
      <alignment horizontal="center" vertical="center" wrapText="1"/>
    </xf>
    <xf numFmtId="0" fontId="68" fillId="5" borderId="0" xfId="0" applyFont="1" applyFill="1" applyBorder="1" applyAlignment="1">
      <alignment horizontal="left"/>
    </xf>
    <xf numFmtId="0" fontId="0" fillId="0" borderId="0" xfId="0"/>
    <xf numFmtId="49" fontId="0" fillId="15" borderId="0" xfId="0" applyNumberFormat="1" applyFill="1" applyAlignment="1">
      <alignment horizontal="right"/>
    </xf>
    <xf numFmtId="49" fontId="66" fillId="15" borderId="0" xfId="0" applyNumberFormat="1" applyFont="1" applyFill="1" applyAlignment="1">
      <alignment horizontal="left"/>
    </xf>
    <xf numFmtId="1" fontId="66" fillId="15" borderId="0" xfId="0" applyNumberFormat="1" applyFont="1" applyFill="1" applyAlignment="1">
      <alignment vertical="center" wrapText="1"/>
    </xf>
    <xf numFmtId="0" fontId="66" fillId="15" borderId="0" xfId="0" applyFont="1" applyFill="1" applyAlignment="1">
      <alignment vertical="center" wrapText="1"/>
    </xf>
    <xf numFmtId="1" fontId="0" fillId="15" borderId="0" xfId="0" applyNumberFormat="1" applyFill="1"/>
    <xf numFmtId="0" fontId="0" fillId="15" borderId="0" xfId="0" applyFill="1"/>
    <xf numFmtId="10" fontId="0" fillId="15" borderId="0" xfId="0" applyNumberFormat="1" applyFill="1" applyAlignment="1">
      <alignment horizontal="right"/>
    </xf>
    <xf numFmtId="0" fontId="66" fillId="8" borderId="0" xfId="0" applyFont="1" applyFill="1" applyAlignment="1">
      <alignment horizontal="center" vertical="center" wrapText="1"/>
    </xf>
    <xf numFmtId="1" fontId="66" fillId="8" borderId="0" xfId="0" applyNumberFormat="1" applyFont="1" applyFill="1" applyAlignment="1">
      <alignment horizontal="center" vertical="center" wrapText="1"/>
    </xf>
    <xf numFmtId="0" fontId="66" fillId="8" borderId="0" xfId="0" applyFont="1" applyFill="1" applyAlignment="1">
      <alignment horizontal="left" vertical="center" wrapText="1"/>
    </xf>
    <xf numFmtId="1" fontId="66" fillId="8" borderId="0" xfId="0" applyNumberFormat="1" applyFont="1" applyFill="1" applyAlignment="1">
      <alignment vertical="center" wrapText="1"/>
    </xf>
    <xf numFmtId="170" fontId="66" fillId="14" borderId="0" xfId="0" applyNumberFormat="1" applyFont="1" applyFill="1" applyAlignment="1">
      <alignment horizontal="right"/>
    </xf>
    <xf numFmtId="49" fontId="66" fillId="14" borderId="0" xfId="0" applyNumberFormat="1" applyFont="1" applyFill="1" applyAlignment="1">
      <alignment vertical="center"/>
    </xf>
    <xf numFmtId="0" fontId="66" fillId="8" borderId="0" xfId="0" applyFont="1" applyFill="1" applyAlignment="1"/>
    <xf numFmtId="0" fontId="66" fillId="8" borderId="0" xfId="0" applyFont="1" applyFill="1" applyAlignment="1">
      <alignment horizontal="center"/>
    </xf>
    <xf numFmtId="170" fontId="66" fillId="8" borderId="0" xfId="0" applyNumberFormat="1" applyFont="1" applyFill="1" applyAlignment="1">
      <alignment horizontal="right"/>
    </xf>
    <xf numFmtId="170" fontId="0" fillId="34" borderId="0" xfId="0" applyNumberFormat="1" applyFont="1" applyFill="1" applyAlignment="1">
      <alignment horizontal="right" vertical="center" wrapText="1"/>
    </xf>
    <xf numFmtId="49" fontId="0" fillId="14" borderId="0" xfId="0" applyNumberFormat="1" applyFont="1" applyFill="1" applyAlignment="1">
      <alignment vertical="center"/>
    </xf>
    <xf numFmtId="170" fontId="0" fillId="14" borderId="0" xfId="0" applyNumberFormat="1" applyFont="1" applyFill="1" applyAlignment="1">
      <alignment horizontal="right"/>
    </xf>
    <xf numFmtId="10" fontId="0" fillId="14" borderId="0" xfId="0" applyNumberFormat="1" applyFont="1" applyFill="1" applyAlignment="1">
      <alignment horizontal="right" vertical="center" wrapText="1"/>
    </xf>
    <xf numFmtId="10" fontId="66" fillId="15" borderId="0" xfId="0" applyNumberFormat="1" applyFont="1" applyFill="1" applyAlignment="1">
      <alignment horizontal="right"/>
    </xf>
    <xf numFmtId="0" fontId="0" fillId="15" borderId="0" xfId="0" applyFont="1" applyFill="1" applyAlignment="1">
      <alignment horizontal="center" vertical="center" wrapText="1"/>
    </xf>
    <xf numFmtId="49" fontId="66" fillId="8" borderId="0" xfId="0" applyNumberFormat="1" applyFont="1" applyFill="1" applyAlignment="1">
      <alignment horizontal="right" vertical="center"/>
    </xf>
    <xf numFmtId="49" fontId="66" fillId="8" borderId="0" xfId="0" applyNumberFormat="1" applyFont="1" applyFill="1" applyAlignment="1">
      <alignment vertical="center"/>
    </xf>
    <xf numFmtId="49" fontId="66" fillId="15" borderId="0" xfId="0" applyNumberFormat="1" applyFont="1" applyFill="1" applyAlignment="1">
      <alignment vertical="center"/>
    </xf>
    <xf numFmtId="49" fontId="66" fillId="15" borderId="0" xfId="0" applyNumberFormat="1" applyFont="1" applyFill="1" applyAlignment="1">
      <alignment horizontal="right" vertical="center"/>
    </xf>
    <xf numFmtId="0" fontId="66" fillId="15" borderId="0" xfId="0" applyFont="1" applyFill="1" applyAlignment="1">
      <alignment horizontal="left" vertical="center" wrapText="1"/>
    </xf>
    <xf numFmtId="49" fontId="66" fillId="15" borderId="0" xfId="0" applyNumberFormat="1" applyFont="1" applyFill="1" applyAlignment="1">
      <alignment horizontal="right" vertical="center" wrapText="1"/>
    </xf>
    <xf numFmtId="0" fontId="66" fillId="15" borderId="0" xfId="0" applyNumberFormat="1" applyFont="1" applyFill="1" applyAlignment="1">
      <alignment horizontal="right" vertical="center" wrapText="1"/>
    </xf>
    <xf numFmtId="0" fontId="66" fillId="15" borderId="0" xfId="0" applyNumberFormat="1" applyFont="1" applyFill="1" applyAlignment="1">
      <alignment horizontal="right" vertical="center"/>
    </xf>
    <xf numFmtId="49" fontId="0" fillId="15" borderId="0" xfId="0" applyNumberFormat="1" applyFont="1" applyFill="1" applyAlignment="1">
      <alignment horizontal="right" vertical="center" wrapText="1"/>
    </xf>
    <xf numFmtId="170" fontId="66" fillId="8" borderId="0" xfId="0" applyNumberFormat="1" applyFont="1" applyFill="1"/>
    <xf numFmtId="0" fontId="81" fillId="8" borderId="0" xfId="0" applyFont="1" applyFill="1" applyAlignment="1">
      <alignment horizontal="left" vertical="top" wrapText="1" readingOrder="1"/>
    </xf>
    <xf numFmtId="0" fontId="24" fillId="7" borderId="0" xfId="0" applyFont="1" applyFill="1" applyBorder="1" applyAlignment="1">
      <alignment horizontal="center"/>
    </xf>
    <xf numFmtId="0" fontId="24" fillId="7" borderId="0" xfId="0" applyFont="1" applyFill="1" applyBorder="1" applyAlignment="1" applyProtection="1">
      <alignment horizontal="center"/>
      <protection locked="0"/>
    </xf>
    <xf numFmtId="0" fontId="26" fillId="7" borderId="0" xfId="0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 textRotation="90"/>
    </xf>
    <xf numFmtId="0" fontId="25" fillId="7" borderId="0" xfId="0" applyFont="1" applyFill="1" applyBorder="1" applyAlignment="1">
      <alignment horizontal="center"/>
    </xf>
    <xf numFmtId="0" fontId="86" fillId="28" borderId="0" xfId="0" applyFont="1" applyFill="1" applyAlignment="1">
      <alignment horizontal="center" vertical="center" wrapText="1"/>
    </xf>
    <xf numFmtId="170" fontId="0" fillId="15" borderId="0" xfId="0" applyNumberFormat="1" applyFill="1" applyAlignment="1">
      <alignment horizontal="right" vertical="center" wrapText="1"/>
    </xf>
    <xf numFmtId="170" fontId="80" fillId="0" borderId="0" xfId="0" applyNumberFormat="1" applyFont="1"/>
    <xf numFmtId="170" fontId="86" fillId="28" borderId="0" xfId="0" applyNumberFormat="1" applyFont="1" applyFill="1" applyAlignment="1">
      <alignment horizontal="center" vertical="center" wrapText="1"/>
    </xf>
    <xf numFmtId="170" fontId="66" fillId="0" borderId="0" xfId="0" applyNumberFormat="1" applyFont="1"/>
    <xf numFmtId="170" fontId="66" fillId="0" borderId="0" xfId="0" applyNumberFormat="1" applyFont="1" applyAlignment="1">
      <alignment vertical="center"/>
    </xf>
    <xf numFmtId="170" fontId="0" fillId="0" borderId="0" xfId="0" applyNumberFormat="1" applyAlignment="1">
      <alignment vertical="center"/>
    </xf>
    <xf numFmtId="170" fontId="0" fillId="0" borderId="0" xfId="0" applyNumberFormat="1" applyFont="1"/>
    <xf numFmtId="170" fontId="66" fillId="0" borderId="0" xfId="0" applyNumberFormat="1" applyFont="1" applyAlignment="1">
      <alignment horizontal="center" vertical="center" wrapText="1"/>
    </xf>
    <xf numFmtId="170" fontId="0" fillId="0" borderId="0" xfId="0" applyNumberFormat="1" applyAlignment="1">
      <alignment horizontal="center" vertical="center" wrapText="1"/>
    </xf>
    <xf numFmtId="170" fontId="66" fillId="0" borderId="0" xfId="0" applyNumberFormat="1" applyFont="1" applyAlignment="1">
      <alignment vertical="center" wrapText="1"/>
    </xf>
    <xf numFmtId="0" fontId="66" fillId="0" borderId="0" xfId="0" applyFont="1" applyAlignment="1">
      <alignment horizontal="right"/>
    </xf>
    <xf numFmtId="10" fontId="66" fillId="0" borderId="0" xfId="0" applyNumberFormat="1" applyFont="1" applyAlignment="1">
      <alignment horizontal="right"/>
    </xf>
    <xf numFmtId="0" fontId="24" fillId="7" borderId="0" xfId="0" applyFont="1" applyFill="1" applyBorder="1" applyAlignment="1" applyProtection="1">
      <protection locked="0"/>
    </xf>
    <xf numFmtId="170" fontId="44" fillId="7" borderId="0" xfId="0" applyNumberFormat="1" applyFont="1" applyFill="1"/>
    <xf numFmtId="170" fontId="24" fillId="7" borderId="28" xfId="0" applyNumberFormat="1" applyFont="1" applyFill="1" applyBorder="1" applyAlignment="1">
      <alignment horizontal="center" vertical="center"/>
    </xf>
    <xf numFmtId="170" fontId="25" fillId="7" borderId="0" xfId="0" applyNumberFormat="1" applyFont="1" applyFill="1" applyBorder="1" applyProtection="1">
      <protection locked="0"/>
    </xf>
    <xf numFmtId="170" fontId="25" fillId="7" borderId="0" xfId="0" applyNumberFormat="1" applyFont="1" applyFill="1" applyBorder="1"/>
    <xf numFmtId="170" fontId="26" fillId="7" borderId="0" xfId="0" applyNumberFormat="1" applyFont="1" applyFill="1" applyBorder="1"/>
    <xf numFmtId="170" fontId="24" fillId="7" borderId="0" xfId="0" applyNumberFormat="1" applyFont="1" applyFill="1" applyBorder="1" applyProtection="1">
      <protection locked="0"/>
    </xf>
    <xf numFmtId="170" fontId="25" fillId="7" borderId="0" xfId="0" applyNumberFormat="1" applyFont="1" applyFill="1" applyBorder="1" applyAlignment="1">
      <alignment horizontal="left"/>
    </xf>
    <xf numFmtId="170" fontId="25" fillId="7" borderId="0" xfId="0" applyNumberFormat="1" applyFont="1" applyFill="1" applyBorder="1" applyAlignment="1" applyProtection="1">
      <protection locked="0"/>
    </xf>
    <xf numFmtId="170" fontId="24" fillId="7" borderId="0" xfId="0" applyNumberFormat="1" applyFont="1" applyFill="1" applyBorder="1" applyAlignment="1" applyProtection="1">
      <alignment horizontal="left"/>
      <protection locked="0"/>
    </xf>
    <xf numFmtId="170" fontId="44" fillId="7" borderId="0" xfId="0" applyNumberFormat="1" applyFont="1" applyFill="1" applyBorder="1"/>
    <xf numFmtId="170" fontId="26" fillId="7" borderId="0" xfId="0" applyNumberFormat="1" applyFont="1" applyFill="1" applyBorder="1" applyAlignment="1">
      <alignment wrapText="1"/>
    </xf>
    <xf numFmtId="170" fontId="44" fillId="7" borderId="0" xfId="0" applyNumberFormat="1" applyFont="1" applyFill="1" applyBorder="1" applyAlignment="1">
      <alignment wrapText="1"/>
    </xf>
    <xf numFmtId="170" fontId="24" fillId="7" borderId="0" xfId="0" applyNumberFormat="1" applyFont="1" applyFill="1" applyBorder="1" applyAlignment="1">
      <alignment horizontal="left"/>
    </xf>
    <xf numFmtId="170" fontId="81" fillId="8" borderId="0" xfId="0" applyNumberFormat="1" applyFont="1" applyFill="1" applyAlignment="1">
      <alignment horizontal="left" vertical="top" wrapText="1" readingOrder="1"/>
    </xf>
    <xf numFmtId="170" fontId="81" fillId="8" borderId="0" xfId="0" applyNumberFormat="1" applyFont="1" applyFill="1" applyAlignment="1">
      <alignment vertical="top" wrapText="1" readingOrder="1"/>
    </xf>
    <xf numFmtId="170" fontId="43" fillId="7" borderId="0" xfId="0" applyNumberFormat="1" applyFont="1" applyFill="1" applyBorder="1" applyAlignment="1">
      <alignment horizontal="left" vertical="center" wrapText="1"/>
    </xf>
    <xf numFmtId="170" fontId="24" fillId="7" borderId="0" xfId="0" applyNumberFormat="1" applyFont="1" applyFill="1" applyBorder="1" applyAlignment="1"/>
    <xf numFmtId="170" fontId="75" fillId="0" borderId="0" xfId="0" applyNumberFormat="1" applyFont="1" applyAlignment="1">
      <alignment vertical="top"/>
    </xf>
    <xf numFmtId="170" fontId="26" fillId="7" borderId="0" xfId="0" applyNumberFormat="1" applyFont="1" applyFill="1"/>
    <xf numFmtId="170" fontId="24" fillId="7" borderId="0" xfId="1" applyNumberFormat="1" applyFont="1" applyFill="1" applyBorder="1" applyAlignment="1">
      <alignment horizontal="left" vertical="center"/>
    </xf>
    <xf numFmtId="170" fontId="80" fillId="8" borderId="0" xfId="0" applyNumberFormat="1" applyFont="1" applyFill="1" applyAlignment="1">
      <alignment vertical="center" wrapText="1"/>
    </xf>
    <xf numFmtId="10" fontId="26" fillId="7" borderId="0" xfId="0" applyNumberFormat="1" applyFont="1" applyFill="1" applyBorder="1" applyAlignment="1">
      <alignment horizontal="left"/>
    </xf>
    <xf numFmtId="170" fontId="26" fillId="7" borderId="0" xfId="0" applyNumberFormat="1" applyFont="1" applyFill="1" applyBorder="1" applyAlignment="1">
      <alignment horizontal="left"/>
    </xf>
    <xf numFmtId="0" fontId="68" fillId="8" borderId="0" xfId="0" applyFont="1" applyFill="1" applyAlignment="1">
      <alignment vertical="center" wrapText="1"/>
    </xf>
    <xf numFmtId="170" fontId="68" fillId="8" borderId="0" xfId="0" applyNumberFormat="1" applyFont="1" applyFill="1" applyAlignment="1">
      <alignment vertical="center" wrapText="1"/>
    </xf>
    <xf numFmtId="49" fontId="68" fillId="8" borderId="0" xfId="0" applyNumberFormat="1" applyFont="1" applyFill="1" applyAlignment="1">
      <alignment vertical="center" wrapText="1"/>
    </xf>
    <xf numFmtId="170" fontId="26" fillId="7" borderId="0" xfId="0" applyNumberFormat="1" applyFont="1" applyFill="1" applyAlignment="1">
      <alignment horizontal="left"/>
    </xf>
    <xf numFmtId="49" fontId="80" fillId="8" borderId="0" xfId="0" applyNumberFormat="1" applyFont="1" applyFill="1" applyAlignment="1">
      <alignment horizontal="left" vertical="center" wrapText="1"/>
    </xf>
    <xf numFmtId="0" fontId="80" fillId="8" borderId="0" xfId="0" applyFont="1" applyFill="1" applyAlignment="1">
      <alignment wrapText="1"/>
    </xf>
    <xf numFmtId="0" fontId="80" fillId="8" borderId="0" xfId="0" applyFont="1" applyFill="1"/>
    <xf numFmtId="0" fontId="26" fillId="7" borderId="0" xfId="0" applyFont="1" applyFill="1" applyAlignment="1">
      <alignment horizontal="left"/>
    </xf>
    <xf numFmtId="0" fontId="98" fillId="0" borderId="0" xfId="0" applyFont="1" applyAlignment="1">
      <alignment vertical="top"/>
    </xf>
    <xf numFmtId="170" fontId="98" fillId="0" borderId="0" xfId="0" applyNumberFormat="1" applyFont="1" applyAlignment="1">
      <alignment vertical="top"/>
    </xf>
    <xf numFmtId="170" fontId="80" fillId="8" borderId="0" xfId="0" applyNumberFormat="1" applyFont="1" applyFill="1" applyAlignment="1">
      <alignment horizontal="right" vertical="center" wrapText="1"/>
    </xf>
    <xf numFmtId="170" fontId="26" fillId="7" borderId="0" xfId="0" applyNumberFormat="1" applyFont="1" applyFill="1" applyAlignment="1">
      <alignment horizontal="right"/>
    </xf>
    <xf numFmtId="170" fontId="85" fillId="0" borderId="0" xfId="0" applyNumberFormat="1" applyFont="1" applyAlignment="1">
      <alignment horizontal="right"/>
    </xf>
    <xf numFmtId="170" fontId="81" fillId="8" borderId="0" xfId="0" applyNumberFormat="1" applyFont="1" applyFill="1" applyAlignment="1">
      <alignment horizontal="right" vertical="top"/>
    </xf>
    <xf numFmtId="170" fontId="68" fillId="5" borderId="0" xfId="0" applyNumberFormat="1" applyFont="1" applyFill="1" applyBorder="1" applyAlignment="1">
      <alignment horizontal="right"/>
    </xf>
    <xf numFmtId="170" fontId="66" fillId="35" borderId="0" xfId="0" applyNumberFormat="1" applyFont="1" applyFill="1" applyAlignment="1">
      <alignment horizontal="right"/>
    </xf>
    <xf numFmtId="170" fontId="66" fillId="8" borderId="0" xfId="0" applyNumberFormat="1" applyFont="1" applyFill="1" applyAlignment="1">
      <alignment horizontal="right" vertical="center"/>
    </xf>
    <xf numFmtId="170" fontId="66" fillId="0" borderId="0" xfId="0" applyNumberFormat="1" applyFont="1" applyAlignment="1">
      <alignment horizontal="right"/>
    </xf>
    <xf numFmtId="0" fontId="86" fillId="28" borderId="0" xfId="0" applyFont="1" applyFill="1" applyAlignment="1">
      <alignment horizontal="center" vertical="center" wrapText="1"/>
    </xf>
    <xf numFmtId="0" fontId="12" fillId="19" borderId="0" xfId="0" applyFont="1" applyFill="1" applyAlignment="1">
      <alignment horizontal="center" vertical="center" wrapText="1" readingOrder="1"/>
    </xf>
    <xf numFmtId="0" fontId="3" fillId="19" borderId="0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81" fillId="8" borderId="0" xfId="0" applyFont="1" applyFill="1" applyAlignment="1">
      <alignment horizontal="left" vertical="top" wrapText="1" readingOrder="1"/>
    </xf>
    <xf numFmtId="0" fontId="25" fillId="7" borderId="0" xfId="0" applyFont="1" applyFill="1" applyBorder="1" applyAlignment="1">
      <alignment horizontal="center"/>
    </xf>
    <xf numFmtId="0" fontId="86" fillId="28" borderId="0" xfId="0" applyFont="1" applyFill="1" applyAlignment="1">
      <alignment horizontal="center" vertical="center" wrapText="1"/>
    </xf>
    <xf numFmtId="170" fontId="25" fillId="7" borderId="0" xfId="0" applyNumberFormat="1" applyFont="1" applyFill="1" applyBorder="1" applyAlignment="1" applyProtection="1">
      <alignment horizontal="right"/>
      <protection locked="0"/>
    </xf>
    <xf numFmtId="0" fontId="81" fillId="8" borderId="0" xfId="0" applyFont="1" applyFill="1" applyAlignment="1">
      <alignment horizontal="left" vertical="top" wrapText="1" readingOrder="1"/>
    </xf>
    <xf numFmtId="0" fontId="24" fillId="7" borderId="0" xfId="0" applyFont="1" applyFill="1" applyBorder="1" applyAlignment="1">
      <alignment horizontal="center"/>
    </xf>
    <xf numFmtId="0" fontId="86" fillId="28" borderId="0" xfId="0" applyFont="1" applyFill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left" vertical="center"/>
    </xf>
    <xf numFmtId="0" fontId="3" fillId="8" borderId="0" xfId="0" applyFont="1" applyFill="1" applyBorder="1" applyAlignment="1">
      <alignment vertical="center"/>
    </xf>
    <xf numFmtId="170" fontId="3" fillId="8" borderId="0" xfId="0" applyNumberFormat="1" applyFont="1" applyFill="1" applyBorder="1" applyAlignment="1">
      <alignment horizontal="left" vertical="center" wrapText="1"/>
    </xf>
    <xf numFmtId="10" fontId="3" fillId="8" borderId="0" xfId="0" applyNumberFormat="1" applyFont="1" applyFill="1" applyBorder="1" applyAlignment="1">
      <alignment horizontal="center"/>
    </xf>
    <xf numFmtId="0" fontId="12" fillId="8" borderId="0" xfId="0" applyFont="1" applyFill="1" applyAlignment="1">
      <alignment vertical="top"/>
    </xf>
    <xf numFmtId="170" fontId="12" fillId="8" borderId="0" xfId="0" applyNumberFormat="1" applyFont="1" applyFill="1" applyAlignment="1">
      <alignment vertical="top"/>
    </xf>
    <xf numFmtId="170" fontId="12" fillId="8" borderId="0" xfId="0" applyNumberFormat="1" applyFont="1" applyFill="1" applyAlignment="1">
      <alignment horizontal="left" vertical="top"/>
    </xf>
    <xf numFmtId="10" fontId="12" fillId="8" borderId="0" xfId="0" applyNumberFormat="1" applyFont="1" applyFill="1" applyAlignment="1">
      <alignment horizontal="left" vertical="top"/>
    </xf>
    <xf numFmtId="0" fontId="11" fillId="8" borderId="0" xfId="0" applyFont="1" applyFill="1" applyAlignment="1">
      <alignment vertical="top"/>
    </xf>
    <xf numFmtId="170" fontId="11" fillId="8" borderId="0" xfId="0" applyNumberFormat="1" applyFont="1" applyFill="1" applyAlignment="1">
      <alignment vertical="top"/>
    </xf>
    <xf numFmtId="170" fontId="11" fillId="8" borderId="0" xfId="0" applyNumberFormat="1" applyFont="1" applyFill="1" applyAlignment="1">
      <alignment horizontal="left" vertical="top"/>
    </xf>
    <xf numFmtId="10" fontId="11" fillId="8" borderId="0" xfId="0" applyNumberFormat="1" applyFont="1" applyFill="1" applyAlignment="1">
      <alignment horizontal="left" vertical="top"/>
    </xf>
    <xf numFmtId="0" fontId="12" fillId="8" borderId="0" xfId="0" applyFont="1" applyFill="1" applyAlignment="1">
      <alignment vertical="top" wrapText="1" readingOrder="1"/>
    </xf>
    <xf numFmtId="0" fontId="24" fillId="7" borderId="0" xfId="0" applyFont="1" applyFill="1" applyBorder="1" applyAlignment="1">
      <alignment horizontal="center"/>
    </xf>
    <xf numFmtId="0" fontId="86" fillId="28" borderId="0" xfId="0" applyFont="1" applyFill="1" applyAlignment="1">
      <alignment horizontal="center" vertical="center" wrapText="1"/>
    </xf>
    <xf numFmtId="49" fontId="66" fillId="15" borderId="0" xfId="0" applyNumberFormat="1" applyFont="1" applyFill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166" fontId="26" fillId="7" borderId="0" xfId="0" applyNumberFormat="1" applyFont="1" applyFill="1" applyBorder="1" applyAlignment="1">
      <alignment horizontal="center" vertical="center"/>
    </xf>
    <xf numFmtId="166" fontId="26" fillId="7" borderId="0" xfId="0" applyNumberFormat="1" applyFont="1" applyFill="1" applyBorder="1" applyAlignment="1">
      <alignment horizontal="left" vertical="center"/>
    </xf>
    <xf numFmtId="49" fontId="66" fillId="0" borderId="0" xfId="0" applyNumberFormat="1" applyFont="1" applyAlignment="1"/>
    <xf numFmtId="166" fontId="25" fillId="7" borderId="0" xfId="0" applyNumberFormat="1" applyFont="1" applyFill="1" applyBorder="1" applyAlignment="1">
      <alignment horizontal="left" vertical="center"/>
    </xf>
    <xf numFmtId="0" fontId="86" fillId="28" borderId="0" xfId="0" applyFont="1" applyFill="1" applyAlignment="1">
      <alignment horizontal="center" vertical="center" wrapText="1"/>
    </xf>
    <xf numFmtId="170" fontId="24" fillId="7" borderId="0" xfId="0" applyNumberFormat="1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25" fillId="7" borderId="0" xfId="0" applyFont="1" applyFill="1" applyBorder="1" applyAlignment="1">
      <alignment horizontal="center"/>
    </xf>
    <xf numFmtId="0" fontId="99" fillId="7" borderId="0" xfId="0" applyFont="1" applyFill="1" applyBorder="1" applyAlignment="1">
      <alignment wrapText="1"/>
    </xf>
    <xf numFmtId="4" fontId="26" fillId="7" borderId="0" xfId="0" applyNumberFormat="1" applyFont="1" applyFill="1"/>
    <xf numFmtId="166" fontId="80" fillId="8" borderId="0" xfId="0" applyNumberFormat="1" applyFont="1" applyFill="1" applyAlignment="1">
      <alignment vertical="center" wrapText="1"/>
    </xf>
    <xf numFmtId="4" fontId="80" fillId="8" borderId="0" xfId="0" applyNumberFormat="1" applyFont="1" applyFill="1" applyAlignment="1">
      <alignment vertical="center" wrapText="1"/>
    </xf>
    <xf numFmtId="0" fontId="26" fillId="7" borderId="0" xfId="0" applyFont="1" applyFill="1" applyAlignment="1">
      <alignment vertical="center"/>
    </xf>
    <xf numFmtId="170" fontId="71" fillId="8" borderId="0" xfId="0" applyNumberFormat="1" applyFont="1" applyFill="1" applyAlignment="1">
      <alignment vertical="top"/>
    </xf>
    <xf numFmtId="0" fontId="66" fillId="15" borderId="0" xfId="0" applyFont="1" applyFill="1"/>
    <xf numFmtId="1" fontId="66" fillId="15" borderId="0" xfId="0" applyNumberFormat="1" applyFont="1" applyFill="1"/>
    <xf numFmtId="0" fontId="24" fillId="7" borderId="0" xfId="0" applyFont="1" applyFill="1" applyBorder="1" applyAlignment="1">
      <alignment horizontal="center"/>
    </xf>
    <xf numFmtId="0" fontId="66" fillId="15" borderId="0" xfId="0" applyNumberFormat="1" applyFont="1" applyFill="1" applyAlignment="1">
      <alignment horizontal="right" vertical="center"/>
    </xf>
    <xf numFmtId="49" fontId="66" fillId="15" borderId="0" xfId="0" applyNumberFormat="1" applyFont="1" applyFill="1" applyAlignment="1">
      <alignment horizontal="right" vertical="center"/>
    </xf>
    <xf numFmtId="49" fontId="66" fillId="15" borderId="0" xfId="0" applyNumberFormat="1" applyFont="1" applyFill="1" applyAlignment="1">
      <alignment horizontal="right" vertical="center"/>
    </xf>
    <xf numFmtId="0" fontId="66" fillId="15" borderId="0" xfId="0" applyNumberFormat="1" applyFont="1" applyFill="1" applyAlignment="1">
      <alignment horizontal="right" vertical="center"/>
    </xf>
    <xf numFmtId="10" fontId="0" fillId="15" borderId="0" xfId="0" applyNumberFormat="1" applyFill="1" applyAlignment="1">
      <alignment horizontal="right" vertical="center" wrapText="1"/>
    </xf>
    <xf numFmtId="0" fontId="66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1" fillId="8" borderId="0" xfId="0" applyFont="1" applyFill="1" applyAlignment="1">
      <alignment horizontal="left" vertical="top" wrapText="1" readingOrder="1"/>
    </xf>
    <xf numFmtId="0" fontId="86" fillId="28" borderId="0" xfId="0" applyFont="1" applyFill="1" applyAlignment="1">
      <alignment horizontal="center" vertical="center" wrapText="1"/>
    </xf>
    <xf numFmtId="49" fontId="85" fillId="0" borderId="0" xfId="0" applyNumberFormat="1" applyFont="1" applyAlignment="1">
      <alignment horizontal="center"/>
    </xf>
    <xf numFmtId="0" fontId="66" fillId="15" borderId="0" xfId="0" applyNumberFormat="1" applyFont="1" applyFill="1" applyAlignment="1">
      <alignment horizontal="right" vertical="center"/>
    </xf>
    <xf numFmtId="0" fontId="66" fillId="8" borderId="0" xfId="0" applyFont="1" applyFill="1" applyAlignment="1">
      <alignment horizontal="center"/>
    </xf>
    <xf numFmtId="49" fontId="66" fillId="15" borderId="0" xfId="0" applyNumberFormat="1" applyFont="1" applyFill="1" applyAlignment="1">
      <alignment horizontal="right" vertical="center"/>
    </xf>
    <xf numFmtId="0" fontId="68" fillId="5" borderId="0" xfId="0" applyFont="1" applyFill="1" applyBorder="1" applyAlignment="1">
      <alignment horizontal="left"/>
    </xf>
    <xf numFmtId="0" fontId="0" fillId="0" borderId="0" xfId="0"/>
    <xf numFmtId="0" fontId="66" fillId="19" borderId="0" xfId="0" applyNumberFormat="1" applyFont="1" applyFill="1" applyAlignment="1">
      <alignment horizontal="right" vertical="center" wrapText="1"/>
    </xf>
    <xf numFmtId="0" fontId="66" fillId="31" borderId="0" xfId="0" applyFont="1" applyFill="1" applyAlignment="1">
      <alignment horizontal="center" vertical="center" wrapText="1"/>
    </xf>
    <xf numFmtId="1" fontId="66" fillId="31" borderId="0" xfId="0" applyNumberFormat="1" applyFont="1" applyFill="1" applyAlignment="1">
      <alignment horizontal="center" vertical="center" wrapText="1"/>
    </xf>
    <xf numFmtId="0" fontId="66" fillId="31" borderId="0" xfId="0" applyFont="1" applyFill="1" applyAlignment="1">
      <alignment horizontal="left" vertical="center" wrapText="1"/>
    </xf>
    <xf numFmtId="170" fontId="66" fillId="31" borderId="0" xfId="0" applyNumberFormat="1" applyFont="1" applyFill="1" applyAlignment="1">
      <alignment horizontal="right" vertical="center" wrapText="1"/>
    </xf>
    <xf numFmtId="10" fontId="66" fillId="31" borderId="0" xfId="0" applyNumberFormat="1" applyFont="1" applyFill="1" applyAlignment="1">
      <alignment horizontal="right" vertical="center" wrapText="1"/>
    </xf>
    <xf numFmtId="1" fontId="66" fillId="31" borderId="0" xfId="0" applyNumberFormat="1" applyFont="1" applyFill="1" applyAlignment="1">
      <alignment vertical="center" wrapText="1"/>
    </xf>
    <xf numFmtId="0" fontId="66" fillId="31" borderId="0" xfId="0" applyFont="1" applyFill="1" applyAlignment="1">
      <alignment vertical="center" wrapText="1"/>
    </xf>
    <xf numFmtId="49" fontId="66" fillId="31" borderId="0" xfId="0" applyNumberFormat="1" applyFont="1" applyFill="1" applyAlignment="1">
      <alignment horizontal="right" vertical="center"/>
    </xf>
    <xf numFmtId="170" fontId="66" fillId="15" borderId="0" xfId="0" quotePrefix="1" applyNumberFormat="1" applyFont="1" applyFill="1" applyAlignment="1">
      <alignment horizontal="right" vertical="center" wrapText="1"/>
    </xf>
    <xf numFmtId="49" fontId="66" fillId="15" borderId="0" xfId="0" applyNumberFormat="1" applyFont="1" applyFill="1" applyAlignment="1">
      <alignment horizontal="left" vertical="center" wrapText="1"/>
    </xf>
    <xf numFmtId="0" fontId="66" fillId="8" borderId="0" xfId="0" applyFont="1" applyFill="1"/>
    <xf numFmtId="1" fontId="66" fillId="8" borderId="0" xfId="0" applyNumberFormat="1" applyFont="1" applyFill="1"/>
    <xf numFmtId="1" fontId="66" fillId="15" borderId="0" xfId="0" applyNumberFormat="1" applyFont="1" applyFill="1" applyAlignment="1">
      <alignment wrapText="1"/>
    </xf>
    <xf numFmtId="0" fontId="66" fillId="15" borderId="0" xfId="0" applyFont="1" applyFill="1" applyAlignment="1">
      <alignment wrapText="1"/>
    </xf>
    <xf numFmtId="175" fontId="66" fillId="15" borderId="0" xfId="0" applyNumberFormat="1" applyFont="1" applyFill="1"/>
    <xf numFmtId="170" fontId="66" fillId="14" borderId="0" xfId="0" applyNumberFormat="1" applyFont="1" applyFill="1" applyAlignment="1">
      <alignment vertical="center"/>
    </xf>
    <xf numFmtId="170" fontId="66" fillId="27" borderId="0" xfId="0" applyNumberFormat="1" applyFont="1" applyFill="1" applyAlignment="1">
      <alignment vertical="center"/>
    </xf>
    <xf numFmtId="10" fontId="66" fillId="27" borderId="0" xfId="0" applyNumberFormat="1" applyFont="1" applyFill="1" applyAlignment="1">
      <alignment horizontal="right" vertical="center" wrapText="1"/>
    </xf>
    <xf numFmtId="49" fontId="66" fillId="27" borderId="0" xfId="0" applyNumberFormat="1" applyFont="1" applyFill="1" applyAlignment="1">
      <alignment vertical="center"/>
    </xf>
    <xf numFmtId="170" fontId="66" fillId="27" borderId="0" xfId="0" applyNumberFormat="1" applyFont="1" applyFill="1" applyAlignment="1">
      <alignment horizontal="right"/>
    </xf>
    <xf numFmtId="49" fontId="0" fillId="27" borderId="0" xfId="0" applyNumberFormat="1" applyFont="1" applyFill="1" applyAlignment="1">
      <alignment vertical="center"/>
    </xf>
    <xf numFmtId="170" fontId="0" fillId="27" borderId="0" xfId="0" applyNumberFormat="1" applyFont="1" applyFill="1" applyAlignment="1">
      <alignment horizontal="right"/>
    </xf>
    <xf numFmtId="10" fontId="0" fillId="27" borderId="0" xfId="0" applyNumberFormat="1" applyFont="1" applyFill="1" applyAlignment="1">
      <alignment horizontal="right" vertical="center" wrapText="1"/>
    </xf>
    <xf numFmtId="49" fontId="66" fillId="15" borderId="0" xfId="0" applyNumberFormat="1" applyFont="1" applyFill="1" applyAlignment="1">
      <alignment horizontal="right"/>
    </xf>
    <xf numFmtId="0" fontId="66" fillId="15" borderId="0" xfId="0" applyFont="1" applyFill="1" applyAlignment="1">
      <alignment horizontal="center"/>
    </xf>
    <xf numFmtId="170" fontId="66" fillId="15" borderId="0" xfId="0" applyNumberFormat="1" applyFont="1" applyFill="1" applyAlignment="1">
      <alignment horizontal="right"/>
    </xf>
    <xf numFmtId="0" fontId="0" fillId="15" borderId="0" xfId="0" applyFont="1" applyFill="1" applyAlignment="1">
      <alignment horizontal="center"/>
    </xf>
    <xf numFmtId="49" fontId="0" fillId="15" borderId="0" xfId="0" applyNumberFormat="1" applyFont="1" applyFill="1" applyAlignment="1">
      <alignment horizontal="right"/>
    </xf>
    <xf numFmtId="10" fontId="66" fillId="14" borderId="0" xfId="0" applyNumberFormat="1" applyFont="1" applyFill="1" applyAlignment="1">
      <alignment horizontal="right"/>
    </xf>
    <xf numFmtId="0" fontId="81" fillId="0" borderId="53" xfId="0" applyFont="1" applyBorder="1" applyAlignment="1">
      <alignment horizontal="center" vertical="top" wrapText="1" readingOrder="1"/>
    </xf>
    <xf numFmtId="0" fontId="81" fillId="0" borderId="56" xfId="0" applyFont="1" applyBorder="1" applyAlignment="1">
      <alignment horizontal="left" vertical="top"/>
    </xf>
    <xf numFmtId="170" fontId="81" fillId="0" borderId="31" xfId="0" applyNumberFormat="1" applyFont="1" applyBorder="1" applyAlignment="1">
      <alignment vertical="top"/>
    </xf>
    <xf numFmtId="170" fontId="81" fillId="0" borderId="57" xfId="0" applyNumberFormat="1" applyFont="1" applyBorder="1" applyAlignment="1">
      <alignment horizontal="right" vertical="top"/>
    </xf>
    <xf numFmtId="0" fontId="79" fillId="0" borderId="56" xfId="0" applyFont="1" applyBorder="1" applyAlignment="1">
      <alignment horizontal="left" vertical="top"/>
    </xf>
    <xf numFmtId="170" fontId="79" fillId="0" borderId="31" xfId="0" applyNumberFormat="1" applyFont="1" applyBorder="1" applyAlignment="1">
      <alignment vertical="top"/>
    </xf>
    <xf numFmtId="170" fontId="79" fillId="0" borderId="57" xfId="0" applyNumberFormat="1" applyFont="1" applyBorder="1" applyAlignment="1">
      <alignment horizontal="right" vertical="top"/>
    </xf>
    <xf numFmtId="0" fontId="81" fillId="0" borderId="58" xfId="0" applyFont="1" applyBorder="1" applyAlignment="1">
      <alignment horizontal="left" vertical="top" wrapText="1" readingOrder="1"/>
    </xf>
    <xf numFmtId="170" fontId="81" fillId="0" borderId="59" xfId="0" applyNumberFormat="1" applyFont="1" applyBorder="1" applyAlignment="1">
      <alignment vertical="top"/>
    </xf>
    <xf numFmtId="170" fontId="81" fillId="0" borderId="60" xfId="0" applyNumberFormat="1" applyFont="1" applyBorder="1" applyAlignment="1">
      <alignment horizontal="right" vertical="top"/>
    </xf>
    <xf numFmtId="44" fontId="66" fillId="0" borderId="0" xfId="0" applyNumberFormat="1" applyFont="1" applyAlignment="1">
      <alignment vertical="top"/>
    </xf>
    <xf numFmtId="170" fontId="82" fillId="0" borderId="31" xfId="0" applyNumberFormat="1" applyFont="1" applyBorder="1" applyAlignment="1">
      <alignment horizontal="right" vertical="top" wrapText="1" readingOrder="1"/>
    </xf>
    <xf numFmtId="170" fontId="66" fillId="0" borderId="57" xfId="0" applyNumberFormat="1" applyFont="1" applyBorder="1" applyAlignment="1">
      <alignment horizontal="right" vertical="top"/>
    </xf>
    <xf numFmtId="170" fontId="83" fillId="0" borderId="31" xfId="0" applyNumberFormat="1" applyFont="1" applyBorder="1" applyAlignment="1">
      <alignment horizontal="right" vertical="top"/>
    </xf>
    <xf numFmtId="170" fontId="83" fillId="0" borderId="57" xfId="0" applyNumberFormat="1" applyFont="1" applyBorder="1" applyAlignment="1">
      <alignment horizontal="right" vertical="top"/>
    </xf>
    <xf numFmtId="170" fontId="82" fillId="0" borderId="59" xfId="0" applyNumberFormat="1" applyFont="1" applyBorder="1" applyAlignment="1">
      <alignment horizontal="right" vertical="top"/>
    </xf>
    <xf numFmtId="170" fontId="82" fillId="0" borderId="60" xfId="0" applyNumberFormat="1" applyFont="1" applyBorder="1" applyAlignment="1">
      <alignment horizontal="right" vertical="top"/>
    </xf>
    <xf numFmtId="170" fontId="0" fillId="0" borderId="0" xfId="0" applyNumberFormat="1" applyFont="1" applyAlignment="1">
      <alignment vertical="top"/>
    </xf>
    <xf numFmtId="0" fontId="24" fillId="7" borderId="0" xfId="0" applyFont="1" applyFill="1" applyBorder="1" applyAlignment="1">
      <alignment horizontal="center"/>
    </xf>
    <xf numFmtId="49" fontId="66" fillId="15" borderId="0" xfId="0" applyNumberFormat="1" applyFont="1" applyFill="1" applyAlignment="1">
      <alignment horizontal="right" vertical="center"/>
    </xf>
    <xf numFmtId="0" fontId="0" fillId="0" borderId="0" xfId="0"/>
    <xf numFmtId="49" fontId="85" fillId="0" borderId="0" xfId="0" applyNumberFormat="1" applyFont="1" applyAlignment="1">
      <alignment horizontal="center"/>
    </xf>
    <xf numFmtId="0" fontId="0" fillId="0" borderId="0" xfId="0"/>
    <xf numFmtId="3" fontId="15" fillId="0" borderId="9" xfId="0" applyNumberFormat="1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9" xfId="0" applyFont="1" applyFill="1" applyBorder="1"/>
    <xf numFmtId="165" fontId="7" fillId="0" borderId="9" xfId="0" applyNumberFormat="1" applyFont="1" applyFill="1" applyBorder="1" applyProtection="1">
      <protection locked="0"/>
    </xf>
    <xf numFmtId="165" fontId="15" fillId="0" borderId="9" xfId="0" applyNumberFormat="1" applyFont="1" applyFill="1" applyBorder="1"/>
    <xf numFmtId="0" fontId="7" fillId="0" borderId="9" xfId="0" applyFont="1" applyFill="1" applyBorder="1"/>
    <xf numFmtId="165" fontId="7" fillId="0" borderId="9" xfId="0" applyNumberFormat="1" applyFont="1" applyFill="1" applyBorder="1"/>
    <xf numFmtId="3" fontId="7" fillId="0" borderId="0" xfId="0" applyNumberFormat="1" applyFont="1" applyBorder="1"/>
    <xf numFmtId="0" fontId="15" fillId="0" borderId="9" xfId="0" applyFont="1" applyFill="1" applyBorder="1" applyAlignment="1">
      <alignment horizontal="left" vertical="center" wrapText="1"/>
    </xf>
    <xf numFmtId="165" fontId="15" fillId="0" borderId="9" xfId="0" applyNumberFormat="1" applyFont="1" applyFill="1" applyBorder="1" applyAlignment="1">
      <alignment horizontal="right"/>
    </xf>
    <xf numFmtId="165" fontId="15" fillId="0" borderId="9" xfId="0" applyNumberFormat="1" applyFont="1" applyFill="1" applyBorder="1" applyAlignment="1" applyProtection="1">
      <alignment horizontal="right"/>
      <protection locked="0"/>
    </xf>
    <xf numFmtId="0" fontId="7" fillId="0" borderId="9" xfId="0" applyFont="1" applyBorder="1"/>
    <xf numFmtId="165" fontId="7" fillId="0" borderId="9" xfId="0" applyNumberFormat="1" applyFont="1" applyBorder="1"/>
    <xf numFmtId="0" fontId="18" fillId="0" borderId="9" xfId="0" applyFont="1" applyBorder="1"/>
    <xf numFmtId="1" fontId="0" fillId="23" borderId="0" xfId="0" applyNumberFormat="1" applyFill="1" applyAlignment="1">
      <alignment vertical="center" wrapText="1"/>
    </xf>
    <xf numFmtId="49" fontId="66" fillId="23" borderId="0" xfId="0" applyNumberFormat="1" applyFont="1" applyFill="1" applyAlignment="1">
      <alignment horizontal="left" vertical="center" wrapText="1"/>
    </xf>
    <xf numFmtId="0" fontId="66" fillId="23" borderId="0" xfId="0" applyFont="1" applyFill="1" applyAlignment="1">
      <alignment horizontal="center" vertical="center" wrapText="1"/>
    </xf>
    <xf numFmtId="1" fontId="66" fillId="23" borderId="0" xfId="0" applyNumberFormat="1" applyFont="1" applyFill="1" applyAlignment="1">
      <alignment horizontal="center" vertical="center" wrapText="1"/>
    </xf>
    <xf numFmtId="0" fontId="66" fillId="23" borderId="0" xfId="0" applyFont="1" applyFill="1" applyAlignment="1">
      <alignment horizontal="left" vertical="center" wrapText="1"/>
    </xf>
    <xf numFmtId="170" fontId="66" fillId="23" borderId="0" xfId="0" applyNumberFormat="1" applyFont="1" applyFill="1" applyAlignment="1">
      <alignment horizontal="right" vertical="center" wrapText="1"/>
    </xf>
    <xf numFmtId="10" fontId="66" fillId="23" borderId="0" xfId="0" applyNumberFormat="1" applyFont="1" applyFill="1" applyAlignment="1">
      <alignment horizontal="right" vertical="center" wrapText="1"/>
    </xf>
    <xf numFmtId="1" fontId="66" fillId="23" borderId="0" xfId="0" applyNumberFormat="1" applyFont="1" applyFill="1" applyAlignment="1">
      <alignment vertical="center" wrapText="1"/>
    </xf>
    <xf numFmtId="0" fontId="66" fillId="23" borderId="0" xfId="0" applyFont="1" applyFill="1" applyAlignment="1">
      <alignment vertical="center" wrapText="1"/>
    </xf>
    <xf numFmtId="0" fontId="0" fillId="23" borderId="0" xfId="0" applyFill="1" applyAlignment="1">
      <alignment vertical="center" wrapText="1"/>
    </xf>
    <xf numFmtId="166" fontId="75" fillId="17" borderId="0" xfId="0" applyNumberFormat="1" applyFont="1" applyFill="1" applyBorder="1" applyAlignment="1">
      <alignment horizontal="right"/>
    </xf>
    <xf numFmtId="10" fontId="75" fillId="17" borderId="0" xfId="0" applyNumberFormat="1" applyFont="1" applyFill="1" applyBorder="1" applyAlignment="1">
      <alignment horizontal="right"/>
    </xf>
    <xf numFmtId="0" fontId="75" fillId="17" borderId="0" xfId="0" applyFont="1" applyFill="1" applyBorder="1" applyAlignment="1">
      <alignment horizontal="left"/>
    </xf>
    <xf numFmtId="166" fontId="75" fillId="17" borderId="0" xfId="0" applyNumberFormat="1" applyFont="1" applyFill="1" applyBorder="1" applyAlignment="1">
      <alignment horizontal="left" vertical="center" wrapText="1"/>
    </xf>
    <xf numFmtId="170" fontId="75" fillId="17" borderId="0" xfId="0" applyNumberFormat="1" applyFont="1" applyFill="1" applyBorder="1" applyAlignment="1">
      <alignment horizontal="right" vertical="center" wrapText="1"/>
    </xf>
    <xf numFmtId="10" fontId="75" fillId="17" borderId="0" xfId="0" applyNumberFormat="1" applyFont="1" applyFill="1" applyBorder="1" applyAlignment="1">
      <alignment horizontal="right" vertical="center" wrapText="1"/>
    </xf>
    <xf numFmtId="168" fontId="75" fillId="17" borderId="0" xfId="0" applyNumberFormat="1" applyFont="1" applyFill="1" applyBorder="1" applyAlignment="1">
      <alignment horizontal="left" vertical="center" wrapText="1"/>
    </xf>
    <xf numFmtId="49" fontId="66" fillId="23" borderId="0" xfId="0" applyNumberFormat="1" applyFont="1" applyFill="1" applyAlignment="1">
      <alignment horizontal="right" vertical="center"/>
    </xf>
    <xf numFmtId="49" fontId="66" fillId="23" borderId="0" xfId="0" applyNumberFormat="1" applyFont="1" applyFill="1" applyAlignment="1">
      <alignment horizontal="right" vertical="center" wrapText="1"/>
    </xf>
    <xf numFmtId="49" fontId="66" fillId="23" borderId="0" xfId="0" applyNumberFormat="1" applyFont="1" applyFill="1" applyAlignment="1">
      <alignment horizontal="right"/>
    </xf>
    <xf numFmtId="49" fontId="0" fillId="0" borderId="0" xfId="0" applyNumberFormat="1" applyAlignment="1">
      <alignment horizontal="left"/>
    </xf>
    <xf numFmtId="0" fontId="81" fillId="0" borderId="0" xfId="0" applyFont="1" applyAlignment="1">
      <alignment vertical="top" wrapText="1" readingOrder="1"/>
    </xf>
    <xf numFmtId="0" fontId="79" fillId="0" borderId="0" xfId="0" applyFont="1" applyAlignment="1">
      <alignment vertical="top"/>
    </xf>
    <xf numFmtId="170" fontId="79" fillId="0" borderId="0" xfId="0" applyNumberFormat="1" applyFont="1" applyAlignment="1">
      <alignment vertical="top"/>
    </xf>
    <xf numFmtId="0" fontId="79" fillId="0" borderId="0" xfId="0" applyFont="1" applyAlignment="1">
      <alignment vertical="top" wrapText="1" readingOrder="1"/>
    </xf>
    <xf numFmtId="49" fontId="85" fillId="0" borderId="0" xfId="0" applyNumberFormat="1" applyFont="1" applyAlignment="1"/>
    <xf numFmtId="170" fontId="66" fillId="0" borderId="31" xfId="0" applyNumberFormat="1" applyFont="1" applyBorder="1" applyAlignment="1">
      <alignment vertical="top"/>
    </xf>
    <xf numFmtId="170" fontId="66" fillId="0" borderId="57" xfId="0" applyNumberFormat="1" applyFont="1" applyBorder="1" applyAlignment="1">
      <alignment vertical="top"/>
    </xf>
    <xf numFmtId="170" fontId="83" fillId="0" borderId="31" xfId="0" applyNumberFormat="1" applyFont="1" applyBorder="1" applyAlignment="1">
      <alignment vertical="top"/>
    </xf>
    <xf numFmtId="170" fontId="83" fillId="0" borderId="57" xfId="0" applyNumberFormat="1" applyFont="1" applyBorder="1" applyAlignment="1">
      <alignment vertical="top"/>
    </xf>
    <xf numFmtId="170" fontId="82" fillId="0" borderId="59" xfId="0" applyNumberFormat="1" applyFont="1" applyBorder="1" applyAlignment="1">
      <alignment vertical="top"/>
    </xf>
    <xf numFmtId="170" fontId="82" fillId="0" borderId="60" xfId="0" applyNumberFormat="1" applyFont="1" applyBorder="1" applyAlignment="1">
      <alignment vertical="top"/>
    </xf>
    <xf numFmtId="3" fontId="79" fillId="0" borderId="0" xfId="0" applyNumberFormat="1" applyFont="1" applyAlignment="1">
      <alignment vertical="top"/>
    </xf>
    <xf numFmtId="0" fontId="79" fillId="0" borderId="0" xfId="0" applyFont="1" applyAlignment="1">
      <alignment vertical="top" wrapText="1"/>
    </xf>
    <xf numFmtId="170" fontId="81" fillId="0" borderId="0" xfId="0" applyNumberFormat="1" applyFont="1" applyAlignment="1">
      <alignment vertical="top"/>
    </xf>
    <xf numFmtId="0" fontId="31" fillId="8" borderId="0" xfId="0" applyFont="1" applyFill="1"/>
    <xf numFmtId="0" fontId="0" fillId="8" borderId="0" xfId="0" applyFill="1" applyAlignment="1">
      <alignment vertical="top"/>
    </xf>
    <xf numFmtId="0" fontId="3" fillId="16" borderId="0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/>
    </xf>
    <xf numFmtId="0" fontId="3" fillId="19" borderId="0" xfId="0" applyFont="1" applyFill="1" applyBorder="1" applyAlignment="1">
      <alignment horizontal="center"/>
    </xf>
    <xf numFmtId="0" fontId="12" fillId="19" borderId="0" xfId="0" applyFont="1" applyFill="1" applyAlignment="1">
      <alignment horizontal="center" vertical="center" wrapText="1" readingOrder="1"/>
    </xf>
    <xf numFmtId="0" fontId="11" fillId="8" borderId="0" xfId="0" applyFont="1" applyFill="1" applyAlignment="1">
      <alignment horizontal="center"/>
    </xf>
    <xf numFmtId="167" fontId="66" fillId="24" borderId="0" xfId="0" applyNumberFormat="1" applyFont="1" applyFill="1" applyBorder="1"/>
    <xf numFmtId="0" fontId="0" fillId="0" borderId="0" xfId="0" applyAlignment="1">
      <alignment wrapText="1"/>
    </xf>
    <xf numFmtId="0" fontId="54" fillId="8" borderId="0" xfId="0" applyFont="1" applyFill="1" applyAlignment="1">
      <alignment horizontal="right" vertical="top" wrapText="1" readingOrder="1"/>
    </xf>
    <xf numFmtId="0" fontId="102" fillId="8" borderId="0" xfId="0" applyFont="1" applyFill="1" applyAlignment="1">
      <alignment vertical="top"/>
    </xf>
    <xf numFmtId="0" fontId="102" fillId="8" borderId="0" xfId="0" applyFont="1" applyFill="1" applyAlignment="1">
      <alignment vertical="top" wrapText="1" readingOrder="1"/>
    </xf>
    <xf numFmtId="0" fontId="2" fillId="26" borderId="0" xfId="0" applyFont="1" applyFill="1" applyBorder="1" applyAlignment="1">
      <alignment horizontal="center" vertical="center"/>
    </xf>
    <xf numFmtId="0" fontId="2" fillId="28" borderId="0" xfId="0" applyFont="1" applyFill="1" applyBorder="1" applyAlignment="1">
      <alignment horizontal="center" vertical="center"/>
    </xf>
    <xf numFmtId="0" fontId="2" fillId="25" borderId="0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top" wrapText="1" readingOrder="1"/>
    </xf>
    <xf numFmtId="0" fontId="71" fillId="23" borderId="0" xfId="0" applyFont="1" applyFill="1" applyBorder="1" applyAlignment="1">
      <alignment vertical="center" readingOrder="1"/>
    </xf>
    <xf numFmtId="0" fontId="54" fillId="23" borderId="0" xfId="0" applyFont="1" applyFill="1" applyBorder="1" applyAlignment="1">
      <alignment horizontal="left" vertical="center" wrapText="1" readingOrder="1"/>
    </xf>
    <xf numFmtId="0" fontId="71" fillId="23" borderId="0" xfId="0" applyFont="1" applyFill="1" applyBorder="1" applyAlignment="1">
      <alignment horizontal="center" vertical="center" readingOrder="1"/>
    </xf>
    <xf numFmtId="166" fontId="0" fillId="27" borderId="0" xfId="0" applyNumberFormat="1" applyFill="1" applyBorder="1" applyAlignment="1">
      <alignment horizontal="center"/>
    </xf>
    <xf numFmtId="169" fontId="14" fillId="27" borderId="0" xfId="0" applyNumberFormat="1" applyFont="1" applyFill="1" applyBorder="1" applyAlignment="1">
      <alignment horizontal="center"/>
    </xf>
    <xf numFmtId="168" fontId="14" fillId="27" borderId="0" xfId="0" applyNumberFormat="1" applyFont="1" applyFill="1" applyBorder="1" applyAlignment="1">
      <alignment horizontal="left"/>
    </xf>
    <xf numFmtId="164" fontId="2" fillId="13" borderId="0" xfId="0" applyNumberFormat="1" applyFont="1" applyFill="1" applyBorder="1" applyAlignment="1">
      <alignment horizontal="left"/>
    </xf>
    <xf numFmtId="0" fontId="0" fillId="8" borderId="0" xfId="0" applyFill="1" applyBorder="1"/>
    <xf numFmtId="0" fontId="0" fillId="0" borderId="0" xfId="0" applyBorder="1"/>
    <xf numFmtId="0" fontId="81" fillId="0" borderId="0" xfId="0" applyFont="1" applyAlignment="1">
      <alignment horizontal="center" vertical="top"/>
    </xf>
    <xf numFmtId="0" fontId="0" fillId="8" borderId="0" xfId="0" applyFont="1" applyFill="1"/>
    <xf numFmtId="0" fontId="59" fillId="8" borderId="0" xfId="0" applyFont="1" applyFill="1" applyAlignment="1">
      <alignment horizontal="center" vertical="top" wrapText="1"/>
    </xf>
    <xf numFmtId="0" fontId="0" fillId="8" borderId="37" xfId="0" applyFill="1" applyBorder="1" applyAlignment="1">
      <alignment vertical="top"/>
    </xf>
    <xf numFmtId="0" fontId="0" fillId="8" borderId="38" xfId="0" applyFill="1" applyBorder="1" applyAlignment="1">
      <alignment vertical="top"/>
    </xf>
    <xf numFmtId="0" fontId="60" fillId="8" borderId="37" xfId="0" applyFont="1" applyFill="1" applyBorder="1" applyAlignment="1">
      <alignment horizontal="right" vertical="top" wrapText="1" readingOrder="1"/>
    </xf>
    <xf numFmtId="0" fontId="0" fillId="8" borderId="39" xfId="0" applyFill="1" applyBorder="1" applyAlignment="1">
      <alignment vertical="top"/>
    </xf>
    <xf numFmtId="0" fontId="0" fillId="8" borderId="32" xfId="0" applyFill="1" applyBorder="1" applyAlignment="1">
      <alignment vertical="top"/>
    </xf>
    <xf numFmtId="0" fontId="0" fillId="8" borderId="0" xfId="0" applyFill="1" applyBorder="1" applyAlignment="1">
      <alignment vertical="top"/>
    </xf>
    <xf numFmtId="44" fontId="0" fillId="8" borderId="35" xfId="0" applyNumberFormat="1" applyFill="1" applyBorder="1" applyAlignment="1">
      <alignment vertical="top"/>
    </xf>
    <xf numFmtId="44" fontId="0" fillId="8" borderId="0" xfId="0" applyNumberFormat="1" applyFill="1" applyBorder="1" applyAlignment="1">
      <alignment vertical="top"/>
    </xf>
    <xf numFmtId="44" fontId="0" fillId="8" borderId="36" xfId="0" applyNumberFormat="1" applyFill="1" applyBorder="1" applyAlignment="1">
      <alignment vertical="top"/>
    </xf>
    <xf numFmtId="44" fontId="0" fillId="8" borderId="33" xfId="0" applyNumberFormat="1" applyFill="1" applyBorder="1" applyAlignment="1">
      <alignment vertical="top"/>
    </xf>
    <xf numFmtId="0" fontId="0" fillId="8" borderId="20" xfId="0" applyFill="1" applyBorder="1" applyAlignment="1">
      <alignment vertical="top"/>
    </xf>
    <xf numFmtId="44" fontId="0" fillId="8" borderId="20" xfId="0" applyNumberFormat="1" applyFill="1" applyBorder="1" applyAlignment="1">
      <alignment vertical="top"/>
    </xf>
    <xf numFmtId="44" fontId="0" fillId="8" borderId="46" xfId="0" applyNumberFormat="1" applyFill="1" applyBorder="1" applyAlignment="1">
      <alignment vertical="top"/>
    </xf>
    <xf numFmtId="44" fontId="0" fillId="8" borderId="47" xfId="0" applyNumberFormat="1" applyFill="1" applyBorder="1" applyAlignment="1">
      <alignment vertical="top"/>
    </xf>
    <xf numFmtId="0" fontId="0" fillId="8" borderId="45" xfId="0" applyFill="1" applyBorder="1" applyAlignment="1">
      <alignment vertical="top"/>
    </xf>
    <xf numFmtId="0" fontId="0" fillId="8" borderId="44" xfId="0" applyFill="1" applyBorder="1" applyAlignment="1">
      <alignment vertical="top"/>
    </xf>
    <xf numFmtId="44" fontId="0" fillId="8" borderId="48" xfId="0" applyNumberFormat="1" applyFill="1" applyBorder="1" applyAlignment="1">
      <alignment vertical="top"/>
    </xf>
    <xf numFmtId="44" fontId="0" fillId="8" borderId="44" xfId="0" applyNumberFormat="1" applyFill="1" applyBorder="1" applyAlignment="1">
      <alignment vertical="top"/>
    </xf>
    <xf numFmtId="44" fontId="0" fillId="8" borderId="49" xfId="0" applyNumberFormat="1" applyFill="1" applyBorder="1" applyAlignment="1">
      <alignment vertical="top"/>
    </xf>
    <xf numFmtId="44" fontId="0" fillId="8" borderId="50" xfId="0" applyNumberFormat="1" applyFill="1" applyBorder="1" applyAlignment="1">
      <alignment vertical="top"/>
    </xf>
    <xf numFmtId="0" fontId="0" fillId="8" borderId="34" xfId="0" applyFill="1" applyBorder="1" applyAlignment="1">
      <alignment vertical="top"/>
    </xf>
    <xf numFmtId="0" fontId="0" fillId="8" borderId="41" xfId="0" applyFill="1" applyBorder="1" applyAlignment="1">
      <alignment vertical="top"/>
    </xf>
    <xf numFmtId="0" fontId="0" fillId="8" borderId="42" xfId="0" applyFill="1" applyBorder="1" applyAlignment="1">
      <alignment vertical="top"/>
    </xf>
    <xf numFmtId="44" fontId="0" fillId="8" borderId="0" xfId="0" applyNumberFormat="1" applyFill="1" applyAlignment="1">
      <alignment vertical="top"/>
    </xf>
    <xf numFmtId="0" fontId="0" fillId="8" borderId="0" xfId="0" applyFill="1"/>
    <xf numFmtId="0" fontId="29" fillId="8" borderId="0" xfId="0" applyFont="1" applyFill="1" applyAlignment="1">
      <alignment horizontal="center"/>
    </xf>
    <xf numFmtId="0" fontId="0" fillId="8" borderId="0" xfId="0" applyFill="1" applyAlignment="1">
      <alignment horizontal="right"/>
    </xf>
    <xf numFmtId="0" fontId="29" fillId="8" borderId="89" xfId="0" applyFont="1" applyFill="1" applyBorder="1" applyAlignment="1">
      <alignment horizontal="center" vertical="top" wrapText="1"/>
    </xf>
    <xf numFmtId="0" fontId="29" fillId="8" borderId="90" xfId="0" applyFont="1" applyFill="1" applyBorder="1" applyAlignment="1">
      <alignment horizontal="center" vertical="top" wrapText="1"/>
    </xf>
    <xf numFmtId="0" fontId="29" fillId="8" borderId="91" xfId="0" applyFont="1" applyFill="1" applyBorder="1" applyAlignment="1">
      <alignment horizontal="center" vertical="top" wrapText="1"/>
    </xf>
    <xf numFmtId="0" fontId="29" fillId="8" borderId="30" xfId="0" applyFont="1" applyFill="1" applyBorder="1" applyAlignment="1">
      <alignment horizontal="left" vertical="top" wrapText="1"/>
    </xf>
    <xf numFmtId="4" fontId="29" fillId="8" borderId="31" xfId="0" applyNumberFormat="1" applyFont="1" applyFill="1" applyBorder="1" applyAlignment="1">
      <alignment horizontal="left" vertical="top" wrapText="1"/>
    </xf>
    <xf numFmtId="4" fontId="29" fillId="8" borderId="29" xfId="0" applyNumberFormat="1" applyFont="1" applyFill="1" applyBorder="1" applyAlignment="1">
      <alignment horizontal="left" vertical="top" wrapText="1"/>
    </xf>
    <xf numFmtId="0" fontId="39" fillId="8" borderId="30" xfId="0" applyFont="1" applyFill="1" applyBorder="1" applyAlignment="1">
      <alignment horizontal="left" vertical="top" wrapText="1"/>
    </xf>
    <xf numFmtId="4" fontId="39" fillId="8" borderId="31" xfId="0" applyNumberFormat="1" applyFont="1" applyFill="1" applyBorder="1" applyAlignment="1">
      <alignment horizontal="left" vertical="top" wrapText="1"/>
    </xf>
    <xf numFmtId="4" fontId="39" fillId="8" borderId="29" xfId="0" applyNumberFormat="1" applyFont="1" applyFill="1" applyBorder="1" applyAlignment="1">
      <alignment horizontal="left" vertical="top" wrapText="1"/>
    </xf>
    <xf numFmtId="0" fontId="29" fillId="8" borderId="92" xfId="0" applyFont="1" applyFill="1" applyBorder="1" applyAlignment="1">
      <alignment horizontal="left" vertical="top" wrapText="1"/>
    </xf>
    <xf numFmtId="4" fontId="29" fillId="8" borderId="93" xfId="0" applyNumberFormat="1" applyFont="1" applyFill="1" applyBorder="1" applyAlignment="1">
      <alignment horizontal="left" vertical="top" wrapText="1"/>
    </xf>
    <xf numFmtId="4" fontId="29" fillId="8" borderId="94" xfId="0" applyNumberFormat="1" applyFont="1" applyFill="1" applyBorder="1" applyAlignment="1">
      <alignment horizontal="left" vertical="top" wrapText="1"/>
    </xf>
    <xf numFmtId="0" fontId="34" fillId="8" borderId="0" xfId="0" applyFont="1" applyFill="1" applyAlignment="1">
      <alignment horizontal="center"/>
    </xf>
    <xf numFmtId="0" fontId="37" fillId="8" borderId="0" xfId="0" applyFont="1" applyFill="1"/>
    <xf numFmtId="0" fontId="40" fillId="8" borderId="11" xfId="0" applyFont="1" applyFill="1" applyBorder="1" applyAlignment="1">
      <alignment vertical="top" wrapText="1"/>
    </xf>
    <xf numFmtId="0" fontId="40" fillId="8" borderId="12" xfId="0" applyFont="1" applyFill="1" applyBorder="1" applyAlignment="1">
      <alignment vertical="top" wrapText="1"/>
    </xf>
    <xf numFmtId="0" fontId="16" fillId="8" borderId="12" xfId="0" applyFont="1" applyFill="1" applyBorder="1" applyAlignment="1">
      <alignment horizontal="center" vertical="top" wrapText="1"/>
    </xf>
    <xf numFmtId="0" fontId="40" fillId="8" borderId="13" xfId="0" applyFont="1" applyFill="1" applyBorder="1" applyAlignment="1">
      <alignment vertical="top" wrapText="1"/>
    </xf>
    <xf numFmtId="0" fontId="40" fillId="8" borderId="14" xfId="0" applyFont="1" applyFill="1" applyBorder="1" applyAlignment="1">
      <alignment horizontal="center" vertical="top" wrapText="1"/>
    </xf>
    <xf numFmtId="0" fontId="40" fillId="8" borderId="15" xfId="0" applyFont="1" applyFill="1" applyBorder="1" applyAlignment="1">
      <alignment horizontal="center" vertical="top" wrapText="1"/>
    </xf>
    <xf numFmtId="0" fontId="40" fillId="8" borderId="16" xfId="0" applyFont="1" applyFill="1" applyBorder="1" applyAlignment="1">
      <alignment horizontal="center" vertical="top" wrapText="1"/>
    </xf>
    <xf numFmtId="0" fontId="40" fillId="8" borderId="17" xfId="0" applyFont="1" applyFill="1" applyBorder="1" applyAlignment="1">
      <alignment horizontal="center" vertical="top" wrapText="1"/>
    </xf>
    <xf numFmtId="0" fontId="40" fillId="8" borderId="18" xfId="0" applyFont="1" applyFill="1" applyBorder="1" applyAlignment="1">
      <alignment horizontal="center" vertical="top" wrapText="1"/>
    </xf>
    <xf numFmtId="0" fontId="40" fillId="8" borderId="19" xfId="0" applyFont="1" applyFill="1" applyBorder="1" applyAlignment="1">
      <alignment horizontal="center" vertical="top" wrapText="1"/>
    </xf>
    <xf numFmtId="0" fontId="28" fillId="8" borderId="0" xfId="0" applyFont="1" applyFill="1"/>
    <xf numFmtId="0" fontId="35" fillId="8" borderId="4" xfId="0" applyFont="1" applyFill="1" applyBorder="1" applyAlignment="1">
      <alignment horizontal="center" vertical="top" wrapText="1"/>
    </xf>
    <xf numFmtId="0" fontId="41" fillId="8" borderId="5" xfId="0" applyFont="1" applyFill="1" applyBorder="1" applyAlignment="1">
      <alignment horizontal="center" vertical="top" wrapText="1"/>
    </xf>
    <xf numFmtId="0" fontId="42" fillId="8" borderId="5" xfId="0" applyFont="1" applyFill="1" applyBorder="1" applyAlignment="1">
      <alignment horizontal="center" vertical="top" wrapText="1"/>
    </xf>
    <xf numFmtId="0" fontId="42" fillId="8" borderId="8" xfId="0" applyFont="1" applyFill="1" applyBorder="1" applyAlignment="1">
      <alignment horizontal="center" vertical="top" wrapText="1"/>
    </xf>
    <xf numFmtId="0" fontId="35" fillId="8" borderId="2" xfId="0" applyFont="1" applyFill="1" applyBorder="1" applyAlignment="1">
      <alignment vertical="top" wrapText="1"/>
    </xf>
    <xf numFmtId="4" fontId="35" fillId="8" borderId="9" xfId="0" applyNumberFormat="1" applyFont="1" applyFill="1" applyBorder="1" applyAlignment="1">
      <alignment horizontal="left" vertical="top" wrapText="1"/>
    </xf>
    <xf numFmtId="10" fontId="35" fillId="8" borderId="9" xfId="0" applyNumberFormat="1" applyFont="1" applyFill="1" applyBorder="1" applyAlignment="1">
      <alignment horizontal="left" vertical="top" wrapText="1"/>
    </xf>
    <xf numFmtId="10" fontId="35" fillId="8" borderId="6" xfId="0" applyNumberFormat="1" applyFont="1" applyFill="1" applyBorder="1" applyAlignment="1">
      <alignment horizontal="left" vertical="top" wrapText="1"/>
    </xf>
    <xf numFmtId="0" fontId="34" fillId="8" borderId="2" xfId="0" applyFont="1" applyFill="1" applyBorder="1" applyAlignment="1">
      <alignment vertical="top" wrapText="1"/>
    </xf>
    <xf numFmtId="4" fontId="34" fillId="8" borderId="9" xfId="0" applyNumberFormat="1" applyFont="1" applyFill="1" applyBorder="1" applyAlignment="1">
      <alignment horizontal="left" vertical="top" wrapText="1"/>
    </xf>
    <xf numFmtId="10" fontId="34" fillId="8" borderId="9" xfId="0" applyNumberFormat="1" applyFont="1" applyFill="1" applyBorder="1" applyAlignment="1">
      <alignment horizontal="left" vertical="top" wrapText="1"/>
    </xf>
    <xf numFmtId="10" fontId="34" fillId="8" borderId="6" xfId="0" applyNumberFormat="1" applyFont="1" applyFill="1" applyBorder="1" applyAlignment="1">
      <alignment horizontal="left" vertical="top" wrapText="1"/>
    </xf>
    <xf numFmtId="0" fontId="35" fillId="8" borderId="3" xfId="0" applyFont="1" applyFill="1" applyBorder="1" applyAlignment="1">
      <alignment vertical="top" wrapText="1"/>
    </xf>
    <xf numFmtId="4" fontId="35" fillId="8" borderId="10" xfId="0" applyNumberFormat="1" applyFont="1" applyFill="1" applyBorder="1" applyAlignment="1">
      <alignment horizontal="left" vertical="top" wrapText="1"/>
    </xf>
    <xf numFmtId="10" fontId="35" fillId="8" borderId="10" xfId="0" applyNumberFormat="1" applyFont="1" applyFill="1" applyBorder="1" applyAlignment="1">
      <alignment horizontal="left" vertical="top" wrapText="1"/>
    </xf>
    <xf numFmtId="10" fontId="35" fillId="8" borderId="7" xfId="0" applyNumberFormat="1" applyFont="1" applyFill="1" applyBorder="1" applyAlignment="1">
      <alignment horizontal="left" vertical="top" wrapText="1"/>
    </xf>
    <xf numFmtId="4" fontId="0" fillId="8" borderId="0" xfId="0" applyNumberFormat="1" applyFill="1"/>
    <xf numFmtId="0" fontId="31" fillId="8" borderId="0" xfId="0" applyFont="1" applyFill="1" applyAlignment="1"/>
    <xf numFmtId="0" fontId="103" fillId="8" borderId="0" xfId="0" applyFont="1" applyFill="1" applyAlignment="1">
      <alignment horizontal="left" vertical="top"/>
    </xf>
    <xf numFmtId="0" fontId="103" fillId="8" borderId="0" xfId="0" applyFont="1" applyFill="1" applyAlignment="1">
      <alignment vertical="top"/>
    </xf>
    <xf numFmtId="10" fontId="103" fillId="8" borderId="0" xfId="0" applyNumberFormat="1" applyFont="1" applyFill="1" applyAlignment="1">
      <alignment vertical="top"/>
    </xf>
    <xf numFmtId="0" fontId="104" fillId="8" borderId="0" xfId="0" applyFont="1" applyFill="1" applyAlignment="1">
      <alignment vertical="top"/>
    </xf>
    <xf numFmtId="0" fontId="105" fillId="8" borderId="0" xfId="0" applyFont="1" applyFill="1" applyAlignment="1">
      <alignment horizontal="right" vertical="top"/>
    </xf>
    <xf numFmtId="0" fontId="106" fillId="8" borderId="0" xfId="0" applyFont="1" applyFill="1" applyAlignment="1">
      <alignment horizontal="left" vertical="top" wrapText="1"/>
    </xf>
    <xf numFmtId="0" fontId="106" fillId="8" borderId="0" xfId="0" applyFont="1" applyFill="1" applyAlignment="1">
      <alignment vertical="top" wrapText="1"/>
    </xf>
    <xf numFmtId="10" fontId="106" fillId="8" borderId="0" xfId="0" applyNumberFormat="1" applyFont="1" applyFill="1" applyAlignment="1">
      <alignment vertical="top" wrapText="1"/>
    </xf>
    <xf numFmtId="0" fontId="104" fillId="8" borderId="0" xfId="0" applyFont="1" applyFill="1" applyAlignment="1">
      <alignment horizontal="left" vertical="top"/>
    </xf>
    <xf numFmtId="10" fontId="104" fillId="8" borderId="0" xfId="0" applyNumberFormat="1" applyFont="1" applyFill="1" applyAlignment="1">
      <alignment vertical="top"/>
    </xf>
    <xf numFmtId="0" fontId="107" fillId="8" borderId="0" xfId="0" applyFont="1" applyFill="1" applyAlignment="1">
      <alignment horizontal="left" vertical="top" wrapText="1" readingOrder="1"/>
    </xf>
    <xf numFmtId="0" fontId="107" fillId="8" borderId="0" xfId="0" applyFont="1" applyFill="1" applyAlignment="1">
      <alignment horizontal="center" vertical="center" wrapText="1" readingOrder="1"/>
    </xf>
    <xf numFmtId="10" fontId="107" fillId="8" borderId="0" xfId="0" applyNumberFormat="1" applyFont="1" applyFill="1" applyAlignment="1">
      <alignment horizontal="center" vertical="center" wrapText="1" readingOrder="1"/>
    </xf>
    <xf numFmtId="0" fontId="107" fillId="8" borderId="0" xfId="0" applyFont="1" applyFill="1" applyAlignment="1">
      <alignment vertical="top"/>
    </xf>
    <xf numFmtId="170" fontId="107" fillId="8" borderId="0" xfId="0" applyNumberFormat="1" applyFont="1" applyFill="1" applyAlignment="1">
      <alignment vertical="top"/>
    </xf>
    <xf numFmtId="10" fontId="107" fillId="8" borderId="0" xfId="0" applyNumberFormat="1" applyFont="1" applyFill="1" applyAlignment="1">
      <alignment vertical="top"/>
    </xf>
    <xf numFmtId="3" fontId="106" fillId="8" borderId="0" xfId="0" applyNumberFormat="1" applyFont="1" applyFill="1" applyAlignment="1">
      <alignment horizontal="left" vertical="top"/>
    </xf>
    <xf numFmtId="0" fontId="106" fillId="8" borderId="0" xfId="0" applyFont="1" applyFill="1" applyAlignment="1">
      <alignment vertical="top"/>
    </xf>
    <xf numFmtId="170" fontId="106" fillId="8" borderId="0" xfId="0" applyNumberFormat="1" applyFont="1" applyFill="1" applyAlignment="1">
      <alignment vertical="top"/>
    </xf>
    <xf numFmtId="10" fontId="108" fillId="8" borderId="0" xfId="0" applyNumberFormat="1" applyFont="1" applyFill="1" applyAlignment="1">
      <alignment vertical="top"/>
    </xf>
    <xf numFmtId="170" fontId="104" fillId="8" borderId="0" xfId="0" applyNumberFormat="1" applyFont="1" applyFill="1" applyAlignment="1">
      <alignment vertical="top"/>
    </xf>
    <xf numFmtId="170" fontId="109" fillId="8" borderId="0" xfId="0" applyNumberFormat="1" applyFont="1" applyFill="1" applyAlignment="1">
      <alignment vertical="top"/>
    </xf>
    <xf numFmtId="0" fontId="109" fillId="8" borderId="0" xfId="0" applyFont="1" applyFill="1" applyAlignment="1">
      <alignment vertical="top"/>
    </xf>
    <xf numFmtId="0" fontId="0" fillId="0" borderId="9" xfId="0" applyBorder="1" applyAlignment="1">
      <alignment horizontal="left"/>
    </xf>
    <xf numFmtId="49" fontId="0" fillId="0" borderId="0" xfId="0" applyNumberFormat="1"/>
    <xf numFmtId="0" fontId="13" fillId="14" borderId="0" xfId="0" applyFont="1" applyFill="1" applyBorder="1" applyAlignment="1" applyProtection="1">
      <alignment horizontal="left" vertical="center"/>
      <protection locked="0"/>
    </xf>
    <xf numFmtId="0" fontId="13" fillId="19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 applyBorder="1" applyAlignment="1">
      <alignment horizontal="center"/>
    </xf>
    <xf numFmtId="0" fontId="35" fillId="13" borderId="0" xfId="0" applyFont="1" applyFill="1" applyBorder="1" applyAlignment="1">
      <alignment horizontal="left" vertical="center"/>
    </xf>
    <xf numFmtId="0" fontId="13" fillId="18" borderId="0" xfId="0" applyFont="1" applyFill="1" applyBorder="1" applyAlignment="1" applyProtection="1">
      <alignment horizontal="left" vertical="center"/>
      <protection locked="0"/>
    </xf>
    <xf numFmtId="0" fontId="63" fillId="0" borderId="0" xfId="0" applyFont="1" applyBorder="1" applyAlignment="1">
      <alignment horizontal="center"/>
    </xf>
    <xf numFmtId="0" fontId="0" fillId="13" borderId="0" xfId="0" applyFont="1" applyFill="1" applyBorder="1" applyAlignment="1">
      <alignment horizontal="center" vertical="center"/>
    </xf>
    <xf numFmtId="0" fontId="13" fillId="15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Alignment="1">
      <alignment wrapText="1"/>
    </xf>
    <xf numFmtId="0" fontId="50" fillId="4" borderId="0" xfId="0" applyFont="1" applyFill="1" applyAlignment="1">
      <alignment wrapText="1"/>
    </xf>
    <xf numFmtId="0" fontId="13" fillId="0" borderId="0" xfId="0" applyFont="1" applyAlignment="1">
      <alignment horizontal="center" wrapText="1"/>
    </xf>
    <xf numFmtId="0" fontId="13" fillId="21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69" xfId="0" applyFont="1" applyBorder="1" applyAlignment="1">
      <alignment horizontal="center" wrapText="1"/>
    </xf>
    <xf numFmtId="0" fontId="0" fillId="14" borderId="0" xfId="0" applyFont="1" applyFill="1" applyBorder="1" applyAlignment="1">
      <alignment horizontal="left"/>
    </xf>
    <xf numFmtId="0" fontId="35" fillId="20" borderId="0" xfId="0" applyFont="1" applyFill="1" applyBorder="1" applyAlignment="1">
      <alignment horizontal="center" vertical="center"/>
    </xf>
    <xf numFmtId="0" fontId="35" fillId="12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15" fillId="20" borderId="0" xfId="0" applyFont="1" applyFill="1" applyBorder="1" applyAlignment="1">
      <alignment horizontal="left" wrapText="1"/>
    </xf>
    <xf numFmtId="0" fontId="0" fillId="0" borderId="0" xfId="0" applyAlignment="1">
      <alignment horizontal="center"/>
    </xf>
    <xf numFmtId="38" fontId="2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16" borderId="0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/>
    </xf>
    <xf numFmtId="0" fontId="3" fillId="12" borderId="0" xfId="0" applyFont="1" applyFill="1" applyBorder="1" applyAlignment="1">
      <alignment horizontal="center" vertical="center"/>
    </xf>
    <xf numFmtId="166" fontId="2" fillId="22" borderId="0" xfId="0" applyNumberFormat="1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/>
    </xf>
    <xf numFmtId="38" fontId="22" fillId="0" borderId="23" xfId="0" applyNumberFormat="1" applyFont="1" applyBorder="1" applyAlignment="1">
      <alignment horizontal="center"/>
    </xf>
    <xf numFmtId="38" fontId="22" fillId="0" borderId="2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0" fontId="55" fillId="8" borderId="0" xfId="0" applyFont="1" applyFill="1" applyBorder="1" applyAlignment="1" applyProtection="1">
      <alignment horizontal="center"/>
      <protection locked="0"/>
    </xf>
    <xf numFmtId="38" fontId="55" fillId="8" borderId="0" xfId="0" applyNumberFormat="1" applyFont="1" applyFill="1" applyBorder="1" applyAlignment="1" applyProtection="1">
      <alignment horizontal="center"/>
      <protection locked="0"/>
    </xf>
    <xf numFmtId="38" fontId="55" fillId="8" borderId="70" xfId="0" applyNumberFormat="1" applyFont="1" applyFill="1" applyBorder="1" applyAlignment="1">
      <alignment horizontal="center"/>
    </xf>
    <xf numFmtId="38" fontId="55" fillId="8" borderId="0" xfId="0" applyNumberFormat="1" applyFont="1" applyFill="1" applyBorder="1" applyAlignment="1">
      <alignment horizontal="center"/>
    </xf>
    <xf numFmtId="0" fontId="35" fillId="0" borderId="31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left" vertical="center" wrapText="1"/>
    </xf>
    <xf numFmtId="0" fontId="13" fillId="0" borderId="30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67" xfId="0" applyFont="1" applyBorder="1" applyAlignment="1">
      <alignment horizontal="center" vertical="center" wrapText="1"/>
    </xf>
    <xf numFmtId="0" fontId="34" fillId="0" borderId="73" xfId="0" applyFont="1" applyBorder="1" applyAlignment="1">
      <alignment horizontal="center" vertical="center" wrapText="1"/>
    </xf>
    <xf numFmtId="0" fontId="34" fillId="0" borderId="71" xfId="0" applyFont="1" applyBorder="1" applyAlignment="1">
      <alignment horizontal="center" vertical="center" wrapText="1"/>
    </xf>
    <xf numFmtId="0" fontId="35" fillId="0" borderId="68" xfId="0" applyFont="1" applyBorder="1" applyAlignment="1">
      <alignment horizontal="left" vertical="center" wrapText="1"/>
    </xf>
    <xf numFmtId="0" fontId="35" fillId="0" borderId="74" xfId="0" applyFont="1" applyBorder="1" applyAlignment="1">
      <alignment horizontal="left" vertical="center" wrapText="1"/>
    </xf>
    <xf numFmtId="0" fontId="35" fillId="0" borderId="72" xfId="0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4" fontId="13" fillId="0" borderId="31" xfId="0" applyNumberFormat="1" applyFont="1" applyBorder="1" applyAlignment="1">
      <alignment horizontal="left" vertical="center" wrapText="1"/>
    </xf>
    <xf numFmtId="0" fontId="13" fillId="0" borderId="31" xfId="0" applyFont="1" applyBorder="1" applyAlignment="1">
      <alignment horizontal="left" vertical="center" wrapText="1"/>
    </xf>
    <xf numFmtId="164" fontId="35" fillId="0" borderId="31" xfId="0" applyNumberFormat="1" applyFont="1" applyBorder="1" applyAlignment="1">
      <alignment horizontal="left" vertical="center" wrapText="1"/>
    </xf>
    <xf numFmtId="0" fontId="13" fillId="0" borderId="68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left" vertical="center" wrapText="1"/>
    </xf>
    <xf numFmtId="0" fontId="13" fillId="0" borderId="71" xfId="0" applyFont="1" applyBorder="1" applyAlignment="1">
      <alignment horizontal="left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left" vertical="center" wrapText="1"/>
    </xf>
    <xf numFmtId="0" fontId="13" fillId="0" borderId="72" xfId="0" applyFont="1" applyBorder="1" applyAlignment="1">
      <alignment horizontal="left" vertical="center" wrapText="1"/>
    </xf>
    <xf numFmtId="4" fontId="35" fillId="0" borderId="31" xfId="0" applyNumberFormat="1" applyFont="1" applyBorder="1" applyAlignment="1">
      <alignment horizontal="left" vertical="center" wrapText="1"/>
    </xf>
    <xf numFmtId="0" fontId="13" fillId="0" borderId="74" xfId="0" applyFont="1" applyBorder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35" fillId="0" borderId="75" xfId="0" applyFont="1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34" fillId="0" borderId="71" xfId="0" applyFont="1" applyBorder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67" xfId="0" applyFont="1" applyBorder="1" applyAlignment="1">
      <alignment horizontal="left" vertical="center" wrapText="1"/>
    </xf>
    <xf numFmtId="0" fontId="34" fillId="0" borderId="73" xfId="0" applyFont="1" applyBorder="1" applyAlignment="1">
      <alignment horizontal="left" vertical="center" wrapText="1"/>
    </xf>
    <xf numFmtId="0" fontId="35" fillId="0" borderId="67" xfId="0" applyFont="1" applyBorder="1" applyAlignment="1">
      <alignment horizontal="center" vertical="center" wrapText="1"/>
    </xf>
    <xf numFmtId="0" fontId="35" fillId="0" borderId="71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left" vertical="center" wrapText="1"/>
    </xf>
    <xf numFmtId="0" fontId="35" fillId="0" borderId="71" xfId="0" applyFont="1" applyBorder="1" applyAlignment="1">
      <alignment horizontal="left" vertical="center" wrapText="1"/>
    </xf>
    <xf numFmtId="0" fontId="35" fillId="0" borderId="73" xfId="0" applyFont="1" applyBorder="1" applyAlignment="1">
      <alignment horizontal="center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74" xfId="0" applyFont="1" applyBorder="1" applyAlignment="1">
      <alignment horizontal="center" vertical="center" wrapText="1"/>
    </xf>
    <xf numFmtId="0" fontId="35" fillId="0" borderId="72" xfId="0" applyFont="1" applyBorder="1" applyAlignment="1">
      <alignment horizontal="center" vertical="center" wrapText="1"/>
    </xf>
    <xf numFmtId="38" fontId="22" fillId="0" borderId="70" xfId="0" applyNumberFormat="1" applyFont="1" applyBorder="1" applyAlignment="1">
      <alignment horizontal="center"/>
    </xf>
    <xf numFmtId="38" fontId="22" fillId="0" borderId="0" xfId="0" applyNumberFormat="1" applyFont="1" applyBorder="1" applyAlignment="1">
      <alignment horizontal="center"/>
    </xf>
    <xf numFmtId="38" fontId="3" fillId="0" borderId="0" xfId="0" applyNumberFormat="1" applyFont="1" applyBorder="1" applyAlignment="1" applyProtection="1">
      <alignment horizontal="center"/>
      <protection locked="0"/>
    </xf>
    <xf numFmtId="38" fontId="3" fillId="0" borderId="0" xfId="0" applyNumberFormat="1" applyFont="1" applyAlignment="1" applyProtection="1">
      <alignment horizontal="center"/>
      <protection locked="0"/>
    </xf>
    <xf numFmtId="0" fontId="68" fillId="12" borderId="0" xfId="0" applyNumberFormat="1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Alignment="1" applyProtection="1">
      <alignment horizontal="left"/>
      <protection locked="0"/>
    </xf>
    <xf numFmtId="170" fontId="12" fillId="0" borderId="0" xfId="0" applyNumberFormat="1" applyFont="1" applyAlignment="1">
      <alignment horizontal="center" vertical="top" wrapText="1" readingOrder="1"/>
    </xf>
    <xf numFmtId="0" fontId="3" fillId="19" borderId="0" xfId="0" applyFont="1" applyFill="1" applyBorder="1" applyAlignment="1">
      <alignment horizontal="center"/>
    </xf>
    <xf numFmtId="0" fontId="12" fillId="8" borderId="0" xfId="0" applyFont="1" applyFill="1" applyAlignment="1">
      <alignment horizontal="center" vertical="center" wrapText="1" readingOrder="1"/>
    </xf>
    <xf numFmtId="0" fontId="3" fillId="8" borderId="0" xfId="0" applyFont="1" applyFill="1" applyBorder="1" applyAlignment="1">
      <alignment horizontal="center"/>
    </xf>
    <xf numFmtId="0" fontId="12" fillId="19" borderId="0" xfId="0" applyFont="1" applyFill="1" applyAlignment="1">
      <alignment vertical="center" wrapText="1" readingOrder="1"/>
    </xf>
    <xf numFmtId="0" fontId="12" fillId="19" borderId="0" xfId="0" applyFont="1" applyFill="1" applyAlignment="1">
      <alignment horizontal="center" vertical="center" wrapText="1" readingOrder="1"/>
    </xf>
    <xf numFmtId="0" fontId="12" fillId="0" borderId="62" xfId="0" applyFont="1" applyBorder="1" applyAlignment="1">
      <alignment horizontal="center"/>
    </xf>
    <xf numFmtId="0" fontId="33" fillId="0" borderId="63" xfId="0" applyFont="1" applyBorder="1" applyAlignment="1">
      <alignment horizontal="center"/>
    </xf>
    <xf numFmtId="0" fontId="33" fillId="0" borderId="64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12" fillId="0" borderId="20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14" fillId="29" borderId="0" xfId="0" applyFont="1" applyFill="1" applyBorder="1" applyAlignment="1">
      <alignment horizontal="left"/>
    </xf>
    <xf numFmtId="0" fontId="0" fillId="29" borderId="0" xfId="0" applyFill="1" applyBorder="1" applyAlignment="1">
      <alignment horizontal="left"/>
    </xf>
    <xf numFmtId="0" fontId="2" fillId="26" borderId="0" xfId="0" applyFont="1" applyFill="1" applyBorder="1" applyAlignment="1">
      <alignment horizontal="center" vertical="center"/>
    </xf>
    <xf numFmtId="49" fontId="14" fillId="19" borderId="0" xfId="0" applyNumberFormat="1" applyFont="1" applyFill="1" applyBorder="1" applyAlignment="1">
      <alignment horizontal="center" vertical="center"/>
    </xf>
    <xf numFmtId="0" fontId="2" fillId="28" borderId="0" xfId="0" applyFont="1" applyFill="1" applyBorder="1" applyAlignment="1">
      <alignment horizontal="center" vertical="center"/>
    </xf>
    <xf numFmtId="0" fontId="2" fillId="25" borderId="0" xfId="0" applyFont="1" applyFill="1" applyBorder="1" applyAlignment="1">
      <alignment horizontal="center" vertical="center"/>
    </xf>
    <xf numFmtId="49" fontId="14" fillId="26" borderId="0" xfId="0" applyNumberFormat="1" applyFont="1" applyFill="1" applyBorder="1" applyAlignment="1">
      <alignment horizontal="center" vertical="center"/>
    </xf>
    <xf numFmtId="0" fontId="0" fillId="27" borderId="0" xfId="0" applyFill="1" applyBorder="1" applyAlignment="1">
      <alignment horizontal="left"/>
    </xf>
    <xf numFmtId="0" fontId="2" fillId="13" borderId="0" xfId="0" applyFont="1" applyFill="1" applyBorder="1" applyAlignment="1">
      <alignment horizontal="center"/>
    </xf>
    <xf numFmtId="0" fontId="2" fillId="25" borderId="0" xfId="0" applyFont="1" applyFill="1" applyBorder="1" applyAlignment="1">
      <alignment horizontal="center"/>
    </xf>
    <xf numFmtId="0" fontId="0" fillId="31" borderId="0" xfId="0" applyFill="1" applyBorder="1" applyAlignment="1">
      <alignment horizontal="left"/>
    </xf>
    <xf numFmtId="0" fontId="2" fillId="32" borderId="0" xfId="0" applyFont="1" applyFill="1" applyBorder="1" applyAlignment="1">
      <alignment horizontal="center"/>
    </xf>
    <xf numFmtId="0" fontId="2" fillId="28" borderId="0" xfId="0" applyFont="1" applyFill="1" applyBorder="1" applyAlignment="1">
      <alignment horizontal="center"/>
    </xf>
    <xf numFmtId="0" fontId="2" fillId="30" borderId="0" xfId="0" applyFont="1" applyFill="1" applyBorder="1" applyAlignment="1">
      <alignment horizontal="center"/>
    </xf>
    <xf numFmtId="0" fontId="41" fillId="33" borderId="54" xfId="0" applyFont="1" applyFill="1" applyBorder="1" applyAlignment="1">
      <alignment horizontal="center" vertical="center" wrapText="1"/>
    </xf>
    <xf numFmtId="0" fontId="41" fillId="33" borderId="31" xfId="0" applyFont="1" applyFill="1" applyBorder="1" applyAlignment="1">
      <alignment horizontal="center" vertical="center" wrapText="1"/>
    </xf>
    <xf numFmtId="0" fontId="41" fillId="33" borderId="55" xfId="0" applyFont="1" applyFill="1" applyBorder="1" applyAlignment="1">
      <alignment horizontal="center" vertical="center" wrapText="1"/>
    </xf>
    <xf numFmtId="0" fontId="41" fillId="33" borderId="5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96" fillId="33" borderId="53" xfId="0" applyFont="1" applyFill="1" applyBorder="1" applyAlignment="1">
      <alignment horizontal="center" vertical="center"/>
    </xf>
    <xf numFmtId="0" fontId="96" fillId="33" borderId="54" xfId="0" applyFont="1" applyFill="1" applyBorder="1" applyAlignment="1">
      <alignment horizontal="center" vertical="center"/>
    </xf>
    <xf numFmtId="0" fontId="96" fillId="33" borderId="56" xfId="0" applyFont="1" applyFill="1" applyBorder="1" applyAlignment="1">
      <alignment horizontal="center" vertical="center"/>
    </xf>
    <xf numFmtId="0" fontId="96" fillId="33" borderId="31" xfId="0" applyFont="1" applyFill="1" applyBorder="1" applyAlignment="1">
      <alignment horizontal="center" vertical="center"/>
    </xf>
    <xf numFmtId="0" fontId="35" fillId="0" borderId="56" xfId="0" applyFont="1" applyBorder="1" applyAlignment="1">
      <alignment horizontal="left" vertical="top" wrapText="1"/>
    </xf>
    <xf numFmtId="0" fontId="35" fillId="0" borderId="31" xfId="0" applyFont="1" applyBorder="1" applyAlignment="1">
      <alignment horizontal="left" vertical="top" wrapText="1"/>
    </xf>
    <xf numFmtId="0" fontId="35" fillId="0" borderId="58" xfId="0" applyFont="1" applyBorder="1" applyAlignment="1">
      <alignment horizontal="left" vertical="top" wrapText="1"/>
    </xf>
    <xf numFmtId="0" fontId="35" fillId="0" borderId="59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96" fillId="33" borderId="58" xfId="0" applyFont="1" applyFill="1" applyBorder="1" applyAlignment="1">
      <alignment horizontal="center" vertical="center" wrapText="1"/>
    </xf>
    <xf numFmtId="0" fontId="96" fillId="33" borderId="59" xfId="0" applyFont="1" applyFill="1" applyBorder="1" applyAlignment="1">
      <alignment horizontal="center" vertical="center" wrapText="1"/>
    </xf>
    <xf numFmtId="0" fontId="35" fillId="0" borderId="53" xfId="0" applyFont="1" applyBorder="1" applyAlignment="1">
      <alignment horizontal="left" vertical="top" wrapText="1"/>
    </xf>
    <xf numFmtId="0" fontId="35" fillId="0" borderId="54" xfId="0" applyFont="1" applyBorder="1" applyAlignment="1">
      <alignment horizontal="left" vertical="top" wrapText="1"/>
    </xf>
    <xf numFmtId="0" fontId="34" fillId="0" borderId="56" xfId="0" applyFont="1" applyBorder="1" applyAlignment="1">
      <alignment horizontal="left" vertical="top" wrapText="1"/>
    </xf>
    <xf numFmtId="0" fontId="34" fillId="0" borderId="31" xfId="0" applyFont="1" applyBorder="1" applyAlignment="1">
      <alignment horizontal="left" vertical="top" wrapText="1"/>
    </xf>
    <xf numFmtId="0" fontId="88" fillId="0" borderId="0" xfId="0" applyFont="1" applyAlignment="1">
      <alignment horizontal="left" vertical="center" wrapText="1"/>
    </xf>
    <xf numFmtId="0" fontId="77" fillId="0" borderId="0" xfId="0" applyFont="1" applyAlignment="1">
      <alignment horizontal="left" vertical="top" wrapText="1" readingOrder="1"/>
    </xf>
    <xf numFmtId="0" fontId="77" fillId="0" borderId="0" xfId="0" applyFont="1" applyAlignment="1">
      <alignment horizontal="center" vertical="top" wrapText="1"/>
    </xf>
    <xf numFmtId="0" fontId="89" fillId="0" borderId="0" xfId="0" applyNumberFormat="1" applyFont="1" applyAlignment="1" applyProtection="1">
      <alignment horizontal="center"/>
      <protection locked="0"/>
    </xf>
    <xf numFmtId="0" fontId="70" fillId="0" borderId="0" xfId="0" applyFont="1" applyAlignment="1">
      <alignment horizontal="left" vertical="top"/>
    </xf>
    <xf numFmtId="170" fontId="26" fillId="7" borderId="0" xfId="0" applyNumberFormat="1" applyFont="1" applyFill="1" applyAlignment="1">
      <alignment horizontal="center"/>
    </xf>
    <xf numFmtId="0" fontId="81" fillId="8" borderId="0" xfId="0" applyFont="1" applyFill="1" applyAlignment="1">
      <alignment horizontal="left" vertical="top" wrapText="1" readingOrder="1"/>
    </xf>
    <xf numFmtId="0" fontId="25" fillId="7" borderId="0" xfId="0" applyFont="1" applyFill="1" applyBorder="1" applyAlignment="1" applyProtection="1">
      <alignment horizontal="center"/>
      <protection locked="0"/>
    </xf>
    <xf numFmtId="49" fontId="68" fillId="8" borderId="0" xfId="0" applyNumberFormat="1" applyFont="1" applyFill="1" applyAlignment="1">
      <alignment horizontal="left" vertical="center" wrapText="1"/>
    </xf>
    <xf numFmtId="0" fontId="24" fillId="7" borderId="0" xfId="0" applyFont="1" applyFill="1" applyBorder="1" applyAlignment="1">
      <alignment horizontal="center"/>
    </xf>
    <xf numFmtId="0" fontId="44" fillId="7" borderId="0" xfId="0" quotePrefix="1" applyFont="1" applyFill="1" applyAlignment="1">
      <alignment horizontal="center"/>
    </xf>
    <xf numFmtId="0" fontId="26" fillId="7" borderId="0" xfId="0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 textRotation="90"/>
    </xf>
    <xf numFmtId="0" fontId="25" fillId="7" borderId="0" xfId="0" applyFont="1" applyFill="1" applyBorder="1" applyAlignment="1">
      <alignment horizontal="center"/>
    </xf>
    <xf numFmtId="0" fontId="26" fillId="7" borderId="0" xfId="0" applyFont="1" applyFill="1" applyBorder="1" applyAlignment="1">
      <alignment vertical="center"/>
    </xf>
    <xf numFmtId="166" fontId="75" fillId="17" borderId="0" xfId="0" applyNumberFormat="1" applyFont="1" applyFill="1" applyBorder="1" applyAlignment="1">
      <alignment horizontal="center"/>
    </xf>
    <xf numFmtId="168" fontId="75" fillId="17" borderId="0" xfId="0" applyNumberFormat="1" applyFont="1" applyFill="1" applyBorder="1" applyAlignment="1">
      <alignment horizontal="center" wrapText="1"/>
    </xf>
    <xf numFmtId="49" fontId="66" fillId="22" borderId="0" xfId="0" applyNumberFormat="1" applyFont="1" applyFill="1" applyAlignment="1">
      <alignment horizontal="left" vertical="center" wrapText="1"/>
    </xf>
    <xf numFmtId="49" fontId="66" fillId="19" borderId="0" xfId="0" applyNumberFormat="1" applyFont="1" applyFill="1" applyAlignment="1">
      <alignment horizontal="left" vertical="center" wrapText="1"/>
    </xf>
    <xf numFmtId="0" fontId="86" fillId="28" borderId="0" xfId="0" applyFont="1" applyFill="1" applyAlignment="1">
      <alignment horizontal="center" vertical="center" wrapText="1"/>
    </xf>
    <xf numFmtId="49" fontId="66" fillId="25" borderId="0" xfId="0" applyNumberFormat="1" applyFont="1" applyFill="1" applyAlignment="1">
      <alignment horizontal="left" vertical="center" wrapText="1"/>
    </xf>
    <xf numFmtId="49" fontId="66" fillId="14" borderId="0" xfId="0" applyNumberFormat="1" applyFont="1" applyFill="1" applyAlignment="1">
      <alignment horizontal="left" vertical="center" wrapText="1"/>
    </xf>
    <xf numFmtId="49" fontId="66" fillId="0" borderId="0" xfId="0" applyNumberFormat="1" applyFont="1" applyAlignment="1">
      <alignment horizontal="center" vertical="center" wrapText="1"/>
    </xf>
    <xf numFmtId="49" fontId="85" fillId="0" borderId="0" xfId="0" applyNumberFormat="1" applyFont="1" applyAlignment="1">
      <alignment horizontal="center"/>
    </xf>
    <xf numFmtId="0" fontId="75" fillId="17" borderId="0" xfId="0" applyFont="1" applyFill="1" applyBorder="1" applyAlignment="1">
      <alignment horizontal="left" vertical="top" wrapText="1"/>
    </xf>
    <xf numFmtId="0" fontId="75" fillId="17" borderId="0" xfId="0" applyFont="1" applyFill="1" applyBorder="1" applyAlignment="1">
      <alignment horizontal="left" vertical="center" wrapText="1"/>
    </xf>
    <xf numFmtId="0" fontId="75" fillId="17" borderId="0" xfId="0" applyFont="1" applyFill="1" applyBorder="1" applyAlignment="1">
      <alignment horizontal="left"/>
    </xf>
    <xf numFmtId="166" fontId="75" fillId="17" borderId="0" xfId="0" applyNumberFormat="1" applyFont="1" applyFill="1" applyBorder="1" applyAlignment="1">
      <alignment horizontal="center" vertical="center" wrapText="1"/>
    </xf>
    <xf numFmtId="0" fontId="66" fillId="11" borderId="0" xfId="0" applyFont="1" applyFill="1" applyAlignment="1">
      <alignment horizontal="center"/>
    </xf>
    <xf numFmtId="170" fontId="0" fillId="0" borderId="0" xfId="0" applyNumberFormat="1" applyAlignment="1">
      <alignment horizontal="center"/>
    </xf>
    <xf numFmtId="49" fontId="66" fillId="14" borderId="0" xfId="0" applyNumberFormat="1" applyFont="1" applyFill="1" applyAlignment="1">
      <alignment horizontal="left" vertical="center"/>
    </xf>
    <xf numFmtId="0" fontId="66" fillId="15" borderId="0" xfId="0" applyNumberFormat="1" applyFont="1" applyFill="1" applyAlignment="1">
      <alignment horizontal="right" vertical="center"/>
    </xf>
    <xf numFmtId="49" fontId="66" fillId="27" borderId="0" xfId="0" applyNumberFormat="1" applyFont="1" applyFill="1" applyAlignment="1">
      <alignment horizontal="left" vertical="center"/>
    </xf>
    <xf numFmtId="49" fontId="66" fillId="15" borderId="0" xfId="0" applyNumberFormat="1" applyFont="1" applyFill="1" applyAlignment="1">
      <alignment horizontal="right" vertical="center"/>
    </xf>
    <xf numFmtId="0" fontId="66" fillId="8" borderId="0" xfId="0" applyFont="1" applyFill="1" applyAlignment="1">
      <alignment horizontal="center"/>
    </xf>
    <xf numFmtId="49" fontId="86" fillId="28" borderId="0" xfId="0" applyNumberFormat="1" applyFont="1" applyFill="1" applyAlignment="1">
      <alignment horizontal="left" vertical="center" wrapText="1"/>
    </xf>
    <xf numFmtId="49" fontId="66" fillId="21" borderId="0" xfId="0" applyNumberFormat="1" applyFont="1" applyFill="1" applyAlignment="1">
      <alignment horizontal="left" vertical="center" wrapText="1"/>
    </xf>
    <xf numFmtId="49" fontId="66" fillId="15" borderId="0" xfId="0" applyNumberFormat="1" applyFont="1" applyFill="1" applyAlignment="1">
      <alignment horizontal="left" vertical="center" wrapText="1"/>
    </xf>
    <xf numFmtId="0" fontId="68" fillId="5" borderId="0" xfId="0" applyFont="1" applyFill="1" applyBorder="1" applyAlignment="1">
      <alignment horizontal="left"/>
    </xf>
    <xf numFmtId="49" fontId="66" fillId="31" borderId="0" xfId="0" applyNumberFormat="1" applyFont="1" applyFill="1" applyAlignment="1">
      <alignment horizontal="right" vertical="center"/>
    </xf>
    <xf numFmtId="0" fontId="66" fillId="31" borderId="0" xfId="0" applyNumberFormat="1" applyFont="1" applyFill="1" applyAlignment="1">
      <alignment horizontal="right" vertical="center"/>
    </xf>
    <xf numFmtId="49" fontId="66" fillId="30" borderId="0" xfId="0" applyNumberFormat="1" applyFont="1" applyFill="1" applyAlignment="1">
      <alignment horizontal="right" vertical="center"/>
    </xf>
    <xf numFmtId="0" fontId="66" fillId="30" borderId="0" xfId="0" applyNumberFormat="1" applyFont="1" applyFill="1" applyAlignment="1">
      <alignment horizontal="right" vertical="center"/>
    </xf>
    <xf numFmtId="49" fontId="0" fillId="0" borderId="0" xfId="0" applyNumberFormat="1" applyAlignment="1">
      <alignment horizontal="left"/>
    </xf>
    <xf numFmtId="49" fontId="66" fillId="0" borderId="0" xfId="0" applyNumberFormat="1" applyFont="1" applyAlignment="1">
      <alignment horizontal="left"/>
    </xf>
    <xf numFmtId="0" fontId="81" fillId="0" borderId="0" xfId="0" applyFont="1" applyAlignment="1">
      <alignment horizontal="left" vertical="top" wrapText="1" readingOrder="1"/>
    </xf>
    <xf numFmtId="170" fontId="81" fillId="0" borderId="0" xfId="0" applyNumberFormat="1" applyFont="1" applyAlignment="1">
      <alignment horizontal="right" vertical="top"/>
    </xf>
    <xf numFmtId="0" fontId="79" fillId="0" borderId="0" xfId="0" applyFont="1" applyAlignment="1">
      <alignment horizontal="left" vertical="top" wrapText="1" readingOrder="1"/>
    </xf>
    <xf numFmtId="3" fontId="79" fillId="0" borderId="0" xfId="0" applyNumberFormat="1" applyFont="1" applyAlignment="1">
      <alignment horizontal="left" vertical="top"/>
    </xf>
    <xf numFmtId="0" fontId="79" fillId="0" borderId="0" xfId="0" applyFont="1" applyAlignment="1">
      <alignment horizontal="left" vertical="top" wrapText="1"/>
    </xf>
    <xf numFmtId="170" fontId="79" fillId="0" borderId="0" xfId="0" applyNumberFormat="1" applyFont="1" applyAlignment="1">
      <alignment horizontal="right" vertical="top"/>
    </xf>
    <xf numFmtId="0" fontId="81" fillId="0" borderId="0" xfId="0" applyFont="1" applyAlignment="1">
      <alignment horizontal="right" vertical="top" wrapText="1" readingOrder="1"/>
    </xf>
    <xf numFmtId="176" fontId="53" fillId="8" borderId="0" xfId="0" applyNumberFormat="1" applyFont="1" applyFill="1" applyAlignment="1">
      <alignment horizontal="right" vertical="top"/>
    </xf>
    <xf numFmtId="0" fontId="58" fillId="8" borderId="0" xfId="0" applyFont="1" applyFill="1" applyAlignment="1">
      <alignment horizontal="left" vertical="top"/>
    </xf>
    <xf numFmtId="0" fontId="101" fillId="8" borderId="0" xfId="0" applyFont="1" applyFill="1" applyAlignment="1">
      <alignment horizontal="left" vertical="top"/>
    </xf>
    <xf numFmtId="0" fontId="54" fillId="8" borderId="0" xfId="0" applyFont="1" applyFill="1" applyAlignment="1">
      <alignment horizontal="right" vertical="top" wrapText="1" readingOrder="1"/>
    </xf>
    <xf numFmtId="0" fontId="102" fillId="8" borderId="0" xfId="0" applyFont="1" applyFill="1" applyAlignment="1">
      <alignment horizontal="center" vertical="top" wrapText="1" readingOrder="1"/>
    </xf>
    <xf numFmtId="0" fontId="0" fillId="8" borderId="0" xfId="0" applyFill="1" applyAlignment="1">
      <alignment horizontal="center" vertical="top"/>
    </xf>
    <xf numFmtId="0" fontId="54" fillId="8" borderId="0" xfId="0" applyFont="1" applyFill="1" applyAlignment="1">
      <alignment horizontal="center" vertical="top" wrapText="1" readingOrder="1"/>
    </xf>
    <xf numFmtId="0" fontId="54" fillId="8" borderId="0" xfId="0" applyFont="1" applyFill="1" applyAlignment="1">
      <alignment horizontal="left" vertical="top" wrapText="1" readingOrder="1"/>
    </xf>
    <xf numFmtId="4" fontId="54" fillId="8" borderId="0" xfId="0" applyNumberFormat="1" applyFont="1" applyFill="1" applyAlignment="1">
      <alignment horizontal="right" vertical="top"/>
    </xf>
    <xf numFmtId="0" fontId="97" fillId="0" borderId="0" xfId="0" applyFont="1" applyBorder="1" applyAlignment="1">
      <alignment horizontal="center" vertical="top" wrapText="1"/>
    </xf>
    <xf numFmtId="0" fontId="100" fillId="0" borderId="0" xfId="0" applyFont="1" applyAlignment="1">
      <alignment horizontal="center" vertical="top"/>
    </xf>
    <xf numFmtId="0" fontId="81" fillId="0" borderId="0" xfId="0" applyFont="1" applyAlignment="1">
      <alignment horizontal="center" vertical="top" wrapText="1" readingOrder="1"/>
    </xf>
    <xf numFmtId="0" fontId="81" fillId="0" borderId="0" xfId="0" applyFont="1" applyAlignment="1">
      <alignment horizontal="center" vertical="top"/>
    </xf>
    <xf numFmtId="0" fontId="83" fillId="0" borderId="0" xfId="0" applyFont="1" applyAlignment="1">
      <alignment horizontal="center" vertical="top" wrapText="1" readingOrder="1"/>
    </xf>
    <xf numFmtId="0" fontId="82" fillId="0" borderId="0" xfId="0" applyFont="1" applyAlignment="1">
      <alignment horizontal="center" vertical="top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5" fillId="0" borderId="0" xfId="0" applyFont="1" applyAlignment="1">
      <alignment horizontal="left"/>
    </xf>
    <xf numFmtId="0" fontId="35" fillId="0" borderId="0" xfId="0" applyFont="1" applyBorder="1" applyAlignment="1">
      <alignment horizontal="left"/>
    </xf>
    <xf numFmtId="0" fontId="60" fillId="8" borderId="78" xfId="0" applyFont="1" applyFill="1" applyBorder="1" applyAlignment="1">
      <alignment horizontal="left" vertical="top" wrapText="1" readingOrder="1"/>
    </xf>
    <xf numFmtId="0" fontId="60" fillId="8" borderId="37" xfId="0" applyFont="1" applyFill="1" applyBorder="1" applyAlignment="1">
      <alignment horizontal="left" vertical="top" wrapText="1" readingOrder="1"/>
    </xf>
    <xf numFmtId="0" fontId="60" fillId="8" borderId="38" xfId="0" applyFont="1" applyFill="1" applyBorder="1" applyAlignment="1">
      <alignment horizontal="right" vertical="top"/>
    </xf>
    <xf numFmtId="0" fontId="60" fillId="8" borderId="37" xfId="0" applyFont="1" applyFill="1" applyBorder="1" applyAlignment="1">
      <alignment horizontal="right" vertical="top"/>
    </xf>
    <xf numFmtId="0" fontId="60" fillId="8" borderId="40" xfId="0" applyFont="1" applyFill="1" applyBorder="1" applyAlignment="1">
      <alignment horizontal="left" vertical="top" wrapText="1" readingOrder="1"/>
    </xf>
    <xf numFmtId="0" fontId="53" fillId="8" borderId="32" xfId="0" applyFont="1" applyFill="1" applyBorder="1" applyAlignment="1">
      <alignment horizontal="left" vertical="top"/>
    </xf>
    <xf numFmtId="0" fontId="53" fillId="8" borderId="0" xfId="0" applyFont="1" applyFill="1" applyBorder="1" applyAlignment="1">
      <alignment horizontal="left" vertical="top"/>
    </xf>
    <xf numFmtId="44" fontId="61" fillId="8" borderId="35" xfId="0" applyNumberFormat="1" applyFont="1" applyFill="1" applyBorder="1" applyAlignment="1">
      <alignment horizontal="right" vertical="top"/>
    </xf>
    <xf numFmtId="44" fontId="61" fillId="8" borderId="0" xfId="0" applyNumberFormat="1" applyFont="1" applyFill="1" applyBorder="1" applyAlignment="1">
      <alignment horizontal="right" vertical="top"/>
    </xf>
    <xf numFmtId="44" fontId="61" fillId="8" borderId="33" xfId="0" applyNumberFormat="1" applyFont="1" applyFill="1" applyBorder="1" applyAlignment="1">
      <alignment horizontal="right" vertical="top"/>
    </xf>
    <xf numFmtId="0" fontId="60" fillId="8" borderId="20" xfId="0" applyFont="1" applyFill="1" applyBorder="1" applyAlignment="1">
      <alignment horizontal="right" vertical="top" wrapText="1" readingOrder="1"/>
    </xf>
    <xf numFmtId="0" fontId="53" fillId="8" borderId="34" xfId="0" applyFont="1" applyFill="1" applyBorder="1" applyAlignment="1">
      <alignment horizontal="left" vertical="top"/>
    </xf>
    <xf numFmtId="0" fontId="53" fillId="8" borderId="20" xfId="0" applyFont="1" applyFill="1" applyBorder="1" applyAlignment="1">
      <alignment horizontal="left" vertical="top"/>
    </xf>
    <xf numFmtId="44" fontId="61" fillId="8" borderId="47" xfId="0" applyNumberFormat="1" applyFont="1" applyFill="1" applyBorder="1" applyAlignment="1">
      <alignment horizontal="right" vertical="top"/>
    </xf>
    <xf numFmtId="44" fontId="61" fillId="8" borderId="20" xfId="0" applyNumberFormat="1" applyFont="1" applyFill="1" applyBorder="1" applyAlignment="1">
      <alignment horizontal="right" vertical="top"/>
    </xf>
    <xf numFmtId="44" fontId="60" fillId="8" borderId="47" xfId="0" applyNumberFormat="1" applyFont="1" applyFill="1" applyBorder="1" applyAlignment="1">
      <alignment horizontal="right" vertical="top"/>
    </xf>
    <xf numFmtId="44" fontId="60" fillId="8" borderId="20" xfId="0" applyNumberFormat="1" applyFont="1" applyFill="1" applyBorder="1" applyAlignment="1">
      <alignment horizontal="right" vertical="top"/>
    </xf>
    <xf numFmtId="44" fontId="60" fillId="8" borderId="79" xfId="0" applyNumberFormat="1" applyFont="1" applyFill="1" applyBorder="1" applyAlignment="1">
      <alignment horizontal="right" vertical="top"/>
    </xf>
    <xf numFmtId="44" fontId="61" fillId="8" borderId="79" xfId="0" applyNumberFormat="1" applyFont="1" applyFill="1" applyBorder="1" applyAlignment="1">
      <alignment horizontal="right" vertical="top"/>
    </xf>
    <xf numFmtId="0" fontId="97" fillId="8" borderId="0" xfId="0" applyFont="1" applyFill="1" applyAlignment="1">
      <alignment horizontal="center"/>
    </xf>
    <xf numFmtId="0" fontId="60" fillId="8" borderId="38" xfId="0" applyFont="1" applyFill="1" applyBorder="1" applyAlignment="1">
      <alignment horizontal="center" vertical="top" wrapText="1" readingOrder="1"/>
    </xf>
    <xf numFmtId="0" fontId="60" fillId="8" borderId="37" xfId="0" applyFont="1" applyFill="1" applyBorder="1" applyAlignment="1">
      <alignment horizontal="center" vertical="top" wrapText="1" readingOrder="1"/>
    </xf>
    <xf numFmtId="0" fontId="60" fillId="8" borderId="40" xfId="0" applyFont="1" applyFill="1" applyBorder="1" applyAlignment="1">
      <alignment horizontal="center" vertical="top" wrapText="1" readingOrder="1"/>
    </xf>
    <xf numFmtId="44" fontId="66" fillId="8" borderId="51" xfId="0" applyNumberFormat="1" applyFont="1" applyFill="1" applyBorder="1" applyAlignment="1">
      <alignment horizontal="right" vertical="top"/>
    </xf>
    <xf numFmtId="44" fontId="66" fillId="8" borderId="42" xfId="0" applyNumberFormat="1" applyFont="1" applyFill="1" applyBorder="1" applyAlignment="1">
      <alignment horizontal="right" vertical="top"/>
    </xf>
    <xf numFmtId="44" fontId="66" fillId="8" borderId="43" xfId="0" applyNumberFormat="1" applyFont="1" applyFill="1" applyBorder="1" applyAlignment="1">
      <alignment horizontal="right" vertical="top"/>
    </xf>
    <xf numFmtId="0" fontId="59" fillId="8" borderId="0" xfId="0" applyFont="1" applyFill="1" applyAlignment="1">
      <alignment horizontal="center" vertical="top" wrapText="1"/>
    </xf>
    <xf numFmtId="0" fontId="60" fillId="8" borderId="45" xfId="0" applyFont="1" applyFill="1" applyBorder="1" applyAlignment="1">
      <alignment horizontal="left" vertical="top" wrapText="1" readingOrder="1"/>
    </xf>
    <xf numFmtId="0" fontId="60" fillId="8" borderId="44" xfId="0" applyFont="1" applyFill="1" applyBorder="1" applyAlignment="1">
      <alignment horizontal="left" vertical="top" wrapText="1" readingOrder="1"/>
    </xf>
    <xf numFmtId="0" fontId="60" fillId="8" borderId="42" xfId="0" applyFont="1" applyFill="1" applyBorder="1" applyAlignment="1">
      <alignment horizontal="right" vertical="top" wrapText="1" readingOrder="1"/>
    </xf>
    <xf numFmtId="0" fontId="12" fillId="8" borderId="0" xfId="0" applyFont="1" applyFill="1" applyBorder="1" applyAlignment="1">
      <alignment horizontal="center"/>
    </xf>
    <xf numFmtId="0" fontId="45" fillId="8" borderId="0" xfId="0" applyFont="1" applyFill="1" applyAlignment="1">
      <alignment horizontal="center"/>
    </xf>
    <xf numFmtId="0" fontId="40" fillId="8" borderId="2" xfId="0" applyFont="1" applyFill="1" applyBorder="1" applyAlignment="1">
      <alignment horizontal="left" vertical="top" wrapText="1"/>
    </xf>
    <xf numFmtId="0" fontId="40" fillId="8" borderId="9" xfId="0" applyFont="1" applyFill="1" applyBorder="1" applyAlignment="1">
      <alignment horizontal="left" vertical="top" wrapText="1"/>
    </xf>
    <xf numFmtId="0" fontId="41" fillId="8" borderId="3" xfId="0" applyFont="1" applyFill="1" applyBorder="1" applyAlignment="1">
      <alignment horizontal="left" vertical="top" wrapText="1"/>
    </xf>
    <xf numFmtId="0" fontId="41" fillId="8" borderId="10" xfId="0" applyFont="1" applyFill="1" applyBorder="1" applyAlignment="1">
      <alignment horizontal="left" vertical="top" wrapText="1"/>
    </xf>
    <xf numFmtId="170" fontId="40" fillId="8" borderId="9" xfId="0" applyNumberFormat="1" applyFont="1" applyFill="1" applyBorder="1" applyAlignment="1">
      <alignment horizontal="left" vertical="top" wrapText="1"/>
    </xf>
    <xf numFmtId="170" fontId="40" fillId="8" borderId="6" xfId="0" applyNumberFormat="1" applyFont="1" applyFill="1" applyBorder="1" applyAlignment="1">
      <alignment horizontal="left" vertical="top" wrapText="1"/>
    </xf>
    <xf numFmtId="170" fontId="41" fillId="8" borderId="9" xfId="0" applyNumberFormat="1" applyFont="1" applyFill="1" applyBorder="1" applyAlignment="1">
      <alignment horizontal="left" vertical="top" wrapText="1"/>
    </xf>
    <xf numFmtId="170" fontId="41" fillId="8" borderId="6" xfId="0" applyNumberFormat="1" applyFont="1" applyFill="1" applyBorder="1" applyAlignment="1">
      <alignment horizontal="left" vertical="top" wrapText="1"/>
    </xf>
    <xf numFmtId="170" fontId="41" fillId="8" borderId="10" xfId="0" applyNumberFormat="1" applyFont="1" applyFill="1" applyBorder="1" applyAlignment="1">
      <alignment horizontal="left" vertical="top" wrapText="1"/>
    </xf>
    <xf numFmtId="170" fontId="41" fillId="8" borderId="7" xfId="0" applyNumberFormat="1" applyFont="1" applyFill="1" applyBorder="1" applyAlignment="1">
      <alignment horizontal="left" vertical="top" wrapText="1"/>
    </xf>
    <xf numFmtId="0" fontId="41" fillId="8" borderId="2" xfId="0" applyFont="1" applyFill="1" applyBorder="1" applyAlignment="1">
      <alignment horizontal="left" vertical="top" wrapText="1"/>
    </xf>
    <xf numFmtId="0" fontId="41" fillId="8" borderId="9" xfId="0" applyFont="1" applyFill="1" applyBorder="1" applyAlignment="1">
      <alignment horizontal="left" vertical="top" wrapText="1"/>
    </xf>
    <xf numFmtId="0" fontId="12" fillId="8" borderId="0" xfId="0" applyFont="1" applyFill="1" applyAlignment="1">
      <alignment horizontal="center" wrapText="1"/>
    </xf>
    <xf numFmtId="0" fontId="35" fillId="8" borderId="0" xfId="0" applyFont="1" applyFill="1" applyAlignment="1">
      <alignment horizontal="center"/>
    </xf>
    <xf numFmtId="0" fontId="41" fillId="8" borderId="9" xfId="0" applyFont="1" applyFill="1" applyBorder="1" applyAlignment="1">
      <alignment horizontal="center" vertical="top" wrapText="1"/>
    </xf>
    <xf numFmtId="0" fontId="41" fillId="8" borderId="6" xfId="0" applyFont="1" applyFill="1" applyBorder="1" applyAlignment="1">
      <alignment horizontal="center" vertical="top" wrapText="1"/>
    </xf>
    <xf numFmtId="0" fontId="41" fillId="8" borderId="2" xfId="0" applyFont="1" applyFill="1" applyBorder="1" applyAlignment="1">
      <alignment horizontal="center" vertical="top" wrapText="1"/>
    </xf>
    <xf numFmtId="0" fontId="86" fillId="8" borderId="4" xfId="0" applyFont="1" applyFill="1" applyBorder="1" applyAlignment="1">
      <alignment horizontal="center" vertical="center"/>
    </xf>
    <xf numFmtId="0" fontId="86" fillId="8" borderId="5" xfId="0" applyFont="1" applyFill="1" applyBorder="1" applyAlignment="1">
      <alignment horizontal="center" vertical="center"/>
    </xf>
    <xf numFmtId="0" fontId="86" fillId="8" borderId="8" xfId="0" applyFont="1" applyFill="1" applyBorder="1" applyAlignment="1">
      <alignment horizontal="center" vertical="center"/>
    </xf>
    <xf numFmtId="0" fontId="86" fillId="8" borderId="80" xfId="0" applyFont="1" applyFill="1" applyBorder="1" applyAlignment="1">
      <alignment horizontal="center" vertical="center"/>
    </xf>
    <xf numFmtId="4" fontId="35" fillId="8" borderId="10" xfId="0" applyNumberFormat="1" applyFont="1" applyFill="1" applyBorder="1" applyAlignment="1">
      <alignment horizontal="left" vertical="top" wrapText="1"/>
    </xf>
    <xf numFmtId="4" fontId="35" fillId="8" borderId="7" xfId="0" applyNumberFormat="1" applyFont="1" applyFill="1" applyBorder="1" applyAlignment="1">
      <alignment horizontal="left" vertical="top" wrapText="1"/>
    </xf>
    <xf numFmtId="4" fontId="35" fillId="8" borderId="9" xfId="0" applyNumberFormat="1" applyFont="1" applyFill="1" applyBorder="1" applyAlignment="1">
      <alignment horizontal="left" vertical="top" wrapText="1"/>
    </xf>
    <xf numFmtId="4" fontId="35" fillId="8" borderId="6" xfId="0" applyNumberFormat="1" applyFont="1" applyFill="1" applyBorder="1" applyAlignment="1">
      <alignment horizontal="left" vertical="top" wrapText="1"/>
    </xf>
    <xf numFmtId="0" fontId="35" fillId="8" borderId="4" xfId="0" applyFont="1" applyFill="1" applyBorder="1" applyAlignment="1">
      <alignment horizontal="center" vertical="top" wrapText="1"/>
    </xf>
    <xf numFmtId="0" fontId="35" fillId="8" borderId="5" xfId="0" applyFont="1" applyFill="1" applyBorder="1" applyAlignment="1">
      <alignment horizontal="center" vertical="top" wrapText="1"/>
    </xf>
    <xf numFmtId="0" fontId="35" fillId="8" borderId="2" xfId="0" applyFont="1" applyFill="1" applyBorder="1" applyAlignment="1">
      <alignment horizontal="left" vertical="top" wrapText="1"/>
    </xf>
    <xf numFmtId="0" fontId="35" fillId="8" borderId="9" xfId="0" applyFont="1" applyFill="1" applyBorder="1" applyAlignment="1">
      <alignment horizontal="left" vertical="top" wrapText="1"/>
    </xf>
    <xf numFmtId="0" fontId="35" fillId="8" borderId="3" xfId="0" applyFont="1" applyFill="1" applyBorder="1" applyAlignment="1">
      <alignment horizontal="left" vertical="top" wrapText="1"/>
    </xf>
    <xf numFmtId="0" fontId="35" fillId="8" borderId="10" xfId="0" applyFont="1" applyFill="1" applyBorder="1" applyAlignment="1">
      <alignment horizontal="left" vertical="top" wrapText="1"/>
    </xf>
    <xf numFmtId="4" fontId="34" fillId="8" borderId="9" xfId="0" applyNumberFormat="1" applyFont="1" applyFill="1" applyBorder="1" applyAlignment="1">
      <alignment horizontal="left" vertical="top" wrapText="1"/>
    </xf>
    <xf numFmtId="4" fontId="34" fillId="8" borderId="6" xfId="0" applyNumberFormat="1" applyFont="1" applyFill="1" applyBorder="1" applyAlignment="1">
      <alignment horizontal="left" vertical="top" wrapText="1"/>
    </xf>
    <xf numFmtId="0" fontId="34" fillId="8" borderId="2" xfId="0" applyFont="1" applyFill="1" applyBorder="1" applyAlignment="1">
      <alignment horizontal="left" vertical="top" wrapText="1"/>
    </xf>
    <xf numFmtId="0" fontId="34" fillId="8" borderId="9" xfId="0" applyFont="1" applyFill="1" applyBorder="1" applyAlignment="1">
      <alignment horizontal="left" vertical="top" wrapText="1"/>
    </xf>
    <xf numFmtId="0" fontId="35" fillId="8" borderId="81" xfId="0" applyFont="1" applyFill="1" applyBorder="1" applyAlignment="1">
      <alignment horizontal="center" vertical="top" wrapText="1"/>
    </xf>
    <xf numFmtId="0" fontId="35" fillId="8" borderId="82" xfId="0" applyFont="1" applyFill="1" applyBorder="1" applyAlignment="1">
      <alignment horizontal="center" vertical="top" wrapText="1"/>
    </xf>
    <xf numFmtId="0" fontId="35" fillId="8" borderId="83" xfId="0" applyFont="1" applyFill="1" applyBorder="1" applyAlignment="1">
      <alignment horizontal="center" vertical="top" wrapText="1"/>
    </xf>
    <xf numFmtId="0" fontId="53" fillId="8" borderId="0" xfId="0" applyFont="1" applyFill="1" applyAlignment="1">
      <alignment horizontal="left" vertical="top"/>
    </xf>
    <xf numFmtId="4" fontId="53" fillId="8" borderId="0" xfId="0" applyNumberFormat="1" applyFont="1" applyFill="1" applyAlignment="1">
      <alignment horizontal="right" vertical="top"/>
    </xf>
    <xf numFmtId="0" fontId="54" fillId="8" borderId="0" xfId="0" applyFont="1" applyFill="1" applyAlignment="1">
      <alignment horizontal="left" vertical="top"/>
    </xf>
    <xf numFmtId="0" fontId="53" fillId="8" borderId="0" xfId="0" applyFont="1" applyFill="1" applyAlignment="1">
      <alignment horizontal="center" vertical="top" wrapText="1" readingOrder="1"/>
    </xf>
    <xf numFmtId="0" fontId="53" fillId="8" borderId="0" xfId="0" applyFont="1" applyFill="1" applyAlignment="1">
      <alignment horizontal="left" vertical="top" wrapText="1"/>
    </xf>
    <xf numFmtId="173" fontId="53" fillId="8" borderId="0" xfId="0" applyNumberFormat="1" applyFont="1" applyFill="1" applyAlignment="1">
      <alignment horizontal="right" vertical="top"/>
    </xf>
    <xf numFmtId="0" fontId="33" fillId="8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33" fillId="8" borderId="0" xfId="0" applyFont="1" applyFill="1" applyAlignment="1">
      <alignment horizontal="center" wrapText="1"/>
    </xf>
    <xf numFmtId="0" fontId="15" fillId="0" borderId="9" xfId="0" applyFont="1" applyFill="1" applyBorder="1" applyAlignment="1">
      <alignment horizontal="center" vertical="center" wrapText="1"/>
    </xf>
    <xf numFmtId="38" fontId="23" fillId="0" borderId="23" xfId="0" applyNumberFormat="1" applyFont="1" applyBorder="1" applyAlignment="1">
      <alignment horizontal="center"/>
    </xf>
    <xf numFmtId="38" fontId="23" fillId="0" borderId="21" xfId="0" applyNumberFormat="1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5" xfId="0" applyBorder="1" applyAlignment="1">
      <alignment horizontal="center"/>
    </xf>
    <xf numFmtId="0" fontId="11" fillId="0" borderId="86" xfId="0" applyFont="1" applyBorder="1" applyAlignment="1">
      <alignment horizontal="center"/>
    </xf>
    <xf numFmtId="0" fontId="31" fillId="0" borderId="86" xfId="0" applyFont="1" applyBorder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5">
    <cellStyle name="Normal" xfId="0" builtinId="0"/>
    <cellStyle name="Normal 2" xfId="1"/>
    <cellStyle name="Porcentagem" xfId="2" builtinId="5"/>
    <cellStyle name="Separador de milhares 2" xfId="3"/>
    <cellStyle name="Vírgula" xfId="4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ORÇAMENTO DE 2016 POR ORGÃO  UNIDADE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6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7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8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9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1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2"/>
            <c:bubble3D val="0"/>
            <c:spPr>
              <a:solidFill>
                <a:schemeClr val="accent1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3"/>
            <c:bubble3D val="0"/>
            <c:spPr>
              <a:solidFill>
                <a:schemeClr val="accent2">
                  <a:lumMod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'RESUMO DE DESPESA POR ORG. E UN'!$C$6:$C$49</c:f>
              <c:strCache>
                <c:ptCount val="44"/>
                <c:pt idx="0">
                  <c:v>CÂMARA MUNICIPAL DE VEREADORES</c:v>
                </c:pt>
                <c:pt idx="1">
                  <c:v>CÂMARA MUNICIPAL DE VEREADORES</c:v>
                </c:pt>
                <c:pt idx="3">
                  <c:v>PREFEITURA MUNICIPAL DE CHUVISCA</c:v>
                </c:pt>
                <c:pt idx="4">
                  <c:v>GABINETE DO PREFEITO</c:v>
                </c:pt>
                <c:pt idx="5">
                  <c:v>SECRETARIA MUNICIPAL DA ADMINISTRAÇÃO</c:v>
                </c:pt>
                <c:pt idx="6">
                  <c:v>SECRETARIA MUNICIPAL DA FAZENDA</c:v>
                </c:pt>
                <c:pt idx="7">
                  <c:v>SECRETARIA MUN. DE OBRAS, VIAÇÃO E SERV. URBANOS</c:v>
                </c:pt>
                <c:pt idx="8">
                  <c:v>SECRETARIA MUN. DE AGRICULTURA E MEIO AMBIENTE</c:v>
                </c:pt>
                <c:pt idx="9">
                  <c:v>FUNDO MUNICIPAL DE AGRICULTURA</c:v>
                </c:pt>
                <c:pt idx="10">
                  <c:v>FUNDO MUNICIPAL DO MEIO AMBIENTE</c:v>
                </c:pt>
                <c:pt idx="11">
                  <c:v>FUNDO DE HABITAÇÃO E DE INTERESSE SOCIAL</c:v>
                </c:pt>
                <c:pt idx="12">
                  <c:v>CONSELHOS MUNICIPAIS</c:v>
                </c:pt>
                <c:pt idx="13">
                  <c:v>ENCARGOS ESPECIAIS</c:v>
                </c:pt>
                <c:pt idx="14">
                  <c:v>RESERVA DE CONTINGÊNCIA</c:v>
                </c:pt>
                <c:pt idx="15">
                  <c:v>GESTÃO E COORDENAÇÃO DE CONVENIOS UNIAO E ESTADO</c:v>
                </c:pt>
                <c:pt idx="17">
                  <c:v>SECRETARIA MUNICIPAL DE EDUCAÇÃO, CULT. E DESPORTO</c:v>
                </c:pt>
                <c:pt idx="18">
                  <c:v>GESTÃO COORD. E PLANEJ. , MANUT. E DES. DO ENSINO</c:v>
                </c:pt>
                <c:pt idx="19">
                  <c:v>DESENVOLVIMENTO DO ENSINO - FUNDEB</c:v>
                </c:pt>
                <c:pt idx="20">
                  <c:v>DESENVOLVIMENTO DO ENSINO - PROGRAMAS ESTADUAIS</c:v>
                </c:pt>
                <c:pt idx="21">
                  <c:v>DESENVOLVIMENTO DO ENSINO - PROGRAMAS FEDERAIS</c:v>
                </c:pt>
                <c:pt idx="22">
                  <c:v>DESENVOLVIMENTO DO ENSINO - RECURSOS LIVRES</c:v>
                </c:pt>
                <c:pt idx="23">
                  <c:v>DEPARTAMENTO DE ALIMENTAÇÃO E NUTRIÇÃO ESCOLAR</c:v>
                </c:pt>
                <c:pt idx="24">
                  <c:v>DEPARTAMENTO DE CULTURA</c:v>
                </c:pt>
                <c:pt idx="25">
                  <c:v>DEPARTAMENTO DE DESPORTO</c:v>
                </c:pt>
                <c:pt idx="26">
                  <c:v>DEPARTAMENTO DE TURISMO</c:v>
                </c:pt>
                <c:pt idx="28">
                  <c:v>SECRETARIA MUNICIPAL DE SAÚDE</c:v>
                </c:pt>
                <c:pt idx="29">
                  <c:v>GESTÃO, COORD. E PLANEJAMENTO ADMINISTRATIVO</c:v>
                </c:pt>
                <c:pt idx="30">
                  <c:v>FUNDO MUNICIPAL DE SAÚDE  - PROGRAMAS MUNICIPAIS</c:v>
                </c:pt>
                <c:pt idx="31">
                  <c:v>FUNDO MUNICIPAL DE SAÚDE  - PROGRAMAS ESTADUAIS</c:v>
                </c:pt>
                <c:pt idx="32">
                  <c:v>FUNDO MUNICIPAL DE SAÚDE  - PROGRAMAS FEDERAIS</c:v>
                </c:pt>
                <c:pt idx="33">
                  <c:v>GESTÃO, COORD. E PLANEJ. DO CONSELHO MUN. DE SAÚDE</c:v>
                </c:pt>
                <c:pt idx="35">
                  <c:v>SECRETARIA MUNICIPAL DE ASSISTENCIA  SOCIAL</c:v>
                </c:pt>
                <c:pt idx="36">
                  <c:v>GESTÃO, COORDENAÇÃO E PLANEJAMENTO ADMINISTRATIVO</c:v>
                </c:pt>
                <c:pt idx="37">
                  <c:v>FUNDO MUN. DE ASSIST. SOCIAL - PROG. MUNICIPAIS</c:v>
                </c:pt>
                <c:pt idx="38">
                  <c:v>FUNDO MUN. DE ASSIST. SOCIAL - PROG. ESTADUAIS</c:v>
                </c:pt>
                <c:pt idx="39">
                  <c:v>FUNDO MUN. DE ASSIST. SOCIAL - PROG. FEDERAIS</c:v>
                </c:pt>
                <c:pt idx="40">
                  <c:v>FUNDO MUN. DA CRIANÇA E DO ADOLESCENTE</c:v>
                </c:pt>
                <c:pt idx="41">
                  <c:v>GESTÃO, COORD. E PLAN. CON. MUN. DE ASSIST. SOCIAL</c:v>
                </c:pt>
                <c:pt idx="43">
                  <c:v>T  O  T  A  L     G E R A L</c:v>
                </c:pt>
              </c:strCache>
            </c:strRef>
          </c:cat>
          <c:val>
            <c:numRef>
              <c:f>'RESUMO DE DESPESA POR ORG. E UN'!$D$6:$D$49</c:f>
              <c:numCache>
                <c:formatCode>"R$"\ #,##0.00</c:formatCode>
                <c:ptCount val="44"/>
                <c:pt idx="0">
                  <c:v>727283.89</c:v>
                </c:pt>
                <c:pt idx="1">
                  <c:v>727283.89</c:v>
                </c:pt>
                <c:pt idx="3">
                  <c:v>6589590.1200000001</c:v>
                </c:pt>
                <c:pt idx="4">
                  <c:v>678801.84</c:v>
                </c:pt>
                <c:pt idx="5">
                  <c:v>564878.18000000005</c:v>
                </c:pt>
                <c:pt idx="6">
                  <c:v>731601.78</c:v>
                </c:pt>
                <c:pt idx="7">
                  <c:v>1846010.48</c:v>
                </c:pt>
                <c:pt idx="8">
                  <c:v>373266.9</c:v>
                </c:pt>
                <c:pt idx="9">
                  <c:v>1521630.73</c:v>
                </c:pt>
                <c:pt idx="10">
                  <c:v>175271.2</c:v>
                </c:pt>
                <c:pt idx="11">
                  <c:v>1502</c:v>
                </c:pt>
                <c:pt idx="12">
                  <c:v>125287.34</c:v>
                </c:pt>
                <c:pt idx="13">
                  <c:v>383338.67</c:v>
                </c:pt>
                <c:pt idx="14">
                  <c:v>183000</c:v>
                </c:pt>
                <c:pt idx="15">
                  <c:v>5001</c:v>
                </c:pt>
                <c:pt idx="17">
                  <c:v>5941884.2800000012</c:v>
                </c:pt>
                <c:pt idx="18">
                  <c:v>1284906.3799999999</c:v>
                </c:pt>
                <c:pt idx="19">
                  <c:v>2979286.36</c:v>
                </c:pt>
                <c:pt idx="20">
                  <c:v>405736.28</c:v>
                </c:pt>
                <c:pt idx="21">
                  <c:v>463257.87</c:v>
                </c:pt>
                <c:pt idx="22">
                  <c:v>149572.53</c:v>
                </c:pt>
                <c:pt idx="23">
                  <c:v>115612.72</c:v>
                </c:pt>
                <c:pt idx="24">
                  <c:v>286977.28999999998</c:v>
                </c:pt>
                <c:pt idx="25">
                  <c:v>114032.69</c:v>
                </c:pt>
                <c:pt idx="26">
                  <c:v>142502.16</c:v>
                </c:pt>
                <c:pt idx="28">
                  <c:v>4138085.04</c:v>
                </c:pt>
                <c:pt idx="29">
                  <c:v>543919.48</c:v>
                </c:pt>
                <c:pt idx="30">
                  <c:v>2610777.77</c:v>
                </c:pt>
                <c:pt idx="31">
                  <c:v>649362.38</c:v>
                </c:pt>
                <c:pt idx="32">
                  <c:v>328464.68</c:v>
                </c:pt>
                <c:pt idx="33">
                  <c:v>5560.73</c:v>
                </c:pt>
                <c:pt idx="35">
                  <c:v>903156.67</c:v>
                </c:pt>
                <c:pt idx="36">
                  <c:v>533445.26</c:v>
                </c:pt>
                <c:pt idx="37">
                  <c:v>146154.65</c:v>
                </c:pt>
                <c:pt idx="38">
                  <c:v>12406.4</c:v>
                </c:pt>
                <c:pt idx="39">
                  <c:v>200028.92</c:v>
                </c:pt>
                <c:pt idx="40">
                  <c:v>5560.73</c:v>
                </c:pt>
                <c:pt idx="41">
                  <c:v>5560.71</c:v>
                </c:pt>
                <c:pt idx="43">
                  <c:v>18300000.000000004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186</xdr:row>
      <xdr:rowOff>95250</xdr:rowOff>
    </xdr:to>
    <xdr:pic>
      <xdr:nvPicPr>
        <xdr:cNvPr id="1026" name="Picture 1024" descr="http://www.ibge.gov.br/cidadesat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34425"/>
          <a:ext cx="95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571502</xdr:colOff>
      <xdr:row>194</xdr:row>
      <xdr:rowOff>103910</xdr:rowOff>
    </xdr:from>
    <xdr:to>
      <xdr:col>4</xdr:col>
      <xdr:colOff>1381127</xdr:colOff>
      <xdr:row>208</xdr:row>
      <xdr:rowOff>61481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2" y="48196501"/>
          <a:ext cx="8758670" cy="3109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53</xdr:row>
      <xdr:rowOff>47624</xdr:rowOff>
    </xdr:from>
    <xdr:to>
      <xdr:col>6</xdr:col>
      <xdr:colOff>104775</xdr:colOff>
      <xdr:row>92</xdr:row>
      <xdr:rowOff>47625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5</xdr:row>
      <xdr:rowOff>133350</xdr:rowOff>
    </xdr:from>
    <xdr:to>
      <xdr:col>5</xdr:col>
      <xdr:colOff>1082068</xdr:colOff>
      <xdr:row>8</xdr:row>
      <xdr:rowOff>238125</xdr:rowOff>
    </xdr:to>
    <xdr:cxnSp macro="">
      <xdr:nvCxnSpPr>
        <xdr:cNvPr id="3" name="Conector reto 2"/>
        <xdr:cNvCxnSpPr/>
      </xdr:nvCxnSpPr>
      <xdr:spPr>
        <a:xfrm>
          <a:off x="142875" y="1733550"/>
          <a:ext cx="6657975" cy="1047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38100</xdr:rowOff>
    </xdr:from>
    <xdr:to>
      <xdr:col>5</xdr:col>
      <xdr:colOff>1042108</xdr:colOff>
      <xdr:row>13</xdr:row>
      <xdr:rowOff>190500</xdr:rowOff>
    </xdr:to>
    <xdr:cxnSp macro="">
      <xdr:nvCxnSpPr>
        <xdr:cNvPr id="3" name="Conector reto 2"/>
        <xdr:cNvCxnSpPr/>
      </xdr:nvCxnSpPr>
      <xdr:spPr>
        <a:xfrm rot="10800000">
          <a:off x="28575" y="1809750"/>
          <a:ext cx="5143500" cy="21336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646642</xdr:colOff>
      <xdr:row>24</xdr:row>
      <xdr:rowOff>35983</xdr:rowOff>
    </xdr:from>
    <xdr:to>
      <xdr:col>6</xdr:col>
      <xdr:colOff>789517</xdr:colOff>
      <xdr:row>40</xdr:row>
      <xdr:rowOff>55033</xdr:rowOff>
    </xdr:to>
    <xdr:sp macro="" textlink="">
      <xdr:nvSpPr>
        <xdr:cNvPr id="4" name="Rectangle 6"/>
        <xdr:cNvSpPr>
          <a:spLocks noChangeArrowheads="1"/>
        </xdr:cNvSpPr>
      </xdr:nvSpPr>
      <xdr:spPr bwMode="auto">
        <a:xfrm>
          <a:off x="646642" y="4798483"/>
          <a:ext cx="8353425" cy="2457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Dívida Pública Consolidada – É o montante total apurado:</a:t>
          </a: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das obrigações financeiras do Município, inclusive as decorrentes de emissão de títulos, assumidas em virtude de leis, contratos, convênios ou tratados;</a:t>
          </a:r>
        </a:p>
        <a:p>
          <a:pPr algn="l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das obrigações financeiras doMunicípio, assumidas em virtude da realização de operações de crédito para amortização em prazo superior a doze meses ou que, embora de prazo inferior a doze meses, tenham constado como receitas no orçamento;</a:t>
          </a:r>
        </a:p>
        <a:p>
          <a:pPr algn="l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dos precatórios judiciais emitidos a partir de 5 de maio de 2000 e não pagos durante a execução do orçamento em que houverem sido incluídos.</a:t>
          </a:r>
        </a:p>
        <a:p>
          <a:pPr algn="l" rtl="0">
            <a:defRPr sz="1000"/>
          </a:pP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Dívida Consolidada Líquida – DCL –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Corresponde à dívida pública consolidada menos as deduções, que compreendem o ativo disponível e os haveres financeiros, líquidos dos Restos a Pagar Processados.</a:t>
          </a:r>
        </a:p>
        <a:p>
          <a:pPr algn="l" rtl="0">
            <a:defRPr sz="1000"/>
          </a:pP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Resultado Nominal – </a:t>
          </a: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Representa a diferença entre o saldo da dívida fiscal líquida em 31 de dezembro de determinado ano em relação ao apurado em 31 de dezembro do ano anterior.</a:t>
          </a:r>
        </a:p>
        <a:p>
          <a:pPr algn="l" rtl="0">
            <a:defRPr sz="1000"/>
          </a:pPr>
          <a:endParaRPr lang="pt-B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jecao_da_Receita_e_Despesa_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DO%202016\Anexos%20da%20LD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ab01/Desktop/LDO%202016/Anexos%20da%20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 BASE RECEITA "/>
      <sheetName val="Cresc. Arrec. Transf. Const."/>
      <sheetName val="CRESCIMENTO MÉDIO DE ARRECADAÇÃ"/>
      <sheetName val="TAXA DE  CRESC. REC. PROP. "/>
      <sheetName val="Parâmetros"/>
      <sheetName val="Proj. Retorno e Retenção Fundeb"/>
      <sheetName val="ORCAMENTO RECEITA ANALITICO"/>
      <sheetName val="MEMORIA DE CALCULO DA RECEITA"/>
      <sheetName val="RECEITA PARA INVESTIMENTOS "/>
      <sheetName val="CADASTRO BASE ORÇ. DESPESA"/>
      <sheetName val="CRESCIMENTO MED DA DESPESA O.U."/>
      <sheetName val="MEDIA DE AUMENTOS 97 A 2012"/>
      <sheetName val="Pasep"/>
      <sheetName val="Dem. de gastos do Legislativo"/>
      <sheetName val="Parâmetros financeiros Despesa"/>
      <sheetName val="PTD "/>
      <sheetName val="ORÇAMENTO LEG."/>
      <sheetName val="Plan1"/>
      <sheetName val="ORÇAM. PODER EXEC. ANALITICO"/>
      <sheetName val="COMPATIBILIDADE PPA E LDO"/>
      <sheetName val="ANEXO I ART.3ºLOA "/>
      <sheetName val="ART.4º ORC FISC E SEG SOC"/>
      <sheetName val="Dem. Comp Orça. com Metas Fisc"/>
      <sheetName val="demonst. educacao art. 212 CEF"/>
      <sheetName val="Demonst. gastos com saude"/>
      <sheetName val="Dem evolucao rec. por fonte"/>
      <sheetName val="DEM. DE REN. REC REMARG. EXPANS"/>
      <sheetName val="DEM. GASTOS PESSOAL"/>
      <sheetName val="DEM. REUNCIA RECEITA"/>
      <sheetName val="FUNDO DE SAUDE"/>
      <sheetName val="FUNDO DE ASSISTENCIA SOCIAL"/>
      <sheetName val="FMCA"/>
      <sheetName val="FMAG"/>
      <sheetName val="FMMAMB"/>
      <sheetName val="FHISC"/>
      <sheetName val="DEM. DA DIVIDA FUNDADA"/>
      <sheetName val="RELAÇÃO DE ORDENS PRECATORIAS"/>
      <sheetName val="NOTA EXPLICATIVA"/>
      <sheetName val="Plan2"/>
      <sheetName val="Plan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L9">
            <v>0.30712591707059383</v>
          </cell>
          <cell r="N9">
            <v>6.0565432473692574E-2</v>
          </cell>
          <cell r="P9">
            <v>0.32968027934859012</v>
          </cell>
        </row>
        <row r="11">
          <cell r="L11">
            <v>0.31526445323754321</v>
          </cell>
          <cell r="N11">
            <v>3.8419355846246235E-2</v>
          </cell>
          <cell r="P11">
            <v>0.36894683390030791</v>
          </cell>
        </row>
        <row r="13">
          <cell r="L13" t="str">
            <v xml:space="preserve">0,00% </v>
          </cell>
          <cell r="N13" t="str">
            <v xml:space="preserve">0,00% </v>
          </cell>
          <cell r="P13" t="str">
            <v xml:space="preserve">0,00% </v>
          </cell>
        </row>
        <row r="15">
          <cell r="L15" t="str">
            <v xml:space="preserve">0,00% </v>
          </cell>
          <cell r="N15" t="str">
            <v xml:space="preserve">0,00% </v>
          </cell>
          <cell r="P15" t="str">
            <v xml:space="preserve">0,00% </v>
          </cell>
        </row>
        <row r="17">
          <cell r="L17" t="str">
            <v xml:space="preserve">0,00% </v>
          </cell>
          <cell r="N17" t="str">
            <v xml:space="preserve">0,00% </v>
          </cell>
          <cell r="P17" t="str">
            <v xml:space="preserve">0,00% </v>
          </cell>
        </row>
        <row r="19">
          <cell r="L19">
            <v>0.31526445323754321</v>
          </cell>
          <cell r="N19">
            <v>3.8419355846246235E-2</v>
          </cell>
          <cell r="P19">
            <v>0.36894683390030791</v>
          </cell>
        </row>
        <row r="21">
          <cell r="L21" t="str">
            <v xml:space="preserve">0,00% </v>
          </cell>
          <cell r="N21" t="str">
            <v xml:space="preserve">0,00% </v>
          </cell>
          <cell r="P21" t="str">
            <v xml:space="preserve">0,00% </v>
          </cell>
        </row>
        <row r="23">
          <cell r="L23" t="str">
            <v xml:space="preserve">0,00% </v>
          </cell>
          <cell r="N23" t="str">
            <v xml:space="preserve">0,00% </v>
          </cell>
          <cell r="P23" t="str">
            <v xml:space="preserve">0,00% </v>
          </cell>
        </row>
        <row r="25">
          <cell r="L25" t="str">
            <v xml:space="preserve">0,00% </v>
          </cell>
          <cell r="N25" t="str">
            <v xml:space="preserve">0,00% </v>
          </cell>
          <cell r="P25" t="str">
            <v xml:space="preserve">0,00% </v>
          </cell>
        </row>
        <row r="27">
          <cell r="L27" t="str">
            <v xml:space="preserve">0,00% </v>
          </cell>
          <cell r="N27" t="str">
            <v xml:space="preserve">0,00% </v>
          </cell>
          <cell r="P27" t="str">
            <v xml:space="preserve">0,00% </v>
          </cell>
        </row>
        <row r="29">
          <cell r="L29" t="str">
            <v xml:space="preserve">0,00% </v>
          </cell>
          <cell r="N29" t="str">
            <v xml:space="preserve">0,00% </v>
          </cell>
          <cell r="P29" t="str">
            <v xml:space="preserve">0,00% </v>
          </cell>
        </row>
        <row r="31">
          <cell r="L31" t="str">
            <v xml:space="preserve">0,00% </v>
          </cell>
          <cell r="N31" t="str">
            <v xml:space="preserve">0,00% </v>
          </cell>
          <cell r="P31" t="str">
            <v xml:space="preserve">0,00% </v>
          </cell>
        </row>
        <row r="33">
          <cell r="L33">
            <v>0.30528766912913546</v>
          </cell>
          <cell r="N33">
            <v>2.0302872258056721E-2</v>
          </cell>
          <cell r="P33">
            <v>0.43097801981391959</v>
          </cell>
        </row>
        <row r="35">
          <cell r="L35">
            <v>0.1870833462389182</v>
          </cell>
          <cell r="N35">
            <v>4.4105848241390251E-2</v>
          </cell>
          <cell r="P35">
            <v>-4.6140933240617021E-2</v>
          </cell>
        </row>
        <row r="37">
          <cell r="L37" t="str">
            <v xml:space="preserve">0,00% </v>
          </cell>
          <cell r="N37" t="str">
            <v xml:space="preserve">0,00% </v>
          </cell>
          <cell r="P37" t="str">
            <v xml:space="preserve">0,00% </v>
          </cell>
        </row>
        <row r="39">
          <cell r="L39" t="str">
            <v xml:space="preserve">0,00% </v>
          </cell>
          <cell r="N39" t="str">
            <v xml:space="preserve">0,00% </v>
          </cell>
          <cell r="P39" t="str">
            <v xml:space="preserve">0,00% </v>
          </cell>
        </row>
        <row r="41">
          <cell r="L41" t="str">
            <v xml:space="preserve">0,00% </v>
          </cell>
          <cell r="N41" t="str">
            <v xml:space="preserve">0,00% </v>
          </cell>
          <cell r="P41" t="str">
            <v xml:space="preserve">0,00% </v>
          </cell>
        </row>
        <row r="43">
          <cell r="L43" t="str">
            <v xml:space="preserve">0,00% </v>
          </cell>
          <cell r="N43" t="str">
            <v xml:space="preserve">0,00% </v>
          </cell>
          <cell r="P43" t="str">
            <v xml:space="preserve">0,00% </v>
          </cell>
        </row>
        <row r="45">
          <cell r="L45" t="str">
            <v xml:space="preserve">0,00% </v>
          </cell>
          <cell r="N45" t="str">
            <v xml:space="preserve">0,00% </v>
          </cell>
          <cell r="P45" t="str">
            <v xml:space="preserve">0,00% </v>
          </cell>
        </row>
        <row r="47">
          <cell r="L47" t="str">
            <v xml:space="preserve">0,00% </v>
          </cell>
          <cell r="N47" t="str">
            <v xml:space="preserve">0,00% </v>
          </cell>
          <cell r="P47" t="str">
            <v xml:space="preserve">0,00% </v>
          </cell>
        </row>
        <row r="49">
          <cell r="L49" t="str">
            <v xml:space="preserve">0,00% </v>
          </cell>
          <cell r="N49">
            <v>1</v>
          </cell>
          <cell r="P49" t="str">
            <v xml:space="preserve">0,00% </v>
          </cell>
        </row>
        <row r="51">
          <cell r="L51">
            <v>0.23877405769140272</v>
          </cell>
          <cell r="N51">
            <v>-0.59913462669018214</v>
          </cell>
          <cell r="P51">
            <v>0.37466178062208833</v>
          </cell>
        </row>
        <row r="53">
          <cell r="L53">
            <v>-0.49278041142956552</v>
          </cell>
          <cell r="N53">
            <v>0.75338660374322952</v>
          </cell>
          <cell r="P53">
            <v>-3.0549297612316795</v>
          </cell>
        </row>
        <row r="55">
          <cell r="L55" t="str">
            <v xml:space="preserve">0,00% </v>
          </cell>
          <cell r="N55" t="str">
            <v xml:space="preserve">0,00% </v>
          </cell>
          <cell r="P55" t="str">
            <v xml:space="preserve">0,00% </v>
          </cell>
        </row>
        <row r="57">
          <cell r="L57" t="str">
            <v xml:space="preserve">0,00% </v>
          </cell>
          <cell r="N57" t="str">
            <v xml:space="preserve">0,00% </v>
          </cell>
          <cell r="P57" t="str">
            <v xml:space="preserve">0,00% </v>
          </cell>
        </row>
        <row r="59">
          <cell r="L59">
            <v>0.34627251250637514</v>
          </cell>
          <cell r="N59">
            <v>-5.4749183906561173E-2</v>
          </cell>
          <cell r="P59">
            <v>5.1907301510091833E-2</v>
          </cell>
        </row>
        <row r="61">
          <cell r="L61" t="str">
            <v xml:space="preserve">0,00% </v>
          </cell>
          <cell r="N61">
            <v>1</v>
          </cell>
          <cell r="P61">
            <v>0.94732864873589517</v>
          </cell>
        </row>
        <row r="63">
          <cell r="L63" t="str">
            <v xml:space="preserve">0,00% </v>
          </cell>
          <cell r="N63" t="str">
            <v xml:space="preserve">0,00% </v>
          </cell>
          <cell r="P63" t="str">
            <v xml:space="preserve">0,00% </v>
          </cell>
        </row>
        <row r="65">
          <cell r="L65">
            <v>0.32997460447801857</v>
          </cell>
          <cell r="N65">
            <v>3.7501383796332E-2</v>
          </cell>
          <cell r="P65">
            <v>-3.8962532688355138E-2</v>
          </cell>
        </row>
        <row r="67">
          <cell r="L67" t="str">
            <v xml:space="preserve">0,00% </v>
          </cell>
          <cell r="N67" t="str">
            <v xml:space="preserve">0,00% </v>
          </cell>
          <cell r="P67" t="str">
            <v xml:space="preserve">0,00% </v>
          </cell>
        </row>
        <row r="69">
          <cell r="L69">
            <v>0.32997460447801857</v>
          </cell>
          <cell r="N69">
            <v>3.199478447731971E-2</v>
          </cell>
          <cell r="P69">
            <v>-3.3052285219397223E-2</v>
          </cell>
        </row>
        <row r="71">
          <cell r="L71" t="str">
            <v xml:space="preserve">0,00% </v>
          </cell>
          <cell r="N71" t="str">
            <v xml:space="preserve">0,00% </v>
          </cell>
          <cell r="P71" t="str">
            <v xml:space="preserve">0,00% </v>
          </cell>
        </row>
        <row r="73">
          <cell r="L73" t="str">
            <v xml:space="preserve">0,00% </v>
          </cell>
          <cell r="N73">
            <v>1</v>
          </cell>
          <cell r="P73" t="str">
            <v xml:space="preserve">0,00% </v>
          </cell>
        </row>
        <row r="75">
          <cell r="L75">
            <v>1</v>
          </cell>
          <cell r="N75">
            <v>0.66605247171514781</v>
          </cell>
          <cell r="P75">
            <v>-1.9944824120603017</v>
          </cell>
        </row>
        <row r="77">
          <cell r="L77">
            <v>1</v>
          </cell>
          <cell r="N77">
            <v>0.66605247171514781</v>
          </cell>
          <cell r="P77">
            <v>-1.9944824120603017</v>
          </cell>
        </row>
        <row r="79">
          <cell r="L79" t="str">
            <v xml:space="preserve">0,00% </v>
          </cell>
          <cell r="N79" t="str">
            <v xml:space="preserve">0,00% </v>
          </cell>
          <cell r="P79" t="str">
            <v xml:space="preserve">0,00% </v>
          </cell>
        </row>
        <row r="81">
          <cell r="L81" t="str">
            <v xml:space="preserve">0,00% </v>
          </cell>
          <cell r="N81" t="str">
            <v xml:space="preserve">0,00% </v>
          </cell>
          <cell r="P81" t="str">
            <v xml:space="preserve">0,00% </v>
          </cell>
        </row>
        <row r="83">
          <cell r="L83" t="str">
            <v xml:space="preserve">0,00% </v>
          </cell>
          <cell r="N83" t="str">
            <v xml:space="preserve">0,00% </v>
          </cell>
          <cell r="P83" t="str">
            <v xml:space="preserve">0,00% </v>
          </cell>
        </row>
        <row r="85">
          <cell r="L85" t="str">
            <v xml:space="preserve">0,00% </v>
          </cell>
          <cell r="N85" t="str">
            <v xml:space="preserve">0,00% </v>
          </cell>
          <cell r="P85" t="str">
            <v xml:space="preserve">0,00% </v>
          </cell>
        </row>
        <row r="87">
          <cell r="L87" t="str">
            <v xml:space="preserve">0,00% </v>
          </cell>
          <cell r="N87" t="str">
            <v xml:space="preserve">0,00% </v>
          </cell>
          <cell r="P87" t="str">
            <v xml:space="preserve">0,00% </v>
          </cell>
        </row>
        <row r="89">
          <cell r="L89" t="str">
            <v xml:space="preserve">0,00% </v>
          </cell>
          <cell r="N89" t="str">
            <v xml:space="preserve">0,00% </v>
          </cell>
          <cell r="P89" t="str">
            <v xml:space="preserve">0,00% </v>
          </cell>
        </row>
        <row r="91">
          <cell r="L91" t="str">
            <v xml:space="preserve">0,00% </v>
          </cell>
          <cell r="N91" t="str">
            <v xml:space="preserve">0,00% </v>
          </cell>
          <cell r="P91" t="str">
            <v xml:space="preserve">0,00% </v>
          </cell>
        </row>
        <row r="93">
          <cell r="L93">
            <v>0.22731829879813217</v>
          </cell>
          <cell r="N93">
            <v>0.23364283215030118</v>
          </cell>
          <cell r="P93">
            <v>-0.30487459627457181</v>
          </cell>
        </row>
        <row r="95">
          <cell r="L95" t="str">
            <v xml:space="preserve">0,00% </v>
          </cell>
          <cell r="N95" t="str">
            <v xml:space="preserve">0,00% </v>
          </cell>
          <cell r="P95" t="str">
            <v xml:space="preserve">0,00% </v>
          </cell>
        </row>
        <row r="97">
          <cell r="L97" t="str">
            <v xml:space="preserve">0,00% </v>
          </cell>
          <cell r="N97" t="str">
            <v xml:space="preserve">0,00% </v>
          </cell>
          <cell r="P97" t="str">
            <v xml:space="preserve">0,00% </v>
          </cell>
        </row>
        <row r="99">
          <cell r="L99" t="str">
            <v xml:space="preserve">0,00% </v>
          </cell>
          <cell r="N99" t="str">
            <v xml:space="preserve">0,00% </v>
          </cell>
          <cell r="P99" t="str">
            <v xml:space="preserve">0,00% </v>
          </cell>
        </row>
        <row r="101">
          <cell r="L101" t="str">
            <v xml:space="preserve">0,00% </v>
          </cell>
          <cell r="N101" t="str">
            <v xml:space="preserve">0,00% </v>
          </cell>
          <cell r="P101" t="str">
            <v xml:space="preserve">0,00% </v>
          </cell>
        </row>
        <row r="103">
          <cell r="L103" t="str">
            <v xml:space="preserve">0,00% </v>
          </cell>
          <cell r="N103" t="str">
            <v xml:space="preserve">0,00% </v>
          </cell>
          <cell r="P103" t="str">
            <v xml:space="preserve">0,00% </v>
          </cell>
        </row>
        <row r="105">
          <cell r="L105" t="str">
            <v xml:space="preserve">0,00% </v>
          </cell>
          <cell r="N105" t="str">
            <v xml:space="preserve">0,00% </v>
          </cell>
          <cell r="P105" t="str">
            <v xml:space="preserve">0,00% </v>
          </cell>
        </row>
        <row r="107">
          <cell r="L107" t="str">
            <v xml:space="preserve">0,00% </v>
          </cell>
          <cell r="N107" t="str">
            <v xml:space="preserve">0,00% </v>
          </cell>
          <cell r="P107" t="str">
            <v xml:space="preserve">0,00% </v>
          </cell>
        </row>
        <row r="109">
          <cell r="L109" t="str">
            <v xml:space="preserve">0,00% </v>
          </cell>
          <cell r="N109" t="str">
            <v xml:space="preserve">0,00% </v>
          </cell>
          <cell r="P109" t="str">
            <v xml:space="preserve">0,00% </v>
          </cell>
        </row>
        <row r="111">
          <cell r="L111" t="str">
            <v xml:space="preserve">0,00% </v>
          </cell>
          <cell r="N111" t="str">
            <v xml:space="preserve">0,00% </v>
          </cell>
          <cell r="P111" t="str">
            <v xml:space="preserve">0,00% </v>
          </cell>
        </row>
        <row r="113">
          <cell r="L113" t="str">
            <v xml:space="preserve">0,00% </v>
          </cell>
          <cell r="N113" t="str">
            <v xml:space="preserve">0,00% </v>
          </cell>
          <cell r="P113" t="str">
            <v xml:space="preserve">0,00% </v>
          </cell>
        </row>
        <row r="115">
          <cell r="L115" t="str">
            <v xml:space="preserve">0,00% </v>
          </cell>
          <cell r="N115" t="str">
            <v xml:space="preserve">0,00% </v>
          </cell>
          <cell r="P115" t="str">
            <v xml:space="preserve">0,00% </v>
          </cell>
        </row>
        <row r="117">
          <cell r="L117" t="str">
            <v xml:space="preserve">0,00% </v>
          </cell>
          <cell r="N117" t="str">
            <v xml:space="preserve">0,00% </v>
          </cell>
          <cell r="P117" t="str">
            <v xml:space="preserve">0,00% </v>
          </cell>
        </row>
        <row r="119">
          <cell r="L119">
            <v>0.22731829879813217</v>
          </cell>
          <cell r="N119">
            <v>0.23364283215030118</v>
          </cell>
          <cell r="P119">
            <v>-0.30487459627457181</v>
          </cell>
        </row>
        <row r="121">
          <cell r="L121" t="str">
            <v xml:space="preserve">0,00% </v>
          </cell>
          <cell r="N121" t="str">
            <v xml:space="preserve">0,00% </v>
          </cell>
          <cell r="P121" t="str">
            <v xml:space="preserve">0,00% </v>
          </cell>
        </row>
        <row r="123">
          <cell r="L123" t="str">
            <v xml:space="preserve">0,00% </v>
          </cell>
          <cell r="N123" t="str">
            <v xml:space="preserve">0,00% </v>
          </cell>
          <cell r="P123" t="str">
            <v xml:space="preserve">0,00% </v>
          </cell>
        </row>
        <row r="125">
          <cell r="L125">
            <v>-2.3297796526278738E-2</v>
          </cell>
          <cell r="N125">
            <v>0.22192517641644507</v>
          </cell>
          <cell r="P125">
            <v>-0.2852234382733671</v>
          </cell>
        </row>
        <row r="127">
          <cell r="L127">
            <v>-2.3297796526278738E-2</v>
          </cell>
          <cell r="N127">
            <v>0.22192517641644507</v>
          </cell>
          <cell r="P127">
            <v>-0.2852234382733671</v>
          </cell>
        </row>
        <row r="129">
          <cell r="L129" t="str">
            <v xml:space="preserve">0,00% </v>
          </cell>
          <cell r="N129" t="str">
            <v xml:space="preserve">0,00% </v>
          </cell>
          <cell r="P129" t="str">
            <v xml:space="preserve">0,00% </v>
          </cell>
        </row>
        <row r="131">
          <cell r="L131">
            <v>-0.29839882954295938</v>
          </cell>
          <cell r="N131">
            <v>0.28027263127579904</v>
          </cell>
          <cell r="P131">
            <v>-0.38941499719902872</v>
          </cell>
        </row>
        <row r="133">
          <cell r="L133" t="str">
            <v xml:space="preserve">0,00% </v>
          </cell>
          <cell r="N133" t="str">
            <v xml:space="preserve">0,00% </v>
          </cell>
          <cell r="P133" t="str">
            <v xml:space="preserve">0,00% </v>
          </cell>
        </row>
        <row r="135">
          <cell r="L135" t="str">
            <v xml:space="preserve">0,00% </v>
          </cell>
          <cell r="N135" t="str">
            <v xml:space="preserve">0,00% </v>
          </cell>
          <cell r="P135" t="str">
            <v xml:space="preserve">0,00% </v>
          </cell>
        </row>
        <row r="137">
          <cell r="L137" t="str">
            <v xml:space="preserve">0,00% </v>
          </cell>
          <cell r="N137" t="str">
            <v xml:space="preserve">0,00% </v>
          </cell>
          <cell r="P137" t="str">
            <v xml:space="preserve">0,00% </v>
          </cell>
        </row>
        <row r="139">
          <cell r="L139" t="str">
            <v xml:space="preserve">0,00% </v>
          </cell>
          <cell r="N139" t="str">
            <v xml:space="preserve">0,00% </v>
          </cell>
          <cell r="P139" t="str">
            <v xml:space="preserve">0,00% </v>
          </cell>
        </row>
        <row r="141">
          <cell r="L141" t="str">
            <v xml:space="preserve">0,00% </v>
          </cell>
          <cell r="N141" t="str">
            <v xml:space="preserve">0,00% </v>
          </cell>
          <cell r="P141" t="str">
            <v xml:space="preserve">0,00% </v>
          </cell>
        </row>
        <row r="143">
          <cell r="L143" t="str">
            <v xml:space="preserve">0,00% </v>
          </cell>
          <cell r="N143" t="str">
            <v xml:space="preserve">0,00% </v>
          </cell>
          <cell r="P143" t="str">
            <v xml:space="preserve">0,00% </v>
          </cell>
        </row>
        <row r="145">
          <cell r="L145" t="str">
            <v xml:space="preserve">0,00% </v>
          </cell>
          <cell r="N145" t="str">
            <v xml:space="preserve">0,00% </v>
          </cell>
          <cell r="P145" t="str">
            <v xml:space="preserve">0,00% </v>
          </cell>
        </row>
        <row r="147">
          <cell r="L147" t="str">
            <v xml:space="preserve">0,00% </v>
          </cell>
          <cell r="N147">
            <v>1</v>
          </cell>
          <cell r="P147" t="str">
            <v xml:space="preserve">0,00% </v>
          </cell>
        </row>
        <row r="149">
          <cell r="L149" t="str">
            <v xml:space="preserve">0,00% </v>
          </cell>
          <cell r="N149" t="str">
            <v xml:space="preserve">0,00% </v>
          </cell>
          <cell r="P149" t="str">
            <v xml:space="preserve">0,00% </v>
          </cell>
        </row>
        <row r="151">
          <cell r="L151" t="str">
            <v xml:space="preserve">0,00% </v>
          </cell>
          <cell r="N151" t="str">
            <v xml:space="preserve">0,00% </v>
          </cell>
          <cell r="P151" t="str">
            <v xml:space="preserve">0,00% </v>
          </cell>
        </row>
        <row r="153">
          <cell r="L153" t="str">
            <v xml:space="preserve">0,00% </v>
          </cell>
          <cell r="N153" t="str">
            <v xml:space="preserve">0,00% </v>
          </cell>
          <cell r="P153" t="str">
            <v xml:space="preserve">0,00% </v>
          </cell>
        </row>
        <row r="155">
          <cell r="L155">
            <v>1</v>
          </cell>
          <cell r="N155">
            <v>0.84414773545939192</v>
          </cell>
          <cell r="P155">
            <v>-5.4163328197226495</v>
          </cell>
        </row>
        <row r="157">
          <cell r="L157">
            <v>1</v>
          </cell>
          <cell r="N157">
            <v>0.85296112422343406</v>
          </cell>
          <cell r="P157">
            <v>-5.8009225092250922</v>
          </cell>
        </row>
        <row r="159">
          <cell r="L159" t="str">
            <v xml:space="preserve">0,00% </v>
          </cell>
          <cell r="N159" t="str">
            <v xml:space="preserve">0,00% </v>
          </cell>
          <cell r="P159" t="str">
            <v xml:space="preserve">0,00% </v>
          </cell>
        </row>
        <row r="161">
          <cell r="L161" t="str">
            <v xml:space="preserve">0,00% </v>
          </cell>
          <cell r="N161">
            <v>1</v>
          </cell>
          <cell r="P161" t="str">
            <v xml:space="preserve">0,00% </v>
          </cell>
        </row>
        <row r="163">
          <cell r="L163" t="str">
            <v xml:space="preserve">0,00% </v>
          </cell>
          <cell r="N163" t="str">
            <v xml:space="preserve">0,00% </v>
          </cell>
          <cell r="P163" t="str">
            <v xml:space="preserve">0,00% </v>
          </cell>
        </row>
        <row r="165">
          <cell r="L165" t="str">
            <v xml:space="preserve">0,00% </v>
          </cell>
          <cell r="N165" t="str">
            <v xml:space="preserve">0,00% </v>
          </cell>
          <cell r="P165" t="str">
            <v xml:space="preserve">0,00% </v>
          </cell>
        </row>
        <row r="167">
          <cell r="L167" t="str">
            <v xml:space="preserve">0,00% </v>
          </cell>
          <cell r="N167" t="str">
            <v xml:space="preserve">0,00% </v>
          </cell>
          <cell r="P167" t="str">
            <v xml:space="preserve">0,00% </v>
          </cell>
        </row>
        <row r="169">
          <cell r="L169" t="str">
            <v xml:space="preserve">0,00% </v>
          </cell>
          <cell r="N169" t="str">
            <v xml:space="preserve">0,00% </v>
          </cell>
          <cell r="P169" t="str">
            <v xml:space="preserve">0,00% </v>
          </cell>
        </row>
        <row r="171">
          <cell r="L171" t="str">
            <v xml:space="preserve">0,00% </v>
          </cell>
          <cell r="N171" t="str">
            <v xml:space="preserve">0,00% </v>
          </cell>
          <cell r="P171" t="str">
            <v xml:space="preserve">0,00% </v>
          </cell>
        </row>
        <row r="173">
          <cell r="L173" t="str">
            <v xml:space="preserve">0,00% </v>
          </cell>
          <cell r="N173" t="str">
            <v xml:space="preserve">0,00% </v>
          </cell>
          <cell r="P173" t="str">
            <v xml:space="preserve">0,00% </v>
          </cell>
        </row>
        <row r="175">
          <cell r="L175" t="str">
            <v xml:space="preserve">0,00% </v>
          </cell>
          <cell r="N175" t="str">
            <v xml:space="preserve">0,00% </v>
          </cell>
          <cell r="P175" t="str">
            <v xml:space="preserve">0,00% </v>
          </cell>
        </row>
        <row r="177">
          <cell r="L177" t="str">
            <v xml:space="preserve">0,00% </v>
          </cell>
          <cell r="N177" t="str">
            <v xml:space="preserve">0,00% </v>
          </cell>
          <cell r="P177" t="str">
            <v xml:space="preserve">0,00% </v>
          </cell>
        </row>
        <row r="179">
          <cell r="L179" t="str">
            <v xml:space="preserve">0,00% </v>
          </cell>
          <cell r="N179" t="str">
            <v xml:space="preserve">0,00% </v>
          </cell>
          <cell r="P179" t="str">
            <v xml:space="preserve">0,00% </v>
          </cell>
        </row>
        <row r="181">
          <cell r="L181" t="str">
            <v xml:space="preserve">0,00% </v>
          </cell>
          <cell r="N181" t="str">
            <v xml:space="preserve">0,00% </v>
          </cell>
          <cell r="P181" t="str">
            <v xml:space="preserve">0,00% </v>
          </cell>
        </row>
        <row r="183">
          <cell r="L183">
            <v>-0.36838622336215349</v>
          </cell>
          <cell r="N183">
            <v>-7.6109124767225333</v>
          </cell>
          <cell r="P183">
            <v>0.88386828890628588</v>
          </cell>
        </row>
        <row r="185">
          <cell r="L185" t="str">
            <v xml:space="preserve">0,00% </v>
          </cell>
          <cell r="N185" t="str">
            <v xml:space="preserve">0,00% </v>
          </cell>
          <cell r="P185" t="str">
            <v xml:space="preserve">0,00% </v>
          </cell>
        </row>
        <row r="187">
          <cell r="L187" t="str">
            <v xml:space="preserve">0,00% </v>
          </cell>
          <cell r="N187" t="str">
            <v xml:space="preserve">0,00% </v>
          </cell>
          <cell r="P187" t="str">
            <v xml:space="preserve">0,00% </v>
          </cell>
        </row>
        <row r="189">
          <cell r="L189" t="str">
            <v xml:space="preserve">0,00% </v>
          </cell>
          <cell r="N189" t="str">
            <v xml:space="preserve">0,00% </v>
          </cell>
          <cell r="P189" t="str">
            <v xml:space="preserve">0,00% </v>
          </cell>
        </row>
        <row r="191">
          <cell r="L191" t="str">
            <v xml:space="preserve">0,00% </v>
          </cell>
          <cell r="N191" t="str">
            <v xml:space="preserve">0,00% </v>
          </cell>
          <cell r="P191" t="str">
            <v xml:space="preserve">0,00% </v>
          </cell>
        </row>
        <row r="193">
          <cell r="L193" t="str">
            <v xml:space="preserve">0,00% </v>
          </cell>
          <cell r="N193" t="str">
            <v xml:space="preserve">0,00% </v>
          </cell>
          <cell r="P193" t="str">
            <v xml:space="preserve">0,00% </v>
          </cell>
        </row>
        <row r="195">
          <cell r="L195" t="str">
            <v xml:space="preserve">0,00% </v>
          </cell>
          <cell r="N195" t="str">
            <v xml:space="preserve">0,00% </v>
          </cell>
          <cell r="P195" t="str">
            <v xml:space="preserve">0,00% </v>
          </cell>
        </row>
        <row r="197">
          <cell r="L197" t="str">
            <v xml:space="preserve">0,00% </v>
          </cell>
          <cell r="N197" t="str">
            <v xml:space="preserve">0,00% </v>
          </cell>
          <cell r="P197" t="str">
            <v xml:space="preserve">0,00% </v>
          </cell>
        </row>
        <row r="199">
          <cell r="L199" t="str">
            <v xml:space="preserve">0,00% </v>
          </cell>
          <cell r="N199" t="str">
            <v xml:space="preserve">0,00% </v>
          </cell>
          <cell r="P199" t="str">
            <v xml:space="preserve">0,00% </v>
          </cell>
        </row>
        <row r="201">
          <cell r="L201" t="str">
            <v xml:space="preserve">0,00% </v>
          </cell>
          <cell r="N201" t="str">
            <v xml:space="preserve">0,00% </v>
          </cell>
          <cell r="P201" t="str">
            <v xml:space="preserve">0,00% </v>
          </cell>
        </row>
        <row r="203">
          <cell r="L203" t="str">
            <v xml:space="preserve">0,00% </v>
          </cell>
          <cell r="N203">
            <v>1</v>
          </cell>
          <cell r="P203" t="str">
            <v xml:space="preserve">0,00% </v>
          </cell>
        </row>
        <row r="205">
          <cell r="L205" t="str">
            <v xml:space="preserve">0,00% </v>
          </cell>
          <cell r="N205" t="str">
            <v xml:space="preserve">0,00% </v>
          </cell>
          <cell r="P205" t="str">
            <v xml:space="preserve">0,00% </v>
          </cell>
        </row>
        <row r="207">
          <cell r="L207" t="str">
            <v xml:space="preserve">0,00% </v>
          </cell>
          <cell r="N207" t="str">
            <v xml:space="preserve">0,00% </v>
          </cell>
          <cell r="P207" t="str">
            <v xml:space="preserve">0,00% </v>
          </cell>
        </row>
        <row r="209">
          <cell r="L209" t="str">
            <v xml:space="preserve">0,00% </v>
          </cell>
          <cell r="N209">
            <v>1</v>
          </cell>
          <cell r="P209" t="str">
            <v xml:space="preserve">0,00% </v>
          </cell>
        </row>
        <row r="211">
          <cell r="L211" t="str">
            <v xml:space="preserve">0,00% </v>
          </cell>
          <cell r="N211" t="str">
            <v xml:space="preserve">0,00% </v>
          </cell>
          <cell r="P211" t="str">
            <v xml:space="preserve">0,00% </v>
          </cell>
        </row>
        <row r="213">
          <cell r="L213" t="str">
            <v xml:space="preserve">0,00% </v>
          </cell>
          <cell r="N213" t="str">
            <v xml:space="preserve">0,00% </v>
          </cell>
          <cell r="P213" t="str">
            <v xml:space="preserve">0,00% </v>
          </cell>
        </row>
        <row r="215">
          <cell r="L215">
            <v>9.4164456233421748E-2</v>
          </cell>
          <cell r="N215">
            <v>0.60704607046070458</v>
          </cell>
          <cell r="P215">
            <v>-1.5448275862068965</v>
          </cell>
        </row>
        <row r="217">
          <cell r="L217" t="str">
            <v xml:space="preserve">0,00% </v>
          </cell>
          <cell r="N217" t="str">
            <v xml:space="preserve">0,00% </v>
          </cell>
          <cell r="P217" t="str">
            <v xml:space="preserve">0,00% </v>
          </cell>
        </row>
        <row r="219">
          <cell r="L219" t="str">
            <v xml:space="preserve">0,00% </v>
          </cell>
          <cell r="N219" t="str">
            <v xml:space="preserve">0,00% </v>
          </cell>
          <cell r="P219" t="str">
            <v xml:space="preserve">0,00% </v>
          </cell>
        </row>
        <row r="221">
          <cell r="L221" t="str">
            <v xml:space="preserve">0,00% </v>
          </cell>
          <cell r="N221" t="str">
            <v xml:space="preserve">0,00% </v>
          </cell>
          <cell r="P221" t="str">
            <v xml:space="preserve">0,00% </v>
          </cell>
        </row>
        <row r="223">
          <cell r="L223" t="str">
            <v xml:space="preserve">0,00% </v>
          </cell>
          <cell r="N223" t="str">
            <v xml:space="preserve">0,00% </v>
          </cell>
          <cell r="P223" t="str">
            <v xml:space="preserve">0,00% </v>
          </cell>
        </row>
        <row r="225">
          <cell r="L225" t="str">
            <v xml:space="preserve">0,00% </v>
          </cell>
          <cell r="N225" t="str">
            <v xml:space="preserve">0,00% </v>
          </cell>
          <cell r="P225" t="str">
            <v xml:space="preserve">0,00% </v>
          </cell>
        </row>
        <row r="227">
          <cell r="L227" t="str">
            <v xml:space="preserve">0,00% </v>
          </cell>
          <cell r="N227" t="str">
            <v xml:space="preserve">0,00% </v>
          </cell>
          <cell r="P227" t="str">
            <v xml:space="preserve">0,00% </v>
          </cell>
        </row>
        <row r="229">
          <cell r="L229" t="str">
            <v xml:space="preserve">0,00% </v>
          </cell>
          <cell r="N229" t="str">
            <v xml:space="preserve">0,00% </v>
          </cell>
          <cell r="P229" t="str">
            <v xml:space="preserve">0,00% </v>
          </cell>
        </row>
        <row r="231">
          <cell r="L231" t="str">
            <v xml:space="preserve">0,00% </v>
          </cell>
          <cell r="N231" t="str">
            <v xml:space="preserve">0,00% </v>
          </cell>
          <cell r="P231" t="str">
            <v xml:space="preserve">0,00% </v>
          </cell>
        </row>
        <row r="233">
          <cell r="L233">
            <v>9.4164456233421748E-2</v>
          </cell>
          <cell r="N233">
            <v>0.60704607046070458</v>
          </cell>
          <cell r="P233">
            <v>-1.5448275862068965</v>
          </cell>
        </row>
        <row r="235">
          <cell r="L235">
            <v>0.35806042065268667</v>
          </cell>
          <cell r="N235">
            <v>2.9422306204619775E-2</v>
          </cell>
          <cell r="P235">
            <v>-3.0314220481995401E-2</v>
          </cell>
        </row>
        <row r="237">
          <cell r="L237" t="str">
            <v xml:space="preserve">0,00% </v>
          </cell>
          <cell r="N237" t="str">
            <v xml:space="preserve">0,00% </v>
          </cell>
          <cell r="P237" t="str">
            <v xml:space="preserve">0,00% </v>
          </cell>
        </row>
        <row r="239">
          <cell r="L239" t="str">
            <v xml:space="preserve">0,00% </v>
          </cell>
          <cell r="N239" t="str">
            <v xml:space="preserve">0,00% </v>
          </cell>
          <cell r="P239" t="str">
            <v xml:space="preserve">0,00% </v>
          </cell>
        </row>
        <row r="241">
          <cell r="L241" t="str">
            <v xml:space="preserve">0,00% </v>
          </cell>
          <cell r="N241" t="str">
            <v xml:space="preserve">0,00% </v>
          </cell>
          <cell r="P241" t="str">
            <v xml:space="preserve">0,00% </v>
          </cell>
        </row>
        <row r="243">
          <cell r="L243">
            <v>7.7350143773501495E-2</v>
          </cell>
          <cell r="N243" t="str">
            <v xml:space="preserve">0,00% </v>
          </cell>
          <cell r="P243">
            <v>1</v>
          </cell>
        </row>
        <row r="245">
          <cell r="L245" t="str">
            <v xml:space="preserve">0,00% </v>
          </cell>
          <cell r="N245" t="str">
            <v xml:space="preserve">0,00% </v>
          </cell>
          <cell r="P245" t="str">
            <v xml:space="preserve">0,00% </v>
          </cell>
        </row>
        <row r="247">
          <cell r="L247" t="str">
            <v xml:space="preserve">0,00% </v>
          </cell>
          <cell r="N247" t="str">
            <v xml:space="preserve">0,00% </v>
          </cell>
          <cell r="P247" t="str">
            <v xml:space="preserve">0,00% </v>
          </cell>
        </row>
        <row r="249">
          <cell r="L249" t="str">
            <v xml:space="preserve">0,00% </v>
          </cell>
          <cell r="N249" t="str">
            <v xml:space="preserve">0,00% </v>
          </cell>
          <cell r="P249" t="str">
            <v xml:space="preserve">0,00% </v>
          </cell>
        </row>
        <row r="251">
          <cell r="L251" t="str">
            <v xml:space="preserve">0,00% </v>
          </cell>
          <cell r="N251" t="str">
            <v xml:space="preserve">0,00% </v>
          </cell>
          <cell r="P251" t="str">
            <v xml:space="preserve">0,00% </v>
          </cell>
        </row>
        <row r="253">
          <cell r="L253" t="str">
            <v xml:space="preserve">0,00% </v>
          </cell>
          <cell r="N253" t="str">
            <v xml:space="preserve">0,00% </v>
          </cell>
          <cell r="P253" t="str">
            <v xml:space="preserve">0,00% </v>
          </cell>
        </row>
        <row r="255">
          <cell r="L255" t="str">
            <v xml:space="preserve">0,00% </v>
          </cell>
          <cell r="N255" t="str">
            <v xml:space="preserve">0,00% </v>
          </cell>
          <cell r="P255" t="str">
            <v xml:space="preserve">0,00% </v>
          </cell>
        </row>
        <row r="257">
          <cell r="L257" t="str">
            <v xml:space="preserve">0,00% </v>
          </cell>
          <cell r="N257" t="str">
            <v xml:space="preserve">0,00% </v>
          </cell>
          <cell r="P257" t="str">
            <v xml:space="preserve">0,00% </v>
          </cell>
        </row>
        <row r="259">
          <cell r="L259" t="str">
            <v xml:space="preserve">0,00% </v>
          </cell>
          <cell r="N259" t="str">
            <v xml:space="preserve">0,00% </v>
          </cell>
          <cell r="P259" t="str">
            <v xml:space="preserve">0,00% </v>
          </cell>
        </row>
        <row r="261">
          <cell r="L261">
            <v>0.15910537321574689</v>
          </cell>
          <cell r="N261">
            <v>0.15371848139110558</v>
          </cell>
          <cell r="P261">
            <v>-0.18163988934058944</v>
          </cell>
        </row>
        <row r="263">
          <cell r="L263">
            <v>0.37038784156989213</v>
          </cell>
          <cell r="N263">
            <v>-8.6700488441364789E-4</v>
          </cell>
          <cell r="P263">
            <v>8.6625383810486891E-4</v>
          </cell>
        </row>
        <row r="265">
          <cell r="L265" t="str">
            <v xml:space="preserve">0,00% </v>
          </cell>
          <cell r="N265" t="str">
            <v xml:space="preserve">0,00% </v>
          </cell>
          <cell r="P265" t="str">
            <v xml:space="preserve">0,00% </v>
          </cell>
        </row>
        <row r="267">
          <cell r="L267">
            <v>1</v>
          </cell>
          <cell r="N267">
            <v>0.56000000000000005</v>
          </cell>
          <cell r="P267">
            <v>-1.2727272727272727</v>
          </cell>
        </row>
        <row r="269">
          <cell r="L269" t="str">
            <v xml:space="preserve">0,00% </v>
          </cell>
          <cell r="N269" t="str">
            <v xml:space="preserve">0,00% </v>
          </cell>
          <cell r="P269" t="str">
            <v xml:space="preserve">0,00% </v>
          </cell>
        </row>
        <row r="271">
          <cell r="L271" t="str">
            <v xml:space="preserve">0,00% </v>
          </cell>
          <cell r="N271" t="str">
            <v xml:space="preserve">0,00% </v>
          </cell>
          <cell r="P271" t="str">
            <v xml:space="preserve">0,00% </v>
          </cell>
        </row>
        <row r="273">
          <cell r="L273" t="str">
            <v xml:space="preserve">0,00% </v>
          </cell>
          <cell r="N273">
            <v>1</v>
          </cell>
          <cell r="P273" t="str">
            <v xml:space="preserve">0,00% </v>
          </cell>
        </row>
        <row r="275">
          <cell r="L275">
            <v>0.11209830766305379</v>
          </cell>
          <cell r="N275">
            <v>5.7731890548087354E-3</v>
          </cell>
          <cell r="P275">
            <v>-5.8067123027192172E-3</v>
          </cell>
        </row>
        <row r="277">
          <cell r="L277" t="str">
            <v xml:space="preserve">0,00% </v>
          </cell>
          <cell r="N277" t="str">
            <v xml:space="preserve">0,00% </v>
          </cell>
          <cell r="P277" t="str">
            <v xml:space="preserve">0,00% </v>
          </cell>
        </row>
        <row r="279">
          <cell r="L279" t="str">
            <v xml:space="preserve">0,00% </v>
          </cell>
          <cell r="N279" t="str">
            <v xml:space="preserve">0,00% </v>
          </cell>
          <cell r="P279" t="str">
            <v xml:space="preserve">0,00% </v>
          </cell>
        </row>
        <row r="281">
          <cell r="L281" t="str">
            <v xml:space="preserve">0,00% </v>
          </cell>
          <cell r="N281" t="str">
            <v xml:space="preserve">0,00% </v>
          </cell>
          <cell r="P281" t="str">
            <v xml:space="preserve">0,00% </v>
          </cell>
        </row>
        <row r="283">
          <cell r="L283">
            <v>-0.89037616546993892</v>
          </cell>
          <cell r="N283">
            <v>-1.7770833333333333</v>
          </cell>
          <cell r="P283">
            <v>0.63990997749437362</v>
          </cell>
        </row>
        <row r="285">
          <cell r="L285">
            <v>0.3125</v>
          </cell>
          <cell r="N285" t="str">
            <v xml:space="preserve">0,00% </v>
          </cell>
          <cell r="P285">
            <v>1</v>
          </cell>
        </row>
        <row r="287">
          <cell r="L287">
            <v>1</v>
          </cell>
          <cell r="N287" t="str">
            <v xml:space="preserve">0,00% </v>
          </cell>
          <cell r="P287">
            <v>1</v>
          </cell>
        </row>
        <row r="289">
          <cell r="L289" t="str">
            <v xml:space="preserve">0,00% </v>
          </cell>
          <cell r="N289" t="str">
            <v xml:space="preserve">0,00% </v>
          </cell>
          <cell r="P289" t="str">
            <v xml:space="preserve">0,00% </v>
          </cell>
        </row>
        <row r="291">
          <cell r="L291" t="str">
            <v xml:space="preserve">0,00% </v>
          </cell>
          <cell r="N291" t="str">
            <v xml:space="preserve">0,00% </v>
          </cell>
          <cell r="P291" t="str">
            <v xml:space="preserve">0,00% </v>
          </cell>
        </row>
        <row r="293">
          <cell r="L293">
            <v>0.53316567710023421</v>
          </cell>
          <cell r="N293">
            <v>-0.12341583519464172</v>
          </cell>
          <cell r="P293">
            <v>0.10985766029660676</v>
          </cell>
        </row>
        <row r="295">
          <cell r="L295" t="str">
            <v xml:space="preserve">0,00% </v>
          </cell>
          <cell r="N295" t="str">
            <v xml:space="preserve">0,00% </v>
          </cell>
          <cell r="P295" t="str">
            <v xml:space="preserve">0,00% </v>
          </cell>
        </row>
        <row r="297">
          <cell r="L297" t="str">
            <v xml:space="preserve">0,00% </v>
          </cell>
          <cell r="N297" t="str">
            <v xml:space="preserve">0,00% </v>
          </cell>
          <cell r="P297" t="str">
            <v xml:space="preserve">0,00% </v>
          </cell>
        </row>
        <row r="299">
          <cell r="L299">
            <v>9.4164456233421748E-2</v>
          </cell>
          <cell r="N299">
            <v>0.78449754201440491</v>
          </cell>
          <cell r="P299">
            <v>-3.6403183023872683</v>
          </cell>
        </row>
        <row r="301">
          <cell r="L301" t="str">
            <v xml:space="preserve">0,00% </v>
          </cell>
          <cell r="N301" t="str">
            <v xml:space="preserve">0,00% </v>
          </cell>
          <cell r="P301" t="str">
            <v xml:space="preserve">0,00% </v>
          </cell>
        </row>
        <row r="303">
          <cell r="L303" t="str">
            <v xml:space="preserve">0,00% </v>
          </cell>
          <cell r="N303" t="str">
            <v xml:space="preserve">0,00% </v>
          </cell>
          <cell r="P303" t="str">
            <v xml:space="preserve">0,00% </v>
          </cell>
        </row>
        <row r="305">
          <cell r="L305" t="str">
            <v xml:space="preserve">0,00% </v>
          </cell>
          <cell r="N305" t="str">
            <v xml:space="preserve">0,00% </v>
          </cell>
          <cell r="P305" t="str">
            <v xml:space="preserve">0,00% </v>
          </cell>
        </row>
        <row r="307">
          <cell r="L307">
            <v>1.3772754716526888E-3</v>
          </cell>
          <cell r="N307">
            <v>0.60704607046070458</v>
          </cell>
          <cell r="P307">
            <v>-1.5448275862068965</v>
          </cell>
        </row>
        <row r="309">
          <cell r="L309" t="str">
            <v xml:space="preserve">0,00% </v>
          </cell>
          <cell r="N309">
            <v>1</v>
          </cell>
          <cell r="P309" t="str">
            <v xml:space="preserve">0,00% </v>
          </cell>
        </row>
        <row r="311">
          <cell r="L311" t="str">
            <v xml:space="preserve">0,00% </v>
          </cell>
          <cell r="N311" t="str">
            <v xml:space="preserve">0,00% </v>
          </cell>
          <cell r="P311" t="str">
            <v xml:space="preserve">0,00% </v>
          </cell>
        </row>
        <row r="313">
          <cell r="L313" t="str">
            <v xml:space="preserve">0,00% </v>
          </cell>
          <cell r="N313" t="str">
            <v xml:space="preserve">0,00% </v>
          </cell>
          <cell r="P313" t="str">
            <v xml:space="preserve">0,00% </v>
          </cell>
        </row>
        <row r="315">
          <cell r="L315" t="str">
            <v xml:space="preserve">0,00% </v>
          </cell>
          <cell r="N315" t="str">
            <v xml:space="preserve">0,00% </v>
          </cell>
          <cell r="P315" t="str">
            <v xml:space="preserve">0,00% </v>
          </cell>
        </row>
        <row r="317">
          <cell r="L317" t="str">
            <v xml:space="preserve">0,00% </v>
          </cell>
          <cell r="N317" t="str">
            <v xml:space="preserve">0,00% </v>
          </cell>
          <cell r="P317" t="str">
            <v xml:space="preserve">0,00% </v>
          </cell>
        </row>
        <row r="319">
          <cell r="L319" t="str">
            <v xml:space="preserve">0,00% </v>
          </cell>
          <cell r="N319" t="str">
            <v xml:space="preserve">0,00% </v>
          </cell>
          <cell r="P319" t="str">
            <v xml:space="preserve">0,00% </v>
          </cell>
        </row>
        <row r="321">
          <cell r="L321" t="str">
            <v xml:space="preserve">0,00% </v>
          </cell>
          <cell r="N321" t="str">
            <v xml:space="preserve">0,00% </v>
          </cell>
          <cell r="P321" t="str">
            <v xml:space="preserve">0,00% </v>
          </cell>
        </row>
        <row r="323">
          <cell r="L323">
            <v>-0.60976687283354858</v>
          </cell>
          <cell r="N323">
            <v>5.9932272698230121E-2</v>
          </cell>
          <cell r="P323">
            <v>-6.3753143478556346E-2</v>
          </cell>
        </row>
        <row r="325">
          <cell r="L325">
            <v>5.3750275900334241E-4</v>
          </cell>
          <cell r="N325">
            <v>5.439103053644027E-4</v>
          </cell>
          <cell r="P325">
            <v>3.4016858401746125E-4</v>
          </cell>
        </row>
        <row r="327">
          <cell r="L327" t="str">
            <v xml:space="preserve">0,00% </v>
          </cell>
          <cell r="N327" t="str">
            <v xml:space="preserve">0,00% </v>
          </cell>
          <cell r="P327" t="str">
            <v xml:space="preserve">0,00% </v>
          </cell>
        </row>
        <row r="329">
          <cell r="L329" t="str">
            <v xml:space="preserve">0,00% </v>
          </cell>
          <cell r="N329" t="str">
            <v xml:space="preserve">0,00% </v>
          </cell>
          <cell r="P329" t="str">
            <v xml:space="preserve">0,00% </v>
          </cell>
        </row>
        <row r="331">
          <cell r="L331" t="str">
            <v xml:space="preserve">0,00% </v>
          </cell>
          <cell r="N331" t="str">
            <v xml:space="preserve">0,00% </v>
          </cell>
          <cell r="P331" t="str">
            <v xml:space="preserve">0,00% </v>
          </cell>
        </row>
        <row r="333">
          <cell r="L333" t="str">
            <v xml:space="preserve">0,00% </v>
          </cell>
          <cell r="N333" t="str">
            <v xml:space="preserve">0,00% </v>
          </cell>
          <cell r="P333" t="str">
            <v xml:space="preserve">0,00% </v>
          </cell>
        </row>
        <row r="335">
          <cell r="L335" t="str">
            <v xml:space="preserve">0,00% </v>
          </cell>
          <cell r="N335" t="str">
            <v xml:space="preserve">0,00% </v>
          </cell>
          <cell r="P335" t="str">
            <v xml:space="preserve">0,00% </v>
          </cell>
        </row>
        <row r="337">
          <cell r="L337" t="str">
            <v xml:space="preserve">0,00% </v>
          </cell>
          <cell r="N337" t="str">
            <v xml:space="preserve">0,00% </v>
          </cell>
          <cell r="P337" t="str">
            <v xml:space="preserve">0,00% </v>
          </cell>
        </row>
        <row r="342">
          <cell r="L342">
            <v>0.80549345995621624</v>
          </cell>
          <cell r="N342">
            <v>-11.830741710296687</v>
          </cell>
          <cell r="P342">
            <v>0.92206202393906422</v>
          </cell>
        </row>
        <row r="344">
          <cell r="L344">
            <v>0.80549356951714202</v>
          </cell>
          <cell r="N344">
            <v>-11.830739965095988</v>
          </cell>
          <cell r="P344">
            <v>0.92206202393906422</v>
          </cell>
        </row>
        <row r="346">
          <cell r="L346" t="str">
            <v xml:space="preserve">0,00% </v>
          </cell>
          <cell r="N346" t="str">
            <v xml:space="preserve">0,00% </v>
          </cell>
          <cell r="P346" t="str">
            <v xml:space="preserve">0,00% </v>
          </cell>
        </row>
        <row r="348">
          <cell r="L348" t="str">
            <v xml:space="preserve">0,00% </v>
          </cell>
          <cell r="N348" t="str">
            <v xml:space="preserve">0,00% </v>
          </cell>
          <cell r="P348" t="str">
            <v xml:space="preserve">0,00% </v>
          </cell>
        </row>
        <row r="350">
          <cell r="L350" t="str">
            <v xml:space="preserve">0,00% </v>
          </cell>
          <cell r="N350" t="str">
            <v xml:space="preserve">0,00% </v>
          </cell>
          <cell r="P350" t="str">
            <v xml:space="preserve">0,00% </v>
          </cell>
        </row>
        <row r="352">
          <cell r="L352" t="str">
            <v xml:space="preserve">0,00% </v>
          </cell>
          <cell r="N352" t="str">
            <v xml:space="preserve">0,00% </v>
          </cell>
          <cell r="P352" t="str">
            <v xml:space="preserve">0,00% </v>
          </cell>
        </row>
        <row r="354">
          <cell r="L354">
            <v>0.80549356951714202</v>
          </cell>
          <cell r="N354">
            <v>-11.830739965095988</v>
          </cell>
          <cell r="P354">
            <v>0.92206202393906422</v>
          </cell>
        </row>
        <row r="356">
          <cell r="L356" t="str">
            <v xml:space="preserve">0,00% </v>
          </cell>
          <cell r="N356" t="str">
            <v xml:space="preserve">0,00% </v>
          </cell>
          <cell r="P356" t="str">
            <v xml:space="preserve">0,00% </v>
          </cell>
        </row>
        <row r="358">
          <cell r="L358" t="str">
            <v xml:space="preserve">0,00% </v>
          </cell>
          <cell r="N358" t="str">
            <v xml:space="preserve">0,00% </v>
          </cell>
          <cell r="P358" t="str">
            <v xml:space="preserve">0,00% </v>
          </cell>
        </row>
        <row r="360">
          <cell r="L360" t="str">
            <v xml:space="preserve">0,00% </v>
          </cell>
          <cell r="N360" t="str">
            <v xml:space="preserve">0,00% </v>
          </cell>
          <cell r="P360" t="str">
            <v xml:space="preserve">0,00% </v>
          </cell>
        </row>
        <row r="362">
          <cell r="L362" t="str">
            <v xml:space="preserve">0,00% </v>
          </cell>
          <cell r="N362" t="str">
            <v xml:space="preserve">0,00% </v>
          </cell>
          <cell r="P362" t="str">
            <v xml:space="preserve">0,00% </v>
          </cell>
        </row>
        <row r="364">
          <cell r="L364">
            <v>0</v>
          </cell>
          <cell r="N364" t="str">
            <v xml:space="preserve">0,00% </v>
          </cell>
          <cell r="P364" t="str">
            <v xml:space="preserve">0,00% </v>
          </cell>
        </row>
        <row r="366">
          <cell r="L366">
            <v>1.8266252939690833E-9</v>
          </cell>
          <cell r="N366" t="str">
            <v xml:space="preserve">0,00% </v>
          </cell>
          <cell r="P366" t="str">
            <v xml:space="preserve">0,00% </v>
          </cell>
        </row>
        <row r="368">
          <cell r="L368">
            <v>0</v>
          </cell>
          <cell r="N368" t="str">
            <v xml:space="preserve">0,00% </v>
          </cell>
          <cell r="P368" t="str">
            <v xml:space="preserve">0,00% </v>
          </cell>
        </row>
        <row r="370">
          <cell r="L370">
            <v>1.8266252939690833E-9</v>
          </cell>
          <cell r="N370" t="str">
            <v xml:space="preserve">0,00% </v>
          </cell>
          <cell r="P370" t="str">
            <v xml:space="preserve">0,00% </v>
          </cell>
        </row>
        <row r="372">
          <cell r="L372">
            <v>0</v>
          </cell>
          <cell r="N372" t="str">
            <v xml:space="preserve">0,00% </v>
          </cell>
          <cell r="P372" t="str">
            <v xml:space="preserve">0,00% </v>
          </cell>
        </row>
        <row r="374">
          <cell r="L374">
            <v>1.8266252939690833E-9</v>
          </cell>
          <cell r="N374" t="str">
            <v xml:space="preserve">0,00% </v>
          </cell>
          <cell r="P374" t="str">
            <v xml:space="preserve">0,00% </v>
          </cell>
        </row>
        <row r="376">
          <cell r="L376">
            <v>0.80549400776114299</v>
          </cell>
          <cell r="N376">
            <v>-11.830732984293196</v>
          </cell>
          <cell r="P376">
            <v>0.92206202393906422</v>
          </cell>
        </row>
        <row r="378">
          <cell r="L378">
            <v>1.8266252939690833E-9</v>
          </cell>
          <cell r="N378" t="str">
            <v xml:space="preserve">0,00% </v>
          </cell>
          <cell r="P378" t="str">
            <v xml:space="preserve">0,00% </v>
          </cell>
        </row>
        <row r="380">
          <cell r="L380">
            <v>1.8266252939690833E-9</v>
          </cell>
          <cell r="N380" t="str">
            <v xml:space="preserve">0,00% </v>
          </cell>
          <cell r="P380" t="str">
            <v xml:space="preserve">0,00% </v>
          </cell>
        </row>
        <row r="382">
          <cell r="L382">
            <v>1.8266252939690833E-9</v>
          </cell>
          <cell r="N382">
            <v>0.99999159663865544</v>
          </cell>
          <cell r="P382" t="str">
            <v xml:space="preserve">0,00% </v>
          </cell>
        </row>
        <row r="384">
          <cell r="L384">
            <v>1.8266252939690833E-9</v>
          </cell>
          <cell r="N384" t="str">
            <v xml:space="preserve">0,00% </v>
          </cell>
          <cell r="P384" t="str">
            <v xml:space="preserve">0,00% </v>
          </cell>
        </row>
        <row r="386">
          <cell r="L386">
            <v>1.8266252939690833E-9</v>
          </cell>
          <cell r="N386" t="str">
            <v xml:space="preserve">0,00% </v>
          </cell>
          <cell r="P386" t="str">
            <v xml:space="preserve">0,00% </v>
          </cell>
        </row>
        <row r="388">
          <cell r="L388">
            <v>1.3429349161260699E-2</v>
          </cell>
          <cell r="N388">
            <v>-42.502958579881657</v>
          </cell>
          <cell r="P388">
            <v>0.97701305767138191</v>
          </cell>
        </row>
        <row r="390">
          <cell r="L390">
            <v>1.8266252939690833E-9</v>
          </cell>
          <cell r="N390">
            <v>0.99999649122807022</v>
          </cell>
          <cell r="P390" t="str">
            <v xml:space="preserve">0,00% </v>
          </cell>
        </row>
        <row r="392">
          <cell r="L392">
            <v>1.8266252939690833E-9</v>
          </cell>
          <cell r="N392" t="str">
            <v xml:space="preserve">0,00% </v>
          </cell>
          <cell r="P392" t="str">
            <v xml:space="preserve">0,00% </v>
          </cell>
        </row>
        <row r="394">
          <cell r="L394">
            <v>1.8266252939690833E-9</v>
          </cell>
          <cell r="N394" t="str">
            <v xml:space="preserve">0,00% </v>
          </cell>
          <cell r="P394" t="str">
            <v xml:space="preserve">0,00% </v>
          </cell>
        </row>
        <row r="396">
          <cell r="L396">
            <v>1.8266252939690833E-9</v>
          </cell>
          <cell r="N396" t="str">
            <v xml:space="preserve">0,00% </v>
          </cell>
          <cell r="P396" t="str">
            <v xml:space="preserve">0,00% </v>
          </cell>
        </row>
        <row r="398">
          <cell r="L398">
            <v>1.8266252939690833E-9</v>
          </cell>
          <cell r="N398" t="str">
            <v xml:space="preserve">0,00% </v>
          </cell>
          <cell r="P398" t="str">
            <v xml:space="preserve">0,00% </v>
          </cell>
        </row>
        <row r="400">
          <cell r="L400">
            <v>0</v>
          </cell>
          <cell r="N400" t="str">
            <v xml:space="preserve">0,00% </v>
          </cell>
          <cell r="P400" t="str">
            <v xml:space="preserve">0,00% </v>
          </cell>
        </row>
        <row r="402">
          <cell r="L402">
            <v>1.8266252939690833E-9</v>
          </cell>
          <cell r="N402" t="str">
            <v xml:space="preserve">0,00% </v>
          </cell>
          <cell r="P402" t="str">
            <v xml:space="preserve">0,00% </v>
          </cell>
        </row>
        <row r="404">
          <cell r="L404">
            <v>0</v>
          </cell>
          <cell r="N404" t="str">
            <v xml:space="preserve">0,00% </v>
          </cell>
          <cell r="P404" t="str">
            <v xml:space="preserve">0,00% </v>
          </cell>
        </row>
        <row r="406">
          <cell r="L406">
            <v>0</v>
          </cell>
          <cell r="N406" t="str">
            <v xml:space="preserve">0,00% </v>
          </cell>
          <cell r="P406" t="str">
            <v xml:space="preserve">0,00% </v>
          </cell>
        </row>
        <row r="408">
          <cell r="L408">
            <v>1.8266252939690833E-9</v>
          </cell>
          <cell r="N408" t="str">
            <v xml:space="preserve">0,00% </v>
          </cell>
          <cell r="P408" t="str">
            <v xml:space="preserve">0,00% </v>
          </cell>
        </row>
        <row r="410">
          <cell r="L410">
            <v>1.8266252939690833E-9</v>
          </cell>
          <cell r="N410" t="str">
            <v xml:space="preserve">0,00% </v>
          </cell>
          <cell r="P410" t="str">
            <v xml:space="preserve">0,00% </v>
          </cell>
        </row>
        <row r="412">
          <cell r="L412">
            <v>1.8266252939690833E-9</v>
          </cell>
          <cell r="N412" t="str">
            <v xml:space="preserve">0,00% </v>
          </cell>
          <cell r="P412" t="str">
            <v xml:space="preserve">0,00% </v>
          </cell>
        </row>
        <row r="414">
          <cell r="L414" t="str">
            <v xml:space="preserve">0,00% </v>
          </cell>
          <cell r="N414" t="str">
            <v xml:space="preserve">0,00% </v>
          </cell>
          <cell r="P414" t="str">
            <v xml:space="preserve">0,00% </v>
          </cell>
        </row>
        <row r="416">
          <cell r="L416" t="str">
            <v xml:space="preserve">0,00% </v>
          </cell>
          <cell r="N416" t="str">
            <v xml:space="preserve">0,00% </v>
          </cell>
          <cell r="P416" t="str">
            <v xml:space="preserve">0,00% </v>
          </cell>
        </row>
        <row r="418">
          <cell r="L418">
            <v>1.8266252939690833E-9</v>
          </cell>
          <cell r="N418" t="str">
            <v xml:space="preserve">0,00% </v>
          </cell>
          <cell r="P418" t="str">
            <v xml:space="preserve">0,00% </v>
          </cell>
        </row>
        <row r="420">
          <cell r="L420">
            <v>0.31381868246960581</v>
          </cell>
          <cell r="N420">
            <v>4.8725767346719462E-2</v>
          </cell>
          <cell r="P420">
            <v>0.33471493922367934</v>
          </cell>
        </row>
        <row r="428">
          <cell r="L428">
            <v>0.30712591707059383</v>
          </cell>
          <cell r="N428">
            <v>6.0565432473692574E-2</v>
          </cell>
          <cell r="P428">
            <v>0.32968027934859012</v>
          </cell>
        </row>
        <row r="429">
          <cell r="L429">
            <v>0.31526445323754321</v>
          </cell>
          <cell r="N429">
            <v>3.8419355846246235E-2</v>
          </cell>
          <cell r="P429">
            <v>0.36894683390030791</v>
          </cell>
        </row>
        <row r="430">
          <cell r="L430" t="str">
            <v xml:space="preserve">0,00% </v>
          </cell>
          <cell r="N430" t="str">
            <v xml:space="preserve">0,00% </v>
          </cell>
          <cell r="P430" t="str">
            <v xml:space="preserve">0,00% </v>
          </cell>
        </row>
        <row r="431">
          <cell r="L431">
            <v>0.22731829879813217</v>
          </cell>
          <cell r="N431">
            <v>0.23364283215030118</v>
          </cell>
          <cell r="P431">
            <v>-0.30487459627457181</v>
          </cell>
        </row>
        <row r="433">
          <cell r="L433">
            <v>0.80549345995621624</v>
          </cell>
          <cell r="N433">
            <v>-11.830741710296687</v>
          </cell>
          <cell r="P433">
            <v>0.92206202393906422</v>
          </cell>
        </row>
        <row r="434">
          <cell r="L434">
            <v>0.80549356951714202</v>
          </cell>
          <cell r="N434">
            <v>-11.830739965095988</v>
          </cell>
          <cell r="P434">
            <v>0.92206202393906422</v>
          </cell>
        </row>
        <row r="435">
          <cell r="L435" t="str">
            <v xml:space="preserve">0,00% </v>
          </cell>
          <cell r="N435" t="str">
            <v xml:space="preserve">0,00% </v>
          </cell>
          <cell r="P435" t="str">
            <v xml:space="preserve">0,00% </v>
          </cell>
        </row>
        <row r="436">
          <cell r="L436">
            <v>0</v>
          </cell>
          <cell r="N436" t="str">
            <v xml:space="preserve">0,00% </v>
          </cell>
          <cell r="P436" t="str">
            <v xml:space="preserve">0,00% </v>
          </cell>
        </row>
        <row r="437">
          <cell r="L437" t="str">
            <v xml:space="preserve">0,00% </v>
          </cell>
          <cell r="N437" t="str">
            <v xml:space="preserve">0,00% </v>
          </cell>
          <cell r="P437" t="str">
            <v xml:space="preserve">0,00% </v>
          </cell>
        </row>
        <row r="439">
          <cell r="L439" t="str">
            <v xml:space="preserve">0,00% </v>
          </cell>
          <cell r="N439" t="str">
            <v xml:space="preserve">0,00% </v>
          </cell>
          <cell r="P439" t="str">
            <v xml:space="preserve">0,00% </v>
          </cell>
        </row>
        <row r="440">
          <cell r="L440" t="str">
            <v xml:space="preserve">0,00% </v>
          </cell>
          <cell r="N440" t="str">
            <v xml:space="preserve">0,00% </v>
          </cell>
          <cell r="P440" t="str">
            <v xml:space="preserve">0,00% </v>
          </cell>
        </row>
        <row r="442">
          <cell r="L442">
            <v>0.31381868246960581</v>
          </cell>
          <cell r="N442">
            <v>4.8725767346719462E-2</v>
          </cell>
          <cell r="P442">
            <v>0.33471493922367934</v>
          </cell>
        </row>
        <row r="451">
          <cell r="L451">
            <v>0.16939687243993948</v>
          </cell>
          <cell r="N451">
            <v>1.073179511410087E-2</v>
          </cell>
          <cell r="P451">
            <v>-0.5067185454211971</v>
          </cell>
        </row>
        <row r="453">
          <cell r="L453">
            <v>0.15565412094523473</v>
          </cell>
          <cell r="N453">
            <v>5.2641773163814534E-2</v>
          </cell>
          <cell r="P453">
            <v>-0.37437541563248877</v>
          </cell>
        </row>
        <row r="455">
          <cell r="L455" t="str">
            <v xml:space="preserve">0,00% </v>
          </cell>
          <cell r="N455" t="str">
            <v xml:space="preserve">0,00% </v>
          </cell>
          <cell r="P455">
            <v>1</v>
          </cell>
        </row>
        <row r="457">
          <cell r="L457" t="str">
            <v xml:space="preserve">0,00% </v>
          </cell>
          <cell r="N457" t="str">
            <v xml:space="preserve">0,00% </v>
          </cell>
          <cell r="P457" t="str">
            <v xml:space="preserve">0,00% </v>
          </cell>
        </row>
        <row r="459">
          <cell r="L459" t="str">
            <v xml:space="preserve">0,00% </v>
          </cell>
          <cell r="N459" t="str">
            <v xml:space="preserve">0,00% </v>
          </cell>
          <cell r="P459">
            <v>1</v>
          </cell>
        </row>
        <row r="461">
          <cell r="L461">
            <v>0.15565412094523473</v>
          </cell>
          <cell r="N461">
            <v>5.2641773163814534E-2</v>
          </cell>
          <cell r="P461">
            <v>-0.37534220600357832</v>
          </cell>
        </row>
        <row r="463">
          <cell r="L463">
            <v>0.60338608452812059</v>
          </cell>
          <cell r="N463">
            <v>7.1829601782818206E-2</v>
          </cell>
          <cell r="P463">
            <v>-1.0515189744607121</v>
          </cell>
        </row>
        <row r="465">
          <cell r="L465">
            <v>0.70174705650512881</v>
          </cell>
          <cell r="N465">
            <v>0.27685185596815753</v>
          </cell>
          <cell r="P465">
            <v>-1.1358912372124477</v>
          </cell>
        </row>
        <row r="467">
          <cell r="L467">
            <v>0.45673469065910316</v>
          </cell>
          <cell r="N467">
            <v>0.11877067792459012</v>
          </cell>
          <cell r="P467">
            <v>-1.9052681089278056</v>
          </cell>
        </row>
        <row r="469">
          <cell r="L469">
            <v>0.61140618585608308</v>
          </cell>
          <cell r="N469">
            <v>-4.2864399597325568E-2</v>
          </cell>
          <cell r="P469">
            <v>-0.83770111074469866</v>
          </cell>
        </row>
        <row r="471">
          <cell r="L471">
            <v>-1.6058593128492074E-2</v>
          </cell>
          <cell r="N471">
            <v>5.9020257695109997E-2</v>
          </cell>
          <cell r="P471">
            <v>-0.40961607918398341</v>
          </cell>
        </row>
        <row r="473">
          <cell r="L473">
            <v>-1.6058593128492074E-2</v>
          </cell>
          <cell r="N473">
            <v>5.9020257695109997E-2</v>
          </cell>
          <cell r="P473">
            <v>-0.40961607918398341</v>
          </cell>
        </row>
        <row r="475">
          <cell r="L475">
            <v>0.11101066718097914</v>
          </cell>
          <cell r="N475">
            <v>6.9822180308866652E-2</v>
          </cell>
          <cell r="P475">
            <v>-0.46621083605727792</v>
          </cell>
        </row>
        <row r="477">
          <cell r="L477">
            <v>5.939438299140571E-2</v>
          </cell>
          <cell r="N477">
            <v>8.0661467418571678E-2</v>
          </cell>
          <cell r="P477">
            <v>-0.41360761765600101</v>
          </cell>
        </row>
        <row r="479">
          <cell r="L479">
            <v>-0.43835931329255584</v>
          </cell>
          <cell r="N479">
            <v>0.79002338247051429</v>
          </cell>
          <cell r="P479">
            <v>-0.5026320080315374</v>
          </cell>
        </row>
        <row r="481">
          <cell r="L481" t="str">
            <v xml:space="preserve">0,00% </v>
          </cell>
          <cell r="N481">
            <v>1</v>
          </cell>
          <cell r="P481">
            <v>0.30148092254507497</v>
          </cell>
        </row>
        <row r="483">
          <cell r="L483" t="str">
            <v xml:space="preserve">0,00% </v>
          </cell>
          <cell r="N483">
            <v>1</v>
          </cell>
          <cell r="P483" t="str">
            <v xml:space="preserve">0,00% </v>
          </cell>
        </row>
        <row r="485">
          <cell r="L485">
            <v>0.39762574356517749</v>
          </cell>
          <cell r="N485">
            <v>-0.23342153368559385</v>
          </cell>
          <cell r="P485">
            <v>-0.41066804789064332</v>
          </cell>
        </row>
        <row r="487">
          <cell r="L487">
            <v>0.16866854155103611</v>
          </cell>
          <cell r="N487">
            <v>0.21908603053344841</v>
          </cell>
          <cell r="P487">
            <v>-0.38875896650568831</v>
          </cell>
        </row>
        <row r="489">
          <cell r="L489">
            <v>-0.24881377510680627</v>
          </cell>
          <cell r="N489">
            <v>-0.84119085979008401</v>
          </cell>
          <cell r="P489">
            <v>-1.4943915367461267</v>
          </cell>
        </row>
        <row r="491">
          <cell r="L491">
            <v>0.20269407269989217</v>
          </cell>
          <cell r="N491">
            <v>-5.0332866724845673E-2</v>
          </cell>
          <cell r="P491">
            <v>-1.0479573746928548</v>
          </cell>
        </row>
        <row r="493">
          <cell r="L493">
            <v>-1.1694406150802967</v>
          </cell>
          <cell r="N493">
            <v>0.53730662335610746</v>
          </cell>
          <cell r="P493">
            <v>-8.2210231867534622E-2</v>
          </cell>
        </row>
        <row r="495">
          <cell r="L495" t="str">
            <v xml:space="preserve">0,00% </v>
          </cell>
          <cell r="N495" t="str">
            <v xml:space="preserve">0,00% </v>
          </cell>
          <cell r="P495" t="str">
            <v xml:space="preserve">0,00% </v>
          </cell>
        </row>
        <row r="497">
          <cell r="L497">
            <v>0.14810210637388321</v>
          </cell>
          <cell r="N497">
            <v>0.10772712666257483</v>
          </cell>
          <cell r="P497">
            <v>-0.32463083025577888</v>
          </cell>
        </row>
        <row r="499">
          <cell r="L499">
            <v>0.3603192836638261</v>
          </cell>
          <cell r="N499">
            <v>1.4314491676255109E-3</v>
          </cell>
          <cell r="P499">
            <v>-0.59312777233306446</v>
          </cell>
        </row>
        <row r="501">
          <cell r="L501" t="str">
            <v xml:space="preserve">0,00% </v>
          </cell>
          <cell r="N501">
            <v>1</v>
          </cell>
          <cell r="P501" t="str">
            <v xml:space="preserve">0,00% </v>
          </cell>
        </row>
        <row r="503">
          <cell r="L503">
            <v>0.12744764030123526</v>
          </cell>
          <cell r="N503">
            <v>3.0889314615811906E-2</v>
          </cell>
          <cell r="P503">
            <v>7.5958911096315709E-2</v>
          </cell>
        </row>
        <row r="505">
          <cell r="L505">
            <v>-6.9049505531590366E-2</v>
          </cell>
          <cell r="N505">
            <v>1.3271432156438816E-2</v>
          </cell>
          <cell r="P505">
            <v>-0.72812036094941035</v>
          </cell>
        </row>
        <row r="507">
          <cell r="L507">
            <v>0.13900308884758233</v>
          </cell>
          <cell r="N507">
            <v>3.167657023674899E-2</v>
          </cell>
          <cell r="P507">
            <v>-0.81793763677118481</v>
          </cell>
        </row>
        <row r="509">
          <cell r="L509">
            <v>-0.66875688282305423</v>
          </cell>
          <cell r="N509">
            <v>-0.65986700902273387</v>
          </cell>
          <cell r="P509">
            <v>0.98527691303080911</v>
          </cell>
        </row>
        <row r="511">
          <cell r="L511">
            <v>9.0986216888272547E-2</v>
          </cell>
          <cell r="N511">
            <v>0.39076707873616479</v>
          </cell>
          <cell r="P511">
            <v>-1.3049436731430193</v>
          </cell>
        </row>
        <row r="513">
          <cell r="L513">
            <v>0.10409525637701557</v>
          </cell>
          <cell r="N513">
            <v>-0.22066211961608648</v>
          </cell>
          <cell r="P513">
            <v>-0.77509536518122157</v>
          </cell>
        </row>
        <row r="515">
          <cell r="L515">
            <v>0.10409525637701557</v>
          </cell>
          <cell r="N515">
            <v>-0.22066211961608648</v>
          </cell>
          <cell r="P515">
            <v>-0.77509536518122157</v>
          </cell>
        </row>
        <row r="517">
          <cell r="L517">
            <v>1</v>
          </cell>
          <cell r="N517" t="str">
            <v xml:space="preserve">0,00% </v>
          </cell>
          <cell r="P517">
            <v>1</v>
          </cell>
        </row>
        <row r="519">
          <cell r="L519">
            <v>1</v>
          </cell>
          <cell r="N519" t="str">
            <v xml:space="preserve">0,00% </v>
          </cell>
          <cell r="P519">
            <v>1</v>
          </cell>
        </row>
        <row r="521">
          <cell r="L521">
            <v>-3.7654480199050564</v>
          </cell>
          <cell r="N521">
            <v>-4.717448885449838</v>
          </cell>
          <cell r="P521">
            <v>0.96329764153403641</v>
          </cell>
        </row>
        <row r="523">
          <cell r="L523">
            <v>-3.7654480199050564</v>
          </cell>
          <cell r="N523">
            <v>-4.717448885449838</v>
          </cell>
          <cell r="P523">
            <v>0.96329764153403641</v>
          </cell>
        </row>
        <row r="525">
          <cell r="L525" t="str">
            <v xml:space="preserve">0,00% </v>
          </cell>
          <cell r="N525" t="str">
            <v xml:space="preserve">0,00% </v>
          </cell>
          <cell r="P525">
            <v>1</v>
          </cell>
        </row>
        <row r="527">
          <cell r="L527">
            <v>-1.0655294828016992</v>
          </cell>
          <cell r="N527">
            <v>-4.717448885449838</v>
          </cell>
          <cell r="P527">
            <v>0.91532283468535547</v>
          </cell>
        </row>
        <row r="529">
          <cell r="L529">
            <v>0.19024297186149683</v>
          </cell>
          <cell r="N529">
            <v>-3.9571465281946654E-2</v>
          </cell>
          <cell r="P529">
            <v>-0.72871902763452978</v>
          </cell>
        </row>
        <row r="531">
          <cell r="L531">
            <v>4.4439579684763572E-2</v>
          </cell>
          <cell r="N531">
            <v>0.28585351682819937</v>
          </cell>
          <cell r="P531">
            <v>-0.1258466941884282</v>
          </cell>
        </row>
        <row r="533">
          <cell r="L533">
            <v>4.4439579684763572E-2</v>
          </cell>
          <cell r="N533">
            <v>0.14237924560505205</v>
          </cell>
          <cell r="P533">
            <v>6.25E-2</v>
          </cell>
        </row>
        <row r="535">
          <cell r="L535">
            <v>4.4439579684763572E-2</v>
          </cell>
          <cell r="N535">
            <v>0.14237924560505205</v>
          </cell>
          <cell r="P535">
            <v>6.25E-2</v>
          </cell>
        </row>
        <row r="537">
          <cell r="L537" t="str">
            <v xml:space="preserve">0,00% </v>
          </cell>
          <cell r="N537">
            <v>1</v>
          </cell>
          <cell r="P537" t="str">
            <v xml:space="preserve">0,00% </v>
          </cell>
        </row>
        <row r="539">
          <cell r="L539" t="str">
            <v xml:space="preserve">0,00% </v>
          </cell>
          <cell r="N539">
            <v>1</v>
          </cell>
          <cell r="P539" t="str">
            <v xml:space="preserve">0,00% </v>
          </cell>
        </row>
        <row r="541">
          <cell r="L541">
            <v>0.11468491237248453</v>
          </cell>
          <cell r="N541">
            <v>0.29943136902623074</v>
          </cell>
          <cell r="P541">
            <v>-0.33691487956316873</v>
          </cell>
        </row>
        <row r="543">
          <cell r="L543">
            <v>0.11468491237248453</v>
          </cell>
          <cell r="N543">
            <v>0.29943136902623074</v>
          </cell>
          <cell r="P543">
            <v>-0.33691487956316873</v>
          </cell>
        </row>
        <row r="545">
          <cell r="L545">
            <v>0.11468491237248453</v>
          </cell>
          <cell r="N545">
            <v>0.29943136902623074</v>
          </cell>
          <cell r="P545">
            <v>-0.33691487956316873</v>
          </cell>
        </row>
        <row r="547">
          <cell r="L547" t="str">
            <v xml:space="preserve">0,00% </v>
          </cell>
          <cell r="N547" t="str">
            <v xml:space="preserve">0,00% </v>
          </cell>
          <cell r="P547" t="str">
            <v xml:space="preserve">0,00% </v>
          </cell>
        </row>
        <row r="549">
          <cell r="L549" t="str">
            <v xml:space="preserve">0,00% </v>
          </cell>
          <cell r="N549" t="str">
            <v xml:space="preserve">0,00% </v>
          </cell>
          <cell r="P549" t="str">
            <v xml:space="preserve">0,00% </v>
          </cell>
        </row>
        <row r="551">
          <cell r="L551" t="str">
            <v xml:space="preserve">0,00% </v>
          </cell>
          <cell r="N551" t="str">
            <v xml:space="preserve">0,00% </v>
          </cell>
          <cell r="P551" t="str">
            <v xml:space="preserve">0,00% </v>
          </cell>
        </row>
        <row r="553">
          <cell r="L553">
            <v>0.89566586960113415</v>
          </cell>
          <cell r="N553">
            <v>-5.625415129957525</v>
          </cell>
          <cell r="P553" t="str">
            <v xml:space="preserve">0,00% </v>
          </cell>
        </row>
        <row r="555">
          <cell r="L555">
            <v>0.89566586960113415</v>
          </cell>
          <cell r="N555">
            <v>-5.625415129957525</v>
          </cell>
          <cell r="P555" t="str">
            <v xml:space="preserve">0,00% </v>
          </cell>
        </row>
        <row r="557">
          <cell r="L557">
            <v>0.18932006785866901</v>
          </cell>
          <cell r="N557">
            <v>-4.5697095972208557E-2</v>
          </cell>
          <cell r="P557">
            <v>-0.76877125635287735</v>
          </cell>
        </row>
        <row r="559">
          <cell r="L559">
            <v>0.41666666666666669</v>
          </cell>
          <cell r="N559">
            <v>-0.7142857142857143</v>
          </cell>
          <cell r="P559">
            <v>0.98212872424621511</v>
          </cell>
        </row>
        <row r="561">
          <cell r="L561">
            <v>0.41666666666666669</v>
          </cell>
          <cell r="N561">
            <v>-0.7142857142857143</v>
          </cell>
          <cell r="P561">
            <v>0.98212872424621511</v>
          </cell>
        </row>
        <row r="563">
          <cell r="L563">
            <v>9.8202229183187065E-2</v>
          </cell>
          <cell r="N563">
            <v>-0.19931904453364419</v>
          </cell>
          <cell r="P563">
            <v>-0.63177482504027704</v>
          </cell>
        </row>
        <row r="565">
          <cell r="L565">
            <v>9.8202229183187065E-2</v>
          </cell>
          <cell r="N565">
            <v>-0.19931904453364419</v>
          </cell>
          <cell r="P565">
            <v>-0.7798210319385227</v>
          </cell>
        </row>
        <row r="567">
          <cell r="L567" t="str">
            <v xml:space="preserve">0,00% </v>
          </cell>
          <cell r="N567" t="str">
            <v xml:space="preserve">0,00% </v>
          </cell>
          <cell r="P567">
            <v>1</v>
          </cell>
        </row>
        <row r="569">
          <cell r="L569">
            <v>0.13341476375720143</v>
          </cell>
          <cell r="N569">
            <v>-0.44976973105167278</v>
          </cell>
          <cell r="P569">
            <v>-0.62781403654943835</v>
          </cell>
        </row>
        <row r="571">
          <cell r="L571">
            <v>0.12475464992645936</v>
          </cell>
          <cell r="N571">
            <v>-6.0859632595819963E-3</v>
          </cell>
          <cell r="P571">
            <v>-0.63539189851819222</v>
          </cell>
        </row>
        <row r="573">
          <cell r="L573">
            <v>-63.555279701166171</v>
          </cell>
          <cell r="N573">
            <v>0.61094914443194004</v>
          </cell>
          <cell r="P573">
            <v>-0.26650056675981731</v>
          </cell>
        </row>
        <row r="575">
          <cell r="L575">
            <v>-0.4373121511378274</v>
          </cell>
          <cell r="N575">
            <v>0.56127401164952284</v>
          </cell>
          <cell r="P575">
            <v>-2.0976237091634995</v>
          </cell>
        </row>
        <row r="577">
          <cell r="L577">
            <v>2.4889809895867837E-2</v>
          </cell>
          <cell r="N577">
            <v>0.39738275579354332</v>
          </cell>
          <cell r="P577">
            <v>-1.7092586923008151</v>
          </cell>
        </row>
        <row r="579">
          <cell r="L579">
            <v>0.93146595629772599</v>
          </cell>
          <cell r="N579">
            <v>-0.62359451519387799</v>
          </cell>
          <cell r="P579">
            <v>-2.1115094890242059</v>
          </cell>
        </row>
        <row r="581">
          <cell r="L581" t="str">
            <v xml:space="preserve">0,00% </v>
          </cell>
          <cell r="N581">
            <v>1</v>
          </cell>
          <cell r="P581">
            <v>0.94248047139190583</v>
          </cell>
        </row>
        <row r="583">
          <cell r="L583">
            <v>1</v>
          </cell>
          <cell r="N583">
            <v>0.77936527844255432</v>
          </cell>
          <cell r="P583">
            <v>-0.82987014507687096</v>
          </cell>
        </row>
        <row r="585">
          <cell r="L585" t="str">
            <v xml:space="preserve">0,00% </v>
          </cell>
          <cell r="N585">
            <v>1</v>
          </cell>
          <cell r="P585">
            <v>-0.55106963455616331</v>
          </cell>
        </row>
        <row r="587">
          <cell r="L587">
            <v>1</v>
          </cell>
          <cell r="N587">
            <v>-1.6783951302099662</v>
          </cell>
          <cell r="P587">
            <v>-0.17965936972246133</v>
          </cell>
        </row>
        <row r="589">
          <cell r="L589" t="str">
            <v xml:space="preserve">0,00% </v>
          </cell>
          <cell r="N589">
            <v>1</v>
          </cell>
          <cell r="P589">
            <v>2.3168937242019068E-3</v>
          </cell>
        </row>
        <row r="591">
          <cell r="L591" t="str">
            <v xml:space="preserve">0,00% </v>
          </cell>
          <cell r="N591" t="str">
            <v xml:space="preserve">0,00% </v>
          </cell>
          <cell r="P591">
            <v>1</v>
          </cell>
        </row>
        <row r="593">
          <cell r="L593" t="str">
            <v xml:space="preserve">0,00% </v>
          </cell>
          <cell r="N593">
            <v>1</v>
          </cell>
          <cell r="P593">
            <v>-1.5451559934318555</v>
          </cell>
        </row>
        <row r="595">
          <cell r="L595">
            <v>1</v>
          </cell>
          <cell r="N595">
            <v>-4.3685023129732752</v>
          </cell>
          <cell r="P595">
            <v>-48.186956521739134</v>
          </cell>
        </row>
        <row r="597">
          <cell r="L597">
            <v>0.99724361112841131</v>
          </cell>
          <cell r="N597">
            <v>-1.6728798669565319</v>
          </cell>
          <cell r="P597">
            <v>0.61891975581981817</v>
          </cell>
        </row>
        <row r="599">
          <cell r="L599">
            <v>1</v>
          </cell>
          <cell r="N599" t="str">
            <v xml:space="preserve">0,00% </v>
          </cell>
          <cell r="P599">
            <v>1</v>
          </cell>
        </row>
        <row r="601">
          <cell r="L601" t="str">
            <v xml:space="preserve">0,00% </v>
          </cell>
          <cell r="N601">
            <v>1</v>
          </cell>
          <cell r="P601">
            <v>0.55112154595773732</v>
          </cell>
        </row>
        <row r="603">
          <cell r="L603">
            <v>0.99777826018332128</v>
          </cell>
          <cell r="N603">
            <v>-0.33408894712597109</v>
          </cell>
          <cell r="P603">
            <v>-3.4473939324034486</v>
          </cell>
        </row>
        <row r="605">
          <cell r="L605">
            <v>0.60754019380517987</v>
          </cell>
          <cell r="N605">
            <v>-5.2364234646564363</v>
          </cell>
          <cell r="P605">
            <v>0.92944553889560289</v>
          </cell>
        </row>
        <row r="607">
          <cell r="L607" t="str">
            <v xml:space="preserve">0,00% </v>
          </cell>
          <cell r="N607">
            <v>1</v>
          </cell>
          <cell r="P607">
            <v>0.83904681582907503</v>
          </cell>
        </row>
        <row r="609">
          <cell r="L609" t="str">
            <v xml:space="preserve">0,00% </v>
          </cell>
          <cell r="N609">
            <v>1</v>
          </cell>
          <cell r="P609">
            <v>0.5206297233384598</v>
          </cell>
        </row>
        <row r="611">
          <cell r="L611" t="str">
            <v xml:space="preserve">0,00% </v>
          </cell>
          <cell r="N611">
            <v>1</v>
          </cell>
          <cell r="P611">
            <v>0.23200000000000004</v>
          </cell>
        </row>
        <row r="613">
          <cell r="L613">
            <v>-1.1845938079654958</v>
          </cell>
          <cell r="N613">
            <v>0.8738445756649077</v>
          </cell>
          <cell r="P613">
            <v>-6.0060846627843896</v>
          </cell>
        </row>
        <row r="615">
          <cell r="L615">
            <v>0.11309608102136139</v>
          </cell>
          <cell r="N615">
            <v>-2.1998796835051166</v>
          </cell>
          <cell r="P615">
            <v>-0.2897095466146159</v>
          </cell>
        </row>
        <row r="617">
          <cell r="L617">
            <v>0.68354430379746833</v>
          </cell>
          <cell r="N617">
            <v>0.64720027481964959</v>
          </cell>
          <cell r="P617">
            <v>-0.43046683046683049</v>
          </cell>
        </row>
        <row r="619">
          <cell r="L619" t="str">
            <v xml:space="preserve">0,00% </v>
          </cell>
          <cell r="N619" t="str">
            <v xml:space="preserve">0,00% </v>
          </cell>
          <cell r="P619">
            <v>1</v>
          </cell>
        </row>
        <row r="621">
          <cell r="L621" t="str">
            <v xml:space="preserve">0,00% </v>
          </cell>
          <cell r="N621">
            <v>1</v>
          </cell>
          <cell r="P621" t="str">
            <v xml:space="preserve">0,00% </v>
          </cell>
        </row>
        <row r="623">
          <cell r="L623">
            <v>0.8175968535958904</v>
          </cell>
          <cell r="N623" t="str">
            <v xml:space="preserve">0,00% </v>
          </cell>
          <cell r="P623">
            <v>1</v>
          </cell>
        </row>
        <row r="625">
          <cell r="L625">
            <v>-0.25993411976376191</v>
          </cell>
          <cell r="N625">
            <v>-3.3547776662919442</v>
          </cell>
          <cell r="P625">
            <v>-3.2816514425705363</v>
          </cell>
        </row>
        <row r="627">
          <cell r="L627">
            <v>0.45594143315662311</v>
          </cell>
          <cell r="N627">
            <v>0.55065386838366759</v>
          </cell>
          <cell r="P627">
            <v>-0.41031325227778304</v>
          </cell>
        </row>
        <row r="629">
          <cell r="L629" t="str">
            <v xml:space="preserve">0,00% </v>
          </cell>
          <cell r="N629">
            <v>1</v>
          </cell>
          <cell r="P629">
            <v>0.66984434749824961</v>
          </cell>
        </row>
        <row r="631">
          <cell r="L631">
            <v>0.45594143315662311</v>
          </cell>
          <cell r="N631">
            <v>0.20371593487063139</v>
          </cell>
          <cell r="P631">
            <v>-1.8132977863952173</v>
          </cell>
        </row>
        <row r="633">
          <cell r="L633" t="str">
            <v xml:space="preserve">0,00% </v>
          </cell>
          <cell r="N633">
            <v>1</v>
          </cell>
          <cell r="P633">
            <v>-0.2</v>
          </cell>
        </row>
        <row r="635">
          <cell r="L635">
            <v>-0.123633365586944</v>
          </cell>
          <cell r="N635">
            <v>-6.5962301063757764E-2</v>
          </cell>
          <cell r="P635">
            <v>-0.96082576334326242</v>
          </cell>
        </row>
        <row r="637">
          <cell r="L637" t="str">
            <v xml:space="preserve">0,00% </v>
          </cell>
          <cell r="N637">
            <v>1</v>
          </cell>
          <cell r="P637">
            <v>-36.124551002615519</v>
          </cell>
        </row>
        <row r="639">
          <cell r="L639" t="str">
            <v xml:space="preserve">0,00% </v>
          </cell>
          <cell r="N639" t="str">
            <v xml:space="preserve">0,00% </v>
          </cell>
          <cell r="P639" t="str">
            <v xml:space="preserve">0,00% </v>
          </cell>
        </row>
        <row r="641">
          <cell r="L641">
            <v>0.60481011336575408</v>
          </cell>
          <cell r="N641">
            <v>0.89076060087218856</v>
          </cell>
          <cell r="P641">
            <v>-0.14068905124099274</v>
          </cell>
        </row>
        <row r="643">
          <cell r="L643" t="str">
            <v xml:space="preserve">0,00% </v>
          </cell>
          <cell r="N643" t="str">
            <v xml:space="preserve">0,00% </v>
          </cell>
          <cell r="P643" t="str">
            <v xml:space="preserve">0,00% </v>
          </cell>
        </row>
        <row r="645">
          <cell r="L645">
            <v>-0.13289400244974398</v>
          </cell>
          <cell r="N645">
            <v>-0.60054363428492352</v>
          </cell>
          <cell r="P645">
            <v>-0.87573073919510891</v>
          </cell>
        </row>
        <row r="647">
          <cell r="L647">
            <v>0.15554789755326831</v>
          </cell>
          <cell r="N647">
            <v>-3.1771663701671717</v>
          </cell>
          <cell r="P647">
            <v>0.55377572984031254</v>
          </cell>
        </row>
        <row r="649">
          <cell r="L649" t="str">
            <v xml:space="preserve">0,00% </v>
          </cell>
          <cell r="N649" t="str">
            <v xml:space="preserve">0,00% </v>
          </cell>
          <cell r="P649">
            <v>1</v>
          </cell>
        </row>
        <row r="651">
          <cell r="L651">
            <v>0.15554789755326831</v>
          </cell>
          <cell r="N651" t="str">
            <v xml:space="preserve">0,00% </v>
          </cell>
          <cell r="P651" t="str">
            <v xml:space="preserve">0,00% </v>
          </cell>
        </row>
        <row r="653">
          <cell r="L653" t="str">
            <v xml:space="preserve">0,00% </v>
          </cell>
          <cell r="N653">
            <v>1</v>
          </cell>
          <cell r="P653">
            <v>0.53805783169413723</v>
          </cell>
        </row>
        <row r="655">
          <cell r="L655">
            <v>0.13141941238059537</v>
          </cell>
          <cell r="N655">
            <v>5.4109900090826467E-2</v>
          </cell>
          <cell r="P655">
            <v>-0.31626703615373764</v>
          </cell>
        </row>
        <row r="657">
          <cell r="L657">
            <v>0.13141941238059537</v>
          </cell>
          <cell r="N657">
            <v>5.4109900090826467E-2</v>
          </cell>
          <cell r="P657">
            <v>-0.31626703615373764</v>
          </cell>
        </row>
        <row r="659">
          <cell r="L659">
            <v>-0.63674416250650545</v>
          </cell>
          <cell r="N659">
            <v>0.32321542251567426</v>
          </cell>
          <cell r="P659">
            <v>-0.76398435815919352</v>
          </cell>
        </row>
        <row r="661">
          <cell r="L661" t="str">
            <v xml:space="preserve">0,00% </v>
          </cell>
          <cell r="N661">
            <v>1</v>
          </cell>
          <cell r="P661">
            <v>-5.6786181406456393</v>
          </cell>
        </row>
        <row r="663">
          <cell r="L663">
            <v>0.11431924484220214</v>
          </cell>
          <cell r="N663">
            <v>-0.20904695520608169</v>
          </cell>
          <cell r="P663">
            <v>-0.21840795948595279</v>
          </cell>
        </row>
        <row r="665">
          <cell r="L665" t="str">
            <v xml:space="preserve">0,00% </v>
          </cell>
          <cell r="N665" t="str">
            <v xml:space="preserve">0,00% </v>
          </cell>
          <cell r="P665">
            <v>1</v>
          </cell>
        </row>
        <row r="667">
          <cell r="L667" t="str">
            <v xml:space="preserve">0,00% </v>
          </cell>
          <cell r="N667" t="str">
            <v xml:space="preserve">0,00% </v>
          </cell>
          <cell r="P667">
            <v>1</v>
          </cell>
        </row>
        <row r="669">
          <cell r="L669" t="str">
            <v xml:space="preserve">0,00% </v>
          </cell>
          <cell r="N669">
            <v>1</v>
          </cell>
          <cell r="P669">
            <v>-8.476923076923077</v>
          </cell>
        </row>
        <row r="671">
          <cell r="L671" t="str">
            <v xml:space="preserve">0,00% </v>
          </cell>
          <cell r="N671">
            <v>1</v>
          </cell>
          <cell r="P671">
            <v>0.25842696629213485</v>
          </cell>
        </row>
        <row r="673">
          <cell r="L673" t="str">
            <v xml:space="preserve">0,00% </v>
          </cell>
          <cell r="N673" t="str">
            <v xml:space="preserve">0,00% </v>
          </cell>
          <cell r="P673" t="str">
            <v xml:space="preserve">0,00% </v>
          </cell>
        </row>
        <row r="675">
          <cell r="L675" t="str">
            <v xml:space="preserve">0,00% </v>
          </cell>
          <cell r="N675">
            <v>1</v>
          </cell>
          <cell r="P675">
            <v>0.66270809756895677</v>
          </cell>
        </row>
        <row r="677">
          <cell r="L677">
            <v>-1.3726320871357829</v>
          </cell>
          <cell r="N677">
            <v>-0.86237588333506898</v>
          </cell>
          <cell r="P677" t="str">
            <v xml:space="preserve">0,00% </v>
          </cell>
        </row>
        <row r="679">
          <cell r="L679">
            <v>0.28717355953300583</v>
          </cell>
          <cell r="N679">
            <v>3.0586489982759184E-2</v>
          </cell>
          <cell r="P679">
            <v>-0.94991942663159534</v>
          </cell>
        </row>
        <row r="681">
          <cell r="L681">
            <v>0.1266092572658773</v>
          </cell>
          <cell r="N681">
            <v>0.57599269739844816</v>
          </cell>
          <cell r="P681">
            <v>-0.60630498533724342</v>
          </cell>
        </row>
        <row r="683">
          <cell r="L683">
            <v>0.1850370074014803</v>
          </cell>
          <cell r="N683">
            <v>0.88133183707684948</v>
          </cell>
          <cell r="P683">
            <v>-0.80635761809010187</v>
          </cell>
        </row>
        <row r="685">
          <cell r="L685" t="str">
            <v xml:space="preserve">0,00% </v>
          </cell>
          <cell r="N685">
            <v>1</v>
          </cell>
          <cell r="P685" t="str">
            <v xml:space="preserve">0,00% </v>
          </cell>
        </row>
        <row r="687">
          <cell r="L687">
            <v>0.3039696397391583</v>
          </cell>
          <cell r="N687">
            <v>-0.2572141526751584</v>
          </cell>
          <cell r="P687">
            <v>-0.62497679548358231</v>
          </cell>
        </row>
        <row r="689">
          <cell r="L689" t="str">
            <v xml:space="preserve">0,00% </v>
          </cell>
          <cell r="N689" t="str">
            <v xml:space="preserve">0,00% </v>
          </cell>
          <cell r="P689">
            <v>1</v>
          </cell>
        </row>
        <row r="691">
          <cell r="L691" t="str">
            <v xml:space="preserve">0,00% </v>
          </cell>
          <cell r="N691" t="str">
            <v xml:space="preserve">0,00% </v>
          </cell>
          <cell r="P691" t="str">
            <v xml:space="preserve">0,00% </v>
          </cell>
        </row>
        <row r="693">
          <cell r="L693" t="str">
            <v xml:space="preserve">0,00% </v>
          </cell>
          <cell r="N693">
            <v>1</v>
          </cell>
          <cell r="P693">
            <v>-1.2479128205128207</v>
          </cell>
        </row>
        <row r="695">
          <cell r="L695">
            <v>-1.3349679957435869</v>
          </cell>
          <cell r="N695">
            <v>-0.89869462052220273</v>
          </cell>
          <cell r="P695">
            <v>0.14677475776431761</v>
          </cell>
        </row>
        <row r="697">
          <cell r="L697">
            <v>0.35729775148622223</v>
          </cell>
          <cell r="N697">
            <v>-0.37489945746253139</v>
          </cell>
          <cell r="P697">
            <v>0.20099451242252581</v>
          </cell>
        </row>
        <row r="699">
          <cell r="L699">
            <v>-0.37055837563451777</v>
          </cell>
          <cell r="N699">
            <v>-2.0307692307692307</v>
          </cell>
          <cell r="P699">
            <v>0.99864194732218126</v>
          </cell>
        </row>
        <row r="701">
          <cell r="L701" t="str">
            <v xml:space="preserve">0,00% </v>
          </cell>
          <cell r="N701" t="str">
            <v xml:space="preserve">0,00% </v>
          </cell>
          <cell r="P701">
            <v>1</v>
          </cell>
        </row>
        <row r="703">
          <cell r="L703" t="str">
            <v xml:space="preserve">0,00% </v>
          </cell>
          <cell r="N703" t="str">
            <v xml:space="preserve">0,00% </v>
          </cell>
          <cell r="P703">
            <v>1</v>
          </cell>
        </row>
        <row r="705">
          <cell r="L705">
            <v>-0.13937008366058184</v>
          </cell>
          <cell r="N705">
            <v>0.21169415152156021</v>
          </cell>
          <cell r="P705">
            <v>-0.2848478977586813</v>
          </cell>
        </row>
        <row r="707">
          <cell r="L707">
            <v>0.10461556848905379</v>
          </cell>
          <cell r="N707">
            <v>2.2328041808018714E-2</v>
          </cell>
          <cell r="P707">
            <v>-0.31115616657252265</v>
          </cell>
        </row>
        <row r="709">
          <cell r="L709">
            <v>-1.0469530533183811</v>
          </cell>
          <cell r="N709">
            <v>0.73517639832882242</v>
          </cell>
          <cell r="P709">
            <v>-1.7516343510883288</v>
          </cell>
        </row>
        <row r="711">
          <cell r="L711">
            <v>0.62378971424853513</v>
          </cell>
          <cell r="N711">
            <v>0.46677484317869089</v>
          </cell>
          <cell r="P711">
            <v>-1.7852366726322169</v>
          </cell>
        </row>
        <row r="713">
          <cell r="L713">
            <v>0.44682360362720075</v>
          </cell>
          <cell r="N713">
            <v>-0.51573306344333469</v>
          </cell>
          <cell r="P713">
            <v>-0.56211135154725622</v>
          </cell>
        </row>
        <row r="715">
          <cell r="L715" t="str">
            <v xml:space="preserve">0,00% </v>
          </cell>
          <cell r="N715">
            <v>1</v>
          </cell>
          <cell r="P715">
            <v>-7.7565217391304344</v>
          </cell>
        </row>
        <row r="717">
          <cell r="L717" t="str">
            <v xml:space="preserve">0,00% </v>
          </cell>
          <cell r="N717">
            <v>1</v>
          </cell>
          <cell r="P717">
            <v>-7.955223880597015</v>
          </cell>
        </row>
        <row r="719">
          <cell r="L719">
            <v>0.58491765745630453</v>
          </cell>
          <cell r="N719">
            <v>-3.2431043080754188E-2</v>
          </cell>
          <cell r="P719">
            <v>-0.54420870402369248</v>
          </cell>
        </row>
        <row r="721">
          <cell r="L721" t="str">
            <v xml:space="preserve">0,00% </v>
          </cell>
          <cell r="N721">
            <v>1</v>
          </cell>
          <cell r="P721">
            <v>-0.72523499638467104</v>
          </cell>
        </row>
        <row r="723">
          <cell r="L723">
            <v>0.42822603233917694</v>
          </cell>
          <cell r="N723">
            <v>-0.53151609499232078</v>
          </cell>
          <cell r="P723">
            <v>-0.23234346728549388</v>
          </cell>
        </row>
        <row r="725">
          <cell r="L725" t="str">
            <v xml:space="preserve">0,00% </v>
          </cell>
          <cell r="N725">
            <v>1</v>
          </cell>
          <cell r="P725">
            <v>-30.55140994980421</v>
          </cell>
        </row>
        <row r="727">
          <cell r="L727">
            <v>0.27327322320146447</v>
          </cell>
          <cell r="N727">
            <v>-0.25420212858202323</v>
          </cell>
          <cell r="P727">
            <v>-1.3934589137255382</v>
          </cell>
        </row>
        <row r="729">
          <cell r="L729">
            <v>-0.56561368460481953</v>
          </cell>
          <cell r="N729">
            <v>0.561294916739702</v>
          </cell>
          <cell r="P729">
            <v>-2.2386020933120454</v>
          </cell>
        </row>
        <row r="731">
          <cell r="L731">
            <v>1</v>
          </cell>
          <cell r="N731" t="str">
            <v xml:space="preserve">0,00% </v>
          </cell>
          <cell r="P731" t="str">
            <v xml:space="preserve">0,00% </v>
          </cell>
        </row>
        <row r="733">
          <cell r="L733">
            <v>1</v>
          </cell>
          <cell r="N733" t="str">
            <v xml:space="preserve">0,00% </v>
          </cell>
          <cell r="P733">
            <v>1</v>
          </cell>
        </row>
        <row r="735">
          <cell r="L735" t="str">
            <v xml:space="preserve">0,00% </v>
          </cell>
          <cell r="N735" t="str">
            <v xml:space="preserve">0,00% </v>
          </cell>
          <cell r="P735">
            <v>1</v>
          </cell>
        </row>
        <row r="737">
          <cell r="L737">
            <v>0.31649847050805824</v>
          </cell>
          <cell r="N737">
            <v>-5.3345390834797529E-2</v>
          </cell>
          <cell r="P737">
            <v>-1.3434424424759388</v>
          </cell>
        </row>
        <row r="739">
          <cell r="L739" t="str">
            <v xml:space="preserve">0,00% </v>
          </cell>
          <cell r="N739" t="str">
            <v xml:space="preserve">0,00% </v>
          </cell>
          <cell r="P739" t="str">
            <v xml:space="preserve">0,00% </v>
          </cell>
        </row>
        <row r="741">
          <cell r="L741" t="str">
            <v xml:space="preserve">0,00% </v>
          </cell>
          <cell r="N741" t="str">
            <v xml:space="preserve">0,00% </v>
          </cell>
          <cell r="P741" t="str">
            <v xml:space="preserve">0,00% </v>
          </cell>
        </row>
        <row r="743">
          <cell r="L743">
            <v>-9.1944735021694798E-2</v>
          </cell>
          <cell r="N743">
            <v>0.16625557173062736</v>
          </cell>
          <cell r="P743">
            <v>-0.61293520782352517</v>
          </cell>
        </row>
        <row r="745">
          <cell r="L745">
            <v>6.5473994864951729E-2</v>
          </cell>
          <cell r="N745">
            <v>6.1376292265745411E-2</v>
          </cell>
          <cell r="P745">
            <v>-0.74368582572354791</v>
          </cell>
        </row>
        <row r="747">
          <cell r="L747">
            <v>1</v>
          </cell>
          <cell r="N747">
            <v>1.9029215550954739E-2</v>
          </cell>
          <cell r="P747">
            <v>-2.6581055607917063</v>
          </cell>
        </row>
        <row r="749">
          <cell r="L749">
            <v>1</v>
          </cell>
          <cell r="N749">
            <v>-0.79333028257636429</v>
          </cell>
          <cell r="P749" t="str">
            <v xml:space="preserve">0,00% </v>
          </cell>
        </row>
        <row r="751">
          <cell r="L751">
            <v>-1.0314130969103428</v>
          </cell>
          <cell r="N751">
            <v>0.34228892217680718</v>
          </cell>
          <cell r="P751">
            <v>-0.39854299270731319</v>
          </cell>
        </row>
        <row r="753">
          <cell r="L753" t="str">
            <v xml:space="preserve">0,00% </v>
          </cell>
          <cell r="N753">
            <v>1</v>
          </cell>
          <cell r="P753">
            <v>-3.6726153998526703E-2</v>
          </cell>
        </row>
        <row r="755">
          <cell r="L755">
            <v>0.44387448056180123</v>
          </cell>
          <cell r="N755">
            <v>0.25179222292597642</v>
          </cell>
          <cell r="P755">
            <v>-0.54123978053735511</v>
          </cell>
        </row>
        <row r="757">
          <cell r="L757">
            <v>0.44387448056180123</v>
          </cell>
          <cell r="N757">
            <v>0.25179222292597642</v>
          </cell>
          <cell r="P757">
            <v>-0.54123978053735511</v>
          </cell>
        </row>
        <row r="759">
          <cell r="L759" t="str">
            <v xml:space="preserve">0,00% </v>
          </cell>
          <cell r="N759" t="str">
            <v xml:space="preserve">0,00% </v>
          </cell>
          <cell r="P759">
            <v>1</v>
          </cell>
        </row>
        <row r="761">
          <cell r="L761" t="str">
            <v xml:space="preserve">0,00% </v>
          </cell>
          <cell r="N761" t="str">
            <v xml:space="preserve">0,00% </v>
          </cell>
          <cell r="P761">
            <v>1</v>
          </cell>
        </row>
        <row r="763">
          <cell r="L763">
            <v>1</v>
          </cell>
          <cell r="N763" t="str">
            <v xml:space="preserve">0,00% </v>
          </cell>
          <cell r="P763">
            <v>1</v>
          </cell>
        </row>
        <row r="765">
          <cell r="L765">
            <v>1</v>
          </cell>
          <cell r="N765" t="str">
            <v xml:space="preserve">0,00% </v>
          </cell>
          <cell r="P765">
            <v>1</v>
          </cell>
        </row>
        <row r="767">
          <cell r="L767">
            <v>0.27793788159443705</v>
          </cell>
          <cell r="N767">
            <v>0.19440157721200593</v>
          </cell>
          <cell r="P767">
            <v>-0.7250801878771177</v>
          </cell>
        </row>
        <row r="769">
          <cell r="L769">
            <v>0.27793788159443705</v>
          </cell>
          <cell r="N769">
            <v>0.19440157721200593</v>
          </cell>
          <cell r="P769">
            <v>-0.7250801878771177</v>
          </cell>
        </row>
        <row r="771">
          <cell r="L771" t="str">
            <v xml:space="preserve">0,00% </v>
          </cell>
          <cell r="N771" t="str">
            <v xml:space="preserve">0,00% </v>
          </cell>
          <cell r="P771">
            <v>1</v>
          </cell>
        </row>
        <row r="773">
          <cell r="L773" t="str">
            <v xml:space="preserve">0,00% </v>
          </cell>
          <cell r="N773" t="str">
            <v xml:space="preserve">0,00% </v>
          </cell>
          <cell r="P773">
            <v>1</v>
          </cell>
        </row>
        <row r="775">
          <cell r="L775" t="str">
            <v xml:space="preserve">0,00% </v>
          </cell>
          <cell r="N775" t="str">
            <v xml:space="preserve">0,00% </v>
          </cell>
          <cell r="P775">
            <v>1</v>
          </cell>
        </row>
        <row r="777">
          <cell r="L777" t="str">
            <v xml:space="preserve">0,00% </v>
          </cell>
          <cell r="N777" t="str">
            <v xml:space="preserve">0,00% </v>
          </cell>
          <cell r="P777" t="str">
            <v xml:space="preserve">0,00% </v>
          </cell>
        </row>
        <row r="779">
          <cell r="L779" t="str">
            <v xml:space="preserve">0,00% </v>
          </cell>
          <cell r="N779" t="str">
            <v xml:space="preserve">0,00% </v>
          </cell>
          <cell r="P779" t="str">
            <v xml:space="preserve">0,00% </v>
          </cell>
        </row>
        <row r="781">
          <cell r="L781" t="str">
            <v xml:space="preserve">0,00% </v>
          </cell>
          <cell r="N781" t="str">
            <v xml:space="preserve">0,00% </v>
          </cell>
          <cell r="P781">
            <v>1</v>
          </cell>
        </row>
        <row r="783">
          <cell r="L783" t="str">
            <v xml:space="preserve">0,00% </v>
          </cell>
          <cell r="N783" t="str">
            <v xml:space="preserve">0,00% </v>
          </cell>
          <cell r="P783">
            <v>1</v>
          </cell>
        </row>
        <row r="786">
          <cell r="L786">
            <v>-0.54579358372924891</v>
          </cell>
          <cell r="N786">
            <v>0.36425369757163933</v>
          </cell>
          <cell r="P786">
            <v>-0.73918016435958367</v>
          </cell>
        </row>
        <row r="788">
          <cell r="L788">
            <v>-0.61541108388411625</v>
          </cell>
          <cell r="N788">
            <v>0.41756728086429412</v>
          </cell>
          <cell r="P788">
            <v>-0.94945561096373654</v>
          </cell>
        </row>
        <row r="790">
          <cell r="L790">
            <v>1</v>
          </cell>
          <cell r="N790">
            <v>0.19245249903789483</v>
          </cell>
          <cell r="P790" t="str">
            <v xml:space="preserve">0,00% </v>
          </cell>
        </row>
        <row r="792">
          <cell r="L792">
            <v>1</v>
          </cell>
          <cell r="N792">
            <v>0.19245249903789483</v>
          </cell>
          <cell r="P792" t="str">
            <v xml:space="preserve">0,00% </v>
          </cell>
        </row>
        <row r="794">
          <cell r="L794">
            <v>0.95849849833142786</v>
          </cell>
          <cell r="N794">
            <v>0.49919664690634763</v>
          </cell>
          <cell r="P794">
            <v>-0.57660981236396236</v>
          </cell>
        </row>
        <row r="796">
          <cell r="L796">
            <v>0.95849849833142786</v>
          </cell>
          <cell r="N796">
            <v>0.49919664690634763</v>
          </cell>
          <cell r="P796">
            <v>-0.57660981236396236</v>
          </cell>
        </row>
        <row r="798">
          <cell r="L798">
            <v>-0.86936596505847186</v>
          </cell>
          <cell r="N798">
            <v>0.43652214052637706</v>
          </cell>
          <cell r="P798">
            <v>-0.79255917021157196</v>
          </cell>
        </row>
        <row r="800">
          <cell r="L800" t="str">
            <v xml:space="preserve">0,00% </v>
          </cell>
          <cell r="N800">
            <v>1</v>
          </cell>
          <cell r="P800">
            <v>-1.7876473355002211</v>
          </cell>
        </row>
        <row r="802">
          <cell r="L802" t="str">
            <v xml:space="preserve">0,00% </v>
          </cell>
          <cell r="N802">
            <v>1</v>
          </cell>
          <cell r="P802">
            <v>-1.6309238076125494</v>
          </cell>
        </row>
        <row r="804">
          <cell r="L804" t="str">
            <v xml:space="preserve">0,00% </v>
          </cell>
          <cell r="N804" t="str">
            <v xml:space="preserve">0,00% </v>
          </cell>
          <cell r="P804">
            <v>1</v>
          </cell>
        </row>
        <row r="806">
          <cell r="L806" t="str">
            <v xml:space="preserve">0,00% </v>
          </cell>
          <cell r="N806">
            <v>1</v>
          </cell>
          <cell r="P806">
            <v>-2.3009687204141862</v>
          </cell>
        </row>
        <row r="808">
          <cell r="L808" t="str">
            <v xml:space="preserve">0,00% </v>
          </cell>
          <cell r="N808" t="str">
            <v xml:space="preserve">0,00% </v>
          </cell>
          <cell r="P808">
            <v>1</v>
          </cell>
        </row>
        <row r="810">
          <cell r="L810" t="str">
            <v xml:space="preserve">0,00% </v>
          </cell>
          <cell r="N810" t="str">
            <v xml:space="preserve">0,00% </v>
          </cell>
          <cell r="P810">
            <v>1</v>
          </cell>
        </row>
        <row r="812">
          <cell r="L812">
            <v>-2</v>
          </cell>
          <cell r="N812">
            <v>0.99965982047268431</v>
          </cell>
          <cell r="P812">
            <v>-1.7996421768707482</v>
          </cell>
        </row>
        <row r="814">
          <cell r="L814">
            <v>-2</v>
          </cell>
          <cell r="N814">
            <v>0.99965982047268431</v>
          </cell>
          <cell r="P814">
            <v>-1.7996421768707482</v>
          </cell>
        </row>
        <row r="816">
          <cell r="L816">
            <v>-0.50678263350691344</v>
          </cell>
          <cell r="N816">
            <v>-2.3001566766138533</v>
          </cell>
          <cell r="P816">
            <v>-0.15519113928205683</v>
          </cell>
        </row>
        <row r="818">
          <cell r="L818">
            <v>-0.50678263350691344</v>
          </cell>
          <cell r="N818">
            <v>-2.3001566766138533</v>
          </cell>
          <cell r="P818">
            <v>-0.15519113928205683</v>
          </cell>
        </row>
        <row r="820">
          <cell r="L820">
            <v>-1.5097436794481307</v>
          </cell>
          <cell r="N820">
            <v>0.65743447242339692</v>
          </cell>
          <cell r="P820">
            <v>-1.5175173889791729</v>
          </cell>
        </row>
        <row r="822">
          <cell r="L822" t="str">
            <v xml:space="preserve">0,00% </v>
          </cell>
          <cell r="N822" t="str">
            <v xml:space="preserve">0,00% </v>
          </cell>
          <cell r="P822">
            <v>1</v>
          </cell>
        </row>
        <row r="824">
          <cell r="L824" t="str">
            <v xml:space="preserve">0,00% </v>
          </cell>
          <cell r="N824">
            <v>1</v>
          </cell>
          <cell r="P824">
            <v>-3.6406738752114727</v>
          </cell>
        </row>
        <row r="826">
          <cell r="L826">
            <v>1</v>
          </cell>
          <cell r="N826">
            <v>0.73841223108155152</v>
          </cell>
          <cell r="P826">
            <v>-3.7657884443098513</v>
          </cell>
        </row>
        <row r="828">
          <cell r="L828" t="str">
            <v xml:space="preserve">0,00% </v>
          </cell>
          <cell r="N828">
            <v>1</v>
          </cell>
          <cell r="P828">
            <v>-7.7189625367503245</v>
          </cell>
        </row>
        <row r="830">
          <cell r="L830">
            <v>0.8651151825407517</v>
          </cell>
          <cell r="N830">
            <v>0.2477324550291361</v>
          </cell>
          <cell r="P830">
            <v>-3.9803787964820629</v>
          </cell>
        </row>
        <row r="832">
          <cell r="L832" t="str">
            <v xml:space="preserve">0,00% </v>
          </cell>
          <cell r="N832">
            <v>1</v>
          </cell>
          <cell r="P832">
            <v>-4.3357420789327403E-2</v>
          </cell>
        </row>
        <row r="834">
          <cell r="L834">
            <v>-0.25972358690421488</v>
          </cell>
          <cell r="N834">
            <v>-10.098137844406958</v>
          </cell>
          <cell r="P834">
            <v>0.82853657313402196</v>
          </cell>
        </row>
        <row r="836">
          <cell r="L836">
            <v>0.78875098460817916</v>
          </cell>
          <cell r="N836">
            <v>-1.2816715321730601</v>
          </cell>
          <cell r="P836">
            <v>-0.16462898597948966</v>
          </cell>
        </row>
        <row r="838">
          <cell r="L838" t="str">
            <v xml:space="preserve">0,00% </v>
          </cell>
          <cell r="N838" t="str">
            <v xml:space="preserve">0,00% </v>
          </cell>
          <cell r="P838">
            <v>1</v>
          </cell>
        </row>
        <row r="840">
          <cell r="L840" t="str">
            <v xml:space="preserve">0,00% </v>
          </cell>
          <cell r="N840" t="str">
            <v xml:space="preserve">0,00% </v>
          </cell>
          <cell r="P840">
            <v>1</v>
          </cell>
        </row>
        <row r="842">
          <cell r="L842">
            <v>1</v>
          </cell>
          <cell r="N842">
            <v>0.29708898035863074</v>
          </cell>
          <cell r="P842">
            <v>-4.7595556218311961</v>
          </cell>
        </row>
        <row r="844">
          <cell r="L844" t="str">
            <v xml:space="preserve">0,00% </v>
          </cell>
          <cell r="N844">
            <v>1</v>
          </cell>
          <cell r="P844">
            <v>-2.6623076923076923</v>
          </cell>
        </row>
        <row r="846">
          <cell r="L846" t="str">
            <v xml:space="preserve">0,00% </v>
          </cell>
          <cell r="N846">
            <v>1</v>
          </cell>
          <cell r="P846">
            <v>0</v>
          </cell>
        </row>
        <row r="848">
          <cell r="L848" t="str">
            <v xml:space="preserve">0,00% </v>
          </cell>
          <cell r="N848">
            <v>1</v>
          </cell>
          <cell r="P848">
            <v>0</v>
          </cell>
        </row>
        <row r="850">
          <cell r="L850">
            <v>-6.7296682997556895E-2</v>
          </cell>
          <cell r="N850">
            <v>-0.71428571428571419</v>
          </cell>
          <cell r="P850">
            <v>0.45344781575165016</v>
          </cell>
        </row>
        <row r="852">
          <cell r="L852">
            <v>-6.7296682997556895E-2</v>
          </cell>
          <cell r="N852">
            <v>-0.71428571428571419</v>
          </cell>
          <cell r="P852">
            <v>0.45344781575165016</v>
          </cell>
        </row>
        <row r="854">
          <cell r="L854">
            <v>-6.7296682997556895E-2</v>
          </cell>
          <cell r="N854">
            <v>-0.71428571428571419</v>
          </cell>
          <cell r="P854">
            <v>0.45344781575165016</v>
          </cell>
        </row>
        <row r="856">
          <cell r="L856" t="str">
            <v xml:space="preserve">0,00% </v>
          </cell>
          <cell r="N856" t="str">
            <v xml:space="preserve">0,00% </v>
          </cell>
          <cell r="P856">
            <v>1</v>
          </cell>
        </row>
        <row r="858">
          <cell r="L858">
            <v>0</v>
          </cell>
          <cell r="N858">
            <v>-0.71428571428571419</v>
          </cell>
          <cell r="P858">
            <v>0.41666666666666663</v>
          </cell>
        </row>
        <row r="860">
          <cell r="L860" t="str">
            <v xml:space="preserve">0,00% </v>
          </cell>
          <cell r="N860" t="str">
            <v xml:space="preserve">0,00% </v>
          </cell>
          <cell r="P860" t="str">
            <v xml:space="preserve">0,00% </v>
          </cell>
        </row>
        <row r="862">
          <cell r="L862" t="str">
            <v xml:space="preserve">0,00% </v>
          </cell>
          <cell r="N862" t="str">
            <v xml:space="preserve">0,00% </v>
          </cell>
          <cell r="P862" t="str">
            <v xml:space="preserve">0,00% </v>
          </cell>
        </row>
        <row r="864">
          <cell r="L864" t="str">
            <v xml:space="preserve">0,00% </v>
          </cell>
          <cell r="N864" t="str">
            <v xml:space="preserve">0,00% </v>
          </cell>
          <cell r="P864" t="str">
            <v xml:space="preserve">0,00% </v>
          </cell>
        </row>
        <row r="866">
          <cell r="L866">
            <v>0.13408443583790228</v>
          </cell>
          <cell r="N866">
            <v>3.7167399527248124E-2</v>
          </cell>
          <cell r="P866">
            <v>-0.52193012510355929</v>
          </cell>
        </row>
        <row r="877">
          <cell r="L877">
            <v>0.16939687243993948</v>
          </cell>
          <cell r="N877">
            <v>1.073179511410087E-2</v>
          </cell>
          <cell r="P877">
            <v>-0.5067185454211971</v>
          </cell>
        </row>
        <row r="878">
          <cell r="L878">
            <v>0.15565412094523473</v>
          </cell>
          <cell r="N878">
            <v>5.2641773163814534E-2</v>
          </cell>
          <cell r="P878">
            <v>-0.37437541563248877</v>
          </cell>
        </row>
        <row r="879">
          <cell r="L879">
            <v>-3.7654480199050564</v>
          </cell>
          <cell r="N879">
            <v>-4.717448885449838</v>
          </cell>
          <cell r="P879">
            <v>0.96329764153403641</v>
          </cell>
        </row>
        <row r="882">
          <cell r="L882">
            <v>-0.54579358372924891</v>
          </cell>
          <cell r="N882">
            <v>0.36425369757163933</v>
          </cell>
          <cell r="P882">
            <v>-0.73918016435958367</v>
          </cell>
        </row>
        <row r="883">
          <cell r="L883">
            <v>-0.61541108388411625</v>
          </cell>
          <cell r="N883">
            <v>0.41756728086429412</v>
          </cell>
          <cell r="P883">
            <v>-0.94945561096373654</v>
          </cell>
        </row>
        <row r="884">
          <cell r="L884" t="str">
            <v xml:space="preserve">0,00% </v>
          </cell>
          <cell r="N884" t="str">
            <v xml:space="preserve">0,00% </v>
          </cell>
          <cell r="P884" t="str">
            <v xml:space="preserve">0,00% </v>
          </cell>
        </row>
        <row r="885">
          <cell r="L885">
            <v>-6.7296682997556895E-2</v>
          </cell>
          <cell r="N885">
            <v>-0.71428571428571419</v>
          </cell>
          <cell r="P885">
            <v>0.45344781575165016</v>
          </cell>
        </row>
        <row r="886">
          <cell r="L886" t="str">
            <v xml:space="preserve">0,00% </v>
          </cell>
          <cell r="N886" t="str">
            <v xml:space="preserve">0,00% </v>
          </cell>
          <cell r="P886" t="str">
            <v xml:space="preserve">0,00% </v>
          </cell>
        </row>
        <row r="888">
          <cell r="L888" t="str">
            <v xml:space="preserve">0,00% </v>
          </cell>
          <cell r="N888" t="str">
            <v xml:space="preserve">0,00% </v>
          </cell>
          <cell r="P888" t="str">
            <v xml:space="preserve">0,00% </v>
          </cell>
        </row>
        <row r="889">
          <cell r="L889" t="str">
            <v xml:space="preserve">0,00% </v>
          </cell>
          <cell r="N889" t="str">
            <v xml:space="preserve">0,00% </v>
          </cell>
          <cell r="P889" t="str">
            <v xml:space="preserve">0,00% </v>
          </cell>
        </row>
        <row r="891">
          <cell r="L891">
            <v>0.13408443583790228</v>
          </cell>
          <cell r="N891">
            <v>3.7167399527248124E-2</v>
          </cell>
          <cell r="P891">
            <v>-0.52193012510355929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"/>
      <sheetName val="Dívida"/>
      <sheetName val="Projeções"/>
      <sheetName val="Parâmetros"/>
      <sheetName val="Metas"/>
      <sheetName val="MetasRPPS"/>
      <sheetName val="Metas PREF "/>
      <sheetName val=" Avaliação"/>
      <sheetName val="Comparação"/>
      <sheetName val=" Patrimônio"/>
      <sheetName val=" Alienação"/>
      <sheetName val="RPPS-Financeiro"/>
      <sheetName val="RPPS-Atuarial"/>
      <sheetName val="Renúncia"/>
      <sheetName val="DOCC"/>
      <sheetName val="DOCC(alternativa)"/>
      <sheetName val="Anexo Riscos"/>
      <sheetName val="Anexo III - Metas e Prioridades"/>
      <sheetName val="ANEXO II PROGRAMAS"/>
      <sheetName val="Anexo IV - Consdo Patrimôni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"/>
      <sheetName val="Dívida"/>
      <sheetName val="Projeções"/>
      <sheetName val="Parâmetros"/>
      <sheetName val="Metas"/>
      <sheetName val="MetasRPPS"/>
      <sheetName val="Metas PREF "/>
      <sheetName val=" Avaliação"/>
      <sheetName val="Comparação"/>
      <sheetName val=" Patrimônio"/>
      <sheetName val=" Alienação"/>
      <sheetName val="RPPS-Financeiro"/>
      <sheetName val="RPPS-Atuarial"/>
      <sheetName val="Renúncia"/>
      <sheetName val="DOCC"/>
      <sheetName val="DOCC(alternativa)"/>
      <sheetName val="Anexo Riscos"/>
      <sheetName val="Anexo III - Metas e Prioridades"/>
      <sheetName val="ANEXO II PROGRAMAS"/>
      <sheetName val="Anexo IV - Consdo Patrimônio"/>
      <sheetName val="Plan1"/>
    </sheetNames>
    <sheetDataSet>
      <sheetData sheetId="0">
        <row r="23">
          <cell r="D23">
            <v>0</v>
          </cell>
          <cell r="E23">
            <v>0</v>
          </cell>
          <cell r="F23">
            <v>0</v>
          </cell>
        </row>
        <row r="39">
          <cell r="D39">
            <v>0</v>
          </cell>
          <cell r="E39">
            <v>0</v>
          </cell>
        </row>
        <row r="52">
          <cell r="F52">
            <v>1860874.6799999978</v>
          </cell>
        </row>
      </sheetData>
      <sheetData sheetId="1"/>
      <sheetData sheetId="2">
        <row r="29">
          <cell r="G29">
            <v>0</v>
          </cell>
          <cell r="H29">
            <v>0</v>
          </cell>
          <cell r="I29">
            <v>0</v>
          </cell>
        </row>
        <row r="46">
          <cell r="G46">
            <v>0</v>
          </cell>
          <cell r="H46">
            <v>0</v>
          </cell>
          <cell r="I46">
            <v>0</v>
          </cell>
        </row>
        <row r="47">
          <cell r="G47">
            <v>4641411.9105599988</v>
          </cell>
          <cell r="H47">
            <v>4869769.3765595499</v>
          </cell>
          <cell r="I47">
            <v>5111796.9145745598</v>
          </cell>
        </row>
        <row r="59">
          <cell r="G59">
            <v>0</v>
          </cell>
          <cell r="H59">
            <v>0</v>
          </cell>
          <cell r="I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view="pageLayout" topLeftCell="A19" zoomScale="55" zoomScalePageLayoutView="55" workbookViewId="0">
      <selection activeCell="H10" sqref="H10"/>
    </sheetView>
  </sheetViews>
  <sheetFormatPr defaultRowHeight="18" customHeight="1" x14ac:dyDescent="0.25"/>
  <cols>
    <col min="1" max="1" width="38.5703125" style="31" customWidth="1"/>
    <col min="2" max="2" width="24" style="31" customWidth="1"/>
    <col min="3" max="3" width="24.28515625" style="31" customWidth="1"/>
    <col min="4" max="5" width="25" style="31" customWidth="1"/>
    <col min="6" max="6" width="23.42578125" style="31" customWidth="1"/>
    <col min="7" max="7" width="15.5703125" style="31" customWidth="1"/>
    <col min="8" max="8" width="14.42578125" style="31" customWidth="1"/>
    <col min="9" max="9" width="14.7109375" style="31" customWidth="1"/>
    <col min="10" max="16384" width="9.140625" style="31"/>
  </cols>
  <sheetData>
    <row r="1" spans="1:6" s="117" customFormat="1" ht="18" customHeight="1" x14ac:dyDescent="0.3">
      <c r="A1" s="1250" t="s">
        <v>2228</v>
      </c>
      <c r="B1" s="1250"/>
      <c r="C1" s="1250"/>
      <c r="D1" s="1250"/>
      <c r="E1" s="1250"/>
      <c r="F1" s="1250"/>
    </row>
    <row r="2" spans="1:6" s="117" customFormat="1" ht="18" customHeight="1" x14ac:dyDescent="0.2">
      <c r="A2" s="139"/>
      <c r="B2" s="139"/>
      <c r="C2" s="139"/>
      <c r="D2" s="139"/>
      <c r="E2" s="139"/>
      <c r="F2" s="139"/>
    </row>
    <row r="3" spans="1:6" s="117" customFormat="1" ht="18" customHeight="1" x14ac:dyDescent="0.25">
      <c r="A3" s="1249" t="s">
        <v>2229</v>
      </c>
      <c r="B3" s="1249"/>
      <c r="C3" s="1249"/>
      <c r="D3" s="1249"/>
      <c r="E3" s="1249"/>
      <c r="F3" s="1249"/>
    </row>
    <row r="4" spans="1:6" s="117" customFormat="1" ht="18" customHeight="1" x14ac:dyDescent="0.2">
      <c r="A4" s="275"/>
      <c r="B4" s="275"/>
      <c r="C4" s="275"/>
      <c r="D4" s="275"/>
      <c r="E4" s="275"/>
      <c r="F4" s="275"/>
    </row>
    <row r="5" spans="1:6" s="117" customFormat="1" ht="48.75" customHeight="1" x14ac:dyDescent="0.2">
      <c r="A5" s="276" t="s">
        <v>215</v>
      </c>
      <c r="B5" s="277" t="s">
        <v>980</v>
      </c>
      <c r="C5" s="277" t="s">
        <v>2132</v>
      </c>
      <c r="D5" s="277" t="s">
        <v>6571</v>
      </c>
      <c r="E5" s="277" t="s">
        <v>6572</v>
      </c>
      <c r="F5" s="277" t="s">
        <v>6570</v>
      </c>
    </row>
    <row r="6" spans="1:6" s="117" customFormat="1" ht="18" customHeight="1" x14ac:dyDescent="0.2">
      <c r="A6" s="278" t="s">
        <v>216</v>
      </c>
      <c r="B6" s="279">
        <f>SUM(B7:B14)</f>
        <v>12910153.609999999</v>
      </c>
      <c r="C6" s="279">
        <f>SUM(C7:C14)</f>
        <v>13736513.129999999</v>
      </c>
      <c r="D6" s="279">
        <f>SUM(D7:D14)</f>
        <v>14815035.969999999</v>
      </c>
      <c r="E6" s="279">
        <f>SUM(E7:E14)</f>
        <v>10121183.359999999</v>
      </c>
      <c r="F6" s="279">
        <f>SUM(F7:F14)</f>
        <v>15181775.040000001</v>
      </c>
    </row>
    <row r="7" spans="1:6" s="117" customFormat="1" ht="18" customHeight="1" x14ac:dyDescent="0.2">
      <c r="A7" s="280" t="s">
        <v>217</v>
      </c>
      <c r="B7" s="281">
        <v>281087.34999999998</v>
      </c>
      <c r="C7" s="281">
        <v>449604.78</v>
      </c>
      <c r="D7" s="281">
        <v>492598.84</v>
      </c>
      <c r="E7" s="281">
        <v>287238.08</v>
      </c>
      <c r="F7" s="281">
        <f>(E7)+(E7/8*4)</f>
        <v>430857.12</v>
      </c>
    </row>
    <row r="8" spans="1:6" s="117" customFormat="1" ht="18" customHeight="1" x14ac:dyDescent="0.2">
      <c r="A8" s="280" t="s">
        <v>218</v>
      </c>
      <c r="B8" s="281">
        <v>0</v>
      </c>
      <c r="C8" s="281">
        <v>0</v>
      </c>
      <c r="D8" s="281">
        <v>0</v>
      </c>
      <c r="E8" s="281">
        <v>0</v>
      </c>
      <c r="F8" s="281">
        <f t="shared" ref="F8:F14" si="0">(E8)+(E8/8*4)</f>
        <v>0</v>
      </c>
    </row>
    <row r="9" spans="1:6" s="117" customFormat="1" ht="18" customHeight="1" x14ac:dyDescent="0.2">
      <c r="A9" s="280" t="s">
        <v>219</v>
      </c>
      <c r="B9" s="281">
        <v>84234.43</v>
      </c>
      <c r="C9" s="281">
        <v>55089.07</v>
      </c>
      <c r="D9" s="281">
        <v>84814.37</v>
      </c>
      <c r="E9" s="281">
        <v>63323.83</v>
      </c>
      <c r="F9" s="281">
        <f t="shared" si="0"/>
        <v>94985.744999999995</v>
      </c>
    </row>
    <row r="10" spans="1:6" s="117" customFormat="1" ht="18" customHeight="1" x14ac:dyDescent="0.2">
      <c r="A10" s="280" t="s">
        <v>220</v>
      </c>
      <c r="B10" s="281">
        <v>0</v>
      </c>
      <c r="C10" s="281">
        <v>0</v>
      </c>
      <c r="D10" s="281">
        <v>0</v>
      </c>
      <c r="E10" s="281">
        <v>0</v>
      </c>
      <c r="F10" s="281">
        <f t="shared" si="0"/>
        <v>0</v>
      </c>
    </row>
    <row r="11" spans="1:6" s="117" customFormat="1" ht="18" customHeight="1" x14ac:dyDescent="0.2">
      <c r="A11" s="280" t="s">
        <v>221</v>
      </c>
      <c r="B11" s="281">
        <v>0</v>
      </c>
      <c r="C11" s="281">
        <v>0</v>
      </c>
      <c r="D11" s="281">
        <v>0</v>
      </c>
      <c r="E11" s="281">
        <v>0</v>
      </c>
      <c r="F11" s="281">
        <f t="shared" si="0"/>
        <v>0</v>
      </c>
    </row>
    <row r="12" spans="1:6" s="117" customFormat="1" ht="18" customHeight="1" x14ac:dyDescent="0.2">
      <c r="A12" s="280" t="s">
        <v>222</v>
      </c>
      <c r="B12" s="281">
        <v>75127.350000000006</v>
      </c>
      <c r="C12" s="281">
        <v>75156.490000000005</v>
      </c>
      <c r="D12" s="281">
        <v>135503.47</v>
      </c>
      <c r="E12" s="281">
        <v>46371.86</v>
      </c>
      <c r="F12" s="281">
        <f t="shared" si="0"/>
        <v>69557.790000000008</v>
      </c>
    </row>
    <row r="13" spans="1:6" s="117" customFormat="1" ht="18" customHeight="1" x14ac:dyDescent="0.2">
      <c r="A13" s="280" t="s">
        <v>223</v>
      </c>
      <c r="B13" s="281">
        <v>12281083.279999999</v>
      </c>
      <c r="C13" s="281">
        <v>12885662.43</v>
      </c>
      <c r="D13" s="281">
        <v>13891100.52</v>
      </c>
      <c r="E13" s="281">
        <v>9507958.9000000004</v>
      </c>
      <c r="F13" s="281">
        <f t="shared" si="0"/>
        <v>14261938.350000001</v>
      </c>
    </row>
    <row r="14" spans="1:6" s="117" customFormat="1" ht="18" customHeight="1" x14ac:dyDescent="0.2">
      <c r="A14" s="280" t="s">
        <v>224</v>
      </c>
      <c r="B14" s="281">
        <v>188621.2</v>
      </c>
      <c r="C14" s="281">
        <v>271000.36</v>
      </c>
      <c r="D14" s="281">
        <v>211018.77</v>
      </c>
      <c r="E14" s="281">
        <v>216290.69</v>
      </c>
      <c r="F14" s="281">
        <f t="shared" si="0"/>
        <v>324436.03500000003</v>
      </c>
    </row>
    <row r="15" spans="1:6" s="117" customFormat="1" ht="18" customHeight="1" x14ac:dyDescent="0.2">
      <c r="A15" s="278" t="s">
        <v>225</v>
      </c>
      <c r="B15" s="279">
        <f>SUM(B16:B20)</f>
        <v>554161.94999999995</v>
      </c>
      <c r="C15" s="279">
        <f>SUM(C16:C20)</f>
        <v>388180.32000000007</v>
      </c>
      <c r="D15" s="279">
        <f>SUM(D16:D20)</f>
        <v>619514.81000000006</v>
      </c>
      <c r="E15" s="279">
        <f>SUM(E16:E20)</f>
        <v>292841.08999999997</v>
      </c>
      <c r="F15" s="279">
        <f>SUM(F16:F20)</f>
        <v>439261.63500000001</v>
      </c>
    </row>
    <row r="16" spans="1:6" s="117" customFormat="1" ht="18" customHeight="1" x14ac:dyDescent="0.2">
      <c r="A16" s="280" t="s">
        <v>226</v>
      </c>
      <c r="B16" s="281">
        <v>0</v>
      </c>
      <c r="C16" s="281">
        <v>0</v>
      </c>
      <c r="D16" s="281">
        <v>0</v>
      </c>
      <c r="E16" s="281">
        <v>0</v>
      </c>
      <c r="F16" s="281">
        <f>(E16)+(E16/8*4)</f>
        <v>0</v>
      </c>
    </row>
    <row r="17" spans="1:6" s="117" customFormat="1" ht="18" customHeight="1" x14ac:dyDescent="0.2">
      <c r="A17" s="280" t="s">
        <v>227</v>
      </c>
      <c r="B17" s="281">
        <v>0</v>
      </c>
      <c r="C17" s="281">
        <v>47509.2</v>
      </c>
      <c r="D17" s="281">
        <v>102750</v>
      </c>
      <c r="E17" s="281">
        <v>0</v>
      </c>
      <c r="F17" s="281">
        <f>(E17)+(E17/8*4)</f>
        <v>0</v>
      </c>
    </row>
    <row r="18" spans="1:6" s="117" customFormat="1" ht="18" customHeight="1" x14ac:dyDescent="0.2">
      <c r="A18" s="280" t="s">
        <v>228</v>
      </c>
      <c r="B18" s="281">
        <v>0</v>
      </c>
      <c r="C18" s="281">
        <v>0</v>
      </c>
      <c r="D18" s="281">
        <v>0</v>
      </c>
      <c r="E18" s="281">
        <v>0</v>
      </c>
      <c r="F18" s="281">
        <f>(E18)+(E18/8*4)</f>
        <v>0</v>
      </c>
    </row>
    <row r="19" spans="1:6" s="117" customFormat="1" ht="18" customHeight="1" x14ac:dyDescent="0.2">
      <c r="A19" s="280" t="s">
        <v>229</v>
      </c>
      <c r="B19" s="281">
        <v>539362</v>
      </c>
      <c r="C19" s="281">
        <v>319076.59000000003</v>
      </c>
      <c r="D19" s="281">
        <v>468253.75</v>
      </c>
      <c r="E19" s="281">
        <v>250000</v>
      </c>
      <c r="F19" s="281">
        <f>(E19)+(E19/8*4)</f>
        <v>375000</v>
      </c>
    </row>
    <row r="20" spans="1:6" s="117" customFormat="1" ht="18" customHeight="1" x14ac:dyDescent="0.2">
      <c r="A20" s="280" t="s">
        <v>230</v>
      </c>
      <c r="B20" s="281">
        <v>14799.95</v>
      </c>
      <c r="C20" s="281">
        <v>21594.53</v>
      </c>
      <c r="D20" s="281">
        <v>48511.06</v>
      </c>
      <c r="E20" s="281">
        <v>42841.09</v>
      </c>
      <c r="F20" s="281">
        <f>(E20)+(E20/8*4)</f>
        <v>64261.634999999995</v>
      </c>
    </row>
    <row r="21" spans="1:6" s="117" customFormat="1" ht="22.5" customHeight="1" x14ac:dyDescent="0.2">
      <c r="A21" s="278" t="s">
        <v>461</v>
      </c>
      <c r="B21" s="279">
        <f>SUM(B22:B24)</f>
        <v>0</v>
      </c>
      <c r="C21" s="279">
        <f>SUM(C22:C24)</f>
        <v>0</v>
      </c>
      <c r="D21" s="279">
        <f>SUM(D22:D24)</f>
        <v>0</v>
      </c>
      <c r="E21" s="279">
        <f>SUM(E22:E24)</f>
        <v>0</v>
      </c>
      <c r="F21" s="279">
        <f>SUM(F22:F24)</f>
        <v>0</v>
      </c>
    </row>
    <row r="22" spans="1:6" s="117" customFormat="1" ht="18" customHeight="1" x14ac:dyDescent="0.2">
      <c r="A22" s="280" t="s">
        <v>218</v>
      </c>
      <c r="B22" s="281">
        <v>0</v>
      </c>
      <c r="C22" s="281">
        <v>0</v>
      </c>
      <c r="D22" s="281">
        <v>0</v>
      </c>
      <c r="E22" s="281">
        <v>0</v>
      </c>
      <c r="F22" s="281">
        <f>(E22)+(E22/8*4)</f>
        <v>0</v>
      </c>
    </row>
    <row r="23" spans="1:6" s="117" customFormat="1" ht="18" customHeight="1" x14ac:dyDescent="0.2">
      <c r="A23" s="280" t="s">
        <v>219</v>
      </c>
      <c r="B23" s="281">
        <v>0</v>
      </c>
      <c r="C23" s="281">
        <v>0</v>
      </c>
      <c r="D23" s="281">
        <v>0</v>
      </c>
      <c r="E23" s="281">
        <v>0</v>
      </c>
      <c r="F23" s="281">
        <f>(E23)+(E23/8*4)</f>
        <v>0</v>
      </c>
    </row>
    <row r="24" spans="1:6" s="117" customFormat="1" ht="18" customHeight="1" x14ac:dyDescent="0.2">
      <c r="A24" s="280" t="s">
        <v>224</v>
      </c>
      <c r="B24" s="281">
        <v>0</v>
      </c>
      <c r="C24" s="281">
        <v>0</v>
      </c>
      <c r="D24" s="281">
        <v>0</v>
      </c>
      <c r="E24" s="281">
        <v>0</v>
      </c>
      <c r="F24" s="281">
        <f>(E24)+(E24/8*4)</f>
        <v>0</v>
      </c>
    </row>
    <row r="25" spans="1:6" s="117" customFormat="1" ht="20.25" customHeight="1" x14ac:dyDescent="0.2">
      <c r="A25" s="278" t="s">
        <v>460</v>
      </c>
      <c r="B25" s="279">
        <f>SUM(B26:B28)</f>
        <v>0</v>
      </c>
      <c r="C25" s="279">
        <f>SUM(C26:C28)</f>
        <v>0</v>
      </c>
      <c r="D25" s="279">
        <f>SUM(D26:D28)</f>
        <v>0</v>
      </c>
      <c r="E25" s="279">
        <f>SUM(E26:E28)</f>
        <v>0</v>
      </c>
      <c r="F25" s="279">
        <f>SUM(F26:F28)</f>
        <v>0</v>
      </c>
    </row>
    <row r="26" spans="1:6" s="117" customFormat="1" ht="18" customHeight="1" x14ac:dyDescent="0.2">
      <c r="A26" s="280" t="s">
        <v>227</v>
      </c>
      <c r="B26" s="281">
        <v>0</v>
      </c>
      <c r="C26" s="281">
        <v>0</v>
      </c>
      <c r="D26" s="281">
        <v>0</v>
      </c>
      <c r="E26" s="281">
        <v>0</v>
      </c>
      <c r="F26" s="281">
        <f>(E26)+(E26/8*4)</f>
        <v>0</v>
      </c>
    </row>
    <row r="27" spans="1:6" s="117" customFormat="1" ht="18" customHeight="1" x14ac:dyDescent="0.2">
      <c r="A27" s="280" t="s">
        <v>228</v>
      </c>
      <c r="B27" s="281">
        <v>0</v>
      </c>
      <c r="C27" s="281">
        <v>0</v>
      </c>
      <c r="D27" s="281">
        <v>0</v>
      </c>
      <c r="E27" s="281">
        <v>0</v>
      </c>
      <c r="F27" s="281">
        <f>(E27)+(E27/8*4)</f>
        <v>0</v>
      </c>
    </row>
    <row r="28" spans="1:6" s="117" customFormat="1" ht="18" customHeight="1" x14ac:dyDescent="0.2">
      <c r="A28" s="280" t="s">
        <v>230</v>
      </c>
      <c r="B28" s="281">
        <v>0</v>
      </c>
      <c r="C28" s="281">
        <v>0</v>
      </c>
      <c r="D28" s="281">
        <v>0</v>
      </c>
      <c r="E28" s="281">
        <v>0</v>
      </c>
      <c r="F28" s="281">
        <f>(E28)+(E28/8*4)</f>
        <v>0</v>
      </c>
    </row>
    <row r="29" spans="1:6" s="117" customFormat="1" ht="18" customHeight="1" x14ac:dyDescent="0.2">
      <c r="A29" s="278" t="s">
        <v>231</v>
      </c>
      <c r="B29" s="279">
        <v>1705249.92</v>
      </c>
      <c r="C29" s="279">
        <v>1788811.36</v>
      </c>
      <c r="D29" s="279">
        <v>1922108.55</v>
      </c>
      <c r="E29" s="279">
        <v>1355291.45</v>
      </c>
      <c r="F29" s="279">
        <f>(E29)+(E29/9*3)</f>
        <v>1807055.2666666666</v>
      </c>
    </row>
    <row r="30" spans="1:6" s="117" customFormat="1" ht="18" customHeight="1" x14ac:dyDescent="0.2">
      <c r="A30" s="278" t="s">
        <v>232</v>
      </c>
      <c r="B30" s="279">
        <f>B6+B15+B21+B25-B29</f>
        <v>11759065.639999999</v>
      </c>
      <c r="C30" s="279">
        <f>C6+C15+C21+C25-C29</f>
        <v>12335882.09</v>
      </c>
      <c r="D30" s="279">
        <f>D6+D15+D21+D25-D29</f>
        <v>13512442.229999999</v>
      </c>
      <c r="E30" s="279">
        <f>E6+E15+E21+E25-E29</f>
        <v>9058733</v>
      </c>
      <c r="F30" s="279">
        <f>F6+F15+F21+F25-F29</f>
        <v>13813981.408333335</v>
      </c>
    </row>
    <row r="31" spans="1:6" s="117" customFormat="1" ht="18" customHeight="1" x14ac:dyDescent="0.2">
      <c r="A31" s="140" t="s">
        <v>6585</v>
      </c>
      <c r="B31" s="159"/>
      <c r="C31" s="159"/>
      <c r="D31" s="159"/>
      <c r="E31" s="159"/>
      <c r="F31" s="159"/>
    </row>
    <row r="32" spans="1:6" s="117" customFormat="1" ht="18" customHeight="1" x14ac:dyDescent="0.2">
      <c r="A32" s="140"/>
      <c r="B32" s="159"/>
      <c r="C32" s="159"/>
      <c r="D32" s="159"/>
      <c r="E32" s="159"/>
      <c r="F32" s="159"/>
    </row>
    <row r="33" spans="1:7" ht="18" customHeight="1" x14ac:dyDescent="0.25">
      <c r="A33" s="140"/>
      <c r="B33" s="140"/>
      <c r="C33" s="141"/>
      <c r="D33" s="141"/>
      <c r="E33" s="141"/>
      <c r="F33" s="141"/>
    </row>
    <row r="34" spans="1:7" s="117" customFormat="1" ht="37.5" customHeight="1" x14ac:dyDescent="0.25">
      <c r="A34" s="285" t="s">
        <v>234</v>
      </c>
      <c r="B34" s="277" t="s">
        <v>980</v>
      </c>
      <c r="C34" s="277" t="s">
        <v>2132</v>
      </c>
      <c r="D34" s="277" t="s">
        <v>6571</v>
      </c>
      <c r="E34" s="277" t="s">
        <v>6572</v>
      </c>
      <c r="F34" s="277" t="s">
        <v>6570</v>
      </c>
      <c r="G34" s="142"/>
    </row>
    <row r="35" spans="1:7" ht="18" customHeight="1" x14ac:dyDescent="0.25">
      <c r="A35" s="282" t="s">
        <v>239</v>
      </c>
      <c r="B35" s="283">
        <v>5464630.8399999999</v>
      </c>
      <c r="C35" s="283">
        <v>5869472.71</v>
      </c>
      <c r="D35" s="283">
        <v>6312536.04</v>
      </c>
      <c r="E35" s="283">
        <v>4389600.1399999997</v>
      </c>
      <c r="F35" s="284">
        <f>(E35)+(E35/8*4)</f>
        <v>6584400.209999999</v>
      </c>
    </row>
    <row r="36" spans="1:7" ht="18" customHeight="1" x14ac:dyDescent="0.25">
      <c r="A36" s="282" t="s">
        <v>238</v>
      </c>
      <c r="B36" s="283">
        <v>13530.66</v>
      </c>
      <c r="C36" s="283">
        <v>14721.87</v>
      </c>
      <c r="D36" s="283">
        <v>13767.65</v>
      </c>
      <c r="E36" s="283">
        <v>492.18</v>
      </c>
      <c r="F36" s="284">
        <f t="shared" ref="F36:F46" si="1">(E36)+(E36/8*4)</f>
        <v>738.27</v>
      </c>
    </row>
    <row r="37" spans="1:7" ht="18" customHeight="1" x14ac:dyDescent="0.25">
      <c r="A37" s="282" t="s">
        <v>242</v>
      </c>
      <c r="B37" s="283">
        <v>80409.48</v>
      </c>
      <c r="C37" s="283">
        <v>83424.34</v>
      </c>
      <c r="D37" s="283">
        <v>94245.89</v>
      </c>
      <c r="E37" s="283">
        <v>52319.8</v>
      </c>
      <c r="F37" s="284">
        <f t="shared" si="1"/>
        <v>78479.700000000012</v>
      </c>
    </row>
    <row r="38" spans="1:7" ht="18" customHeight="1" x14ac:dyDescent="0.25">
      <c r="A38" s="282" t="s">
        <v>6573</v>
      </c>
      <c r="B38" s="283">
        <v>0</v>
      </c>
      <c r="C38" s="283">
        <v>712.27</v>
      </c>
      <c r="D38" s="283">
        <v>5676.65</v>
      </c>
      <c r="E38" s="283">
        <v>5073.05</v>
      </c>
      <c r="F38" s="284">
        <f t="shared" si="1"/>
        <v>7609.5750000000007</v>
      </c>
    </row>
    <row r="39" spans="1:7" ht="18" customHeight="1" x14ac:dyDescent="0.25">
      <c r="A39" s="282" t="s">
        <v>6574</v>
      </c>
      <c r="B39" s="283">
        <v>280172.53999999998</v>
      </c>
      <c r="C39" s="283">
        <v>199588.85</v>
      </c>
      <c r="D39" s="283">
        <v>212600.74</v>
      </c>
      <c r="E39" s="283">
        <v>174020.89</v>
      </c>
      <c r="F39" s="284">
        <f t="shared" si="1"/>
        <v>261031.33500000002</v>
      </c>
    </row>
    <row r="40" spans="1:7" ht="18" customHeight="1" x14ac:dyDescent="0.25">
      <c r="A40" s="282" t="s">
        <v>17</v>
      </c>
      <c r="B40" s="283">
        <v>27714.240000000002</v>
      </c>
      <c r="C40" s="283">
        <v>24476.52</v>
      </c>
      <c r="D40" s="283">
        <v>23805.72</v>
      </c>
      <c r="E40" s="283">
        <v>15960.55</v>
      </c>
      <c r="F40" s="284">
        <f t="shared" si="1"/>
        <v>23940.824999999997</v>
      </c>
    </row>
    <row r="41" spans="1:7" ht="18" customHeight="1" x14ac:dyDescent="0.25">
      <c r="A41" s="282" t="s">
        <v>19</v>
      </c>
      <c r="B41" s="283">
        <v>3006185.87</v>
      </c>
      <c r="C41" s="283">
        <v>3010534.36</v>
      </c>
      <c r="D41" s="283">
        <v>3149597.13</v>
      </c>
      <c r="E41" s="283">
        <v>2515669.7200000002</v>
      </c>
      <c r="F41" s="284">
        <f t="shared" si="1"/>
        <v>3773504.58</v>
      </c>
    </row>
    <row r="42" spans="1:7" ht="18" customHeight="1" x14ac:dyDescent="0.25">
      <c r="A42" s="282" t="s">
        <v>237</v>
      </c>
      <c r="B42" s="283">
        <v>194094.45</v>
      </c>
      <c r="C42" s="283">
        <v>218824.17</v>
      </c>
      <c r="D42" s="283">
        <v>242125.05</v>
      </c>
      <c r="E42" s="283">
        <v>238986.23</v>
      </c>
      <c r="F42" s="284">
        <f t="shared" si="1"/>
        <v>358479.34500000003</v>
      </c>
    </row>
    <row r="43" spans="1:7" ht="18" customHeight="1" x14ac:dyDescent="0.25">
      <c r="A43" s="282" t="s">
        <v>6575</v>
      </c>
      <c r="B43" s="283">
        <v>50418.18</v>
      </c>
      <c r="C43" s="283">
        <v>43686.13</v>
      </c>
      <c r="D43" s="283">
        <v>57033.88</v>
      </c>
      <c r="E43" s="283">
        <v>42532.32</v>
      </c>
      <c r="F43" s="284">
        <f t="shared" si="1"/>
        <v>63798.479999999996</v>
      </c>
    </row>
    <row r="44" spans="1:7" ht="18" customHeight="1" x14ac:dyDescent="0.25">
      <c r="A44" s="282" t="s">
        <v>20</v>
      </c>
      <c r="B44" s="283">
        <v>12342.03</v>
      </c>
      <c r="C44" s="283">
        <v>624.77</v>
      </c>
      <c r="D44" s="283">
        <v>1264.58</v>
      </c>
      <c r="E44" s="283">
        <v>1299.8599999999999</v>
      </c>
      <c r="F44" s="284">
        <f t="shared" si="1"/>
        <v>1949.79</v>
      </c>
    </row>
    <row r="45" spans="1:7" ht="18" customHeight="1" x14ac:dyDescent="0.25">
      <c r="A45" s="282" t="s">
        <v>18</v>
      </c>
      <c r="B45" s="283">
        <v>18033.77</v>
      </c>
      <c r="C45" s="283">
        <v>0</v>
      </c>
      <c r="D45" s="283">
        <v>18704.740000000002</v>
      </c>
      <c r="E45" s="283">
        <v>0</v>
      </c>
      <c r="F45" s="284">
        <f t="shared" si="1"/>
        <v>0</v>
      </c>
    </row>
    <row r="46" spans="1:7" ht="18" customHeight="1" x14ac:dyDescent="0.25">
      <c r="A46" s="282" t="s">
        <v>243</v>
      </c>
      <c r="B46" s="283">
        <v>2319983.56</v>
      </c>
      <c r="C46" s="283">
        <v>2403066.2599999998</v>
      </c>
      <c r="D46" s="283">
        <v>2518428.56</v>
      </c>
      <c r="E46" s="283">
        <v>1767692.87</v>
      </c>
      <c r="F46" s="284">
        <f t="shared" si="1"/>
        <v>2651539.3050000002</v>
      </c>
    </row>
    <row r="47" spans="1:7" ht="31.5" customHeight="1" x14ac:dyDescent="0.25">
      <c r="A47" s="1251" t="s">
        <v>6576</v>
      </c>
      <c r="B47" s="1251"/>
      <c r="C47" s="1251"/>
      <c r="D47" s="1251"/>
      <c r="E47" s="1251"/>
      <c r="F47" s="1251"/>
    </row>
    <row r="51" spans="1:9" s="117" customFormat="1" ht="33.75" customHeight="1" x14ac:dyDescent="0.2">
      <c r="A51" s="276" t="s">
        <v>215</v>
      </c>
      <c r="B51" s="277" t="s">
        <v>980</v>
      </c>
      <c r="C51" s="277" t="s">
        <v>2132</v>
      </c>
      <c r="D51" s="277" t="s">
        <v>6571</v>
      </c>
      <c r="E51" s="277" t="s">
        <v>6572</v>
      </c>
      <c r="F51" s="277" t="s">
        <v>6570</v>
      </c>
      <c r="G51" s="277" t="s">
        <v>2231</v>
      </c>
    </row>
    <row r="52" spans="1:9" s="117" customFormat="1" ht="18" customHeight="1" x14ac:dyDescent="0.2">
      <c r="A52" s="286" t="s">
        <v>246</v>
      </c>
      <c r="B52" s="287">
        <v>12560.82</v>
      </c>
      <c r="C52" s="287">
        <v>9995.35</v>
      </c>
      <c r="D52" s="287">
        <v>22670.46</v>
      </c>
      <c r="E52" s="287">
        <v>32474.37</v>
      </c>
      <c r="F52" s="281">
        <f>E52/8*12</f>
        <v>48711.555</v>
      </c>
      <c r="G52" s="287">
        <f>(B52+C52+D52+F52)/4</f>
        <v>23484.546249999999</v>
      </c>
    </row>
    <row r="53" spans="1:9" s="117" customFormat="1" ht="18" customHeight="1" x14ac:dyDescent="0.2">
      <c r="A53" s="286" t="s">
        <v>1940</v>
      </c>
      <c r="B53" s="287">
        <f>116844.79+4071.86</f>
        <v>120916.65</v>
      </c>
      <c r="C53" s="287">
        <v>176493.03</v>
      </c>
      <c r="D53" s="287">
        <v>188072.3</v>
      </c>
      <c r="E53" s="287">
        <v>115646.57</v>
      </c>
      <c r="F53" s="281">
        <f t="shared" ref="F53:F62" si="2">E53/8*12</f>
        <v>173469.85500000001</v>
      </c>
      <c r="G53" s="287">
        <f t="shared" ref="G53:G62" si="3">(B53+C53+D53+F53)/4</f>
        <v>164737.95874999999</v>
      </c>
    </row>
    <row r="54" spans="1:9" s="117" customFormat="1" ht="18" customHeight="1" x14ac:dyDescent="0.2">
      <c r="A54" s="286" t="s">
        <v>1939</v>
      </c>
      <c r="B54" s="287">
        <f>26117.68+5.25</f>
        <v>26122.93</v>
      </c>
      <c r="C54" s="287">
        <v>9920.2900000000009</v>
      </c>
      <c r="D54" s="287">
        <v>24324.74</v>
      </c>
      <c r="E54" s="287">
        <v>16935.599999999999</v>
      </c>
      <c r="F54" s="281">
        <f t="shared" si="2"/>
        <v>25403.399999999998</v>
      </c>
      <c r="G54" s="287">
        <f t="shared" si="3"/>
        <v>21442.84</v>
      </c>
    </row>
    <row r="55" spans="1:9" s="117" customFormat="1" ht="18" customHeight="1" x14ac:dyDescent="0.2">
      <c r="A55" s="286" t="s">
        <v>247</v>
      </c>
      <c r="B55" s="287">
        <v>63275.17</v>
      </c>
      <c r="C55" s="287">
        <v>154782.79</v>
      </c>
      <c r="D55" s="287">
        <v>183536.29</v>
      </c>
      <c r="E55" s="287">
        <v>71702.570000000007</v>
      </c>
      <c r="F55" s="281">
        <f>E55/8*12</f>
        <v>107553.85500000001</v>
      </c>
      <c r="G55" s="287">
        <f>(B55+C55+D55+F55)/4</f>
        <v>127287.02625</v>
      </c>
    </row>
    <row r="56" spans="1:9" s="117" customFormat="1" ht="18" customHeight="1" x14ac:dyDescent="0.2">
      <c r="A56" s="286" t="s">
        <v>248</v>
      </c>
      <c r="B56" s="287">
        <v>44011.67</v>
      </c>
      <c r="C56" s="287">
        <v>80669.97</v>
      </c>
      <c r="D56" s="287">
        <v>46829.8</v>
      </c>
      <c r="E56" s="287">
        <v>26803.87</v>
      </c>
      <c r="F56" s="281">
        <f t="shared" si="2"/>
        <v>40205.805</v>
      </c>
      <c r="G56" s="287">
        <f t="shared" si="3"/>
        <v>52929.311249999999</v>
      </c>
    </row>
    <row r="57" spans="1:9" s="117" customFormat="1" ht="18" customHeight="1" x14ac:dyDescent="0.2">
      <c r="A57" s="286" t="s">
        <v>13</v>
      </c>
      <c r="B57" s="287">
        <v>9671.94</v>
      </c>
      <c r="C57" s="287">
        <v>15512.61</v>
      </c>
      <c r="D57" s="287">
        <v>27036.83</v>
      </c>
      <c r="E57" s="287">
        <v>23675.1</v>
      </c>
      <c r="F57" s="281">
        <f>E57/8*12</f>
        <v>35512.649999999994</v>
      </c>
      <c r="G57" s="287">
        <f>(B57+C57+D57+F57)/4</f>
        <v>21933.5075</v>
      </c>
    </row>
    <row r="58" spans="1:9" s="117" customFormat="1" ht="18" customHeight="1" x14ac:dyDescent="0.2">
      <c r="A58" s="286" t="s">
        <v>12</v>
      </c>
      <c r="B58" s="287">
        <v>75127.350000000006</v>
      </c>
      <c r="C58" s="287">
        <v>75127.350000000006</v>
      </c>
      <c r="D58" s="287">
        <v>135503.47</v>
      </c>
      <c r="E58" s="287">
        <v>46371.86</v>
      </c>
      <c r="F58" s="281">
        <f t="shared" si="2"/>
        <v>69557.790000000008</v>
      </c>
      <c r="G58" s="287">
        <f t="shared" si="3"/>
        <v>88828.99000000002</v>
      </c>
    </row>
    <row r="59" spans="1:9" s="117" customFormat="1" ht="18" customHeight="1" x14ac:dyDescent="0.2">
      <c r="A59" s="286" t="s">
        <v>978</v>
      </c>
      <c r="B59" s="287">
        <v>1574.2</v>
      </c>
      <c r="C59" s="287">
        <v>1904.11</v>
      </c>
      <c r="D59" s="287">
        <v>5514.77</v>
      </c>
      <c r="E59" s="287">
        <v>1869.86</v>
      </c>
      <c r="F59" s="281">
        <f t="shared" si="2"/>
        <v>2804.79</v>
      </c>
      <c r="G59" s="287">
        <f t="shared" si="3"/>
        <v>2949.4674999999997</v>
      </c>
    </row>
    <row r="60" spans="1:9" s="117" customFormat="1" ht="18" customHeight="1" x14ac:dyDescent="0.2">
      <c r="A60" s="286" t="s">
        <v>979</v>
      </c>
      <c r="B60" s="287">
        <v>181.5</v>
      </c>
      <c r="C60" s="287">
        <v>947.91</v>
      </c>
      <c r="D60" s="287">
        <v>1907.85</v>
      </c>
      <c r="E60" s="287">
        <v>1140.53</v>
      </c>
      <c r="F60" s="281">
        <f t="shared" si="2"/>
        <v>1710.7950000000001</v>
      </c>
      <c r="G60" s="287">
        <f t="shared" si="3"/>
        <v>1187.0137500000001</v>
      </c>
    </row>
    <row r="61" spans="1:9" s="117" customFormat="1" ht="18" customHeight="1" x14ac:dyDescent="0.2">
      <c r="A61" s="286" t="s">
        <v>14</v>
      </c>
      <c r="B61" s="287">
        <v>936.4</v>
      </c>
      <c r="C61" s="287">
        <v>3253.3</v>
      </c>
      <c r="D61" s="287">
        <v>3080.04</v>
      </c>
      <c r="E61" s="287">
        <v>11126.7</v>
      </c>
      <c r="F61" s="281">
        <f t="shared" si="2"/>
        <v>16690.050000000003</v>
      </c>
      <c r="G61" s="287">
        <f t="shared" si="3"/>
        <v>5989.9475000000002</v>
      </c>
    </row>
    <row r="62" spans="1:9" s="117" customFormat="1" ht="18" customHeight="1" x14ac:dyDescent="0.2">
      <c r="A62" s="286" t="s">
        <v>15</v>
      </c>
      <c r="B62" s="287">
        <v>147</v>
      </c>
      <c r="C62" s="287">
        <v>1441.9</v>
      </c>
      <c r="D62" s="287">
        <v>15755.9</v>
      </c>
      <c r="E62" s="287">
        <v>11806.98</v>
      </c>
      <c r="F62" s="281">
        <f t="shared" si="2"/>
        <v>17710.47</v>
      </c>
      <c r="G62" s="287">
        <f t="shared" si="3"/>
        <v>8763.817500000001</v>
      </c>
    </row>
    <row r="64" spans="1:9" s="143" customFormat="1" ht="54.75" customHeight="1" x14ac:dyDescent="0.25">
      <c r="A64" s="1248" t="s">
        <v>215</v>
      </c>
      <c r="B64" s="1248"/>
      <c r="C64" s="1248"/>
      <c r="D64" s="276">
        <v>2012</v>
      </c>
      <c r="E64" s="276">
        <v>2013</v>
      </c>
      <c r="F64" s="276">
        <v>2014</v>
      </c>
      <c r="G64" s="277" t="s">
        <v>6572</v>
      </c>
      <c r="H64" s="277" t="s">
        <v>6570</v>
      </c>
      <c r="I64" s="277" t="s">
        <v>2231</v>
      </c>
    </row>
    <row r="65" spans="1:9" ht="18" customHeight="1" x14ac:dyDescent="0.25">
      <c r="A65" s="1232" t="s">
        <v>26</v>
      </c>
      <c r="B65" s="1232"/>
      <c r="C65" s="1232"/>
      <c r="D65" s="288">
        <v>96.51</v>
      </c>
      <c r="E65" s="288">
        <v>0</v>
      </c>
      <c r="F65" s="288">
        <v>0</v>
      </c>
      <c r="G65" s="288">
        <v>0</v>
      </c>
      <c r="H65" s="288">
        <f>G65/8*12</f>
        <v>0</v>
      </c>
      <c r="I65" s="288">
        <f>(D65+E65+F65+H65)/4</f>
        <v>24.127500000000001</v>
      </c>
    </row>
    <row r="66" spans="1:9" ht="18" customHeight="1" x14ac:dyDescent="0.25">
      <c r="A66" s="1232" t="s">
        <v>253</v>
      </c>
      <c r="B66" s="1232"/>
      <c r="C66" s="1232"/>
      <c r="D66" s="288">
        <v>21123.599999999999</v>
      </c>
      <c r="E66" s="288">
        <v>18441.38</v>
      </c>
      <c r="F66" s="288">
        <v>29353.54</v>
      </c>
      <c r="G66" s="288">
        <v>18254.93</v>
      </c>
      <c r="H66" s="288">
        <f t="shared" ref="H66:H104" si="4">G66/8*12</f>
        <v>27382.395</v>
      </c>
      <c r="I66" s="288">
        <f t="shared" ref="I66:I104" si="5">(D66+E66+F66+H66)/4</f>
        <v>24075.228749999998</v>
      </c>
    </row>
    <row r="67" spans="1:9" ht="18" customHeight="1" x14ac:dyDescent="0.25">
      <c r="A67" s="1232" t="s">
        <v>254</v>
      </c>
      <c r="B67" s="1232"/>
      <c r="C67" s="1232"/>
      <c r="D67" s="288">
        <v>1353.03</v>
      </c>
      <c r="E67" s="288">
        <v>1254.56</v>
      </c>
      <c r="F67" s="288">
        <v>1030.69</v>
      </c>
      <c r="G67" s="288">
        <v>620.79</v>
      </c>
      <c r="H67" s="288">
        <f t="shared" si="4"/>
        <v>931.18499999999995</v>
      </c>
      <c r="I67" s="288">
        <f t="shared" si="5"/>
        <v>1142.36625</v>
      </c>
    </row>
    <row r="68" spans="1:9" ht="18" customHeight="1" x14ac:dyDescent="0.25">
      <c r="A68" s="1232" t="s">
        <v>255</v>
      </c>
      <c r="B68" s="1232"/>
      <c r="C68" s="1232"/>
      <c r="D68" s="288">
        <v>1505.43</v>
      </c>
      <c r="E68" s="288">
        <v>364.51</v>
      </c>
      <c r="F68" s="288">
        <v>1199.72</v>
      </c>
      <c r="G68" s="288">
        <v>425.66</v>
      </c>
      <c r="H68" s="288">
        <f t="shared" si="4"/>
        <v>638.49</v>
      </c>
      <c r="I68" s="288">
        <f t="shared" si="5"/>
        <v>927.03749999999991</v>
      </c>
    </row>
    <row r="69" spans="1:9" ht="18" customHeight="1" x14ac:dyDescent="0.25">
      <c r="A69" s="1232" t="s">
        <v>256</v>
      </c>
      <c r="B69" s="1232"/>
      <c r="C69" s="1232"/>
      <c r="D69" s="288">
        <v>0</v>
      </c>
      <c r="E69" s="288">
        <v>0</v>
      </c>
      <c r="F69" s="288">
        <v>0</v>
      </c>
      <c r="G69" s="288">
        <v>0</v>
      </c>
      <c r="H69" s="288">
        <f t="shared" si="4"/>
        <v>0</v>
      </c>
      <c r="I69" s="288">
        <f>(D69+E69+F69+H69)/4</f>
        <v>0</v>
      </c>
    </row>
    <row r="70" spans="1:9" ht="18" customHeight="1" x14ac:dyDescent="0.25">
      <c r="A70" s="1232" t="s">
        <v>257</v>
      </c>
      <c r="B70" s="1232"/>
      <c r="C70" s="1232"/>
      <c r="D70" s="288">
        <v>923.54</v>
      </c>
      <c r="E70" s="288">
        <v>1149.8900000000001</v>
      </c>
      <c r="F70" s="288">
        <v>2918.52</v>
      </c>
      <c r="G70" s="288">
        <v>2233.87</v>
      </c>
      <c r="H70" s="288">
        <f t="shared" si="4"/>
        <v>3350.8049999999998</v>
      </c>
      <c r="I70" s="288">
        <f t="shared" si="5"/>
        <v>2085.6887500000003</v>
      </c>
    </row>
    <row r="71" spans="1:9" ht="18" customHeight="1" x14ac:dyDescent="0.25">
      <c r="A71" s="1232" t="s">
        <v>258</v>
      </c>
      <c r="B71" s="1232"/>
      <c r="C71" s="1232"/>
      <c r="D71" s="288">
        <v>517.14</v>
      </c>
      <c r="E71" s="288">
        <v>562.80999999999995</v>
      </c>
      <c r="F71" s="288">
        <v>378.15</v>
      </c>
      <c r="G71" s="288">
        <v>152.41999999999999</v>
      </c>
      <c r="H71" s="288">
        <f t="shared" si="4"/>
        <v>228.63</v>
      </c>
      <c r="I71" s="288">
        <f t="shared" si="5"/>
        <v>421.6825</v>
      </c>
    </row>
    <row r="72" spans="1:9" ht="18" customHeight="1" x14ac:dyDescent="0.25">
      <c r="A72" s="1232" t="s">
        <v>259</v>
      </c>
      <c r="B72" s="1232"/>
      <c r="C72" s="1232"/>
      <c r="D72" s="288">
        <v>0</v>
      </c>
      <c r="E72" s="288">
        <v>0</v>
      </c>
      <c r="F72" s="288">
        <v>0</v>
      </c>
      <c r="G72" s="288">
        <v>0</v>
      </c>
      <c r="H72" s="288">
        <f t="shared" si="4"/>
        <v>0</v>
      </c>
      <c r="I72" s="288">
        <f t="shared" si="5"/>
        <v>0</v>
      </c>
    </row>
    <row r="73" spans="1:9" ht="18" customHeight="1" x14ac:dyDescent="0.25">
      <c r="A73" s="1232" t="s">
        <v>260</v>
      </c>
      <c r="B73" s="1232"/>
      <c r="C73" s="1232"/>
      <c r="D73" s="288">
        <v>0</v>
      </c>
      <c r="E73" s="288">
        <v>0</v>
      </c>
      <c r="F73" s="288">
        <v>0</v>
      </c>
      <c r="G73" s="288">
        <v>0</v>
      </c>
      <c r="H73" s="288">
        <f t="shared" si="4"/>
        <v>0</v>
      </c>
      <c r="I73" s="288">
        <f t="shared" si="5"/>
        <v>0</v>
      </c>
    </row>
    <row r="74" spans="1:9" ht="18" customHeight="1" x14ac:dyDescent="0.25">
      <c r="A74" s="1232" t="s">
        <v>261</v>
      </c>
      <c r="B74" s="1232"/>
      <c r="C74" s="1232"/>
      <c r="D74" s="288">
        <v>0</v>
      </c>
      <c r="E74" s="288">
        <v>0</v>
      </c>
      <c r="F74" s="288">
        <v>0</v>
      </c>
      <c r="G74" s="288">
        <v>0</v>
      </c>
      <c r="H74" s="288">
        <f t="shared" si="4"/>
        <v>0</v>
      </c>
      <c r="I74" s="288">
        <f t="shared" si="5"/>
        <v>0</v>
      </c>
    </row>
    <row r="75" spans="1:9" ht="18" customHeight="1" x14ac:dyDescent="0.25">
      <c r="A75" s="1232" t="s">
        <v>262</v>
      </c>
      <c r="B75" s="1232"/>
      <c r="C75" s="1232"/>
      <c r="D75" s="288">
        <v>205.35</v>
      </c>
      <c r="E75" s="288">
        <v>667.65</v>
      </c>
      <c r="F75" s="288">
        <v>517.44000000000005</v>
      </c>
      <c r="G75" s="288">
        <v>88.19</v>
      </c>
      <c r="H75" s="288">
        <f t="shared" si="4"/>
        <v>132.285</v>
      </c>
      <c r="I75" s="288">
        <f t="shared" si="5"/>
        <v>380.68125000000003</v>
      </c>
    </row>
    <row r="76" spans="1:9" ht="18" customHeight="1" x14ac:dyDescent="0.25">
      <c r="A76" s="1232" t="s">
        <v>462</v>
      </c>
      <c r="B76" s="1232"/>
      <c r="C76" s="1232"/>
      <c r="D76" s="288">
        <v>1511.97</v>
      </c>
      <c r="E76" s="288">
        <v>2738.71</v>
      </c>
      <c r="F76" s="288">
        <v>956.1</v>
      </c>
      <c r="G76" s="288">
        <v>667.29</v>
      </c>
      <c r="H76" s="288">
        <f t="shared" si="4"/>
        <v>1000.9349999999999</v>
      </c>
      <c r="I76" s="288">
        <f>(D76+E76+F76+H76)/4</f>
        <v>1551.92875</v>
      </c>
    </row>
    <row r="77" spans="1:9" ht="18" customHeight="1" x14ac:dyDescent="0.25">
      <c r="A77" s="1232" t="s">
        <v>463</v>
      </c>
      <c r="B77" s="1232"/>
      <c r="C77" s="1232"/>
      <c r="D77" s="288">
        <v>53.25</v>
      </c>
      <c r="E77" s="288">
        <v>85.35</v>
      </c>
      <c r="F77" s="288">
        <v>174.41</v>
      </c>
      <c r="G77" s="288">
        <v>140.13999999999999</v>
      </c>
      <c r="H77" s="288">
        <f t="shared" si="4"/>
        <v>210.20999999999998</v>
      </c>
      <c r="I77" s="288">
        <f>(D77+E77+F77+H77)/4</f>
        <v>130.80500000000001</v>
      </c>
    </row>
    <row r="78" spans="1:9" ht="18" customHeight="1" x14ac:dyDescent="0.25">
      <c r="A78" s="1232" t="s">
        <v>931</v>
      </c>
      <c r="B78" s="1232"/>
      <c r="C78" s="1232"/>
      <c r="D78" s="288">
        <v>370.2</v>
      </c>
      <c r="E78" s="288">
        <v>3085.25</v>
      </c>
      <c r="F78" s="288">
        <v>4671.25</v>
      </c>
      <c r="G78" s="288">
        <v>525.38</v>
      </c>
      <c r="H78" s="288">
        <f t="shared" si="4"/>
        <v>788.06999999999994</v>
      </c>
      <c r="I78" s="288">
        <f>(D78+E78+F78+H78)/4</f>
        <v>2228.6925000000001</v>
      </c>
    </row>
    <row r="79" spans="1:9" ht="18" customHeight="1" x14ac:dyDescent="0.25">
      <c r="A79" s="1232" t="s">
        <v>6577</v>
      </c>
      <c r="B79" s="1232"/>
      <c r="C79" s="1232"/>
      <c r="D79" s="288">
        <v>0</v>
      </c>
      <c r="E79" s="288">
        <v>0</v>
      </c>
      <c r="F79" s="288">
        <v>0</v>
      </c>
      <c r="G79" s="288">
        <v>417.08</v>
      </c>
      <c r="H79" s="288">
        <f t="shared" si="4"/>
        <v>625.62</v>
      </c>
      <c r="I79" s="288">
        <f>(D79+E79+F79+H79)/4</f>
        <v>156.405</v>
      </c>
    </row>
    <row r="80" spans="1:9" ht="18" customHeight="1" x14ac:dyDescent="0.25">
      <c r="A80" s="1232" t="s">
        <v>263</v>
      </c>
      <c r="B80" s="1232"/>
      <c r="C80" s="1232"/>
      <c r="D80" s="288">
        <v>314.24</v>
      </c>
      <c r="E80" s="288">
        <v>133.28</v>
      </c>
      <c r="F80" s="288">
        <v>222.4</v>
      </c>
      <c r="G80" s="288">
        <v>112.21</v>
      </c>
      <c r="H80" s="288">
        <f t="shared" si="4"/>
        <v>168.315</v>
      </c>
      <c r="I80" s="288">
        <f t="shared" si="5"/>
        <v>209.55874999999997</v>
      </c>
    </row>
    <row r="81" spans="1:9" ht="18" customHeight="1" x14ac:dyDescent="0.25">
      <c r="A81" s="1232" t="s">
        <v>264</v>
      </c>
      <c r="B81" s="1232"/>
      <c r="C81" s="1232"/>
      <c r="D81" s="288">
        <v>1521.68</v>
      </c>
      <c r="E81" s="288">
        <v>660.95</v>
      </c>
      <c r="F81" s="288">
        <v>1152.56</v>
      </c>
      <c r="G81" s="288">
        <v>1574.65</v>
      </c>
      <c r="H81" s="288">
        <f t="shared" si="4"/>
        <v>2361.9750000000004</v>
      </c>
      <c r="I81" s="288">
        <f t="shared" si="5"/>
        <v>1424.2912500000002</v>
      </c>
    </row>
    <row r="82" spans="1:9" ht="18" customHeight="1" x14ac:dyDescent="0.25">
      <c r="A82" s="1232" t="s">
        <v>265</v>
      </c>
      <c r="B82" s="1232"/>
      <c r="C82" s="1232"/>
      <c r="D82" s="288">
        <v>150.22</v>
      </c>
      <c r="E82" s="288">
        <v>22.72</v>
      </c>
      <c r="F82" s="288">
        <v>81.05</v>
      </c>
      <c r="G82" s="288">
        <v>19.809999999999999</v>
      </c>
      <c r="H82" s="288">
        <f t="shared" si="4"/>
        <v>29.714999999999996</v>
      </c>
      <c r="I82" s="288">
        <f t="shared" si="5"/>
        <v>70.926249999999996</v>
      </c>
    </row>
    <row r="83" spans="1:9" ht="18" customHeight="1" x14ac:dyDescent="0.25">
      <c r="A83" s="1232" t="s">
        <v>266</v>
      </c>
      <c r="B83" s="1232"/>
      <c r="C83" s="1232"/>
      <c r="D83" s="288">
        <v>1397.48</v>
      </c>
      <c r="E83" s="288">
        <v>801.04</v>
      </c>
      <c r="F83" s="288">
        <v>122.33</v>
      </c>
      <c r="G83" s="288">
        <v>1654.04</v>
      </c>
      <c r="H83" s="288">
        <f t="shared" si="4"/>
        <v>2481.06</v>
      </c>
      <c r="I83" s="288">
        <f t="shared" si="5"/>
        <v>1200.4775</v>
      </c>
    </row>
    <row r="84" spans="1:9" ht="18" customHeight="1" x14ac:dyDescent="0.25">
      <c r="A84" s="1232" t="s">
        <v>6578</v>
      </c>
      <c r="B84" s="1232"/>
      <c r="C84" s="1232"/>
      <c r="D84" s="288">
        <v>21168.77</v>
      </c>
      <c r="E84" s="288">
        <v>5235.47</v>
      </c>
      <c r="F84" s="288">
        <v>2578.6799999999998</v>
      </c>
      <c r="G84" s="288">
        <v>3153.03</v>
      </c>
      <c r="H84" s="288">
        <f t="shared" si="4"/>
        <v>4729.5450000000001</v>
      </c>
      <c r="I84" s="288">
        <f t="shared" si="5"/>
        <v>8428.1162500000009</v>
      </c>
    </row>
    <row r="85" spans="1:9" ht="18" customHeight="1" x14ac:dyDescent="0.25">
      <c r="A85" s="1232" t="s">
        <v>267</v>
      </c>
      <c r="B85" s="1232"/>
      <c r="C85" s="1232"/>
      <c r="D85" s="288">
        <v>397.98</v>
      </c>
      <c r="E85" s="288">
        <v>392.77</v>
      </c>
      <c r="F85" s="288">
        <v>1177.8399999999999</v>
      </c>
      <c r="G85" s="288">
        <v>795.12</v>
      </c>
      <c r="H85" s="288">
        <f t="shared" si="4"/>
        <v>1192.68</v>
      </c>
      <c r="I85" s="288">
        <f t="shared" si="5"/>
        <v>790.3175</v>
      </c>
    </row>
    <row r="86" spans="1:9" ht="18" customHeight="1" x14ac:dyDescent="0.25">
      <c r="A86" s="1232" t="s">
        <v>268</v>
      </c>
      <c r="B86" s="1232"/>
      <c r="C86" s="1232"/>
      <c r="D86" s="288">
        <v>0</v>
      </c>
      <c r="E86" s="288">
        <v>0</v>
      </c>
      <c r="F86" s="288">
        <v>0</v>
      </c>
      <c r="G86" s="288">
        <v>0</v>
      </c>
      <c r="H86" s="288">
        <f t="shared" si="4"/>
        <v>0</v>
      </c>
      <c r="I86" s="288">
        <f t="shared" si="5"/>
        <v>0</v>
      </c>
    </row>
    <row r="87" spans="1:9" ht="18" customHeight="1" x14ac:dyDescent="0.25">
      <c r="A87" s="1232" t="s">
        <v>269</v>
      </c>
      <c r="B87" s="1232"/>
      <c r="C87" s="1232"/>
      <c r="D87" s="288">
        <v>1045.5999999999999</v>
      </c>
      <c r="E87" s="288">
        <v>107.64</v>
      </c>
      <c r="F87" s="288">
        <v>0</v>
      </c>
      <c r="G87" s="288">
        <v>0</v>
      </c>
      <c r="H87" s="288">
        <f t="shared" si="4"/>
        <v>0</v>
      </c>
      <c r="I87" s="288">
        <f t="shared" si="5"/>
        <v>288.31</v>
      </c>
    </row>
    <row r="88" spans="1:9" ht="18" customHeight="1" x14ac:dyDescent="0.25">
      <c r="A88" s="1232" t="s">
        <v>932</v>
      </c>
      <c r="B88" s="1232"/>
      <c r="C88" s="1232"/>
      <c r="D88" s="288">
        <v>2202.2399999999998</v>
      </c>
      <c r="E88" s="288">
        <v>2917.42</v>
      </c>
      <c r="F88" s="288">
        <v>5387.45</v>
      </c>
      <c r="G88" s="288">
        <v>3449.43</v>
      </c>
      <c r="H88" s="288">
        <f t="shared" si="4"/>
        <v>5174.1449999999995</v>
      </c>
      <c r="I88" s="288">
        <f>(D88+E88+F88+H88)/4</f>
        <v>3920.3137500000003</v>
      </c>
    </row>
    <row r="89" spans="1:9" ht="18" customHeight="1" x14ac:dyDescent="0.25">
      <c r="A89" s="1232" t="s">
        <v>270</v>
      </c>
      <c r="B89" s="1232"/>
      <c r="C89" s="1232"/>
      <c r="D89" s="288">
        <v>0</v>
      </c>
      <c r="E89" s="288">
        <v>0</v>
      </c>
      <c r="F89" s="288">
        <v>0</v>
      </c>
      <c r="G89" s="288">
        <v>0</v>
      </c>
      <c r="H89" s="288">
        <f t="shared" si="4"/>
        <v>0</v>
      </c>
      <c r="I89" s="288">
        <f t="shared" si="5"/>
        <v>0</v>
      </c>
    </row>
    <row r="90" spans="1:9" ht="18" customHeight="1" x14ac:dyDescent="0.25">
      <c r="A90" s="1232" t="s">
        <v>271</v>
      </c>
      <c r="B90" s="1232"/>
      <c r="C90" s="1232"/>
      <c r="D90" s="288">
        <v>67.819999999999993</v>
      </c>
      <c r="E90" s="288">
        <v>45.69</v>
      </c>
      <c r="F90" s="288">
        <v>68.099999999999994</v>
      </c>
      <c r="G90" s="288">
        <v>34.299999999999997</v>
      </c>
      <c r="H90" s="288">
        <f t="shared" si="4"/>
        <v>51.449999999999996</v>
      </c>
      <c r="I90" s="288">
        <f t="shared" si="5"/>
        <v>58.264999999999993</v>
      </c>
    </row>
    <row r="91" spans="1:9" ht="18" customHeight="1" x14ac:dyDescent="0.25">
      <c r="A91" s="1232" t="s">
        <v>272</v>
      </c>
      <c r="B91" s="1232"/>
      <c r="C91" s="1232"/>
      <c r="D91" s="288">
        <v>232.25</v>
      </c>
      <c r="E91" s="288">
        <v>363.17</v>
      </c>
      <c r="F91" s="288">
        <v>756.27</v>
      </c>
      <c r="G91" s="288">
        <v>952.29</v>
      </c>
      <c r="H91" s="288">
        <f t="shared" si="4"/>
        <v>1428.4349999999999</v>
      </c>
      <c r="I91" s="288">
        <f t="shared" si="5"/>
        <v>695.03125</v>
      </c>
    </row>
    <row r="92" spans="1:9" ht="18" customHeight="1" x14ac:dyDescent="0.25">
      <c r="A92" s="1232" t="s">
        <v>273</v>
      </c>
      <c r="B92" s="1232"/>
      <c r="C92" s="1232"/>
      <c r="D92" s="288">
        <v>0</v>
      </c>
      <c r="E92" s="288">
        <v>0</v>
      </c>
      <c r="F92" s="288">
        <v>0</v>
      </c>
      <c r="G92" s="288">
        <v>0</v>
      </c>
      <c r="H92" s="288">
        <f t="shared" si="4"/>
        <v>0</v>
      </c>
      <c r="I92" s="288">
        <f t="shared" si="5"/>
        <v>0</v>
      </c>
    </row>
    <row r="93" spans="1:9" ht="18" customHeight="1" x14ac:dyDescent="0.25">
      <c r="A93" s="1232" t="s">
        <v>274</v>
      </c>
      <c r="B93" s="1232"/>
      <c r="C93" s="1232"/>
      <c r="D93" s="288">
        <v>0</v>
      </c>
      <c r="E93" s="288">
        <v>244.33</v>
      </c>
      <c r="F93" s="288">
        <v>0</v>
      </c>
      <c r="G93" s="288">
        <v>0</v>
      </c>
      <c r="H93" s="288">
        <f t="shared" si="4"/>
        <v>0</v>
      </c>
      <c r="I93" s="288">
        <f t="shared" si="5"/>
        <v>61.082500000000003</v>
      </c>
    </row>
    <row r="94" spans="1:9" ht="18" customHeight="1" x14ac:dyDescent="0.25">
      <c r="A94" s="1232" t="s">
        <v>464</v>
      </c>
      <c r="B94" s="1232"/>
      <c r="C94" s="1232"/>
      <c r="D94" s="288">
        <v>4.3</v>
      </c>
      <c r="E94" s="288">
        <v>5.13</v>
      </c>
      <c r="F94" s="288">
        <v>9.0399999999999991</v>
      </c>
      <c r="G94" s="288">
        <v>0</v>
      </c>
      <c r="H94" s="288">
        <f t="shared" si="4"/>
        <v>0</v>
      </c>
      <c r="I94" s="288">
        <f>(D94+E94+F94+H94)/4</f>
        <v>4.6174999999999997</v>
      </c>
    </row>
    <row r="95" spans="1:9" ht="18" customHeight="1" x14ac:dyDescent="0.25">
      <c r="A95" s="1232" t="s">
        <v>6586</v>
      </c>
      <c r="B95" s="1232"/>
      <c r="C95" s="1232"/>
      <c r="D95" s="288">
        <v>150.35</v>
      </c>
      <c r="E95" s="288">
        <v>433.8</v>
      </c>
      <c r="F95" s="288">
        <v>2575.41</v>
      </c>
      <c r="G95" s="288">
        <v>0</v>
      </c>
      <c r="H95" s="288">
        <f t="shared" si="4"/>
        <v>0</v>
      </c>
      <c r="I95" s="288">
        <f>(D95+E95+F95+H95)/4</f>
        <v>789.89</v>
      </c>
    </row>
    <row r="96" spans="1:9" ht="18" customHeight="1" x14ac:dyDescent="0.25">
      <c r="A96" s="1232" t="s">
        <v>275</v>
      </c>
      <c r="B96" s="1232"/>
      <c r="C96" s="1232"/>
      <c r="D96" s="288">
        <v>0</v>
      </c>
      <c r="E96" s="288">
        <v>0</v>
      </c>
      <c r="F96" s="288">
        <v>0</v>
      </c>
      <c r="G96" s="288">
        <v>0</v>
      </c>
      <c r="H96" s="288">
        <f t="shared" si="4"/>
        <v>0</v>
      </c>
      <c r="I96" s="288">
        <f t="shared" si="5"/>
        <v>0</v>
      </c>
    </row>
    <row r="97" spans="1:9" ht="18" customHeight="1" x14ac:dyDescent="0.25">
      <c r="A97" s="1232" t="s">
        <v>276</v>
      </c>
      <c r="B97" s="1232"/>
      <c r="C97" s="1232"/>
      <c r="D97" s="288">
        <v>1660.28</v>
      </c>
      <c r="E97" s="288">
        <v>390.31</v>
      </c>
      <c r="F97" s="288">
        <v>743.59</v>
      </c>
      <c r="G97" s="288">
        <v>2314.5500000000002</v>
      </c>
      <c r="H97" s="288">
        <f t="shared" si="4"/>
        <v>3471.8250000000003</v>
      </c>
      <c r="I97" s="288">
        <f t="shared" si="5"/>
        <v>1566.5012500000003</v>
      </c>
    </row>
    <row r="98" spans="1:9" ht="18" customHeight="1" x14ac:dyDescent="0.25">
      <c r="A98" s="1232" t="s">
        <v>27</v>
      </c>
      <c r="B98" s="1232"/>
      <c r="C98" s="1232"/>
      <c r="D98" s="288">
        <v>4651.28</v>
      </c>
      <c r="E98" s="288">
        <v>4950.6000000000004</v>
      </c>
      <c r="F98" s="288">
        <v>6718.71</v>
      </c>
      <c r="G98" s="288">
        <v>281.66000000000003</v>
      </c>
      <c r="H98" s="288">
        <f t="shared" si="4"/>
        <v>422.49</v>
      </c>
      <c r="I98" s="288">
        <f t="shared" si="5"/>
        <v>4185.7700000000004</v>
      </c>
    </row>
    <row r="99" spans="1:9" ht="18" customHeight="1" x14ac:dyDescent="0.25">
      <c r="A99" s="1232" t="s">
        <v>277</v>
      </c>
      <c r="B99" s="1232"/>
      <c r="C99" s="1232"/>
      <c r="D99" s="288">
        <v>0</v>
      </c>
      <c r="E99" s="288">
        <v>0</v>
      </c>
      <c r="F99" s="288">
        <v>0</v>
      </c>
      <c r="G99" s="288">
        <v>0</v>
      </c>
      <c r="H99" s="288">
        <f t="shared" si="4"/>
        <v>0</v>
      </c>
      <c r="I99" s="288">
        <f t="shared" si="5"/>
        <v>0</v>
      </c>
    </row>
    <row r="100" spans="1:9" ht="18" customHeight="1" x14ac:dyDescent="0.25">
      <c r="A100" s="1232" t="s">
        <v>278</v>
      </c>
      <c r="B100" s="1232"/>
      <c r="C100" s="1232"/>
      <c r="D100" s="288">
        <v>0</v>
      </c>
      <c r="E100" s="288">
        <v>0</v>
      </c>
      <c r="F100" s="288">
        <v>0</v>
      </c>
      <c r="G100" s="288">
        <v>0</v>
      </c>
      <c r="H100" s="288">
        <f t="shared" si="4"/>
        <v>0</v>
      </c>
      <c r="I100" s="288">
        <f t="shared" si="5"/>
        <v>0</v>
      </c>
    </row>
    <row r="101" spans="1:9" ht="18" customHeight="1" x14ac:dyDescent="0.25">
      <c r="A101" s="1232" t="s">
        <v>739</v>
      </c>
      <c r="B101" s="1232"/>
      <c r="C101" s="1232"/>
      <c r="D101" s="288">
        <v>1115.28</v>
      </c>
      <c r="E101" s="288">
        <v>1447.9</v>
      </c>
      <c r="F101" s="288">
        <v>1453.44</v>
      </c>
      <c r="G101" s="288">
        <v>578.14</v>
      </c>
      <c r="H101" s="288">
        <f t="shared" si="4"/>
        <v>867.21</v>
      </c>
      <c r="I101" s="288">
        <f>(D101+E101+F101+H101)/4</f>
        <v>1220.9575</v>
      </c>
    </row>
    <row r="102" spans="1:9" ht="18" customHeight="1" x14ac:dyDescent="0.25">
      <c r="A102" s="1232" t="s">
        <v>933</v>
      </c>
      <c r="B102" s="1232"/>
      <c r="C102" s="1232"/>
      <c r="D102" s="288">
        <v>632.24</v>
      </c>
      <c r="E102" s="288">
        <v>377.4</v>
      </c>
      <c r="F102" s="288">
        <v>191.3</v>
      </c>
      <c r="G102" s="288">
        <v>68.89</v>
      </c>
      <c r="H102" s="288">
        <f t="shared" si="4"/>
        <v>103.33500000000001</v>
      </c>
      <c r="I102" s="288">
        <f>(D102+E102+F102+H102)/4</f>
        <v>326.06875000000002</v>
      </c>
    </row>
    <row r="103" spans="1:9" ht="18" customHeight="1" x14ac:dyDescent="0.25">
      <c r="A103" s="1232" t="s">
        <v>279</v>
      </c>
      <c r="B103" s="1232"/>
      <c r="C103" s="1232"/>
      <c r="D103" s="288">
        <v>20223.14</v>
      </c>
      <c r="E103" s="288">
        <v>9754.76</v>
      </c>
      <c r="F103" s="288">
        <v>17498.939999999999</v>
      </c>
      <c r="G103" s="288">
        <v>22698.58</v>
      </c>
      <c r="H103" s="288">
        <f t="shared" si="4"/>
        <v>34047.870000000003</v>
      </c>
      <c r="I103" s="288">
        <f t="shared" si="5"/>
        <v>20381.177499999998</v>
      </c>
    </row>
    <row r="104" spans="1:9" ht="18" customHeight="1" x14ac:dyDescent="0.25">
      <c r="A104" s="1232" t="s">
        <v>280</v>
      </c>
      <c r="B104" s="1232"/>
      <c r="C104" s="1232"/>
      <c r="D104" s="288">
        <v>1796.11</v>
      </c>
      <c r="E104" s="288">
        <v>0</v>
      </c>
      <c r="F104" s="288">
        <v>0</v>
      </c>
      <c r="G104" s="288">
        <v>0</v>
      </c>
      <c r="H104" s="288">
        <f t="shared" si="4"/>
        <v>0</v>
      </c>
      <c r="I104" s="288">
        <f t="shared" si="5"/>
        <v>449.02749999999997</v>
      </c>
    </row>
    <row r="107" spans="1:9" ht="47.25" customHeight="1" x14ac:dyDescent="0.25">
      <c r="A107" s="1248" t="s">
        <v>215</v>
      </c>
      <c r="B107" s="1248"/>
      <c r="C107" s="1248"/>
      <c r="D107" s="276">
        <v>2012</v>
      </c>
      <c r="E107" s="276">
        <v>2013</v>
      </c>
      <c r="F107" s="276">
        <v>2014</v>
      </c>
      <c r="G107" s="277" t="s">
        <v>6572</v>
      </c>
      <c r="H107" s="277" t="s">
        <v>6570</v>
      </c>
      <c r="I107" s="277" t="s">
        <v>2231</v>
      </c>
    </row>
    <row r="108" spans="1:9" ht="18" customHeight="1" x14ac:dyDescent="0.25">
      <c r="A108" s="1239" t="s">
        <v>28</v>
      </c>
      <c r="B108" s="1239"/>
      <c r="C108" s="1239"/>
      <c r="D108" s="289">
        <v>0</v>
      </c>
      <c r="E108" s="289">
        <v>0</v>
      </c>
      <c r="F108" s="289">
        <v>0</v>
      </c>
      <c r="G108" s="289">
        <v>0</v>
      </c>
      <c r="H108" s="289">
        <f>(G108/8)*12</f>
        <v>0</v>
      </c>
      <c r="I108" s="290">
        <f>(D108+E108+F108+H108)/4</f>
        <v>0</v>
      </c>
    </row>
    <row r="112" spans="1:9" s="144" customFormat="1" ht="58.5" customHeight="1" x14ac:dyDescent="0.25">
      <c r="A112" s="1248" t="s">
        <v>215</v>
      </c>
      <c r="B112" s="1248"/>
      <c r="C112" s="1248"/>
      <c r="D112" s="276">
        <v>2012</v>
      </c>
      <c r="E112" s="276">
        <v>2013</v>
      </c>
      <c r="F112" s="276">
        <v>2014</v>
      </c>
      <c r="G112" s="277" t="s">
        <v>6572</v>
      </c>
      <c r="H112" s="277" t="s">
        <v>6570</v>
      </c>
      <c r="I112" s="277" t="s">
        <v>2231</v>
      </c>
    </row>
    <row r="113" spans="1:9" ht="18" customHeight="1" x14ac:dyDescent="0.25">
      <c r="A113" s="1232" t="s">
        <v>281</v>
      </c>
      <c r="B113" s="1232"/>
      <c r="C113" s="1232"/>
      <c r="D113" s="292">
        <v>39880</v>
      </c>
      <c r="E113" s="292">
        <v>0</v>
      </c>
      <c r="F113" s="292">
        <v>72828.67</v>
      </c>
      <c r="G113" s="292">
        <v>0</v>
      </c>
      <c r="H113" s="292">
        <f>G113/8*12</f>
        <v>0</v>
      </c>
      <c r="I113" s="292">
        <f t="shared" ref="I113:I119" si="6">(D113+E113+F113+H113)/4</f>
        <v>28177.1675</v>
      </c>
    </row>
    <row r="114" spans="1:9" ht="18" customHeight="1" x14ac:dyDescent="0.25">
      <c r="A114" s="1232" t="s">
        <v>282</v>
      </c>
      <c r="B114" s="1232"/>
      <c r="C114" s="1232"/>
      <c r="D114" s="292">
        <v>0</v>
      </c>
      <c r="E114" s="292">
        <v>0</v>
      </c>
      <c r="F114" s="292">
        <v>0</v>
      </c>
      <c r="G114" s="292">
        <v>0</v>
      </c>
      <c r="H114" s="292">
        <f t="shared" ref="H114:H119" si="7">G114/8*12</f>
        <v>0</v>
      </c>
      <c r="I114" s="292">
        <f t="shared" si="6"/>
        <v>0</v>
      </c>
    </row>
    <row r="115" spans="1:9" ht="18" customHeight="1" x14ac:dyDescent="0.25">
      <c r="A115" s="1232" t="s">
        <v>6589</v>
      </c>
      <c r="B115" s="1232"/>
      <c r="C115" s="1232"/>
      <c r="D115" s="292">
        <v>0</v>
      </c>
      <c r="E115" s="292">
        <v>1200</v>
      </c>
      <c r="F115" s="292">
        <v>0</v>
      </c>
      <c r="G115" s="292">
        <v>0</v>
      </c>
      <c r="H115" s="292">
        <f t="shared" si="7"/>
        <v>0</v>
      </c>
      <c r="I115" s="292">
        <f>(D115+E115+F115+H115)/4</f>
        <v>300</v>
      </c>
    </row>
    <row r="116" spans="1:9" ht="18" customHeight="1" x14ac:dyDescent="0.25">
      <c r="A116" s="1232" t="s">
        <v>283</v>
      </c>
      <c r="B116" s="1232"/>
      <c r="C116" s="1232"/>
      <c r="D116" s="292">
        <v>0</v>
      </c>
      <c r="E116" s="292">
        <v>0</v>
      </c>
      <c r="F116" s="292">
        <v>0</v>
      </c>
      <c r="G116" s="292">
        <v>0</v>
      </c>
      <c r="H116" s="292">
        <f t="shared" si="7"/>
        <v>0</v>
      </c>
      <c r="I116" s="292">
        <f t="shared" si="6"/>
        <v>0</v>
      </c>
    </row>
    <row r="117" spans="1:9" ht="18" customHeight="1" x14ac:dyDescent="0.25">
      <c r="A117" s="1232" t="s">
        <v>284</v>
      </c>
      <c r="B117" s="1232"/>
      <c r="C117" s="1232"/>
      <c r="D117" s="292">
        <v>0</v>
      </c>
      <c r="E117" s="292">
        <v>0</v>
      </c>
      <c r="F117" s="292">
        <v>0</v>
      </c>
      <c r="G117" s="292">
        <v>0</v>
      </c>
      <c r="H117" s="292">
        <f t="shared" si="7"/>
        <v>0</v>
      </c>
      <c r="I117" s="292">
        <f t="shared" si="6"/>
        <v>0</v>
      </c>
    </row>
    <row r="118" spans="1:9" ht="18" customHeight="1" x14ac:dyDescent="0.25">
      <c r="A118" s="1232" t="s">
        <v>285</v>
      </c>
      <c r="B118" s="1232"/>
      <c r="C118" s="1232"/>
      <c r="D118" s="292">
        <v>51926.12</v>
      </c>
      <c r="E118" s="292">
        <v>51597.599999999999</v>
      </c>
      <c r="F118" s="292">
        <v>41159.550000000003</v>
      </c>
      <c r="G118" s="292">
        <v>28379.17</v>
      </c>
      <c r="H118" s="292">
        <f t="shared" si="7"/>
        <v>42568.754999999997</v>
      </c>
      <c r="I118" s="292">
        <f t="shared" si="6"/>
        <v>46813.006250000006</v>
      </c>
    </row>
    <row r="119" spans="1:9" ht="18" customHeight="1" x14ac:dyDescent="0.25">
      <c r="A119" s="1246" t="s">
        <v>286</v>
      </c>
      <c r="B119" s="1246"/>
      <c r="C119" s="1246"/>
      <c r="D119" s="292">
        <v>23201.23</v>
      </c>
      <c r="E119" s="292">
        <v>22358.89</v>
      </c>
      <c r="F119" s="292">
        <v>21515.25</v>
      </c>
      <c r="G119" s="292">
        <v>17992.689999999999</v>
      </c>
      <c r="H119" s="292">
        <f t="shared" si="7"/>
        <v>26989.034999999996</v>
      </c>
      <c r="I119" s="292">
        <f t="shared" si="6"/>
        <v>23516.10125</v>
      </c>
    </row>
    <row r="123" spans="1:9" ht="18" customHeight="1" x14ac:dyDescent="0.25">
      <c r="A123" s="1238" t="s">
        <v>29</v>
      </c>
      <c r="B123" s="293">
        <v>2012</v>
      </c>
      <c r="C123" s="293">
        <v>2013</v>
      </c>
      <c r="D123" s="293">
        <v>2014</v>
      </c>
      <c r="E123" s="294" t="s">
        <v>2232</v>
      </c>
      <c r="F123" s="293">
        <v>2015</v>
      </c>
      <c r="G123" s="295" t="s">
        <v>2233</v>
      </c>
      <c r="H123" s="294" t="s">
        <v>2234</v>
      </c>
    </row>
    <row r="124" spans="1:9" ht="18" customHeight="1" x14ac:dyDescent="0.25">
      <c r="A124" s="1238"/>
      <c r="B124" s="296">
        <v>7.8456999999999995E-4</v>
      </c>
      <c r="C124" s="296">
        <v>7.8458E-4</v>
      </c>
      <c r="D124" s="296">
        <v>7.7769999999999998E-4</v>
      </c>
      <c r="E124" s="297">
        <f>(B124+C124+D124)/3</f>
        <v>7.8228333333333342E-4</v>
      </c>
      <c r="F124" s="296">
        <v>7.7777E-4</v>
      </c>
      <c r="G124" s="297">
        <f>(E124+F124)/2</f>
        <v>7.8002666666666671E-4</v>
      </c>
      <c r="H124" s="297">
        <f>F124*(1+G124)</f>
        <v>7.7837668134053337E-4</v>
      </c>
    </row>
    <row r="126" spans="1:9" ht="18" customHeight="1" x14ac:dyDescent="0.25">
      <c r="A126" s="1237" t="s">
        <v>30</v>
      </c>
      <c r="B126" s="1237"/>
      <c r="C126" s="1237"/>
      <c r="D126" s="1237"/>
      <c r="E126" s="1237"/>
      <c r="F126" s="1237"/>
      <c r="G126" s="1237"/>
      <c r="H126" s="145"/>
    </row>
    <row r="127" spans="1:9" ht="46.5" customHeight="1" x14ac:dyDescent="0.25">
      <c r="A127" s="1235" t="s">
        <v>215</v>
      </c>
      <c r="B127" s="1235"/>
      <c r="C127" s="299">
        <v>2012</v>
      </c>
      <c r="D127" s="299">
        <v>2013</v>
      </c>
      <c r="E127" s="299">
        <v>2014</v>
      </c>
      <c r="F127" s="298" t="s">
        <v>6579</v>
      </c>
      <c r="G127" s="298" t="s">
        <v>2230</v>
      </c>
      <c r="H127" s="298" t="s">
        <v>2231</v>
      </c>
    </row>
    <row r="128" spans="1:9" ht="18" customHeight="1" x14ac:dyDescent="0.25">
      <c r="A128" s="1236" t="s">
        <v>287</v>
      </c>
      <c r="B128" s="1236"/>
      <c r="C128" s="300">
        <v>3198.6</v>
      </c>
      <c r="D128" s="300">
        <v>27188.03</v>
      </c>
      <c r="E128" s="300">
        <v>1814.25</v>
      </c>
      <c r="F128" s="300">
        <v>6087.6</v>
      </c>
      <c r="G128" s="300">
        <f>F128/8*12</f>
        <v>9131.4000000000015</v>
      </c>
      <c r="H128" s="300">
        <f>(C128+D128+E128+G128)/4</f>
        <v>10333.07</v>
      </c>
    </row>
    <row r="129" spans="1:8" ht="18" customHeight="1" x14ac:dyDescent="0.25">
      <c r="A129" s="1236" t="s">
        <v>288</v>
      </c>
      <c r="B129" s="1236"/>
      <c r="C129" s="300">
        <v>7500</v>
      </c>
      <c r="D129" s="300">
        <v>2400</v>
      </c>
      <c r="E129" s="300">
        <v>0</v>
      </c>
      <c r="F129" s="300">
        <v>0</v>
      </c>
      <c r="G129" s="300">
        <f t="shared" ref="G129:G137" si="8">F129/8*12</f>
        <v>0</v>
      </c>
      <c r="H129" s="300">
        <f>(C129+D129+E129+G129)/4</f>
        <v>2475</v>
      </c>
    </row>
    <row r="130" spans="1:8" ht="18" customHeight="1" x14ac:dyDescent="0.25">
      <c r="A130" s="1236" t="s">
        <v>981</v>
      </c>
      <c r="B130" s="1236"/>
      <c r="C130" s="300">
        <v>41000</v>
      </c>
      <c r="D130" s="300">
        <v>134000</v>
      </c>
      <c r="E130" s="300">
        <v>77305.039999999994</v>
      </c>
      <c r="F130" s="300">
        <v>54000</v>
      </c>
      <c r="G130" s="300">
        <f t="shared" si="8"/>
        <v>81000</v>
      </c>
      <c r="H130" s="300"/>
    </row>
    <row r="131" spans="1:8" ht="18" customHeight="1" x14ac:dyDescent="0.25">
      <c r="A131" s="1236" t="s">
        <v>289</v>
      </c>
      <c r="B131" s="1236"/>
      <c r="C131" s="300">
        <v>0</v>
      </c>
      <c r="D131" s="300">
        <v>0</v>
      </c>
      <c r="E131" s="300">
        <v>0</v>
      </c>
      <c r="F131" s="300">
        <v>0</v>
      </c>
      <c r="G131" s="300">
        <f t="shared" si="8"/>
        <v>0</v>
      </c>
      <c r="H131" s="300">
        <f t="shared" ref="H131:H137" si="9">(C131+D131+E131+G131)/4</f>
        <v>0</v>
      </c>
    </row>
    <row r="132" spans="1:8" ht="18" customHeight="1" x14ac:dyDescent="0.25">
      <c r="A132" s="1236" t="s">
        <v>290</v>
      </c>
      <c r="B132" s="1236"/>
      <c r="C132" s="300">
        <v>1044.8499999999999</v>
      </c>
      <c r="D132" s="300">
        <v>1044.1500000000001</v>
      </c>
      <c r="E132" s="300">
        <v>0</v>
      </c>
      <c r="F132" s="300">
        <v>0</v>
      </c>
      <c r="G132" s="300">
        <f t="shared" si="8"/>
        <v>0</v>
      </c>
      <c r="H132" s="300">
        <f t="shared" si="9"/>
        <v>522.25</v>
      </c>
    </row>
    <row r="133" spans="1:8" ht="18" customHeight="1" x14ac:dyDescent="0.25">
      <c r="A133" s="1236" t="s">
        <v>465</v>
      </c>
      <c r="B133" s="1236"/>
      <c r="C133" s="300">
        <v>56658.76</v>
      </c>
      <c r="D133" s="300">
        <v>142898.23000000001</v>
      </c>
      <c r="E133" s="300">
        <v>66416.240000000005</v>
      </c>
      <c r="F133" s="300">
        <v>11191.55</v>
      </c>
      <c r="G133" s="300">
        <f t="shared" si="8"/>
        <v>16787.324999999997</v>
      </c>
      <c r="H133" s="300">
        <f t="shared" si="9"/>
        <v>70690.138750000013</v>
      </c>
    </row>
    <row r="134" spans="1:8" ht="18" customHeight="1" x14ac:dyDescent="0.25">
      <c r="A134" s="1236" t="s">
        <v>740</v>
      </c>
      <c r="B134" s="1236"/>
      <c r="C134" s="300">
        <v>644.88</v>
      </c>
      <c r="D134" s="300">
        <v>4299.2</v>
      </c>
      <c r="E134" s="300">
        <v>3473.72</v>
      </c>
      <c r="F134" s="300">
        <v>0</v>
      </c>
      <c r="G134" s="300">
        <f t="shared" si="8"/>
        <v>0</v>
      </c>
      <c r="H134" s="300">
        <f t="shared" si="9"/>
        <v>2104.4499999999998</v>
      </c>
    </row>
    <row r="135" spans="1:8" ht="18" customHeight="1" x14ac:dyDescent="0.25">
      <c r="A135" s="1236" t="s">
        <v>6580</v>
      </c>
      <c r="B135" s="1236"/>
      <c r="C135" s="300">
        <v>0</v>
      </c>
      <c r="D135" s="300">
        <v>0</v>
      </c>
      <c r="E135" s="300">
        <v>0</v>
      </c>
      <c r="F135" s="300">
        <v>30000</v>
      </c>
      <c r="G135" s="300">
        <f t="shared" si="8"/>
        <v>45000</v>
      </c>
      <c r="H135" s="300">
        <f t="shared" si="9"/>
        <v>11250</v>
      </c>
    </row>
    <row r="136" spans="1:8" ht="18" customHeight="1" x14ac:dyDescent="0.25">
      <c r="A136" s="1236" t="s">
        <v>6587</v>
      </c>
      <c r="B136" s="1236"/>
      <c r="C136" s="300">
        <v>0</v>
      </c>
      <c r="D136" s="300">
        <v>0</v>
      </c>
      <c r="E136" s="300">
        <v>21149.42</v>
      </c>
      <c r="F136" s="300">
        <v>0</v>
      </c>
      <c r="G136" s="300">
        <f t="shared" si="8"/>
        <v>0</v>
      </c>
      <c r="H136" s="300">
        <f t="shared" si="9"/>
        <v>5287.3549999999996</v>
      </c>
    </row>
    <row r="137" spans="1:8" ht="18" customHeight="1" x14ac:dyDescent="0.25">
      <c r="A137" s="1236" t="s">
        <v>6588</v>
      </c>
      <c r="B137" s="1236"/>
      <c r="C137" s="300">
        <v>0</v>
      </c>
      <c r="D137" s="300">
        <v>0</v>
      </c>
      <c r="E137" s="300">
        <v>462.02</v>
      </c>
      <c r="F137" s="300">
        <v>0</v>
      </c>
      <c r="G137" s="300">
        <f t="shared" si="8"/>
        <v>0</v>
      </c>
      <c r="H137" s="300">
        <f t="shared" si="9"/>
        <v>115.505</v>
      </c>
    </row>
    <row r="138" spans="1:8" ht="18" customHeight="1" x14ac:dyDescent="0.25">
      <c r="A138" s="301"/>
      <c r="B138" s="301"/>
      <c r="C138" s="291"/>
      <c r="D138" s="291"/>
      <c r="E138" s="291"/>
      <c r="F138" s="291"/>
      <c r="G138" s="291"/>
      <c r="H138" s="291"/>
    </row>
    <row r="139" spans="1:8" ht="18" customHeight="1" x14ac:dyDescent="0.25">
      <c r="A139" s="301"/>
      <c r="B139" s="301"/>
      <c r="C139" s="291"/>
      <c r="D139" s="291"/>
      <c r="E139" s="291"/>
      <c r="F139" s="291"/>
      <c r="G139" s="291"/>
      <c r="H139" s="291"/>
    </row>
    <row r="140" spans="1:8" ht="18" customHeight="1" x14ac:dyDescent="0.25">
      <c r="A140" s="1234" t="s">
        <v>466</v>
      </c>
      <c r="B140" s="1234"/>
      <c r="C140" s="1234"/>
      <c r="D140" s="1234"/>
      <c r="E140" s="1234"/>
      <c r="F140" s="1234"/>
      <c r="G140" s="1234"/>
    </row>
    <row r="141" spans="1:8" ht="18" customHeight="1" x14ac:dyDescent="0.25">
      <c r="A141" s="303"/>
      <c r="B141" s="303"/>
      <c r="C141" s="303"/>
      <c r="D141" s="303"/>
      <c r="E141" s="303"/>
      <c r="F141" s="303"/>
      <c r="G141" s="303"/>
    </row>
    <row r="142" spans="1:8" ht="47.25" customHeight="1" x14ac:dyDescent="0.25">
      <c r="A142" s="1235" t="s">
        <v>215</v>
      </c>
      <c r="B142" s="1235"/>
      <c r="C142" s="299">
        <v>2012</v>
      </c>
      <c r="D142" s="299">
        <v>2013</v>
      </c>
      <c r="E142" s="299">
        <v>2014</v>
      </c>
      <c r="F142" s="298" t="s">
        <v>6579</v>
      </c>
      <c r="G142" s="298" t="s">
        <v>2230</v>
      </c>
      <c r="H142" s="298" t="s">
        <v>2231</v>
      </c>
    </row>
    <row r="143" spans="1:8" ht="18" customHeight="1" x14ac:dyDescent="0.25">
      <c r="A143" s="1233" t="s">
        <v>31</v>
      </c>
      <c r="B143" s="1233"/>
      <c r="C143" s="302">
        <v>0</v>
      </c>
      <c r="D143" s="302">
        <v>0</v>
      </c>
      <c r="E143" s="302">
        <v>0</v>
      </c>
      <c r="F143" s="302">
        <v>0</v>
      </c>
      <c r="G143" s="302">
        <f>F143/8*12</f>
        <v>0</v>
      </c>
      <c r="H143" s="302">
        <f>(C143+D143+E143+G143)/4</f>
        <v>0</v>
      </c>
    </row>
    <row r="145" spans="1:7" ht="18" customHeight="1" x14ac:dyDescent="0.25">
      <c r="A145" s="1234" t="s">
        <v>2235</v>
      </c>
      <c r="B145" s="1234"/>
      <c r="C145" s="1234"/>
      <c r="D145" s="1234"/>
      <c r="E145" s="1234"/>
      <c r="F145" s="1234"/>
      <c r="G145" s="1234"/>
    </row>
    <row r="147" spans="1:7" ht="45.75" customHeight="1" x14ac:dyDescent="0.25">
      <c r="A147" s="304" t="s">
        <v>215</v>
      </c>
      <c r="B147" s="299">
        <v>2012</v>
      </c>
      <c r="C147" s="299">
        <v>2013</v>
      </c>
      <c r="D147" s="299">
        <v>2014</v>
      </c>
      <c r="E147" s="298" t="s">
        <v>6579</v>
      </c>
      <c r="F147" s="298" t="s">
        <v>2230</v>
      </c>
      <c r="G147" s="298" t="s">
        <v>2231</v>
      </c>
    </row>
    <row r="148" spans="1:7" ht="18" customHeight="1" x14ac:dyDescent="0.25">
      <c r="A148" s="286" t="s">
        <v>48</v>
      </c>
      <c r="B148" s="292">
        <v>0</v>
      </c>
      <c r="C148" s="292">
        <v>0</v>
      </c>
      <c r="D148" s="292">
        <v>0</v>
      </c>
      <c r="E148" s="292">
        <v>0</v>
      </c>
      <c r="F148" s="292">
        <f>E148/8*12</f>
        <v>0</v>
      </c>
      <c r="G148" s="292">
        <f t="shared" ref="G148:G154" si="10">(B148+C148+D148+F148)/4</f>
        <v>0</v>
      </c>
    </row>
    <row r="149" spans="1:7" ht="18" customHeight="1" x14ac:dyDescent="0.25">
      <c r="A149" s="286" t="s">
        <v>49</v>
      </c>
      <c r="B149" s="292">
        <v>2100</v>
      </c>
      <c r="C149" s="292">
        <v>2100</v>
      </c>
      <c r="D149" s="292">
        <v>1750</v>
      </c>
      <c r="E149" s="292">
        <v>1225</v>
      </c>
      <c r="F149" s="292">
        <f t="shared" ref="F149:F159" si="11">E149/8*12</f>
        <v>1837.5</v>
      </c>
      <c r="G149" s="292">
        <f t="shared" si="10"/>
        <v>1946.875</v>
      </c>
    </row>
    <row r="150" spans="1:7" ht="18" customHeight="1" x14ac:dyDescent="0.25">
      <c r="A150" s="286" t="s">
        <v>50</v>
      </c>
      <c r="B150" s="292">
        <v>6482.39</v>
      </c>
      <c r="C150" s="292">
        <v>11954.28</v>
      </c>
      <c r="D150" s="292">
        <v>10673.94</v>
      </c>
      <c r="E150" s="292">
        <v>10499.43</v>
      </c>
      <c r="F150" s="292">
        <f t="shared" si="11"/>
        <v>15749.145</v>
      </c>
      <c r="G150" s="292">
        <f t="shared" si="10"/>
        <v>11214.938750000001</v>
      </c>
    </row>
    <row r="151" spans="1:7" ht="18" customHeight="1" x14ac:dyDescent="0.25">
      <c r="A151" s="286" t="s">
        <v>934</v>
      </c>
      <c r="B151" s="292">
        <v>8185</v>
      </c>
      <c r="C151" s="292">
        <v>7536.5</v>
      </c>
      <c r="D151" s="292">
        <v>5819.37</v>
      </c>
      <c r="E151" s="292">
        <v>1500</v>
      </c>
      <c r="F151" s="292">
        <f t="shared" si="11"/>
        <v>2250</v>
      </c>
      <c r="G151" s="292">
        <f t="shared" si="10"/>
        <v>5947.7174999999997</v>
      </c>
    </row>
    <row r="152" spans="1:7" ht="18" customHeight="1" x14ac:dyDescent="0.25">
      <c r="A152" s="286" t="s">
        <v>741</v>
      </c>
      <c r="B152" s="292">
        <v>54000</v>
      </c>
      <c r="C152" s="292">
        <v>57000</v>
      </c>
      <c r="D152" s="292">
        <v>60000</v>
      </c>
      <c r="E152" s="292">
        <v>48000</v>
      </c>
      <c r="F152" s="292">
        <f t="shared" si="11"/>
        <v>72000</v>
      </c>
      <c r="G152" s="292">
        <f t="shared" si="10"/>
        <v>60750</v>
      </c>
    </row>
    <row r="153" spans="1:7" ht="18" customHeight="1" x14ac:dyDescent="0.25">
      <c r="A153" s="286" t="s">
        <v>581</v>
      </c>
      <c r="B153" s="292">
        <v>0</v>
      </c>
      <c r="C153" s="292">
        <v>0</v>
      </c>
      <c r="D153" s="292">
        <v>0</v>
      </c>
      <c r="E153" s="292">
        <v>0</v>
      </c>
      <c r="F153" s="292">
        <f t="shared" si="11"/>
        <v>0</v>
      </c>
      <c r="G153" s="292">
        <f t="shared" si="10"/>
        <v>0</v>
      </c>
    </row>
    <row r="154" spans="1:7" ht="18" customHeight="1" x14ac:dyDescent="0.25">
      <c r="A154" s="286" t="s">
        <v>6581</v>
      </c>
      <c r="B154" s="292">
        <v>12000</v>
      </c>
      <c r="C154" s="292">
        <v>26200</v>
      </c>
      <c r="D154" s="292">
        <v>75585</v>
      </c>
      <c r="E154" s="292">
        <v>76950</v>
      </c>
      <c r="F154" s="292">
        <f t="shared" si="11"/>
        <v>115425</v>
      </c>
      <c r="G154" s="292">
        <f t="shared" si="10"/>
        <v>57302.5</v>
      </c>
    </row>
    <row r="155" spans="1:7" ht="18" customHeight="1" x14ac:dyDescent="0.25">
      <c r="A155" s="286" t="s">
        <v>53</v>
      </c>
      <c r="B155" s="292">
        <v>0</v>
      </c>
      <c r="C155" s="292">
        <v>0</v>
      </c>
      <c r="D155" s="292">
        <v>0</v>
      </c>
      <c r="E155" s="292">
        <v>0</v>
      </c>
      <c r="F155" s="292">
        <f t="shared" si="11"/>
        <v>0</v>
      </c>
      <c r="G155" s="292">
        <f>(B155+C155+D155+F155)/4</f>
        <v>0</v>
      </c>
    </row>
    <row r="156" spans="1:7" ht="18" customHeight="1" x14ac:dyDescent="0.25">
      <c r="A156" s="286" t="s">
        <v>49</v>
      </c>
      <c r="B156" s="292">
        <v>0</v>
      </c>
      <c r="C156" s="292">
        <v>0</v>
      </c>
      <c r="D156" s="292">
        <v>0</v>
      </c>
      <c r="E156" s="292">
        <v>0</v>
      </c>
      <c r="F156" s="292">
        <f t="shared" si="11"/>
        <v>0</v>
      </c>
      <c r="G156" s="292">
        <f>(B156+C156+D156+F156)/4</f>
        <v>0</v>
      </c>
    </row>
    <row r="157" spans="1:7" ht="18" customHeight="1" x14ac:dyDescent="0.25">
      <c r="A157" s="286" t="s">
        <v>50</v>
      </c>
      <c r="B157" s="292">
        <v>0</v>
      </c>
      <c r="C157" s="292">
        <v>0</v>
      </c>
      <c r="D157" s="292">
        <v>0</v>
      </c>
      <c r="E157" s="292">
        <v>0</v>
      </c>
      <c r="F157" s="292">
        <f t="shared" si="11"/>
        <v>0</v>
      </c>
      <c r="G157" s="292">
        <f>(B157+C157+D157+F157)/4</f>
        <v>0</v>
      </c>
    </row>
    <row r="158" spans="1:7" ht="18" customHeight="1" x14ac:dyDescent="0.25">
      <c r="A158" s="286" t="s">
        <v>51</v>
      </c>
      <c r="B158" s="292">
        <v>0</v>
      </c>
      <c r="C158" s="292">
        <v>0</v>
      </c>
      <c r="D158" s="292">
        <v>0</v>
      </c>
      <c r="E158" s="292">
        <v>0</v>
      </c>
      <c r="F158" s="292">
        <f t="shared" si="11"/>
        <v>0</v>
      </c>
      <c r="G158" s="292">
        <f>(B158+C158+D158+F158)/4</f>
        <v>0</v>
      </c>
    </row>
    <row r="159" spans="1:7" ht="18" customHeight="1" x14ac:dyDescent="0.25">
      <c r="A159" s="286" t="s">
        <v>6582</v>
      </c>
      <c r="B159" s="292">
        <v>0</v>
      </c>
      <c r="C159" s="292">
        <v>0</v>
      </c>
      <c r="D159" s="292">
        <v>20904</v>
      </c>
      <c r="E159" s="292">
        <v>20904</v>
      </c>
      <c r="F159" s="292">
        <f t="shared" si="11"/>
        <v>31356</v>
      </c>
      <c r="G159" s="292">
        <f>(B159+C159+D159+F159)/4</f>
        <v>13065</v>
      </c>
    </row>
    <row r="161" spans="1:8" ht="18" customHeight="1" x14ac:dyDescent="0.25">
      <c r="A161" s="1234" t="s">
        <v>2236</v>
      </c>
      <c r="B161" s="1234"/>
      <c r="C161" s="1234"/>
      <c r="D161" s="1234"/>
      <c r="E161" s="1234"/>
      <c r="F161" s="1234"/>
      <c r="G161" s="1234"/>
    </row>
    <row r="163" spans="1:8" ht="48" customHeight="1" x14ac:dyDescent="0.25">
      <c r="A163" s="306" t="s">
        <v>215</v>
      </c>
      <c r="B163" s="307">
        <v>2012</v>
      </c>
      <c r="C163" s="307">
        <v>2013</v>
      </c>
      <c r="D163" s="307">
        <v>2014</v>
      </c>
      <c r="E163" s="305" t="s">
        <v>6579</v>
      </c>
      <c r="F163" s="305" t="s">
        <v>2230</v>
      </c>
      <c r="G163" s="305" t="s">
        <v>2231</v>
      </c>
    </row>
    <row r="164" spans="1:8" ht="18" customHeight="1" x14ac:dyDescent="0.25">
      <c r="A164" s="308" t="s">
        <v>52</v>
      </c>
      <c r="B164" s="292">
        <v>251021.1</v>
      </c>
      <c r="C164" s="292">
        <v>160834.1</v>
      </c>
      <c r="D164" s="292">
        <v>421147.51</v>
      </c>
      <c r="E164" s="292">
        <v>135944</v>
      </c>
      <c r="F164" s="292">
        <f>E164/8*10</f>
        <v>169930</v>
      </c>
      <c r="G164" s="292">
        <f>(B164+C164+D164+F164)/4</f>
        <v>250733.17749999999</v>
      </c>
    </row>
    <row r="167" spans="1:8" ht="15" customHeight="1" x14ac:dyDescent="0.25">
      <c r="A167" s="1234" t="s">
        <v>2237</v>
      </c>
      <c r="B167" s="1234"/>
      <c r="C167" s="1234"/>
      <c r="D167" s="1234"/>
      <c r="E167" s="1234"/>
      <c r="F167" s="1234"/>
      <c r="G167" s="1234"/>
    </row>
    <row r="169" spans="1:8" ht="52.5" customHeight="1" x14ac:dyDescent="0.25">
      <c r="A169" s="1247" t="s">
        <v>215</v>
      </c>
      <c r="B169" s="1247"/>
      <c r="C169" s="307">
        <v>2012</v>
      </c>
      <c r="D169" s="307">
        <v>2013</v>
      </c>
      <c r="E169" s="307">
        <v>2014</v>
      </c>
      <c r="F169" s="305" t="s">
        <v>6579</v>
      </c>
      <c r="G169" s="305" t="s">
        <v>2230</v>
      </c>
      <c r="H169" s="305" t="s">
        <v>2231</v>
      </c>
    </row>
    <row r="170" spans="1:8" ht="18" customHeight="1" x14ac:dyDescent="0.25">
      <c r="A170" s="1243" t="s">
        <v>54</v>
      </c>
      <c r="B170" s="1243"/>
      <c r="C170" s="309">
        <v>0</v>
      </c>
      <c r="D170" s="309">
        <v>0</v>
      </c>
      <c r="E170" s="309">
        <v>0</v>
      </c>
      <c r="F170" s="309">
        <v>0</v>
      </c>
      <c r="G170" s="309">
        <f>F170/8*12</f>
        <v>0</v>
      </c>
      <c r="H170" s="309">
        <f t="shared" ref="H170:H176" si="12">(C170+D170+E170+G170)/4</f>
        <v>0</v>
      </c>
    </row>
    <row r="171" spans="1:8" ht="18" customHeight="1" x14ac:dyDescent="0.25">
      <c r="A171" s="1243" t="s">
        <v>55</v>
      </c>
      <c r="B171" s="1243"/>
      <c r="C171" s="309">
        <v>2.81</v>
      </c>
      <c r="D171" s="309">
        <v>291.44</v>
      </c>
      <c r="E171" s="309">
        <v>436.92</v>
      </c>
      <c r="F171" s="309">
        <v>77.83</v>
      </c>
      <c r="G171" s="309">
        <f t="shared" ref="G171:G176" si="13">F171/8*12</f>
        <v>116.745</v>
      </c>
      <c r="H171" s="309">
        <f t="shared" si="12"/>
        <v>211.97875000000002</v>
      </c>
    </row>
    <row r="172" spans="1:8" ht="18" customHeight="1" x14ac:dyDescent="0.25">
      <c r="A172" s="1243" t="s">
        <v>56</v>
      </c>
      <c r="B172" s="1243"/>
      <c r="C172" s="309">
        <v>40.69</v>
      </c>
      <c r="D172" s="309">
        <v>0</v>
      </c>
      <c r="E172" s="309">
        <v>657.36</v>
      </c>
      <c r="F172" s="309">
        <v>59.75</v>
      </c>
      <c r="G172" s="309">
        <f t="shared" si="13"/>
        <v>89.625</v>
      </c>
      <c r="H172" s="309">
        <f t="shared" si="12"/>
        <v>196.91874999999999</v>
      </c>
    </row>
    <row r="173" spans="1:8" ht="18" customHeight="1" x14ac:dyDescent="0.25">
      <c r="A173" s="1243" t="s">
        <v>57</v>
      </c>
      <c r="B173" s="1243"/>
      <c r="C173" s="309">
        <v>1530.7</v>
      </c>
      <c r="D173" s="309">
        <v>1612.67</v>
      </c>
      <c r="E173" s="309">
        <v>4420.49</v>
      </c>
      <c r="F173" s="309">
        <v>1728.28</v>
      </c>
      <c r="G173" s="309">
        <f t="shared" si="13"/>
        <v>2592.42</v>
      </c>
      <c r="H173" s="309">
        <f t="shared" si="12"/>
        <v>2539.0699999999997</v>
      </c>
    </row>
    <row r="174" spans="1:8" ht="18" customHeight="1" x14ac:dyDescent="0.25">
      <c r="A174" s="1243" t="s">
        <v>58</v>
      </c>
      <c r="B174" s="1243"/>
      <c r="C174" s="309">
        <v>177.83</v>
      </c>
      <c r="D174" s="309">
        <v>919.83</v>
      </c>
      <c r="E174" s="309">
        <v>1740.4</v>
      </c>
      <c r="F174" s="309">
        <v>799.7</v>
      </c>
      <c r="G174" s="309">
        <f t="shared" si="13"/>
        <v>1199.5500000000002</v>
      </c>
      <c r="H174" s="309">
        <f t="shared" si="12"/>
        <v>1009.4025000000001</v>
      </c>
    </row>
    <row r="175" spans="1:8" ht="18" customHeight="1" x14ac:dyDescent="0.25">
      <c r="A175" s="1243" t="s">
        <v>59</v>
      </c>
      <c r="B175" s="1243"/>
      <c r="C175" s="309">
        <v>0</v>
      </c>
      <c r="D175" s="309">
        <v>0</v>
      </c>
      <c r="E175" s="309">
        <v>27.07</v>
      </c>
      <c r="F175" s="309">
        <v>89.09</v>
      </c>
      <c r="G175" s="309">
        <f t="shared" si="13"/>
        <v>133.63499999999999</v>
      </c>
      <c r="H175" s="309">
        <f t="shared" si="12"/>
        <v>40.176249999999996</v>
      </c>
    </row>
    <row r="176" spans="1:8" ht="18" customHeight="1" x14ac:dyDescent="0.25">
      <c r="A176" s="1243" t="s">
        <v>60</v>
      </c>
      <c r="B176" s="1243"/>
      <c r="C176" s="309">
        <v>3.67</v>
      </c>
      <c r="D176" s="309">
        <v>28.08</v>
      </c>
      <c r="E176" s="309">
        <v>140.38</v>
      </c>
      <c r="F176" s="309">
        <v>148.47999999999999</v>
      </c>
      <c r="G176" s="309">
        <f t="shared" si="13"/>
        <v>222.71999999999997</v>
      </c>
      <c r="H176" s="309">
        <f t="shared" si="12"/>
        <v>98.712499999999991</v>
      </c>
    </row>
    <row r="177" spans="1:3" ht="18" customHeight="1" x14ac:dyDescent="0.25">
      <c r="A177" s="1244"/>
      <c r="B177" s="1244"/>
    </row>
    <row r="179" spans="1:3" ht="18" customHeight="1" x14ac:dyDescent="0.25">
      <c r="A179" s="1242" t="s">
        <v>6583</v>
      </c>
      <c r="B179" s="1242"/>
      <c r="C179" s="1242"/>
    </row>
    <row r="180" spans="1:3" ht="18" customHeight="1" thickBot="1" x14ac:dyDescent="0.3">
      <c r="A180" s="1245" t="s">
        <v>295</v>
      </c>
      <c r="B180" s="1245"/>
      <c r="C180" s="1245"/>
    </row>
    <row r="181" spans="1:3" ht="18" customHeight="1" thickTop="1" x14ac:dyDescent="0.25">
      <c r="A181" s="146" t="s">
        <v>296</v>
      </c>
      <c r="B181" s="147" t="s">
        <v>297</v>
      </c>
      <c r="C181" s="148">
        <v>2016</v>
      </c>
    </row>
    <row r="182" spans="1:3" ht="18" customHeight="1" thickBot="1" x14ac:dyDescent="0.3">
      <c r="A182" s="149" t="s">
        <v>298</v>
      </c>
      <c r="B182" s="150">
        <v>437</v>
      </c>
      <c r="C182" s="161">
        <v>4.6903E-4</v>
      </c>
    </row>
    <row r="183" spans="1:3" ht="18" customHeight="1" thickTop="1" x14ac:dyDescent="0.25"/>
    <row r="186" spans="1:3" ht="18" customHeight="1" x14ac:dyDescent="0.25">
      <c r="A186" s="1241" t="s">
        <v>938</v>
      </c>
      <c r="B186" s="1241"/>
    </row>
    <row r="187" spans="1:3" ht="18" customHeight="1" x14ac:dyDescent="0.25">
      <c r="A187" s="1240"/>
      <c r="B187" s="1240"/>
    </row>
    <row r="188" spans="1:3" ht="18" customHeight="1" x14ac:dyDescent="0.25">
      <c r="A188" s="151" t="s">
        <v>6584</v>
      </c>
      <c r="B188" s="152">
        <v>5264</v>
      </c>
    </row>
    <row r="189" spans="1:3" ht="18" customHeight="1" x14ac:dyDescent="0.25">
      <c r="A189" s="151" t="s">
        <v>291</v>
      </c>
      <c r="B189" s="153">
        <v>220.471</v>
      </c>
    </row>
    <row r="190" spans="1:3" ht="18" customHeight="1" x14ac:dyDescent="0.25">
      <c r="A190" s="151" t="s">
        <v>292</v>
      </c>
      <c r="B190" s="153">
        <v>4305447</v>
      </c>
    </row>
    <row r="191" spans="1:3" ht="18" customHeight="1" x14ac:dyDescent="0.25">
      <c r="A191" s="151" t="s">
        <v>293</v>
      </c>
      <c r="B191" s="153" t="s">
        <v>294</v>
      </c>
    </row>
  </sheetData>
  <mergeCells count="86">
    <mergeCell ref="A1:F1"/>
    <mergeCell ref="A91:C91"/>
    <mergeCell ref="A92:C92"/>
    <mergeCell ref="A93:C93"/>
    <mergeCell ref="A82:C82"/>
    <mergeCell ref="A80:C80"/>
    <mergeCell ref="A73:C73"/>
    <mergeCell ref="A86:C86"/>
    <mergeCell ref="A68:C68"/>
    <mergeCell ref="A65:C65"/>
    <mergeCell ref="A47:F47"/>
    <mergeCell ref="A83:C83"/>
    <mergeCell ref="A84:C84"/>
    <mergeCell ref="A90:C90"/>
    <mergeCell ref="A69:C69"/>
    <mergeCell ref="A71:C71"/>
    <mergeCell ref="A101:C101"/>
    <mergeCell ref="A102:C102"/>
    <mergeCell ref="A104:C104"/>
    <mergeCell ref="A97:C97"/>
    <mergeCell ref="A112:C112"/>
    <mergeCell ref="A79:C79"/>
    <mergeCell ref="A3:F3"/>
    <mergeCell ref="A66:C66"/>
    <mergeCell ref="A74:C74"/>
    <mergeCell ref="A67:C67"/>
    <mergeCell ref="A77:C77"/>
    <mergeCell ref="A64:C64"/>
    <mergeCell ref="A75:C75"/>
    <mergeCell ref="A78:C78"/>
    <mergeCell ref="A76:C76"/>
    <mergeCell ref="A70:C70"/>
    <mergeCell ref="A72:C72"/>
    <mergeCell ref="A87:C87"/>
    <mergeCell ref="A89:C89"/>
    <mergeCell ref="A100:C100"/>
    <mergeCell ref="A115:C115"/>
    <mergeCell ref="A117:C117"/>
    <mergeCell ref="A116:C116"/>
    <mergeCell ref="A113:C113"/>
    <mergeCell ref="A95:C95"/>
    <mergeCell ref="A103:C103"/>
    <mergeCell ref="A88:C88"/>
    <mergeCell ref="A96:C96"/>
    <mergeCell ref="A99:C99"/>
    <mergeCell ref="A98:C98"/>
    <mergeCell ref="A107:C107"/>
    <mergeCell ref="A94:C94"/>
    <mergeCell ref="A114:C114"/>
    <mergeCell ref="A172:B172"/>
    <mergeCell ref="A170:B170"/>
    <mergeCell ref="A171:B171"/>
    <mergeCell ref="A118:C118"/>
    <mergeCell ref="A119:C119"/>
    <mergeCell ref="A142:B142"/>
    <mergeCell ref="A169:B169"/>
    <mergeCell ref="A136:B136"/>
    <mergeCell ref="A137:B137"/>
    <mergeCell ref="A145:G145"/>
    <mergeCell ref="A161:G161"/>
    <mergeCell ref="A167:G167"/>
    <mergeCell ref="A187:B187"/>
    <mergeCell ref="A186:B186"/>
    <mergeCell ref="A179:C179"/>
    <mergeCell ref="A173:B173"/>
    <mergeCell ref="A176:B176"/>
    <mergeCell ref="A177:B177"/>
    <mergeCell ref="A180:C180"/>
    <mergeCell ref="A175:B175"/>
    <mergeCell ref="A174:B174"/>
    <mergeCell ref="A81:C81"/>
    <mergeCell ref="A85:C85"/>
    <mergeCell ref="A143:B143"/>
    <mergeCell ref="A140:G140"/>
    <mergeCell ref="A127:B127"/>
    <mergeCell ref="A130:B130"/>
    <mergeCell ref="A128:B128"/>
    <mergeCell ref="A126:G126"/>
    <mergeCell ref="A123:A124"/>
    <mergeCell ref="A132:B132"/>
    <mergeCell ref="A131:B131"/>
    <mergeCell ref="A133:B133"/>
    <mergeCell ref="A134:B134"/>
    <mergeCell ref="A135:B135"/>
    <mergeCell ref="A129:B129"/>
    <mergeCell ref="A108:C108"/>
  </mergeCells>
  <phoneticPr fontId="46" type="noConversion"/>
  <printOptions horizontalCentered="1" verticalCentered="1"/>
  <pageMargins left="0.19685039370078741" right="0.19685039370078741" top="0.98425196850393704" bottom="0.59055118110236227" header="0.31496062992125984" footer="0.31496062992125984"/>
  <pageSetup paperSize="9" scale="55" orientation="landscape" r:id="rId1"/>
  <headerFooter>
    <oddHeader>&amp;L                                   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94"/>
  <sheetViews>
    <sheetView showGridLines="0" topLeftCell="A405" zoomScale="85" zoomScaleNormal="85" workbookViewId="0">
      <selection activeCell="I875" sqref="I875:R891"/>
    </sheetView>
  </sheetViews>
  <sheetFormatPr defaultColWidth="1.140625" defaultRowHeight="20.100000000000001" customHeight="1" x14ac:dyDescent="0.25"/>
  <cols>
    <col min="1" max="1" width="1.140625" style="483" customWidth="1"/>
    <col min="2" max="2" width="1" style="483" customWidth="1"/>
    <col min="3" max="3" width="7.28515625" style="483" customWidth="1"/>
    <col min="4" max="4" width="1.140625" style="483" customWidth="1"/>
    <col min="5" max="5" width="5.5703125" style="483" customWidth="1"/>
    <col min="6" max="6" width="1.140625" style="483" customWidth="1"/>
    <col min="7" max="7" width="1.28515625" style="483" customWidth="1"/>
    <col min="8" max="8" width="8" style="483" customWidth="1"/>
    <col min="9" max="9" width="65.140625" style="483" customWidth="1"/>
    <col min="10" max="10" width="22.7109375" style="483" customWidth="1"/>
    <col min="11" max="11" width="20" style="483" customWidth="1"/>
    <col min="12" max="12" width="13" style="483" customWidth="1"/>
    <col min="13" max="13" width="20.85546875" style="483" customWidth="1"/>
    <col min="14" max="14" width="13.28515625" style="483" customWidth="1"/>
    <col min="15" max="15" width="20" style="483" customWidth="1"/>
    <col min="16" max="16" width="13.28515625" style="483" customWidth="1"/>
    <col min="17" max="17" width="21.85546875" style="483" customWidth="1"/>
    <col min="18" max="18" width="11.140625" style="483" customWidth="1"/>
    <col min="19" max="19" width="7.140625" style="483" customWidth="1"/>
    <col min="20" max="20" width="3.5703125" style="483" customWidth="1"/>
    <col min="21" max="21" width="2" style="483" customWidth="1"/>
    <col min="22" max="22" width="14.5703125" style="483" customWidth="1"/>
    <col min="23" max="23" width="10.85546875" style="483" customWidth="1"/>
    <col min="24" max="24" width="1" style="483" customWidth="1"/>
    <col min="25" max="25" width="1.140625" style="483" customWidth="1"/>
    <col min="26" max="26" width="1.7109375" style="483" customWidth="1"/>
    <col min="27" max="27" width="5.85546875" style="483" customWidth="1"/>
    <col min="28" max="255" width="6.85546875" style="483" customWidth="1"/>
    <col min="256" max="256" width="1.140625" style="483"/>
    <col min="257" max="257" width="1.140625" style="483" customWidth="1"/>
    <col min="258" max="258" width="1" style="483" customWidth="1"/>
    <col min="259" max="259" width="7.28515625" style="483" customWidth="1"/>
    <col min="260" max="260" width="1.140625" style="483" customWidth="1"/>
    <col min="261" max="261" width="5.5703125" style="483" customWidth="1"/>
    <col min="262" max="262" width="1.140625" style="483" customWidth="1"/>
    <col min="263" max="263" width="1.28515625" style="483" customWidth="1"/>
    <col min="264" max="264" width="8" style="483" customWidth="1"/>
    <col min="265" max="265" width="65.140625" style="483" customWidth="1"/>
    <col min="266" max="266" width="22.7109375" style="483" customWidth="1"/>
    <col min="267" max="267" width="20" style="483" customWidth="1"/>
    <col min="268" max="268" width="13" style="483" customWidth="1"/>
    <col min="269" max="269" width="20.85546875" style="483" customWidth="1"/>
    <col min="270" max="270" width="13.28515625" style="483" customWidth="1"/>
    <col min="271" max="271" width="20" style="483" customWidth="1"/>
    <col min="272" max="272" width="13.28515625" style="483" customWidth="1"/>
    <col min="273" max="273" width="21.85546875" style="483" customWidth="1"/>
    <col min="274" max="274" width="11.140625" style="483" customWidth="1"/>
    <col min="275" max="275" width="7.140625" style="483" customWidth="1"/>
    <col min="276" max="276" width="3.5703125" style="483" customWidth="1"/>
    <col min="277" max="277" width="2" style="483" customWidth="1"/>
    <col min="278" max="278" width="14.5703125" style="483" customWidth="1"/>
    <col min="279" max="279" width="10.85546875" style="483" customWidth="1"/>
    <col min="280" max="280" width="1" style="483" customWidth="1"/>
    <col min="281" max="281" width="1.140625" style="483" customWidth="1"/>
    <col min="282" max="282" width="1.7109375" style="483" customWidth="1"/>
    <col min="283" max="283" width="5.85546875" style="483" customWidth="1"/>
    <col min="284" max="511" width="6.85546875" style="483" customWidth="1"/>
    <col min="512" max="512" width="1.140625" style="483"/>
    <col min="513" max="513" width="1.140625" style="483" customWidth="1"/>
    <col min="514" max="514" width="1" style="483" customWidth="1"/>
    <col min="515" max="515" width="7.28515625" style="483" customWidth="1"/>
    <col min="516" max="516" width="1.140625" style="483" customWidth="1"/>
    <col min="517" max="517" width="5.5703125" style="483" customWidth="1"/>
    <col min="518" max="518" width="1.140625" style="483" customWidth="1"/>
    <col min="519" max="519" width="1.28515625" style="483" customWidth="1"/>
    <col min="520" max="520" width="8" style="483" customWidth="1"/>
    <col min="521" max="521" width="65.140625" style="483" customWidth="1"/>
    <col min="522" max="522" width="22.7109375" style="483" customWidth="1"/>
    <col min="523" max="523" width="20" style="483" customWidth="1"/>
    <col min="524" max="524" width="13" style="483" customWidth="1"/>
    <col min="525" max="525" width="20.85546875" style="483" customWidth="1"/>
    <col min="526" max="526" width="13.28515625" style="483" customWidth="1"/>
    <col min="527" max="527" width="20" style="483" customWidth="1"/>
    <col min="528" max="528" width="13.28515625" style="483" customWidth="1"/>
    <col min="529" max="529" width="21.85546875" style="483" customWidth="1"/>
    <col min="530" max="530" width="11.140625" style="483" customWidth="1"/>
    <col min="531" max="531" width="7.140625" style="483" customWidth="1"/>
    <col min="532" max="532" width="3.5703125" style="483" customWidth="1"/>
    <col min="533" max="533" width="2" style="483" customWidth="1"/>
    <col min="534" max="534" width="14.5703125" style="483" customWidth="1"/>
    <col min="535" max="535" width="10.85546875" style="483" customWidth="1"/>
    <col min="536" max="536" width="1" style="483" customWidth="1"/>
    <col min="537" max="537" width="1.140625" style="483" customWidth="1"/>
    <col min="538" max="538" width="1.7109375" style="483" customWidth="1"/>
    <col min="539" max="539" width="5.85546875" style="483" customWidth="1"/>
    <col min="540" max="767" width="6.85546875" style="483" customWidth="1"/>
    <col min="768" max="768" width="1.140625" style="483"/>
    <col min="769" max="769" width="1.140625" style="483" customWidth="1"/>
    <col min="770" max="770" width="1" style="483" customWidth="1"/>
    <col min="771" max="771" width="7.28515625" style="483" customWidth="1"/>
    <col min="772" max="772" width="1.140625" style="483" customWidth="1"/>
    <col min="773" max="773" width="5.5703125" style="483" customWidth="1"/>
    <col min="774" max="774" width="1.140625" style="483" customWidth="1"/>
    <col min="775" max="775" width="1.28515625" style="483" customWidth="1"/>
    <col min="776" max="776" width="8" style="483" customWidth="1"/>
    <col min="777" max="777" width="65.140625" style="483" customWidth="1"/>
    <col min="778" max="778" width="22.7109375" style="483" customWidth="1"/>
    <col min="779" max="779" width="20" style="483" customWidth="1"/>
    <col min="780" max="780" width="13" style="483" customWidth="1"/>
    <col min="781" max="781" width="20.85546875" style="483" customWidth="1"/>
    <col min="782" max="782" width="13.28515625" style="483" customWidth="1"/>
    <col min="783" max="783" width="20" style="483" customWidth="1"/>
    <col min="784" max="784" width="13.28515625" style="483" customWidth="1"/>
    <col min="785" max="785" width="21.85546875" style="483" customWidth="1"/>
    <col min="786" max="786" width="11.140625" style="483" customWidth="1"/>
    <col min="787" max="787" width="7.140625" style="483" customWidth="1"/>
    <col min="788" max="788" width="3.5703125" style="483" customWidth="1"/>
    <col min="789" max="789" width="2" style="483" customWidth="1"/>
    <col min="790" max="790" width="14.5703125" style="483" customWidth="1"/>
    <col min="791" max="791" width="10.85546875" style="483" customWidth="1"/>
    <col min="792" max="792" width="1" style="483" customWidth="1"/>
    <col min="793" max="793" width="1.140625" style="483" customWidth="1"/>
    <col min="794" max="794" width="1.7109375" style="483" customWidth="1"/>
    <col min="795" max="795" width="5.85546875" style="483" customWidth="1"/>
    <col min="796" max="1023" width="6.85546875" style="483" customWidth="1"/>
    <col min="1024" max="1024" width="1.140625" style="483"/>
    <col min="1025" max="1025" width="1.140625" style="483" customWidth="1"/>
    <col min="1026" max="1026" width="1" style="483" customWidth="1"/>
    <col min="1027" max="1027" width="7.28515625" style="483" customWidth="1"/>
    <col min="1028" max="1028" width="1.140625" style="483" customWidth="1"/>
    <col min="1029" max="1029" width="5.5703125" style="483" customWidth="1"/>
    <col min="1030" max="1030" width="1.140625" style="483" customWidth="1"/>
    <col min="1031" max="1031" width="1.28515625" style="483" customWidth="1"/>
    <col min="1032" max="1032" width="8" style="483" customWidth="1"/>
    <col min="1033" max="1033" width="65.140625" style="483" customWidth="1"/>
    <col min="1034" max="1034" width="22.7109375" style="483" customWidth="1"/>
    <col min="1035" max="1035" width="20" style="483" customWidth="1"/>
    <col min="1036" max="1036" width="13" style="483" customWidth="1"/>
    <col min="1037" max="1037" width="20.85546875" style="483" customWidth="1"/>
    <col min="1038" max="1038" width="13.28515625" style="483" customWidth="1"/>
    <col min="1039" max="1039" width="20" style="483" customWidth="1"/>
    <col min="1040" max="1040" width="13.28515625" style="483" customWidth="1"/>
    <col min="1041" max="1041" width="21.85546875" style="483" customWidth="1"/>
    <col min="1042" max="1042" width="11.140625" style="483" customWidth="1"/>
    <col min="1043" max="1043" width="7.140625" style="483" customWidth="1"/>
    <col min="1044" max="1044" width="3.5703125" style="483" customWidth="1"/>
    <col min="1045" max="1045" width="2" style="483" customWidth="1"/>
    <col min="1046" max="1046" width="14.5703125" style="483" customWidth="1"/>
    <col min="1047" max="1047" width="10.85546875" style="483" customWidth="1"/>
    <col min="1048" max="1048" width="1" style="483" customWidth="1"/>
    <col min="1049" max="1049" width="1.140625" style="483" customWidth="1"/>
    <col min="1050" max="1050" width="1.7109375" style="483" customWidth="1"/>
    <col min="1051" max="1051" width="5.85546875" style="483" customWidth="1"/>
    <col min="1052" max="1279" width="6.85546875" style="483" customWidth="1"/>
    <col min="1280" max="1280" width="1.140625" style="483"/>
    <col min="1281" max="1281" width="1.140625" style="483" customWidth="1"/>
    <col min="1282" max="1282" width="1" style="483" customWidth="1"/>
    <col min="1283" max="1283" width="7.28515625" style="483" customWidth="1"/>
    <col min="1284" max="1284" width="1.140625" style="483" customWidth="1"/>
    <col min="1285" max="1285" width="5.5703125" style="483" customWidth="1"/>
    <col min="1286" max="1286" width="1.140625" style="483" customWidth="1"/>
    <col min="1287" max="1287" width="1.28515625" style="483" customWidth="1"/>
    <col min="1288" max="1288" width="8" style="483" customWidth="1"/>
    <col min="1289" max="1289" width="65.140625" style="483" customWidth="1"/>
    <col min="1290" max="1290" width="22.7109375" style="483" customWidth="1"/>
    <col min="1291" max="1291" width="20" style="483" customWidth="1"/>
    <col min="1292" max="1292" width="13" style="483" customWidth="1"/>
    <col min="1293" max="1293" width="20.85546875" style="483" customWidth="1"/>
    <col min="1294" max="1294" width="13.28515625" style="483" customWidth="1"/>
    <col min="1295" max="1295" width="20" style="483" customWidth="1"/>
    <col min="1296" max="1296" width="13.28515625" style="483" customWidth="1"/>
    <col min="1297" max="1297" width="21.85546875" style="483" customWidth="1"/>
    <col min="1298" max="1298" width="11.140625" style="483" customWidth="1"/>
    <col min="1299" max="1299" width="7.140625" style="483" customWidth="1"/>
    <col min="1300" max="1300" width="3.5703125" style="483" customWidth="1"/>
    <col min="1301" max="1301" width="2" style="483" customWidth="1"/>
    <col min="1302" max="1302" width="14.5703125" style="483" customWidth="1"/>
    <col min="1303" max="1303" width="10.85546875" style="483" customWidth="1"/>
    <col min="1304" max="1304" width="1" style="483" customWidth="1"/>
    <col min="1305" max="1305" width="1.140625" style="483" customWidth="1"/>
    <col min="1306" max="1306" width="1.7109375" style="483" customWidth="1"/>
    <col min="1307" max="1307" width="5.85546875" style="483" customWidth="1"/>
    <col min="1308" max="1535" width="6.85546875" style="483" customWidth="1"/>
    <col min="1536" max="1536" width="1.140625" style="483"/>
    <col min="1537" max="1537" width="1.140625" style="483" customWidth="1"/>
    <col min="1538" max="1538" width="1" style="483" customWidth="1"/>
    <col min="1539" max="1539" width="7.28515625" style="483" customWidth="1"/>
    <col min="1540" max="1540" width="1.140625" style="483" customWidth="1"/>
    <col min="1541" max="1541" width="5.5703125" style="483" customWidth="1"/>
    <col min="1542" max="1542" width="1.140625" style="483" customWidth="1"/>
    <col min="1543" max="1543" width="1.28515625" style="483" customWidth="1"/>
    <col min="1544" max="1544" width="8" style="483" customWidth="1"/>
    <col min="1545" max="1545" width="65.140625" style="483" customWidth="1"/>
    <col min="1546" max="1546" width="22.7109375" style="483" customWidth="1"/>
    <col min="1547" max="1547" width="20" style="483" customWidth="1"/>
    <col min="1548" max="1548" width="13" style="483" customWidth="1"/>
    <col min="1549" max="1549" width="20.85546875" style="483" customWidth="1"/>
    <col min="1550" max="1550" width="13.28515625" style="483" customWidth="1"/>
    <col min="1551" max="1551" width="20" style="483" customWidth="1"/>
    <col min="1552" max="1552" width="13.28515625" style="483" customWidth="1"/>
    <col min="1553" max="1553" width="21.85546875" style="483" customWidth="1"/>
    <col min="1554" max="1554" width="11.140625" style="483" customWidth="1"/>
    <col min="1555" max="1555" width="7.140625" style="483" customWidth="1"/>
    <col min="1556" max="1556" width="3.5703125" style="483" customWidth="1"/>
    <col min="1557" max="1557" width="2" style="483" customWidth="1"/>
    <col min="1558" max="1558" width="14.5703125" style="483" customWidth="1"/>
    <col min="1559" max="1559" width="10.85546875" style="483" customWidth="1"/>
    <col min="1560" max="1560" width="1" style="483" customWidth="1"/>
    <col min="1561" max="1561" width="1.140625" style="483" customWidth="1"/>
    <col min="1562" max="1562" width="1.7109375" style="483" customWidth="1"/>
    <col min="1563" max="1563" width="5.85546875" style="483" customWidth="1"/>
    <col min="1564" max="1791" width="6.85546875" style="483" customWidth="1"/>
    <col min="1792" max="1792" width="1.140625" style="483"/>
    <col min="1793" max="1793" width="1.140625" style="483" customWidth="1"/>
    <col min="1794" max="1794" width="1" style="483" customWidth="1"/>
    <col min="1795" max="1795" width="7.28515625" style="483" customWidth="1"/>
    <col min="1796" max="1796" width="1.140625" style="483" customWidth="1"/>
    <col min="1797" max="1797" width="5.5703125" style="483" customWidth="1"/>
    <col min="1798" max="1798" width="1.140625" style="483" customWidth="1"/>
    <col min="1799" max="1799" width="1.28515625" style="483" customWidth="1"/>
    <col min="1800" max="1800" width="8" style="483" customWidth="1"/>
    <col min="1801" max="1801" width="65.140625" style="483" customWidth="1"/>
    <col min="1802" max="1802" width="22.7109375" style="483" customWidth="1"/>
    <col min="1803" max="1803" width="20" style="483" customWidth="1"/>
    <col min="1804" max="1804" width="13" style="483" customWidth="1"/>
    <col min="1805" max="1805" width="20.85546875" style="483" customWidth="1"/>
    <col min="1806" max="1806" width="13.28515625" style="483" customWidth="1"/>
    <col min="1807" max="1807" width="20" style="483" customWidth="1"/>
    <col min="1808" max="1808" width="13.28515625" style="483" customWidth="1"/>
    <col min="1809" max="1809" width="21.85546875" style="483" customWidth="1"/>
    <col min="1810" max="1810" width="11.140625" style="483" customWidth="1"/>
    <col min="1811" max="1811" width="7.140625" style="483" customWidth="1"/>
    <col min="1812" max="1812" width="3.5703125" style="483" customWidth="1"/>
    <col min="1813" max="1813" width="2" style="483" customWidth="1"/>
    <col min="1814" max="1814" width="14.5703125" style="483" customWidth="1"/>
    <col min="1815" max="1815" width="10.85546875" style="483" customWidth="1"/>
    <col min="1816" max="1816" width="1" style="483" customWidth="1"/>
    <col min="1817" max="1817" width="1.140625" style="483" customWidth="1"/>
    <col min="1818" max="1818" width="1.7109375" style="483" customWidth="1"/>
    <col min="1819" max="1819" width="5.85546875" style="483" customWidth="1"/>
    <col min="1820" max="2047" width="6.85546875" style="483" customWidth="1"/>
    <col min="2048" max="2048" width="1.140625" style="483"/>
    <col min="2049" max="2049" width="1.140625" style="483" customWidth="1"/>
    <col min="2050" max="2050" width="1" style="483" customWidth="1"/>
    <col min="2051" max="2051" width="7.28515625" style="483" customWidth="1"/>
    <col min="2052" max="2052" width="1.140625" style="483" customWidth="1"/>
    <col min="2053" max="2053" width="5.5703125" style="483" customWidth="1"/>
    <col min="2054" max="2054" width="1.140625" style="483" customWidth="1"/>
    <col min="2055" max="2055" width="1.28515625" style="483" customWidth="1"/>
    <col min="2056" max="2056" width="8" style="483" customWidth="1"/>
    <col min="2057" max="2057" width="65.140625" style="483" customWidth="1"/>
    <col min="2058" max="2058" width="22.7109375" style="483" customWidth="1"/>
    <col min="2059" max="2059" width="20" style="483" customWidth="1"/>
    <col min="2060" max="2060" width="13" style="483" customWidth="1"/>
    <col min="2061" max="2061" width="20.85546875" style="483" customWidth="1"/>
    <col min="2062" max="2062" width="13.28515625" style="483" customWidth="1"/>
    <col min="2063" max="2063" width="20" style="483" customWidth="1"/>
    <col min="2064" max="2064" width="13.28515625" style="483" customWidth="1"/>
    <col min="2065" max="2065" width="21.85546875" style="483" customWidth="1"/>
    <col min="2066" max="2066" width="11.140625" style="483" customWidth="1"/>
    <col min="2067" max="2067" width="7.140625" style="483" customWidth="1"/>
    <col min="2068" max="2068" width="3.5703125" style="483" customWidth="1"/>
    <col min="2069" max="2069" width="2" style="483" customWidth="1"/>
    <col min="2070" max="2070" width="14.5703125" style="483" customWidth="1"/>
    <col min="2071" max="2071" width="10.85546875" style="483" customWidth="1"/>
    <col min="2072" max="2072" width="1" style="483" customWidth="1"/>
    <col min="2073" max="2073" width="1.140625" style="483" customWidth="1"/>
    <col min="2074" max="2074" width="1.7109375" style="483" customWidth="1"/>
    <col min="2075" max="2075" width="5.85546875" style="483" customWidth="1"/>
    <col min="2076" max="2303" width="6.85546875" style="483" customWidth="1"/>
    <col min="2304" max="2304" width="1.140625" style="483"/>
    <col min="2305" max="2305" width="1.140625" style="483" customWidth="1"/>
    <col min="2306" max="2306" width="1" style="483" customWidth="1"/>
    <col min="2307" max="2307" width="7.28515625" style="483" customWidth="1"/>
    <col min="2308" max="2308" width="1.140625" style="483" customWidth="1"/>
    <col min="2309" max="2309" width="5.5703125" style="483" customWidth="1"/>
    <col min="2310" max="2310" width="1.140625" style="483" customWidth="1"/>
    <col min="2311" max="2311" width="1.28515625" style="483" customWidth="1"/>
    <col min="2312" max="2312" width="8" style="483" customWidth="1"/>
    <col min="2313" max="2313" width="65.140625" style="483" customWidth="1"/>
    <col min="2314" max="2314" width="22.7109375" style="483" customWidth="1"/>
    <col min="2315" max="2315" width="20" style="483" customWidth="1"/>
    <col min="2316" max="2316" width="13" style="483" customWidth="1"/>
    <col min="2317" max="2317" width="20.85546875" style="483" customWidth="1"/>
    <col min="2318" max="2318" width="13.28515625" style="483" customWidth="1"/>
    <col min="2319" max="2319" width="20" style="483" customWidth="1"/>
    <col min="2320" max="2320" width="13.28515625" style="483" customWidth="1"/>
    <col min="2321" max="2321" width="21.85546875" style="483" customWidth="1"/>
    <col min="2322" max="2322" width="11.140625" style="483" customWidth="1"/>
    <col min="2323" max="2323" width="7.140625" style="483" customWidth="1"/>
    <col min="2324" max="2324" width="3.5703125" style="483" customWidth="1"/>
    <col min="2325" max="2325" width="2" style="483" customWidth="1"/>
    <col min="2326" max="2326" width="14.5703125" style="483" customWidth="1"/>
    <col min="2327" max="2327" width="10.85546875" style="483" customWidth="1"/>
    <col min="2328" max="2328" width="1" style="483" customWidth="1"/>
    <col min="2329" max="2329" width="1.140625" style="483" customWidth="1"/>
    <col min="2330" max="2330" width="1.7109375" style="483" customWidth="1"/>
    <col min="2331" max="2331" width="5.85546875" style="483" customWidth="1"/>
    <col min="2332" max="2559" width="6.85546875" style="483" customWidth="1"/>
    <col min="2560" max="2560" width="1.140625" style="483"/>
    <col min="2561" max="2561" width="1.140625" style="483" customWidth="1"/>
    <col min="2562" max="2562" width="1" style="483" customWidth="1"/>
    <col min="2563" max="2563" width="7.28515625" style="483" customWidth="1"/>
    <col min="2564" max="2564" width="1.140625" style="483" customWidth="1"/>
    <col min="2565" max="2565" width="5.5703125" style="483" customWidth="1"/>
    <col min="2566" max="2566" width="1.140625" style="483" customWidth="1"/>
    <col min="2567" max="2567" width="1.28515625" style="483" customWidth="1"/>
    <col min="2568" max="2568" width="8" style="483" customWidth="1"/>
    <col min="2569" max="2569" width="65.140625" style="483" customWidth="1"/>
    <col min="2570" max="2570" width="22.7109375" style="483" customWidth="1"/>
    <col min="2571" max="2571" width="20" style="483" customWidth="1"/>
    <col min="2572" max="2572" width="13" style="483" customWidth="1"/>
    <col min="2573" max="2573" width="20.85546875" style="483" customWidth="1"/>
    <col min="2574" max="2574" width="13.28515625" style="483" customWidth="1"/>
    <col min="2575" max="2575" width="20" style="483" customWidth="1"/>
    <col min="2576" max="2576" width="13.28515625" style="483" customWidth="1"/>
    <col min="2577" max="2577" width="21.85546875" style="483" customWidth="1"/>
    <col min="2578" max="2578" width="11.140625" style="483" customWidth="1"/>
    <col min="2579" max="2579" width="7.140625" style="483" customWidth="1"/>
    <col min="2580" max="2580" width="3.5703125" style="483" customWidth="1"/>
    <col min="2581" max="2581" width="2" style="483" customWidth="1"/>
    <col min="2582" max="2582" width="14.5703125" style="483" customWidth="1"/>
    <col min="2583" max="2583" width="10.85546875" style="483" customWidth="1"/>
    <col min="2584" max="2584" width="1" style="483" customWidth="1"/>
    <col min="2585" max="2585" width="1.140625" style="483" customWidth="1"/>
    <col min="2586" max="2586" width="1.7109375" style="483" customWidth="1"/>
    <col min="2587" max="2587" width="5.85546875" style="483" customWidth="1"/>
    <col min="2588" max="2815" width="6.85546875" style="483" customWidth="1"/>
    <col min="2816" max="2816" width="1.140625" style="483"/>
    <col min="2817" max="2817" width="1.140625" style="483" customWidth="1"/>
    <col min="2818" max="2818" width="1" style="483" customWidth="1"/>
    <col min="2819" max="2819" width="7.28515625" style="483" customWidth="1"/>
    <col min="2820" max="2820" width="1.140625" style="483" customWidth="1"/>
    <col min="2821" max="2821" width="5.5703125" style="483" customWidth="1"/>
    <col min="2822" max="2822" width="1.140625" style="483" customWidth="1"/>
    <col min="2823" max="2823" width="1.28515625" style="483" customWidth="1"/>
    <col min="2824" max="2824" width="8" style="483" customWidth="1"/>
    <col min="2825" max="2825" width="65.140625" style="483" customWidth="1"/>
    <col min="2826" max="2826" width="22.7109375" style="483" customWidth="1"/>
    <col min="2827" max="2827" width="20" style="483" customWidth="1"/>
    <col min="2828" max="2828" width="13" style="483" customWidth="1"/>
    <col min="2829" max="2829" width="20.85546875" style="483" customWidth="1"/>
    <col min="2830" max="2830" width="13.28515625" style="483" customWidth="1"/>
    <col min="2831" max="2831" width="20" style="483" customWidth="1"/>
    <col min="2832" max="2832" width="13.28515625" style="483" customWidth="1"/>
    <col min="2833" max="2833" width="21.85546875" style="483" customWidth="1"/>
    <col min="2834" max="2834" width="11.140625" style="483" customWidth="1"/>
    <col min="2835" max="2835" width="7.140625" style="483" customWidth="1"/>
    <col min="2836" max="2836" width="3.5703125" style="483" customWidth="1"/>
    <col min="2837" max="2837" width="2" style="483" customWidth="1"/>
    <col min="2838" max="2838" width="14.5703125" style="483" customWidth="1"/>
    <col min="2839" max="2839" width="10.85546875" style="483" customWidth="1"/>
    <col min="2840" max="2840" width="1" style="483" customWidth="1"/>
    <col min="2841" max="2841" width="1.140625" style="483" customWidth="1"/>
    <col min="2842" max="2842" width="1.7109375" style="483" customWidth="1"/>
    <col min="2843" max="2843" width="5.85546875" style="483" customWidth="1"/>
    <col min="2844" max="3071" width="6.85546875" style="483" customWidth="1"/>
    <col min="3072" max="3072" width="1.140625" style="483"/>
    <col min="3073" max="3073" width="1.140625" style="483" customWidth="1"/>
    <col min="3074" max="3074" width="1" style="483" customWidth="1"/>
    <col min="3075" max="3075" width="7.28515625" style="483" customWidth="1"/>
    <col min="3076" max="3076" width="1.140625" style="483" customWidth="1"/>
    <col min="3077" max="3077" width="5.5703125" style="483" customWidth="1"/>
    <col min="3078" max="3078" width="1.140625" style="483" customWidth="1"/>
    <col min="3079" max="3079" width="1.28515625" style="483" customWidth="1"/>
    <col min="3080" max="3080" width="8" style="483" customWidth="1"/>
    <col min="3081" max="3081" width="65.140625" style="483" customWidth="1"/>
    <col min="3082" max="3082" width="22.7109375" style="483" customWidth="1"/>
    <col min="3083" max="3083" width="20" style="483" customWidth="1"/>
    <col min="3084" max="3084" width="13" style="483" customWidth="1"/>
    <col min="3085" max="3085" width="20.85546875" style="483" customWidth="1"/>
    <col min="3086" max="3086" width="13.28515625" style="483" customWidth="1"/>
    <col min="3087" max="3087" width="20" style="483" customWidth="1"/>
    <col min="3088" max="3088" width="13.28515625" style="483" customWidth="1"/>
    <col min="3089" max="3089" width="21.85546875" style="483" customWidth="1"/>
    <col min="3090" max="3090" width="11.140625" style="483" customWidth="1"/>
    <col min="3091" max="3091" width="7.140625" style="483" customWidth="1"/>
    <col min="3092" max="3092" width="3.5703125" style="483" customWidth="1"/>
    <col min="3093" max="3093" width="2" style="483" customWidth="1"/>
    <col min="3094" max="3094" width="14.5703125" style="483" customWidth="1"/>
    <col min="3095" max="3095" width="10.85546875" style="483" customWidth="1"/>
    <col min="3096" max="3096" width="1" style="483" customWidth="1"/>
    <col min="3097" max="3097" width="1.140625" style="483" customWidth="1"/>
    <col min="3098" max="3098" width="1.7109375" style="483" customWidth="1"/>
    <col min="3099" max="3099" width="5.85546875" style="483" customWidth="1"/>
    <col min="3100" max="3327" width="6.85546875" style="483" customWidth="1"/>
    <col min="3328" max="3328" width="1.140625" style="483"/>
    <col min="3329" max="3329" width="1.140625" style="483" customWidth="1"/>
    <col min="3330" max="3330" width="1" style="483" customWidth="1"/>
    <col min="3331" max="3331" width="7.28515625" style="483" customWidth="1"/>
    <col min="3332" max="3332" width="1.140625" style="483" customWidth="1"/>
    <col min="3333" max="3333" width="5.5703125" style="483" customWidth="1"/>
    <col min="3334" max="3334" width="1.140625" style="483" customWidth="1"/>
    <col min="3335" max="3335" width="1.28515625" style="483" customWidth="1"/>
    <col min="3336" max="3336" width="8" style="483" customWidth="1"/>
    <col min="3337" max="3337" width="65.140625" style="483" customWidth="1"/>
    <col min="3338" max="3338" width="22.7109375" style="483" customWidth="1"/>
    <col min="3339" max="3339" width="20" style="483" customWidth="1"/>
    <col min="3340" max="3340" width="13" style="483" customWidth="1"/>
    <col min="3341" max="3341" width="20.85546875" style="483" customWidth="1"/>
    <col min="3342" max="3342" width="13.28515625" style="483" customWidth="1"/>
    <col min="3343" max="3343" width="20" style="483" customWidth="1"/>
    <col min="3344" max="3344" width="13.28515625" style="483" customWidth="1"/>
    <col min="3345" max="3345" width="21.85546875" style="483" customWidth="1"/>
    <col min="3346" max="3346" width="11.140625" style="483" customWidth="1"/>
    <col min="3347" max="3347" width="7.140625" style="483" customWidth="1"/>
    <col min="3348" max="3348" width="3.5703125" style="483" customWidth="1"/>
    <col min="3349" max="3349" width="2" style="483" customWidth="1"/>
    <col min="3350" max="3350" width="14.5703125" style="483" customWidth="1"/>
    <col min="3351" max="3351" width="10.85546875" style="483" customWidth="1"/>
    <col min="3352" max="3352" width="1" style="483" customWidth="1"/>
    <col min="3353" max="3353" width="1.140625" style="483" customWidth="1"/>
    <col min="3354" max="3354" width="1.7109375" style="483" customWidth="1"/>
    <col min="3355" max="3355" width="5.85546875" style="483" customWidth="1"/>
    <col min="3356" max="3583" width="6.85546875" style="483" customWidth="1"/>
    <col min="3584" max="3584" width="1.140625" style="483"/>
    <col min="3585" max="3585" width="1.140625" style="483" customWidth="1"/>
    <col min="3586" max="3586" width="1" style="483" customWidth="1"/>
    <col min="3587" max="3587" width="7.28515625" style="483" customWidth="1"/>
    <col min="3588" max="3588" width="1.140625" style="483" customWidth="1"/>
    <col min="3589" max="3589" width="5.5703125" style="483" customWidth="1"/>
    <col min="3590" max="3590" width="1.140625" style="483" customWidth="1"/>
    <col min="3591" max="3591" width="1.28515625" style="483" customWidth="1"/>
    <col min="3592" max="3592" width="8" style="483" customWidth="1"/>
    <col min="3593" max="3593" width="65.140625" style="483" customWidth="1"/>
    <col min="3594" max="3594" width="22.7109375" style="483" customWidth="1"/>
    <col min="3595" max="3595" width="20" style="483" customWidth="1"/>
    <col min="3596" max="3596" width="13" style="483" customWidth="1"/>
    <col min="3597" max="3597" width="20.85546875" style="483" customWidth="1"/>
    <col min="3598" max="3598" width="13.28515625" style="483" customWidth="1"/>
    <col min="3599" max="3599" width="20" style="483" customWidth="1"/>
    <col min="3600" max="3600" width="13.28515625" style="483" customWidth="1"/>
    <col min="3601" max="3601" width="21.85546875" style="483" customWidth="1"/>
    <col min="3602" max="3602" width="11.140625" style="483" customWidth="1"/>
    <col min="3603" max="3603" width="7.140625" style="483" customWidth="1"/>
    <col min="3604" max="3604" width="3.5703125" style="483" customWidth="1"/>
    <col min="3605" max="3605" width="2" style="483" customWidth="1"/>
    <col min="3606" max="3606" width="14.5703125" style="483" customWidth="1"/>
    <col min="3607" max="3607" width="10.85546875" style="483" customWidth="1"/>
    <col min="3608" max="3608" width="1" style="483" customWidth="1"/>
    <col min="3609" max="3609" width="1.140625" style="483" customWidth="1"/>
    <col min="3610" max="3610" width="1.7109375" style="483" customWidth="1"/>
    <col min="3611" max="3611" width="5.85546875" style="483" customWidth="1"/>
    <col min="3612" max="3839" width="6.85546875" style="483" customWidth="1"/>
    <col min="3840" max="3840" width="1.140625" style="483"/>
    <col min="3841" max="3841" width="1.140625" style="483" customWidth="1"/>
    <col min="3842" max="3842" width="1" style="483" customWidth="1"/>
    <col min="3843" max="3843" width="7.28515625" style="483" customWidth="1"/>
    <col min="3844" max="3844" width="1.140625" style="483" customWidth="1"/>
    <col min="3845" max="3845" width="5.5703125" style="483" customWidth="1"/>
    <col min="3846" max="3846" width="1.140625" style="483" customWidth="1"/>
    <col min="3847" max="3847" width="1.28515625" style="483" customWidth="1"/>
    <col min="3848" max="3848" width="8" style="483" customWidth="1"/>
    <col min="3849" max="3849" width="65.140625" style="483" customWidth="1"/>
    <col min="3850" max="3850" width="22.7109375" style="483" customWidth="1"/>
    <col min="3851" max="3851" width="20" style="483" customWidth="1"/>
    <col min="3852" max="3852" width="13" style="483" customWidth="1"/>
    <col min="3853" max="3853" width="20.85546875" style="483" customWidth="1"/>
    <col min="3854" max="3854" width="13.28515625" style="483" customWidth="1"/>
    <col min="3855" max="3855" width="20" style="483" customWidth="1"/>
    <col min="3856" max="3856" width="13.28515625" style="483" customWidth="1"/>
    <col min="3857" max="3857" width="21.85546875" style="483" customWidth="1"/>
    <col min="3858" max="3858" width="11.140625" style="483" customWidth="1"/>
    <col min="3859" max="3859" width="7.140625" style="483" customWidth="1"/>
    <col min="3860" max="3860" width="3.5703125" style="483" customWidth="1"/>
    <col min="3861" max="3861" width="2" style="483" customWidth="1"/>
    <col min="3862" max="3862" width="14.5703125" style="483" customWidth="1"/>
    <col min="3863" max="3863" width="10.85546875" style="483" customWidth="1"/>
    <col min="3864" max="3864" width="1" style="483" customWidth="1"/>
    <col min="3865" max="3865" width="1.140625" style="483" customWidth="1"/>
    <col min="3866" max="3866" width="1.7109375" style="483" customWidth="1"/>
    <col min="3867" max="3867" width="5.85546875" style="483" customWidth="1"/>
    <col min="3868" max="4095" width="6.85546875" style="483" customWidth="1"/>
    <col min="4096" max="4096" width="1.140625" style="483"/>
    <col min="4097" max="4097" width="1.140625" style="483" customWidth="1"/>
    <col min="4098" max="4098" width="1" style="483" customWidth="1"/>
    <col min="4099" max="4099" width="7.28515625" style="483" customWidth="1"/>
    <col min="4100" max="4100" width="1.140625" style="483" customWidth="1"/>
    <col min="4101" max="4101" width="5.5703125" style="483" customWidth="1"/>
    <col min="4102" max="4102" width="1.140625" style="483" customWidth="1"/>
    <col min="4103" max="4103" width="1.28515625" style="483" customWidth="1"/>
    <col min="4104" max="4104" width="8" style="483" customWidth="1"/>
    <col min="4105" max="4105" width="65.140625" style="483" customWidth="1"/>
    <col min="4106" max="4106" width="22.7109375" style="483" customWidth="1"/>
    <col min="4107" max="4107" width="20" style="483" customWidth="1"/>
    <col min="4108" max="4108" width="13" style="483" customWidth="1"/>
    <col min="4109" max="4109" width="20.85546875" style="483" customWidth="1"/>
    <col min="4110" max="4110" width="13.28515625" style="483" customWidth="1"/>
    <col min="4111" max="4111" width="20" style="483" customWidth="1"/>
    <col min="4112" max="4112" width="13.28515625" style="483" customWidth="1"/>
    <col min="4113" max="4113" width="21.85546875" style="483" customWidth="1"/>
    <col min="4114" max="4114" width="11.140625" style="483" customWidth="1"/>
    <col min="4115" max="4115" width="7.140625" style="483" customWidth="1"/>
    <col min="4116" max="4116" width="3.5703125" style="483" customWidth="1"/>
    <col min="4117" max="4117" width="2" style="483" customWidth="1"/>
    <col min="4118" max="4118" width="14.5703125" style="483" customWidth="1"/>
    <col min="4119" max="4119" width="10.85546875" style="483" customWidth="1"/>
    <col min="4120" max="4120" width="1" style="483" customWidth="1"/>
    <col min="4121" max="4121" width="1.140625" style="483" customWidth="1"/>
    <col min="4122" max="4122" width="1.7109375" style="483" customWidth="1"/>
    <col min="4123" max="4123" width="5.85546875" style="483" customWidth="1"/>
    <col min="4124" max="4351" width="6.85546875" style="483" customWidth="1"/>
    <col min="4352" max="4352" width="1.140625" style="483"/>
    <col min="4353" max="4353" width="1.140625" style="483" customWidth="1"/>
    <col min="4354" max="4354" width="1" style="483" customWidth="1"/>
    <col min="4355" max="4355" width="7.28515625" style="483" customWidth="1"/>
    <col min="4356" max="4356" width="1.140625" style="483" customWidth="1"/>
    <col min="4357" max="4357" width="5.5703125" style="483" customWidth="1"/>
    <col min="4358" max="4358" width="1.140625" style="483" customWidth="1"/>
    <col min="4359" max="4359" width="1.28515625" style="483" customWidth="1"/>
    <col min="4360" max="4360" width="8" style="483" customWidth="1"/>
    <col min="4361" max="4361" width="65.140625" style="483" customWidth="1"/>
    <col min="4362" max="4362" width="22.7109375" style="483" customWidth="1"/>
    <col min="4363" max="4363" width="20" style="483" customWidth="1"/>
    <col min="4364" max="4364" width="13" style="483" customWidth="1"/>
    <col min="4365" max="4365" width="20.85546875" style="483" customWidth="1"/>
    <col min="4366" max="4366" width="13.28515625" style="483" customWidth="1"/>
    <col min="4367" max="4367" width="20" style="483" customWidth="1"/>
    <col min="4368" max="4368" width="13.28515625" style="483" customWidth="1"/>
    <col min="4369" max="4369" width="21.85546875" style="483" customWidth="1"/>
    <col min="4370" max="4370" width="11.140625" style="483" customWidth="1"/>
    <col min="4371" max="4371" width="7.140625" style="483" customWidth="1"/>
    <col min="4372" max="4372" width="3.5703125" style="483" customWidth="1"/>
    <col min="4373" max="4373" width="2" style="483" customWidth="1"/>
    <col min="4374" max="4374" width="14.5703125" style="483" customWidth="1"/>
    <col min="4375" max="4375" width="10.85546875" style="483" customWidth="1"/>
    <col min="4376" max="4376" width="1" style="483" customWidth="1"/>
    <col min="4377" max="4377" width="1.140625" style="483" customWidth="1"/>
    <col min="4378" max="4378" width="1.7109375" style="483" customWidth="1"/>
    <col min="4379" max="4379" width="5.85546875" style="483" customWidth="1"/>
    <col min="4380" max="4607" width="6.85546875" style="483" customWidth="1"/>
    <col min="4608" max="4608" width="1.140625" style="483"/>
    <col min="4609" max="4609" width="1.140625" style="483" customWidth="1"/>
    <col min="4610" max="4610" width="1" style="483" customWidth="1"/>
    <col min="4611" max="4611" width="7.28515625" style="483" customWidth="1"/>
    <col min="4612" max="4612" width="1.140625" style="483" customWidth="1"/>
    <col min="4613" max="4613" width="5.5703125" style="483" customWidth="1"/>
    <col min="4614" max="4614" width="1.140625" style="483" customWidth="1"/>
    <col min="4615" max="4615" width="1.28515625" style="483" customWidth="1"/>
    <col min="4616" max="4616" width="8" style="483" customWidth="1"/>
    <col min="4617" max="4617" width="65.140625" style="483" customWidth="1"/>
    <col min="4618" max="4618" width="22.7109375" style="483" customWidth="1"/>
    <col min="4619" max="4619" width="20" style="483" customWidth="1"/>
    <col min="4620" max="4620" width="13" style="483" customWidth="1"/>
    <col min="4621" max="4621" width="20.85546875" style="483" customWidth="1"/>
    <col min="4622" max="4622" width="13.28515625" style="483" customWidth="1"/>
    <col min="4623" max="4623" width="20" style="483" customWidth="1"/>
    <col min="4624" max="4624" width="13.28515625" style="483" customWidth="1"/>
    <col min="4625" max="4625" width="21.85546875" style="483" customWidth="1"/>
    <col min="4626" max="4626" width="11.140625" style="483" customWidth="1"/>
    <col min="4627" max="4627" width="7.140625" style="483" customWidth="1"/>
    <col min="4628" max="4628" width="3.5703125" style="483" customWidth="1"/>
    <col min="4629" max="4629" width="2" style="483" customWidth="1"/>
    <col min="4630" max="4630" width="14.5703125" style="483" customWidth="1"/>
    <col min="4631" max="4631" width="10.85546875" style="483" customWidth="1"/>
    <col min="4632" max="4632" width="1" style="483" customWidth="1"/>
    <col min="4633" max="4633" width="1.140625" style="483" customWidth="1"/>
    <col min="4634" max="4634" width="1.7109375" style="483" customWidth="1"/>
    <col min="4635" max="4635" width="5.85546875" style="483" customWidth="1"/>
    <col min="4636" max="4863" width="6.85546875" style="483" customWidth="1"/>
    <col min="4864" max="4864" width="1.140625" style="483"/>
    <col min="4865" max="4865" width="1.140625" style="483" customWidth="1"/>
    <col min="4866" max="4866" width="1" style="483" customWidth="1"/>
    <col min="4867" max="4867" width="7.28515625" style="483" customWidth="1"/>
    <col min="4868" max="4868" width="1.140625" style="483" customWidth="1"/>
    <col min="4869" max="4869" width="5.5703125" style="483" customWidth="1"/>
    <col min="4870" max="4870" width="1.140625" style="483" customWidth="1"/>
    <col min="4871" max="4871" width="1.28515625" style="483" customWidth="1"/>
    <col min="4872" max="4872" width="8" style="483" customWidth="1"/>
    <col min="4873" max="4873" width="65.140625" style="483" customWidth="1"/>
    <col min="4874" max="4874" width="22.7109375" style="483" customWidth="1"/>
    <col min="4875" max="4875" width="20" style="483" customWidth="1"/>
    <col min="4876" max="4876" width="13" style="483" customWidth="1"/>
    <col min="4877" max="4877" width="20.85546875" style="483" customWidth="1"/>
    <col min="4878" max="4878" width="13.28515625" style="483" customWidth="1"/>
    <col min="4879" max="4879" width="20" style="483" customWidth="1"/>
    <col min="4880" max="4880" width="13.28515625" style="483" customWidth="1"/>
    <col min="4881" max="4881" width="21.85546875" style="483" customWidth="1"/>
    <col min="4882" max="4882" width="11.140625" style="483" customWidth="1"/>
    <col min="4883" max="4883" width="7.140625" style="483" customWidth="1"/>
    <col min="4884" max="4884" width="3.5703125" style="483" customWidth="1"/>
    <col min="4885" max="4885" width="2" style="483" customWidth="1"/>
    <col min="4886" max="4886" width="14.5703125" style="483" customWidth="1"/>
    <col min="4887" max="4887" width="10.85546875" style="483" customWidth="1"/>
    <col min="4888" max="4888" width="1" style="483" customWidth="1"/>
    <col min="4889" max="4889" width="1.140625" style="483" customWidth="1"/>
    <col min="4890" max="4890" width="1.7109375" style="483" customWidth="1"/>
    <col min="4891" max="4891" width="5.85546875" style="483" customWidth="1"/>
    <col min="4892" max="5119" width="6.85546875" style="483" customWidth="1"/>
    <col min="5120" max="5120" width="1.140625" style="483"/>
    <col min="5121" max="5121" width="1.140625" style="483" customWidth="1"/>
    <col min="5122" max="5122" width="1" style="483" customWidth="1"/>
    <col min="5123" max="5123" width="7.28515625" style="483" customWidth="1"/>
    <col min="5124" max="5124" width="1.140625" style="483" customWidth="1"/>
    <col min="5125" max="5125" width="5.5703125" style="483" customWidth="1"/>
    <col min="5126" max="5126" width="1.140625" style="483" customWidth="1"/>
    <col min="5127" max="5127" width="1.28515625" style="483" customWidth="1"/>
    <col min="5128" max="5128" width="8" style="483" customWidth="1"/>
    <col min="5129" max="5129" width="65.140625" style="483" customWidth="1"/>
    <col min="5130" max="5130" width="22.7109375" style="483" customWidth="1"/>
    <col min="5131" max="5131" width="20" style="483" customWidth="1"/>
    <col min="5132" max="5132" width="13" style="483" customWidth="1"/>
    <col min="5133" max="5133" width="20.85546875" style="483" customWidth="1"/>
    <col min="5134" max="5134" width="13.28515625" style="483" customWidth="1"/>
    <col min="5135" max="5135" width="20" style="483" customWidth="1"/>
    <col min="5136" max="5136" width="13.28515625" style="483" customWidth="1"/>
    <col min="5137" max="5137" width="21.85546875" style="483" customWidth="1"/>
    <col min="5138" max="5138" width="11.140625" style="483" customWidth="1"/>
    <col min="5139" max="5139" width="7.140625" style="483" customWidth="1"/>
    <col min="5140" max="5140" width="3.5703125" style="483" customWidth="1"/>
    <col min="5141" max="5141" width="2" style="483" customWidth="1"/>
    <col min="5142" max="5142" width="14.5703125" style="483" customWidth="1"/>
    <col min="5143" max="5143" width="10.85546875" style="483" customWidth="1"/>
    <col min="5144" max="5144" width="1" style="483" customWidth="1"/>
    <col min="5145" max="5145" width="1.140625" style="483" customWidth="1"/>
    <col min="5146" max="5146" width="1.7109375" style="483" customWidth="1"/>
    <col min="5147" max="5147" width="5.85546875" style="483" customWidth="1"/>
    <col min="5148" max="5375" width="6.85546875" style="483" customWidth="1"/>
    <col min="5376" max="5376" width="1.140625" style="483"/>
    <col min="5377" max="5377" width="1.140625" style="483" customWidth="1"/>
    <col min="5378" max="5378" width="1" style="483" customWidth="1"/>
    <col min="5379" max="5379" width="7.28515625" style="483" customWidth="1"/>
    <col min="5380" max="5380" width="1.140625" style="483" customWidth="1"/>
    <col min="5381" max="5381" width="5.5703125" style="483" customWidth="1"/>
    <col min="5382" max="5382" width="1.140625" style="483" customWidth="1"/>
    <col min="5383" max="5383" width="1.28515625" style="483" customWidth="1"/>
    <col min="5384" max="5384" width="8" style="483" customWidth="1"/>
    <col min="5385" max="5385" width="65.140625" style="483" customWidth="1"/>
    <col min="5386" max="5386" width="22.7109375" style="483" customWidth="1"/>
    <col min="5387" max="5387" width="20" style="483" customWidth="1"/>
    <col min="5388" max="5388" width="13" style="483" customWidth="1"/>
    <col min="5389" max="5389" width="20.85546875" style="483" customWidth="1"/>
    <col min="5390" max="5390" width="13.28515625" style="483" customWidth="1"/>
    <col min="5391" max="5391" width="20" style="483" customWidth="1"/>
    <col min="5392" max="5392" width="13.28515625" style="483" customWidth="1"/>
    <col min="5393" max="5393" width="21.85546875" style="483" customWidth="1"/>
    <col min="5394" max="5394" width="11.140625" style="483" customWidth="1"/>
    <col min="5395" max="5395" width="7.140625" style="483" customWidth="1"/>
    <col min="5396" max="5396" width="3.5703125" style="483" customWidth="1"/>
    <col min="5397" max="5397" width="2" style="483" customWidth="1"/>
    <col min="5398" max="5398" width="14.5703125" style="483" customWidth="1"/>
    <col min="5399" max="5399" width="10.85546875" style="483" customWidth="1"/>
    <col min="5400" max="5400" width="1" style="483" customWidth="1"/>
    <col min="5401" max="5401" width="1.140625" style="483" customWidth="1"/>
    <col min="5402" max="5402" width="1.7109375" style="483" customWidth="1"/>
    <col min="5403" max="5403" width="5.85546875" style="483" customWidth="1"/>
    <col min="5404" max="5631" width="6.85546875" style="483" customWidth="1"/>
    <col min="5632" max="5632" width="1.140625" style="483"/>
    <col min="5633" max="5633" width="1.140625" style="483" customWidth="1"/>
    <col min="5634" max="5634" width="1" style="483" customWidth="1"/>
    <col min="5635" max="5635" width="7.28515625" style="483" customWidth="1"/>
    <col min="5636" max="5636" width="1.140625" style="483" customWidth="1"/>
    <col min="5637" max="5637" width="5.5703125" style="483" customWidth="1"/>
    <col min="5638" max="5638" width="1.140625" style="483" customWidth="1"/>
    <col min="5639" max="5639" width="1.28515625" style="483" customWidth="1"/>
    <col min="5640" max="5640" width="8" style="483" customWidth="1"/>
    <col min="5641" max="5641" width="65.140625" style="483" customWidth="1"/>
    <col min="5642" max="5642" width="22.7109375" style="483" customWidth="1"/>
    <col min="5643" max="5643" width="20" style="483" customWidth="1"/>
    <col min="5644" max="5644" width="13" style="483" customWidth="1"/>
    <col min="5645" max="5645" width="20.85546875" style="483" customWidth="1"/>
    <col min="5646" max="5646" width="13.28515625" style="483" customWidth="1"/>
    <col min="5647" max="5647" width="20" style="483" customWidth="1"/>
    <col min="5648" max="5648" width="13.28515625" style="483" customWidth="1"/>
    <col min="5649" max="5649" width="21.85546875" style="483" customWidth="1"/>
    <col min="5650" max="5650" width="11.140625" style="483" customWidth="1"/>
    <col min="5651" max="5651" width="7.140625" style="483" customWidth="1"/>
    <col min="5652" max="5652" width="3.5703125" style="483" customWidth="1"/>
    <col min="5653" max="5653" width="2" style="483" customWidth="1"/>
    <col min="5654" max="5654" width="14.5703125" style="483" customWidth="1"/>
    <col min="5655" max="5655" width="10.85546875" style="483" customWidth="1"/>
    <col min="5656" max="5656" width="1" style="483" customWidth="1"/>
    <col min="5657" max="5657" width="1.140625" style="483" customWidth="1"/>
    <col min="5658" max="5658" width="1.7109375" style="483" customWidth="1"/>
    <col min="5659" max="5659" width="5.85546875" style="483" customWidth="1"/>
    <col min="5660" max="5887" width="6.85546875" style="483" customWidth="1"/>
    <col min="5888" max="5888" width="1.140625" style="483"/>
    <col min="5889" max="5889" width="1.140625" style="483" customWidth="1"/>
    <col min="5890" max="5890" width="1" style="483" customWidth="1"/>
    <col min="5891" max="5891" width="7.28515625" style="483" customWidth="1"/>
    <col min="5892" max="5892" width="1.140625" style="483" customWidth="1"/>
    <col min="5893" max="5893" width="5.5703125" style="483" customWidth="1"/>
    <col min="5894" max="5894" width="1.140625" style="483" customWidth="1"/>
    <col min="5895" max="5895" width="1.28515625" style="483" customWidth="1"/>
    <col min="5896" max="5896" width="8" style="483" customWidth="1"/>
    <col min="5897" max="5897" width="65.140625" style="483" customWidth="1"/>
    <col min="5898" max="5898" width="22.7109375" style="483" customWidth="1"/>
    <col min="5899" max="5899" width="20" style="483" customWidth="1"/>
    <col min="5900" max="5900" width="13" style="483" customWidth="1"/>
    <col min="5901" max="5901" width="20.85546875" style="483" customWidth="1"/>
    <col min="5902" max="5902" width="13.28515625" style="483" customWidth="1"/>
    <col min="5903" max="5903" width="20" style="483" customWidth="1"/>
    <col min="5904" max="5904" width="13.28515625" style="483" customWidth="1"/>
    <col min="5905" max="5905" width="21.85546875" style="483" customWidth="1"/>
    <col min="5906" max="5906" width="11.140625" style="483" customWidth="1"/>
    <col min="5907" max="5907" width="7.140625" style="483" customWidth="1"/>
    <col min="5908" max="5908" width="3.5703125" style="483" customWidth="1"/>
    <col min="5909" max="5909" width="2" style="483" customWidth="1"/>
    <col min="5910" max="5910" width="14.5703125" style="483" customWidth="1"/>
    <col min="5911" max="5911" width="10.85546875" style="483" customWidth="1"/>
    <col min="5912" max="5912" width="1" style="483" customWidth="1"/>
    <col min="5913" max="5913" width="1.140625" style="483" customWidth="1"/>
    <col min="5914" max="5914" width="1.7109375" style="483" customWidth="1"/>
    <col min="5915" max="5915" width="5.85546875" style="483" customWidth="1"/>
    <col min="5916" max="6143" width="6.85546875" style="483" customWidth="1"/>
    <col min="6144" max="6144" width="1.140625" style="483"/>
    <col min="6145" max="6145" width="1.140625" style="483" customWidth="1"/>
    <col min="6146" max="6146" width="1" style="483" customWidth="1"/>
    <col min="6147" max="6147" width="7.28515625" style="483" customWidth="1"/>
    <col min="6148" max="6148" width="1.140625" style="483" customWidth="1"/>
    <col min="6149" max="6149" width="5.5703125" style="483" customWidth="1"/>
    <col min="6150" max="6150" width="1.140625" style="483" customWidth="1"/>
    <col min="6151" max="6151" width="1.28515625" style="483" customWidth="1"/>
    <col min="6152" max="6152" width="8" style="483" customWidth="1"/>
    <col min="6153" max="6153" width="65.140625" style="483" customWidth="1"/>
    <col min="6154" max="6154" width="22.7109375" style="483" customWidth="1"/>
    <col min="6155" max="6155" width="20" style="483" customWidth="1"/>
    <col min="6156" max="6156" width="13" style="483" customWidth="1"/>
    <col min="6157" max="6157" width="20.85546875" style="483" customWidth="1"/>
    <col min="6158" max="6158" width="13.28515625" style="483" customWidth="1"/>
    <col min="6159" max="6159" width="20" style="483" customWidth="1"/>
    <col min="6160" max="6160" width="13.28515625" style="483" customWidth="1"/>
    <col min="6161" max="6161" width="21.85546875" style="483" customWidth="1"/>
    <col min="6162" max="6162" width="11.140625" style="483" customWidth="1"/>
    <col min="6163" max="6163" width="7.140625" style="483" customWidth="1"/>
    <col min="6164" max="6164" width="3.5703125" style="483" customWidth="1"/>
    <col min="6165" max="6165" width="2" style="483" customWidth="1"/>
    <col min="6166" max="6166" width="14.5703125" style="483" customWidth="1"/>
    <col min="6167" max="6167" width="10.85546875" style="483" customWidth="1"/>
    <col min="6168" max="6168" width="1" style="483" customWidth="1"/>
    <col min="6169" max="6169" width="1.140625" style="483" customWidth="1"/>
    <col min="6170" max="6170" width="1.7109375" style="483" customWidth="1"/>
    <col min="6171" max="6171" width="5.85546875" style="483" customWidth="1"/>
    <col min="6172" max="6399" width="6.85546875" style="483" customWidth="1"/>
    <col min="6400" max="6400" width="1.140625" style="483"/>
    <col min="6401" max="6401" width="1.140625" style="483" customWidth="1"/>
    <col min="6402" max="6402" width="1" style="483" customWidth="1"/>
    <col min="6403" max="6403" width="7.28515625" style="483" customWidth="1"/>
    <col min="6404" max="6404" width="1.140625" style="483" customWidth="1"/>
    <col min="6405" max="6405" width="5.5703125" style="483" customWidth="1"/>
    <col min="6406" max="6406" width="1.140625" style="483" customWidth="1"/>
    <col min="6407" max="6407" width="1.28515625" style="483" customWidth="1"/>
    <col min="6408" max="6408" width="8" style="483" customWidth="1"/>
    <col min="6409" max="6409" width="65.140625" style="483" customWidth="1"/>
    <col min="6410" max="6410" width="22.7109375" style="483" customWidth="1"/>
    <col min="6411" max="6411" width="20" style="483" customWidth="1"/>
    <col min="6412" max="6412" width="13" style="483" customWidth="1"/>
    <col min="6413" max="6413" width="20.85546875" style="483" customWidth="1"/>
    <col min="6414" max="6414" width="13.28515625" style="483" customWidth="1"/>
    <col min="6415" max="6415" width="20" style="483" customWidth="1"/>
    <col min="6416" max="6416" width="13.28515625" style="483" customWidth="1"/>
    <col min="6417" max="6417" width="21.85546875" style="483" customWidth="1"/>
    <col min="6418" max="6418" width="11.140625" style="483" customWidth="1"/>
    <col min="6419" max="6419" width="7.140625" style="483" customWidth="1"/>
    <col min="6420" max="6420" width="3.5703125" style="483" customWidth="1"/>
    <col min="6421" max="6421" width="2" style="483" customWidth="1"/>
    <col min="6422" max="6422" width="14.5703125" style="483" customWidth="1"/>
    <col min="6423" max="6423" width="10.85546875" style="483" customWidth="1"/>
    <col min="6424" max="6424" width="1" style="483" customWidth="1"/>
    <col min="6425" max="6425" width="1.140625" style="483" customWidth="1"/>
    <col min="6426" max="6426" width="1.7109375" style="483" customWidth="1"/>
    <col min="6427" max="6427" width="5.85546875" style="483" customWidth="1"/>
    <col min="6428" max="6655" width="6.85546875" style="483" customWidth="1"/>
    <col min="6656" max="6656" width="1.140625" style="483"/>
    <col min="6657" max="6657" width="1.140625" style="483" customWidth="1"/>
    <col min="6658" max="6658" width="1" style="483" customWidth="1"/>
    <col min="6659" max="6659" width="7.28515625" style="483" customWidth="1"/>
    <col min="6660" max="6660" width="1.140625" style="483" customWidth="1"/>
    <col min="6661" max="6661" width="5.5703125" style="483" customWidth="1"/>
    <col min="6662" max="6662" width="1.140625" style="483" customWidth="1"/>
    <col min="6663" max="6663" width="1.28515625" style="483" customWidth="1"/>
    <col min="6664" max="6664" width="8" style="483" customWidth="1"/>
    <col min="6665" max="6665" width="65.140625" style="483" customWidth="1"/>
    <col min="6666" max="6666" width="22.7109375" style="483" customWidth="1"/>
    <col min="6667" max="6667" width="20" style="483" customWidth="1"/>
    <col min="6668" max="6668" width="13" style="483" customWidth="1"/>
    <col min="6669" max="6669" width="20.85546875" style="483" customWidth="1"/>
    <col min="6670" max="6670" width="13.28515625" style="483" customWidth="1"/>
    <col min="6671" max="6671" width="20" style="483" customWidth="1"/>
    <col min="6672" max="6672" width="13.28515625" style="483" customWidth="1"/>
    <col min="6673" max="6673" width="21.85546875" style="483" customWidth="1"/>
    <col min="6674" max="6674" width="11.140625" style="483" customWidth="1"/>
    <col min="6675" max="6675" width="7.140625" style="483" customWidth="1"/>
    <col min="6676" max="6676" width="3.5703125" style="483" customWidth="1"/>
    <col min="6677" max="6677" width="2" style="483" customWidth="1"/>
    <col min="6678" max="6678" width="14.5703125" style="483" customWidth="1"/>
    <col min="6679" max="6679" width="10.85546875" style="483" customWidth="1"/>
    <col min="6680" max="6680" width="1" style="483" customWidth="1"/>
    <col min="6681" max="6681" width="1.140625" style="483" customWidth="1"/>
    <col min="6682" max="6682" width="1.7109375" style="483" customWidth="1"/>
    <col min="6683" max="6683" width="5.85546875" style="483" customWidth="1"/>
    <col min="6684" max="6911" width="6.85546875" style="483" customWidth="1"/>
    <col min="6912" max="6912" width="1.140625" style="483"/>
    <col min="6913" max="6913" width="1.140625" style="483" customWidth="1"/>
    <col min="6914" max="6914" width="1" style="483" customWidth="1"/>
    <col min="6915" max="6915" width="7.28515625" style="483" customWidth="1"/>
    <col min="6916" max="6916" width="1.140625" style="483" customWidth="1"/>
    <col min="6917" max="6917" width="5.5703125" style="483" customWidth="1"/>
    <col min="6918" max="6918" width="1.140625" style="483" customWidth="1"/>
    <col min="6919" max="6919" width="1.28515625" style="483" customWidth="1"/>
    <col min="6920" max="6920" width="8" style="483" customWidth="1"/>
    <col min="6921" max="6921" width="65.140625" style="483" customWidth="1"/>
    <col min="6922" max="6922" width="22.7109375" style="483" customWidth="1"/>
    <col min="6923" max="6923" width="20" style="483" customWidth="1"/>
    <col min="6924" max="6924" width="13" style="483" customWidth="1"/>
    <col min="6925" max="6925" width="20.85546875" style="483" customWidth="1"/>
    <col min="6926" max="6926" width="13.28515625" style="483" customWidth="1"/>
    <col min="6927" max="6927" width="20" style="483" customWidth="1"/>
    <col min="6928" max="6928" width="13.28515625" style="483" customWidth="1"/>
    <col min="6929" max="6929" width="21.85546875" style="483" customWidth="1"/>
    <col min="6930" max="6930" width="11.140625" style="483" customWidth="1"/>
    <col min="6931" max="6931" width="7.140625" style="483" customWidth="1"/>
    <col min="6932" max="6932" width="3.5703125" style="483" customWidth="1"/>
    <col min="6933" max="6933" width="2" style="483" customWidth="1"/>
    <col min="6934" max="6934" width="14.5703125" style="483" customWidth="1"/>
    <col min="6935" max="6935" width="10.85546875" style="483" customWidth="1"/>
    <col min="6936" max="6936" width="1" style="483" customWidth="1"/>
    <col min="6937" max="6937" width="1.140625" style="483" customWidth="1"/>
    <col min="6938" max="6938" width="1.7109375" style="483" customWidth="1"/>
    <col min="6939" max="6939" width="5.85546875" style="483" customWidth="1"/>
    <col min="6940" max="7167" width="6.85546875" style="483" customWidth="1"/>
    <col min="7168" max="7168" width="1.140625" style="483"/>
    <col min="7169" max="7169" width="1.140625" style="483" customWidth="1"/>
    <col min="7170" max="7170" width="1" style="483" customWidth="1"/>
    <col min="7171" max="7171" width="7.28515625" style="483" customWidth="1"/>
    <col min="7172" max="7172" width="1.140625" style="483" customWidth="1"/>
    <col min="7173" max="7173" width="5.5703125" style="483" customWidth="1"/>
    <col min="7174" max="7174" width="1.140625" style="483" customWidth="1"/>
    <col min="7175" max="7175" width="1.28515625" style="483" customWidth="1"/>
    <col min="7176" max="7176" width="8" style="483" customWidth="1"/>
    <col min="7177" max="7177" width="65.140625" style="483" customWidth="1"/>
    <col min="7178" max="7178" width="22.7109375" style="483" customWidth="1"/>
    <col min="7179" max="7179" width="20" style="483" customWidth="1"/>
    <col min="7180" max="7180" width="13" style="483" customWidth="1"/>
    <col min="7181" max="7181" width="20.85546875" style="483" customWidth="1"/>
    <col min="7182" max="7182" width="13.28515625" style="483" customWidth="1"/>
    <col min="7183" max="7183" width="20" style="483" customWidth="1"/>
    <col min="7184" max="7184" width="13.28515625" style="483" customWidth="1"/>
    <col min="7185" max="7185" width="21.85546875" style="483" customWidth="1"/>
    <col min="7186" max="7186" width="11.140625" style="483" customWidth="1"/>
    <col min="7187" max="7187" width="7.140625" style="483" customWidth="1"/>
    <col min="7188" max="7188" width="3.5703125" style="483" customWidth="1"/>
    <col min="7189" max="7189" width="2" style="483" customWidth="1"/>
    <col min="7190" max="7190" width="14.5703125" style="483" customWidth="1"/>
    <col min="7191" max="7191" width="10.85546875" style="483" customWidth="1"/>
    <col min="7192" max="7192" width="1" style="483" customWidth="1"/>
    <col min="7193" max="7193" width="1.140625" style="483" customWidth="1"/>
    <col min="7194" max="7194" width="1.7109375" style="483" customWidth="1"/>
    <col min="7195" max="7195" width="5.85546875" style="483" customWidth="1"/>
    <col min="7196" max="7423" width="6.85546875" style="483" customWidth="1"/>
    <col min="7424" max="7424" width="1.140625" style="483"/>
    <col min="7425" max="7425" width="1.140625" style="483" customWidth="1"/>
    <col min="7426" max="7426" width="1" style="483" customWidth="1"/>
    <col min="7427" max="7427" width="7.28515625" style="483" customWidth="1"/>
    <col min="7428" max="7428" width="1.140625" style="483" customWidth="1"/>
    <col min="7429" max="7429" width="5.5703125" style="483" customWidth="1"/>
    <col min="7430" max="7430" width="1.140625" style="483" customWidth="1"/>
    <col min="7431" max="7431" width="1.28515625" style="483" customWidth="1"/>
    <col min="7432" max="7432" width="8" style="483" customWidth="1"/>
    <col min="7433" max="7433" width="65.140625" style="483" customWidth="1"/>
    <col min="7434" max="7434" width="22.7109375" style="483" customWidth="1"/>
    <col min="7435" max="7435" width="20" style="483" customWidth="1"/>
    <col min="7436" max="7436" width="13" style="483" customWidth="1"/>
    <col min="7437" max="7437" width="20.85546875" style="483" customWidth="1"/>
    <col min="7438" max="7438" width="13.28515625" style="483" customWidth="1"/>
    <col min="7439" max="7439" width="20" style="483" customWidth="1"/>
    <col min="7440" max="7440" width="13.28515625" style="483" customWidth="1"/>
    <col min="7441" max="7441" width="21.85546875" style="483" customWidth="1"/>
    <col min="7442" max="7442" width="11.140625" style="483" customWidth="1"/>
    <col min="7443" max="7443" width="7.140625" style="483" customWidth="1"/>
    <col min="7444" max="7444" width="3.5703125" style="483" customWidth="1"/>
    <col min="7445" max="7445" width="2" style="483" customWidth="1"/>
    <col min="7446" max="7446" width="14.5703125" style="483" customWidth="1"/>
    <col min="7447" max="7447" width="10.85546875" style="483" customWidth="1"/>
    <col min="7448" max="7448" width="1" style="483" customWidth="1"/>
    <col min="7449" max="7449" width="1.140625" style="483" customWidth="1"/>
    <col min="7450" max="7450" width="1.7109375" style="483" customWidth="1"/>
    <col min="7451" max="7451" width="5.85546875" style="483" customWidth="1"/>
    <col min="7452" max="7679" width="6.85546875" style="483" customWidth="1"/>
    <col min="7680" max="7680" width="1.140625" style="483"/>
    <col min="7681" max="7681" width="1.140625" style="483" customWidth="1"/>
    <col min="7682" max="7682" width="1" style="483" customWidth="1"/>
    <col min="7683" max="7683" width="7.28515625" style="483" customWidth="1"/>
    <col min="7684" max="7684" width="1.140625" style="483" customWidth="1"/>
    <col min="7685" max="7685" width="5.5703125" style="483" customWidth="1"/>
    <col min="7686" max="7686" width="1.140625" style="483" customWidth="1"/>
    <col min="7687" max="7687" width="1.28515625" style="483" customWidth="1"/>
    <col min="7688" max="7688" width="8" style="483" customWidth="1"/>
    <col min="7689" max="7689" width="65.140625" style="483" customWidth="1"/>
    <col min="7690" max="7690" width="22.7109375" style="483" customWidth="1"/>
    <col min="7691" max="7691" width="20" style="483" customWidth="1"/>
    <col min="7692" max="7692" width="13" style="483" customWidth="1"/>
    <col min="7693" max="7693" width="20.85546875" style="483" customWidth="1"/>
    <col min="7694" max="7694" width="13.28515625" style="483" customWidth="1"/>
    <col min="7695" max="7695" width="20" style="483" customWidth="1"/>
    <col min="7696" max="7696" width="13.28515625" style="483" customWidth="1"/>
    <col min="7697" max="7697" width="21.85546875" style="483" customWidth="1"/>
    <col min="7698" max="7698" width="11.140625" style="483" customWidth="1"/>
    <col min="7699" max="7699" width="7.140625" style="483" customWidth="1"/>
    <col min="7700" max="7700" width="3.5703125" style="483" customWidth="1"/>
    <col min="7701" max="7701" width="2" style="483" customWidth="1"/>
    <col min="7702" max="7702" width="14.5703125" style="483" customWidth="1"/>
    <col min="7703" max="7703" width="10.85546875" style="483" customWidth="1"/>
    <col min="7704" max="7704" width="1" style="483" customWidth="1"/>
    <col min="7705" max="7705" width="1.140625" style="483" customWidth="1"/>
    <col min="7706" max="7706" width="1.7109375" style="483" customWidth="1"/>
    <col min="7707" max="7707" width="5.85546875" style="483" customWidth="1"/>
    <col min="7708" max="7935" width="6.85546875" style="483" customWidth="1"/>
    <col min="7936" max="7936" width="1.140625" style="483"/>
    <col min="7937" max="7937" width="1.140625" style="483" customWidth="1"/>
    <col min="7938" max="7938" width="1" style="483" customWidth="1"/>
    <col min="7939" max="7939" width="7.28515625" style="483" customWidth="1"/>
    <col min="7940" max="7940" width="1.140625" style="483" customWidth="1"/>
    <col min="7941" max="7941" width="5.5703125" style="483" customWidth="1"/>
    <col min="7942" max="7942" width="1.140625" style="483" customWidth="1"/>
    <col min="7943" max="7943" width="1.28515625" style="483" customWidth="1"/>
    <col min="7944" max="7944" width="8" style="483" customWidth="1"/>
    <col min="7945" max="7945" width="65.140625" style="483" customWidth="1"/>
    <col min="7946" max="7946" width="22.7109375" style="483" customWidth="1"/>
    <col min="7947" max="7947" width="20" style="483" customWidth="1"/>
    <col min="7948" max="7948" width="13" style="483" customWidth="1"/>
    <col min="7949" max="7949" width="20.85546875" style="483" customWidth="1"/>
    <col min="7950" max="7950" width="13.28515625" style="483" customWidth="1"/>
    <col min="7951" max="7951" width="20" style="483" customWidth="1"/>
    <col min="7952" max="7952" width="13.28515625" style="483" customWidth="1"/>
    <col min="7953" max="7953" width="21.85546875" style="483" customWidth="1"/>
    <col min="7954" max="7954" width="11.140625" style="483" customWidth="1"/>
    <col min="7955" max="7955" width="7.140625" style="483" customWidth="1"/>
    <col min="7956" max="7956" width="3.5703125" style="483" customWidth="1"/>
    <col min="7957" max="7957" width="2" style="483" customWidth="1"/>
    <col min="7958" max="7958" width="14.5703125" style="483" customWidth="1"/>
    <col min="7959" max="7959" width="10.85546875" style="483" customWidth="1"/>
    <col min="7960" max="7960" width="1" style="483" customWidth="1"/>
    <col min="7961" max="7961" width="1.140625" style="483" customWidth="1"/>
    <col min="7962" max="7962" width="1.7109375" style="483" customWidth="1"/>
    <col min="7963" max="7963" width="5.85546875" style="483" customWidth="1"/>
    <col min="7964" max="8191" width="6.85546875" style="483" customWidth="1"/>
    <col min="8192" max="8192" width="1.140625" style="483"/>
    <col min="8193" max="8193" width="1.140625" style="483" customWidth="1"/>
    <col min="8194" max="8194" width="1" style="483" customWidth="1"/>
    <col min="8195" max="8195" width="7.28515625" style="483" customWidth="1"/>
    <col min="8196" max="8196" width="1.140625" style="483" customWidth="1"/>
    <col min="8197" max="8197" width="5.5703125" style="483" customWidth="1"/>
    <col min="8198" max="8198" width="1.140625" style="483" customWidth="1"/>
    <col min="8199" max="8199" width="1.28515625" style="483" customWidth="1"/>
    <col min="8200" max="8200" width="8" style="483" customWidth="1"/>
    <col min="8201" max="8201" width="65.140625" style="483" customWidth="1"/>
    <col min="8202" max="8202" width="22.7109375" style="483" customWidth="1"/>
    <col min="8203" max="8203" width="20" style="483" customWidth="1"/>
    <col min="8204" max="8204" width="13" style="483" customWidth="1"/>
    <col min="8205" max="8205" width="20.85546875" style="483" customWidth="1"/>
    <col min="8206" max="8206" width="13.28515625" style="483" customWidth="1"/>
    <col min="8207" max="8207" width="20" style="483" customWidth="1"/>
    <col min="8208" max="8208" width="13.28515625" style="483" customWidth="1"/>
    <col min="8209" max="8209" width="21.85546875" style="483" customWidth="1"/>
    <col min="8210" max="8210" width="11.140625" style="483" customWidth="1"/>
    <col min="8211" max="8211" width="7.140625" style="483" customWidth="1"/>
    <col min="8212" max="8212" width="3.5703125" style="483" customWidth="1"/>
    <col min="8213" max="8213" width="2" style="483" customWidth="1"/>
    <col min="8214" max="8214" width="14.5703125" style="483" customWidth="1"/>
    <col min="8215" max="8215" width="10.85546875" style="483" customWidth="1"/>
    <col min="8216" max="8216" width="1" style="483" customWidth="1"/>
    <col min="8217" max="8217" width="1.140625" style="483" customWidth="1"/>
    <col min="8218" max="8218" width="1.7109375" style="483" customWidth="1"/>
    <col min="8219" max="8219" width="5.85546875" style="483" customWidth="1"/>
    <col min="8220" max="8447" width="6.85546875" style="483" customWidth="1"/>
    <col min="8448" max="8448" width="1.140625" style="483"/>
    <col min="8449" max="8449" width="1.140625" style="483" customWidth="1"/>
    <col min="8450" max="8450" width="1" style="483" customWidth="1"/>
    <col min="8451" max="8451" width="7.28515625" style="483" customWidth="1"/>
    <col min="8452" max="8452" width="1.140625" style="483" customWidth="1"/>
    <col min="8453" max="8453" width="5.5703125" style="483" customWidth="1"/>
    <col min="8454" max="8454" width="1.140625" style="483" customWidth="1"/>
    <col min="8455" max="8455" width="1.28515625" style="483" customWidth="1"/>
    <col min="8456" max="8456" width="8" style="483" customWidth="1"/>
    <col min="8457" max="8457" width="65.140625" style="483" customWidth="1"/>
    <col min="8458" max="8458" width="22.7109375" style="483" customWidth="1"/>
    <col min="8459" max="8459" width="20" style="483" customWidth="1"/>
    <col min="8460" max="8460" width="13" style="483" customWidth="1"/>
    <col min="8461" max="8461" width="20.85546875" style="483" customWidth="1"/>
    <col min="8462" max="8462" width="13.28515625" style="483" customWidth="1"/>
    <col min="8463" max="8463" width="20" style="483" customWidth="1"/>
    <col min="8464" max="8464" width="13.28515625" style="483" customWidth="1"/>
    <col min="8465" max="8465" width="21.85546875" style="483" customWidth="1"/>
    <col min="8466" max="8466" width="11.140625" style="483" customWidth="1"/>
    <col min="8467" max="8467" width="7.140625" style="483" customWidth="1"/>
    <col min="8468" max="8468" width="3.5703125" style="483" customWidth="1"/>
    <col min="8469" max="8469" width="2" style="483" customWidth="1"/>
    <col min="8470" max="8470" width="14.5703125" style="483" customWidth="1"/>
    <col min="8471" max="8471" width="10.85546875" style="483" customWidth="1"/>
    <col min="8472" max="8472" width="1" style="483" customWidth="1"/>
    <col min="8473" max="8473" width="1.140625" style="483" customWidth="1"/>
    <col min="8474" max="8474" width="1.7109375" style="483" customWidth="1"/>
    <col min="8475" max="8475" width="5.85546875" style="483" customWidth="1"/>
    <col min="8476" max="8703" width="6.85546875" style="483" customWidth="1"/>
    <col min="8704" max="8704" width="1.140625" style="483"/>
    <col min="8705" max="8705" width="1.140625" style="483" customWidth="1"/>
    <col min="8706" max="8706" width="1" style="483" customWidth="1"/>
    <col min="8707" max="8707" width="7.28515625" style="483" customWidth="1"/>
    <col min="8708" max="8708" width="1.140625" style="483" customWidth="1"/>
    <col min="8709" max="8709" width="5.5703125" style="483" customWidth="1"/>
    <col min="8710" max="8710" width="1.140625" style="483" customWidth="1"/>
    <col min="8711" max="8711" width="1.28515625" style="483" customWidth="1"/>
    <col min="8712" max="8712" width="8" style="483" customWidth="1"/>
    <col min="8713" max="8713" width="65.140625" style="483" customWidth="1"/>
    <col min="8714" max="8714" width="22.7109375" style="483" customWidth="1"/>
    <col min="8715" max="8715" width="20" style="483" customWidth="1"/>
    <col min="8716" max="8716" width="13" style="483" customWidth="1"/>
    <col min="8717" max="8717" width="20.85546875" style="483" customWidth="1"/>
    <col min="8718" max="8718" width="13.28515625" style="483" customWidth="1"/>
    <col min="8719" max="8719" width="20" style="483" customWidth="1"/>
    <col min="8720" max="8720" width="13.28515625" style="483" customWidth="1"/>
    <col min="8721" max="8721" width="21.85546875" style="483" customWidth="1"/>
    <col min="8722" max="8722" width="11.140625" style="483" customWidth="1"/>
    <col min="8723" max="8723" width="7.140625" style="483" customWidth="1"/>
    <col min="8724" max="8724" width="3.5703125" style="483" customWidth="1"/>
    <col min="8725" max="8725" width="2" style="483" customWidth="1"/>
    <col min="8726" max="8726" width="14.5703125" style="483" customWidth="1"/>
    <col min="8727" max="8727" width="10.85546875" style="483" customWidth="1"/>
    <col min="8728" max="8728" width="1" style="483" customWidth="1"/>
    <col min="8729" max="8729" width="1.140625" style="483" customWidth="1"/>
    <col min="8730" max="8730" width="1.7109375" style="483" customWidth="1"/>
    <col min="8731" max="8731" width="5.85546875" style="483" customWidth="1"/>
    <col min="8732" max="8959" width="6.85546875" style="483" customWidth="1"/>
    <col min="8960" max="8960" width="1.140625" style="483"/>
    <col min="8961" max="8961" width="1.140625" style="483" customWidth="1"/>
    <col min="8962" max="8962" width="1" style="483" customWidth="1"/>
    <col min="8963" max="8963" width="7.28515625" style="483" customWidth="1"/>
    <col min="8964" max="8964" width="1.140625" style="483" customWidth="1"/>
    <col min="8965" max="8965" width="5.5703125" style="483" customWidth="1"/>
    <col min="8966" max="8966" width="1.140625" style="483" customWidth="1"/>
    <col min="8967" max="8967" width="1.28515625" style="483" customWidth="1"/>
    <col min="8968" max="8968" width="8" style="483" customWidth="1"/>
    <col min="8969" max="8969" width="65.140625" style="483" customWidth="1"/>
    <col min="8970" max="8970" width="22.7109375" style="483" customWidth="1"/>
    <col min="8971" max="8971" width="20" style="483" customWidth="1"/>
    <col min="8972" max="8972" width="13" style="483" customWidth="1"/>
    <col min="8973" max="8973" width="20.85546875" style="483" customWidth="1"/>
    <col min="8974" max="8974" width="13.28515625" style="483" customWidth="1"/>
    <col min="8975" max="8975" width="20" style="483" customWidth="1"/>
    <col min="8976" max="8976" width="13.28515625" style="483" customWidth="1"/>
    <col min="8977" max="8977" width="21.85546875" style="483" customWidth="1"/>
    <col min="8978" max="8978" width="11.140625" style="483" customWidth="1"/>
    <col min="8979" max="8979" width="7.140625" style="483" customWidth="1"/>
    <col min="8980" max="8980" width="3.5703125" style="483" customWidth="1"/>
    <col min="8981" max="8981" width="2" style="483" customWidth="1"/>
    <col min="8982" max="8982" width="14.5703125" style="483" customWidth="1"/>
    <col min="8983" max="8983" width="10.85546875" style="483" customWidth="1"/>
    <col min="8984" max="8984" width="1" style="483" customWidth="1"/>
    <col min="8985" max="8985" width="1.140625" style="483" customWidth="1"/>
    <col min="8986" max="8986" width="1.7109375" style="483" customWidth="1"/>
    <col min="8987" max="8987" width="5.85546875" style="483" customWidth="1"/>
    <col min="8988" max="9215" width="6.85546875" style="483" customWidth="1"/>
    <col min="9216" max="9216" width="1.140625" style="483"/>
    <col min="9217" max="9217" width="1.140625" style="483" customWidth="1"/>
    <col min="9218" max="9218" width="1" style="483" customWidth="1"/>
    <col min="9219" max="9219" width="7.28515625" style="483" customWidth="1"/>
    <col min="9220" max="9220" width="1.140625" style="483" customWidth="1"/>
    <col min="9221" max="9221" width="5.5703125" style="483" customWidth="1"/>
    <col min="9222" max="9222" width="1.140625" style="483" customWidth="1"/>
    <col min="9223" max="9223" width="1.28515625" style="483" customWidth="1"/>
    <col min="9224" max="9224" width="8" style="483" customWidth="1"/>
    <col min="9225" max="9225" width="65.140625" style="483" customWidth="1"/>
    <col min="9226" max="9226" width="22.7109375" style="483" customWidth="1"/>
    <col min="9227" max="9227" width="20" style="483" customWidth="1"/>
    <col min="9228" max="9228" width="13" style="483" customWidth="1"/>
    <col min="9229" max="9229" width="20.85546875" style="483" customWidth="1"/>
    <col min="9230" max="9230" width="13.28515625" style="483" customWidth="1"/>
    <col min="9231" max="9231" width="20" style="483" customWidth="1"/>
    <col min="9232" max="9232" width="13.28515625" style="483" customWidth="1"/>
    <col min="9233" max="9233" width="21.85546875" style="483" customWidth="1"/>
    <col min="9234" max="9234" width="11.140625" style="483" customWidth="1"/>
    <col min="9235" max="9235" width="7.140625" style="483" customWidth="1"/>
    <col min="9236" max="9236" width="3.5703125" style="483" customWidth="1"/>
    <col min="9237" max="9237" width="2" style="483" customWidth="1"/>
    <col min="9238" max="9238" width="14.5703125" style="483" customWidth="1"/>
    <col min="9239" max="9239" width="10.85546875" style="483" customWidth="1"/>
    <col min="9240" max="9240" width="1" style="483" customWidth="1"/>
    <col min="9241" max="9241" width="1.140625" style="483" customWidth="1"/>
    <col min="9242" max="9242" width="1.7109375" style="483" customWidth="1"/>
    <col min="9243" max="9243" width="5.85546875" style="483" customWidth="1"/>
    <col min="9244" max="9471" width="6.85546875" style="483" customWidth="1"/>
    <col min="9472" max="9472" width="1.140625" style="483"/>
    <col min="9473" max="9473" width="1.140625" style="483" customWidth="1"/>
    <col min="9474" max="9474" width="1" style="483" customWidth="1"/>
    <col min="9475" max="9475" width="7.28515625" style="483" customWidth="1"/>
    <col min="9476" max="9476" width="1.140625" style="483" customWidth="1"/>
    <col min="9477" max="9477" width="5.5703125" style="483" customWidth="1"/>
    <col min="9478" max="9478" width="1.140625" style="483" customWidth="1"/>
    <col min="9479" max="9479" width="1.28515625" style="483" customWidth="1"/>
    <col min="9480" max="9480" width="8" style="483" customWidth="1"/>
    <col min="9481" max="9481" width="65.140625" style="483" customWidth="1"/>
    <col min="9482" max="9482" width="22.7109375" style="483" customWidth="1"/>
    <col min="9483" max="9483" width="20" style="483" customWidth="1"/>
    <col min="9484" max="9484" width="13" style="483" customWidth="1"/>
    <col min="9485" max="9485" width="20.85546875" style="483" customWidth="1"/>
    <col min="9486" max="9486" width="13.28515625" style="483" customWidth="1"/>
    <col min="9487" max="9487" width="20" style="483" customWidth="1"/>
    <col min="9488" max="9488" width="13.28515625" style="483" customWidth="1"/>
    <col min="9489" max="9489" width="21.85546875" style="483" customWidth="1"/>
    <col min="9490" max="9490" width="11.140625" style="483" customWidth="1"/>
    <col min="9491" max="9491" width="7.140625" style="483" customWidth="1"/>
    <col min="9492" max="9492" width="3.5703125" style="483" customWidth="1"/>
    <col min="9493" max="9493" width="2" style="483" customWidth="1"/>
    <col min="9494" max="9494" width="14.5703125" style="483" customWidth="1"/>
    <col min="9495" max="9495" width="10.85546875" style="483" customWidth="1"/>
    <col min="9496" max="9496" width="1" style="483" customWidth="1"/>
    <col min="9497" max="9497" width="1.140625" style="483" customWidth="1"/>
    <col min="9498" max="9498" width="1.7109375" style="483" customWidth="1"/>
    <col min="9499" max="9499" width="5.85546875" style="483" customWidth="1"/>
    <col min="9500" max="9727" width="6.85546875" style="483" customWidth="1"/>
    <col min="9728" max="9728" width="1.140625" style="483"/>
    <col min="9729" max="9729" width="1.140625" style="483" customWidth="1"/>
    <col min="9730" max="9730" width="1" style="483" customWidth="1"/>
    <col min="9731" max="9731" width="7.28515625" style="483" customWidth="1"/>
    <col min="9732" max="9732" width="1.140625" style="483" customWidth="1"/>
    <col min="9733" max="9733" width="5.5703125" style="483" customWidth="1"/>
    <col min="9734" max="9734" width="1.140625" style="483" customWidth="1"/>
    <col min="9735" max="9735" width="1.28515625" style="483" customWidth="1"/>
    <col min="9736" max="9736" width="8" style="483" customWidth="1"/>
    <col min="9737" max="9737" width="65.140625" style="483" customWidth="1"/>
    <col min="9738" max="9738" width="22.7109375" style="483" customWidth="1"/>
    <col min="9739" max="9739" width="20" style="483" customWidth="1"/>
    <col min="9740" max="9740" width="13" style="483" customWidth="1"/>
    <col min="9741" max="9741" width="20.85546875" style="483" customWidth="1"/>
    <col min="9742" max="9742" width="13.28515625" style="483" customWidth="1"/>
    <col min="9743" max="9743" width="20" style="483" customWidth="1"/>
    <col min="9744" max="9744" width="13.28515625" style="483" customWidth="1"/>
    <col min="9745" max="9745" width="21.85546875" style="483" customWidth="1"/>
    <col min="9746" max="9746" width="11.140625" style="483" customWidth="1"/>
    <col min="9747" max="9747" width="7.140625" style="483" customWidth="1"/>
    <col min="9748" max="9748" width="3.5703125" style="483" customWidth="1"/>
    <col min="9749" max="9749" width="2" style="483" customWidth="1"/>
    <col min="9750" max="9750" width="14.5703125" style="483" customWidth="1"/>
    <col min="9751" max="9751" width="10.85546875" style="483" customWidth="1"/>
    <col min="9752" max="9752" width="1" style="483" customWidth="1"/>
    <col min="9753" max="9753" width="1.140625" style="483" customWidth="1"/>
    <col min="9754" max="9754" width="1.7109375" style="483" customWidth="1"/>
    <col min="9755" max="9755" width="5.85546875" style="483" customWidth="1"/>
    <col min="9756" max="9983" width="6.85546875" style="483" customWidth="1"/>
    <col min="9984" max="9984" width="1.140625" style="483"/>
    <col min="9985" max="9985" width="1.140625" style="483" customWidth="1"/>
    <col min="9986" max="9986" width="1" style="483" customWidth="1"/>
    <col min="9987" max="9987" width="7.28515625" style="483" customWidth="1"/>
    <col min="9988" max="9988" width="1.140625" style="483" customWidth="1"/>
    <col min="9989" max="9989" width="5.5703125" style="483" customWidth="1"/>
    <col min="9990" max="9990" width="1.140625" style="483" customWidth="1"/>
    <col min="9991" max="9991" width="1.28515625" style="483" customWidth="1"/>
    <col min="9992" max="9992" width="8" style="483" customWidth="1"/>
    <col min="9993" max="9993" width="65.140625" style="483" customWidth="1"/>
    <col min="9994" max="9994" width="22.7109375" style="483" customWidth="1"/>
    <col min="9995" max="9995" width="20" style="483" customWidth="1"/>
    <col min="9996" max="9996" width="13" style="483" customWidth="1"/>
    <col min="9997" max="9997" width="20.85546875" style="483" customWidth="1"/>
    <col min="9998" max="9998" width="13.28515625" style="483" customWidth="1"/>
    <col min="9999" max="9999" width="20" style="483" customWidth="1"/>
    <col min="10000" max="10000" width="13.28515625" style="483" customWidth="1"/>
    <col min="10001" max="10001" width="21.85546875" style="483" customWidth="1"/>
    <col min="10002" max="10002" width="11.140625" style="483" customWidth="1"/>
    <col min="10003" max="10003" width="7.140625" style="483" customWidth="1"/>
    <col min="10004" max="10004" width="3.5703125" style="483" customWidth="1"/>
    <col min="10005" max="10005" width="2" style="483" customWidth="1"/>
    <col min="10006" max="10006" width="14.5703125" style="483" customWidth="1"/>
    <col min="10007" max="10007" width="10.85546875" style="483" customWidth="1"/>
    <col min="10008" max="10008" width="1" style="483" customWidth="1"/>
    <col min="10009" max="10009" width="1.140625" style="483" customWidth="1"/>
    <col min="10010" max="10010" width="1.7109375" style="483" customWidth="1"/>
    <col min="10011" max="10011" width="5.85546875" style="483" customWidth="1"/>
    <col min="10012" max="10239" width="6.85546875" style="483" customWidth="1"/>
    <col min="10240" max="10240" width="1.140625" style="483"/>
    <col min="10241" max="10241" width="1.140625" style="483" customWidth="1"/>
    <col min="10242" max="10242" width="1" style="483" customWidth="1"/>
    <col min="10243" max="10243" width="7.28515625" style="483" customWidth="1"/>
    <col min="10244" max="10244" width="1.140625" style="483" customWidth="1"/>
    <col min="10245" max="10245" width="5.5703125" style="483" customWidth="1"/>
    <col min="10246" max="10246" width="1.140625" style="483" customWidth="1"/>
    <col min="10247" max="10247" width="1.28515625" style="483" customWidth="1"/>
    <col min="10248" max="10248" width="8" style="483" customWidth="1"/>
    <col min="10249" max="10249" width="65.140625" style="483" customWidth="1"/>
    <col min="10250" max="10250" width="22.7109375" style="483" customWidth="1"/>
    <col min="10251" max="10251" width="20" style="483" customWidth="1"/>
    <col min="10252" max="10252" width="13" style="483" customWidth="1"/>
    <col min="10253" max="10253" width="20.85546875" style="483" customWidth="1"/>
    <col min="10254" max="10254" width="13.28515625" style="483" customWidth="1"/>
    <col min="10255" max="10255" width="20" style="483" customWidth="1"/>
    <col min="10256" max="10256" width="13.28515625" style="483" customWidth="1"/>
    <col min="10257" max="10257" width="21.85546875" style="483" customWidth="1"/>
    <col min="10258" max="10258" width="11.140625" style="483" customWidth="1"/>
    <col min="10259" max="10259" width="7.140625" style="483" customWidth="1"/>
    <col min="10260" max="10260" width="3.5703125" style="483" customWidth="1"/>
    <col min="10261" max="10261" width="2" style="483" customWidth="1"/>
    <col min="10262" max="10262" width="14.5703125" style="483" customWidth="1"/>
    <col min="10263" max="10263" width="10.85546875" style="483" customWidth="1"/>
    <col min="10264" max="10264" width="1" style="483" customWidth="1"/>
    <col min="10265" max="10265" width="1.140625" style="483" customWidth="1"/>
    <col min="10266" max="10266" width="1.7109375" style="483" customWidth="1"/>
    <col min="10267" max="10267" width="5.85546875" style="483" customWidth="1"/>
    <col min="10268" max="10495" width="6.85546875" style="483" customWidth="1"/>
    <col min="10496" max="10496" width="1.140625" style="483"/>
    <col min="10497" max="10497" width="1.140625" style="483" customWidth="1"/>
    <col min="10498" max="10498" width="1" style="483" customWidth="1"/>
    <col min="10499" max="10499" width="7.28515625" style="483" customWidth="1"/>
    <col min="10500" max="10500" width="1.140625" style="483" customWidth="1"/>
    <col min="10501" max="10501" width="5.5703125" style="483" customWidth="1"/>
    <col min="10502" max="10502" width="1.140625" style="483" customWidth="1"/>
    <col min="10503" max="10503" width="1.28515625" style="483" customWidth="1"/>
    <col min="10504" max="10504" width="8" style="483" customWidth="1"/>
    <col min="10505" max="10505" width="65.140625" style="483" customWidth="1"/>
    <col min="10506" max="10506" width="22.7109375" style="483" customWidth="1"/>
    <col min="10507" max="10507" width="20" style="483" customWidth="1"/>
    <col min="10508" max="10508" width="13" style="483" customWidth="1"/>
    <col min="10509" max="10509" width="20.85546875" style="483" customWidth="1"/>
    <col min="10510" max="10510" width="13.28515625" style="483" customWidth="1"/>
    <col min="10511" max="10511" width="20" style="483" customWidth="1"/>
    <col min="10512" max="10512" width="13.28515625" style="483" customWidth="1"/>
    <col min="10513" max="10513" width="21.85546875" style="483" customWidth="1"/>
    <col min="10514" max="10514" width="11.140625" style="483" customWidth="1"/>
    <col min="10515" max="10515" width="7.140625" style="483" customWidth="1"/>
    <col min="10516" max="10516" width="3.5703125" style="483" customWidth="1"/>
    <col min="10517" max="10517" width="2" style="483" customWidth="1"/>
    <col min="10518" max="10518" width="14.5703125" style="483" customWidth="1"/>
    <col min="10519" max="10519" width="10.85546875" style="483" customWidth="1"/>
    <col min="10520" max="10520" width="1" style="483" customWidth="1"/>
    <col min="10521" max="10521" width="1.140625" style="483" customWidth="1"/>
    <col min="10522" max="10522" width="1.7109375" style="483" customWidth="1"/>
    <col min="10523" max="10523" width="5.85546875" style="483" customWidth="1"/>
    <col min="10524" max="10751" width="6.85546875" style="483" customWidth="1"/>
    <col min="10752" max="10752" width="1.140625" style="483"/>
    <col min="10753" max="10753" width="1.140625" style="483" customWidth="1"/>
    <col min="10754" max="10754" width="1" style="483" customWidth="1"/>
    <col min="10755" max="10755" width="7.28515625" style="483" customWidth="1"/>
    <col min="10756" max="10756" width="1.140625" style="483" customWidth="1"/>
    <col min="10757" max="10757" width="5.5703125" style="483" customWidth="1"/>
    <col min="10758" max="10758" width="1.140625" style="483" customWidth="1"/>
    <col min="10759" max="10759" width="1.28515625" style="483" customWidth="1"/>
    <col min="10760" max="10760" width="8" style="483" customWidth="1"/>
    <col min="10761" max="10761" width="65.140625" style="483" customWidth="1"/>
    <col min="10762" max="10762" width="22.7109375" style="483" customWidth="1"/>
    <col min="10763" max="10763" width="20" style="483" customWidth="1"/>
    <col min="10764" max="10764" width="13" style="483" customWidth="1"/>
    <col min="10765" max="10765" width="20.85546875" style="483" customWidth="1"/>
    <col min="10766" max="10766" width="13.28515625" style="483" customWidth="1"/>
    <col min="10767" max="10767" width="20" style="483" customWidth="1"/>
    <col min="10768" max="10768" width="13.28515625" style="483" customWidth="1"/>
    <col min="10769" max="10769" width="21.85546875" style="483" customWidth="1"/>
    <col min="10770" max="10770" width="11.140625" style="483" customWidth="1"/>
    <col min="10771" max="10771" width="7.140625" style="483" customWidth="1"/>
    <col min="10772" max="10772" width="3.5703125" style="483" customWidth="1"/>
    <col min="10773" max="10773" width="2" style="483" customWidth="1"/>
    <col min="10774" max="10774" width="14.5703125" style="483" customWidth="1"/>
    <col min="10775" max="10775" width="10.85546875" style="483" customWidth="1"/>
    <col min="10776" max="10776" width="1" style="483" customWidth="1"/>
    <col min="10777" max="10777" width="1.140625" style="483" customWidth="1"/>
    <col min="10778" max="10778" width="1.7109375" style="483" customWidth="1"/>
    <col min="10779" max="10779" width="5.85546875" style="483" customWidth="1"/>
    <col min="10780" max="11007" width="6.85546875" style="483" customWidth="1"/>
    <col min="11008" max="11008" width="1.140625" style="483"/>
    <col min="11009" max="11009" width="1.140625" style="483" customWidth="1"/>
    <col min="11010" max="11010" width="1" style="483" customWidth="1"/>
    <col min="11011" max="11011" width="7.28515625" style="483" customWidth="1"/>
    <col min="11012" max="11012" width="1.140625" style="483" customWidth="1"/>
    <col min="11013" max="11013" width="5.5703125" style="483" customWidth="1"/>
    <col min="11014" max="11014" width="1.140625" style="483" customWidth="1"/>
    <col min="11015" max="11015" width="1.28515625" style="483" customWidth="1"/>
    <col min="11016" max="11016" width="8" style="483" customWidth="1"/>
    <col min="11017" max="11017" width="65.140625" style="483" customWidth="1"/>
    <col min="11018" max="11018" width="22.7109375" style="483" customWidth="1"/>
    <col min="11019" max="11019" width="20" style="483" customWidth="1"/>
    <col min="11020" max="11020" width="13" style="483" customWidth="1"/>
    <col min="11021" max="11021" width="20.85546875" style="483" customWidth="1"/>
    <col min="11022" max="11022" width="13.28515625" style="483" customWidth="1"/>
    <col min="11023" max="11023" width="20" style="483" customWidth="1"/>
    <col min="11024" max="11024" width="13.28515625" style="483" customWidth="1"/>
    <col min="11025" max="11025" width="21.85546875" style="483" customWidth="1"/>
    <col min="11026" max="11026" width="11.140625" style="483" customWidth="1"/>
    <col min="11027" max="11027" width="7.140625" style="483" customWidth="1"/>
    <col min="11028" max="11028" width="3.5703125" style="483" customWidth="1"/>
    <col min="11029" max="11029" width="2" style="483" customWidth="1"/>
    <col min="11030" max="11030" width="14.5703125" style="483" customWidth="1"/>
    <col min="11031" max="11031" width="10.85546875" style="483" customWidth="1"/>
    <col min="11032" max="11032" width="1" style="483" customWidth="1"/>
    <col min="11033" max="11033" width="1.140625" style="483" customWidth="1"/>
    <col min="11034" max="11034" width="1.7109375" style="483" customWidth="1"/>
    <col min="11035" max="11035" width="5.85546875" style="483" customWidth="1"/>
    <col min="11036" max="11263" width="6.85546875" style="483" customWidth="1"/>
    <col min="11264" max="11264" width="1.140625" style="483"/>
    <col min="11265" max="11265" width="1.140625" style="483" customWidth="1"/>
    <col min="11266" max="11266" width="1" style="483" customWidth="1"/>
    <col min="11267" max="11267" width="7.28515625" style="483" customWidth="1"/>
    <col min="11268" max="11268" width="1.140625" style="483" customWidth="1"/>
    <col min="11269" max="11269" width="5.5703125" style="483" customWidth="1"/>
    <col min="11270" max="11270" width="1.140625" style="483" customWidth="1"/>
    <col min="11271" max="11271" width="1.28515625" style="483" customWidth="1"/>
    <col min="11272" max="11272" width="8" style="483" customWidth="1"/>
    <col min="11273" max="11273" width="65.140625" style="483" customWidth="1"/>
    <col min="11274" max="11274" width="22.7109375" style="483" customWidth="1"/>
    <col min="11275" max="11275" width="20" style="483" customWidth="1"/>
    <col min="11276" max="11276" width="13" style="483" customWidth="1"/>
    <col min="11277" max="11277" width="20.85546875" style="483" customWidth="1"/>
    <col min="11278" max="11278" width="13.28515625" style="483" customWidth="1"/>
    <col min="11279" max="11279" width="20" style="483" customWidth="1"/>
    <col min="11280" max="11280" width="13.28515625" style="483" customWidth="1"/>
    <col min="11281" max="11281" width="21.85546875" style="483" customWidth="1"/>
    <col min="11282" max="11282" width="11.140625" style="483" customWidth="1"/>
    <col min="11283" max="11283" width="7.140625" style="483" customWidth="1"/>
    <col min="11284" max="11284" width="3.5703125" style="483" customWidth="1"/>
    <col min="11285" max="11285" width="2" style="483" customWidth="1"/>
    <col min="11286" max="11286" width="14.5703125" style="483" customWidth="1"/>
    <col min="11287" max="11287" width="10.85546875" style="483" customWidth="1"/>
    <col min="11288" max="11288" width="1" style="483" customWidth="1"/>
    <col min="11289" max="11289" width="1.140625" style="483" customWidth="1"/>
    <col min="11290" max="11290" width="1.7109375" style="483" customWidth="1"/>
    <col min="11291" max="11291" width="5.85546875" style="483" customWidth="1"/>
    <col min="11292" max="11519" width="6.85546875" style="483" customWidth="1"/>
    <col min="11520" max="11520" width="1.140625" style="483"/>
    <col min="11521" max="11521" width="1.140625" style="483" customWidth="1"/>
    <col min="11522" max="11522" width="1" style="483" customWidth="1"/>
    <col min="11523" max="11523" width="7.28515625" style="483" customWidth="1"/>
    <col min="11524" max="11524" width="1.140625" style="483" customWidth="1"/>
    <col min="11525" max="11525" width="5.5703125" style="483" customWidth="1"/>
    <col min="11526" max="11526" width="1.140625" style="483" customWidth="1"/>
    <col min="11527" max="11527" width="1.28515625" style="483" customWidth="1"/>
    <col min="11528" max="11528" width="8" style="483" customWidth="1"/>
    <col min="11529" max="11529" width="65.140625" style="483" customWidth="1"/>
    <col min="11530" max="11530" width="22.7109375" style="483" customWidth="1"/>
    <col min="11531" max="11531" width="20" style="483" customWidth="1"/>
    <col min="11532" max="11532" width="13" style="483" customWidth="1"/>
    <col min="11533" max="11533" width="20.85546875" style="483" customWidth="1"/>
    <col min="11534" max="11534" width="13.28515625" style="483" customWidth="1"/>
    <col min="11535" max="11535" width="20" style="483" customWidth="1"/>
    <col min="11536" max="11536" width="13.28515625" style="483" customWidth="1"/>
    <col min="11537" max="11537" width="21.85546875" style="483" customWidth="1"/>
    <col min="11538" max="11538" width="11.140625" style="483" customWidth="1"/>
    <col min="11539" max="11539" width="7.140625" style="483" customWidth="1"/>
    <col min="11540" max="11540" width="3.5703125" style="483" customWidth="1"/>
    <col min="11541" max="11541" width="2" style="483" customWidth="1"/>
    <col min="11542" max="11542" width="14.5703125" style="483" customWidth="1"/>
    <col min="11543" max="11543" width="10.85546875" style="483" customWidth="1"/>
    <col min="11544" max="11544" width="1" style="483" customWidth="1"/>
    <col min="11545" max="11545" width="1.140625" style="483" customWidth="1"/>
    <col min="11546" max="11546" width="1.7109375" style="483" customWidth="1"/>
    <col min="11547" max="11547" width="5.85546875" style="483" customWidth="1"/>
    <col min="11548" max="11775" width="6.85546875" style="483" customWidth="1"/>
    <col min="11776" max="11776" width="1.140625" style="483"/>
    <col min="11777" max="11777" width="1.140625" style="483" customWidth="1"/>
    <col min="11778" max="11778" width="1" style="483" customWidth="1"/>
    <col min="11779" max="11779" width="7.28515625" style="483" customWidth="1"/>
    <col min="11780" max="11780" width="1.140625" style="483" customWidth="1"/>
    <col min="11781" max="11781" width="5.5703125" style="483" customWidth="1"/>
    <col min="11782" max="11782" width="1.140625" style="483" customWidth="1"/>
    <col min="11783" max="11783" width="1.28515625" style="483" customWidth="1"/>
    <col min="11784" max="11784" width="8" style="483" customWidth="1"/>
    <col min="11785" max="11785" width="65.140625" style="483" customWidth="1"/>
    <col min="11786" max="11786" width="22.7109375" style="483" customWidth="1"/>
    <col min="11787" max="11787" width="20" style="483" customWidth="1"/>
    <col min="11788" max="11788" width="13" style="483" customWidth="1"/>
    <col min="11789" max="11789" width="20.85546875" style="483" customWidth="1"/>
    <col min="11790" max="11790" width="13.28515625" style="483" customWidth="1"/>
    <col min="11791" max="11791" width="20" style="483" customWidth="1"/>
    <col min="11792" max="11792" width="13.28515625" style="483" customWidth="1"/>
    <col min="11793" max="11793" width="21.85546875" style="483" customWidth="1"/>
    <col min="11794" max="11794" width="11.140625" style="483" customWidth="1"/>
    <col min="11795" max="11795" width="7.140625" style="483" customWidth="1"/>
    <col min="11796" max="11796" width="3.5703125" style="483" customWidth="1"/>
    <col min="11797" max="11797" width="2" style="483" customWidth="1"/>
    <col min="11798" max="11798" width="14.5703125" style="483" customWidth="1"/>
    <col min="11799" max="11799" width="10.85546875" style="483" customWidth="1"/>
    <col min="11800" max="11800" width="1" style="483" customWidth="1"/>
    <col min="11801" max="11801" width="1.140625" style="483" customWidth="1"/>
    <col min="11802" max="11802" width="1.7109375" style="483" customWidth="1"/>
    <col min="11803" max="11803" width="5.85546875" style="483" customWidth="1"/>
    <col min="11804" max="12031" width="6.85546875" style="483" customWidth="1"/>
    <col min="12032" max="12032" width="1.140625" style="483"/>
    <col min="12033" max="12033" width="1.140625" style="483" customWidth="1"/>
    <col min="12034" max="12034" width="1" style="483" customWidth="1"/>
    <col min="12035" max="12035" width="7.28515625" style="483" customWidth="1"/>
    <col min="12036" max="12036" width="1.140625" style="483" customWidth="1"/>
    <col min="12037" max="12037" width="5.5703125" style="483" customWidth="1"/>
    <col min="12038" max="12038" width="1.140625" style="483" customWidth="1"/>
    <col min="12039" max="12039" width="1.28515625" style="483" customWidth="1"/>
    <col min="12040" max="12040" width="8" style="483" customWidth="1"/>
    <col min="12041" max="12041" width="65.140625" style="483" customWidth="1"/>
    <col min="12042" max="12042" width="22.7109375" style="483" customWidth="1"/>
    <col min="12043" max="12043" width="20" style="483" customWidth="1"/>
    <col min="12044" max="12044" width="13" style="483" customWidth="1"/>
    <col min="12045" max="12045" width="20.85546875" style="483" customWidth="1"/>
    <col min="12046" max="12046" width="13.28515625" style="483" customWidth="1"/>
    <col min="12047" max="12047" width="20" style="483" customWidth="1"/>
    <col min="12048" max="12048" width="13.28515625" style="483" customWidth="1"/>
    <col min="12049" max="12049" width="21.85546875" style="483" customWidth="1"/>
    <col min="12050" max="12050" width="11.140625" style="483" customWidth="1"/>
    <col min="12051" max="12051" width="7.140625" style="483" customWidth="1"/>
    <col min="12052" max="12052" width="3.5703125" style="483" customWidth="1"/>
    <col min="12053" max="12053" width="2" style="483" customWidth="1"/>
    <col min="12054" max="12054" width="14.5703125" style="483" customWidth="1"/>
    <col min="12055" max="12055" width="10.85546875" style="483" customWidth="1"/>
    <col min="12056" max="12056" width="1" style="483" customWidth="1"/>
    <col min="12057" max="12057" width="1.140625" style="483" customWidth="1"/>
    <col min="12058" max="12058" width="1.7109375" style="483" customWidth="1"/>
    <col min="12059" max="12059" width="5.85546875" style="483" customWidth="1"/>
    <col min="12060" max="12287" width="6.85546875" style="483" customWidth="1"/>
    <col min="12288" max="12288" width="1.140625" style="483"/>
    <col min="12289" max="12289" width="1.140625" style="483" customWidth="1"/>
    <col min="12290" max="12290" width="1" style="483" customWidth="1"/>
    <col min="12291" max="12291" width="7.28515625" style="483" customWidth="1"/>
    <col min="12292" max="12292" width="1.140625" style="483" customWidth="1"/>
    <col min="12293" max="12293" width="5.5703125" style="483" customWidth="1"/>
    <col min="12294" max="12294" width="1.140625" style="483" customWidth="1"/>
    <col min="12295" max="12295" width="1.28515625" style="483" customWidth="1"/>
    <col min="12296" max="12296" width="8" style="483" customWidth="1"/>
    <col min="12297" max="12297" width="65.140625" style="483" customWidth="1"/>
    <col min="12298" max="12298" width="22.7109375" style="483" customWidth="1"/>
    <col min="12299" max="12299" width="20" style="483" customWidth="1"/>
    <col min="12300" max="12300" width="13" style="483" customWidth="1"/>
    <col min="12301" max="12301" width="20.85546875" style="483" customWidth="1"/>
    <col min="12302" max="12302" width="13.28515625" style="483" customWidth="1"/>
    <col min="12303" max="12303" width="20" style="483" customWidth="1"/>
    <col min="12304" max="12304" width="13.28515625" style="483" customWidth="1"/>
    <col min="12305" max="12305" width="21.85546875" style="483" customWidth="1"/>
    <col min="12306" max="12306" width="11.140625" style="483" customWidth="1"/>
    <col min="12307" max="12307" width="7.140625" style="483" customWidth="1"/>
    <col min="12308" max="12308" width="3.5703125" style="483" customWidth="1"/>
    <col min="12309" max="12309" width="2" style="483" customWidth="1"/>
    <col min="12310" max="12310" width="14.5703125" style="483" customWidth="1"/>
    <col min="12311" max="12311" width="10.85546875" style="483" customWidth="1"/>
    <col min="12312" max="12312" width="1" style="483" customWidth="1"/>
    <col min="12313" max="12313" width="1.140625" style="483" customWidth="1"/>
    <col min="12314" max="12314" width="1.7109375" style="483" customWidth="1"/>
    <col min="12315" max="12315" width="5.85546875" style="483" customWidth="1"/>
    <col min="12316" max="12543" width="6.85546875" style="483" customWidth="1"/>
    <col min="12544" max="12544" width="1.140625" style="483"/>
    <col min="12545" max="12545" width="1.140625" style="483" customWidth="1"/>
    <col min="12546" max="12546" width="1" style="483" customWidth="1"/>
    <col min="12547" max="12547" width="7.28515625" style="483" customWidth="1"/>
    <col min="12548" max="12548" width="1.140625" style="483" customWidth="1"/>
    <col min="12549" max="12549" width="5.5703125" style="483" customWidth="1"/>
    <col min="12550" max="12550" width="1.140625" style="483" customWidth="1"/>
    <col min="12551" max="12551" width="1.28515625" style="483" customWidth="1"/>
    <col min="12552" max="12552" width="8" style="483" customWidth="1"/>
    <col min="12553" max="12553" width="65.140625" style="483" customWidth="1"/>
    <col min="12554" max="12554" width="22.7109375" style="483" customWidth="1"/>
    <col min="12555" max="12555" width="20" style="483" customWidth="1"/>
    <col min="12556" max="12556" width="13" style="483" customWidth="1"/>
    <col min="12557" max="12557" width="20.85546875" style="483" customWidth="1"/>
    <col min="12558" max="12558" width="13.28515625" style="483" customWidth="1"/>
    <col min="12559" max="12559" width="20" style="483" customWidth="1"/>
    <col min="12560" max="12560" width="13.28515625" style="483" customWidth="1"/>
    <col min="12561" max="12561" width="21.85546875" style="483" customWidth="1"/>
    <col min="12562" max="12562" width="11.140625" style="483" customWidth="1"/>
    <col min="12563" max="12563" width="7.140625" style="483" customWidth="1"/>
    <col min="12564" max="12564" width="3.5703125" style="483" customWidth="1"/>
    <col min="12565" max="12565" width="2" style="483" customWidth="1"/>
    <col min="12566" max="12566" width="14.5703125" style="483" customWidth="1"/>
    <col min="12567" max="12567" width="10.85546875" style="483" customWidth="1"/>
    <col min="12568" max="12568" width="1" style="483" customWidth="1"/>
    <col min="12569" max="12569" width="1.140625" style="483" customWidth="1"/>
    <col min="12570" max="12570" width="1.7109375" style="483" customWidth="1"/>
    <col min="12571" max="12571" width="5.85546875" style="483" customWidth="1"/>
    <col min="12572" max="12799" width="6.85546875" style="483" customWidth="1"/>
    <col min="12800" max="12800" width="1.140625" style="483"/>
    <col min="12801" max="12801" width="1.140625" style="483" customWidth="1"/>
    <col min="12802" max="12802" width="1" style="483" customWidth="1"/>
    <col min="12803" max="12803" width="7.28515625" style="483" customWidth="1"/>
    <col min="12804" max="12804" width="1.140625" style="483" customWidth="1"/>
    <col min="12805" max="12805" width="5.5703125" style="483" customWidth="1"/>
    <col min="12806" max="12806" width="1.140625" style="483" customWidth="1"/>
    <col min="12807" max="12807" width="1.28515625" style="483" customWidth="1"/>
    <col min="12808" max="12808" width="8" style="483" customWidth="1"/>
    <col min="12809" max="12809" width="65.140625" style="483" customWidth="1"/>
    <col min="12810" max="12810" width="22.7109375" style="483" customWidth="1"/>
    <col min="12811" max="12811" width="20" style="483" customWidth="1"/>
    <col min="12812" max="12812" width="13" style="483" customWidth="1"/>
    <col min="12813" max="12813" width="20.85546875" style="483" customWidth="1"/>
    <col min="12814" max="12814" width="13.28515625" style="483" customWidth="1"/>
    <col min="12815" max="12815" width="20" style="483" customWidth="1"/>
    <col min="12816" max="12816" width="13.28515625" style="483" customWidth="1"/>
    <col min="12817" max="12817" width="21.85546875" style="483" customWidth="1"/>
    <col min="12818" max="12818" width="11.140625" style="483" customWidth="1"/>
    <col min="12819" max="12819" width="7.140625" style="483" customWidth="1"/>
    <col min="12820" max="12820" width="3.5703125" style="483" customWidth="1"/>
    <col min="12821" max="12821" width="2" style="483" customWidth="1"/>
    <col min="12822" max="12822" width="14.5703125" style="483" customWidth="1"/>
    <col min="12823" max="12823" width="10.85546875" style="483" customWidth="1"/>
    <col min="12824" max="12824" width="1" style="483" customWidth="1"/>
    <col min="12825" max="12825" width="1.140625" style="483" customWidth="1"/>
    <col min="12826" max="12826" width="1.7109375" style="483" customWidth="1"/>
    <col min="12827" max="12827" width="5.85546875" style="483" customWidth="1"/>
    <col min="12828" max="13055" width="6.85546875" style="483" customWidth="1"/>
    <col min="13056" max="13056" width="1.140625" style="483"/>
    <col min="13057" max="13057" width="1.140625" style="483" customWidth="1"/>
    <col min="13058" max="13058" width="1" style="483" customWidth="1"/>
    <col min="13059" max="13059" width="7.28515625" style="483" customWidth="1"/>
    <col min="13060" max="13060" width="1.140625" style="483" customWidth="1"/>
    <col min="13061" max="13061" width="5.5703125" style="483" customWidth="1"/>
    <col min="13062" max="13062" width="1.140625" style="483" customWidth="1"/>
    <col min="13063" max="13063" width="1.28515625" style="483" customWidth="1"/>
    <col min="13064" max="13064" width="8" style="483" customWidth="1"/>
    <col min="13065" max="13065" width="65.140625" style="483" customWidth="1"/>
    <col min="13066" max="13066" width="22.7109375" style="483" customWidth="1"/>
    <col min="13067" max="13067" width="20" style="483" customWidth="1"/>
    <col min="13068" max="13068" width="13" style="483" customWidth="1"/>
    <col min="13069" max="13069" width="20.85546875" style="483" customWidth="1"/>
    <col min="13070" max="13070" width="13.28515625" style="483" customWidth="1"/>
    <col min="13071" max="13071" width="20" style="483" customWidth="1"/>
    <col min="13072" max="13072" width="13.28515625" style="483" customWidth="1"/>
    <col min="13073" max="13073" width="21.85546875" style="483" customWidth="1"/>
    <col min="13074" max="13074" width="11.140625" style="483" customWidth="1"/>
    <col min="13075" max="13075" width="7.140625" style="483" customWidth="1"/>
    <col min="13076" max="13076" width="3.5703125" style="483" customWidth="1"/>
    <col min="13077" max="13077" width="2" style="483" customWidth="1"/>
    <col min="13078" max="13078" width="14.5703125" style="483" customWidth="1"/>
    <col min="13079" max="13079" width="10.85546875" style="483" customWidth="1"/>
    <col min="13080" max="13080" width="1" style="483" customWidth="1"/>
    <col min="13081" max="13081" width="1.140625" style="483" customWidth="1"/>
    <col min="13082" max="13082" width="1.7109375" style="483" customWidth="1"/>
    <col min="13083" max="13083" width="5.85546875" style="483" customWidth="1"/>
    <col min="13084" max="13311" width="6.85546875" style="483" customWidth="1"/>
    <col min="13312" max="13312" width="1.140625" style="483"/>
    <col min="13313" max="13313" width="1.140625" style="483" customWidth="1"/>
    <col min="13314" max="13314" width="1" style="483" customWidth="1"/>
    <col min="13315" max="13315" width="7.28515625" style="483" customWidth="1"/>
    <col min="13316" max="13316" width="1.140625" style="483" customWidth="1"/>
    <col min="13317" max="13317" width="5.5703125" style="483" customWidth="1"/>
    <col min="13318" max="13318" width="1.140625" style="483" customWidth="1"/>
    <col min="13319" max="13319" width="1.28515625" style="483" customWidth="1"/>
    <col min="13320" max="13320" width="8" style="483" customWidth="1"/>
    <col min="13321" max="13321" width="65.140625" style="483" customWidth="1"/>
    <col min="13322" max="13322" width="22.7109375" style="483" customWidth="1"/>
    <col min="13323" max="13323" width="20" style="483" customWidth="1"/>
    <col min="13324" max="13324" width="13" style="483" customWidth="1"/>
    <col min="13325" max="13325" width="20.85546875" style="483" customWidth="1"/>
    <col min="13326" max="13326" width="13.28515625" style="483" customWidth="1"/>
    <col min="13327" max="13327" width="20" style="483" customWidth="1"/>
    <col min="13328" max="13328" width="13.28515625" style="483" customWidth="1"/>
    <col min="13329" max="13329" width="21.85546875" style="483" customWidth="1"/>
    <col min="13330" max="13330" width="11.140625" style="483" customWidth="1"/>
    <col min="13331" max="13331" width="7.140625" style="483" customWidth="1"/>
    <col min="13332" max="13332" width="3.5703125" style="483" customWidth="1"/>
    <col min="13333" max="13333" width="2" style="483" customWidth="1"/>
    <col min="13334" max="13334" width="14.5703125" style="483" customWidth="1"/>
    <col min="13335" max="13335" width="10.85546875" style="483" customWidth="1"/>
    <col min="13336" max="13336" width="1" style="483" customWidth="1"/>
    <col min="13337" max="13337" width="1.140625" style="483" customWidth="1"/>
    <col min="13338" max="13338" width="1.7109375" style="483" customWidth="1"/>
    <col min="13339" max="13339" width="5.85546875" style="483" customWidth="1"/>
    <col min="13340" max="13567" width="6.85546875" style="483" customWidth="1"/>
    <col min="13568" max="13568" width="1.140625" style="483"/>
    <col min="13569" max="13569" width="1.140625" style="483" customWidth="1"/>
    <col min="13570" max="13570" width="1" style="483" customWidth="1"/>
    <col min="13571" max="13571" width="7.28515625" style="483" customWidth="1"/>
    <col min="13572" max="13572" width="1.140625" style="483" customWidth="1"/>
    <col min="13573" max="13573" width="5.5703125" style="483" customWidth="1"/>
    <col min="13574" max="13574" width="1.140625" style="483" customWidth="1"/>
    <col min="13575" max="13575" width="1.28515625" style="483" customWidth="1"/>
    <col min="13576" max="13576" width="8" style="483" customWidth="1"/>
    <col min="13577" max="13577" width="65.140625" style="483" customWidth="1"/>
    <col min="13578" max="13578" width="22.7109375" style="483" customWidth="1"/>
    <col min="13579" max="13579" width="20" style="483" customWidth="1"/>
    <col min="13580" max="13580" width="13" style="483" customWidth="1"/>
    <col min="13581" max="13581" width="20.85546875" style="483" customWidth="1"/>
    <col min="13582" max="13582" width="13.28515625" style="483" customWidth="1"/>
    <col min="13583" max="13583" width="20" style="483" customWidth="1"/>
    <col min="13584" max="13584" width="13.28515625" style="483" customWidth="1"/>
    <col min="13585" max="13585" width="21.85546875" style="483" customWidth="1"/>
    <col min="13586" max="13586" width="11.140625" style="483" customWidth="1"/>
    <col min="13587" max="13587" width="7.140625" style="483" customWidth="1"/>
    <col min="13588" max="13588" width="3.5703125" style="483" customWidth="1"/>
    <col min="13589" max="13589" width="2" style="483" customWidth="1"/>
    <col min="13590" max="13590" width="14.5703125" style="483" customWidth="1"/>
    <col min="13591" max="13591" width="10.85546875" style="483" customWidth="1"/>
    <col min="13592" max="13592" width="1" style="483" customWidth="1"/>
    <col min="13593" max="13593" width="1.140625" style="483" customWidth="1"/>
    <col min="13594" max="13594" width="1.7109375" style="483" customWidth="1"/>
    <col min="13595" max="13595" width="5.85546875" style="483" customWidth="1"/>
    <col min="13596" max="13823" width="6.85546875" style="483" customWidth="1"/>
    <col min="13824" max="13824" width="1.140625" style="483"/>
    <col min="13825" max="13825" width="1.140625" style="483" customWidth="1"/>
    <col min="13826" max="13826" width="1" style="483" customWidth="1"/>
    <col min="13827" max="13827" width="7.28515625" style="483" customWidth="1"/>
    <col min="13828" max="13828" width="1.140625" style="483" customWidth="1"/>
    <col min="13829" max="13829" width="5.5703125" style="483" customWidth="1"/>
    <col min="13830" max="13830" width="1.140625" style="483" customWidth="1"/>
    <col min="13831" max="13831" width="1.28515625" style="483" customWidth="1"/>
    <col min="13832" max="13832" width="8" style="483" customWidth="1"/>
    <col min="13833" max="13833" width="65.140625" style="483" customWidth="1"/>
    <col min="13834" max="13834" width="22.7109375" style="483" customWidth="1"/>
    <col min="13835" max="13835" width="20" style="483" customWidth="1"/>
    <col min="13836" max="13836" width="13" style="483" customWidth="1"/>
    <col min="13837" max="13837" width="20.85546875" style="483" customWidth="1"/>
    <col min="13838" max="13838" width="13.28515625" style="483" customWidth="1"/>
    <col min="13839" max="13839" width="20" style="483" customWidth="1"/>
    <col min="13840" max="13840" width="13.28515625" style="483" customWidth="1"/>
    <col min="13841" max="13841" width="21.85546875" style="483" customWidth="1"/>
    <col min="13842" max="13842" width="11.140625" style="483" customWidth="1"/>
    <col min="13843" max="13843" width="7.140625" style="483" customWidth="1"/>
    <col min="13844" max="13844" width="3.5703125" style="483" customWidth="1"/>
    <col min="13845" max="13845" width="2" style="483" customWidth="1"/>
    <col min="13846" max="13846" width="14.5703125" style="483" customWidth="1"/>
    <col min="13847" max="13847" width="10.85546875" style="483" customWidth="1"/>
    <col min="13848" max="13848" width="1" style="483" customWidth="1"/>
    <col min="13849" max="13849" width="1.140625" style="483" customWidth="1"/>
    <col min="13850" max="13850" width="1.7109375" style="483" customWidth="1"/>
    <col min="13851" max="13851" width="5.85546875" style="483" customWidth="1"/>
    <col min="13852" max="14079" width="6.85546875" style="483" customWidth="1"/>
    <col min="14080" max="14080" width="1.140625" style="483"/>
    <col min="14081" max="14081" width="1.140625" style="483" customWidth="1"/>
    <col min="14082" max="14082" width="1" style="483" customWidth="1"/>
    <col min="14083" max="14083" width="7.28515625" style="483" customWidth="1"/>
    <col min="14084" max="14084" width="1.140625" style="483" customWidth="1"/>
    <col min="14085" max="14085" width="5.5703125" style="483" customWidth="1"/>
    <col min="14086" max="14086" width="1.140625" style="483" customWidth="1"/>
    <col min="14087" max="14087" width="1.28515625" style="483" customWidth="1"/>
    <col min="14088" max="14088" width="8" style="483" customWidth="1"/>
    <col min="14089" max="14089" width="65.140625" style="483" customWidth="1"/>
    <col min="14090" max="14090" width="22.7109375" style="483" customWidth="1"/>
    <col min="14091" max="14091" width="20" style="483" customWidth="1"/>
    <col min="14092" max="14092" width="13" style="483" customWidth="1"/>
    <col min="14093" max="14093" width="20.85546875" style="483" customWidth="1"/>
    <col min="14094" max="14094" width="13.28515625" style="483" customWidth="1"/>
    <col min="14095" max="14095" width="20" style="483" customWidth="1"/>
    <col min="14096" max="14096" width="13.28515625" style="483" customWidth="1"/>
    <col min="14097" max="14097" width="21.85546875" style="483" customWidth="1"/>
    <col min="14098" max="14098" width="11.140625" style="483" customWidth="1"/>
    <col min="14099" max="14099" width="7.140625" style="483" customWidth="1"/>
    <col min="14100" max="14100" width="3.5703125" style="483" customWidth="1"/>
    <col min="14101" max="14101" width="2" style="483" customWidth="1"/>
    <col min="14102" max="14102" width="14.5703125" style="483" customWidth="1"/>
    <col min="14103" max="14103" width="10.85546875" style="483" customWidth="1"/>
    <col min="14104" max="14104" width="1" style="483" customWidth="1"/>
    <col min="14105" max="14105" width="1.140625" style="483" customWidth="1"/>
    <col min="14106" max="14106" width="1.7109375" style="483" customWidth="1"/>
    <col min="14107" max="14107" width="5.85546875" style="483" customWidth="1"/>
    <col min="14108" max="14335" width="6.85546875" style="483" customWidth="1"/>
    <col min="14336" max="14336" width="1.140625" style="483"/>
    <col min="14337" max="14337" width="1.140625" style="483" customWidth="1"/>
    <col min="14338" max="14338" width="1" style="483" customWidth="1"/>
    <col min="14339" max="14339" width="7.28515625" style="483" customWidth="1"/>
    <col min="14340" max="14340" width="1.140625" style="483" customWidth="1"/>
    <col min="14341" max="14341" width="5.5703125" style="483" customWidth="1"/>
    <col min="14342" max="14342" width="1.140625" style="483" customWidth="1"/>
    <col min="14343" max="14343" width="1.28515625" style="483" customWidth="1"/>
    <col min="14344" max="14344" width="8" style="483" customWidth="1"/>
    <col min="14345" max="14345" width="65.140625" style="483" customWidth="1"/>
    <col min="14346" max="14346" width="22.7109375" style="483" customWidth="1"/>
    <col min="14347" max="14347" width="20" style="483" customWidth="1"/>
    <col min="14348" max="14348" width="13" style="483" customWidth="1"/>
    <col min="14349" max="14349" width="20.85546875" style="483" customWidth="1"/>
    <col min="14350" max="14350" width="13.28515625" style="483" customWidth="1"/>
    <col min="14351" max="14351" width="20" style="483" customWidth="1"/>
    <col min="14352" max="14352" width="13.28515625" style="483" customWidth="1"/>
    <col min="14353" max="14353" width="21.85546875" style="483" customWidth="1"/>
    <col min="14354" max="14354" width="11.140625" style="483" customWidth="1"/>
    <col min="14355" max="14355" width="7.140625" style="483" customWidth="1"/>
    <col min="14356" max="14356" width="3.5703125" style="483" customWidth="1"/>
    <col min="14357" max="14357" width="2" style="483" customWidth="1"/>
    <col min="14358" max="14358" width="14.5703125" style="483" customWidth="1"/>
    <col min="14359" max="14359" width="10.85546875" style="483" customWidth="1"/>
    <col min="14360" max="14360" width="1" style="483" customWidth="1"/>
    <col min="14361" max="14361" width="1.140625" style="483" customWidth="1"/>
    <col min="14362" max="14362" width="1.7109375" style="483" customWidth="1"/>
    <col min="14363" max="14363" width="5.85546875" style="483" customWidth="1"/>
    <col min="14364" max="14591" width="6.85546875" style="483" customWidth="1"/>
    <col min="14592" max="14592" width="1.140625" style="483"/>
    <col min="14593" max="14593" width="1.140625" style="483" customWidth="1"/>
    <col min="14594" max="14594" width="1" style="483" customWidth="1"/>
    <col min="14595" max="14595" width="7.28515625" style="483" customWidth="1"/>
    <col min="14596" max="14596" width="1.140625" style="483" customWidth="1"/>
    <col min="14597" max="14597" width="5.5703125" style="483" customWidth="1"/>
    <col min="14598" max="14598" width="1.140625" style="483" customWidth="1"/>
    <col min="14599" max="14599" width="1.28515625" style="483" customWidth="1"/>
    <col min="14600" max="14600" width="8" style="483" customWidth="1"/>
    <col min="14601" max="14601" width="65.140625" style="483" customWidth="1"/>
    <col min="14602" max="14602" width="22.7109375" style="483" customWidth="1"/>
    <col min="14603" max="14603" width="20" style="483" customWidth="1"/>
    <col min="14604" max="14604" width="13" style="483" customWidth="1"/>
    <col min="14605" max="14605" width="20.85546875" style="483" customWidth="1"/>
    <col min="14606" max="14606" width="13.28515625" style="483" customWidth="1"/>
    <col min="14607" max="14607" width="20" style="483" customWidth="1"/>
    <col min="14608" max="14608" width="13.28515625" style="483" customWidth="1"/>
    <col min="14609" max="14609" width="21.85546875" style="483" customWidth="1"/>
    <col min="14610" max="14610" width="11.140625" style="483" customWidth="1"/>
    <col min="14611" max="14611" width="7.140625" style="483" customWidth="1"/>
    <col min="14612" max="14612" width="3.5703125" style="483" customWidth="1"/>
    <col min="14613" max="14613" width="2" style="483" customWidth="1"/>
    <col min="14614" max="14614" width="14.5703125" style="483" customWidth="1"/>
    <col min="14615" max="14615" width="10.85546875" style="483" customWidth="1"/>
    <col min="14616" max="14616" width="1" style="483" customWidth="1"/>
    <col min="14617" max="14617" width="1.140625" style="483" customWidth="1"/>
    <col min="14618" max="14618" width="1.7109375" style="483" customWidth="1"/>
    <col min="14619" max="14619" width="5.85546875" style="483" customWidth="1"/>
    <col min="14620" max="14847" width="6.85546875" style="483" customWidth="1"/>
    <col min="14848" max="14848" width="1.140625" style="483"/>
    <col min="14849" max="14849" width="1.140625" style="483" customWidth="1"/>
    <col min="14850" max="14850" width="1" style="483" customWidth="1"/>
    <col min="14851" max="14851" width="7.28515625" style="483" customWidth="1"/>
    <col min="14852" max="14852" width="1.140625" style="483" customWidth="1"/>
    <col min="14853" max="14853" width="5.5703125" style="483" customWidth="1"/>
    <col min="14854" max="14854" width="1.140625" style="483" customWidth="1"/>
    <col min="14855" max="14855" width="1.28515625" style="483" customWidth="1"/>
    <col min="14856" max="14856" width="8" style="483" customWidth="1"/>
    <col min="14857" max="14857" width="65.140625" style="483" customWidth="1"/>
    <col min="14858" max="14858" width="22.7109375" style="483" customWidth="1"/>
    <col min="14859" max="14859" width="20" style="483" customWidth="1"/>
    <col min="14860" max="14860" width="13" style="483" customWidth="1"/>
    <col min="14861" max="14861" width="20.85546875" style="483" customWidth="1"/>
    <col min="14862" max="14862" width="13.28515625" style="483" customWidth="1"/>
    <col min="14863" max="14863" width="20" style="483" customWidth="1"/>
    <col min="14864" max="14864" width="13.28515625" style="483" customWidth="1"/>
    <col min="14865" max="14865" width="21.85546875" style="483" customWidth="1"/>
    <col min="14866" max="14866" width="11.140625" style="483" customWidth="1"/>
    <col min="14867" max="14867" width="7.140625" style="483" customWidth="1"/>
    <col min="14868" max="14868" width="3.5703125" style="483" customWidth="1"/>
    <col min="14869" max="14869" width="2" style="483" customWidth="1"/>
    <col min="14870" max="14870" width="14.5703125" style="483" customWidth="1"/>
    <col min="14871" max="14871" width="10.85546875" style="483" customWidth="1"/>
    <col min="14872" max="14872" width="1" style="483" customWidth="1"/>
    <col min="14873" max="14873" width="1.140625" style="483" customWidth="1"/>
    <col min="14874" max="14874" width="1.7109375" style="483" customWidth="1"/>
    <col min="14875" max="14875" width="5.85546875" style="483" customWidth="1"/>
    <col min="14876" max="15103" width="6.85546875" style="483" customWidth="1"/>
    <col min="15104" max="15104" width="1.140625" style="483"/>
    <col min="15105" max="15105" width="1.140625" style="483" customWidth="1"/>
    <col min="15106" max="15106" width="1" style="483" customWidth="1"/>
    <col min="15107" max="15107" width="7.28515625" style="483" customWidth="1"/>
    <col min="15108" max="15108" width="1.140625" style="483" customWidth="1"/>
    <col min="15109" max="15109" width="5.5703125" style="483" customWidth="1"/>
    <col min="15110" max="15110" width="1.140625" style="483" customWidth="1"/>
    <col min="15111" max="15111" width="1.28515625" style="483" customWidth="1"/>
    <col min="15112" max="15112" width="8" style="483" customWidth="1"/>
    <col min="15113" max="15113" width="65.140625" style="483" customWidth="1"/>
    <col min="15114" max="15114" width="22.7109375" style="483" customWidth="1"/>
    <col min="15115" max="15115" width="20" style="483" customWidth="1"/>
    <col min="15116" max="15116" width="13" style="483" customWidth="1"/>
    <col min="15117" max="15117" width="20.85546875" style="483" customWidth="1"/>
    <col min="15118" max="15118" width="13.28515625" style="483" customWidth="1"/>
    <col min="15119" max="15119" width="20" style="483" customWidth="1"/>
    <col min="15120" max="15120" width="13.28515625" style="483" customWidth="1"/>
    <col min="15121" max="15121" width="21.85546875" style="483" customWidth="1"/>
    <col min="15122" max="15122" width="11.140625" style="483" customWidth="1"/>
    <col min="15123" max="15123" width="7.140625" style="483" customWidth="1"/>
    <col min="15124" max="15124" width="3.5703125" style="483" customWidth="1"/>
    <col min="15125" max="15125" width="2" style="483" customWidth="1"/>
    <col min="15126" max="15126" width="14.5703125" style="483" customWidth="1"/>
    <col min="15127" max="15127" width="10.85546875" style="483" customWidth="1"/>
    <col min="15128" max="15128" width="1" style="483" customWidth="1"/>
    <col min="15129" max="15129" width="1.140625" style="483" customWidth="1"/>
    <col min="15130" max="15130" width="1.7109375" style="483" customWidth="1"/>
    <col min="15131" max="15131" width="5.85546875" style="483" customWidth="1"/>
    <col min="15132" max="15359" width="6.85546875" style="483" customWidth="1"/>
    <col min="15360" max="15360" width="1.140625" style="483"/>
    <col min="15361" max="15361" width="1.140625" style="483" customWidth="1"/>
    <col min="15362" max="15362" width="1" style="483" customWidth="1"/>
    <col min="15363" max="15363" width="7.28515625" style="483" customWidth="1"/>
    <col min="15364" max="15364" width="1.140625" style="483" customWidth="1"/>
    <col min="15365" max="15365" width="5.5703125" style="483" customWidth="1"/>
    <col min="15366" max="15366" width="1.140625" style="483" customWidth="1"/>
    <col min="15367" max="15367" width="1.28515625" style="483" customWidth="1"/>
    <col min="15368" max="15368" width="8" style="483" customWidth="1"/>
    <col min="15369" max="15369" width="65.140625" style="483" customWidth="1"/>
    <col min="15370" max="15370" width="22.7109375" style="483" customWidth="1"/>
    <col min="15371" max="15371" width="20" style="483" customWidth="1"/>
    <col min="15372" max="15372" width="13" style="483" customWidth="1"/>
    <col min="15373" max="15373" width="20.85546875" style="483" customWidth="1"/>
    <col min="15374" max="15374" width="13.28515625" style="483" customWidth="1"/>
    <col min="15375" max="15375" width="20" style="483" customWidth="1"/>
    <col min="15376" max="15376" width="13.28515625" style="483" customWidth="1"/>
    <col min="15377" max="15377" width="21.85546875" style="483" customWidth="1"/>
    <col min="15378" max="15378" width="11.140625" style="483" customWidth="1"/>
    <col min="15379" max="15379" width="7.140625" style="483" customWidth="1"/>
    <col min="15380" max="15380" width="3.5703125" style="483" customWidth="1"/>
    <col min="15381" max="15381" width="2" style="483" customWidth="1"/>
    <col min="15382" max="15382" width="14.5703125" style="483" customWidth="1"/>
    <col min="15383" max="15383" width="10.85546875" style="483" customWidth="1"/>
    <col min="15384" max="15384" width="1" style="483" customWidth="1"/>
    <col min="15385" max="15385" width="1.140625" style="483" customWidth="1"/>
    <col min="15386" max="15386" width="1.7109375" style="483" customWidth="1"/>
    <col min="15387" max="15387" width="5.85546875" style="483" customWidth="1"/>
    <col min="15388" max="15615" width="6.85546875" style="483" customWidth="1"/>
    <col min="15616" max="15616" width="1.140625" style="483"/>
    <col min="15617" max="15617" width="1.140625" style="483" customWidth="1"/>
    <col min="15618" max="15618" width="1" style="483" customWidth="1"/>
    <col min="15619" max="15619" width="7.28515625" style="483" customWidth="1"/>
    <col min="15620" max="15620" width="1.140625" style="483" customWidth="1"/>
    <col min="15621" max="15621" width="5.5703125" style="483" customWidth="1"/>
    <col min="15622" max="15622" width="1.140625" style="483" customWidth="1"/>
    <col min="15623" max="15623" width="1.28515625" style="483" customWidth="1"/>
    <col min="15624" max="15624" width="8" style="483" customWidth="1"/>
    <col min="15625" max="15625" width="65.140625" style="483" customWidth="1"/>
    <col min="15626" max="15626" width="22.7109375" style="483" customWidth="1"/>
    <col min="15627" max="15627" width="20" style="483" customWidth="1"/>
    <col min="15628" max="15628" width="13" style="483" customWidth="1"/>
    <col min="15629" max="15629" width="20.85546875" style="483" customWidth="1"/>
    <col min="15630" max="15630" width="13.28515625" style="483" customWidth="1"/>
    <col min="15631" max="15631" width="20" style="483" customWidth="1"/>
    <col min="15632" max="15632" width="13.28515625" style="483" customWidth="1"/>
    <col min="15633" max="15633" width="21.85546875" style="483" customWidth="1"/>
    <col min="15634" max="15634" width="11.140625" style="483" customWidth="1"/>
    <col min="15635" max="15635" width="7.140625" style="483" customWidth="1"/>
    <col min="15636" max="15636" width="3.5703125" style="483" customWidth="1"/>
    <col min="15637" max="15637" width="2" style="483" customWidth="1"/>
    <col min="15638" max="15638" width="14.5703125" style="483" customWidth="1"/>
    <col min="15639" max="15639" width="10.85546875" style="483" customWidth="1"/>
    <col min="15640" max="15640" width="1" style="483" customWidth="1"/>
    <col min="15641" max="15641" width="1.140625" style="483" customWidth="1"/>
    <col min="15642" max="15642" width="1.7109375" style="483" customWidth="1"/>
    <col min="15643" max="15643" width="5.85546875" style="483" customWidth="1"/>
    <col min="15644" max="15871" width="6.85546875" style="483" customWidth="1"/>
    <col min="15872" max="15872" width="1.140625" style="483"/>
    <col min="15873" max="15873" width="1.140625" style="483" customWidth="1"/>
    <col min="15874" max="15874" width="1" style="483" customWidth="1"/>
    <col min="15875" max="15875" width="7.28515625" style="483" customWidth="1"/>
    <col min="15876" max="15876" width="1.140625" style="483" customWidth="1"/>
    <col min="15877" max="15877" width="5.5703125" style="483" customWidth="1"/>
    <col min="15878" max="15878" width="1.140625" style="483" customWidth="1"/>
    <col min="15879" max="15879" width="1.28515625" style="483" customWidth="1"/>
    <col min="15880" max="15880" width="8" style="483" customWidth="1"/>
    <col min="15881" max="15881" width="65.140625" style="483" customWidth="1"/>
    <col min="15882" max="15882" width="22.7109375" style="483" customWidth="1"/>
    <col min="15883" max="15883" width="20" style="483" customWidth="1"/>
    <col min="15884" max="15884" width="13" style="483" customWidth="1"/>
    <col min="15885" max="15885" width="20.85546875" style="483" customWidth="1"/>
    <col min="15886" max="15886" width="13.28515625" style="483" customWidth="1"/>
    <col min="15887" max="15887" width="20" style="483" customWidth="1"/>
    <col min="15888" max="15888" width="13.28515625" style="483" customWidth="1"/>
    <col min="15889" max="15889" width="21.85546875" style="483" customWidth="1"/>
    <col min="15890" max="15890" width="11.140625" style="483" customWidth="1"/>
    <col min="15891" max="15891" width="7.140625" style="483" customWidth="1"/>
    <col min="15892" max="15892" width="3.5703125" style="483" customWidth="1"/>
    <col min="15893" max="15893" width="2" style="483" customWidth="1"/>
    <col min="15894" max="15894" width="14.5703125" style="483" customWidth="1"/>
    <col min="15895" max="15895" width="10.85546875" style="483" customWidth="1"/>
    <col min="15896" max="15896" width="1" style="483" customWidth="1"/>
    <col min="15897" max="15897" width="1.140625" style="483" customWidth="1"/>
    <col min="15898" max="15898" width="1.7109375" style="483" customWidth="1"/>
    <col min="15899" max="15899" width="5.85546875" style="483" customWidth="1"/>
    <col min="15900" max="16127" width="6.85546875" style="483" customWidth="1"/>
    <col min="16128" max="16128" width="1.140625" style="483"/>
    <col min="16129" max="16129" width="1.140625" style="483" customWidth="1"/>
    <col min="16130" max="16130" width="1" style="483" customWidth="1"/>
    <col min="16131" max="16131" width="7.28515625" style="483" customWidth="1"/>
    <col min="16132" max="16132" width="1.140625" style="483" customWidth="1"/>
    <col min="16133" max="16133" width="5.5703125" style="483" customWidth="1"/>
    <col min="16134" max="16134" width="1.140625" style="483" customWidth="1"/>
    <col min="16135" max="16135" width="1.28515625" style="483" customWidth="1"/>
    <col min="16136" max="16136" width="8" style="483" customWidth="1"/>
    <col min="16137" max="16137" width="65.140625" style="483" customWidth="1"/>
    <col min="16138" max="16138" width="22.7109375" style="483" customWidth="1"/>
    <col min="16139" max="16139" width="20" style="483" customWidth="1"/>
    <col min="16140" max="16140" width="13" style="483" customWidth="1"/>
    <col min="16141" max="16141" width="20.85546875" style="483" customWidth="1"/>
    <col min="16142" max="16142" width="13.28515625" style="483" customWidth="1"/>
    <col min="16143" max="16143" width="20" style="483" customWidth="1"/>
    <col min="16144" max="16144" width="13.28515625" style="483" customWidth="1"/>
    <col min="16145" max="16145" width="21.85546875" style="483" customWidth="1"/>
    <col min="16146" max="16146" width="11.140625" style="483" customWidth="1"/>
    <col min="16147" max="16147" width="7.140625" style="483" customWidth="1"/>
    <col min="16148" max="16148" width="3.5703125" style="483" customWidth="1"/>
    <col min="16149" max="16149" width="2" style="483" customWidth="1"/>
    <col min="16150" max="16150" width="14.5703125" style="483" customWidth="1"/>
    <col min="16151" max="16151" width="10.85546875" style="483" customWidth="1"/>
    <col min="16152" max="16152" width="1" style="483" customWidth="1"/>
    <col min="16153" max="16153" width="1.140625" style="483" customWidth="1"/>
    <col min="16154" max="16154" width="1.7109375" style="483" customWidth="1"/>
    <col min="16155" max="16155" width="5.85546875" style="483" customWidth="1"/>
    <col min="16156" max="16383" width="6.85546875" style="483" customWidth="1"/>
    <col min="16384" max="16384" width="1.140625" style="483"/>
  </cols>
  <sheetData>
    <row r="1" spans="2:23" ht="14.1" customHeight="1" x14ac:dyDescent="0.25">
      <c r="B1" s="496" t="s">
        <v>6230</v>
      </c>
      <c r="C1" s="496"/>
      <c r="D1" s="496"/>
      <c r="E1" s="496"/>
      <c r="F1" s="496"/>
      <c r="G1" s="496"/>
      <c r="H1" s="496"/>
      <c r="I1" s="496"/>
      <c r="J1" s="496"/>
      <c r="K1" s="496"/>
      <c r="M1" s="496"/>
      <c r="O1" s="496"/>
    </row>
    <row r="2" spans="2:23" ht="14.1" customHeight="1" x14ac:dyDescent="0.25">
      <c r="B2" s="496"/>
      <c r="C2" s="496"/>
      <c r="D2" s="496"/>
      <c r="E2" s="496"/>
      <c r="F2" s="496"/>
      <c r="G2" s="496"/>
      <c r="H2" s="496"/>
      <c r="I2" s="496"/>
      <c r="J2" s="496"/>
      <c r="K2" s="496"/>
      <c r="M2" s="496"/>
      <c r="O2" s="496"/>
    </row>
    <row r="3" spans="2:23" ht="14.1" customHeight="1" x14ac:dyDescent="0.25">
      <c r="B3" s="496"/>
      <c r="C3" s="496" t="s">
        <v>937</v>
      </c>
      <c r="D3" s="496"/>
      <c r="E3" s="496"/>
      <c r="F3" s="496"/>
      <c r="G3" s="496"/>
      <c r="H3" s="496"/>
      <c r="I3" s="496"/>
      <c r="J3" s="496"/>
      <c r="K3" s="496"/>
      <c r="M3" s="496"/>
      <c r="O3" s="496"/>
    </row>
    <row r="4" spans="2:23" ht="14.1" customHeight="1" x14ac:dyDescent="0.25">
      <c r="K4" s="591"/>
    </row>
    <row r="5" spans="2:23" ht="14.1" customHeight="1" x14ac:dyDescent="0.25"/>
    <row r="6" spans="2:23" ht="14.1" customHeight="1" x14ac:dyDescent="0.25">
      <c r="C6" s="1321" t="s">
        <v>2099</v>
      </c>
      <c r="D6" s="1321"/>
      <c r="E6" s="1321"/>
      <c r="F6" s="497"/>
      <c r="G6" s="497"/>
      <c r="H6" s="497"/>
      <c r="I6" s="1321" t="s">
        <v>2100</v>
      </c>
      <c r="J6" s="555">
        <v>2012</v>
      </c>
      <c r="K6" s="555">
        <v>2013</v>
      </c>
      <c r="L6" s="555"/>
      <c r="M6" s="555">
        <v>2014</v>
      </c>
      <c r="N6" s="555"/>
      <c r="O6" s="947">
        <v>2015</v>
      </c>
      <c r="P6" s="555"/>
      <c r="Q6" s="1318" t="s">
        <v>236</v>
      </c>
      <c r="R6" s="1318"/>
    </row>
    <row r="7" spans="2:23" ht="14.1" customHeight="1" x14ac:dyDescent="0.25">
      <c r="C7" s="1321"/>
      <c r="D7" s="1321"/>
      <c r="E7" s="1321"/>
      <c r="F7" s="497"/>
      <c r="G7" s="497"/>
      <c r="H7" s="497"/>
      <c r="I7" s="1321"/>
      <c r="J7" s="485" t="s">
        <v>6207</v>
      </c>
      <c r="K7" s="485" t="s">
        <v>6207</v>
      </c>
      <c r="L7" s="486" t="s">
        <v>235</v>
      </c>
      <c r="M7" s="485" t="s">
        <v>6207</v>
      </c>
      <c r="N7" s="486" t="s">
        <v>235</v>
      </c>
      <c r="O7" s="485" t="s">
        <v>6207</v>
      </c>
      <c r="P7" s="486" t="s">
        <v>235</v>
      </c>
      <c r="Q7" s="487" t="s">
        <v>6220</v>
      </c>
      <c r="R7" s="488" t="s">
        <v>235</v>
      </c>
      <c r="S7" s="498"/>
      <c r="V7" s="498"/>
      <c r="W7" s="498"/>
    </row>
    <row r="8" spans="2:23" ht="14.1" customHeight="1" x14ac:dyDescent="0.25">
      <c r="J8" s="499"/>
      <c r="K8" s="499"/>
      <c r="M8" s="499"/>
      <c r="O8" s="499"/>
    </row>
    <row r="9" spans="2:23" s="492" customFormat="1" ht="14.1" customHeight="1" x14ac:dyDescent="0.25">
      <c r="C9" s="492" t="s">
        <v>2104</v>
      </c>
      <c r="I9" s="500" t="s">
        <v>2105</v>
      </c>
      <c r="J9" s="501">
        <f>J11+J85+J93</f>
        <v>374225.2</v>
      </c>
      <c r="K9" s="501">
        <f>K11+K85+K93</f>
        <v>540105.64</v>
      </c>
      <c r="L9" s="489">
        <f>IF(K9=0,"0,00% ",(K9-J9)/K9)</f>
        <v>0.30712591707059383</v>
      </c>
      <c r="M9" s="501">
        <f>M11+M85+M93</f>
        <v>574926.29999999993</v>
      </c>
      <c r="N9" s="489">
        <f>IF(M9=0,"0,00% ",(M9-K9)/M9)</f>
        <v>6.0565432473692574E-2</v>
      </c>
      <c r="O9" s="501">
        <f>O11+O85+O93</f>
        <v>857689.67</v>
      </c>
      <c r="P9" s="489">
        <f>IF(O9=0,"0,00% ",(O9-M9)/O9)</f>
        <v>0.32968027934859012</v>
      </c>
      <c r="Q9" s="490">
        <f>IF(O9=0,"R$0,0",(J9+K9+M9+O9)/4)</f>
        <v>586736.70250000001</v>
      </c>
      <c r="R9" s="491">
        <f>IF(P9=0,"R$0,0%",(L9+N9+P9)/3)</f>
        <v>0.23245720963095884</v>
      </c>
      <c r="W9" s="502"/>
    </row>
    <row r="10" spans="2:23" s="492" customFormat="1" ht="14.1" customHeight="1" x14ac:dyDescent="0.25">
      <c r="J10" s="501"/>
      <c r="K10" s="501"/>
      <c r="M10" s="501"/>
      <c r="O10" s="501"/>
      <c r="Q10" s="503"/>
      <c r="R10" s="504"/>
    </row>
    <row r="11" spans="2:23" s="492" customFormat="1" ht="14.1" customHeight="1" x14ac:dyDescent="0.25">
      <c r="C11" s="492" t="s">
        <v>2106</v>
      </c>
      <c r="I11" s="500" t="s">
        <v>2075</v>
      </c>
      <c r="J11" s="501">
        <f>J13+J19</f>
        <v>335605.51</v>
      </c>
      <c r="K11" s="501">
        <f>K13+K19</f>
        <v>490124.27</v>
      </c>
      <c r="L11" s="489">
        <f>IF(K11=0,"0,00% ",(K11-J11)/K11)</f>
        <v>0.31526445323754321</v>
      </c>
      <c r="M11" s="501">
        <f>M13+M19</f>
        <v>509706.87999999995</v>
      </c>
      <c r="N11" s="489">
        <f>IF(M11=0,"0,00% ",(M11-K11)/M11)</f>
        <v>3.8419355846246235E-2</v>
      </c>
      <c r="O11" s="501">
        <f>O13+O19</f>
        <v>807708.3</v>
      </c>
      <c r="P11" s="489">
        <f>IF(O11=0,"0,00% ",(O11-M11)/O11)</f>
        <v>0.36894683390030791</v>
      </c>
      <c r="Q11" s="490">
        <f>IF(O11=0,"R$0,0",(J11+K11+M11+O11)/4)</f>
        <v>535786.23999999999</v>
      </c>
      <c r="R11" s="491">
        <f>IF(P11=0,"R$0,0%",(L11+N11+P11)/3)</f>
        <v>0.24087688099469914</v>
      </c>
      <c r="S11" s="502"/>
    </row>
    <row r="12" spans="2:23" s="492" customFormat="1" ht="14.1" customHeight="1" x14ac:dyDescent="0.25">
      <c r="J12" s="501"/>
      <c r="K12" s="501"/>
      <c r="M12" s="501"/>
      <c r="O12" s="501"/>
      <c r="Q12" s="490"/>
      <c r="R12" s="493"/>
    </row>
    <row r="13" spans="2:23" s="492" customFormat="1" ht="14.1" customHeight="1" x14ac:dyDescent="0.25">
      <c r="C13" s="492" t="s">
        <v>6340</v>
      </c>
      <c r="I13" s="500" t="s">
        <v>6250</v>
      </c>
      <c r="J13" s="501">
        <f>J15+J17</f>
        <v>0</v>
      </c>
      <c r="K13" s="501">
        <f>K15+K17</f>
        <v>0</v>
      </c>
      <c r="L13" s="489" t="str">
        <f>IF(K13=0,"0,00% ",(K13-J13)/K13)</f>
        <v xml:space="preserve">0,00% </v>
      </c>
      <c r="M13" s="501">
        <f>M15+M17</f>
        <v>0</v>
      </c>
      <c r="N13" s="489" t="str">
        <f>IF(M13=0,"0,00% ",(M13-K13)/M13)</f>
        <v xml:space="preserve">0,00% </v>
      </c>
      <c r="O13" s="501">
        <f>O15+O17</f>
        <v>0</v>
      </c>
      <c r="P13" s="489" t="str">
        <f>IF(O13=0,"0,00% ",(O13-M13)/O13)</f>
        <v xml:space="preserve">0,00% </v>
      </c>
      <c r="Q13" s="490" t="str">
        <f>IF(O13=0,"R$0,0",(J13+K13+M13+O13)/4)</f>
        <v>R$0,0</v>
      </c>
      <c r="R13" s="491">
        <f>IF(P13=0,"R$0,0%",(L13+N13+P13)/3)</f>
        <v>0</v>
      </c>
    </row>
    <row r="14" spans="2:23" ht="14.1" customHeight="1" x14ac:dyDescent="0.25">
      <c r="J14" s="499"/>
      <c r="K14" s="499"/>
      <c r="M14" s="499"/>
      <c r="O14" s="499"/>
    </row>
    <row r="15" spans="2:23" ht="14.1" customHeight="1" x14ac:dyDescent="0.2">
      <c r="C15" s="483" t="s">
        <v>6249</v>
      </c>
      <c r="I15" s="506" t="s">
        <v>6341</v>
      </c>
      <c r="J15" s="499">
        <v>0</v>
      </c>
      <c r="K15" s="499">
        <v>0</v>
      </c>
      <c r="L15" s="512" t="str">
        <f>IF(K15=0,"0,00% ",(K15-J15)/K15)</f>
        <v xml:space="preserve">0,00% </v>
      </c>
      <c r="M15" s="499">
        <v>0</v>
      </c>
      <c r="N15" s="512" t="str">
        <f>IF(M15=0,"0,00% ",(M15-K15)/M15)</f>
        <v xml:space="preserve">0,00% </v>
      </c>
      <c r="O15" s="499">
        <v>0</v>
      </c>
      <c r="P15" s="512" t="str">
        <f>IF(O15=0,"0,00% ",(O15-M15)/O15)</f>
        <v xml:space="preserve">0,00% </v>
      </c>
      <c r="Q15" s="484" t="str">
        <f>IF(O15=0,"R$0,0",(J15+K15+M15+O15)/4)</f>
        <v>R$0,0</v>
      </c>
      <c r="R15" s="495">
        <f>IF(P15=0,"R$0,0%",(L15+N15+P15)/3)</f>
        <v>0</v>
      </c>
    </row>
    <row r="16" spans="2:23" ht="14.1" customHeight="1" x14ac:dyDescent="0.25">
      <c r="J16" s="499"/>
      <c r="K16" s="499"/>
      <c r="M16" s="499"/>
      <c r="O16" s="499"/>
    </row>
    <row r="17" spans="3:18" ht="14.1" customHeight="1" x14ac:dyDescent="0.2">
      <c r="C17" s="483" t="s">
        <v>6342</v>
      </c>
      <c r="I17" s="506" t="s">
        <v>6341</v>
      </c>
      <c r="J17" s="499">
        <v>0</v>
      </c>
      <c r="K17" s="499">
        <v>0</v>
      </c>
      <c r="L17" s="512" t="str">
        <f>IF(K17=0,"0,00% ",(K17-J17)/K17)</f>
        <v xml:space="preserve">0,00% </v>
      </c>
      <c r="M17" s="499">
        <v>0</v>
      </c>
      <c r="N17" s="512" t="str">
        <f>IF(M17=0,"0,00% ",(M17-K17)/M17)</f>
        <v xml:space="preserve">0,00% </v>
      </c>
      <c r="O17" s="499">
        <v>0</v>
      </c>
      <c r="P17" s="512" t="str">
        <f>IF(O17=0,"0,00% ",(O17-M17)/O17)</f>
        <v xml:space="preserve">0,00% </v>
      </c>
      <c r="Q17" s="484" t="str">
        <f>IF(O17=0,"R$0,0",(J17+K17+M17+O17)/4)</f>
        <v>R$0,0</v>
      </c>
      <c r="R17" s="495">
        <f>IF(P17=0,"R$0,0%",(L17+N17+P17)/3)</f>
        <v>0</v>
      </c>
    </row>
    <row r="18" spans="3:18" ht="14.1" customHeight="1" x14ac:dyDescent="0.25">
      <c r="J18" s="499"/>
      <c r="K18" s="499"/>
      <c r="M18" s="499"/>
      <c r="O18" s="499"/>
    </row>
    <row r="19" spans="3:18" s="492" customFormat="1" ht="14.1" customHeight="1" x14ac:dyDescent="0.25">
      <c r="C19" s="492" t="s">
        <v>2107</v>
      </c>
      <c r="I19" s="500" t="s">
        <v>2108</v>
      </c>
      <c r="J19" s="501">
        <f>J21+J29+J33+J65+J75</f>
        <v>335605.51</v>
      </c>
      <c r="K19" s="501">
        <f>K21+K29+K33+K65+K75</f>
        <v>490124.27</v>
      </c>
      <c r="L19" s="489">
        <f>IF(K19=0,"0,00% ",(K19-J19)/K19)</f>
        <v>0.31526445323754321</v>
      </c>
      <c r="M19" s="501">
        <f>M21+M29+M33+M65+M75</f>
        <v>509706.87999999995</v>
      </c>
      <c r="N19" s="489">
        <f>IF(M19=0,"0,00% ",(M19-K19)/M19)</f>
        <v>3.8419355846246235E-2</v>
      </c>
      <c r="O19" s="501">
        <f>O21+O29+O33+O65+O75</f>
        <v>807708.3</v>
      </c>
      <c r="P19" s="489">
        <f>IF(O19=0,"0,00% ",(O19-M19)/O19)</f>
        <v>0.36894683390030791</v>
      </c>
      <c r="Q19" s="490">
        <f>IF(O19=0,"R$0,0",(J19+K19+M19+O19)/4)</f>
        <v>535786.23999999999</v>
      </c>
      <c r="R19" s="491">
        <f>IF(P19=0,"R$0,0%",(L19+N19+P19)/3)</f>
        <v>0.24087688099469914</v>
      </c>
    </row>
    <row r="20" spans="3:18" ht="14.1" customHeight="1" x14ac:dyDescent="0.25">
      <c r="J20" s="499"/>
      <c r="K20" s="499"/>
      <c r="M20" s="499"/>
      <c r="O20" s="499"/>
    </row>
    <row r="21" spans="3:18" s="492" customFormat="1" ht="14.1" customHeight="1" x14ac:dyDescent="0.25">
      <c r="C21" s="492" t="s">
        <v>6253</v>
      </c>
      <c r="I21" s="500" t="s">
        <v>1012</v>
      </c>
      <c r="J21" s="501">
        <f>J23+J25+J27</f>
        <v>0</v>
      </c>
      <c r="K21" s="501">
        <f>K23+K25+K27</f>
        <v>0</v>
      </c>
      <c r="L21" s="489" t="str">
        <f>IF(K21=0,"0,00% ",(K21-J21)/K21)</f>
        <v xml:space="preserve">0,00% </v>
      </c>
      <c r="M21" s="501">
        <f>M23+M25+M27</f>
        <v>0</v>
      </c>
      <c r="N21" s="489" t="str">
        <f>IF(M21=0,"0,00% ",(M21-K21)/M21)</f>
        <v xml:space="preserve">0,00% </v>
      </c>
      <c r="O21" s="501">
        <f>O23+O25+O27</f>
        <v>0</v>
      </c>
      <c r="P21" s="489" t="str">
        <f>IF(O21=0,"0,00% ",(O21-M21)/O21)</f>
        <v xml:space="preserve">0,00% </v>
      </c>
      <c r="Q21" s="490" t="str">
        <f>IF(O21=0,"R$0,0",(J21+K21+M21+O21)/4)</f>
        <v>R$0,0</v>
      </c>
      <c r="R21" s="491">
        <f>IF(P21=0,"R$0,0%",(L21+N21+P21)/3)</f>
        <v>0</v>
      </c>
    </row>
    <row r="22" spans="3:18" ht="14.1" customHeight="1" x14ac:dyDescent="0.25">
      <c r="J22" s="499"/>
      <c r="K22" s="499"/>
      <c r="M22" s="499"/>
      <c r="O22" s="499"/>
    </row>
    <row r="23" spans="3:18" ht="14.1" customHeight="1" x14ac:dyDescent="0.2">
      <c r="C23" s="483" t="s">
        <v>6343</v>
      </c>
      <c r="I23" s="506" t="s">
        <v>6344</v>
      </c>
      <c r="J23" s="499">
        <v>0</v>
      </c>
      <c r="K23" s="499">
        <v>0</v>
      </c>
      <c r="L23" s="512" t="str">
        <f>IF(K23=0,"0,00% ",(K23-J23)/K23)</f>
        <v xml:space="preserve">0,00% </v>
      </c>
      <c r="M23" s="499">
        <v>0</v>
      </c>
      <c r="N23" s="512" t="str">
        <f>IF(M23=0,"0,00% ",(M23-K23)/M23)</f>
        <v xml:space="preserve">0,00% </v>
      </c>
      <c r="O23" s="499">
        <v>0</v>
      </c>
      <c r="P23" s="512" t="str">
        <f>IF(O23=0,"0,00% ",(O23-M23)/O23)</f>
        <v xml:space="preserve">0,00% </v>
      </c>
      <c r="Q23" s="484" t="str">
        <f>IF(O23=0,"R$0,0",(J23+K23+M23+O23)/4)</f>
        <v>R$0,0</v>
      </c>
      <c r="R23" s="495">
        <f>IF(P23=0,"R$0,0%",(L23+N23+P23)/3)</f>
        <v>0</v>
      </c>
    </row>
    <row r="24" spans="3:18" ht="14.1" customHeight="1" x14ac:dyDescent="0.25">
      <c r="J24" s="499"/>
      <c r="K24" s="499"/>
      <c r="M24" s="499"/>
      <c r="O24" s="499"/>
    </row>
    <row r="25" spans="3:18" ht="14.1" customHeight="1" x14ac:dyDescent="0.2">
      <c r="C25" s="483" t="s">
        <v>6273</v>
      </c>
      <c r="I25" s="506" t="s">
        <v>1011</v>
      </c>
      <c r="J25" s="499">
        <v>0</v>
      </c>
      <c r="K25" s="499">
        <v>0</v>
      </c>
      <c r="L25" s="512" t="str">
        <f>IF(K25=0,"0,00% ",(K25-J25)/K25)</f>
        <v xml:space="preserve">0,00% </v>
      </c>
      <c r="M25" s="499">
        <v>0</v>
      </c>
      <c r="N25" s="512" t="str">
        <f>IF(M25=0,"0,00% ",(M25-K25)/M25)</f>
        <v xml:space="preserve">0,00% </v>
      </c>
      <c r="O25" s="499">
        <v>0</v>
      </c>
      <c r="P25" s="512" t="str">
        <f>IF(O25=0,"0,00% ",(O25-M25)/O25)</f>
        <v xml:space="preserve">0,00% </v>
      </c>
      <c r="Q25" s="484" t="str">
        <f>IF(O25=0,"R$0,0",(J25+K25+M25+O25)/4)</f>
        <v>R$0,0</v>
      </c>
      <c r="R25" s="495">
        <f>IF(P25=0,"R$0,0%",(L25+N25+P25)/3)</f>
        <v>0</v>
      </c>
    </row>
    <row r="26" spans="3:18" ht="14.1" customHeight="1" x14ac:dyDescent="0.25">
      <c r="J26" s="499"/>
      <c r="K26" s="499"/>
      <c r="M26" s="499"/>
      <c r="O26" s="499"/>
    </row>
    <row r="27" spans="3:18" ht="14.1" customHeight="1" x14ac:dyDescent="0.2">
      <c r="C27" s="483" t="s">
        <v>6305</v>
      </c>
      <c r="I27" s="506" t="s">
        <v>4819</v>
      </c>
      <c r="J27" s="499">
        <v>0</v>
      </c>
      <c r="K27" s="499">
        <v>0</v>
      </c>
      <c r="L27" s="512" t="str">
        <f>IF(K27=0,"0,00% ",(K27-J27)/K27)</f>
        <v xml:space="preserve">0,00% </v>
      </c>
      <c r="M27" s="499">
        <v>0</v>
      </c>
      <c r="N27" s="512" t="str">
        <f>IF(M27=0,"0,00% ",(M27-K27)/M27)</f>
        <v xml:space="preserve">0,00% </v>
      </c>
      <c r="O27" s="499">
        <v>0</v>
      </c>
      <c r="P27" s="512" t="str">
        <f>IF(O27=0,"0,00% ",(O27-M27)/O27)</f>
        <v xml:space="preserve">0,00% </v>
      </c>
      <c r="Q27" s="484" t="str">
        <f>IF(O27=0,"R$0,0",(J27+K27+M27+O27)/4)</f>
        <v>R$0,0</v>
      </c>
      <c r="R27" s="495">
        <f>IF(P27=0,"R$0,0%",(L27+N27+P27)/3)</f>
        <v>0</v>
      </c>
    </row>
    <row r="28" spans="3:18" ht="14.1" customHeight="1" x14ac:dyDescent="0.25">
      <c r="J28" s="499"/>
      <c r="K28" s="499"/>
      <c r="M28" s="499"/>
      <c r="O28" s="499"/>
    </row>
    <row r="29" spans="3:18" s="492" customFormat="1" ht="14.1" customHeight="1" x14ac:dyDescent="0.25">
      <c r="C29" s="492" t="s">
        <v>6258</v>
      </c>
      <c r="I29" s="500" t="s">
        <v>1020</v>
      </c>
      <c r="J29" s="501">
        <f>J31</f>
        <v>0</v>
      </c>
      <c r="K29" s="501">
        <f>K31</f>
        <v>0</v>
      </c>
      <c r="L29" s="489" t="str">
        <f>IF(K29=0,"0,00% ",(K29-J29)/K29)</f>
        <v xml:space="preserve">0,00% </v>
      </c>
      <c r="M29" s="501">
        <f>M31</f>
        <v>0</v>
      </c>
      <c r="N29" s="489" t="str">
        <f>IF(M29=0,"0,00% ",(M29-K29)/M29)</f>
        <v xml:space="preserve">0,00% </v>
      </c>
      <c r="O29" s="501">
        <f>O31</f>
        <v>0</v>
      </c>
      <c r="P29" s="489" t="str">
        <f>IF(O29=0,"0,00% ",(O29-M29)/O29)</f>
        <v xml:space="preserve">0,00% </v>
      </c>
      <c r="Q29" s="490" t="str">
        <f>IF(O29=0,"R$0,0",(J29+K29+M29+O29)/4)</f>
        <v>R$0,0</v>
      </c>
      <c r="R29" s="491">
        <f>IF(P29=0,"R$0,0%",(L29+N29+P29)/3)</f>
        <v>0</v>
      </c>
    </row>
    <row r="30" spans="3:18" ht="14.1" customHeight="1" x14ac:dyDescent="0.25">
      <c r="J30" s="499"/>
      <c r="K30" s="499"/>
      <c r="M30" s="499"/>
      <c r="O30" s="499"/>
    </row>
    <row r="31" spans="3:18" ht="14.1" customHeight="1" x14ac:dyDescent="0.2">
      <c r="C31" s="483" t="s">
        <v>6345</v>
      </c>
      <c r="I31" s="506" t="s">
        <v>1020</v>
      </c>
      <c r="J31" s="499">
        <v>0</v>
      </c>
      <c r="K31" s="499">
        <v>0</v>
      </c>
      <c r="L31" s="512" t="str">
        <f>IF(K31=0,"0,00% ",(K31-J31)/K31)</f>
        <v xml:space="preserve">0,00% </v>
      </c>
      <c r="M31" s="499">
        <v>0</v>
      </c>
      <c r="N31" s="512" t="str">
        <f>IF(M31=0,"0,00% ",(M31-K31)/M31)</f>
        <v xml:space="preserve">0,00% </v>
      </c>
      <c r="O31" s="499">
        <v>0</v>
      </c>
      <c r="P31" s="512" t="str">
        <f>IF(O31=0,"0,00% ",(O31-M31)/O31)</f>
        <v xml:space="preserve">0,00% </v>
      </c>
      <c r="Q31" s="484" t="str">
        <f>IF(O31=0,"R$0,0",(J31+K31+M31+O31)/4)</f>
        <v>R$0,0</v>
      </c>
      <c r="R31" s="495">
        <f>IF(P31=0,"R$0,0%",(L31+N31+P31)/3)</f>
        <v>0</v>
      </c>
    </row>
    <row r="32" spans="3:18" ht="14.1" customHeight="1" x14ac:dyDescent="0.25">
      <c r="J32" s="499"/>
      <c r="K32" s="499"/>
      <c r="M32" s="499"/>
      <c r="O32" s="499"/>
    </row>
    <row r="33" spans="3:18" s="492" customFormat="1" ht="14.1" customHeight="1" x14ac:dyDescent="0.25">
      <c r="C33" s="492" t="s">
        <v>6236</v>
      </c>
      <c r="I33" s="500" t="s">
        <v>1009</v>
      </c>
      <c r="J33" s="501">
        <f>J35+J39+J41+J43+J45+J47+J49+J51+J53+J55+J57+J59+J63+J37+J61</f>
        <v>277933.59000000003</v>
      </c>
      <c r="K33" s="501">
        <f>K35+K39+K41+K43+K45+K47+K49+K51+K53+K55+K57+K59+K63+K37+K61</f>
        <v>400070.04000000004</v>
      </c>
      <c r="L33" s="489">
        <f>IF(K33=0,"0,00% ",(K33-J33)/K33)</f>
        <v>0.30528766912913546</v>
      </c>
      <c r="M33" s="501">
        <f>M35+M39+M41+M43+M45+M47+M49+M51+M53+M55+M57+M59+M63+M37+M61</f>
        <v>408360.94</v>
      </c>
      <c r="N33" s="489">
        <f>IF(M33=0,"0,00% ",(M33-K33)/M33)</f>
        <v>2.0302872258056721E-2</v>
      </c>
      <c r="O33" s="501">
        <f>O35+O39+O41+O43+O45+O47+O49+O51+O53+O55+O57+O59+O63+O37+O61</f>
        <v>717654.07000000007</v>
      </c>
      <c r="P33" s="489">
        <f>IF(O33=0,"0,00% ",(O33-M33)/O33)</f>
        <v>0.43097801981391959</v>
      </c>
      <c r="Q33" s="490">
        <f>IF(O33=0,"R$0,0",(J33+K33+M33+O33)/4)</f>
        <v>451004.66000000003</v>
      </c>
      <c r="R33" s="491">
        <f>IF(P33=0,"R$0,0%",(L33+N33+P33)/3)</f>
        <v>0.25218952040037057</v>
      </c>
    </row>
    <row r="34" spans="3:18" ht="14.1" customHeight="1" x14ac:dyDescent="0.25">
      <c r="J34" s="499"/>
      <c r="K34" s="499"/>
      <c r="M34" s="499"/>
      <c r="O34" s="499"/>
    </row>
    <row r="35" spans="3:18" ht="14.1" customHeight="1" x14ac:dyDescent="0.2">
      <c r="C35" s="483" t="s">
        <v>6346</v>
      </c>
      <c r="I35" s="506" t="s">
        <v>4863</v>
      </c>
      <c r="J35" s="499">
        <v>61152.33</v>
      </c>
      <c r="K35" s="499">
        <v>75225.83</v>
      </c>
      <c r="L35" s="512">
        <f>IF(K35=0,"0,00% ",(K35-J35)/K35)</f>
        <v>0.1870833462389182</v>
      </c>
      <c r="M35" s="499">
        <v>78696.820000000007</v>
      </c>
      <c r="N35" s="512">
        <f>IF(M35=0,"0,00% ",(M35-K35)/M35)</f>
        <v>4.4105848241390251E-2</v>
      </c>
      <c r="O35" s="499">
        <v>75225.83</v>
      </c>
      <c r="P35" s="512">
        <f>IF(O35=0,"0,00% ",(O35-M35)/O35)</f>
        <v>-4.6140933240617021E-2</v>
      </c>
      <c r="Q35" s="484">
        <f>IF(O35=0,"R$0,0",(J35+K35+M35+O35)/4)</f>
        <v>72575.202499999999</v>
      </c>
      <c r="R35" s="495">
        <f>IF(P35=0,"R$0,0%",(L35+N35+P35)/3)</f>
        <v>6.1682753746563811E-2</v>
      </c>
    </row>
    <row r="36" spans="3:18" ht="14.1" customHeight="1" x14ac:dyDescent="0.2">
      <c r="I36" s="506"/>
      <c r="J36" s="499"/>
      <c r="K36" s="499"/>
      <c r="L36" s="494"/>
      <c r="M36" s="499"/>
      <c r="N36" s="494"/>
      <c r="O36" s="499"/>
      <c r="P36" s="494"/>
      <c r="Q36" s="484"/>
    </row>
    <row r="37" spans="3:18" ht="14.1" customHeight="1" x14ac:dyDescent="0.2">
      <c r="C37" s="483" t="s">
        <v>6433</v>
      </c>
      <c r="I37" s="506" t="s">
        <v>6434</v>
      </c>
      <c r="J37" s="499">
        <v>0</v>
      </c>
      <c r="K37" s="499">
        <v>0</v>
      </c>
      <c r="L37" s="512" t="str">
        <f>IF(K37=0,"0,00% ",(K37-J37)/K37)</f>
        <v xml:space="preserve">0,00% </v>
      </c>
      <c r="M37" s="499">
        <v>0</v>
      </c>
      <c r="N37" s="512" t="str">
        <f>IF(M37=0,"0,00% ",(M37-K37)/M37)</f>
        <v xml:space="preserve">0,00% </v>
      </c>
      <c r="O37" s="499">
        <v>0</v>
      </c>
      <c r="P37" s="512" t="str">
        <f>IF(O37=0,"0,00% ",(O37-M37)/O37)</f>
        <v xml:space="preserve">0,00% </v>
      </c>
      <c r="Q37" s="484" t="str">
        <f>IF(O37=0,"R$0,0",(J37+K37+M37+O37)/4)</f>
        <v>R$0,0</v>
      </c>
      <c r="R37" s="495">
        <f>IF(P37=0,"R$0,0%",(L37+N37+P37)/3)</f>
        <v>0</v>
      </c>
    </row>
    <row r="38" spans="3:18" ht="14.1" customHeight="1" x14ac:dyDescent="0.25">
      <c r="J38" s="499"/>
      <c r="K38" s="499"/>
      <c r="M38" s="499"/>
      <c r="O38" s="499"/>
    </row>
    <row r="39" spans="3:18" ht="14.1" customHeight="1" x14ac:dyDescent="0.2">
      <c r="C39" s="483" t="s">
        <v>6274</v>
      </c>
      <c r="I39" s="506" t="s">
        <v>1008</v>
      </c>
      <c r="J39" s="499">
        <v>0</v>
      </c>
      <c r="K39" s="499">
        <v>0</v>
      </c>
      <c r="L39" s="512" t="str">
        <f>IF(K39=0,"0,00% ",(K39-J39)/K39)</f>
        <v xml:space="preserve">0,00% </v>
      </c>
      <c r="M39" s="499">
        <v>0</v>
      </c>
      <c r="N39" s="512" t="str">
        <f>IF(M39=0,"0,00% ",(M39-K39)/M39)</f>
        <v xml:space="preserve">0,00% </v>
      </c>
      <c r="O39" s="499">
        <v>0</v>
      </c>
      <c r="P39" s="512" t="str">
        <f>IF(O39=0,"0,00% ",(O39-M39)/O39)</f>
        <v xml:space="preserve">0,00% </v>
      </c>
      <c r="Q39" s="484" t="str">
        <f>IF(O39=0,"R$0,0",(J39+K39+M39+O39)/4)</f>
        <v>R$0,0</v>
      </c>
      <c r="R39" s="495">
        <f>IF(P39=0,"R$0,0%",(L39+N39+P39)/3)</f>
        <v>0</v>
      </c>
    </row>
    <row r="40" spans="3:18" ht="14.1" customHeight="1" x14ac:dyDescent="0.25">
      <c r="J40" s="499"/>
      <c r="K40" s="499"/>
      <c r="M40" s="499"/>
      <c r="O40" s="499"/>
    </row>
    <row r="41" spans="3:18" ht="14.1" customHeight="1" x14ac:dyDescent="0.2">
      <c r="C41" s="483" t="s">
        <v>6317</v>
      </c>
      <c r="I41" s="506" t="s">
        <v>4872</v>
      </c>
      <c r="J41" s="499">
        <v>0</v>
      </c>
      <c r="K41" s="499">
        <v>0</v>
      </c>
      <c r="L41" s="512" t="str">
        <f>IF(K41=0,"0,00% ",(K41-J41)/K41)</f>
        <v xml:space="preserve">0,00% </v>
      </c>
      <c r="M41" s="499">
        <v>0</v>
      </c>
      <c r="N41" s="512" t="str">
        <f>IF(M41=0,"0,00% ",(M41-K41)/M41)</f>
        <v xml:space="preserve">0,00% </v>
      </c>
      <c r="O41" s="499">
        <v>0</v>
      </c>
      <c r="P41" s="512" t="str">
        <f>IF(O41=0,"0,00% ",(O41-M41)/O41)</f>
        <v xml:space="preserve">0,00% </v>
      </c>
      <c r="Q41" s="484" t="str">
        <f>IF(O41=0,"R$0,0",(J41+K41+M41+O41)/4)</f>
        <v>R$0,0</v>
      </c>
      <c r="R41" s="495">
        <f>IF(P41=0,"R$0,0%",(L41+N41+P41)/3)</f>
        <v>0</v>
      </c>
    </row>
    <row r="42" spans="3:18" ht="14.1" customHeight="1" x14ac:dyDescent="0.25">
      <c r="J42" s="499"/>
      <c r="K42" s="499"/>
      <c r="M42" s="499"/>
      <c r="O42" s="499"/>
    </row>
    <row r="43" spans="3:18" ht="14.1" customHeight="1" x14ac:dyDescent="0.2">
      <c r="C43" s="483" t="s">
        <v>6347</v>
      </c>
      <c r="I43" s="506" t="s">
        <v>4878</v>
      </c>
      <c r="J43" s="499">
        <v>0</v>
      </c>
      <c r="K43" s="499">
        <v>0</v>
      </c>
      <c r="L43" s="512" t="str">
        <f>IF(K43=0,"0,00% ",(K43-J43)/K43)</f>
        <v xml:space="preserve">0,00% </v>
      </c>
      <c r="M43" s="499">
        <v>0</v>
      </c>
      <c r="N43" s="512" t="str">
        <f>IF(M43=0,"0,00% ",(M43-K43)/M43)</f>
        <v xml:space="preserve">0,00% </v>
      </c>
      <c r="O43" s="499">
        <v>0</v>
      </c>
      <c r="P43" s="512" t="str">
        <f>IF(O43=0,"0,00% ",(O43-M43)/O43)</f>
        <v xml:space="preserve">0,00% </v>
      </c>
      <c r="Q43" s="484" t="str">
        <f>IF(O43=0,"R$0,0",(J43+K43+M43+O43)/4)</f>
        <v>R$0,0</v>
      </c>
      <c r="R43" s="495">
        <f>IF(P43=0,"R$0,0%",(L43+N43+P43)/3)</f>
        <v>0</v>
      </c>
    </row>
    <row r="44" spans="3:18" ht="14.1" customHeight="1" x14ac:dyDescent="0.25">
      <c r="J44" s="499"/>
      <c r="K44" s="499"/>
      <c r="M44" s="499"/>
      <c r="O44" s="499"/>
    </row>
    <row r="45" spans="3:18" ht="14.1" customHeight="1" x14ac:dyDescent="0.2">
      <c r="C45" s="483" t="s">
        <v>6275</v>
      </c>
      <c r="I45" s="506" t="s">
        <v>1049</v>
      </c>
      <c r="J45" s="499">
        <v>0</v>
      </c>
      <c r="K45" s="499">
        <v>0</v>
      </c>
      <c r="L45" s="512" t="str">
        <f>IF(K45=0,"0,00% ",(K45-J45)/K45)</f>
        <v xml:space="preserve">0,00% </v>
      </c>
      <c r="M45" s="499">
        <v>0</v>
      </c>
      <c r="N45" s="512" t="str">
        <f>IF(M45=0,"0,00% ",(M45-K45)/M45)</f>
        <v xml:space="preserve">0,00% </v>
      </c>
      <c r="O45" s="499">
        <v>0</v>
      </c>
      <c r="P45" s="512" t="str">
        <f>IF(O45=0,"0,00% ",(O45-M45)/O45)</f>
        <v xml:space="preserve">0,00% </v>
      </c>
      <c r="Q45" s="484" t="str">
        <f>IF(O45=0,"R$0,0",(J45+K45+M45+O45)/4)</f>
        <v>R$0,0</v>
      </c>
      <c r="R45" s="495">
        <f>IF(P45=0,"R$0,0%",(L45+N45+P45)/3)</f>
        <v>0</v>
      </c>
    </row>
    <row r="46" spans="3:18" ht="14.1" customHeight="1" x14ac:dyDescent="0.25">
      <c r="J46" s="499"/>
      <c r="K46" s="499"/>
      <c r="M46" s="499"/>
      <c r="O46" s="499"/>
    </row>
    <row r="47" spans="3:18" ht="14.1" customHeight="1" x14ac:dyDescent="0.2">
      <c r="C47" s="483" t="s">
        <v>6276</v>
      </c>
      <c r="I47" s="506" t="s">
        <v>1048</v>
      </c>
      <c r="J47" s="499">
        <v>0</v>
      </c>
      <c r="K47" s="499">
        <v>0</v>
      </c>
      <c r="L47" s="512" t="str">
        <f>IF(K47=0,"0,00% ",(K47-J47)/K47)</f>
        <v xml:space="preserve">0,00% </v>
      </c>
      <c r="M47" s="499">
        <v>0</v>
      </c>
      <c r="N47" s="512" t="str">
        <f>IF(M47=0,"0,00% ",(M47-K47)/M47)</f>
        <v xml:space="preserve">0,00% </v>
      </c>
      <c r="O47" s="499">
        <v>0</v>
      </c>
      <c r="P47" s="512" t="str">
        <f>IF(O47=0,"0,00% ",(O47-M47)/O47)</f>
        <v xml:space="preserve">0,00% </v>
      </c>
      <c r="Q47" s="484" t="str">
        <f>IF(O47=0,"R$0,0",(J47+K47+M47+O47)/4)</f>
        <v>R$0,0</v>
      </c>
      <c r="R47" s="495">
        <f>IF(P47=0,"R$0,0%",(L47+N47+P47)/3)</f>
        <v>0</v>
      </c>
    </row>
    <row r="48" spans="3:18" ht="14.1" customHeight="1" x14ac:dyDescent="0.25">
      <c r="J48" s="499"/>
      <c r="K48" s="499"/>
      <c r="M48" s="499"/>
      <c r="O48" s="499"/>
    </row>
    <row r="49" spans="3:18" ht="14.1" customHeight="1" x14ac:dyDescent="0.2">
      <c r="C49" s="483" t="s">
        <v>6300</v>
      </c>
      <c r="I49" s="506" t="s">
        <v>1007</v>
      </c>
      <c r="J49" s="499">
        <v>3304.8</v>
      </c>
      <c r="K49" s="499">
        <v>0</v>
      </c>
      <c r="L49" s="512" t="str">
        <f>IF(K49=0,"0,00% ",(K49-J49)/K49)</f>
        <v xml:space="preserve">0,00% </v>
      </c>
      <c r="M49" s="499">
        <v>5720.24</v>
      </c>
      <c r="N49" s="512">
        <f>IF(M49=0,"0,00% ",(M49-K49)/M49)</f>
        <v>1</v>
      </c>
      <c r="O49" s="499">
        <v>0</v>
      </c>
      <c r="P49" s="512" t="str">
        <f>IF(O49=0,"0,00% ",(O49-M49)/O49)</f>
        <v xml:space="preserve">0,00% </v>
      </c>
      <c r="Q49" s="484" t="str">
        <f>IF(O49=0,"R$0,0",(J49+K49+M49+O49)/4)</f>
        <v>R$0,0</v>
      </c>
      <c r="R49" s="495">
        <f>IF(P49=0,"R$0,0%",(L49+N49+P49)/3)</f>
        <v>0.33333333333333331</v>
      </c>
    </row>
    <row r="50" spans="3:18" ht="14.1" customHeight="1" x14ac:dyDescent="0.25">
      <c r="J50" s="499"/>
      <c r="K50" s="499"/>
      <c r="M50" s="499"/>
      <c r="O50" s="499"/>
    </row>
    <row r="51" spans="3:18" ht="14.1" customHeight="1" x14ac:dyDescent="0.2">
      <c r="C51" s="483" t="s">
        <v>6301</v>
      </c>
      <c r="I51" s="506" t="s">
        <v>1006</v>
      </c>
      <c r="J51" s="499">
        <v>5176.58</v>
      </c>
      <c r="K51" s="499">
        <v>6800.32</v>
      </c>
      <c r="L51" s="512">
        <f>IF(K51=0,"0,00% ",(K51-J51)/K51)</f>
        <v>0.23877405769140272</v>
      </c>
      <c r="M51" s="499">
        <v>4252.5</v>
      </c>
      <c r="N51" s="512">
        <f>IF(M51=0,"0,00% ",(M51-K51)/M51)</f>
        <v>-0.59913462669018214</v>
      </c>
      <c r="O51" s="499">
        <v>6800.32</v>
      </c>
      <c r="P51" s="512">
        <f>IF(O51=0,"0,00% ",(O51-M51)/O51)</f>
        <v>0.37466178062208833</v>
      </c>
      <c r="Q51" s="484">
        <f>IF(O51=0,"R$0,0",(J51+K51+M51+O51)/4)</f>
        <v>5757.43</v>
      </c>
      <c r="R51" s="495">
        <f>IF(P51=0,"R$0,0%",(L51+N51+P51)/3)</f>
        <v>4.7670705411029619E-3</v>
      </c>
    </row>
    <row r="52" spans="3:18" ht="14.1" customHeight="1" x14ac:dyDescent="0.25">
      <c r="J52" s="499"/>
      <c r="K52" s="499"/>
      <c r="M52" s="499"/>
      <c r="O52" s="499"/>
    </row>
    <row r="53" spans="3:18" ht="14.1" customHeight="1" x14ac:dyDescent="0.2">
      <c r="C53" s="483" t="s">
        <v>6295</v>
      </c>
      <c r="I53" s="506" t="s">
        <v>1047</v>
      </c>
      <c r="J53" s="499">
        <v>686.47</v>
      </c>
      <c r="K53" s="499">
        <v>459.86</v>
      </c>
      <c r="L53" s="512">
        <f>IF(K53=0,"0,00% ",(K53-J53)/K53)</f>
        <v>-0.49278041142956552</v>
      </c>
      <c r="M53" s="499">
        <v>1864.7</v>
      </c>
      <c r="N53" s="512">
        <f>IF(M53=0,"0,00% ",(M53-K53)/M53)</f>
        <v>0.75338660374322952</v>
      </c>
      <c r="O53" s="499">
        <v>459.86</v>
      </c>
      <c r="P53" s="512">
        <f>IF(O53=0,"0,00% ",(O53-M53)/O53)</f>
        <v>-3.0549297612316795</v>
      </c>
      <c r="Q53" s="484">
        <f>IF(O53=0,"R$0,0",(J53+K53+M53+O53)/4)</f>
        <v>867.72249999999997</v>
      </c>
      <c r="R53" s="495">
        <f>IF(P53=0,"R$0,0%",(L53+N53+P53)/3)</f>
        <v>-0.93144118963933842</v>
      </c>
    </row>
    <row r="54" spans="3:18" ht="14.1" customHeight="1" x14ac:dyDescent="0.25">
      <c r="J54" s="499"/>
      <c r="K54" s="499"/>
      <c r="M54" s="499"/>
      <c r="O54" s="499"/>
    </row>
    <row r="55" spans="3:18" ht="14.1" customHeight="1" x14ac:dyDescent="0.2">
      <c r="C55" s="483" t="s">
        <v>6318</v>
      </c>
      <c r="I55" s="506" t="s">
        <v>6348</v>
      </c>
      <c r="J55" s="499">
        <v>0</v>
      </c>
      <c r="K55" s="499">
        <v>0</v>
      </c>
      <c r="L55" s="512" t="str">
        <f>IF(K55=0,"0,00% ",(K55-J55)/K55)</f>
        <v xml:space="preserve">0,00% </v>
      </c>
      <c r="M55" s="499">
        <v>0</v>
      </c>
      <c r="N55" s="512" t="str">
        <f>IF(M55=0,"0,00% ",(M55-K55)/M55)</f>
        <v xml:space="preserve">0,00% </v>
      </c>
      <c r="O55" s="499">
        <v>0</v>
      </c>
      <c r="P55" s="512" t="str">
        <f>IF(O55=0,"0,00% ",(O55-M55)/O55)</f>
        <v xml:space="preserve">0,00% </v>
      </c>
      <c r="Q55" s="484" t="str">
        <f>IF(O55=0,"R$0,0",(J55+K55+M55+O55)/4)</f>
        <v>R$0,0</v>
      </c>
      <c r="R55" s="495">
        <f>IF(P55=0,"R$0,0%",(L55+N55+P55)/3)</f>
        <v>0</v>
      </c>
    </row>
    <row r="56" spans="3:18" ht="14.1" customHeight="1" x14ac:dyDescent="0.25">
      <c r="J56" s="499"/>
      <c r="K56" s="499"/>
      <c r="M56" s="499"/>
      <c r="O56" s="499"/>
    </row>
    <row r="57" spans="3:18" ht="14.1" customHeight="1" x14ac:dyDescent="0.2">
      <c r="C57" s="483" t="s">
        <v>6349</v>
      </c>
      <c r="I57" s="506" t="s">
        <v>6435</v>
      </c>
      <c r="J57" s="499">
        <v>0</v>
      </c>
      <c r="K57" s="499">
        <v>0</v>
      </c>
      <c r="L57" s="512" t="str">
        <f>IF(K57=0,"0,00% ",(K57-J57)/K57)</f>
        <v xml:space="preserve">0,00% </v>
      </c>
      <c r="M57" s="499">
        <v>0</v>
      </c>
      <c r="N57" s="512" t="str">
        <f>IF(M57=0,"0,00% ",(M57-K57)/M57)</f>
        <v xml:space="preserve">0,00% </v>
      </c>
      <c r="O57" s="499">
        <v>0</v>
      </c>
      <c r="P57" s="512" t="str">
        <f>IF(O57=0,"0,00% ",(O57-M57)/O57)</f>
        <v xml:space="preserve">0,00% </v>
      </c>
      <c r="Q57" s="484" t="str">
        <f>IF(O57=0,"R$0,0",(J57+K57+M57+O57)/4)</f>
        <v>R$0,0</v>
      </c>
      <c r="R57" s="495">
        <f>IF(P57=0,"R$0,0%",(L57+N57+P57)/3)</f>
        <v>0</v>
      </c>
    </row>
    <row r="58" spans="3:18" ht="14.1" customHeight="1" x14ac:dyDescent="0.25">
      <c r="J58" s="499"/>
      <c r="K58" s="499"/>
      <c r="M58" s="499"/>
      <c r="O58" s="499"/>
    </row>
    <row r="59" spans="3:18" ht="14.1" customHeight="1" x14ac:dyDescent="0.2">
      <c r="C59" s="483" t="s">
        <v>6350</v>
      </c>
      <c r="I59" s="506" t="s">
        <v>1052</v>
      </c>
      <c r="J59" s="499">
        <v>207613.41</v>
      </c>
      <c r="K59" s="499">
        <v>317584.03000000003</v>
      </c>
      <c r="L59" s="512">
        <f>IF(K59=0,"0,00% ",(K59-J59)/K59)</f>
        <v>0.34627251250637514</v>
      </c>
      <c r="M59" s="499">
        <v>301099.09999999998</v>
      </c>
      <c r="N59" s="512">
        <f>IF(M59=0,"0,00% ",(M59-K59)/M59)</f>
        <v>-5.4749183906561173E-2</v>
      </c>
      <c r="O59" s="499">
        <v>317584.03000000003</v>
      </c>
      <c r="P59" s="512">
        <f>IF(O59=0,"0,00% ",(O59-M59)/O59)</f>
        <v>5.1907301510091833E-2</v>
      </c>
      <c r="Q59" s="484">
        <f>IF(O59=0,"R$0,0",(J59+K59+M59+O59)/4)</f>
        <v>285970.14250000002</v>
      </c>
      <c r="R59" s="495">
        <f>IF(P59=0,"R$0,0%",(L59+N59+P59)/3)</f>
        <v>0.11447687670330192</v>
      </c>
    </row>
    <row r="60" spans="3:18" ht="14.1" customHeight="1" x14ac:dyDescent="0.25">
      <c r="J60" s="499"/>
      <c r="K60" s="499"/>
      <c r="M60" s="499"/>
      <c r="O60" s="499"/>
    </row>
    <row r="61" spans="3:18" ht="14.1" customHeight="1" x14ac:dyDescent="0.2">
      <c r="C61" s="483" t="s">
        <v>11541</v>
      </c>
      <c r="I61" s="506" t="s">
        <v>11542</v>
      </c>
      <c r="J61" s="499">
        <v>0</v>
      </c>
      <c r="K61" s="499">
        <v>0</v>
      </c>
      <c r="L61" s="512" t="str">
        <f>IF(K61=0,"0,00% ",(K61-J61)/K61)</f>
        <v xml:space="preserve">0,00% </v>
      </c>
      <c r="M61" s="499">
        <v>16727.580000000002</v>
      </c>
      <c r="N61" s="512">
        <f>IF(M61=0,"0,00% ",(M61-K61)/M61)</f>
        <v>1</v>
      </c>
      <c r="O61" s="499">
        <v>317584.03000000003</v>
      </c>
      <c r="P61" s="512">
        <f>IF(O61=0,"0,00% ",(O61-M61)/O61)</f>
        <v>0.94732864873589517</v>
      </c>
      <c r="Q61" s="484">
        <f>IF(O61=0,"R$0,0",(J61+K61+M61+O61)/4)</f>
        <v>83577.902500000011</v>
      </c>
      <c r="R61" s="495">
        <f>IF(P61=0,"R$0,0%",(L61+N61+P61)/3)</f>
        <v>0.64910954957863176</v>
      </c>
    </row>
    <row r="62" spans="3:18" ht="14.1" customHeight="1" x14ac:dyDescent="0.25">
      <c r="J62" s="499"/>
      <c r="K62" s="499"/>
      <c r="M62" s="499"/>
      <c r="O62" s="499"/>
    </row>
    <row r="63" spans="3:18" ht="14.1" customHeight="1" x14ac:dyDescent="0.2">
      <c r="C63" s="483" t="s">
        <v>6351</v>
      </c>
      <c r="I63" s="506" t="s">
        <v>4798</v>
      </c>
      <c r="J63" s="499">
        <v>0</v>
      </c>
      <c r="K63" s="499">
        <v>0</v>
      </c>
      <c r="L63" s="512" t="str">
        <f>IF(K63=0,"0,00% ",(K63-J63)/K63)</f>
        <v xml:space="preserve">0,00% </v>
      </c>
      <c r="M63" s="499">
        <v>0</v>
      </c>
      <c r="N63" s="512" t="str">
        <f>IF(M63=0,"0,00% ",(M63-K63)/M63)</f>
        <v xml:space="preserve">0,00% </v>
      </c>
      <c r="O63" s="499">
        <v>0</v>
      </c>
      <c r="P63" s="512" t="str">
        <f>IF(O63=0,"0,00% ",(O63-M63)/O63)</f>
        <v xml:space="preserve">0,00% </v>
      </c>
      <c r="Q63" s="484" t="str">
        <f>IF(O63=0,"R$0,0",(J63+K63+M63+O63)/4)</f>
        <v>R$0,0</v>
      </c>
      <c r="R63" s="495">
        <f>IF(P63=0,"R$0,0%",(L63+N63+P63)/3)</f>
        <v>0</v>
      </c>
    </row>
    <row r="64" spans="3:18" ht="14.1" customHeight="1" x14ac:dyDescent="0.25">
      <c r="J64" s="499"/>
      <c r="K64" s="499"/>
      <c r="M64" s="499"/>
      <c r="O64" s="499"/>
    </row>
    <row r="65" spans="3:18" s="492" customFormat="1" ht="14.1" customHeight="1" x14ac:dyDescent="0.25">
      <c r="C65" s="492" t="s">
        <v>6237</v>
      </c>
      <c r="I65" s="500" t="s">
        <v>1011</v>
      </c>
      <c r="J65" s="501">
        <f>J67+J69+J73+J71</f>
        <v>57671.92</v>
      </c>
      <c r="K65" s="501">
        <f>K67+K69+K73+K71</f>
        <v>86074.23</v>
      </c>
      <c r="L65" s="489">
        <f>IF(K65=0,"0,00% ",(K65-J65)/K65)</f>
        <v>0.32997460447801857</v>
      </c>
      <c r="M65" s="501">
        <f>M67+M69+M73+M71</f>
        <v>89427.9</v>
      </c>
      <c r="N65" s="489">
        <f>IF(M65=0,"0,00% ",(M65-K65)/M65)</f>
        <v>3.7501383796332E-2</v>
      </c>
      <c r="O65" s="501">
        <f>O67+O69+O73+O71</f>
        <v>86074.23</v>
      </c>
      <c r="P65" s="489">
        <f>IF(O65=0,"0,00% ",(O65-M65)/O65)</f>
        <v>-3.8962532688355138E-2</v>
      </c>
      <c r="Q65" s="490">
        <f>IF(O65=0,"R$0,0",(J65+K65+M65+O65)/4)</f>
        <v>79812.069999999992</v>
      </c>
      <c r="R65" s="491">
        <f>IF(P65=0,"R$0,0%",(L65+N65+P65)/3)</f>
        <v>0.1095044851953318</v>
      </c>
    </row>
    <row r="66" spans="3:18" ht="14.1" customHeight="1" x14ac:dyDescent="0.25">
      <c r="J66" s="499"/>
      <c r="K66" s="499"/>
      <c r="M66" s="499"/>
      <c r="O66" s="499"/>
    </row>
    <row r="67" spans="3:18" ht="14.1" customHeight="1" x14ac:dyDescent="0.2">
      <c r="C67" s="483" t="s">
        <v>6352</v>
      </c>
      <c r="I67" s="506" t="s">
        <v>4800</v>
      </c>
      <c r="J67" s="499">
        <v>0</v>
      </c>
      <c r="K67" s="499">
        <v>0</v>
      </c>
      <c r="L67" s="512" t="str">
        <f>IF(K67=0,"0,00% ",(K67-J67)/K67)</f>
        <v xml:space="preserve">0,00% </v>
      </c>
      <c r="M67" s="499">
        <v>0</v>
      </c>
      <c r="N67" s="512" t="str">
        <f>IF(M67=0,"0,00% ",(M67-K67)/M67)</f>
        <v xml:space="preserve">0,00% </v>
      </c>
      <c r="O67" s="499">
        <v>0</v>
      </c>
      <c r="P67" s="512" t="str">
        <f>IF(O67=0,"0,00% ",(O67-M67)/O67)</f>
        <v xml:space="preserve">0,00% </v>
      </c>
      <c r="Q67" s="484" t="str">
        <f>IF(O67=0,"R$0,0",(J67+K67+M67+O67)/4)</f>
        <v>R$0,0</v>
      </c>
      <c r="R67" s="495">
        <f>IF(P67=0,"R$0,0%",(L67+N67+P67)/3)</f>
        <v>0</v>
      </c>
    </row>
    <row r="68" spans="3:18" ht="14.1" customHeight="1" x14ac:dyDescent="0.25">
      <c r="J68" s="499"/>
      <c r="K68" s="499"/>
      <c r="M68" s="499"/>
      <c r="O68" s="499"/>
    </row>
    <row r="69" spans="3:18" ht="14.1" customHeight="1" x14ac:dyDescent="0.2">
      <c r="C69" s="483" t="s">
        <v>6353</v>
      </c>
      <c r="I69" s="506" t="s">
        <v>4803</v>
      </c>
      <c r="J69" s="499">
        <v>57671.92</v>
      </c>
      <c r="K69" s="499">
        <v>86074.23</v>
      </c>
      <c r="L69" s="512">
        <f>IF(K69=0,"0,00% ",(K69-J69)/K69)</f>
        <v>0.32997460447801857</v>
      </c>
      <c r="M69" s="499">
        <v>88919.18</v>
      </c>
      <c r="N69" s="512">
        <f>IF(M69=0,"0,00% ",(M69-K69)/M69)</f>
        <v>3.199478447731971E-2</v>
      </c>
      <c r="O69" s="499">
        <v>86074.23</v>
      </c>
      <c r="P69" s="512">
        <f>IF(O69=0,"0,00% ",(O69-M69)/O69)</f>
        <v>-3.3052285219397223E-2</v>
      </c>
      <c r="Q69" s="484">
        <f>IF(O69=0,"R$0,0",(J69+K69+M69+O69)/4)</f>
        <v>79684.89</v>
      </c>
      <c r="R69" s="495">
        <f>IF(P69=0,"R$0,0%",(L69+N69+P69)/3)</f>
        <v>0.109639034578647</v>
      </c>
    </row>
    <row r="70" spans="3:18" ht="14.1" customHeight="1" x14ac:dyDescent="0.25">
      <c r="J70" s="499"/>
      <c r="K70" s="499"/>
      <c r="M70" s="499"/>
      <c r="O70" s="499"/>
    </row>
    <row r="71" spans="3:18" ht="14.1" customHeight="1" x14ac:dyDescent="0.2">
      <c r="C71" s="483" t="s">
        <v>6436</v>
      </c>
      <c r="I71" s="506" t="s">
        <v>1116</v>
      </c>
      <c r="J71" s="499">
        <v>0</v>
      </c>
      <c r="K71" s="499">
        <v>0</v>
      </c>
      <c r="L71" s="512" t="str">
        <f>IF(K71=0,"0,00% ",(K71-J71)/K71)</f>
        <v xml:space="preserve">0,00% </v>
      </c>
      <c r="M71" s="499">
        <v>0</v>
      </c>
      <c r="N71" s="512" t="str">
        <f>IF(M71=0,"0,00% ",(M71-K71)/M71)</f>
        <v xml:space="preserve">0,00% </v>
      </c>
      <c r="O71" s="499">
        <v>0</v>
      </c>
      <c r="P71" s="512" t="str">
        <f>IF(O71=0,"0,00% ",(O71-M71)/O71)</f>
        <v xml:space="preserve">0,00% </v>
      </c>
      <c r="Q71" s="484" t="str">
        <f>IF(O71=0,"R$0,0",(J71+K71+M71+O71)/4)</f>
        <v>R$0,0</v>
      </c>
      <c r="R71" s="495">
        <f>IF(P71=0,"R$0,0%",(L71+N71+P71)/3)</f>
        <v>0</v>
      </c>
    </row>
    <row r="72" spans="3:18" ht="14.1" customHeight="1" x14ac:dyDescent="0.25">
      <c r="J72" s="499"/>
      <c r="K72" s="499"/>
      <c r="M72" s="499"/>
      <c r="O72" s="499"/>
    </row>
    <row r="73" spans="3:18" ht="14.1" customHeight="1" x14ac:dyDescent="0.2">
      <c r="C73" s="483" t="s">
        <v>6354</v>
      </c>
      <c r="I73" s="506" t="s">
        <v>1249</v>
      </c>
      <c r="J73" s="499">
        <v>0</v>
      </c>
      <c r="K73" s="499">
        <v>0</v>
      </c>
      <c r="L73" s="512" t="str">
        <f>IF(K73=0,"0,00% ",(K73-J73)/K73)</f>
        <v xml:space="preserve">0,00% </v>
      </c>
      <c r="M73" s="499">
        <v>508.72</v>
      </c>
      <c r="N73" s="512">
        <f>IF(M73=0,"0,00% ",(M73-K73)/M73)</f>
        <v>1</v>
      </c>
      <c r="O73" s="499">
        <v>0</v>
      </c>
      <c r="P73" s="512" t="str">
        <f>IF(O73=0,"0,00% ",(O73-M73)/O73)</f>
        <v xml:space="preserve">0,00% </v>
      </c>
      <c r="Q73" s="484" t="str">
        <f>IF(O73=0,"R$0,0",(J73+K73+M73+O73)/4)</f>
        <v>R$0,0</v>
      </c>
      <c r="R73" s="495">
        <f>IF(P73=0,"R$0,0%",(L73+N73+P73)/3)</f>
        <v>0.33333333333333331</v>
      </c>
    </row>
    <row r="74" spans="3:18" ht="14.1" customHeight="1" x14ac:dyDescent="0.25">
      <c r="J74" s="499"/>
      <c r="K74" s="499"/>
      <c r="M74" s="499"/>
      <c r="O74" s="499"/>
    </row>
    <row r="75" spans="3:18" s="492" customFormat="1" ht="14.1" customHeight="1" x14ac:dyDescent="0.25">
      <c r="C75" s="492" t="s">
        <v>6238</v>
      </c>
      <c r="I75" s="500" t="s">
        <v>1005</v>
      </c>
      <c r="J75" s="501">
        <f>J77+J79</f>
        <v>0</v>
      </c>
      <c r="K75" s="501">
        <f>K77+K79</f>
        <v>3980</v>
      </c>
      <c r="L75" s="489">
        <f>IF(K75=0,"0,00% ",(K75-J75)/K75)</f>
        <v>1</v>
      </c>
      <c r="M75" s="501">
        <f>M77+M79</f>
        <v>11918.04</v>
      </c>
      <c r="N75" s="489">
        <f>IF(M75=0,"0,00% ",(M75-K75)/M75)</f>
        <v>0.66605247171514781</v>
      </c>
      <c r="O75" s="501">
        <f>O77+O79</f>
        <v>3980</v>
      </c>
      <c r="P75" s="489">
        <f>IF(O75=0,"0,00% ",(O75-M75)/O75)</f>
        <v>-1.9944824120603017</v>
      </c>
      <c r="Q75" s="490">
        <f>IF(O75=0,"R$0,0",(J75+K75+M75+O75)/4)</f>
        <v>4969.51</v>
      </c>
      <c r="R75" s="491">
        <f>IF(P75=0,"R$0,0%",(L75+N75+P75)/3)</f>
        <v>-0.10947664678171794</v>
      </c>
    </row>
    <row r="76" spans="3:18" ht="14.1" customHeight="1" x14ac:dyDescent="0.25">
      <c r="J76" s="499"/>
      <c r="K76" s="499"/>
      <c r="L76" s="492"/>
      <c r="M76" s="499"/>
      <c r="N76" s="492"/>
      <c r="O76" s="499"/>
      <c r="P76" s="492"/>
    </row>
    <row r="77" spans="3:18" ht="14.1" customHeight="1" x14ac:dyDescent="0.2">
      <c r="C77" s="483" t="s">
        <v>6465</v>
      </c>
      <c r="I77" s="506" t="s">
        <v>6466</v>
      </c>
      <c r="J77" s="499">
        <v>0</v>
      </c>
      <c r="K77" s="499">
        <v>3980</v>
      </c>
      <c r="L77" s="512">
        <f>IF(K77=0,"0,00% ",(K77-J77)/K77)</f>
        <v>1</v>
      </c>
      <c r="M77" s="499">
        <v>11918.04</v>
      </c>
      <c r="N77" s="512">
        <f>IF(M77=0,"0,00% ",(M77-K77)/M77)</f>
        <v>0.66605247171514781</v>
      </c>
      <c r="O77" s="499">
        <v>3980</v>
      </c>
      <c r="P77" s="512">
        <f>IF(O77=0,"0,00% ",(O77-M77)/O77)</f>
        <v>-1.9944824120603017</v>
      </c>
      <c r="Q77" s="484">
        <f>IF(O77=0,"R$0,0",(J77+K77+M77+O77)/4)</f>
        <v>4969.51</v>
      </c>
      <c r="R77" s="495">
        <f>IF(P77=0,"R$0,0%",(L77+N77+P77)/3)</f>
        <v>-0.10947664678171794</v>
      </c>
    </row>
    <row r="78" spans="3:18" ht="14.1" customHeight="1" x14ac:dyDescent="0.25">
      <c r="J78" s="499"/>
      <c r="K78" s="499"/>
      <c r="M78" s="499"/>
      <c r="O78" s="499"/>
    </row>
    <row r="79" spans="3:18" ht="14.1" customHeight="1" x14ac:dyDescent="0.2">
      <c r="C79" s="483" t="s">
        <v>6277</v>
      </c>
      <c r="I79" s="506" t="s">
        <v>1004</v>
      </c>
      <c r="J79" s="499">
        <v>0</v>
      </c>
      <c r="K79" s="499">
        <v>0</v>
      </c>
      <c r="L79" s="512" t="str">
        <f>IF(K79=0,"0,00% ",(K79-J79)/K79)</f>
        <v xml:space="preserve">0,00% </v>
      </c>
      <c r="M79" s="499">
        <v>0</v>
      </c>
      <c r="N79" s="512" t="str">
        <f>IF(M79=0,"0,00% ",(M79-K79)/M79)</f>
        <v xml:space="preserve">0,00% </v>
      </c>
      <c r="O79" s="499">
        <v>0</v>
      </c>
      <c r="P79" s="512" t="str">
        <f>IF(O79=0,"0,00% ",(O79-M79)/O79)</f>
        <v xml:space="preserve">0,00% </v>
      </c>
      <c r="Q79" s="484" t="str">
        <f>IF(O79=0,"R$0,0",(J79+K79+M79+O79)/4)</f>
        <v>R$0,0</v>
      </c>
      <c r="R79" s="495">
        <f>IF(P79=0,"R$0,0%",(L79+N79+P79)/3)</f>
        <v>0</v>
      </c>
    </row>
    <row r="80" spans="3:18" ht="14.1" customHeight="1" x14ac:dyDescent="0.25">
      <c r="J80" s="499"/>
      <c r="K80" s="499"/>
      <c r="M80" s="499"/>
      <c r="O80" s="499"/>
    </row>
    <row r="81" spans="3:19" s="492" customFormat="1" ht="14.1" customHeight="1" x14ac:dyDescent="0.25">
      <c r="C81" s="492" t="s">
        <v>6259</v>
      </c>
      <c r="I81" s="500" t="s">
        <v>1254</v>
      </c>
      <c r="J81" s="501">
        <f>J83</f>
        <v>0</v>
      </c>
      <c r="K81" s="501">
        <f>K83</f>
        <v>0</v>
      </c>
      <c r="L81" s="489" t="str">
        <f>IF(K81=0,"0,00% ",(K81-J81)/K81)</f>
        <v xml:space="preserve">0,00% </v>
      </c>
      <c r="M81" s="501">
        <f>M83</f>
        <v>0</v>
      </c>
      <c r="N81" s="489" t="str">
        <f>IF(M81=0,"0,00% ",(M81-K81)/M81)</f>
        <v xml:space="preserve">0,00% </v>
      </c>
      <c r="O81" s="501">
        <f>O83</f>
        <v>0</v>
      </c>
      <c r="P81" s="489" t="str">
        <f>IF(O81=0,"0,00% ",(O81-M81)/O81)</f>
        <v xml:space="preserve">0,00% </v>
      </c>
      <c r="Q81" s="490" t="str">
        <f>IF(O81=0,"R$0,0",(J81+K81+M81+O81)/4)</f>
        <v>R$0,0</v>
      </c>
      <c r="R81" s="491">
        <f>IF(P81=0,"R$0,0%",(L81+N81+P81)/3)</f>
        <v>0</v>
      </c>
    </row>
    <row r="82" spans="3:19" ht="14.1" customHeight="1" x14ac:dyDescent="0.25">
      <c r="J82" s="499"/>
      <c r="K82" s="499"/>
      <c r="M82" s="499"/>
      <c r="O82" s="499"/>
    </row>
    <row r="83" spans="3:19" ht="14.1" customHeight="1" x14ac:dyDescent="0.2">
      <c r="C83" s="483" t="s">
        <v>6260</v>
      </c>
      <c r="I83" s="506" t="s">
        <v>1255</v>
      </c>
      <c r="J83" s="499">
        <v>0</v>
      </c>
      <c r="K83" s="499">
        <v>0</v>
      </c>
      <c r="L83" s="512" t="str">
        <f>IF(K83=0,"0,00% ",(K83-J83)/K83)</f>
        <v xml:space="preserve">0,00% </v>
      </c>
      <c r="M83" s="499">
        <v>0</v>
      </c>
      <c r="N83" s="512" t="str">
        <f>IF(M83=0,"0,00% ",(M83-K83)/M83)</f>
        <v xml:space="preserve">0,00% </v>
      </c>
      <c r="O83" s="499">
        <v>0</v>
      </c>
      <c r="P83" s="512" t="str">
        <f>IF(O83=0,"0,00% ",(O83-M83)/O83)</f>
        <v xml:space="preserve">0,00% </v>
      </c>
      <c r="Q83" s="484" t="str">
        <f>IF(O83=0,"R$0,0",(J83+K83+M83+O83)/4)</f>
        <v>R$0,0</v>
      </c>
      <c r="R83" s="495">
        <f>IF(P83=0,"R$0,0%",(L83+N83+P83)/3)</f>
        <v>0</v>
      </c>
    </row>
    <row r="84" spans="3:19" ht="14.1" customHeight="1" x14ac:dyDescent="0.25">
      <c r="I84" s="506"/>
      <c r="J84" s="499"/>
      <c r="K84" s="499"/>
      <c r="L84" s="507"/>
      <c r="M84" s="499"/>
      <c r="N84" s="507"/>
      <c r="O84" s="499"/>
      <c r="P84" s="507"/>
    </row>
    <row r="85" spans="3:19" s="492" customFormat="1" ht="14.1" customHeight="1" x14ac:dyDescent="0.25">
      <c r="C85" s="492" t="s">
        <v>6355</v>
      </c>
      <c r="I85" s="500" t="s">
        <v>2076</v>
      </c>
      <c r="J85" s="501">
        <f>J87</f>
        <v>0</v>
      </c>
      <c r="K85" s="501">
        <f>K87</f>
        <v>0</v>
      </c>
      <c r="L85" s="489" t="str">
        <f>IF(K85=0,"0,00% ",(K85-J85)/K85)</f>
        <v xml:space="preserve">0,00% </v>
      </c>
      <c r="M85" s="501">
        <f>M87</f>
        <v>0</v>
      </c>
      <c r="N85" s="489" t="str">
        <f>IF(M85=0,"0,00% ",(M85-K85)/M85)</f>
        <v xml:space="preserve">0,00% </v>
      </c>
      <c r="O85" s="501">
        <f>O87</f>
        <v>0</v>
      </c>
      <c r="P85" s="489" t="str">
        <f>IF(O85=0,"0,00% ",(O85-M85)/O85)</f>
        <v xml:space="preserve">0,00% </v>
      </c>
      <c r="Q85" s="490" t="str">
        <f>IF(O85=0,"R$0,0",(J85+K85+M85+O85)/4)</f>
        <v>R$0,0</v>
      </c>
      <c r="R85" s="491">
        <f>IF(P85=0,"R$0,0%",(L85+N85+P85)/3)</f>
        <v>0</v>
      </c>
      <c r="S85" s="502"/>
    </row>
    <row r="86" spans="3:19" ht="14.1" customHeight="1" x14ac:dyDescent="0.25">
      <c r="J86" s="499"/>
      <c r="K86" s="499"/>
      <c r="L86" s="492"/>
      <c r="M86" s="499"/>
      <c r="N86" s="492"/>
      <c r="O86" s="499"/>
      <c r="P86" s="492"/>
    </row>
    <row r="87" spans="3:19" s="492" customFormat="1" ht="14.1" customHeight="1" x14ac:dyDescent="0.25">
      <c r="C87" s="492" t="s">
        <v>6356</v>
      </c>
      <c r="I87" s="500" t="s">
        <v>2108</v>
      </c>
      <c r="J87" s="501">
        <f>J89+J91</f>
        <v>0</v>
      </c>
      <c r="K87" s="501">
        <f>K89+K91</f>
        <v>0</v>
      </c>
      <c r="L87" s="489" t="str">
        <f>IF(K87=0,"0,00% ",(K87-J87)/K87)</f>
        <v xml:space="preserve">0,00% </v>
      </c>
      <c r="M87" s="501">
        <f>M89+M91</f>
        <v>0</v>
      </c>
      <c r="N87" s="489" t="str">
        <f>IF(M87=0,"0,00% ",(M87-K87)/M87)</f>
        <v xml:space="preserve">0,00% </v>
      </c>
      <c r="O87" s="501">
        <f>O89+O91</f>
        <v>0</v>
      </c>
      <c r="P87" s="489" t="str">
        <f>IF(O87=0,"0,00% ",(O87-M87)/O87)</f>
        <v xml:space="preserve">0,00% </v>
      </c>
      <c r="Q87" s="490" t="str">
        <f>IF(O87=0,"R$0,0",(J87+K87+M87+O87)/4)</f>
        <v>R$0,0</v>
      </c>
      <c r="R87" s="491">
        <f>IF(P87=0,"R$0,0%",(L87+N87+P87)/3)</f>
        <v>0</v>
      </c>
    </row>
    <row r="88" spans="3:19" ht="14.1" customHeight="1" x14ac:dyDescent="0.25">
      <c r="J88" s="499"/>
      <c r="K88" s="499"/>
      <c r="M88" s="499"/>
      <c r="O88" s="499"/>
    </row>
    <row r="89" spans="3:19" ht="14.1" customHeight="1" x14ac:dyDescent="0.2">
      <c r="C89" s="483" t="s">
        <v>6460</v>
      </c>
      <c r="I89" s="506" t="s">
        <v>6462</v>
      </c>
      <c r="J89" s="499">
        <v>0</v>
      </c>
      <c r="K89" s="499">
        <v>0</v>
      </c>
      <c r="L89" s="512" t="str">
        <f>IF(K89=0,"0,00% ",(K89-J89)/K89)</f>
        <v xml:space="preserve">0,00% </v>
      </c>
      <c r="M89" s="499">
        <v>0</v>
      </c>
      <c r="N89" s="512" t="str">
        <f>IF(M89=0,"0,00% ",(M89-K89)/M89)</f>
        <v xml:space="preserve">0,00% </v>
      </c>
      <c r="O89" s="499">
        <v>0</v>
      </c>
      <c r="P89" s="512" t="str">
        <f>IF(O89=0,"0,00% ",(O89-M89)/O89)</f>
        <v xml:space="preserve">0,00% </v>
      </c>
      <c r="Q89" s="484" t="str">
        <f>IF(O89=0,"R$0,0",(J89+K89+M89+O89)/4)</f>
        <v>R$0,0</v>
      </c>
      <c r="R89" s="495">
        <f>IF(P89=0,"R$0,0%",(L89+N89+P89)/3)</f>
        <v>0</v>
      </c>
    </row>
    <row r="90" spans="3:19" ht="14.1" customHeight="1" x14ac:dyDescent="0.2">
      <c r="I90" s="506"/>
      <c r="J90" s="499"/>
      <c r="K90" s="499"/>
      <c r="L90" s="494"/>
      <c r="M90" s="499"/>
      <c r="N90" s="494"/>
      <c r="O90" s="499"/>
      <c r="P90" s="494"/>
      <c r="Q90" s="484"/>
      <c r="R90" s="495"/>
    </row>
    <row r="91" spans="3:19" ht="14.1" customHeight="1" x14ac:dyDescent="0.2">
      <c r="C91" s="483" t="s">
        <v>6461</v>
      </c>
      <c r="I91" s="506" t="s">
        <v>6463</v>
      </c>
      <c r="J91" s="499">
        <v>0</v>
      </c>
      <c r="K91" s="499">
        <v>0</v>
      </c>
      <c r="L91" s="512" t="str">
        <f>IF(K91=0,"0,00% ",(K91-J91)/K91)</f>
        <v xml:space="preserve">0,00% </v>
      </c>
      <c r="M91" s="499">
        <v>0</v>
      </c>
      <c r="N91" s="512" t="str">
        <f>IF(M91=0,"0,00% ",(M91-K91)/M91)</f>
        <v xml:space="preserve">0,00% </v>
      </c>
      <c r="O91" s="499">
        <v>0</v>
      </c>
      <c r="P91" s="512" t="str">
        <f>IF(O91=0,"0,00% ",(O91-M91)/O91)</f>
        <v xml:space="preserve">0,00% </v>
      </c>
      <c r="Q91" s="484" t="str">
        <f>IF(O91=0,"R$0,0",(J91+K91+M91+O91)/4)</f>
        <v>R$0,0</v>
      </c>
      <c r="R91" s="495">
        <f>IF(P91=0,"R$0,0%",(L91+N91+P91)/3)</f>
        <v>0</v>
      </c>
    </row>
    <row r="92" spans="3:19" ht="14.1" customHeight="1" x14ac:dyDescent="0.2">
      <c r="I92" s="506"/>
      <c r="J92" s="499"/>
      <c r="K92" s="499"/>
      <c r="L92" s="494"/>
      <c r="M92" s="499"/>
      <c r="N92" s="494"/>
      <c r="O92" s="499"/>
      <c r="P92" s="494"/>
      <c r="Q92" s="484"/>
      <c r="R92" s="495"/>
    </row>
    <row r="93" spans="3:19" s="492" customFormat="1" ht="14.1" customHeight="1" x14ac:dyDescent="0.25">
      <c r="C93" s="492" t="s">
        <v>2109</v>
      </c>
      <c r="I93" s="500" t="s">
        <v>94</v>
      </c>
      <c r="J93" s="501">
        <f>J95+J103+J111+J115+J119+J327</f>
        <v>38619.69</v>
      </c>
      <c r="K93" s="501">
        <f>K95+K103+K111+K115+K119+K327</f>
        <v>49981.37</v>
      </c>
      <c r="L93" s="489">
        <f>IF(K93=0,"0,00% ",(K93-J93)/K93)</f>
        <v>0.22731829879813217</v>
      </c>
      <c r="M93" s="501">
        <f>M95+M103+M111+M115+M119+M327</f>
        <v>65219.42</v>
      </c>
      <c r="N93" s="489">
        <f>IF(M93=0,"0,00% ",(M93-K93)/M93)</f>
        <v>0.23364283215030118</v>
      </c>
      <c r="O93" s="501">
        <f>O95+O103+O111+O115+O119+O327</f>
        <v>49981.37</v>
      </c>
      <c r="P93" s="489">
        <f>IF(O93=0,"0,00% ",(O93-M93)/O93)</f>
        <v>-0.30487459627457181</v>
      </c>
      <c r="Q93" s="490">
        <f>Q95+Q103+Q111+Q115+Q119+Q327</f>
        <v>50950.462499999994</v>
      </c>
      <c r="R93" s="491">
        <f>IF(P93=0,"R$0,0%",(L93+N93+P93)/3)</f>
        <v>5.2028844891287195E-2</v>
      </c>
      <c r="S93" s="502"/>
    </row>
    <row r="94" spans="3:19" ht="14.1" customHeight="1" x14ac:dyDescent="0.25">
      <c r="J94" s="499"/>
      <c r="K94" s="499"/>
      <c r="L94" s="492"/>
      <c r="M94" s="499"/>
      <c r="N94" s="492"/>
      <c r="O94" s="499"/>
      <c r="P94" s="492"/>
    </row>
    <row r="95" spans="3:19" s="492" customFormat="1" ht="14.1" customHeight="1" x14ac:dyDescent="0.25">
      <c r="C95" s="492" t="s">
        <v>2127</v>
      </c>
      <c r="I95" s="500" t="s">
        <v>2128</v>
      </c>
      <c r="J95" s="501">
        <f>J97+J101</f>
        <v>0</v>
      </c>
      <c r="K95" s="501">
        <f>K97+K101</f>
        <v>0</v>
      </c>
      <c r="L95" s="489" t="str">
        <f>IF(K95=0,"0,00% ",(K95-J95)/K95)</f>
        <v xml:space="preserve">0,00% </v>
      </c>
      <c r="M95" s="501">
        <f>M97+M101</f>
        <v>0</v>
      </c>
      <c r="N95" s="489" t="str">
        <f>IF(M95=0,"0,00% ",(M95-K95)/M95)</f>
        <v xml:space="preserve">0,00% </v>
      </c>
      <c r="O95" s="501">
        <f>O97+O101</f>
        <v>0</v>
      </c>
      <c r="P95" s="489" t="str">
        <f>IF(O95=0,"0,00% ",(O95-M95)/O95)</f>
        <v xml:space="preserve">0,00% </v>
      </c>
      <c r="Q95" s="490" t="str">
        <f>IF(O95=0,"R$0,0",(J95+K95+M95+O95)/4)</f>
        <v>R$0,0</v>
      </c>
      <c r="R95" s="491">
        <f>IF(P95=0,"R$0,0%",(L95+N95+P95)/3)</f>
        <v>0</v>
      </c>
    </row>
    <row r="96" spans="3:19" ht="14.1" customHeight="1" x14ac:dyDescent="0.25">
      <c r="J96" s="499"/>
      <c r="K96" s="499"/>
      <c r="L96" s="492"/>
      <c r="M96" s="499"/>
      <c r="N96" s="492"/>
      <c r="O96" s="499"/>
      <c r="P96" s="492"/>
    </row>
    <row r="97" spans="3:18" s="492" customFormat="1" ht="14.1" customHeight="1" x14ac:dyDescent="0.25">
      <c r="C97" s="492" t="s">
        <v>6334</v>
      </c>
      <c r="I97" s="500" t="s">
        <v>1057</v>
      </c>
      <c r="J97" s="501">
        <f>J99</f>
        <v>0</v>
      </c>
      <c r="K97" s="501">
        <f>K99</f>
        <v>0</v>
      </c>
      <c r="L97" s="489" t="str">
        <f>IF(K97=0,"0,00% ",(K97-J97)/K97)</f>
        <v xml:space="preserve">0,00% </v>
      </c>
      <c r="M97" s="501">
        <f>M99</f>
        <v>0</v>
      </c>
      <c r="N97" s="489" t="str">
        <f>IF(M97=0,"0,00% ",(M97-K97)/M97)</f>
        <v xml:space="preserve">0,00% </v>
      </c>
      <c r="O97" s="501">
        <f>O99</f>
        <v>0</v>
      </c>
      <c r="P97" s="489" t="str">
        <f>IF(O97=0,"0,00% ",(O97-M97)/O97)</f>
        <v xml:space="preserve">0,00% </v>
      </c>
      <c r="Q97" s="490" t="str">
        <f>IF(O97=0,"R$0,0",(J97+K97+M97+O97)/4)</f>
        <v>R$0,0</v>
      </c>
      <c r="R97" s="491">
        <f>IF(P97=0,"R$0,0%",(L97+N97+P97)/3)</f>
        <v>0</v>
      </c>
    </row>
    <row r="98" spans="3:18" ht="14.1" customHeight="1" x14ac:dyDescent="0.25">
      <c r="J98" s="499"/>
      <c r="K98" s="499"/>
      <c r="M98" s="499"/>
      <c r="O98" s="499"/>
    </row>
    <row r="99" spans="3:18" ht="14.1" customHeight="1" x14ac:dyDescent="0.2">
      <c r="C99" s="483" t="s">
        <v>6357</v>
      </c>
      <c r="I99" s="506" t="s">
        <v>1274</v>
      </c>
      <c r="J99" s="499">
        <v>0</v>
      </c>
      <c r="K99" s="499">
        <v>0</v>
      </c>
      <c r="L99" s="512" t="str">
        <f>IF(K99=0,"0,00% ",(K99-J99)/K99)</f>
        <v xml:space="preserve">0,00% </v>
      </c>
      <c r="M99" s="499">
        <v>0</v>
      </c>
      <c r="N99" s="512" t="str">
        <f>IF(M99=0,"0,00% ",(M99-K99)/M99)</f>
        <v xml:space="preserve">0,00% </v>
      </c>
      <c r="O99" s="499">
        <v>0</v>
      </c>
      <c r="P99" s="512" t="str">
        <f>IF(O99=0,"0,00% ",(O99-M99)/O99)</f>
        <v xml:space="preserve">0,00% </v>
      </c>
      <c r="Q99" s="484" t="str">
        <f>IF(O99=0,"R$0,0",(J99+K99+M99+O99)/4)</f>
        <v>R$0,0</v>
      </c>
      <c r="R99" s="495">
        <f>IF(P99=0,"R$0,0%",(L99+N99+P99)/3)</f>
        <v>0</v>
      </c>
    </row>
    <row r="100" spans="3:18" ht="14.1" customHeight="1" x14ac:dyDescent="0.25">
      <c r="J100" s="499"/>
      <c r="K100" s="499"/>
      <c r="M100" s="499"/>
      <c r="O100" s="499"/>
    </row>
    <row r="101" spans="3:18" s="492" customFormat="1" ht="14.1" customHeight="1" x14ac:dyDescent="0.25">
      <c r="C101" s="492" t="s">
        <v>6255</v>
      </c>
      <c r="I101" s="500" t="s">
        <v>985</v>
      </c>
      <c r="J101" s="501">
        <v>0</v>
      </c>
      <c r="K101" s="501">
        <v>0</v>
      </c>
      <c r="L101" s="489" t="str">
        <f>IF(K101=0,"0,00% ",(K101-J101)/K101)</f>
        <v xml:space="preserve">0,00% </v>
      </c>
      <c r="M101" s="501">
        <v>0</v>
      </c>
      <c r="N101" s="489" t="str">
        <f>IF(M101=0,"0,00% ",(M101-K101)/M101)</f>
        <v xml:space="preserve">0,00% </v>
      </c>
      <c r="O101" s="501">
        <v>0</v>
      </c>
      <c r="P101" s="489" t="str">
        <f>IF(O101=0,"0,00% ",(O101-M101)/O101)</f>
        <v xml:space="preserve">0,00% </v>
      </c>
      <c r="Q101" s="490" t="str">
        <f>IF(O101=0,"R$0,0",(J101+K101+M101+O101)/4)</f>
        <v>R$0,0</v>
      </c>
      <c r="R101" s="491">
        <f>IF(P101=0,"R$0,0%",(L101+N101+P101)/3)</f>
        <v>0</v>
      </c>
    </row>
    <row r="102" spans="3:18" ht="14.1" customHeight="1" x14ac:dyDescent="0.25">
      <c r="J102" s="499"/>
      <c r="K102" s="499"/>
      <c r="M102" s="499"/>
      <c r="O102" s="499"/>
    </row>
    <row r="103" spans="3:18" s="492" customFormat="1" ht="14.1" customHeight="1" x14ac:dyDescent="0.25">
      <c r="C103" s="492" t="s">
        <v>2125</v>
      </c>
      <c r="I103" s="500" t="s">
        <v>2126</v>
      </c>
      <c r="J103" s="501">
        <f>J105</f>
        <v>0</v>
      </c>
      <c r="K103" s="501">
        <f>K105</f>
        <v>0</v>
      </c>
      <c r="L103" s="489" t="str">
        <f>IF(K103=0,"0,00% ",(K103-J103)/K103)</f>
        <v xml:space="preserve">0,00% </v>
      </c>
      <c r="M103" s="501">
        <f>M105</f>
        <v>0</v>
      </c>
      <c r="N103" s="489" t="str">
        <f>IF(M103=0,"0,00% ",(M103-K103)/M103)</f>
        <v xml:space="preserve">0,00% </v>
      </c>
      <c r="O103" s="501">
        <f>O105</f>
        <v>0</v>
      </c>
      <c r="P103" s="489" t="str">
        <f>IF(O103=0,"0,00% ",(O103-M103)/O103)</f>
        <v xml:space="preserve">0,00% </v>
      </c>
      <c r="Q103" s="490" t="str">
        <f>IF(O103=0,"R$0,0",(J103+K103+M103+O103)/4)</f>
        <v>R$0,0</v>
      </c>
      <c r="R103" s="491">
        <f>IF(P103=0,"R$0,0%",(L103+N103+P103)/3)</f>
        <v>0</v>
      </c>
    </row>
    <row r="104" spans="3:18" s="492" customFormat="1" ht="14.1" customHeight="1" x14ac:dyDescent="0.25">
      <c r="J104" s="501"/>
      <c r="K104" s="501"/>
      <c r="M104" s="501"/>
      <c r="O104" s="501"/>
    </row>
    <row r="105" spans="3:18" s="492" customFormat="1" ht="14.1" customHeight="1" x14ac:dyDescent="0.25">
      <c r="C105" s="492" t="s">
        <v>6239</v>
      </c>
      <c r="I105" s="500" t="s">
        <v>1027</v>
      </c>
      <c r="J105" s="501">
        <f>J107+J109</f>
        <v>0</v>
      </c>
      <c r="K105" s="501">
        <f>K107+K109</f>
        <v>0</v>
      </c>
      <c r="L105" s="489" t="str">
        <f>IF(K105=0,"0,00% ",(K105-J105)/K105)</f>
        <v xml:space="preserve">0,00% </v>
      </c>
      <c r="M105" s="501">
        <f>M107+M109</f>
        <v>0</v>
      </c>
      <c r="N105" s="489" t="str">
        <f>IF(M105=0,"0,00% ",(M105-K105)/M105)</f>
        <v xml:space="preserve">0,00% </v>
      </c>
      <c r="O105" s="501">
        <f>O107+O109</f>
        <v>0</v>
      </c>
      <c r="P105" s="489" t="str">
        <f>IF(O105=0,"0,00% ",(O105-M105)/O105)</f>
        <v xml:space="preserve">0,00% </v>
      </c>
      <c r="Q105" s="490" t="str">
        <f>IF(O105=0,"R$0,0",(J105+K105+M105+O105)/4)</f>
        <v>R$0,0</v>
      </c>
      <c r="R105" s="491">
        <f>IF(P105=0,"R$0,0%",(L105+N105+P105)/3)</f>
        <v>0</v>
      </c>
    </row>
    <row r="106" spans="3:18" ht="14.1" customHeight="1" x14ac:dyDescent="0.25">
      <c r="J106" s="499"/>
      <c r="K106" s="499"/>
      <c r="M106" s="499"/>
      <c r="O106" s="499"/>
    </row>
    <row r="107" spans="3:18" ht="14.1" customHeight="1" x14ac:dyDescent="0.2">
      <c r="C107" s="483" t="s">
        <v>6336</v>
      </c>
      <c r="I107" s="506" t="s">
        <v>6358</v>
      </c>
      <c r="J107" s="499">
        <v>0</v>
      </c>
      <c r="K107" s="499">
        <v>0</v>
      </c>
      <c r="L107" s="512" t="str">
        <f>IF(K107=0,"0,00% ",(K107-J107)/K107)</f>
        <v xml:space="preserve">0,00% </v>
      </c>
      <c r="M107" s="499">
        <v>0</v>
      </c>
      <c r="N107" s="512" t="str">
        <f>IF(M107=0,"0,00% ",(M107-K107)/M107)</f>
        <v xml:space="preserve">0,00% </v>
      </c>
      <c r="O107" s="499">
        <v>0</v>
      </c>
      <c r="P107" s="512" t="str">
        <f>IF(O107=0,"0,00% ",(O107-M107)/O107)</f>
        <v xml:space="preserve">0,00% </v>
      </c>
      <c r="Q107" s="484" t="str">
        <f>IF(O107=0,"R$0,0",(J107+K107+M107+O107)/4)</f>
        <v>R$0,0</v>
      </c>
      <c r="R107" s="495">
        <f>IF(P107=0,"R$0,0%",(L107+N107+P107)/3)</f>
        <v>0</v>
      </c>
    </row>
    <row r="108" spans="3:18" ht="14.1" customHeight="1" x14ac:dyDescent="0.25">
      <c r="J108" s="499"/>
      <c r="K108" s="499"/>
      <c r="M108" s="499"/>
      <c r="O108" s="499"/>
    </row>
    <row r="109" spans="3:18" ht="14.1" customHeight="1" x14ac:dyDescent="0.2">
      <c r="C109" s="483" t="s">
        <v>6337</v>
      </c>
      <c r="I109" s="506" t="s">
        <v>1059</v>
      </c>
      <c r="J109" s="499">
        <v>0</v>
      </c>
      <c r="K109" s="499">
        <v>0</v>
      </c>
      <c r="L109" s="512" t="str">
        <f>IF(K109=0,"0,00% ",(K109-J109)/K109)</f>
        <v xml:space="preserve">0,00% </v>
      </c>
      <c r="M109" s="499">
        <v>0</v>
      </c>
      <c r="N109" s="512" t="str">
        <f>IF(M109=0,"0,00% ",(M109-K109)/M109)</f>
        <v xml:space="preserve">0,00% </v>
      </c>
      <c r="O109" s="499">
        <v>0</v>
      </c>
      <c r="P109" s="512" t="str">
        <f>IF(O109=0,"0,00% ",(O109-M109)/O109)</f>
        <v xml:space="preserve">0,00% </v>
      </c>
      <c r="Q109" s="484" t="str">
        <f>IF(O109=0,"R$0,0",(J109+K109+M109+O109)/4)</f>
        <v>R$0,0</v>
      </c>
      <c r="R109" s="495">
        <f>IF(P109=0,"R$0,0%",(L109+N109+P109)/3)</f>
        <v>0</v>
      </c>
    </row>
    <row r="110" spans="3:18" ht="14.1" customHeight="1" x14ac:dyDescent="0.25">
      <c r="J110" s="499"/>
      <c r="K110" s="499"/>
      <c r="M110" s="499"/>
      <c r="O110" s="499"/>
    </row>
    <row r="111" spans="3:18" s="492" customFormat="1" ht="14.1" customHeight="1" x14ac:dyDescent="0.25">
      <c r="C111" s="492" t="s">
        <v>2129</v>
      </c>
      <c r="I111" s="500" t="s">
        <v>2130</v>
      </c>
      <c r="J111" s="501">
        <f>J113</f>
        <v>0</v>
      </c>
      <c r="K111" s="501">
        <f>K113</f>
        <v>0</v>
      </c>
      <c r="L111" s="489" t="str">
        <f>IF(K111=0,"0,00% ",(K111-J111)/K111)</f>
        <v xml:space="preserve">0,00% </v>
      </c>
      <c r="M111" s="501">
        <f>M113</f>
        <v>0</v>
      </c>
      <c r="N111" s="489" t="str">
        <f>IF(M111=0,"0,00% ",(M111-K111)/M111)</f>
        <v xml:space="preserve">0,00% </v>
      </c>
      <c r="O111" s="501">
        <f>O113</f>
        <v>0</v>
      </c>
      <c r="P111" s="489" t="str">
        <f>IF(O111=0,"0,00% ",(O111-M111)/O111)</f>
        <v xml:space="preserve">0,00% </v>
      </c>
      <c r="Q111" s="490" t="str">
        <f>IF(O111=0,"R$0,0",(J111+K111+M111+O111)/4)</f>
        <v>R$0,0</v>
      </c>
      <c r="R111" s="491">
        <f>IF(P111=0,"R$0,0%",(L111+N111+P111)/3)</f>
        <v>0</v>
      </c>
    </row>
    <row r="112" spans="3:18" ht="14.1" customHeight="1" x14ac:dyDescent="0.25">
      <c r="J112" s="499"/>
      <c r="K112" s="499"/>
      <c r="M112" s="499"/>
      <c r="O112" s="499"/>
    </row>
    <row r="113" spans="3:18" ht="14.1" customHeight="1" x14ac:dyDescent="0.2">
      <c r="C113" s="483" t="s">
        <v>6332</v>
      </c>
      <c r="I113" s="506" t="s">
        <v>6359</v>
      </c>
      <c r="J113" s="499">
        <v>0</v>
      </c>
      <c r="K113" s="499">
        <v>0</v>
      </c>
      <c r="L113" s="512" t="str">
        <f>IF(K113=0,"0,00% ",(K113-J113)/K113)</f>
        <v xml:space="preserve">0,00% </v>
      </c>
      <c r="M113" s="499">
        <v>0</v>
      </c>
      <c r="N113" s="512" t="str">
        <f>IF(M113=0,"0,00% ",(M113-K113)/M113)</f>
        <v xml:space="preserve">0,00% </v>
      </c>
      <c r="O113" s="499">
        <v>0</v>
      </c>
      <c r="P113" s="512" t="str">
        <f>IF(O113=0,"0,00% ",(O113-M113)/O113)</f>
        <v xml:space="preserve">0,00% </v>
      </c>
      <c r="Q113" s="484" t="str">
        <f>IF(O113=0,"R$0,0",(J113+K113+M113+O113)/4)</f>
        <v>R$0,0</v>
      </c>
      <c r="R113" s="495">
        <f>IF(P113=0,"R$0,0%",(L113+N113+P113)/3)</f>
        <v>0</v>
      </c>
    </row>
    <row r="114" spans="3:18" ht="14.1" customHeight="1" x14ac:dyDescent="0.25">
      <c r="J114" s="499"/>
      <c r="K114" s="499"/>
      <c r="M114" s="499"/>
      <c r="O114" s="499"/>
    </row>
    <row r="115" spans="3:18" s="492" customFormat="1" ht="14.1" customHeight="1" x14ac:dyDescent="0.25">
      <c r="C115" s="492" t="s">
        <v>2110</v>
      </c>
      <c r="I115" s="500" t="s">
        <v>6250</v>
      </c>
      <c r="J115" s="501">
        <f>J117</f>
        <v>0</v>
      </c>
      <c r="K115" s="501">
        <f>K117</f>
        <v>0</v>
      </c>
      <c r="L115" s="489" t="str">
        <f>IF(K115=0,"0,00% ",(K115-J115)/K115)</f>
        <v xml:space="preserve">0,00% </v>
      </c>
      <c r="M115" s="501">
        <f>M117</f>
        <v>0</v>
      </c>
      <c r="N115" s="489" t="str">
        <f>IF(M115=0,"0,00% ",(M115-K115)/M115)</f>
        <v xml:space="preserve">0,00% </v>
      </c>
      <c r="O115" s="501">
        <f>O117</f>
        <v>0</v>
      </c>
      <c r="P115" s="489" t="str">
        <f>IF(O115=0,"0,00% ",(O115-M115)/O115)</f>
        <v xml:space="preserve">0,00% </v>
      </c>
      <c r="Q115" s="490" t="str">
        <f>IF(O115=0,"R$0,0",(J115+K115+M115+O115)/4)</f>
        <v>R$0,0</v>
      </c>
      <c r="R115" s="491">
        <f>IF(P115=0,"R$0,0%",(L115+N115+P115)/3)</f>
        <v>0</v>
      </c>
    </row>
    <row r="116" spans="3:18" s="492" customFormat="1" ht="14.1" customHeight="1" x14ac:dyDescent="0.25">
      <c r="J116" s="501"/>
      <c r="K116" s="501"/>
      <c r="M116" s="501"/>
      <c r="N116" s="483"/>
      <c r="O116" s="501"/>
      <c r="P116" s="483"/>
      <c r="R116" s="483"/>
    </row>
    <row r="117" spans="3:18" ht="14.1" customHeight="1" x14ac:dyDescent="0.2">
      <c r="C117" s="483" t="s">
        <v>6459</v>
      </c>
      <c r="I117" s="506" t="s">
        <v>6250</v>
      </c>
      <c r="J117" s="499">
        <v>0</v>
      </c>
      <c r="K117" s="499">
        <v>0</v>
      </c>
      <c r="L117" s="512" t="str">
        <f>IF(K117=0,"0,00% ",(K117-J117)/K117)</f>
        <v xml:space="preserve">0,00% </v>
      </c>
      <c r="M117" s="499">
        <v>0</v>
      </c>
      <c r="N117" s="512" t="str">
        <f>IF(M117=0,"0,00% ",(M117-K117)/M117)</f>
        <v xml:space="preserve">0,00% </v>
      </c>
      <c r="O117" s="499">
        <v>0</v>
      </c>
      <c r="P117" s="512" t="str">
        <f>IF(O117=0,"0,00% ",(O117-M117)/O117)</f>
        <v xml:space="preserve">0,00% </v>
      </c>
      <c r="Q117" s="484" t="str">
        <f>IF(O117=0,"R$0,0",(J117+K117+M117+O117)/4)</f>
        <v>R$0,0</v>
      </c>
      <c r="R117" s="495">
        <f>IF(P117=0,"R$0,0%",(L117+N117+P117)/3)</f>
        <v>0</v>
      </c>
    </row>
    <row r="118" spans="3:18" s="492" customFormat="1" ht="14.1" customHeight="1" x14ac:dyDescent="0.25">
      <c r="J118" s="501"/>
      <c r="K118" s="501"/>
      <c r="M118" s="501"/>
      <c r="O118" s="501"/>
    </row>
    <row r="119" spans="3:18" s="492" customFormat="1" ht="14.1" customHeight="1" x14ac:dyDescent="0.25">
      <c r="C119" s="492" t="s">
        <v>2111</v>
      </c>
      <c r="I119" s="500" t="s">
        <v>2108</v>
      </c>
      <c r="J119" s="501">
        <f>J125+J131+J185+J191+J203+J211+J215+J235+J295+J299+J311+J319+J323+J121+J315</f>
        <v>38619.69</v>
      </c>
      <c r="K119" s="501">
        <f>K125+K131+K185+K191+K203+K211+K215+K235+K295+K299+K311+K319+K323+K121+K315</f>
        <v>49981.37</v>
      </c>
      <c r="L119" s="489">
        <f>IF(K119=0,"0,00% ",(K119-J119)/K119)</f>
        <v>0.22731829879813217</v>
      </c>
      <c r="M119" s="501">
        <f>M125+M131+M185+M191+M203+M211+M215+M235+M295+M299+M311+M319+M323+M121+M315</f>
        <v>65219.42</v>
      </c>
      <c r="N119" s="489">
        <f>IF(M119=0,"0,00% ",(M119-K119)/M119)</f>
        <v>0.23364283215030118</v>
      </c>
      <c r="O119" s="501">
        <f>O125+O131+O185+O191+O203+O211+O215+O235+O295+O299+O311+O319+O323+O121+O315</f>
        <v>49981.37</v>
      </c>
      <c r="P119" s="489">
        <f>IF(O119=0,"0,00% ",(O119-M119)/O119)</f>
        <v>-0.30487459627457181</v>
      </c>
      <c r="Q119" s="490">
        <f>IF(O119=0,"R$0,0",(J119+K119+M119+O119)/4)</f>
        <v>50950.462499999994</v>
      </c>
      <c r="R119" s="491">
        <f>IF(P119=0,"R$0,0%",(L119+N119+P119)/3)</f>
        <v>5.2028844891287195E-2</v>
      </c>
    </row>
    <row r="120" spans="3:18" s="492" customFormat="1" ht="14.1" customHeight="1" x14ac:dyDescent="0.25">
      <c r="J120" s="501"/>
      <c r="K120" s="501"/>
      <c r="M120" s="501"/>
      <c r="O120" s="501"/>
    </row>
    <row r="121" spans="3:18" s="492" customFormat="1" ht="14.1" customHeight="1" x14ac:dyDescent="0.25">
      <c r="C121" s="492" t="s">
        <v>6437</v>
      </c>
      <c r="I121" s="500" t="s">
        <v>6438</v>
      </c>
      <c r="J121" s="501">
        <f>J123</f>
        <v>0</v>
      </c>
      <c r="K121" s="501">
        <f>K123</f>
        <v>0</v>
      </c>
      <c r="L121" s="489" t="str">
        <f>IF(K121=0,"0,00% ",(K121-J121)/K121)</f>
        <v xml:space="preserve">0,00% </v>
      </c>
      <c r="M121" s="501">
        <f>M123</f>
        <v>0</v>
      </c>
      <c r="N121" s="489" t="str">
        <f>IF(M121=0,"0,00% ",(M121-K121)/M121)</f>
        <v xml:space="preserve">0,00% </v>
      </c>
      <c r="O121" s="501">
        <f>O123</f>
        <v>0</v>
      </c>
      <c r="P121" s="489" t="str">
        <f>IF(O121=0,"0,00% ",(O121-M121)/O121)</f>
        <v xml:space="preserve">0,00% </v>
      </c>
      <c r="Q121" s="490" t="str">
        <f>IF(O121=0,"R$0,0",(J121+K121+M121+O121)/4)</f>
        <v>R$0,0</v>
      </c>
      <c r="R121" s="491">
        <f>IF(P121=0,"R$0,0%",(L121+N121+P121)/3)</f>
        <v>0</v>
      </c>
    </row>
    <row r="122" spans="3:18" ht="14.1" customHeight="1" x14ac:dyDescent="0.25">
      <c r="J122" s="499"/>
      <c r="K122" s="499"/>
      <c r="M122" s="499"/>
      <c r="O122" s="499"/>
    </row>
    <row r="123" spans="3:18" ht="14.1" customHeight="1" x14ac:dyDescent="0.2">
      <c r="C123" s="483" t="s">
        <v>6439</v>
      </c>
      <c r="I123" s="506" t="s">
        <v>6440</v>
      </c>
      <c r="J123" s="499">
        <v>0</v>
      </c>
      <c r="K123" s="499">
        <v>0</v>
      </c>
      <c r="L123" s="512" t="str">
        <f>IF(K123=0,"0,00% ",(K123-J123)/K123)</f>
        <v xml:space="preserve">0,00% </v>
      </c>
      <c r="M123" s="499">
        <v>0</v>
      </c>
      <c r="N123" s="512" t="str">
        <f>IF(M123=0,"0,00% ",(M123-K123)/M123)</f>
        <v xml:space="preserve">0,00% </v>
      </c>
      <c r="O123" s="499">
        <v>0</v>
      </c>
      <c r="P123" s="512" t="str">
        <f>IF(O123=0,"0,00% ",(O123-M123)/O123)</f>
        <v xml:space="preserve">0,00% </v>
      </c>
      <c r="Q123" s="484" t="str">
        <f>IF(O123=0,"R$0,0",(J123+K123+M123+O123)/4)</f>
        <v>R$0,0</v>
      </c>
      <c r="R123" s="495">
        <f>IF(P123=0,"R$0,0%",(L123+N123+P123)/3)</f>
        <v>0</v>
      </c>
    </row>
    <row r="124" spans="3:18" s="492" customFormat="1" ht="14.1" customHeight="1" x14ac:dyDescent="0.25">
      <c r="J124" s="501"/>
      <c r="K124" s="501"/>
      <c r="M124" s="501"/>
      <c r="O124" s="501"/>
    </row>
    <row r="125" spans="3:18" s="492" customFormat="1" ht="14.1" customHeight="1" x14ac:dyDescent="0.25">
      <c r="C125" s="492" t="s">
        <v>6240</v>
      </c>
      <c r="I125" s="500" t="s">
        <v>1046</v>
      </c>
      <c r="J125" s="501">
        <f>J127+J129</f>
        <v>4982.57</v>
      </c>
      <c r="K125" s="501">
        <f>K127+K129</f>
        <v>4869.13</v>
      </c>
      <c r="L125" s="489">
        <f>IF(K125=0,"0,00% ",(K125-J125)/K125)</f>
        <v>-2.3297796526278738E-2</v>
      </c>
      <c r="M125" s="501">
        <f>M127+M129</f>
        <v>6257.92</v>
      </c>
      <c r="N125" s="489">
        <f>IF(M125=0,"0,00% ",(M125-K125)/M125)</f>
        <v>0.22192517641644507</v>
      </c>
      <c r="O125" s="501">
        <f>O127+O129</f>
        <v>4869.13</v>
      </c>
      <c r="P125" s="489">
        <f>IF(O125=0,"0,00% ",(O125-M125)/O125)</f>
        <v>-0.2852234382733671</v>
      </c>
      <c r="Q125" s="490">
        <f>IF(O125=0,"R$0,0",(J125+K125+M125+O125)/4)</f>
        <v>5244.6875</v>
      </c>
      <c r="R125" s="491">
        <f>IF(P125=0,"R$0,0%",(L125+N125+P125)/3)</f>
        <v>-2.8865352794400261E-2</v>
      </c>
    </row>
    <row r="126" spans="3:18" ht="14.1" customHeight="1" x14ac:dyDescent="0.25">
      <c r="J126" s="499"/>
      <c r="K126" s="499"/>
      <c r="M126" s="499"/>
      <c r="O126" s="499"/>
    </row>
    <row r="127" spans="3:18" ht="14.1" customHeight="1" x14ac:dyDescent="0.2">
      <c r="C127" s="483" t="s">
        <v>6360</v>
      </c>
      <c r="I127" s="506" t="s">
        <v>5050</v>
      </c>
      <c r="J127" s="499">
        <v>4982.57</v>
      </c>
      <c r="K127" s="499">
        <v>4869.13</v>
      </c>
      <c r="L127" s="512">
        <f>IF(K127=0,"0,00% ",(K127-J127)/K127)</f>
        <v>-2.3297796526278738E-2</v>
      </c>
      <c r="M127" s="499">
        <v>6257.92</v>
      </c>
      <c r="N127" s="512">
        <f>IF(M127=0,"0,00% ",(M127-K127)/M127)</f>
        <v>0.22192517641644507</v>
      </c>
      <c r="O127" s="499">
        <v>4869.13</v>
      </c>
      <c r="P127" s="512">
        <f>IF(O127=0,"0,00% ",(O127-M127)/O127)</f>
        <v>-0.2852234382733671</v>
      </c>
      <c r="Q127" s="484">
        <f>IF(O127=0,"R$0,0",(J127+K127+M127+O127)/4)</f>
        <v>5244.6875</v>
      </c>
      <c r="R127" s="495">
        <f>IF(P127=0,"R$0,0%",(L127+N127+P127)/3)</f>
        <v>-2.8865352794400261E-2</v>
      </c>
    </row>
    <row r="128" spans="3:18" ht="14.1" customHeight="1" x14ac:dyDescent="0.25">
      <c r="J128" s="499"/>
      <c r="K128" s="499"/>
      <c r="M128" s="499"/>
      <c r="O128" s="499"/>
    </row>
    <row r="129" spans="3:18" ht="14.1" customHeight="1" x14ac:dyDescent="0.2">
      <c r="C129" s="483" t="s">
        <v>6361</v>
      </c>
      <c r="I129" s="506" t="s">
        <v>5054</v>
      </c>
      <c r="J129" s="499">
        <v>0</v>
      </c>
      <c r="K129" s="499">
        <v>0</v>
      </c>
      <c r="L129" s="512" t="str">
        <f>IF(K129=0,"0,00% ",(K129-J129)/K129)</f>
        <v xml:space="preserve">0,00% </v>
      </c>
      <c r="M129" s="499">
        <v>0</v>
      </c>
      <c r="N129" s="512" t="str">
        <f>IF(M129=0,"0,00% ",(M129-K129)/M129)</f>
        <v xml:space="preserve">0,00% </v>
      </c>
      <c r="O129" s="499">
        <v>0</v>
      </c>
      <c r="P129" s="512" t="str">
        <f>IF(O129=0,"0,00% ",(O129-M129)/O129)</f>
        <v xml:space="preserve">0,00% </v>
      </c>
      <c r="Q129" s="484" t="str">
        <f>IF(O129=0,"R$0,0",(J129+K129+M129+O129)/4)</f>
        <v>R$0,0</v>
      </c>
      <c r="R129" s="495">
        <f>IF(P129=0,"R$0,0%",(L129+N129+P129)/3)</f>
        <v>0</v>
      </c>
    </row>
    <row r="130" spans="3:18" ht="14.1" customHeight="1" x14ac:dyDescent="0.25">
      <c r="J130" s="499"/>
      <c r="K130" s="499"/>
      <c r="M130" s="499"/>
      <c r="O130" s="499"/>
    </row>
    <row r="131" spans="3:18" s="492" customFormat="1" ht="14.1" customHeight="1" x14ac:dyDescent="0.25">
      <c r="C131" s="492" t="s">
        <v>6241</v>
      </c>
      <c r="I131" s="500" t="s">
        <v>996</v>
      </c>
      <c r="J131" s="501">
        <f>J133+J135+J137+J139+J141+J145+J147+J149+J151+J153+J155+J157+J159+J161+J163+J165+J167+J169+J171+J173+J175+J177+J179+J181+J143+J183</f>
        <v>6327.5</v>
      </c>
      <c r="K131" s="501">
        <f>K133+K135+K137+K139+K141+K145+K147+K149+K151+K153+K155+K157+K159+K161+K163+K165+K167+K169+K171+K173+K175+K177+K179+K181+K143+K183</f>
        <v>4873.3100000000004</v>
      </c>
      <c r="L131" s="489">
        <f>IF(K131=0,"0,00% ",(K131-J131)/K131)</f>
        <v>-0.29839882954295938</v>
      </c>
      <c r="M131" s="501">
        <f>M133+M135+M137+M139+M141+M145+M147+M149+M151+M153+M155+M157+M159+M161+M163+M165+M167+M169+M171+M173+M175+M177+M179+M181+M143+M183</f>
        <v>6771.0499999999993</v>
      </c>
      <c r="N131" s="489">
        <f>IF(M131=0,"0,00% ",(M131-K131)/M131)</f>
        <v>0.28027263127579904</v>
      </c>
      <c r="O131" s="501">
        <f>O133+O135+O137+O139+O141+O145+O147+O149+O151+O153+O155+O157+O159+O161+O163+O165+O167+O169+O171+O173+O175+O177+O179+O181+O143+O183</f>
        <v>4873.3100000000004</v>
      </c>
      <c r="P131" s="489">
        <f>IF(O131=0,"0,00% ",(O131-M131)/O131)</f>
        <v>-0.38941499719902872</v>
      </c>
      <c r="Q131" s="490">
        <f>IF(O131=0,"R$0,0",(J131+K131+M131+O131)/4)</f>
        <v>5711.2925000000005</v>
      </c>
      <c r="R131" s="491">
        <f>IF(P131=0,"R$0,0%",(L131+N131+P131)/3)</f>
        <v>-0.13584706515539635</v>
      </c>
    </row>
    <row r="132" spans="3:18" ht="14.1" customHeight="1" x14ac:dyDescent="0.25">
      <c r="J132" s="499"/>
      <c r="K132" s="499"/>
      <c r="M132" s="499"/>
      <c r="O132" s="499"/>
    </row>
    <row r="133" spans="3:18" ht="14.1" customHeight="1" x14ac:dyDescent="0.2">
      <c r="C133" s="483" t="s">
        <v>6362</v>
      </c>
      <c r="I133" s="506" t="s">
        <v>6363</v>
      </c>
      <c r="J133" s="499">
        <v>0</v>
      </c>
      <c r="K133" s="499">
        <v>0</v>
      </c>
      <c r="L133" s="512" t="str">
        <f>IF(K133=0,"0,00% ",(K133-J133)/K133)</f>
        <v xml:space="preserve">0,00% </v>
      </c>
      <c r="M133" s="499">
        <v>0</v>
      </c>
      <c r="N133" s="512" t="str">
        <f>IF(M133=0,"0,00% ",(M133-K133)/M133)</f>
        <v xml:space="preserve">0,00% </v>
      </c>
      <c r="O133" s="499">
        <v>0</v>
      </c>
      <c r="P133" s="512" t="str">
        <f>IF(O133=0,"0,00% ",(O133-M133)/O133)</f>
        <v xml:space="preserve">0,00% </v>
      </c>
      <c r="Q133" s="484" t="str">
        <f>IF(O133=0,"R$0,0",(J133+K133+M133+O133)/4)</f>
        <v>R$0,0</v>
      </c>
      <c r="R133" s="495">
        <f>IF(P133=0,"R$0,0%",(L133+N133+P133)/3)</f>
        <v>0</v>
      </c>
    </row>
    <row r="134" spans="3:18" ht="14.1" customHeight="1" x14ac:dyDescent="0.25">
      <c r="J134" s="499"/>
      <c r="K134" s="499"/>
      <c r="M134" s="499"/>
      <c r="O134" s="499"/>
    </row>
    <row r="135" spans="3:18" ht="14.1" customHeight="1" x14ac:dyDescent="0.2">
      <c r="C135" s="483" t="s">
        <v>6364</v>
      </c>
      <c r="I135" s="506" t="s">
        <v>6365</v>
      </c>
      <c r="J135" s="499">
        <v>0</v>
      </c>
      <c r="K135" s="499">
        <v>0</v>
      </c>
      <c r="L135" s="512" t="str">
        <f>IF(K135=0,"0,00% ",(K135-J135)/K135)</f>
        <v xml:space="preserve">0,00% </v>
      </c>
      <c r="M135" s="499">
        <v>0</v>
      </c>
      <c r="N135" s="512" t="str">
        <f>IF(M135=0,"0,00% ",(M135-K135)/M135)</f>
        <v xml:space="preserve">0,00% </v>
      </c>
      <c r="O135" s="499">
        <v>0</v>
      </c>
      <c r="P135" s="512" t="str">
        <f>IF(O135=0,"0,00% ",(O135-M135)/O135)</f>
        <v xml:space="preserve">0,00% </v>
      </c>
      <c r="Q135" s="484" t="str">
        <f>IF(O135=0,"R$0,0",(J135+K135+M135+O135)/4)</f>
        <v>R$0,0</v>
      </c>
      <c r="R135" s="495">
        <f>IF(P135=0,"R$0,0%",(L135+N135+P135)/3)</f>
        <v>0</v>
      </c>
    </row>
    <row r="136" spans="3:18" ht="14.1" customHeight="1" x14ac:dyDescent="0.25">
      <c r="J136" s="499"/>
      <c r="K136" s="499"/>
      <c r="M136" s="499"/>
      <c r="O136" s="499"/>
    </row>
    <row r="137" spans="3:18" ht="14.1" customHeight="1" x14ac:dyDescent="0.2">
      <c r="C137" s="483" t="s">
        <v>6302</v>
      </c>
      <c r="I137" s="506" t="s">
        <v>1090</v>
      </c>
      <c r="J137" s="499">
        <v>0</v>
      </c>
      <c r="K137" s="499">
        <v>0</v>
      </c>
      <c r="L137" s="512" t="str">
        <f>IF(K137=0,"0,00% ",(K137-J137)/K137)</f>
        <v xml:space="preserve">0,00% </v>
      </c>
      <c r="M137" s="499">
        <v>0</v>
      </c>
      <c r="N137" s="512" t="str">
        <f>IF(M137=0,"0,00% ",(M137-K137)/M137)</f>
        <v xml:space="preserve">0,00% </v>
      </c>
      <c r="O137" s="499">
        <v>0</v>
      </c>
      <c r="P137" s="512" t="str">
        <f>IF(O137=0,"0,00% ",(O137-M137)/O137)</f>
        <v xml:space="preserve">0,00% </v>
      </c>
      <c r="Q137" s="484" t="str">
        <f>IF(O137=0,"R$0,0",(J137+K137+M137+O137)/4)</f>
        <v>R$0,0</v>
      </c>
      <c r="R137" s="495">
        <f>IF(P137=0,"R$0,0%",(L137+N137+P137)/3)</f>
        <v>0</v>
      </c>
    </row>
    <row r="138" spans="3:18" ht="14.1" customHeight="1" x14ac:dyDescent="0.25">
      <c r="J138" s="499"/>
      <c r="K138" s="499"/>
      <c r="M138" s="499"/>
      <c r="O138" s="499"/>
    </row>
    <row r="139" spans="3:18" ht="14.1" customHeight="1" x14ac:dyDescent="0.2">
      <c r="C139" s="483" t="s">
        <v>6278</v>
      </c>
      <c r="I139" s="506" t="s">
        <v>1161</v>
      </c>
      <c r="J139" s="499">
        <v>0</v>
      </c>
      <c r="K139" s="499">
        <v>0</v>
      </c>
      <c r="L139" s="512" t="str">
        <f>IF(K139=0,"0,00% ",(K139-J139)/K139)</f>
        <v xml:space="preserve">0,00% </v>
      </c>
      <c r="M139" s="499">
        <v>0</v>
      </c>
      <c r="N139" s="512" t="str">
        <f>IF(M139=0,"0,00% ",(M139-K139)/M139)</f>
        <v xml:space="preserve">0,00% </v>
      </c>
      <c r="O139" s="499">
        <v>0</v>
      </c>
      <c r="P139" s="512" t="str">
        <f>IF(O139=0,"0,00% ",(O139-M139)/O139)</f>
        <v xml:space="preserve">0,00% </v>
      </c>
      <c r="Q139" s="484" t="str">
        <f>IF(O139=0,"R$0,0",(J139+K139+M139+O139)/4)</f>
        <v>R$0,0</v>
      </c>
      <c r="R139" s="495">
        <f>IF(P139=0,"R$0,0%",(L139+N139+P139)/3)</f>
        <v>0</v>
      </c>
    </row>
    <row r="140" spans="3:18" ht="14.1" customHeight="1" x14ac:dyDescent="0.25">
      <c r="J140" s="499"/>
      <c r="K140" s="499"/>
      <c r="M140" s="499"/>
      <c r="O140" s="499"/>
    </row>
    <row r="141" spans="3:18" ht="14.1" customHeight="1" x14ac:dyDescent="0.2">
      <c r="C141" s="483" t="s">
        <v>6320</v>
      </c>
      <c r="I141" s="506" t="s">
        <v>1105</v>
      </c>
      <c r="J141" s="499">
        <v>0</v>
      </c>
      <c r="K141" s="499">
        <v>0</v>
      </c>
      <c r="L141" s="512" t="str">
        <f>IF(K141=0,"0,00% ",(K141-J141)/K141)</f>
        <v xml:space="preserve">0,00% </v>
      </c>
      <c r="M141" s="499">
        <v>0</v>
      </c>
      <c r="N141" s="512" t="str">
        <f>IF(M141=0,"0,00% ",(M141-K141)/M141)</f>
        <v xml:space="preserve">0,00% </v>
      </c>
      <c r="O141" s="499">
        <v>0</v>
      </c>
      <c r="P141" s="512" t="str">
        <f>IF(O141=0,"0,00% ",(O141-M141)/O141)</f>
        <v xml:space="preserve">0,00% </v>
      </c>
      <c r="Q141" s="484" t="str">
        <f>IF(O141=0,"R$0,0",(J141+K141+M141+O141)/4)</f>
        <v>R$0,0</v>
      </c>
      <c r="R141" s="495">
        <f>IF(P141=0,"R$0,0%",(L141+N141+P141)/3)</f>
        <v>0</v>
      </c>
    </row>
    <row r="142" spans="3:18" ht="14.1" customHeight="1" x14ac:dyDescent="0.25">
      <c r="J142" s="499"/>
      <c r="K142" s="499"/>
      <c r="M142" s="499"/>
      <c r="O142" s="499"/>
    </row>
    <row r="143" spans="3:18" ht="14.1" customHeight="1" x14ac:dyDescent="0.2">
      <c r="C143" s="483" t="s">
        <v>6442</v>
      </c>
      <c r="I143" s="506" t="s">
        <v>6443</v>
      </c>
      <c r="J143" s="499">
        <v>0</v>
      </c>
      <c r="K143" s="499">
        <v>0</v>
      </c>
      <c r="L143" s="512" t="str">
        <f>IF(K143=0,"0,00% ",(K143-J143)/K143)</f>
        <v xml:space="preserve">0,00% </v>
      </c>
      <c r="M143" s="499">
        <v>0</v>
      </c>
      <c r="N143" s="512" t="str">
        <f>IF(M143=0,"0,00% ",(M143-K143)/M143)</f>
        <v xml:space="preserve">0,00% </v>
      </c>
      <c r="O143" s="499">
        <v>0</v>
      </c>
      <c r="P143" s="512" t="str">
        <f>IF(O143=0,"0,00% ",(O143-M143)/O143)</f>
        <v xml:space="preserve">0,00% </v>
      </c>
      <c r="Q143" s="484" t="str">
        <f>IF(O143=0,"R$0,0",(J143+K143+M143+O143)/4)</f>
        <v>R$0,0</v>
      </c>
      <c r="R143" s="495">
        <f>IF(P143=0,"R$0,0%",(L143+N143+P143)/3)</f>
        <v>0</v>
      </c>
    </row>
    <row r="144" spans="3:18" ht="14.1" customHeight="1" x14ac:dyDescent="0.25">
      <c r="J144" s="499"/>
      <c r="K144" s="499"/>
      <c r="M144" s="499" t="s">
        <v>6441</v>
      </c>
      <c r="O144" s="499" t="s">
        <v>6441</v>
      </c>
    </row>
    <row r="145" spans="3:18" ht="14.1" customHeight="1" x14ac:dyDescent="0.2">
      <c r="C145" s="483" t="s">
        <v>6303</v>
      </c>
      <c r="I145" s="506" t="s">
        <v>1016</v>
      </c>
      <c r="J145" s="499">
        <v>0</v>
      </c>
      <c r="K145" s="499">
        <v>0</v>
      </c>
      <c r="L145" s="512" t="str">
        <f>IF(K145=0,"0,00% ",(K145-J145)/K145)</f>
        <v xml:space="preserve">0,00% </v>
      </c>
      <c r="M145" s="499">
        <v>0</v>
      </c>
      <c r="N145" s="512" t="str">
        <f>IF(M145=0,"0,00% ",(M145-K145)/M145)</f>
        <v xml:space="preserve">0,00% </v>
      </c>
      <c r="O145" s="499">
        <v>0</v>
      </c>
      <c r="P145" s="512" t="str">
        <f>IF(O145=0,"0,00% ",(O145-M145)/O145)</f>
        <v xml:space="preserve">0,00% </v>
      </c>
      <c r="Q145" s="484" t="str">
        <f>IF(O145=0,"R$0,0",(J145+K145+M145+O145)/4)</f>
        <v>R$0,0</v>
      </c>
      <c r="R145" s="495">
        <f>IF(P145=0,"R$0,0%",(L145+N145+P145)/3)</f>
        <v>0</v>
      </c>
    </row>
    <row r="146" spans="3:18" ht="14.1" customHeight="1" x14ac:dyDescent="0.25">
      <c r="J146" s="499"/>
      <c r="K146" s="499"/>
      <c r="M146" s="499"/>
      <c r="O146" s="499"/>
    </row>
    <row r="147" spans="3:18" ht="14.1" customHeight="1" x14ac:dyDescent="0.2">
      <c r="C147" s="483" t="s">
        <v>6296</v>
      </c>
      <c r="I147" s="506" t="s">
        <v>1003</v>
      </c>
      <c r="J147" s="499">
        <v>0</v>
      </c>
      <c r="K147" s="499">
        <v>0</v>
      </c>
      <c r="L147" s="512" t="str">
        <f>IF(K147=0,"0,00% ",(K147-J147)/K147)</f>
        <v xml:space="preserve">0,00% </v>
      </c>
      <c r="M147" s="499">
        <v>614.97</v>
      </c>
      <c r="N147" s="512">
        <f>IF(M147=0,"0,00% ",(M147-K147)/M147)</f>
        <v>1</v>
      </c>
      <c r="O147" s="499">
        <v>0</v>
      </c>
      <c r="P147" s="512" t="str">
        <f>IF(O147=0,"0,00% ",(O147-M147)/O147)</f>
        <v xml:space="preserve">0,00% </v>
      </c>
      <c r="Q147" s="484" t="str">
        <f>IF(O147=0,"R$0,0",(J147+K147+M147+O147)/4)</f>
        <v>R$0,0</v>
      </c>
      <c r="R147" s="495">
        <f>IF(P147=0,"R$0,0%",(L147+N147+P147)/3)</f>
        <v>0.33333333333333331</v>
      </c>
    </row>
    <row r="148" spans="3:18" ht="14.1" customHeight="1" x14ac:dyDescent="0.25">
      <c r="J148" s="499"/>
      <c r="K148" s="499"/>
      <c r="M148" s="499"/>
      <c r="O148" s="499"/>
    </row>
    <row r="149" spans="3:18" ht="14.1" customHeight="1" x14ac:dyDescent="0.2">
      <c r="C149" s="483" t="s">
        <v>6279</v>
      </c>
      <c r="I149" s="506" t="s">
        <v>5106</v>
      </c>
      <c r="J149" s="499">
        <v>0</v>
      </c>
      <c r="K149" s="499">
        <v>0</v>
      </c>
      <c r="L149" s="512" t="str">
        <f>IF(K149=0,"0,00% ",(K149-J149)/K149)</f>
        <v xml:space="preserve">0,00% </v>
      </c>
      <c r="M149" s="499">
        <v>0</v>
      </c>
      <c r="N149" s="512" t="str">
        <f>IF(M149=0,"0,00% ",(M149-K149)/M149)</f>
        <v xml:space="preserve">0,00% </v>
      </c>
      <c r="O149" s="499">
        <v>0</v>
      </c>
      <c r="P149" s="512" t="str">
        <f>IF(O149=0,"0,00% ",(O149-M149)/O149)</f>
        <v xml:space="preserve">0,00% </v>
      </c>
      <c r="Q149" s="484" t="str">
        <f>IF(O149=0,"R$0,0",(J149+K149+M149+O149)/4)</f>
        <v>R$0,0</v>
      </c>
      <c r="R149" s="495">
        <f>IF(P149=0,"R$0,0%",(L149+N149+P149)/3)</f>
        <v>0</v>
      </c>
    </row>
    <row r="150" spans="3:18" ht="14.1" customHeight="1" x14ac:dyDescent="0.25">
      <c r="J150" s="499"/>
      <c r="K150" s="499"/>
      <c r="M150" s="499"/>
      <c r="O150" s="499"/>
    </row>
    <row r="151" spans="3:18" ht="14.1" customHeight="1" x14ac:dyDescent="0.2">
      <c r="C151" s="483" t="s">
        <v>6327</v>
      </c>
      <c r="I151" s="506" t="s">
        <v>6366</v>
      </c>
      <c r="J151" s="499">
        <v>0</v>
      </c>
      <c r="K151" s="499">
        <v>0</v>
      </c>
      <c r="L151" s="512" t="str">
        <f>IF(K151=0,"0,00% ",(K151-J151)/K151)</f>
        <v xml:space="preserve">0,00% </v>
      </c>
      <c r="M151" s="499">
        <v>0</v>
      </c>
      <c r="N151" s="512" t="str">
        <f>IF(M151=0,"0,00% ",(M151-K151)/M151)</f>
        <v xml:space="preserve">0,00% </v>
      </c>
      <c r="O151" s="499">
        <v>0</v>
      </c>
      <c r="P151" s="512" t="str">
        <f>IF(O151=0,"0,00% ",(O151-M151)/O151)</f>
        <v xml:space="preserve">0,00% </v>
      </c>
      <c r="Q151" s="484" t="str">
        <f>IF(O151=0,"R$0,0",(J151+K151+M151+O151)/4)</f>
        <v>R$0,0</v>
      </c>
      <c r="R151" s="495">
        <f>IF(P151=0,"R$0,0%",(L151+N151+P151)/3)</f>
        <v>0</v>
      </c>
    </row>
    <row r="152" spans="3:18" ht="14.1" customHeight="1" x14ac:dyDescent="0.25">
      <c r="J152" s="499"/>
      <c r="K152" s="499"/>
      <c r="M152" s="499"/>
      <c r="O152" s="499"/>
    </row>
    <row r="153" spans="3:18" ht="14.1" customHeight="1" x14ac:dyDescent="0.2">
      <c r="C153" s="483" t="s">
        <v>6321</v>
      </c>
      <c r="I153" s="506" t="s">
        <v>5111</v>
      </c>
      <c r="J153" s="499">
        <v>0</v>
      </c>
      <c r="K153" s="499">
        <v>0</v>
      </c>
      <c r="L153" s="512" t="str">
        <f>IF(K153=0,"0,00% ",(K153-J153)/K153)</f>
        <v xml:space="preserve">0,00% </v>
      </c>
      <c r="M153" s="499">
        <v>0</v>
      </c>
      <c r="N153" s="512" t="str">
        <f>IF(M153=0,"0,00% ",(M153-K153)/M153)</f>
        <v xml:space="preserve">0,00% </v>
      </c>
      <c r="O153" s="499">
        <v>0</v>
      </c>
      <c r="P153" s="512" t="str">
        <f>IF(O153=0,"0,00% ",(O153-M153)/O153)</f>
        <v xml:space="preserve">0,00% </v>
      </c>
      <c r="Q153" s="484" t="str">
        <f>IF(O153=0,"R$0,0",(J153+K153+M153+O153)/4)</f>
        <v>R$0,0</v>
      </c>
      <c r="R153" s="495">
        <f>IF(P153=0,"R$0,0%",(L153+N153+P153)/3)</f>
        <v>0</v>
      </c>
    </row>
    <row r="154" spans="3:18" ht="14.1" customHeight="1" x14ac:dyDescent="0.25">
      <c r="J154" s="499"/>
      <c r="K154" s="499"/>
      <c r="M154" s="499"/>
      <c r="O154" s="499"/>
    </row>
    <row r="155" spans="3:18" ht="14.1" customHeight="1" x14ac:dyDescent="0.2">
      <c r="C155" s="483" t="s">
        <v>6367</v>
      </c>
      <c r="I155" s="506" t="s">
        <v>1002</v>
      </c>
      <c r="J155" s="499">
        <v>0</v>
      </c>
      <c r="K155" s="499">
        <v>32.450000000000003</v>
      </c>
      <c r="L155" s="512">
        <f>IF(K155=0,"0,00% ",(K155-J155)/K155)</f>
        <v>1</v>
      </c>
      <c r="M155" s="499">
        <v>208.21</v>
      </c>
      <c r="N155" s="512">
        <f>IF(M155=0,"0,00% ",(M155-K155)/M155)</f>
        <v>0.84414773545939192</v>
      </c>
      <c r="O155" s="499">
        <v>32.450000000000003</v>
      </c>
      <c r="P155" s="512">
        <f>IF(O155=0,"0,00% ",(O155-M155)/O155)</f>
        <v>-5.4163328197226495</v>
      </c>
      <c r="Q155" s="484">
        <f>IF(O155=0,"R$0,0",(J155+K155+M155+O155)/4)</f>
        <v>68.277500000000003</v>
      </c>
      <c r="R155" s="495">
        <f>IF(P155=0,"R$0,0%",(L155+N155+P155)/3)</f>
        <v>-1.1907283614210857</v>
      </c>
    </row>
    <row r="156" spans="3:18" ht="14.1" customHeight="1" x14ac:dyDescent="0.25">
      <c r="J156" s="499"/>
      <c r="K156" s="499"/>
      <c r="M156" s="499"/>
      <c r="O156" s="499"/>
    </row>
    <row r="157" spans="3:18" ht="14.1" customHeight="1" x14ac:dyDescent="0.2">
      <c r="C157" s="483" t="s">
        <v>6368</v>
      </c>
      <c r="I157" s="506" t="s">
        <v>6369</v>
      </c>
      <c r="J157" s="499">
        <v>0</v>
      </c>
      <c r="K157" s="499">
        <v>216.8</v>
      </c>
      <c r="L157" s="512">
        <f>IF(K157=0,"0,00% ",(K157-J157)/K157)</f>
        <v>1</v>
      </c>
      <c r="M157" s="499">
        <v>1474.44</v>
      </c>
      <c r="N157" s="512">
        <f>IF(M157=0,"0,00% ",(M157-K157)/M157)</f>
        <v>0.85296112422343406</v>
      </c>
      <c r="O157" s="499">
        <v>216.8</v>
      </c>
      <c r="P157" s="512">
        <f>IF(O157=0,"0,00% ",(O157-M157)/O157)</f>
        <v>-5.8009225092250922</v>
      </c>
      <c r="Q157" s="484">
        <f>IF(O157=0,"R$0,0",(J157+K157+M157+O157)/4)</f>
        <v>477.01</v>
      </c>
      <c r="R157" s="495">
        <f>IF(P157=0,"R$0,0%",(L157+N157+P157)/3)</f>
        <v>-1.3159871283338862</v>
      </c>
    </row>
    <row r="158" spans="3:18" ht="14.1" customHeight="1" x14ac:dyDescent="0.25">
      <c r="J158" s="499"/>
      <c r="K158" s="499"/>
      <c r="M158" s="499"/>
      <c r="O158" s="499"/>
    </row>
    <row r="159" spans="3:18" ht="14.1" customHeight="1" x14ac:dyDescent="0.2">
      <c r="C159" s="483" t="s">
        <v>6370</v>
      </c>
      <c r="I159" s="506" t="s">
        <v>1015</v>
      </c>
      <c r="J159" s="499">
        <v>0</v>
      </c>
      <c r="K159" s="499">
        <v>0</v>
      </c>
      <c r="L159" s="512" t="str">
        <f>IF(K159=0,"0,00% ",(K159-J159)/K159)</f>
        <v xml:space="preserve">0,00% </v>
      </c>
      <c r="M159" s="499">
        <v>0</v>
      </c>
      <c r="N159" s="512" t="str">
        <f>IF(M159=0,"0,00% ",(M159-K159)/M159)</f>
        <v xml:space="preserve">0,00% </v>
      </c>
      <c r="O159" s="499">
        <v>0</v>
      </c>
      <c r="P159" s="512" t="str">
        <f>IF(O159=0,"0,00% ",(O159-M159)/O159)</f>
        <v xml:space="preserve">0,00% </v>
      </c>
      <c r="Q159" s="484" t="str">
        <f>IF(O159=0,"R$0,0",(J159+K159+M159+O159)/4)</f>
        <v>R$0,0</v>
      </c>
      <c r="R159" s="495">
        <f>IF(P159=0,"R$0,0%",(L159+N159+P159)/3)</f>
        <v>0</v>
      </c>
    </row>
    <row r="160" spans="3:18" ht="14.1" customHeight="1" x14ac:dyDescent="0.25">
      <c r="J160" s="499"/>
      <c r="K160" s="499"/>
      <c r="M160" s="499"/>
      <c r="O160" s="499"/>
    </row>
    <row r="161" spans="3:18" ht="14.1" customHeight="1" x14ac:dyDescent="0.2">
      <c r="C161" s="483" t="s">
        <v>6297</v>
      </c>
      <c r="I161" s="506" t="s">
        <v>6371</v>
      </c>
      <c r="J161" s="499">
        <v>0</v>
      </c>
      <c r="K161" s="499">
        <v>0</v>
      </c>
      <c r="L161" s="512" t="str">
        <f>IF(K161=0,"0,00% ",(K161-J161)/K161)</f>
        <v xml:space="preserve">0,00% </v>
      </c>
      <c r="M161" s="499">
        <v>3936.43</v>
      </c>
      <c r="N161" s="512">
        <f>IF(M161=0,"0,00% ",(M161-K161)/M161)</f>
        <v>1</v>
      </c>
      <c r="O161" s="499">
        <v>0</v>
      </c>
      <c r="P161" s="512" t="str">
        <f>IF(O161=0,"0,00% ",(O161-M161)/O161)</f>
        <v xml:space="preserve">0,00% </v>
      </c>
      <c r="Q161" s="484" t="str">
        <f>IF(O161=0,"R$0,0",(J161+K161+M161+O161)/4)</f>
        <v>R$0,0</v>
      </c>
      <c r="R161" s="495">
        <f>IF(P161=0,"R$0,0%",(L161+N161+P161)/3)</f>
        <v>0.33333333333333331</v>
      </c>
    </row>
    <row r="162" spans="3:18" ht="14.1" customHeight="1" x14ac:dyDescent="0.25">
      <c r="I162" s="506"/>
      <c r="J162" s="499"/>
      <c r="K162" s="499"/>
      <c r="M162" s="499"/>
      <c r="O162" s="499"/>
    </row>
    <row r="163" spans="3:18" ht="14.1" customHeight="1" x14ac:dyDescent="0.2">
      <c r="C163" s="483" t="s">
        <v>6372</v>
      </c>
      <c r="I163" s="506" t="s">
        <v>6373</v>
      </c>
      <c r="J163" s="499">
        <v>0</v>
      </c>
      <c r="K163" s="499">
        <v>0</v>
      </c>
      <c r="L163" s="512" t="str">
        <f>IF(K163=0,"0,00% ",(K163-J163)/K163)</f>
        <v xml:space="preserve">0,00% </v>
      </c>
      <c r="M163" s="499">
        <v>0</v>
      </c>
      <c r="N163" s="512" t="str">
        <f>IF(M163=0,"0,00% ",(M163-K163)/M163)</f>
        <v xml:space="preserve">0,00% </v>
      </c>
      <c r="O163" s="499">
        <v>0</v>
      </c>
      <c r="P163" s="512" t="str">
        <f>IF(O163=0,"0,00% ",(O163-M163)/O163)</f>
        <v xml:space="preserve">0,00% </v>
      </c>
      <c r="Q163" s="484" t="str">
        <f>IF(O163=0,"R$0,0",(J163+K163+M163+O163)/4)</f>
        <v>R$0,0</v>
      </c>
      <c r="R163" s="495">
        <f>IF(P163=0,"R$0,0%",(L163+N163+P163)/3)</f>
        <v>0</v>
      </c>
    </row>
    <row r="164" spans="3:18" ht="14.1" customHeight="1" x14ac:dyDescent="0.25">
      <c r="J164" s="499"/>
      <c r="K164" s="499"/>
      <c r="M164" s="499"/>
      <c r="O164" s="499"/>
    </row>
    <row r="165" spans="3:18" ht="14.1" customHeight="1" x14ac:dyDescent="0.2">
      <c r="C165" s="483" t="s">
        <v>6374</v>
      </c>
      <c r="I165" s="506" t="s">
        <v>1045</v>
      </c>
      <c r="J165" s="499">
        <v>0</v>
      </c>
      <c r="K165" s="499">
        <v>0</v>
      </c>
      <c r="L165" s="512" t="str">
        <f>IF(K165=0,"0,00% ",(K165-J165)/K165)</f>
        <v xml:space="preserve">0,00% </v>
      </c>
      <c r="M165" s="499">
        <v>0</v>
      </c>
      <c r="N165" s="512" t="str">
        <f>IF(M165=0,"0,00% ",(M165-K165)/M165)</f>
        <v xml:space="preserve">0,00% </v>
      </c>
      <c r="O165" s="499">
        <v>0</v>
      </c>
      <c r="P165" s="512" t="str">
        <f>IF(O165=0,"0,00% ",(O165-M165)/O165)</f>
        <v xml:space="preserve">0,00% </v>
      </c>
      <c r="Q165" s="484" t="str">
        <f>IF(O165=0,"R$0,0",(J165+K165+M165+O165)/4)</f>
        <v>R$0,0</v>
      </c>
      <c r="R165" s="495">
        <f>IF(P165=0,"R$0,0%",(L165+N165+P165)/3)</f>
        <v>0</v>
      </c>
    </row>
    <row r="166" spans="3:18" ht="14.1" customHeight="1" x14ac:dyDescent="0.25">
      <c r="J166" s="499"/>
      <c r="K166" s="499"/>
      <c r="M166" s="499"/>
      <c r="O166" s="499"/>
    </row>
    <row r="167" spans="3:18" ht="14.1" customHeight="1" x14ac:dyDescent="0.2">
      <c r="C167" s="483" t="s">
        <v>6309</v>
      </c>
      <c r="I167" s="506" t="s">
        <v>5126</v>
      </c>
      <c r="J167" s="499">
        <v>0</v>
      </c>
      <c r="K167" s="499">
        <v>0</v>
      </c>
      <c r="L167" s="512" t="str">
        <f>IF(K167=0,"0,00% ",(K167-J167)/K167)</f>
        <v xml:space="preserve">0,00% </v>
      </c>
      <c r="M167" s="499">
        <v>0</v>
      </c>
      <c r="N167" s="512" t="str">
        <f>IF(M167=0,"0,00% ",(M167-K167)/M167)</f>
        <v xml:space="preserve">0,00% </v>
      </c>
      <c r="O167" s="499">
        <v>0</v>
      </c>
      <c r="P167" s="512" t="str">
        <f>IF(O167=0,"0,00% ",(O167-M167)/O167)</f>
        <v xml:space="preserve">0,00% </v>
      </c>
      <c r="Q167" s="484" t="str">
        <f>IF(O167=0,"R$0,0",(J167+K167+M167+O167)/4)</f>
        <v>R$0,0</v>
      </c>
      <c r="R167" s="495">
        <f>IF(P167=0,"R$0,0%",(L167+N167+P167)/3)</f>
        <v>0</v>
      </c>
    </row>
    <row r="168" spans="3:18" ht="14.1" customHeight="1" x14ac:dyDescent="0.25">
      <c r="J168" s="499"/>
      <c r="K168" s="499"/>
      <c r="M168" s="499"/>
      <c r="O168" s="499"/>
    </row>
    <row r="169" spans="3:18" ht="14.1" customHeight="1" x14ac:dyDescent="0.2">
      <c r="C169" s="483" t="s">
        <v>6375</v>
      </c>
      <c r="I169" s="506" t="s">
        <v>1197</v>
      </c>
      <c r="J169" s="499">
        <v>0</v>
      </c>
      <c r="K169" s="499">
        <v>0</v>
      </c>
      <c r="L169" s="512" t="str">
        <f>IF(K169=0,"0,00% ",(K169-J169)/K169)</f>
        <v xml:space="preserve">0,00% </v>
      </c>
      <c r="M169" s="499">
        <v>0</v>
      </c>
      <c r="N169" s="512" t="str">
        <f>IF(M169=0,"0,00% ",(M169-K169)/M169)</f>
        <v xml:space="preserve">0,00% </v>
      </c>
      <c r="O169" s="499">
        <v>0</v>
      </c>
      <c r="P169" s="512" t="str">
        <f>IF(O169=0,"0,00% ",(O169-M169)/O169)</f>
        <v xml:space="preserve">0,00% </v>
      </c>
      <c r="Q169" s="484" t="str">
        <f>IF(O169=0,"R$0,0",(J169+K169+M169+O169)/4)</f>
        <v>R$0,0</v>
      </c>
      <c r="R169" s="495">
        <f>IF(P169=0,"R$0,0%",(L169+N169+P169)/3)</f>
        <v>0</v>
      </c>
    </row>
    <row r="170" spans="3:18" ht="14.1" customHeight="1" x14ac:dyDescent="0.25">
      <c r="J170" s="499"/>
      <c r="K170" s="499"/>
      <c r="M170" s="499"/>
      <c r="O170" s="499"/>
    </row>
    <row r="171" spans="3:18" ht="14.1" customHeight="1" x14ac:dyDescent="0.2">
      <c r="C171" s="483" t="s">
        <v>6328</v>
      </c>
      <c r="I171" s="506" t="s">
        <v>1108</v>
      </c>
      <c r="J171" s="499">
        <v>0</v>
      </c>
      <c r="K171" s="499">
        <v>0</v>
      </c>
      <c r="L171" s="512" t="str">
        <f>IF(K171=0,"0,00% ",(K171-J171)/K171)</f>
        <v xml:space="preserve">0,00% </v>
      </c>
      <c r="M171" s="499">
        <v>0</v>
      </c>
      <c r="N171" s="512" t="str">
        <f>IF(M171=0,"0,00% ",(M171-K171)/M171)</f>
        <v xml:space="preserve">0,00% </v>
      </c>
      <c r="O171" s="499">
        <v>0</v>
      </c>
      <c r="P171" s="512" t="str">
        <f>IF(O171=0,"0,00% ",(O171-M171)/O171)</f>
        <v xml:space="preserve">0,00% </v>
      </c>
      <c r="Q171" s="484" t="str">
        <f>IF(O171=0,"R$0,0",(J171+K171+M171+O171)/4)</f>
        <v>R$0,0</v>
      </c>
      <c r="R171" s="495">
        <f>IF(P171=0,"R$0,0%",(L171+N171+P171)/3)</f>
        <v>0</v>
      </c>
    </row>
    <row r="172" spans="3:18" ht="14.1" customHeight="1" x14ac:dyDescent="0.25">
      <c r="J172" s="499"/>
      <c r="K172" s="499"/>
      <c r="M172" s="499"/>
      <c r="O172" s="499"/>
    </row>
    <row r="173" spans="3:18" ht="14.1" customHeight="1" x14ac:dyDescent="0.2">
      <c r="C173" s="483" t="s">
        <v>6376</v>
      </c>
      <c r="I173" s="506" t="s">
        <v>6377</v>
      </c>
      <c r="J173" s="499">
        <v>0</v>
      </c>
      <c r="K173" s="499">
        <v>0</v>
      </c>
      <c r="L173" s="512" t="str">
        <f>IF(K173=0,"0,00% ",(K173-J173)/K173)</f>
        <v xml:space="preserve">0,00% </v>
      </c>
      <c r="M173" s="499">
        <v>0</v>
      </c>
      <c r="N173" s="512" t="str">
        <f>IF(M173=0,"0,00% ",(M173-K173)/M173)</f>
        <v xml:space="preserve">0,00% </v>
      </c>
      <c r="O173" s="499">
        <v>0</v>
      </c>
      <c r="P173" s="512" t="str">
        <f>IF(O173=0,"0,00% ",(O173-M173)/O173)</f>
        <v xml:space="preserve">0,00% </v>
      </c>
      <c r="Q173" s="484" t="str">
        <f>IF(O173=0,"R$0,0",(J173+K173+M173+O173)/4)</f>
        <v>R$0,0</v>
      </c>
      <c r="R173" s="495">
        <f>IF(P173=0,"R$0,0%",(L173+N173+P173)/3)</f>
        <v>0</v>
      </c>
    </row>
    <row r="174" spans="3:18" ht="14.1" customHeight="1" x14ac:dyDescent="0.25">
      <c r="J174" s="499"/>
      <c r="K174" s="499"/>
      <c r="M174" s="499"/>
      <c r="O174" s="499"/>
    </row>
    <row r="175" spans="3:18" ht="14.1" customHeight="1" x14ac:dyDescent="0.2">
      <c r="C175" s="483" t="s">
        <v>6333</v>
      </c>
      <c r="I175" s="506" t="s">
        <v>1089</v>
      </c>
      <c r="J175" s="499">
        <v>0</v>
      </c>
      <c r="K175" s="499">
        <v>0</v>
      </c>
      <c r="L175" s="512" t="str">
        <f>IF(K175=0,"0,00% ",(K175-J175)/K175)</f>
        <v xml:space="preserve">0,00% </v>
      </c>
      <c r="M175" s="499">
        <v>0</v>
      </c>
      <c r="N175" s="512" t="str">
        <f>IF(M175=0,"0,00% ",(M175-K175)/M175)</f>
        <v xml:space="preserve">0,00% </v>
      </c>
      <c r="O175" s="499">
        <v>0</v>
      </c>
      <c r="P175" s="512" t="str">
        <f>IF(O175=0,"0,00% ",(O175-M175)/O175)</f>
        <v xml:space="preserve">0,00% </v>
      </c>
      <c r="Q175" s="484" t="str">
        <f>IF(O175=0,"R$0,0",(J175+K175+M175+O175)/4)</f>
        <v>R$0,0</v>
      </c>
      <c r="R175" s="495">
        <f>IF(P175=0,"R$0,0%",(L175+N175+P175)/3)</f>
        <v>0</v>
      </c>
    </row>
    <row r="176" spans="3:18" ht="14.1" customHeight="1" x14ac:dyDescent="0.25">
      <c r="J176" s="499"/>
      <c r="K176" s="499"/>
      <c r="M176" s="499"/>
      <c r="O176" s="499"/>
    </row>
    <row r="177" spans="3:18" ht="14.1" customHeight="1" x14ac:dyDescent="0.2">
      <c r="C177" s="483" t="s">
        <v>6311</v>
      </c>
      <c r="I177" s="506" t="s">
        <v>1201</v>
      </c>
      <c r="J177" s="499">
        <v>0</v>
      </c>
      <c r="K177" s="499">
        <v>0</v>
      </c>
      <c r="L177" s="512" t="str">
        <f>IF(K177=0,"0,00% ",(K177-J177)/K177)</f>
        <v xml:space="preserve">0,00% </v>
      </c>
      <c r="M177" s="499">
        <v>0</v>
      </c>
      <c r="N177" s="512" t="str">
        <f>IF(M177=0,"0,00% ",(M177-K177)/M177)</f>
        <v xml:space="preserve">0,00% </v>
      </c>
      <c r="O177" s="499">
        <v>0</v>
      </c>
      <c r="P177" s="512" t="str">
        <f>IF(O177=0,"0,00% ",(O177-M177)/O177)</f>
        <v xml:space="preserve">0,00% </v>
      </c>
      <c r="Q177" s="484" t="str">
        <f>IF(O177=0,"R$0,0",(J177+K177+M177+O177)/4)</f>
        <v>R$0,0</v>
      </c>
      <c r="R177" s="495">
        <f>IF(P177=0,"R$0,0%",(L177+N177+P177)/3)</f>
        <v>0</v>
      </c>
    </row>
    <row r="178" spans="3:18" ht="14.1" customHeight="1" x14ac:dyDescent="0.25">
      <c r="J178" s="499"/>
      <c r="K178" s="499"/>
      <c r="M178" s="499"/>
      <c r="O178" s="499"/>
    </row>
    <row r="179" spans="3:18" ht="14.1" customHeight="1" x14ac:dyDescent="0.2">
      <c r="C179" s="483" t="s">
        <v>6378</v>
      </c>
      <c r="I179" s="506" t="s">
        <v>5149</v>
      </c>
      <c r="J179" s="499">
        <v>0</v>
      </c>
      <c r="K179" s="499">
        <v>0</v>
      </c>
      <c r="L179" s="512" t="str">
        <f>IF(K179=0,"0,00% ",(K179-J179)/K179)</f>
        <v xml:space="preserve">0,00% </v>
      </c>
      <c r="M179" s="499">
        <v>0</v>
      </c>
      <c r="N179" s="512" t="str">
        <f>IF(M179=0,"0,00% ",(M179-K179)/M179)</f>
        <v xml:space="preserve">0,00% </v>
      </c>
      <c r="O179" s="499">
        <v>0</v>
      </c>
      <c r="P179" s="512" t="str">
        <f>IF(O179=0,"0,00% ",(O179-M179)/O179)</f>
        <v xml:space="preserve">0,00% </v>
      </c>
      <c r="Q179" s="484" t="str">
        <f>IF(O179=0,"R$0,0",(J179+K179+M179+O179)/4)</f>
        <v>R$0,0</v>
      </c>
      <c r="R179" s="495">
        <f>IF(P179=0,"R$0,0%",(L179+N179+P179)/3)</f>
        <v>0</v>
      </c>
    </row>
    <row r="180" spans="3:18" ht="14.1" customHeight="1" x14ac:dyDescent="0.25">
      <c r="J180" s="499"/>
      <c r="K180" s="499"/>
      <c r="M180" s="499"/>
      <c r="O180" s="499"/>
    </row>
    <row r="181" spans="3:18" ht="14.1" customHeight="1" x14ac:dyDescent="0.2">
      <c r="C181" s="483" t="s">
        <v>6444</v>
      </c>
      <c r="I181" s="506" t="s">
        <v>6445</v>
      </c>
      <c r="J181" s="499">
        <v>0</v>
      </c>
      <c r="K181" s="499">
        <v>0</v>
      </c>
      <c r="L181" s="512" t="str">
        <f>IF(K181=0,"0,00% ",(K181-J181)/K181)</f>
        <v xml:space="preserve">0,00% </v>
      </c>
      <c r="M181" s="499">
        <v>0</v>
      </c>
      <c r="N181" s="512" t="str">
        <f>IF(M181=0,"0,00% ",(M181-K181)/M181)</f>
        <v xml:space="preserve">0,00% </v>
      </c>
      <c r="O181" s="499">
        <v>0</v>
      </c>
      <c r="P181" s="512" t="str">
        <f>IF(O181=0,"0,00% ",(O181-M181)/O181)</f>
        <v xml:space="preserve">0,00% </v>
      </c>
      <c r="Q181" s="484" t="str">
        <f>IF(O181=0,"R$0,0",(J181+K181+M181+O181)/4)</f>
        <v>R$0,0</v>
      </c>
      <c r="R181" s="495">
        <f>IF(P181=0,"R$0,0%",(L181+N181+P181)/3)</f>
        <v>0</v>
      </c>
    </row>
    <row r="182" spans="3:18" ht="14.1" customHeight="1" x14ac:dyDescent="0.25">
      <c r="J182" s="499"/>
      <c r="K182" s="499"/>
      <c r="M182" s="499"/>
      <c r="O182" s="499"/>
    </row>
    <row r="183" spans="3:18" ht="14.1" customHeight="1" x14ac:dyDescent="0.2">
      <c r="C183" s="483" t="s">
        <v>6280</v>
      </c>
      <c r="I183" s="506" t="s">
        <v>4202</v>
      </c>
      <c r="J183" s="499">
        <v>6327.5</v>
      </c>
      <c r="K183" s="499">
        <v>4624.0600000000004</v>
      </c>
      <c r="L183" s="512">
        <f>IF(K183=0,"0,00% ",(K183-J183)/K183)</f>
        <v>-0.36838622336215349</v>
      </c>
      <c r="M183" s="499">
        <v>537</v>
      </c>
      <c r="N183" s="512">
        <f>IF(M183=0,"0,00% ",(M183-K183)/M183)</f>
        <v>-7.6109124767225333</v>
      </c>
      <c r="O183" s="499">
        <v>4624.0600000000004</v>
      </c>
      <c r="P183" s="512">
        <f>IF(O183=0,"0,00% ",(O183-M183)/O183)</f>
        <v>0.88386828890628588</v>
      </c>
      <c r="Q183" s="484">
        <f>IF(O183=0,"R$0,0",(J183+K183+M183+O183)/4)</f>
        <v>4028.1550000000007</v>
      </c>
      <c r="R183" s="495">
        <f>IF(P183=0,"R$0,0%",(L183+N183+P183)/3)</f>
        <v>-2.3651434703928005</v>
      </c>
    </row>
    <row r="184" spans="3:18" ht="14.1" customHeight="1" x14ac:dyDescent="0.25">
      <c r="J184" s="499"/>
      <c r="K184" s="499"/>
      <c r="M184" s="499"/>
      <c r="O184" s="499"/>
    </row>
    <row r="185" spans="3:18" s="492" customFormat="1" ht="14.1" customHeight="1" x14ac:dyDescent="0.25">
      <c r="C185" s="492" t="s">
        <v>6257</v>
      </c>
      <c r="I185" s="500" t="s">
        <v>1153</v>
      </c>
      <c r="J185" s="501">
        <f>J187+J189</f>
        <v>0</v>
      </c>
      <c r="K185" s="501">
        <f>K187+K189</f>
        <v>0</v>
      </c>
      <c r="L185" s="489" t="str">
        <f>IF(K185=0,"0,00% ",(K185-J185)/K185)</f>
        <v xml:space="preserve">0,00% </v>
      </c>
      <c r="M185" s="501">
        <f>M187+M189</f>
        <v>0</v>
      </c>
      <c r="N185" s="489" t="str">
        <f>IF(M185=0,"0,00% ",(M185-K185)/M185)</f>
        <v xml:space="preserve">0,00% </v>
      </c>
      <c r="O185" s="501">
        <f>O187+O189</f>
        <v>0</v>
      </c>
      <c r="P185" s="489" t="str">
        <f>IF(O185=0,"0,00% ",(O185-M185)/O185)</f>
        <v xml:space="preserve">0,00% </v>
      </c>
      <c r="Q185" s="490" t="str">
        <f>IF(O185=0,"R$0,0",(J185+K185+M185+O185)/4)</f>
        <v>R$0,0</v>
      </c>
      <c r="R185" s="491">
        <f>IF(P185=0,"R$0,0%",(L185+N185+P185)/3)</f>
        <v>0</v>
      </c>
    </row>
    <row r="186" spans="3:18" ht="14.1" customHeight="1" x14ac:dyDescent="0.25">
      <c r="J186" s="499"/>
      <c r="K186" s="499"/>
      <c r="M186" s="499"/>
      <c r="O186" s="499"/>
    </row>
    <row r="187" spans="3:18" ht="14.1" customHeight="1" x14ac:dyDescent="0.2">
      <c r="C187" s="483" t="s">
        <v>6314</v>
      </c>
      <c r="I187" s="506" t="s">
        <v>1152</v>
      </c>
      <c r="J187" s="499">
        <v>0</v>
      </c>
      <c r="K187" s="499">
        <v>0</v>
      </c>
      <c r="L187" s="512" t="str">
        <f>IF(K187=0,"0,00% ",(K187-J187)/K187)</f>
        <v xml:space="preserve">0,00% </v>
      </c>
      <c r="M187" s="499">
        <v>0</v>
      </c>
      <c r="N187" s="512" t="str">
        <f>IF(M187=0,"0,00% ",(M187-K187)/M187)</f>
        <v xml:space="preserve">0,00% </v>
      </c>
      <c r="O187" s="499">
        <v>0</v>
      </c>
      <c r="P187" s="512" t="str">
        <f>IF(O187=0,"0,00% ",(O187-M187)/O187)</f>
        <v xml:space="preserve">0,00% </v>
      </c>
      <c r="Q187" s="484" t="str">
        <f>IF(O187=0,"R$0,0",(J187+K187+M187+O187)/4)</f>
        <v>R$0,0</v>
      </c>
      <c r="R187" s="495">
        <f>IF(P187=0,"R$0,0%",(L187+N187+P187)/3)</f>
        <v>0</v>
      </c>
    </row>
    <row r="188" spans="3:18" ht="14.1" customHeight="1" x14ac:dyDescent="0.25">
      <c r="J188" s="499"/>
      <c r="K188" s="499"/>
      <c r="M188" s="499"/>
      <c r="O188" s="499"/>
    </row>
    <row r="189" spans="3:18" ht="14.1" customHeight="1" x14ac:dyDescent="0.2">
      <c r="C189" s="483" t="s">
        <v>6312</v>
      </c>
      <c r="I189" s="506" t="s">
        <v>1258</v>
      </c>
      <c r="J189" s="499">
        <v>0</v>
      </c>
      <c r="K189" s="499">
        <v>0</v>
      </c>
      <c r="L189" s="512" t="str">
        <f>IF(K189=0,"0,00% ",(K189-J189)/K189)</f>
        <v xml:space="preserve">0,00% </v>
      </c>
      <c r="M189" s="499">
        <v>0</v>
      </c>
      <c r="N189" s="512" t="str">
        <f>IF(M189=0,"0,00% ",(M189-K189)/M189)</f>
        <v xml:space="preserve">0,00% </v>
      </c>
      <c r="O189" s="499">
        <v>0</v>
      </c>
      <c r="P189" s="512" t="str">
        <f>IF(O189=0,"0,00% ",(O189-M189)/O189)</f>
        <v xml:space="preserve">0,00% </v>
      </c>
      <c r="Q189" s="484" t="str">
        <f>IF(O189=0,"R$0,0",(J189+K189+M189+O189)/4)</f>
        <v>R$0,0</v>
      </c>
      <c r="R189" s="495">
        <f>IF(P189=0,"R$0,0%",(L189+N189+P189)/3)</f>
        <v>0</v>
      </c>
    </row>
    <row r="190" spans="3:18" ht="14.1" customHeight="1" x14ac:dyDescent="0.25">
      <c r="J190" s="499"/>
      <c r="K190" s="499"/>
      <c r="M190" s="499"/>
      <c r="O190" s="499"/>
    </row>
    <row r="191" spans="3:18" s="492" customFormat="1" ht="14.1" customHeight="1" x14ac:dyDescent="0.25">
      <c r="C191" s="492" t="s">
        <v>6242</v>
      </c>
      <c r="I191" s="500" t="s">
        <v>1021</v>
      </c>
      <c r="J191" s="501">
        <f>J193+J195+J197+J199+J201</f>
        <v>0</v>
      </c>
      <c r="K191" s="501">
        <f>K193+K195+K197+K199+K201</f>
        <v>0</v>
      </c>
      <c r="L191" s="489" t="str">
        <f>IF(K191=0,"0,00% ",(K191-J191)/K191)</f>
        <v xml:space="preserve">0,00% </v>
      </c>
      <c r="M191" s="501">
        <f>M193+M195+M197+M199+M201</f>
        <v>0</v>
      </c>
      <c r="N191" s="489" t="str">
        <f>IF(M191=0,"0,00% ",(M191-K191)/M191)</f>
        <v xml:space="preserve">0,00% </v>
      </c>
      <c r="O191" s="501">
        <f>O193+O195+O197+O199+O201</f>
        <v>0</v>
      </c>
      <c r="P191" s="489" t="str">
        <f>IF(O191=0,"0,00% ",(O191-M191)/O191)</f>
        <v xml:space="preserve">0,00% </v>
      </c>
      <c r="Q191" s="490" t="str">
        <f>IF(O191=0,"R$0,0",(J191+K191+M191+O191)/4)</f>
        <v>R$0,0</v>
      </c>
      <c r="R191" s="491">
        <f>IF(P191=0,"R$0,0%",(L191+N191+P191)/3)</f>
        <v>0</v>
      </c>
    </row>
    <row r="192" spans="3:18" ht="14.1" customHeight="1" x14ac:dyDescent="0.25">
      <c r="J192" s="499"/>
      <c r="K192" s="499"/>
      <c r="M192" s="499"/>
      <c r="O192" s="499"/>
    </row>
    <row r="193" spans="3:18" ht="14.1" customHeight="1" x14ac:dyDescent="0.2">
      <c r="C193" s="483" t="s">
        <v>6338</v>
      </c>
      <c r="I193" s="506" t="s">
        <v>1001</v>
      </c>
      <c r="J193" s="499">
        <v>0</v>
      </c>
      <c r="K193" s="499">
        <v>0</v>
      </c>
      <c r="L193" s="512" t="str">
        <f>IF(K193=0,"0,00% ",(K193-J193)/K193)</f>
        <v xml:space="preserve">0,00% </v>
      </c>
      <c r="M193" s="499">
        <v>0</v>
      </c>
      <c r="N193" s="512" t="str">
        <f>IF(M193=0,"0,00% ",(M193-K193)/M193)</f>
        <v xml:space="preserve">0,00% </v>
      </c>
      <c r="O193" s="499">
        <v>0</v>
      </c>
      <c r="P193" s="512" t="str">
        <f>IF(O193=0,"0,00% ",(O193-M193)/O193)</f>
        <v xml:space="preserve">0,00% </v>
      </c>
      <c r="Q193" s="484" t="str">
        <f>IF(O193=0,"R$0,0",(J193+K193+M193+O193)/4)</f>
        <v>R$0,0</v>
      </c>
      <c r="R193" s="495">
        <f>IF(P193=0,"R$0,0%",(L193+N193+P193)/3)</f>
        <v>0</v>
      </c>
    </row>
    <row r="194" spans="3:18" ht="14.1" customHeight="1" x14ac:dyDescent="0.25">
      <c r="J194" s="499"/>
      <c r="K194" s="499"/>
      <c r="M194" s="499"/>
      <c r="O194" s="499"/>
    </row>
    <row r="195" spans="3:18" ht="14.1" customHeight="1" x14ac:dyDescent="0.2">
      <c r="C195" s="483" t="s">
        <v>6379</v>
      </c>
      <c r="I195" s="506" t="s">
        <v>5159</v>
      </c>
      <c r="J195" s="499">
        <v>0</v>
      </c>
      <c r="K195" s="499">
        <v>0</v>
      </c>
      <c r="L195" s="512" t="str">
        <f>IF(K195=0,"0,00% ",(K195-J195)/K195)</f>
        <v xml:space="preserve">0,00% </v>
      </c>
      <c r="M195" s="499">
        <v>0</v>
      </c>
      <c r="N195" s="512" t="str">
        <f>IF(M195=0,"0,00% ",(M195-K195)/M195)</f>
        <v xml:space="preserve">0,00% </v>
      </c>
      <c r="O195" s="499">
        <v>0</v>
      </c>
      <c r="P195" s="512" t="str">
        <f>IF(O195=0,"0,00% ",(O195-M195)/O195)</f>
        <v xml:space="preserve">0,00% </v>
      </c>
      <c r="Q195" s="484" t="str">
        <f>IF(O195=0,"R$0,0",(J195+K195+M195+O195)/4)</f>
        <v>R$0,0</v>
      </c>
      <c r="R195" s="495">
        <f>IF(P195=0,"R$0,0%",(L195+N195+P195)/3)</f>
        <v>0</v>
      </c>
    </row>
    <row r="196" spans="3:18" ht="14.1" customHeight="1" x14ac:dyDescent="0.25">
      <c r="J196" s="499"/>
      <c r="K196" s="499"/>
      <c r="M196" s="499"/>
      <c r="O196" s="499"/>
    </row>
    <row r="197" spans="3:18" ht="14.1" customHeight="1" x14ac:dyDescent="0.2">
      <c r="C197" s="483" t="s">
        <v>6380</v>
      </c>
      <c r="I197" s="506" t="s">
        <v>1261</v>
      </c>
      <c r="J197" s="499">
        <v>0</v>
      </c>
      <c r="K197" s="499">
        <v>0</v>
      </c>
      <c r="L197" s="512" t="str">
        <f>IF(K197=0,"0,00% ",(K197-J197)/K197)</f>
        <v xml:space="preserve">0,00% </v>
      </c>
      <c r="M197" s="499">
        <v>0</v>
      </c>
      <c r="N197" s="512" t="str">
        <f>IF(M197=0,"0,00% ",(M197-K197)/M197)</f>
        <v xml:space="preserve">0,00% </v>
      </c>
      <c r="O197" s="499">
        <v>0</v>
      </c>
      <c r="P197" s="512" t="str">
        <f>IF(O197=0,"0,00% ",(O197-M197)/O197)</f>
        <v xml:space="preserve">0,00% </v>
      </c>
      <c r="Q197" s="484" t="str">
        <f>IF(O197=0,"R$0,0",(J197+K197+M197+O197)/4)</f>
        <v>R$0,0</v>
      </c>
      <c r="R197" s="495">
        <f>IF(P197=0,"R$0,0%",(L197+N197+P197)/3)</f>
        <v>0</v>
      </c>
    </row>
    <row r="198" spans="3:18" ht="14.1" customHeight="1" x14ac:dyDescent="0.25">
      <c r="J198" s="499"/>
      <c r="K198" s="499"/>
      <c r="M198" s="499"/>
      <c r="O198" s="499"/>
    </row>
    <row r="199" spans="3:18" ht="14.1" customHeight="1" x14ac:dyDescent="0.2">
      <c r="C199" s="483" t="s">
        <v>6381</v>
      </c>
      <c r="I199" s="506" t="s">
        <v>2203</v>
      </c>
      <c r="J199" s="499">
        <v>0</v>
      </c>
      <c r="K199" s="499">
        <v>0</v>
      </c>
      <c r="L199" s="512" t="str">
        <f>IF(K199=0,"0,00% ",(K199-J199)/K199)</f>
        <v xml:space="preserve">0,00% </v>
      </c>
      <c r="M199" s="499">
        <v>0</v>
      </c>
      <c r="N199" s="512" t="str">
        <f>IF(M199=0,"0,00% ",(M199-K199)/M199)</f>
        <v xml:space="preserve">0,00% </v>
      </c>
      <c r="O199" s="499">
        <v>0</v>
      </c>
      <c r="P199" s="512" t="str">
        <f>IF(O199=0,"0,00% ",(O199-M199)/O199)</f>
        <v xml:space="preserve">0,00% </v>
      </c>
      <c r="Q199" s="484" t="str">
        <f>IF(O199=0,"R$0,0",(J199+K199+M199+O199)/4)</f>
        <v>R$0,0</v>
      </c>
      <c r="R199" s="495">
        <f>IF(P199=0,"R$0,0%",(L199+N199+P199)/3)</f>
        <v>0</v>
      </c>
    </row>
    <row r="200" spans="3:18" ht="14.1" customHeight="1" x14ac:dyDescent="0.25">
      <c r="J200" s="499"/>
      <c r="K200" s="499"/>
      <c r="M200" s="499"/>
      <c r="O200" s="499"/>
    </row>
    <row r="201" spans="3:18" ht="14.1" customHeight="1" x14ac:dyDescent="0.2">
      <c r="C201" s="483" t="s">
        <v>6329</v>
      </c>
      <c r="I201" s="506" t="s">
        <v>5168</v>
      </c>
      <c r="J201" s="499">
        <v>0</v>
      </c>
      <c r="K201" s="499">
        <v>0</v>
      </c>
      <c r="L201" s="512" t="str">
        <f>IF(K201=0,"0,00% ",(K201-J201)/K201)</f>
        <v xml:space="preserve">0,00% </v>
      </c>
      <c r="M201" s="499">
        <v>0</v>
      </c>
      <c r="N201" s="512" t="str">
        <f>IF(M201=0,"0,00% ",(M201-K201)/M201)</f>
        <v xml:space="preserve">0,00% </v>
      </c>
      <c r="O201" s="499">
        <v>0</v>
      </c>
      <c r="P201" s="512" t="str">
        <f>IF(O201=0,"0,00% ",(O201-M201)/O201)</f>
        <v xml:space="preserve">0,00% </v>
      </c>
      <c r="Q201" s="484" t="str">
        <f>IF(O201=0,"R$0,0",(J201+K201+M201+O201)/4)</f>
        <v>R$0,0</v>
      </c>
      <c r="R201" s="495">
        <f>IF(P201=0,"R$0,0%",(L201+N201+P201)/3)</f>
        <v>0</v>
      </c>
    </row>
    <row r="202" spans="3:18" ht="14.1" customHeight="1" x14ac:dyDescent="0.25">
      <c r="J202" s="499"/>
      <c r="K202" s="499"/>
      <c r="M202" s="499"/>
      <c r="O202" s="499"/>
    </row>
    <row r="203" spans="3:18" s="492" customFormat="1" ht="14.1" customHeight="1" x14ac:dyDescent="0.25">
      <c r="C203" s="492" t="s">
        <v>6243</v>
      </c>
      <c r="I203" s="500" t="s">
        <v>1044</v>
      </c>
      <c r="J203" s="501">
        <f>J205+J207+J209</f>
        <v>0</v>
      </c>
      <c r="K203" s="501">
        <f>K205+K207+K209</f>
        <v>0</v>
      </c>
      <c r="L203" s="489" t="str">
        <f>IF(K203=0,"0,00% ",(K203-J203)/K203)</f>
        <v xml:space="preserve">0,00% </v>
      </c>
      <c r="M203" s="501">
        <f>M205+M207+M209</f>
        <v>2290.21</v>
      </c>
      <c r="N203" s="489">
        <f>IF(M203=0,"0,00% ",(M203-K203)/M203)</f>
        <v>1</v>
      </c>
      <c r="O203" s="501">
        <f>O205+O207+O209</f>
        <v>0</v>
      </c>
      <c r="P203" s="489" t="str">
        <f>IF(O203=0,"0,00% ",(O203-M203)/O203)</f>
        <v xml:space="preserve">0,00% </v>
      </c>
      <c r="Q203" s="490" t="str">
        <f>IF(O203=0,"R$0,0",(J203+K203+M203+O203)/4)</f>
        <v>R$0,0</v>
      </c>
      <c r="R203" s="491">
        <f>IF(P203=0,"R$0,0%",(L203+N203+P203)/3)</f>
        <v>0.33333333333333331</v>
      </c>
    </row>
    <row r="204" spans="3:18" ht="14.1" customHeight="1" x14ac:dyDescent="0.25">
      <c r="J204" s="499"/>
      <c r="K204" s="499"/>
      <c r="M204" s="499"/>
      <c r="O204" s="499"/>
    </row>
    <row r="205" spans="3:18" ht="14.1" customHeight="1" x14ac:dyDescent="0.2">
      <c r="C205" s="483" t="s">
        <v>6306</v>
      </c>
      <c r="I205" s="506" t="s">
        <v>5170</v>
      </c>
      <c r="J205" s="499">
        <v>0</v>
      </c>
      <c r="K205" s="499">
        <v>0</v>
      </c>
      <c r="L205" s="512" t="str">
        <f>IF(K205=0,"0,00% ",(K205-J205)/K205)</f>
        <v xml:space="preserve">0,00% </v>
      </c>
      <c r="M205" s="499">
        <v>0</v>
      </c>
      <c r="N205" s="512" t="str">
        <f>IF(M205=0,"0,00% ",(M205-K205)/M205)</f>
        <v xml:space="preserve">0,00% </v>
      </c>
      <c r="O205" s="499">
        <v>0</v>
      </c>
      <c r="P205" s="512" t="str">
        <f>IF(O205=0,"0,00% ",(O205-M205)/O205)</f>
        <v xml:space="preserve">0,00% </v>
      </c>
      <c r="Q205" s="484" t="str">
        <f>IF(O205=0,"R$0,0",(J205+K205+M205+O205)/4)</f>
        <v>R$0,0</v>
      </c>
      <c r="R205" s="495">
        <f>IF(P205=0,"R$0,0%",(L205+N205+P205)/3)</f>
        <v>0</v>
      </c>
    </row>
    <row r="206" spans="3:18" ht="14.1" customHeight="1" x14ac:dyDescent="0.25">
      <c r="J206" s="499"/>
      <c r="K206" s="499"/>
      <c r="M206" s="499"/>
      <c r="O206" s="499"/>
    </row>
    <row r="207" spans="3:18" ht="14.1" customHeight="1" x14ac:dyDescent="0.2">
      <c r="C207" s="483" t="s">
        <v>6382</v>
      </c>
      <c r="I207" s="506" t="s">
        <v>1043</v>
      </c>
      <c r="J207" s="499">
        <v>0</v>
      </c>
      <c r="K207" s="499">
        <v>0</v>
      </c>
      <c r="L207" s="512" t="str">
        <f>IF(K207=0,"0,00% ",(K207-J207)/K207)</f>
        <v xml:space="preserve">0,00% </v>
      </c>
      <c r="M207" s="499">
        <v>0</v>
      </c>
      <c r="N207" s="512" t="str">
        <f>IF(M207=0,"0,00% ",(M207-K207)/M207)</f>
        <v xml:space="preserve">0,00% </v>
      </c>
      <c r="O207" s="499">
        <v>0</v>
      </c>
      <c r="P207" s="512" t="str">
        <f>IF(O207=0,"0,00% ",(O207-M207)/O207)</f>
        <v xml:space="preserve">0,00% </v>
      </c>
      <c r="Q207" s="484" t="str">
        <f>IF(O207=0,"R$0,0",(J207+K207+M207+O207)/4)</f>
        <v>R$0,0</v>
      </c>
      <c r="R207" s="495">
        <f>IF(P207=0,"R$0,0%",(L207+N207+P207)/3)</f>
        <v>0</v>
      </c>
    </row>
    <row r="208" spans="3:18" ht="14.1" customHeight="1" x14ac:dyDescent="0.25">
      <c r="J208" s="499"/>
      <c r="K208" s="499"/>
      <c r="M208" s="499"/>
      <c r="O208" s="499"/>
    </row>
    <row r="209" spans="3:18" ht="14.1" customHeight="1" x14ac:dyDescent="0.2">
      <c r="C209" s="483" t="s">
        <v>6383</v>
      </c>
      <c r="I209" s="506" t="s">
        <v>5175</v>
      </c>
      <c r="J209" s="499">
        <v>0</v>
      </c>
      <c r="K209" s="499">
        <v>0</v>
      </c>
      <c r="L209" s="512" t="str">
        <f>IF(K209=0,"0,00% ",(K209-J209)/K209)</f>
        <v xml:space="preserve">0,00% </v>
      </c>
      <c r="M209" s="499">
        <v>2290.21</v>
      </c>
      <c r="N209" s="512">
        <f>IF(M209=0,"0,00% ",(M209-K209)/M209)</f>
        <v>1</v>
      </c>
      <c r="O209" s="499">
        <v>0</v>
      </c>
      <c r="P209" s="512" t="str">
        <f>IF(O209=0,"0,00% ",(O209-M209)/O209)</f>
        <v xml:space="preserve">0,00% </v>
      </c>
      <c r="Q209" s="484" t="str">
        <f>IF(O209=0,"R$0,0",(J209+K209+M209+O209)/4)</f>
        <v>R$0,0</v>
      </c>
      <c r="R209" s="495">
        <f>IF(P209=0,"R$0,0%",(L209+N209+P209)/3)</f>
        <v>0.33333333333333331</v>
      </c>
    </row>
    <row r="210" spans="3:18" ht="14.1" customHeight="1" x14ac:dyDescent="0.25">
      <c r="J210" s="499"/>
      <c r="K210" s="499"/>
      <c r="M210" s="499"/>
      <c r="O210" s="499"/>
    </row>
    <row r="211" spans="3:18" s="492" customFormat="1" ht="14.1" customHeight="1" x14ac:dyDescent="0.25">
      <c r="C211" s="492" t="s">
        <v>6254</v>
      </c>
      <c r="I211" s="500" t="s">
        <v>1260</v>
      </c>
      <c r="J211" s="501">
        <f>J213</f>
        <v>0</v>
      </c>
      <c r="K211" s="501">
        <f>K213</f>
        <v>0</v>
      </c>
      <c r="L211" s="489" t="str">
        <f>IF(K211=0,"0,00% ",(K211-J211)/K211)</f>
        <v xml:space="preserve">0,00% </v>
      </c>
      <c r="M211" s="501">
        <f>M213</f>
        <v>0</v>
      </c>
      <c r="N211" s="489" t="str">
        <f>IF(M211=0,"0,00% ",(M211-K211)/M211)</f>
        <v xml:space="preserve">0,00% </v>
      </c>
      <c r="O211" s="501">
        <f>O213</f>
        <v>0</v>
      </c>
      <c r="P211" s="489" t="str">
        <f>IF(O211=0,"0,00% ",(O211-M211)/O211)</f>
        <v xml:space="preserve">0,00% </v>
      </c>
      <c r="Q211" s="490" t="str">
        <f>IF(O211=0,"R$0,0",(J211+K211+M211+O211)/4)</f>
        <v>R$0,0</v>
      </c>
      <c r="R211" s="491">
        <f>IF(P211=0,"R$0,0%",(L211+N211+P211)/3)</f>
        <v>0</v>
      </c>
    </row>
    <row r="212" spans="3:18" ht="14.1" customHeight="1" x14ac:dyDescent="0.25">
      <c r="J212" s="499"/>
      <c r="K212" s="499"/>
      <c r="M212" s="499"/>
      <c r="O212" s="499"/>
    </row>
    <row r="213" spans="3:18" ht="14.1" customHeight="1" x14ac:dyDescent="0.2">
      <c r="C213" s="483" t="s">
        <v>6384</v>
      </c>
      <c r="I213" s="506" t="s">
        <v>1259</v>
      </c>
      <c r="J213" s="499">
        <v>0</v>
      </c>
      <c r="K213" s="499">
        <v>0</v>
      </c>
      <c r="L213" s="512" t="str">
        <f>IF(K213=0,"0,00% ",(K213-J213)/K213)</f>
        <v xml:space="preserve">0,00% </v>
      </c>
      <c r="M213" s="499">
        <v>0</v>
      </c>
      <c r="N213" s="512" t="str">
        <f>IF(M213=0,"0,00% ",(M213-K213)/M213)</f>
        <v xml:space="preserve">0,00% </v>
      </c>
      <c r="O213" s="499">
        <v>0</v>
      </c>
      <c r="P213" s="512" t="str">
        <f>IF(O213=0,"0,00% ",(O213-M213)/O213)</f>
        <v xml:space="preserve">0,00% </v>
      </c>
      <c r="Q213" s="484" t="str">
        <f>IF(O213=0,"R$0,0",(J213+K213+M213+O213)/4)</f>
        <v>R$0,0</v>
      </c>
      <c r="R213" s="495">
        <f>IF(P213=0,"R$0,0%",(L213+N213+P213)/3)</f>
        <v>0</v>
      </c>
    </row>
    <row r="214" spans="3:18" ht="14.1" customHeight="1" x14ac:dyDescent="0.25">
      <c r="J214" s="499"/>
      <c r="K214" s="499"/>
      <c r="M214" s="499"/>
      <c r="O214" s="499"/>
    </row>
    <row r="215" spans="3:18" s="492" customFormat="1" ht="14.1" customHeight="1" x14ac:dyDescent="0.25">
      <c r="C215" s="492" t="s">
        <v>6244</v>
      </c>
      <c r="I215" s="500" t="s">
        <v>993</v>
      </c>
      <c r="J215" s="501">
        <f>J217+J219+J221+J223+J225+J227+J229+J231+J233</f>
        <v>3415</v>
      </c>
      <c r="K215" s="501">
        <f>K217+K219+K221+K223+K225+K227+K229+K231+K233</f>
        <v>3770</v>
      </c>
      <c r="L215" s="489">
        <f>IF(K215=0,"0,00% ",(K215-J215)/K215)</f>
        <v>9.4164456233421748E-2</v>
      </c>
      <c r="M215" s="501">
        <f>M217+M219+M221+M223+M225+M227+M229+M231+M233</f>
        <v>9594</v>
      </c>
      <c r="N215" s="489">
        <f>IF(M215=0,"0,00% ",(M215-K215)/M215)</f>
        <v>0.60704607046070458</v>
      </c>
      <c r="O215" s="501">
        <f>O217+O219+O221+O223+O225+O227+O229+O231+O233</f>
        <v>3770</v>
      </c>
      <c r="P215" s="489">
        <f>IF(O215=0,"0,00% ",(O215-M215)/O215)</f>
        <v>-1.5448275862068965</v>
      </c>
      <c r="Q215" s="490">
        <f>IF(O215=0,"R$0,0",(J215+K215+M215+O215)/4)</f>
        <v>5137.25</v>
      </c>
      <c r="R215" s="491">
        <f>IF(P215=0,"R$0,0%",(L215+N215+P215)/3)</f>
        <v>-0.28120568650425676</v>
      </c>
    </row>
    <row r="216" spans="3:18" ht="14.1" customHeight="1" x14ac:dyDescent="0.25">
      <c r="J216" s="499"/>
      <c r="K216" s="499"/>
      <c r="M216" s="499"/>
      <c r="O216" s="499"/>
    </row>
    <row r="217" spans="3:18" ht="14.1" customHeight="1" x14ac:dyDescent="0.2">
      <c r="C217" s="483" t="s">
        <v>6281</v>
      </c>
      <c r="I217" s="506" t="s">
        <v>1151</v>
      </c>
      <c r="J217" s="499">
        <v>0</v>
      </c>
      <c r="K217" s="499">
        <v>0</v>
      </c>
      <c r="L217" s="512" t="str">
        <f>IF(K217=0,"0,00% ",(K217-J217)/K217)</f>
        <v xml:space="preserve">0,00% </v>
      </c>
      <c r="M217" s="499">
        <v>0</v>
      </c>
      <c r="N217" s="512" t="str">
        <f>IF(M217=0,"0,00% ",(M217-K217)/M217)</f>
        <v xml:space="preserve">0,00% </v>
      </c>
      <c r="O217" s="499">
        <v>0</v>
      </c>
      <c r="P217" s="512" t="str">
        <f>IF(O217=0,"0,00% ",(O217-M217)/O217)</f>
        <v xml:space="preserve">0,00% </v>
      </c>
      <c r="Q217" s="484" t="str">
        <f>IF(O217=0,"R$0,0",(J217+K217+M217+O217)/4)</f>
        <v>R$0,0</v>
      </c>
      <c r="R217" s="495">
        <f>IF(P217=0,"R$0,0%",(L217+N217+P217)/3)</f>
        <v>0</v>
      </c>
    </row>
    <row r="218" spans="3:18" ht="14.1" customHeight="1" x14ac:dyDescent="0.25">
      <c r="J218" s="499"/>
      <c r="K218" s="499"/>
      <c r="M218" s="499"/>
      <c r="O218" s="499"/>
    </row>
    <row r="219" spans="3:18" ht="14.1" customHeight="1" x14ac:dyDescent="0.2">
      <c r="C219" s="483" t="s">
        <v>6282</v>
      </c>
      <c r="I219" s="506" t="s">
        <v>1026</v>
      </c>
      <c r="J219" s="499">
        <v>0</v>
      </c>
      <c r="K219" s="499">
        <v>0</v>
      </c>
      <c r="L219" s="512" t="str">
        <f>IF(K219=0,"0,00% ",(K219-J219)/K219)</f>
        <v xml:space="preserve">0,00% </v>
      </c>
      <c r="M219" s="499">
        <v>0</v>
      </c>
      <c r="N219" s="512" t="str">
        <f>IF(M219=0,"0,00% ",(M219-K219)/M219)</f>
        <v xml:space="preserve">0,00% </v>
      </c>
      <c r="O219" s="499">
        <v>0</v>
      </c>
      <c r="P219" s="512" t="str">
        <f>IF(O219=0,"0,00% ",(O219-M219)/O219)</f>
        <v xml:space="preserve">0,00% </v>
      </c>
      <c r="Q219" s="484" t="str">
        <f>IF(O219=0,"R$0,0",(J219+K219+M219+O219)/4)</f>
        <v>R$0,0</v>
      </c>
      <c r="R219" s="495">
        <f>IF(P219=0,"R$0,0%",(L219+N219+P219)/3)</f>
        <v>0</v>
      </c>
    </row>
    <row r="220" spans="3:18" ht="14.1" customHeight="1" x14ac:dyDescent="0.25">
      <c r="I220" s="483" t="s">
        <v>903</v>
      </c>
      <c r="J220" s="499"/>
      <c r="K220" s="499"/>
      <c r="M220" s="499"/>
      <c r="O220" s="499"/>
    </row>
    <row r="221" spans="3:18" ht="14.1" customHeight="1" x14ac:dyDescent="0.2">
      <c r="C221" s="483" t="s">
        <v>6385</v>
      </c>
      <c r="I221" s="506" t="s">
        <v>5194</v>
      </c>
      <c r="J221" s="499">
        <v>0</v>
      </c>
      <c r="K221" s="499">
        <v>0</v>
      </c>
      <c r="L221" s="512" t="str">
        <f>IF(K221=0,"0,00% ",(K221-J221)/K221)</f>
        <v xml:space="preserve">0,00% </v>
      </c>
      <c r="M221" s="499">
        <v>0</v>
      </c>
      <c r="N221" s="512" t="str">
        <f>IF(M221=0,"0,00% ",(M221-K221)/M221)</f>
        <v xml:space="preserve">0,00% </v>
      </c>
      <c r="O221" s="499">
        <v>0</v>
      </c>
      <c r="P221" s="512" t="str">
        <f>IF(O221=0,"0,00% ",(O221-M221)/O221)</f>
        <v xml:space="preserve">0,00% </v>
      </c>
      <c r="Q221" s="484" t="str">
        <f>IF(O221=0,"R$0,0",(J221+K221+M221+O221)/4)</f>
        <v>R$0,0</v>
      </c>
      <c r="R221" s="495">
        <f>IF(P221=0,"R$0,0%",(L221+N221+P221)/3)</f>
        <v>0</v>
      </c>
    </row>
    <row r="222" spans="3:18" ht="14.1" customHeight="1" x14ac:dyDescent="0.25">
      <c r="J222" s="499"/>
      <c r="K222" s="499"/>
      <c r="M222" s="499"/>
      <c r="O222" s="499"/>
    </row>
    <row r="223" spans="3:18" ht="14.1" customHeight="1" x14ac:dyDescent="0.2">
      <c r="C223" s="483" t="s">
        <v>6319</v>
      </c>
      <c r="I223" s="506" t="s">
        <v>6386</v>
      </c>
      <c r="J223" s="499">
        <v>0</v>
      </c>
      <c r="K223" s="499">
        <v>0</v>
      </c>
      <c r="L223" s="512" t="str">
        <f>IF(K223=0,"0,00% ",(K223-J223)/K223)</f>
        <v xml:space="preserve">0,00% </v>
      </c>
      <c r="M223" s="499">
        <v>0</v>
      </c>
      <c r="N223" s="512" t="str">
        <f>IF(M223=0,"0,00% ",(M223-K223)/M223)</f>
        <v xml:space="preserve">0,00% </v>
      </c>
      <c r="O223" s="499">
        <v>0</v>
      </c>
      <c r="P223" s="512" t="str">
        <f>IF(O223=0,"0,00% ",(O223-M223)/O223)</f>
        <v xml:space="preserve">0,00% </v>
      </c>
      <c r="Q223" s="484" t="str">
        <f>IF(O223=0,"R$0,0",(J223+K223+M223+O223)/4)</f>
        <v>R$0,0</v>
      </c>
      <c r="R223" s="495">
        <f>IF(P223=0,"R$0,0%",(L223+N223+P223)/3)</f>
        <v>0</v>
      </c>
    </row>
    <row r="224" spans="3:18" ht="14.1" customHeight="1" x14ac:dyDescent="0.25">
      <c r="J224" s="499"/>
      <c r="K224" s="499"/>
      <c r="M224" s="499"/>
      <c r="O224" s="499"/>
    </row>
    <row r="225" spans="3:18" ht="14.1" customHeight="1" x14ac:dyDescent="0.2">
      <c r="C225" s="483" t="s">
        <v>6313</v>
      </c>
      <c r="I225" s="506" t="s">
        <v>5206</v>
      </c>
      <c r="J225" s="499">
        <v>0</v>
      </c>
      <c r="K225" s="499">
        <v>0</v>
      </c>
      <c r="L225" s="512" t="str">
        <f>IF(K225=0,"0,00% ",(K225-J225)/K225)</f>
        <v xml:space="preserve">0,00% </v>
      </c>
      <c r="M225" s="499">
        <v>0</v>
      </c>
      <c r="N225" s="512" t="str">
        <f>IF(M225=0,"0,00% ",(M225-K225)/M225)</f>
        <v xml:space="preserve">0,00% </v>
      </c>
      <c r="O225" s="499">
        <v>0</v>
      </c>
      <c r="P225" s="512" t="str">
        <f>IF(O225=0,"0,00% ",(O225-M225)/O225)</f>
        <v xml:space="preserve">0,00% </v>
      </c>
      <c r="Q225" s="484" t="str">
        <f>IF(O225=0,"R$0,0",(J225+K225+M225+O225)/4)</f>
        <v>R$0,0</v>
      </c>
      <c r="R225" s="495">
        <f>IF(P225=0,"R$0,0%",(L225+N225+P225)/3)</f>
        <v>0</v>
      </c>
    </row>
    <row r="226" spans="3:18" ht="14.1" customHeight="1" x14ac:dyDescent="0.25">
      <c r="J226" s="499"/>
      <c r="K226" s="499"/>
      <c r="M226" s="499"/>
      <c r="O226" s="499"/>
    </row>
    <row r="227" spans="3:18" ht="14.1" customHeight="1" x14ac:dyDescent="0.2">
      <c r="C227" s="483" t="s">
        <v>6283</v>
      </c>
      <c r="I227" s="506" t="s">
        <v>2205</v>
      </c>
      <c r="J227" s="499">
        <v>0</v>
      </c>
      <c r="K227" s="499">
        <v>0</v>
      </c>
      <c r="L227" s="512" t="str">
        <f>IF(K227=0,"0,00% ",(K227-J227)/K227)</f>
        <v xml:space="preserve">0,00% </v>
      </c>
      <c r="M227" s="499">
        <v>0</v>
      </c>
      <c r="N227" s="512" t="str">
        <f>IF(M227=0,"0,00% ",(M227-K227)/M227)</f>
        <v xml:space="preserve">0,00% </v>
      </c>
      <c r="O227" s="499">
        <v>0</v>
      </c>
      <c r="P227" s="512" t="str">
        <f>IF(O227=0,"0,00% ",(O227-M227)/O227)</f>
        <v xml:space="preserve">0,00% </v>
      </c>
      <c r="Q227" s="484" t="str">
        <f>IF(O227=0,"R$0,0",(J227+K227+M227+O227)/4)</f>
        <v>R$0,0</v>
      </c>
      <c r="R227" s="495">
        <f>IF(P227=0,"R$0,0%",(L227+N227+P227)/3)</f>
        <v>0</v>
      </c>
    </row>
    <row r="228" spans="3:18" ht="14.1" customHeight="1" x14ac:dyDescent="0.25">
      <c r="J228" s="499"/>
      <c r="K228" s="499"/>
      <c r="M228" s="499"/>
      <c r="O228" s="499"/>
    </row>
    <row r="229" spans="3:18" ht="14.1" customHeight="1" x14ac:dyDescent="0.2">
      <c r="C229" s="483" t="s">
        <v>6387</v>
      </c>
      <c r="I229" s="506" t="s">
        <v>1042</v>
      </c>
      <c r="J229" s="499">
        <v>0</v>
      </c>
      <c r="K229" s="499">
        <v>0</v>
      </c>
      <c r="L229" s="512" t="str">
        <f>IF(K229=0,"0,00% ",(K229-J229)/K229)</f>
        <v xml:space="preserve">0,00% </v>
      </c>
      <c r="M229" s="499">
        <v>0</v>
      </c>
      <c r="N229" s="512" t="str">
        <f>IF(M229=0,"0,00% ",(M229-K229)/M229)</f>
        <v xml:space="preserve">0,00% </v>
      </c>
      <c r="O229" s="499">
        <v>0</v>
      </c>
      <c r="P229" s="512" t="str">
        <f>IF(O229=0,"0,00% ",(O229-M229)/O229)</f>
        <v xml:space="preserve">0,00% </v>
      </c>
      <c r="Q229" s="484" t="str">
        <f>IF(O229=0,"R$0,0",(J229+K229+M229+O229)/4)</f>
        <v>R$0,0</v>
      </c>
      <c r="R229" s="495">
        <f>IF(P229=0,"R$0,0%",(L229+N229+P229)/3)</f>
        <v>0</v>
      </c>
    </row>
    <row r="230" spans="3:18" ht="14.1" customHeight="1" x14ac:dyDescent="0.25">
      <c r="J230" s="499"/>
      <c r="K230" s="499"/>
      <c r="M230" s="499"/>
      <c r="O230" s="499"/>
    </row>
    <row r="231" spans="3:18" ht="14.1" customHeight="1" x14ac:dyDescent="0.2">
      <c r="C231" s="483" t="s">
        <v>6322</v>
      </c>
      <c r="I231" s="506" t="s">
        <v>5210</v>
      </c>
      <c r="J231" s="499">
        <v>0</v>
      </c>
      <c r="K231" s="499">
        <v>0</v>
      </c>
      <c r="L231" s="512" t="str">
        <f>IF(K231=0,"0,00% ",(K231-J231)/K231)</f>
        <v xml:space="preserve">0,00% </v>
      </c>
      <c r="M231" s="499">
        <v>0</v>
      </c>
      <c r="N231" s="512" t="str">
        <f>IF(M231=0,"0,00% ",(M231-K231)/M231)</f>
        <v xml:space="preserve">0,00% </v>
      </c>
      <c r="O231" s="499">
        <v>0</v>
      </c>
      <c r="P231" s="512" t="str">
        <f>IF(O231=0,"0,00% ",(O231-M231)/O231)</f>
        <v xml:space="preserve">0,00% </v>
      </c>
      <c r="Q231" s="484" t="str">
        <f>IF(O231=0,"R$0,0",(J231+K231+M231+O231)/4)</f>
        <v>R$0,0</v>
      </c>
      <c r="R231" s="495">
        <f>IF(P231=0,"R$0,0%",(L231+N231+P231)/3)</f>
        <v>0</v>
      </c>
    </row>
    <row r="232" spans="3:18" ht="14.1" customHeight="1" x14ac:dyDescent="0.25">
      <c r="I232" s="506"/>
      <c r="J232" s="499"/>
      <c r="K232" s="499"/>
      <c r="L232" s="507"/>
      <c r="M232" s="499"/>
      <c r="N232" s="507"/>
      <c r="O232" s="499"/>
      <c r="P232" s="507"/>
    </row>
    <row r="233" spans="3:18" ht="14.1" customHeight="1" x14ac:dyDescent="0.2">
      <c r="C233" s="483" t="s">
        <v>6388</v>
      </c>
      <c r="I233" s="506" t="s">
        <v>1742</v>
      </c>
      <c r="J233" s="499">
        <v>3415</v>
      </c>
      <c r="K233" s="499">
        <v>3770</v>
      </c>
      <c r="L233" s="512">
        <f>IF(K233=0,"0,00% ",(K233-J233)/K233)</f>
        <v>9.4164456233421748E-2</v>
      </c>
      <c r="M233" s="499">
        <v>9594</v>
      </c>
      <c r="N233" s="512">
        <f>IF(M233=0,"0,00% ",(M233-K233)/M233)</f>
        <v>0.60704607046070458</v>
      </c>
      <c r="O233" s="499">
        <v>3770</v>
      </c>
      <c r="P233" s="512">
        <f>IF(O233=0,"0,00% ",(O233-M233)/O233)</f>
        <v>-1.5448275862068965</v>
      </c>
      <c r="Q233" s="484">
        <f>IF(O233=0,"R$0,0",(J233+K233+M233+O233)/4)</f>
        <v>5137.25</v>
      </c>
      <c r="R233" s="495">
        <f>IF(P233=0,"R$0,0%",(L233+N233+P233)/3)</f>
        <v>-0.28120568650425676</v>
      </c>
    </row>
    <row r="234" spans="3:18" ht="14.1" customHeight="1" x14ac:dyDescent="0.25">
      <c r="J234" s="499"/>
      <c r="K234" s="499"/>
      <c r="M234" s="499"/>
      <c r="O234" s="499"/>
    </row>
    <row r="235" spans="3:18" s="492" customFormat="1" ht="14.1" customHeight="1" x14ac:dyDescent="0.25">
      <c r="C235" s="492" t="s">
        <v>6245</v>
      </c>
      <c r="I235" s="500" t="s">
        <v>6307</v>
      </c>
      <c r="J235" s="501">
        <f>J237+J239+J241+J243+J245+J247+J249+J251+J253+J257+J259+J261+J263+J265+J267+J269+J271+J273+J275+J277+J279+J281+J283+J285+J287+J289+J291+J293+J255</f>
        <v>22737.93</v>
      </c>
      <c r="K235" s="501">
        <f>K237+K239+K241+K243+K245+K247+K249+K251+K253+K257+K259+K261+K263+K265+K267+K269+K271+K273+K275+K277+K279+K281+K283+K285+K287+K289+K291+K293+K255</f>
        <v>35420.67</v>
      </c>
      <c r="L235" s="489">
        <f>IF(K235=0,"0,00% ",(K235-J235)/K235)</f>
        <v>0.35806042065268667</v>
      </c>
      <c r="M235" s="501">
        <f>M237+M239+M241+M243+M245+M247+M249+M251+M253+M257+M259+M261+M263+M265+M267+M269+M271+M273+M275+M277+M279+M281+M283+M285+M287+M289+M291+M293+M255</f>
        <v>36494.42</v>
      </c>
      <c r="N235" s="489">
        <f>IF(M235=0,"0,00% ",(M235-K235)/M235)</f>
        <v>2.9422306204619775E-2</v>
      </c>
      <c r="O235" s="501">
        <f>O237+O239+O241+O243+O245+O247+O249+O251+O253+O257+O259+O261+O263+O265+O267+O269+O271+O273+O275+O277+O279+O281+O283+O285+O287+O289+O291+O293+O255</f>
        <v>35420.67</v>
      </c>
      <c r="P235" s="489">
        <f>IF(O235=0,"0,00% ",(O235-M235)/O235)</f>
        <v>-3.0314220481995401E-2</v>
      </c>
      <c r="Q235" s="490">
        <f>IF(O235=0,"R$0,0",(J235+K235+M235+O235)/4)</f>
        <v>32518.422499999997</v>
      </c>
      <c r="R235" s="491">
        <f>IF(P235=0,"R$0,0%",(L235+N235+P235)/3)</f>
        <v>0.11905616879177035</v>
      </c>
    </row>
    <row r="236" spans="3:18" ht="14.1" customHeight="1" x14ac:dyDescent="0.25">
      <c r="J236" s="499"/>
      <c r="K236" s="499"/>
      <c r="M236" s="499"/>
      <c r="O236" s="499"/>
    </row>
    <row r="237" spans="3:18" ht="14.1" customHeight="1" x14ac:dyDescent="0.2">
      <c r="C237" s="483" t="s">
        <v>6284</v>
      </c>
      <c r="I237" s="506" t="s">
        <v>1054</v>
      </c>
      <c r="J237" s="499">
        <v>0</v>
      </c>
      <c r="K237" s="499">
        <v>0</v>
      </c>
      <c r="L237" s="512" t="str">
        <f>IF(K237=0,"0,00% ",(K237-J237)/K237)</f>
        <v xml:space="preserve">0,00% </v>
      </c>
      <c r="M237" s="499">
        <v>0</v>
      </c>
      <c r="N237" s="512" t="str">
        <f>IF(M237=0,"0,00% ",(M237-K237)/M237)</f>
        <v xml:space="preserve">0,00% </v>
      </c>
      <c r="O237" s="499">
        <v>0</v>
      </c>
      <c r="P237" s="512" t="str">
        <f>IF(O237=0,"0,00% ",(O237-M237)/O237)</f>
        <v xml:space="preserve">0,00% </v>
      </c>
      <c r="Q237" s="484" t="str">
        <f>IF(O237=0,"R$0,0",(J237+K237+M237+O237)/4)</f>
        <v>R$0,0</v>
      </c>
      <c r="R237" s="495">
        <f>IF(P237=0,"R$0,0%",(L237+N237+P237)/3)</f>
        <v>0</v>
      </c>
    </row>
    <row r="238" spans="3:18" ht="14.1" customHeight="1" x14ac:dyDescent="0.25">
      <c r="J238" s="499"/>
      <c r="K238" s="499"/>
      <c r="M238" s="499"/>
      <c r="O238" s="499"/>
    </row>
    <row r="239" spans="3:18" ht="14.1" customHeight="1" x14ac:dyDescent="0.2">
      <c r="C239" s="483" t="s">
        <v>6285</v>
      </c>
      <c r="I239" s="506" t="s">
        <v>1151</v>
      </c>
      <c r="J239" s="499">
        <v>0</v>
      </c>
      <c r="K239" s="499">
        <v>0</v>
      </c>
      <c r="L239" s="512" t="str">
        <f>IF(K239=0,"0,00% ",(K239-J239)/K239)</f>
        <v xml:space="preserve">0,00% </v>
      </c>
      <c r="M239" s="499">
        <v>0</v>
      </c>
      <c r="N239" s="512" t="str">
        <f>IF(M239=0,"0,00% ",(M239-K239)/M239)</f>
        <v xml:space="preserve">0,00% </v>
      </c>
      <c r="O239" s="499">
        <v>0</v>
      </c>
      <c r="P239" s="512" t="str">
        <f>IF(O239=0,"0,00% ",(O239-M239)/O239)</f>
        <v xml:space="preserve">0,00% </v>
      </c>
      <c r="Q239" s="484" t="str">
        <f>IF(O239=0,"R$0,0",(J239+K239+M239+O239)/4)</f>
        <v>R$0,0</v>
      </c>
      <c r="R239" s="495">
        <f>IF(P239=0,"R$0,0%",(L239+N239+P239)/3)</f>
        <v>0</v>
      </c>
    </row>
    <row r="240" spans="3:18" ht="14.1" customHeight="1" x14ac:dyDescent="0.25">
      <c r="J240" s="499"/>
      <c r="K240" s="499"/>
      <c r="M240" s="499"/>
      <c r="O240" s="499"/>
    </row>
    <row r="241" spans="3:18" ht="14.1" customHeight="1" x14ac:dyDescent="0.2">
      <c r="C241" s="483" t="s">
        <v>6389</v>
      </c>
      <c r="I241" s="506" t="s">
        <v>5230</v>
      </c>
      <c r="J241" s="499">
        <v>0</v>
      </c>
      <c r="K241" s="499">
        <v>0</v>
      </c>
      <c r="L241" s="512" t="str">
        <f>IF(K241=0,"0,00% ",(K241-J241)/K241)</f>
        <v xml:space="preserve">0,00% </v>
      </c>
      <c r="M241" s="499">
        <v>0</v>
      </c>
      <c r="N241" s="512" t="str">
        <f>IF(M241=0,"0,00% ",(M241-K241)/M241)</f>
        <v xml:space="preserve">0,00% </v>
      </c>
      <c r="O241" s="499">
        <v>0</v>
      </c>
      <c r="P241" s="512" t="str">
        <f>IF(O241=0,"0,00% ",(O241-M241)/O241)</f>
        <v xml:space="preserve">0,00% </v>
      </c>
      <c r="Q241" s="484" t="str">
        <f>IF(O241=0,"R$0,0",(J241+K241+M241+O241)/4)</f>
        <v>R$0,0</v>
      </c>
      <c r="R241" s="495">
        <f>IF(P241=0,"R$0,0%",(L241+N241+P241)/3)</f>
        <v>0</v>
      </c>
    </row>
    <row r="242" spans="3:18" ht="14.1" customHeight="1" x14ac:dyDescent="0.25">
      <c r="J242" s="499"/>
      <c r="K242" s="499"/>
      <c r="M242" s="499"/>
      <c r="O242" s="499"/>
    </row>
    <row r="243" spans="3:18" ht="14.1" customHeight="1" x14ac:dyDescent="0.2">
      <c r="C243" s="483" t="s">
        <v>6298</v>
      </c>
      <c r="I243" s="506" t="s">
        <v>5241</v>
      </c>
      <c r="J243" s="499">
        <v>3337.04</v>
      </c>
      <c r="K243" s="499">
        <v>3616.8</v>
      </c>
      <c r="L243" s="512">
        <f>IF(K243=0,"0,00% ",(K243-J243)/K243)</f>
        <v>7.7350143773501495E-2</v>
      </c>
      <c r="M243" s="499">
        <v>0</v>
      </c>
      <c r="N243" s="512" t="str">
        <f>IF(M243=0,"0,00% ",(M243-K243)/M243)</f>
        <v xml:space="preserve">0,00% </v>
      </c>
      <c r="O243" s="499">
        <v>3616.8</v>
      </c>
      <c r="P243" s="512">
        <f>IF(O243=0,"0,00% ",(O243-M243)/O243)</f>
        <v>1</v>
      </c>
      <c r="Q243" s="484">
        <f>IF(O243=0,"R$0,0",(J243+K243+M243+O243)/4)</f>
        <v>2642.66</v>
      </c>
      <c r="R243" s="495">
        <f>IF(P243=0,"R$0,0%",(L243+N243+P243)/3)</f>
        <v>0.35911671459116717</v>
      </c>
    </row>
    <row r="244" spans="3:18" ht="14.1" customHeight="1" x14ac:dyDescent="0.25">
      <c r="J244" s="499"/>
      <c r="K244" s="499"/>
      <c r="M244" s="499"/>
      <c r="O244" s="499"/>
    </row>
    <row r="245" spans="3:18" ht="14.1" customHeight="1" x14ac:dyDescent="0.2">
      <c r="C245" s="483" t="s">
        <v>6339</v>
      </c>
      <c r="I245" s="506" t="s">
        <v>5242</v>
      </c>
      <c r="J245" s="499">
        <v>0</v>
      </c>
      <c r="K245" s="499">
        <v>0</v>
      </c>
      <c r="L245" s="512" t="str">
        <f>IF(K245=0,"0,00% ",(K245-J245)/K245)</f>
        <v xml:space="preserve">0,00% </v>
      </c>
      <c r="M245" s="499">
        <v>0</v>
      </c>
      <c r="N245" s="512" t="str">
        <f>IF(M245=0,"0,00% ",(M245-K245)/M245)</f>
        <v xml:space="preserve">0,00% </v>
      </c>
      <c r="O245" s="499">
        <v>0</v>
      </c>
      <c r="P245" s="512" t="str">
        <f>IF(O245=0,"0,00% ",(O245-M245)/O245)</f>
        <v xml:space="preserve">0,00% </v>
      </c>
      <c r="Q245" s="484" t="str">
        <f>IF(O245=0,"R$0,0",(J245+K245+M245+O245)/4)</f>
        <v>R$0,0</v>
      </c>
      <c r="R245" s="495">
        <f>IF(P245=0,"R$0,0%",(L245+N245+P245)/3)</f>
        <v>0</v>
      </c>
    </row>
    <row r="246" spans="3:18" ht="14.1" customHeight="1" x14ac:dyDescent="0.25">
      <c r="J246" s="499"/>
      <c r="K246" s="499"/>
      <c r="M246" s="499"/>
      <c r="O246" s="499"/>
    </row>
    <row r="247" spans="3:18" ht="14.1" customHeight="1" x14ac:dyDescent="0.2">
      <c r="C247" s="483" t="s">
        <v>6390</v>
      </c>
      <c r="I247" s="506" t="s">
        <v>6391</v>
      </c>
      <c r="J247" s="499">
        <v>0</v>
      </c>
      <c r="K247" s="499">
        <v>0</v>
      </c>
      <c r="L247" s="512" t="str">
        <f>IF(K247=0,"0,00% ",(K247-J247)/K247)</f>
        <v xml:space="preserve">0,00% </v>
      </c>
      <c r="M247" s="499">
        <v>0</v>
      </c>
      <c r="N247" s="512" t="str">
        <f>IF(M247=0,"0,00% ",(M247-K247)/M247)</f>
        <v xml:space="preserve">0,00% </v>
      </c>
      <c r="O247" s="499">
        <v>0</v>
      </c>
      <c r="P247" s="512" t="str">
        <f>IF(O247=0,"0,00% ",(O247-M247)/O247)</f>
        <v xml:space="preserve">0,00% </v>
      </c>
      <c r="Q247" s="484" t="str">
        <f>IF(O247=0,"R$0,0",(J247+K247+M247+O247)/4)</f>
        <v>R$0,0</v>
      </c>
      <c r="R247" s="495">
        <f>IF(P247=0,"R$0,0%",(L247+N247+P247)/3)</f>
        <v>0</v>
      </c>
    </row>
    <row r="248" spans="3:18" ht="14.1" customHeight="1" x14ac:dyDescent="0.25">
      <c r="J248" s="499"/>
      <c r="K248" s="499"/>
      <c r="M248" s="499"/>
      <c r="O248" s="499"/>
    </row>
    <row r="249" spans="3:18" ht="14.1" customHeight="1" x14ac:dyDescent="0.2">
      <c r="C249" s="483" t="s">
        <v>6293</v>
      </c>
      <c r="I249" s="506" t="s">
        <v>6386</v>
      </c>
      <c r="J249" s="499">
        <v>0</v>
      </c>
      <c r="K249" s="499">
        <v>0</v>
      </c>
      <c r="L249" s="512" t="str">
        <f>IF(K249=0,"0,00% ",(K249-J249)/K249)</f>
        <v xml:space="preserve">0,00% </v>
      </c>
      <c r="M249" s="499">
        <v>0</v>
      </c>
      <c r="N249" s="512" t="str">
        <f>IF(M249=0,"0,00% ",(M249-K249)/M249)</f>
        <v xml:space="preserve">0,00% </v>
      </c>
      <c r="O249" s="499">
        <v>0</v>
      </c>
      <c r="P249" s="512" t="str">
        <f>IF(O249=0,"0,00% ",(O249-M249)/O249)</f>
        <v xml:space="preserve">0,00% </v>
      </c>
      <c r="Q249" s="484" t="str">
        <f>IF(O249=0,"R$0,0",(J249+K249+M249+O249)/4)</f>
        <v>R$0,0</v>
      </c>
      <c r="R249" s="495">
        <f>IF(P249=0,"R$0,0%",(L249+N249+P249)/3)</f>
        <v>0</v>
      </c>
    </row>
    <row r="250" spans="3:18" ht="14.1" customHeight="1" x14ac:dyDescent="0.25">
      <c r="J250" s="499"/>
      <c r="K250" s="499"/>
      <c r="M250" s="499"/>
      <c r="O250" s="499"/>
    </row>
    <row r="251" spans="3:18" ht="14.1" customHeight="1" x14ac:dyDescent="0.2">
      <c r="C251" s="483" t="s">
        <v>6392</v>
      </c>
      <c r="I251" s="506" t="s">
        <v>6393</v>
      </c>
      <c r="J251" s="499">
        <v>0</v>
      </c>
      <c r="K251" s="499">
        <v>0</v>
      </c>
      <c r="L251" s="512" t="str">
        <f>IF(K251=0,"0,00% ",(K251-J251)/K251)</f>
        <v xml:space="preserve">0,00% </v>
      </c>
      <c r="M251" s="499">
        <v>0</v>
      </c>
      <c r="N251" s="512" t="str">
        <f>IF(M251=0,"0,00% ",(M251-K251)/M251)</f>
        <v xml:space="preserve">0,00% </v>
      </c>
      <c r="O251" s="499">
        <v>0</v>
      </c>
      <c r="P251" s="512" t="str">
        <f>IF(O251=0,"0,00% ",(O251-M251)/O251)</f>
        <v xml:space="preserve">0,00% </v>
      </c>
      <c r="Q251" s="484" t="str">
        <f>IF(O251=0,"R$0,0",(J251+K251+M251+O251)/4)</f>
        <v>R$0,0</v>
      </c>
      <c r="R251" s="495">
        <f>IF(P251=0,"R$0,0%",(L251+N251+P251)/3)</f>
        <v>0</v>
      </c>
    </row>
    <row r="252" spans="3:18" ht="14.1" customHeight="1" x14ac:dyDescent="0.25">
      <c r="J252" s="499"/>
      <c r="K252" s="499"/>
      <c r="M252" s="499"/>
      <c r="O252" s="499"/>
    </row>
    <row r="253" spans="3:18" ht="14.1" customHeight="1" x14ac:dyDescent="0.2">
      <c r="C253" s="483" t="s">
        <v>6394</v>
      </c>
      <c r="I253" s="506" t="s">
        <v>5194</v>
      </c>
      <c r="J253" s="499">
        <v>0</v>
      </c>
      <c r="K253" s="499">
        <v>0</v>
      </c>
      <c r="L253" s="512" t="str">
        <f>IF(K253=0,"0,00% ",(K253-J253)/K253)</f>
        <v xml:space="preserve">0,00% </v>
      </c>
      <c r="M253" s="499">
        <v>0</v>
      </c>
      <c r="N253" s="512" t="str">
        <f>IF(M253=0,"0,00% ",(M253-K253)/M253)</f>
        <v xml:space="preserve">0,00% </v>
      </c>
      <c r="O253" s="499">
        <v>0</v>
      </c>
      <c r="P253" s="512" t="str">
        <f>IF(O253=0,"0,00% ",(O253-M253)/O253)</f>
        <v xml:space="preserve">0,00% </v>
      </c>
      <c r="Q253" s="484" t="str">
        <f>IF(O253=0,"R$0,0",(J253+K253+M253+O253)/4)</f>
        <v>R$0,0</v>
      </c>
      <c r="R253" s="495">
        <f>IF(P253=0,"R$0,0%",(L253+N253+P253)/3)</f>
        <v>0</v>
      </c>
    </row>
    <row r="254" spans="3:18" ht="14.1" customHeight="1" x14ac:dyDescent="0.25">
      <c r="J254" s="499"/>
      <c r="K254" s="499"/>
      <c r="M254" s="499"/>
      <c r="O254" s="499"/>
    </row>
    <row r="255" spans="3:18" ht="14.1" customHeight="1" x14ac:dyDescent="0.2">
      <c r="C255" s="483" t="s">
        <v>6446</v>
      </c>
      <c r="I255" s="506" t="s">
        <v>6447</v>
      </c>
      <c r="J255" s="499">
        <v>0</v>
      </c>
      <c r="K255" s="499">
        <v>0</v>
      </c>
      <c r="L255" s="512" t="str">
        <f>IF(K255=0,"0,00% ",(K255-J255)/K255)</f>
        <v xml:space="preserve">0,00% </v>
      </c>
      <c r="M255" s="499">
        <v>0</v>
      </c>
      <c r="N255" s="512" t="str">
        <f>IF(M255=0,"0,00% ",(M255-K255)/M255)</f>
        <v xml:space="preserve">0,00% </v>
      </c>
      <c r="O255" s="499">
        <v>0</v>
      </c>
      <c r="P255" s="512" t="str">
        <f>IF(O255=0,"0,00% ",(O255-M255)/O255)</f>
        <v xml:space="preserve">0,00% </v>
      </c>
      <c r="Q255" s="484" t="str">
        <f>IF(O255=0,"R$0,0",(J255+K255+M255+O255)/4)</f>
        <v>R$0,0</v>
      </c>
      <c r="R255" s="495">
        <f>IF(P255=0,"R$0,0%",(L255+N255+P255)/3)</f>
        <v>0</v>
      </c>
    </row>
    <row r="256" spans="3:18" ht="14.1" customHeight="1" x14ac:dyDescent="0.25">
      <c r="J256" s="499"/>
      <c r="K256" s="499"/>
      <c r="M256" s="499"/>
      <c r="O256" s="499"/>
    </row>
    <row r="257" spans="3:18" ht="14.1" customHeight="1" x14ac:dyDescent="0.2">
      <c r="C257" s="483" t="s">
        <v>6310</v>
      </c>
      <c r="I257" s="506" t="s">
        <v>5290</v>
      </c>
      <c r="J257" s="499">
        <v>0</v>
      </c>
      <c r="K257" s="499">
        <v>0</v>
      </c>
      <c r="L257" s="512" t="str">
        <f>IF(K257=0,"0,00% ",(K257-J257)/K257)</f>
        <v xml:space="preserve">0,00% </v>
      </c>
      <c r="M257" s="499">
        <v>0</v>
      </c>
      <c r="N257" s="512" t="str">
        <f>IF(M257=0,"0,00% ",(M257-K257)/M257)</f>
        <v xml:space="preserve">0,00% </v>
      </c>
      <c r="O257" s="499">
        <v>0</v>
      </c>
      <c r="P257" s="512" t="str">
        <f>IF(O257=0,"0,00% ",(O257-M257)/O257)</f>
        <v xml:space="preserve">0,00% </v>
      </c>
      <c r="Q257" s="484" t="str">
        <f>IF(O257=0,"R$0,0",(J257+K257+M257+O257)/4)</f>
        <v>R$0,0</v>
      </c>
      <c r="R257" s="495">
        <f>IF(P257=0,"R$0,0%",(L257+N257+P257)/3)</f>
        <v>0</v>
      </c>
    </row>
    <row r="258" spans="3:18" ht="14.1" customHeight="1" x14ac:dyDescent="0.25">
      <c r="J258" s="499"/>
      <c r="K258" s="499"/>
      <c r="M258" s="499"/>
      <c r="O258" s="499"/>
    </row>
    <row r="259" spans="3:18" ht="14.1" customHeight="1" x14ac:dyDescent="0.2">
      <c r="C259" s="483" t="s">
        <v>6395</v>
      </c>
      <c r="I259" s="506" t="s">
        <v>5295</v>
      </c>
      <c r="J259" s="499">
        <v>0</v>
      </c>
      <c r="K259" s="499">
        <v>0</v>
      </c>
      <c r="L259" s="512" t="str">
        <f>IF(K259=0,"0,00% ",(K259-J259)/K259)</f>
        <v xml:space="preserve">0,00% </v>
      </c>
      <c r="M259" s="499">
        <v>0</v>
      </c>
      <c r="N259" s="512" t="str">
        <f>IF(M259=0,"0,00% ",(M259-K259)/M259)</f>
        <v xml:space="preserve">0,00% </v>
      </c>
      <c r="O259" s="499">
        <v>0</v>
      </c>
      <c r="P259" s="512" t="str">
        <f>IF(O259=0,"0,00% ",(O259-M259)/O259)</f>
        <v xml:space="preserve">0,00% </v>
      </c>
      <c r="Q259" s="484" t="str">
        <f>IF(O259=0,"R$0,0",(J259+K259+M259+O259)/4)</f>
        <v>R$0,0</v>
      </c>
      <c r="R259" s="495">
        <f>IF(P259=0,"R$0,0%",(L259+N259+P259)/3)</f>
        <v>0</v>
      </c>
    </row>
    <row r="260" spans="3:18" ht="14.1" customHeight="1" x14ac:dyDescent="0.25">
      <c r="J260" s="499"/>
      <c r="K260" s="499"/>
      <c r="M260" s="499"/>
      <c r="O260" s="499"/>
    </row>
    <row r="261" spans="3:18" ht="14.1" customHeight="1" x14ac:dyDescent="0.2">
      <c r="C261" s="483" t="s">
        <v>6286</v>
      </c>
      <c r="I261" s="506" t="s">
        <v>1025</v>
      </c>
      <c r="J261" s="499">
        <v>647.42999999999995</v>
      </c>
      <c r="K261" s="499">
        <v>769.93</v>
      </c>
      <c r="L261" s="512">
        <f>IF(K261=0,"0,00% ",(K261-J261)/K261)</f>
        <v>0.15910537321574689</v>
      </c>
      <c r="M261" s="499">
        <v>909.78</v>
      </c>
      <c r="N261" s="512">
        <f>IF(M261=0,"0,00% ",(M261-K261)/M261)</f>
        <v>0.15371848139110558</v>
      </c>
      <c r="O261" s="499">
        <v>769.93</v>
      </c>
      <c r="P261" s="512">
        <f>IF(O261=0,"0,00% ",(O261-M261)/O261)</f>
        <v>-0.18163988934058944</v>
      </c>
      <c r="Q261" s="484">
        <f>IF(O261=0,"R$0,0",(J261+K261+M261+O261)/4)</f>
        <v>774.26749999999993</v>
      </c>
      <c r="R261" s="495">
        <f>IF(P261=0,"R$0,0%",(L261+N261+P261)/3)</f>
        <v>4.3727988422087673E-2</v>
      </c>
    </row>
    <row r="262" spans="3:18" ht="14.1" customHeight="1" x14ac:dyDescent="0.25">
      <c r="J262" s="499"/>
      <c r="K262" s="499"/>
      <c r="M262" s="499"/>
      <c r="O262" s="499"/>
    </row>
    <row r="263" spans="3:18" ht="14.1" customHeight="1" x14ac:dyDescent="0.2">
      <c r="C263" s="483" t="s">
        <v>6287</v>
      </c>
      <c r="I263" s="506" t="s">
        <v>1024</v>
      </c>
      <c r="J263" s="499">
        <v>734.09</v>
      </c>
      <c r="K263" s="499">
        <v>1165.94</v>
      </c>
      <c r="L263" s="512">
        <f>IF(K263=0,"0,00% ",(K263-J263)/K263)</f>
        <v>0.37038784156989213</v>
      </c>
      <c r="M263" s="499">
        <v>1164.93</v>
      </c>
      <c r="N263" s="512">
        <f>IF(M263=0,"0,00% ",(M263-K263)/M263)</f>
        <v>-8.6700488441364789E-4</v>
      </c>
      <c r="O263" s="499">
        <v>1165.94</v>
      </c>
      <c r="P263" s="512">
        <f>IF(O263=0,"0,00% ",(O263-M263)/O263)</f>
        <v>8.6625383810486891E-4</v>
      </c>
      <c r="Q263" s="484">
        <f>IF(O263=0,"R$0,0",(J263+K263+M263+O263)/4)</f>
        <v>1057.7249999999999</v>
      </c>
      <c r="R263" s="495">
        <f>IF(P263=0,"R$0,0%",(L263+N263+P263)/3)</f>
        <v>0.12346236350786111</v>
      </c>
    </row>
    <row r="264" spans="3:18" ht="14.1" customHeight="1" x14ac:dyDescent="0.25">
      <c r="J264" s="499"/>
      <c r="K264" s="499"/>
      <c r="M264" s="499"/>
      <c r="O264" s="499"/>
    </row>
    <row r="265" spans="3:18" ht="14.1" customHeight="1" x14ac:dyDescent="0.2">
      <c r="C265" s="483" t="s">
        <v>6396</v>
      </c>
      <c r="I265" s="506" t="s">
        <v>5208</v>
      </c>
      <c r="J265" s="499">
        <v>0</v>
      </c>
      <c r="K265" s="499">
        <v>0</v>
      </c>
      <c r="L265" s="512" t="str">
        <f>IF(K265=0,"0,00% ",(K265-J265)/K265)</f>
        <v xml:space="preserve">0,00% </v>
      </c>
      <c r="M265" s="499">
        <v>0</v>
      </c>
      <c r="N265" s="512" t="str">
        <f>IF(M265=0,"0,00% ",(M265-K265)/M265)</f>
        <v xml:space="preserve">0,00% </v>
      </c>
      <c r="O265" s="499">
        <v>0</v>
      </c>
      <c r="P265" s="512" t="str">
        <f>IF(O265=0,"0,00% ",(O265-M265)/O265)</f>
        <v xml:space="preserve">0,00% </v>
      </c>
      <c r="Q265" s="484" t="str">
        <f>IF(O265=0,"R$0,0",(J265+K265+M265+O265)/4)</f>
        <v>R$0,0</v>
      </c>
      <c r="R265" s="495">
        <f>IF(P265=0,"R$0,0%",(L265+N265+P265)/3)</f>
        <v>0</v>
      </c>
    </row>
    <row r="266" spans="3:18" ht="14.1" customHeight="1" x14ac:dyDescent="0.25">
      <c r="J266" s="499"/>
      <c r="K266" s="499"/>
      <c r="M266" s="499"/>
      <c r="O266" s="499"/>
    </row>
    <row r="267" spans="3:18" ht="14.1" customHeight="1" x14ac:dyDescent="0.2">
      <c r="C267" s="483" t="s">
        <v>6288</v>
      </c>
      <c r="I267" s="506" t="s">
        <v>1042</v>
      </c>
      <c r="J267" s="499">
        <v>0</v>
      </c>
      <c r="K267" s="499">
        <v>330</v>
      </c>
      <c r="L267" s="512">
        <f>IF(K267=0,"0,00% ",(K267-J267)/K267)</f>
        <v>1</v>
      </c>
      <c r="M267" s="499">
        <v>750</v>
      </c>
      <c r="N267" s="512">
        <f>IF(M267=0,"0,00% ",(M267-K267)/M267)</f>
        <v>0.56000000000000005</v>
      </c>
      <c r="O267" s="499">
        <v>330</v>
      </c>
      <c r="P267" s="512">
        <f>IF(O267=0,"0,00% ",(O267-M267)/O267)</f>
        <v>-1.2727272727272727</v>
      </c>
      <c r="Q267" s="484">
        <f>IF(O267=0,"R$0,0",(J267+K267+M267+O267)/4)</f>
        <v>352.5</v>
      </c>
      <c r="R267" s="495">
        <f>IF(P267=0,"R$0,0%",(L267+N267+P267)/3)</f>
        <v>9.5757575757575777E-2</v>
      </c>
    </row>
    <row r="268" spans="3:18" ht="14.1" customHeight="1" x14ac:dyDescent="0.25">
      <c r="J268" s="499"/>
      <c r="K268" s="499"/>
      <c r="M268" s="499"/>
      <c r="O268" s="499"/>
    </row>
    <row r="269" spans="3:18" ht="14.1" customHeight="1" x14ac:dyDescent="0.2">
      <c r="C269" s="483" t="s">
        <v>6323</v>
      </c>
      <c r="I269" s="506" t="s">
        <v>6397</v>
      </c>
      <c r="J269" s="499">
        <v>0</v>
      </c>
      <c r="K269" s="499">
        <v>0</v>
      </c>
      <c r="L269" s="512" t="str">
        <f>IF(K269=0,"0,00% ",(K269-J269)/K269)</f>
        <v xml:space="preserve">0,00% </v>
      </c>
      <c r="M269" s="499">
        <v>0</v>
      </c>
      <c r="N269" s="512" t="str">
        <f>IF(M269=0,"0,00% ",(M269-K269)/M269)</f>
        <v xml:space="preserve">0,00% </v>
      </c>
      <c r="O269" s="499">
        <v>0</v>
      </c>
      <c r="P269" s="512" t="str">
        <f>IF(O269=0,"0,00% ",(O269-M269)/O269)</f>
        <v xml:space="preserve">0,00% </v>
      </c>
      <c r="Q269" s="484" t="str">
        <f>IF(O269=0,"R$0,0",(J269+K269+M269+O269)/4)</f>
        <v>R$0,0</v>
      </c>
      <c r="R269" s="495">
        <f>IF(P269=0,"R$0,0%",(L269+N269+P269)/3)</f>
        <v>0</v>
      </c>
    </row>
    <row r="270" spans="3:18" ht="14.1" customHeight="1" x14ac:dyDescent="0.25">
      <c r="J270" s="499"/>
      <c r="K270" s="499"/>
      <c r="M270" s="499"/>
      <c r="O270" s="499"/>
    </row>
    <row r="271" spans="3:18" ht="14.1" customHeight="1" x14ac:dyDescent="0.2">
      <c r="C271" s="483" t="s">
        <v>6335</v>
      </c>
      <c r="I271" s="506" t="s">
        <v>5212</v>
      </c>
      <c r="J271" s="499">
        <v>0</v>
      </c>
      <c r="K271" s="499">
        <v>0</v>
      </c>
      <c r="L271" s="512" t="str">
        <f>IF(K271=0,"0,00% ",(K271-J271)/K271)</f>
        <v xml:space="preserve">0,00% </v>
      </c>
      <c r="M271" s="499">
        <v>0</v>
      </c>
      <c r="N271" s="512" t="str">
        <f>IF(M271=0,"0,00% ",(M271-K271)/M271)</f>
        <v xml:space="preserve">0,00% </v>
      </c>
      <c r="O271" s="499">
        <v>0</v>
      </c>
      <c r="P271" s="512" t="str">
        <f>IF(O271=0,"0,00% ",(O271-M271)/O271)</f>
        <v xml:space="preserve">0,00% </v>
      </c>
      <c r="Q271" s="484" t="str">
        <f>IF(O271=0,"R$0,0",(J271+K271+M271+O271)/4)</f>
        <v>R$0,0</v>
      </c>
      <c r="R271" s="495">
        <f>IF(P271=0,"R$0,0%",(L271+N271+P271)/3)</f>
        <v>0</v>
      </c>
    </row>
    <row r="272" spans="3:18" ht="14.1" customHeight="1" x14ac:dyDescent="0.25">
      <c r="J272" s="499"/>
      <c r="K272" s="499"/>
      <c r="M272" s="499"/>
      <c r="O272" s="499"/>
    </row>
    <row r="273" spans="3:18" ht="14.1" customHeight="1" x14ac:dyDescent="0.2">
      <c r="C273" s="483" t="s">
        <v>6398</v>
      </c>
      <c r="I273" s="506" t="s">
        <v>6399</v>
      </c>
      <c r="J273" s="499">
        <v>0</v>
      </c>
      <c r="K273" s="499">
        <v>0</v>
      </c>
      <c r="L273" s="512" t="str">
        <f>IF(K273=0,"0,00% ",(K273-J273)/K273)</f>
        <v xml:space="preserve">0,00% </v>
      </c>
      <c r="M273" s="499">
        <v>8466.74</v>
      </c>
      <c r="N273" s="512">
        <f>IF(M273=0,"0,00% ",(M273-K273)/M273)</f>
        <v>1</v>
      </c>
      <c r="O273" s="499">
        <v>0</v>
      </c>
      <c r="P273" s="512" t="str">
        <f>IF(O273=0,"0,00% ",(O273-M273)/O273)</f>
        <v xml:space="preserve">0,00% </v>
      </c>
      <c r="Q273" s="484" t="str">
        <f>IF(O273=0,"R$0,0",(J273+K273+M273+O273)/4)</f>
        <v>R$0,0</v>
      </c>
      <c r="R273" s="495">
        <f>IF(P273=0,"R$0,0%",(L273+N273+P273)/3)</f>
        <v>0.33333333333333331</v>
      </c>
    </row>
    <row r="274" spans="3:18" ht="14.1" customHeight="1" x14ac:dyDescent="0.25">
      <c r="J274" s="499"/>
      <c r="K274" s="499"/>
      <c r="M274" s="499"/>
      <c r="O274" s="499"/>
    </row>
    <row r="275" spans="3:18" ht="14.1" customHeight="1" x14ac:dyDescent="0.2">
      <c r="C275" s="483" t="s">
        <v>6400</v>
      </c>
      <c r="I275" s="506" t="s">
        <v>5306</v>
      </c>
      <c r="J275" s="499">
        <v>3735.58</v>
      </c>
      <c r="K275" s="499">
        <v>4207.2</v>
      </c>
      <c r="L275" s="512">
        <f>IF(K275=0,"0,00% ",(K275-J275)/K275)</f>
        <v>0.11209830766305379</v>
      </c>
      <c r="M275" s="499">
        <v>4231.63</v>
      </c>
      <c r="N275" s="512">
        <f>IF(M275=0,"0,00% ",(M275-K275)/M275)</f>
        <v>5.7731890548087354E-3</v>
      </c>
      <c r="O275" s="499">
        <v>4207.2</v>
      </c>
      <c r="P275" s="512">
        <f>IF(O275=0,"0,00% ",(O275-M275)/O275)</f>
        <v>-5.8067123027192172E-3</v>
      </c>
      <c r="Q275" s="484">
        <f>IF(O275=0,"R$0,0",(J275+K275+M275+O275)/4)</f>
        <v>4095.4025000000001</v>
      </c>
      <c r="R275" s="495">
        <f>IF(P275=0,"R$0,0%",(L275+N275+P275)/3)</f>
        <v>3.7354928138381101E-2</v>
      </c>
    </row>
    <row r="276" spans="3:18" ht="14.1" customHeight="1" x14ac:dyDescent="0.25">
      <c r="J276" s="499"/>
      <c r="K276" s="499"/>
      <c r="M276" s="499"/>
      <c r="O276" s="499"/>
    </row>
    <row r="277" spans="3:18" ht="14.1" customHeight="1" x14ac:dyDescent="0.2">
      <c r="C277" s="483" t="s">
        <v>6289</v>
      </c>
      <c r="I277" s="506" t="s">
        <v>2188</v>
      </c>
      <c r="J277" s="499">
        <v>0</v>
      </c>
      <c r="K277" s="499">
        <v>0</v>
      </c>
      <c r="L277" s="512" t="str">
        <f>IF(K277=0,"0,00% ",(K277-J277)/K277)</f>
        <v xml:space="preserve">0,00% </v>
      </c>
      <c r="M277" s="499">
        <v>0</v>
      </c>
      <c r="N277" s="512" t="str">
        <f>IF(M277=0,"0,00% ",(M277-K277)/M277)</f>
        <v xml:space="preserve">0,00% </v>
      </c>
      <c r="O277" s="499">
        <v>0</v>
      </c>
      <c r="P277" s="512" t="str">
        <f>IF(O277=0,"0,00% ",(O277-M277)/O277)</f>
        <v xml:space="preserve">0,00% </v>
      </c>
      <c r="Q277" s="484" t="str">
        <f>IF(O277=0,"R$0,0",(J277+K277+M277+O277)/4)</f>
        <v>R$0,0</v>
      </c>
      <c r="R277" s="495">
        <f>IF(P277=0,"R$0,0%",(L277+N277+P277)/3)</f>
        <v>0</v>
      </c>
    </row>
    <row r="278" spans="3:18" ht="14.1" customHeight="1" x14ac:dyDescent="0.25">
      <c r="J278" s="499"/>
      <c r="K278" s="499"/>
      <c r="M278" s="499"/>
      <c r="O278" s="499"/>
    </row>
    <row r="279" spans="3:18" ht="14.1" customHeight="1" x14ac:dyDescent="0.2">
      <c r="C279" s="483" t="s">
        <v>6401</v>
      </c>
      <c r="I279" s="506" t="s">
        <v>5315</v>
      </c>
      <c r="J279" s="499">
        <v>0</v>
      </c>
      <c r="K279" s="499">
        <v>0</v>
      </c>
      <c r="L279" s="512" t="str">
        <f>IF(K279=0,"0,00% ",(K279-J279)/K279)</f>
        <v xml:space="preserve">0,00% </v>
      </c>
      <c r="M279" s="499">
        <v>0</v>
      </c>
      <c r="N279" s="512" t="str">
        <f>IF(M279=0,"0,00% ",(M279-K279)/M279)</f>
        <v xml:space="preserve">0,00% </v>
      </c>
      <c r="O279" s="499">
        <v>0</v>
      </c>
      <c r="P279" s="512" t="str">
        <f>IF(O279=0,"0,00% ",(O279-M279)/O279)</f>
        <v xml:space="preserve">0,00% </v>
      </c>
      <c r="Q279" s="484" t="str">
        <f>IF(O279=0,"R$0,0",(J279+K279+M279+O279)/4)</f>
        <v>R$0,0</v>
      </c>
      <c r="R279" s="495">
        <f>IF(P279=0,"R$0,0%",(L279+N279+P279)/3)</f>
        <v>0</v>
      </c>
    </row>
    <row r="280" spans="3:18" ht="14.1" customHeight="1" x14ac:dyDescent="0.25">
      <c r="J280" s="499"/>
      <c r="K280" s="499"/>
      <c r="M280" s="499"/>
      <c r="O280" s="499"/>
    </row>
    <row r="281" spans="3:18" ht="14.1" customHeight="1" x14ac:dyDescent="0.2">
      <c r="C281" s="483" t="s">
        <v>6402</v>
      </c>
      <c r="I281" s="506" t="s">
        <v>1196</v>
      </c>
      <c r="J281" s="499">
        <v>0</v>
      </c>
      <c r="K281" s="499">
        <v>0</v>
      </c>
      <c r="L281" s="512" t="str">
        <f>IF(K281=0,"0,00% ",(K281-J281)/K281)</f>
        <v xml:space="preserve">0,00% </v>
      </c>
      <c r="M281" s="499">
        <v>0</v>
      </c>
      <c r="N281" s="512" t="str">
        <f>IF(M281=0,"0,00% ",(M281-K281)/M281)</f>
        <v xml:space="preserve">0,00% </v>
      </c>
      <c r="O281" s="499">
        <v>0</v>
      </c>
      <c r="P281" s="512" t="str">
        <f>IF(O281=0,"0,00% ",(O281-M281)/O281)</f>
        <v xml:space="preserve">0,00% </v>
      </c>
      <c r="Q281" s="484" t="str">
        <f>IF(O281=0,"R$0,0",(J281+K281+M281+O281)/4)</f>
        <v>R$0,0</v>
      </c>
      <c r="R281" s="495">
        <f>IF(P281=0,"R$0,0%",(L281+N281+P281)/3)</f>
        <v>0</v>
      </c>
    </row>
    <row r="282" spans="3:18" ht="14.1" customHeight="1" x14ac:dyDescent="0.25">
      <c r="J282" s="499"/>
      <c r="K282" s="499"/>
      <c r="M282" s="499"/>
      <c r="O282" s="499"/>
    </row>
    <row r="283" spans="3:18" ht="14.1" customHeight="1" x14ac:dyDescent="0.2">
      <c r="C283" s="483" t="s">
        <v>6261</v>
      </c>
      <c r="I283" s="506" t="s">
        <v>991</v>
      </c>
      <c r="J283" s="499">
        <v>3527.82</v>
      </c>
      <c r="K283" s="499">
        <v>1866.2</v>
      </c>
      <c r="L283" s="512">
        <f>IF(K283=0,"0,00% ",(K283-J283)/K283)</f>
        <v>-0.89037616546993892</v>
      </c>
      <c r="M283" s="499">
        <v>672</v>
      </c>
      <c r="N283" s="512">
        <f>IF(M283=0,"0,00% ",(M283-K283)/M283)</f>
        <v>-1.7770833333333333</v>
      </c>
      <c r="O283" s="499">
        <v>1866.2</v>
      </c>
      <c r="P283" s="512">
        <f>IF(O283=0,"0,00% ",(O283-M283)/O283)</f>
        <v>0.63990997749437362</v>
      </c>
      <c r="Q283" s="484">
        <f>IF(O283=0,"R$0,0",(J283+K283+M283+O283)/4)</f>
        <v>1983.0550000000001</v>
      </c>
      <c r="R283" s="495">
        <f>IF(P283=0,"R$0,0%",(L283+N283+P283)/3)</f>
        <v>-0.67584984043629959</v>
      </c>
    </row>
    <row r="284" spans="3:18" ht="14.1" customHeight="1" x14ac:dyDescent="0.25">
      <c r="J284" s="499"/>
      <c r="K284" s="499"/>
      <c r="M284" s="499"/>
      <c r="O284" s="499"/>
    </row>
    <row r="285" spans="3:18" ht="14.1" customHeight="1" x14ac:dyDescent="0.2">
      <c r="C285" s="483" t="s">
        <v>6403</v>
      </c>
      <c r="I285" s="506" t="s">
        <v>1098</v>
      </c>
      <c r="J285" s="499">
        <v>110</v>
      </c>
      <c r="K285" s="499">
        <v>160</v>
      </c>
      <c r="L285" s="512">
        <f>IF(K285=0,"0,00% ",(K285-J285)/K285)</f>
        <v>0.3125</v>
      </c>
      <c r="M285" s="499">
        <v>0</v>
      </c>
      <c r="N285" s="512" t="str">
        <f>IF(M285=0,"0,00% ",(M285-K285)/M285)</f>
        <v xml:space="preserve">0,00% </v>
      </c>
      <c r="O285" s="499">
        <v>160</v>
      </c>
      <c r="P285" s="512">
        <f>IF(O285=0,"0,00% ",(O285-M285)/O285)</f>
        <v>1</v>
      </c>
      <c r="Q285" s="484">
        <f>IF(O285=0,"R$0,0",(J285+K285+M285+O285)/4)</f>
        <v>107.5</v>
      </c>
      <c r="R285" s="495">
        <f>IF(P285=0,"R$0,0%",(L285+N285+P285)/3)</f>
        <v>0.4375</v>
      </c>
    </row>
    <row r="286" spans="3:18" ht="14.1" customHeight="1" x14ac:dyDescent="0.25">
      <c r="J286" s="499"/>
      <c r="K286" s="499"/>
      <c r="M286" s="499"/>
      <c r="O286" s="499"/>
    </row>
    <row r="287" spans="3:18" ht="14.1" customHeight="1" x14ac:dyDescent="0.2">
      <c r="C287" s="483" t="s">
        <v>6404</v>
      </c>
      <c r="I287" s="506" t="s">
        <v>1097</v>
      </c>
      <c r="J287" s="499">
        <v>0</v>
      </c>
      <c r="K287" s="499">
        <v>500</v>
      </c>
      <c r="L287" s="512">
        <f>IF(K287=0,"0,00% ",(K287-J287)/K287)</f>
        <v>1</v>
      </c>
      <c r="M287" s="499">
        <v>0</v>
      </c>
      <c r="N287" s="512" t="str">
        <f>IF(M287=0,"0,00% ",(M287-K287)/M287)</f>
        <v xml:space="preserve">0,00% </v>
      </c>
      <c r="O287" s="499">
        <v>500</v>
      </c>
      <c r="P287" s="512">
        <f>IF(O287=0,"0,00% ",(O287-M287)/O287)</f>
        <v>1</v>
      </c>
      <c r="Q287" s="484">
        <f>IF(O287=0,"R$0,0",(J287+K287+M287+O287)/4)</f>
        <v>250</v>
      </c>
      <c r="R287" s="495">
        <f>IF(P287=0,"R$0,0%",(L287+N287+P287)/3)</f>
        <v>0.66666666666666663</v>
      </c>
    </row>
    <row r="288" spans="3:18" ht="14.1" customHeight="1" x14ac:dyDescent="0.25">
      <c r="J288" s="499"/>
      <c r="K288" s="499"/>
      <c r="M288" s="499"/>
      <c r="O288" s="499"/>
    </row>
    <row r="289" spans="3:18" ht="14.1" customHeight="1" x14ac:dyDescent="0.2">
      <c r="C289" s="483" t="s">
        <v>6405</v>
      </c>
      <c r="I289" s="506" t="s">
        <v>1096</v>
      </c>
      <c r="J289" s="499">
        <v>0</v>
      </c>
      <c r="K289" s="499">
        <v>0</v>
      </c>
      <c r="L289" s="512" t="str">
        <f>IF(K289=0,"0,00% ",(K289-J289)/K289)</f>
        <v xml:space="preserve">0,00% </v>
      </c>
      <c r="M289" s="499">
        <v>0</v>
      </c>
      <c r="N289" s="512" t="str">
        <f>IF(M289=0,"0,00% ",(M289-K289)/M289)</f>
        <v xml:space="preserve">0,00% </v>
      </c>
      <c r="O289" s="499">
        <v>0</v>
      </c>
      <c r="P289" s="512" t="str">
        <f>IF(O289=0,"0,00% ",(O289-M289)/O289)</f>
        <v xml:space="preserve">0,00% </v>
      </c>
      <c r="Q289" s="484" t="str">
        <f>IF(O289=0,"R$0,0",(J289+K289+M289+O289)/4)</f>
        <v>R$0,0</v>
      </c>
      <c r="R289" s="495">
        <f>IF(P289=0,"R$0,0%",(L289+N289+P289)/3)</f>
        <v>0</v>
      </c>
    </row>
    <row r="290" spans="3:18" ht="14.1" customHeight="1" x14ac:dyDescent="0.25">
      <c r="J290" s="499"/>
      <c r="K290" s="499"/>
      <c r="M290" s="499"/>
      <c r="O290" s="499"/>
    </row>
    <row r="291" spans="3:18" ht="14.1" customHeight="1" x14ac:dyDescent="0.2">
      <c r="C291" s="483" t="s">
        <v>6290</v>
      </c>
      <c r="I291" s="506" t="s">
        <v>5334</v>
      </c>
      <c r="J291" s="499">
        <v>0</v>
      </c>
      <c r="K291" s="499">
        <v>0</v>
      </c>
      <c r="L291" s="512" t="str">
        <f>IF(K291=0,"0,00% ",(K291-J291)/K291)</f>
        <v xml:space="preserve">0,00% </v>
      </c>
      <c r="M291" s="499">
        <v>0</v>
      </c>
      <c r="N291" s="512" t="str">
        <f>IF(M291=0,"0,00% ",(M291-K291)/M291)</f>
        <v xml:space="preserve">0,00% </v>
      </c>
      <c r="O291" s="499">
        <v>0</v>
      </c>
      <c r="P291" s="512" t="str">
        <f>IF(O291=0,"0,00% ",(O291-M291)/O291)</f>
        <v xml:space="preserve">0,00% </v>
      </c>
      <c r="Q291" s="484" t="str">
        <f>IF(O291=0,"R$0,0",(J291+K291+M291+O291)/4)</f>
        <v>R$0,0</v>
      </c>
      <c r="R291" s="495">
        <f>IF(P291=0,"R$0,0%",(L291+N291+P291)/3)</f>
        <v>0</v>
      </c>
    </row>
    <row r="292" spans="3:18" ht="14.1" customHeight="1" x14ac:dyDescent="0.25">
      <c r="J292" s="499"/>
      <c r="K292" s="499"/>
      <c r="M292" s="499"/>
      <c r="O292" s="499"/>
    </row>
    <row r="293" spans="3:18" ht="14.1" customHeight="1" x14ac:dyDescent="0.2">
      <c r="C293" s="483" t="s">
        <v>6406</v>
      </c>
      <c r="I293" s="506" t="s">
        <v>6307</v>
      </c>
      <c r="J293" s="499">
        <v>10645.97</v>
      </c>
      <c r="K293" s="499">
        <v>22804.6</v>
      </c>
      <c r="L293" s="512">
        <f>IF(K293=0,"0,00% ",(K293-J293)/K293)</f>
        <v>0.53316567710023421</v>
      </c>
      <c r="M293" s="499">
        <v>20299.34</v>
      </c>
      <c r="N293" s="512">
        <f>IF(M293=0,"0,00% ",(M293-K293)/M293)</f>
        <v>-0.12341583519464172</v>
      </c>
      <c r="O293" s="499">
        <v>22804.6</v>
      </c>
      <c r="P293" s="512">
        <f>IF(O293=0,"0,00% ",(O293-M293)/O293)</f>
        <v>0.10985766029660676</v>
      </c>
      <c r="Q293" s="484">
        <f>IF(O293=0,"R$0,0",(J293+K293+M293+O293)/4)</f>
        <v>19138.627500000002</v>
      </c>
      <c r="R293" s="495">
        <f>IF(P293=0,"R$0,0%",(L293+N293+P293)/3)</f>
        <v>0.17320250073406643</v>
      </c>
    </row>
    <row r="294" spans="3:18" ht="14.1" customHeight="1" x14ac:dyDescent="0.25">
      <c r="J294" s="499"/>
      <c r="K294" s="499"/>
      <c r="M294" s="499"/>
      <c r="O294" s="499"/>
    </row>
    <row r="295" spans="3:18" s="492" customFormat="1" ht="14.1" customHeight="1" x14ac:dyDescent="0.25">
      <c r="C295" s="492" t="s">
        <v>6246</v>
      </c>
      <c r="I295" s="500" t="s">
        <v>6407</v>
      </c>
      <c r="J295" s="501">
        <f>J297</f>
        <v>0</v>
      </c>
      <c r="K295" s="501">
        <f>K297</f>
        <v>0</v>
      </c>
      <c r="L295" s="489" t="str">
        <f>IF(K295=0,"0,00% ",(K295-J295)/K295)</f>
        <v xml:space="preserve">0,00% </v>
      </c>
      <c r="M295" s="501">
        <f>M297</f>
        <v>0</v>
      </c>
      <c r="N295" s="489" t="str">
        <f>IF(M295=0,"0,00% ",(M295-K295)/M295)</f>
        <v xml:space="preserve">0,00% </v>
      </c>
      <c r="O295" s="501">
        <f>O297</f>
        <v>0</v>
      </c>
      <c r="P295" s="489" t="str">
        <f>IF(O295=0,"0,00% ",(O295-M295)/O295)</f>
        <v xml:space="preserve">0,00% </v>
      </c>
      <c r="Q295" s="490" t="str">
        <f>IF(O295=0,"R$0,0",(J295+K295+M295+O295)/4)</f>
        <v>R$0,0</v>
      </c>
      <c r="R295" s="491">
        <f>IF(P295=0,"R$0,0%",(L295+N295+P295)/3)</f>
        <v>0</v>
      </c>
    </row>
    <row r="296" spans="3:18" ht="14.1" customHeight="1" x14ac:dyDescent="0.25">
      <c r="J296" s="499"/>
      <c r="K296" s="499"/>
      <c r="M296" s="499"/>
      <c r="O296" s="499"/>
    </row>
    <row r="297" spans="3:18" ht="14.1" customHeight="1" x14ac:dyDescent="0.2">
      <c r="C297" s="483" t="s">
        <v>6408</v>
      </c>
      <c r="I297" s="506" t="s">
        <v>6409</v>
      </c>
      <c r="J297" s="499">
        <v>0</v>
      </c>
      <c r="K297" s="499">
        <v>0</v>
      </c>
      <c r="L297" s="512" t="str">
        <f>IF(K297=0,"0,00% ",(K297-J297)/K297)</f>
        <v xml:space="preserve">0,00% </v>
      </c>
      <c r="M297" s="499">
        <v>0</v>
      </c>
      <c r="N297" s="512" t="str">
        <f>IF(M297=0,"0,00% ",(M297-K297)/M297)</f>
        <v xml:space="preserve">0,00% </v>
      </c>
      <c r="O297" s="499">
        <v>0</v>
      </c>
      <c r="P297" s="512" t="str">
        <f>IF(O297=0,"0,00% ",(O297-M297)/O297)</f>
        <v xml:space="preserve">0,00% </v>
      </c>
      <c r="Q297" s="484" t="str">
        <f>IF(O297=0,"R$0,0",(J297+K297+M297+O297)/4)</f>
        <v>R$0,0</v>
      </c>
      <c r="R297" s="495">
        <f>IF(P297=0,"R$0,0%",(L297+N297+P297)/3)</f>
        <v>0</v>
      </c>
    </row>
    <row r="298" spans="3:18" ht="14.1" customHeight="1" x14ac:dyDescent="0.25">
      <c r="J298" s="499"/>
      <c r="K298" s="499"/>
      <c r="M298" s="499"/>
      <c r="O298" s="499"/>
    </row>
    <row r="299" spans="3:18" s="492" customFormat="1" ht="14.1" customHeight="1" x14ac:dyDescent="0.25">
      <c r="C299" s="492" t="s">
        <v>6231</v>
      </c>
      <c r="I299" s="500" t="s">
        <v>990</v>
      </c>
      <c r="J299" s="501">
        <f>J301+J303+J305+J307+J309</f>
        <v>683</v>
      </c>
      <c r="K299" s="501">
        <f>K301+K303+K305+K307+K309</f>
        <v>754</v>
      </c>
      <c r="L299" s="489">
        <f>IF(K299=0,"0,00% ",(K299-J299)/K299)</f>
        <v>9.4164456233421748E-2</v>
      </c>
      <c r="M299" s="501">
        <f>M301+M303+M305+M307+M309</f>
        <v>3498.8</v>
      </c>
      <c r="N299" s="489">
        <f>IF(M299=0,"0,00% ",(M299-K299)/M299)</f>
        <v>0.78449754201440491</v>
      </c>
      <c r="O299" s="501">
        <f>O301+O303+O305+O307+O309</f>
        <v>754</v>
      </c>
      <c r="P299" s="489">
        <f>IF(O299=0,"0,00% ",(O299-M299)/O299)</f>
        <v>-3.6403183023872683</v>
      </c>
      <c r="Q299" s="490">
        <f>IF(O299=0,"R$0,0",(J299+K299+M299+O299)/4)</f>
        <v>1422.45</v>
      </c>
      <c r="R299" s="491">
        <f>IF(P299=0,"R$0,0%",(L299+N299+P299)/3)</f>
        <v>-0.9205521013798138</v>
      </c>
    </row>
    <row r="300" spans="3:18" ht="14.1" customHeight="1" x14ac:dyDescent="0.25">
      <c r="J300" s="499"/>
      <c r="K300" s="499"/>
      <c r="M300" s="499"/>
      <c r="O300" s="499"/>
    </row>
    <row r="301" spans="3:18" ht="14.1" customHeight="1" x14ac:dyDescent="0.2">
      <c r="C301" s="483" t="s">
        <v>6262</v>
      </c>
      <c r="I301" s="506" t="s">
        <v>6410</v>
      </c>
      <c r="J301" s="499">
        <v>0</v>
      </c>
      <c r="K301" s="499">
        <v>0</v>
      </c>
      <c r="L301" s="512" t="str">
        <f>IF(K301=0,"0,00% ",(K301-J301)/K301)</f>
        <v xml:space="preserve">0,00% </v>
      </c>
      <c r="M301" s="499">
        <v>0</v>
      </c>
      <c r="N301" s="512" t="str">
        <f>IF(M301=0,"0,00% ",(M301-K301)/M301)</f>
        <v xml:space="preserve">0,00% </v>
      </c>
      <c r="O301" s="499">
        <v>0</v>
      </c>
      <c r="P301" s="512" t="str">
        <f>IF(O301=0,"0,00% ",(O301-M301)/O301)</f>
        <v xml:space="preserve">0,00% </v>
      </c>
      <c r="Q301" s="484" t="str">
        <f>IF(O301=0,"R$0,0",(J301+K301+M301+O301)/4)</f>
        <v>R$0,0</v>
      </c>
      <c r="R301" s="495">
        <f>IF(P301=0,"R$0,0%",(L301+N301+P301)/3)</f>
        <v>0</v>
      </c>
    </row>
    <row r="302" spans="3:18" ht="14.1" customHeight="1" x14ac:dyDescent="0.25">
      <c r="I302" s="506"/>
      <c r="J302" s="499"/>
      <c r="K302" s="499"/>
      <c r="M302" s="499"/>
      <c r="O302" s="499"/>
    </row>
    <row r="303" spans="3:18" ht="14.1" customHeight="1" x14ac:dyDescent="0.2">
      <c r="C303" s="483" t="s">
        <v>6263</v>
      </c>
      <c r="I303" s="506" t="s">
        <v>1116</v>
      </c>
      <c r="J303" s="499">
        <v>0</v>
      </c>
      <c r="K303" s="499">
        <v>0</v>
      </c>
      <c r="L303" s="512" t="str">
        <f>IF(K303=0,"0,00% ",(K303-J303)/K303)</f>
        <v xml:space="preserve">0,00% </v>
      </c>
      <c r="M303" s="499">
        <v>0</v>
      </c>
      <c r="N303" s="512" t="str">
        <f>IF(M303=0,"0,00% ",(M303-K303)/M303)</f>
        <v xml:space="preserve">0,00% </v>
      </c>
      <c r="O303" s="499">
        <v>0</v>
      </c>
      <c r="P303" s="512" t="str">
        <f>IF(O303=0,"0,00% ",(O303-M303)/O303)</f>
        <v xml:space="preserve">0,00% </v>
      </c>
      <c r="Q303" s="484" t="str">
        <f>IF(O303=0,"R$0,0",(J303+K303+M303+O303)/4)</f>
        <v>R$0,0</v>
      </c>
      <c r="R303" s="495">
        <f>IF(P303=0,"R$0,0%",(L303+N303+P303)/3)</f>
        <v>0</v>
      </c>
    </row>
    <row r="304" spans="3:18" ht="14.1" customHeight="1" x14ac:dyDescent="0.25">
      <c r="J304" s="499"/>
      <c r="K304" s="499"/>
      <c r="M304" s="499"/>
      <c r="O304" s="499"/>
    </row>
    <row r="305" spans="3:18" ht="14.1" customHeight="1" x14ac:dyDescent="0.2">
      <c r="C305" s="483" t="s">
        <v>6264</v>
      </c>
      <c r="I305" s="506" t="s">
        <v>1250</v>
      </c>
      <c r="J305" s="499">
        <v>0</v>
      </c>
      <c r="K305" s="499">
        <v>0</v>
      </c>
      <c r="L305" s="512" t="str">
        <f>IF(K305=0,"0,00% ",(K305-J305)/K305)</f>
        <v xml:space="preserve">0,00% </v>
      </c>
      <c r="M305" s="499">
        <v>0</v>
      </c>
      <c r="N305" s="512" t="str">
        <f>IF(M305=0,"0,00% ",(M305-K305)/M305)</f>
        <v xml:space="preserve">0,00% </v>
      </c>
      <c r="O305" s="499">
        <v>0</v>
      </c>
      <c r="P305" s="512" t="str">
        <f>IF(O305=0,"0,00% ",(O305-M305)/O305)</f>
        <v xml:space="preserve">0,00% </v>
      </c>
      <c r="Q305" s="484" t="str">
        <f>IF(O305=0,"R$0,0",(J305+K305+M305+O305)/4)</f>
        <v>R$0,0</v>
      </c>
      <c r="R305" s="495">
        <f>IF(P305=0,"R$0,0%",(L305+N305+P305)/3)</f>
        <v>0</v>
      </c>
    </row>
    <row r="306" spans="3:18" ht="14.1" customHeight="1" x14ac:dyDescent="0.25">
      <c r="J306" s="499"/>
      <c r="K306" s="499"/>
      <c r="M306" s="499"/>
      <c r="O306" s="499"/>
    </row>
    <row r="307" spans="3:18" ht="14.1" customHeight="1" x14ac:dyDescent="0.2">
      <c r="C307" s="483" t="s">
        <v>6268</v>
      </c>
      <c r="I307" s="506" t="s">
        <v>6411</v>
      </c>
      <c r="J307" s="499">
        <v>683</v>
      </c>
      <c r="K307" s="499">
        <v>754</v>
      </c>
      <c r="L307" s="494">
        <f>IF(K307=0,"0,00% ",K307/K$420)</f>
        <v>1.3772754716526888E-3</v>
      </c>
      <c r="M307" s="499">
        <v>1918.8</v>
      </c>
      <c r="N307" s="512">
        <f>IF(M307=0,"0,00% ",(M307-K307)/M307)</f>
        <v>0.60704607046070458</v>
      </c>
      <c r="O307" s="499">
        <v>754</v>
      </c>
      <c r="P307" s="512">
        <f>IF(O307=0,"0,00% ",(O307-M307)/O307)</f>
        <v>-1.5448275862068965</v>
      </c>
      <c r="Q307" s="484">
        <f>IF(O307=0,"R$0,0",(J307+K307+M307+O307)/4)</f>
        <v>1027.45</v>
      </c>
      <c r="R307" s="495">
        <f>IF(P307=0,"R$0,0%",(L307+N307+P307)/3)</f>
        <v>-0.31213474675817976</v>
      </c>
    </row>
    <row r="308" spans="3:18" ht="14.1" customHeight="1" x14ac:dyDescent="0.25">
      <c r="J308" s="499"/>
      <c r="K308" s="499"/>
      <c r="M308" s="499"/>
      <c r="O308" s="499"/>
    </row>
    <row r="309" spans="3:18" ht="14.1" customHeight="1" x14ac:dyDescent="0.2">
      <c r="C309" s="483" t="s">
        <v>6269</v>
      </c>
      <c r="I309" s="506" t="s">
        <v>6412</v>
      </c>
      <c r="J309" s="499">
        <v>0</v>
      </c>
      <c r="K309" s="499">
        <v>0</v>
      </c>
      <c r="L309" s="512" t="str">
        <f>IF(K309=0,"0,00% ",(K309-J309)/K309)</f>
        <v xml:space="preserve">0,00% </v>
      </c>
      <c r="M309" s="499">
        <v>1580</v>
      </c>
      <c r="N309" s="512">
        <f>IF(M309=0,"0,00% ",(M309-K309)/M309)</f>
        <v>1</v>
      </c>
      <c r="O309" s="499">
        <v>0</v>
      </c>
      <c r="P309" s="512" t="str">
        <f>IF(O309=0,"0,00% ",(O309-M309)/O309)</f>
        <v xml:space="preserve">0,00% </v>
      </c>
      <c r="Q309" s="484" t="str">
        <f>IF(O309=0,"R$0,0",(J309+K309+M309+O309)/4)</f>
        <v>R$0,0</v>
      </c>
      <c r="R309" s="495">
        <f>IF(P309=0,"R$0,0%",(L309+N309+P309)/3)</f>
        <v>0.33333333333333331</v>
      </c>
    </row>
    <row r="310" spans="3:18" ht="14.1" customHeight="1" x14ac:dyDescent="0.25">
      <c r="J310" s="499"/>
      <c r="K310" s="499"/>
      <c r="M310" s="499"/>
      <c r="O310" s="499"/>
    </row>
    <row r="311" spans="3:18" s="492" customFormat="1" ht="14.1" customHeight="1" x14ac:dyDescent="0.25">
      <c r="C311" s="492" t="s">
        <v>6247</v>
      </c>
      <c r="I311" s="500" t="s">
        <v>6042</v>
      </c>
      <c r="J311" s="501">
        <f>J313</f>
        <v>0</v>
      </c>
      <c r="K311" s="501">
        <f>K313</f>
        <v>0</v>
      </c>
      <c r="L311" s="489" t="str">
        <f>IF(K311=0,"0,00% ",(K311-J311)/K311)</f>
        <v xml:space="preserve">0,00% </v>
      </c>
      <c r="M311" s="501">
        <f>M313</f>
        <v>0</v>
      </c>
      <c r="N311" s="489" t="str">
        <f>IF(M311=0,"0,00% ",(M311-K311)/M311)</f>
        <v xml:space="preserve">0,00% </v>
      </c>
      <c r="O311" s="501">
        <f>O313</f>
        <v>0</v>
      </c>
      <c r="P311" s="489" t="str">
        <f>IF(O311=0,"0,00% ",(O311-M311)/O311)</f>
        <v xml:space="preserve">0,00% </v>
      </c>
      <c r="Q311" s="490" t="str">
        <f>IF(O311=0,"R$0,0",(J311+K311+M311+O311)/4)</f>
        <v>R$0,0</v>
      </c>
      <c r="R311" s="491">
        <f>IF(P311=0,"R$0,0%",(L311+N311+P311)/3)</f>
        <v>0</v>
      </c>
    </row>
    <row r="312" spans="3:18" ht="14.1" customHeight="1" x14ac:dyDescent="0.25">
      <c r="J312" s="499"/>
      <c r="K312" s="499"/>
      <c r="M312" s="499"/>
      <c r="O312" s="499"/>
    </row>
    <row r="313" spans="3:18" ht="14.1" customHeight="1" x14ac:dyDescent="0.2">
      <c r="C313" s="483" t="s">
        <v>6291</v>
      </c>
      <c r="I313" s="506" t="s">
        <v>6413</v>
      </c>
      <c r="J313" s="499">
        <v>0</v>
      </c>
      <c r="K313" s="499">
        <v>0</v>
      </c>
      <c r="L313" s="512" t="str">
        <f>IF(K313=0,"0,00% ",(K313-J313)/K313)</f>
        <v xml:space="preserve">0,00% </v>
      </c>
      <c r="M313" s="499">
        <v>0</v>
      </c>
      <c r="N313" s="512" t="str">
        <f>IF(M313=0,"0,00% ",(M313-K313)/M313)</f>
        <v xml:space="preserve">0,00% </v>
      </c>
      <c r="O313" s="499">
        <v>0</v>
      </c>
      <c r="P313" s="512" t="str">
        <f>IF(O313=0,"0,00% ",(O313-M313)/O313)</f>
        <v xml:space="preserve">0,00% </v>
      </c>
      <c r="Q313" s="484" t="str">
        <f>IF(O313=0,"R$0,0",(J313+K313+M313+O313)/4)</f>
        <v>R$0,0</v>
      </c>
      <c r="R313" s="495">
        <f>IF(P313=0,"R$0,0%",(L313+N313+P313)/3)</f>
        <v>0</v>
      </c>
    </row>
    <row r="314" spans="3:18" ht="14.1" customHeight="1" x14ac:dyDescent="0.25">
      <c r="J314" s="499"/>
      <c r="K314" s="499"/>
      <c r="M314" s="499"/>
      <c r="O314" s="499"/>
    </row>
    <row r="315" spans="3:18" s="492" customFormat="1" ht="14.1" customHeight="1" x14ac:dyDescent="0.25">
      <c r="C315" s="492" t="s">
        <v>6448</v>
      </c>
      <c r="I315" s="500" t="s">
        <v>6449</v>
      </c>
      <c r="J315" s="501">
        <f>J317</f>
        <v>0</v>
      </c>
      <c r="K315" s="501">
        <f>K317</f>
        <v>0</v>
      </c>
      <c r="L315" s="489" t="str">
        <f>IF(K315=0,"0,00% ",(K315-J315)/K315)</f>
        <v xml:space="preserve">0,00% </v>
      </c>
      <c r="M315" s="501">
        <f>M317</f>
        <v>0</v>
      </c>
      <c r="N315" s="489" t="str">
        <f>IF(M315=0,"0,00% ",(M315-K315)/M315)</f>
        <v xml:space="preserve">0,00% </v>
      </c>
      <c r="O315" s="501">
        <f>O317</f>
        <v>0</v>
      </c>
      <c r="P315" s="489" t="str">
        <f>IF(O315=0,"0,00% ",(O315-M315)/O315)</f>
        <v xml:space="preserve">0,00% </v>
      </c>
      <c r="Q315" s="490" t="str">
        <f>IF(O315=0,"R$0,0",(J315+K315+M315+O315)/4)</f>
        <v>R$0,0</v>
      </c>
      <c r="R315" s="491">
        <f>IF(P315=0,"R$0,0%",(L315+N315+P315)/3)</f>
        <v>0</v>
      </c>
    </row>
    <row r="316" spans="3:18" ht="14.1" customHeight="1" x14ac:dyDescent="0.25">
      <c r="J316" s="499"/>
      <c r="K316" s="499"/>
      <c r="M316" s="499"/>
      <c r="O316" s="499"/>
    </row>
    <row r="317" spans="3:18" ht="14.1" customHeight="1" x14ac:dyDescent="0.2">
      <c r="C317" s="483" t="s">
        <v>6448</v>
      </c>
      <c r="I317" s="506" t="s">
        <v>6449</v>
      </c>
      <c r="J317" s="499">
        <v>0</v>
      </c>
      <c r="K317" s="499">
        <v>0</v>
      </c>
      <c r="L317" s="512" t="str">
        <f>IF(K317=0,"0,00% ",(K317-J317)/K317)</f>
        <v xml:space="preserve">0,00% </v>
      </c>
      <c r="M317" s="499">
        <v>0</v>
      </c>
      <c r="N317" s="512" t="str">
        <f>IF(M317=0,"0,00% ",(M317-K317)/M317)</f>
        <v xml:space="preserve">0,00% </v>
      </c>
      <c r="O317" s="499">
        <v>0</v>
      </c>
      <c r="P317" s="512" t="str">
        <f>IF(O317=0,"0,00% ",(O317-M317)/O317)</f>
        <v xml:space="preserve">0,00% </v>
      </c>
      <c r="Q317" s="484" t="str">
        <f>IF(O317=0,"R$0,0",(J317+K317+M317+O317)/4)</f>
        <v>R$0,0</v>
      </c>
      <c r="R317" s="495">
        <f>IF(P317=0,"R$0,0%",(L317+N317+P317)/3)</f>
        <v>0</v>
      </c>
    </row>
    <row r="318" spans="3:18" ht="14.1" customHeight="1" x14ac:dyDescent="0.2">
      <c r="I318" s="506"/>
      <c r="J318" s="499"/>
      <c r="K318" s="499"/>
      <c r="L318" s="494"/>
      <c r="M318" s="499"/>
      <c r="N318" s="494"/>
      <c r="O318" s="499"/>
      <c r="P318" s="494"/>
      <c r="Q318" s="484"/>
      <c r="R318" s="495"/>
    </row>
    <row r="319" spans="3:18" s="492" customFormat="1" ht="14.1" customHeight="1" x14ac:dyDescent="0.25">
      <c r="C319" s="492" t="s">
        <v>6304</v>
      </c>
      <c r="I319" s="500" t="s">
        <v>1158</v>
      </c>
      <c r="J319" s="501">
        <f>J321</f>
        <v>0</v>
      </c>
      <c r="K319" s="501">
        <f>K321</f>
        <v>0</v>
      </c>
      <c r="L319" s="489" t="str">
        <f>IF(K319=0,"0,00% ",(K319-J319)/K319)</f>
        <v xml:space="preserve">0,00% </v>
      </c>
      <c r="M319" s="501">
        <f>M321</f>
        <v>0</v>
      </c>
      <c r="N319" s="489" t="str">
        <f>IF(M319=0,"0,00% ",(M319-K319)/M319)</f>
        <v xml:space="preserve">0,00% </v>
      </c>
      <c r="O319" s="501">
        <f>O321</f>
        <v>0</v>
      </c>
      <c r="P319" s="489" t="str">
        <f>IF(O319=0,"0,00% ",(O319-M319)/O319)</f>
        <v xml:space="preserve">0,00% </v>
      </c>
      <c r="Q319" s="490" t="str">
        <f>IF(O319=0,"R$0,0",(J319+K319+M319+O319)/4)</f>
        <v>R$0,0</v>
      </c>
      <c r="R319" s="491">
        <f>IF(P319=0,"R$0,0%",(L319+N319+P319)/3)</f>
        <v>0</v>
      </c>
    </row>
    <row r="320" spans="3:18" ht="14.1" customHeight="1" x14ac:dyDescent="0.25">
      <c r="J320" s="499"/>
      <c r="K320" s="499"/>
      <c r="M320" s="499"/>
      <c r="O320" s="499"/>
    </row>
    <row r="321" spans="3:18" ht="14.1" customHeight="1" x14ac:dyDescent="0.2">
      <c r="C321" s="483" t="s">
        <v>6414</v>
      </c>
      <c r="I321" s="506" t="s">
        <v>1997</v>
      </c>
      <c r="J321" s="499">
        <v>0</v>
      </c>
      <c r="K321" s="499">
        <v>0</v>
      </c>
      <c r="L321" s="512" t="str">
        <f>IF(K321=0,"0,00% ",(K321-J321)/K321)</f>
        <v xml:space="preserve">0,00% </v>
      </c>
      <c r="M321" s="499">
        <v>0</v>
      </c>
      <c r="N321" s="512" t="str">
        <f>IF(M321=0,"0,00% ",(M321-L321)/M321)</f>
        <v xml:space="preserve">0,00% </v>
      </c>
      <c r="O321" s="499">
        <v>0</v>
      </c>
      <c r="P321" s="512" t="str">
        <f>IF(O321=0,"0,00% ",(O321-N321)/O321)</f>
        <v xml:space="preserve">0,00% </v>
      </c>
      <c r="Q321" s="484" t="str">
        <f>IF(O321=0,"R$0,0",(J321+K321+M321+O321)/4)</f>
        <v>R$0,0</v>
      </c>
      <c r="R321" s="495">
        <f>IF(P321=0,"R$0,0%",(L321+N321+P321)/3)</f>
        <v>0</v>
      </c>
    </row>
    <row r="322" spans="3:18" ht="14.1" customHeight="1" x14ac:dyDescent="0.25">
      <c r="J322" s="499"/>
      <c r="K322" s="499"/>
      <c r="M322" s="499"/>
      <c r="O322" s="499"/>
    </row>
    <row r="323" spans="3:18" s="492" customFormat="1" ht="14.1" customHeight="1" x14ac:dyDescent="0.25">
      <c r="C323" s="492" t="s">
        <v>6248</v>
      </c>
      <c r="I323" s="500" t="s">
        <v>985</v>
      </c>
      <c r="J323" s="501">
        <f>J325</f>
        <v>473.69</v>
      </c>
      <c r="K323" s="501">
        <f>K325</f>
        <v>294.26</v>
      </c>
      <c r="L323" s="489">
        <f>IF(K323=0,"0,00% ",(K323-J323)/K323)</f>
        <v>-0.60976687283354858</v>
      </c>
      <c r="M323" s="501">
        <f>M325</f>
        <v>313.02</v>
      </c>
      <c r="N323" s="489">
        <f>IF(M323=0,"0,00% ",(M323-K323)/M323)</f>
        <v>5.9932272698230121E-2</v>
      </c>
      <c r="O323" s="501">
        <f>O325</f>
        <v>294.26</v>
      </c>
      <c r="P323" s="489">
        <f>IF(O323=0,"0,00% ",(O323-M323)/O323)</f>
        <v>-6.3753143478556346E-2</v>
      </c>
      <c r="Q323" s="490">
        <f>IF(O323=0,"R$0,0",(J323+K323+M323+O323)/4)</f>
        <v>343.8075</v>
      </c>
      <c r="R323" s="491">
        <f>IF(P323=0,"R$0,0%",(L323+N323+P323)/3)</f>
        <v>-0.20452924787129159</v>
      </c>
    </row>
    <row r="324" spans="3:18" ht="14.1" customHeight="1" x14ac:dyDescent="0.25">
      <c r="J324" s="499"/>
      <c r="K324" s="499"/>
      <c r="M324" s="499"/>
      <c r="O324" s="499"/>
    </row>
    <row r="325" spans="3:18" ht="14.1" customHeight="1" x14ac:dyDescent="0.2">
      <c r="C325" s="483" t="s">
        <v>6415</v>
      </c>
      <c r="I325" s="506" t="s">
        <v>1162</v>
      </c>
      <c r="J325" s="499">
        <v>473.69</v>
      </c>
      <c r="K325" s="499">
        <v>294.26</v>
      </c>
      <c r="L325" s="494">
        <f>IF(K325=0,"0,00% ",K325/K$420)</f>
        <v>5.3750275900334241E-4</v>
      </c>
      <c r="M325" s="499">
        <v>313.02</v>
      </c>
      <c r="N325" s="494">
        <f>IF(M325=0,"0,00% ",M325/M$420)</f>
        <v>5.439103053644027E-4</v>
      </c>
      <c r="O325" s="499">
        <v>294.26</v>
      </c>
      <c r="P325" s="494">
        <f>IF(O325=0,"0,00% ",O325/O$420)</f>
        <v>3.4016858401746125E-4</v>
      </c>
      <c r="Q325" s="484">
        <f>IF(O325=0,"R$0,0",(J325+K325+M325+O325)/4)</f>
        <v>343.8075</v>
      </c>
      <c r="R325" s="495">
        <f>IF(P325=0,"R$0,0%",(L325+N325+P325)/3)</f>
        <v>4.7386054946173544E-4</v>
      </c>
    </row>
    <row r="326" spans="3:18" ht="14.1" customHeight="1" x14ac:dyDescent="0.25">
      <c r="J326" s="499"/>
      <c r="K326" s="499"/>
      <c r="M326" s="499"/>
      <c r="O326" s="499"/>
    </row>
    <row r="327" spans="3:18" s="492" customFormat="1" ht="14.1" customHeight="1" x14ac:dyDescent="0.25">
      <c r="C327" s="492" t="s">
        <v>6416</v>
      </c>
      <c r="I327" s="500" t="s">
        <v>6417</v>
      </c>
      <c r="J327" s="501">
        <v>0</v>
      </c>
      <c r="K327" s="501">
        <v>0</v>
      </c>
      <c r="L327" s="489" t="str">
        <f>IF(K327=0,"0,00% ",(K327-J327)/K327)</f>
        <v xml:space="preserve">0,00% </v>
      </c>
      <c r="M327" s="501">
        <v>0</v>
      </c>
      <c r="N327" s="489" t="str">
        <f>IF(M327=0,"0,00% ",(M327-K327)/M327)</f>
        <v xml:space="preserve">0,00% </v>
      </c>
      <c r="O327" s="501">
        <v>0</v>
      </c>
      <c r="P327" s="489" t="str">
        <f>IF(O327=0,"0,00% ",(O327-M327)/O327)</f>
        <v xml:space="preserve">0,00% </v>
      </c>
      <c r="Q327" s="490" t="str">
        <f>IF(O327=0,"R$0,0",(J327+K327+M327+O327)/4)</f>
        <v>R$0,0</v>
      </c>
      <c r="R327" s="491">
        <f>IF(P327=0,"R$0,0%",(L327+N327+P327)/3)</f>
        <v>0</v>
      </c>
    </row>
    <row r="328" spans="3:18" ht="14.1" customHeight="1" x14ac:dyDescent="0.25">
      <c r="J328" s="499"/>
      <c r="K328" s="499"/>
      <c r="M328" s="499"/>
      <c r="O328" s="499"/>
    </row>
    <row r="329" spans="3:18" s="492" customFormat="1" ht="14.1" customHeight="1" x14ac:dyDescent="0.25">
      <c r="C329" s="492" t="s">
        <v>6256</v>
      </c>
      <c r="I329" s="500" t="s">
        <v>996</v>
      </c>
      <c r="J329" s="501">
        <f>J331+J333+J335</f>
        <v>0</v>
      </c>
      <c r="K329" s="501">
        <f>K331+K333+K335</f>
        <v>0</v>
      </c>
      <c r="L329" s="489" t="str">
        <f>IF(K329=0,"0,00% ",(K329-J329)/K329)</f>
        <v xml:space="preserve">0,00% </v>
      </c>
      <c r="M329" s="501">
        <f>M331+M333+M335</f>
        <v>0</v>
      </c>
      <c r="N329" s="489" t="str">
        <f>IF(M329=0,"0,00% ",(M329-K329)/M329)</f>
        <v xml:space="preserve">0,00% </v>
      </c>
      <c r="O329" s="501">
        <f>O331+O333+O335</f>
        <v>0</v>
      </c>
      <c r="P329" s="489" t="str">
        <f>IF(O329=0,"0,00% ",(O329-M329)/O329)</f>
        <v xml:space="preserve">0,00% </v>
      </c>
      <c r="Q329" s="490" t="str">
        <f>IF(O329=0,"R$0,0",(J329+K329+M329+O329)/4)</f>
        <v>R$0,0</v>
      </c>
      <c r="R329" s="491">
        <f>IF(P329=0,"R$0,0%",(L329+N329+P329)/3)</f>
        <v>0</v>
      </c>
    </row>
    <row r="330" spans="3:18" ht="14.1" customHeight="1" x14ac:dyDescent="0.25">
      <c r="J330" s="499"/>
      <c r="K330" s="499"/>
      <c r="M330" s="499"/>
      <c r="O330" s="499"/>
    </row>
    <row r="331" spans="3:18" ht="14.1" customHeight="1" x14ac:dyDescent="0.2">
      <c r="C331" s="483" t="s">
        <v>6324</v>
      </c>
      <c r="I331" s="506" t="s">
        <v>1023</v>
      </c>
      <c r="J331" s="499">
        <v>0</v>
      </c>
      <c r="K331" s="499">
        <v>0</v>
      </c>
      <c r="L331" s="512" t="str">
        <f>IF(K331=0,"0,00% ",(K331-J331)/K331)</f>
        <v xml:space="preserve">0,00% </v>
      </c>
      <c r="M331" s="499">
        <v>0</v>
      </c>
      <c r="N331" s="512" t="str">
        <f>IF(M331=0,"0,00% ",(M331-L331)/M331)</f>
        <v xml:space="preserve">0,00% </v>
      </c>
      <c r="O331" s="499">
        <v>0</v>
      </c>
      <c r="P331" s="512" t="str">
        <f>IF(O331=0,"0,00% ",(O331-N331)/O331)</f>
        <v xml:space="preserve">0,00% </v>
      </c>
      <c r="Q331" s="484" t="str">
        <f>IF(O331=0,"R$0,0",(J331+K331+M331+O331)/4)</f>
        <v>R$0,0</v>
      </c>
      <c r="R331" s="495">
        <f>IF(P331=0,"R$0,0%",(L331+N331+P331)/3)</f>
        <v>0</v>
      </c>
    </row>
    <row r="332" spans="3:18" ht="14.1" customHeight="1" x14ac:dyDescent="0.25">
      <c r="J332" s="499"/>
      <c r="K332" s="499"/>
      <c r="M332" s="499"/>
      <c r="O332" s="499"/>
    </row>
    <row r="333" spans="3:18" ht="14.1" customHeight="1" x14ac:dyDescent="0.2">
      <c r="C333" s="483" t="s">
        <v>6292</v>
      </c>
      <c r="I333" s="506" t="s">
        <v>1003</v>
      </c>
      <c r="J333" s="499">
        <v>0</v>
      </c>
      <c r="K333" s="499">
        <v>0</v>
      </c>
      <c r="L333" s="512" t="str">
        <f>IF(K333=0,"0,00% ",(K333-J333)/K333)</f>
        <v xml:space="preserve">0,00% </v>
      </c>
      <c r="M333" s="499">
        <v>0</v>
      </c>
      <c r="N333" s="512" t="str">
        <f>IF(M333=0,"0,00% ",(M333-L333)/M333)</f>
        <v xml:space="preserve">0,00% </v>
      </c>
      <c r="O333" s="499">
        <v>0</v>
      </c>
      <c r="P333" s="512" t="str">
        <f>IF(O333=0,"0,00% ",(O333-N333)/O333)</f>
        <v xml:space="preserve">0,00% </v>
      </c>
      <c r="Q333" s="484" t="str">
        <f>IF(O333=0,"R$0,0",(J333+K333+M333+O333)/4)</f>
        <v>R$0,0</v>
      </c>
      <c r="R333" s="495">
        <f>IF(P333=0,"R$0,0%",(L333+N333+P333)/3)</f>
        <v>0</v>
      </c>
    </row>
    <row r="334" spans="3:18" ht="14.1" customHeight="1" x14ac:dyDescent="0.25">
      <c r="J334" s="499"/>
      <c r="K334" s="499"/>
      <c r="M334" s="499"/>
      <c r="O334" s="499"/>
    </row>
    <row r="335" spans="3:18" ht="14.1" customHeight="1" x14ac:dyDescent="0.2">
      <c r="C335" s="483" t="s">
        <v>6418</v>
      </c>
      <c r="I335" s="506" t="s">
        <v>1100</v>
      </c>
      <c r="J335" s="499">
        <v>0</v>
      </c>
      <c r="K335" s="499">
        <v>0</v>
      </c>
      <c r="L335" s="512" t="str">
        <f>IF(K335=0,"0,00% ",(K335-J335)/K335)</f>
        <v xml:space="preserve">0,00% </v>
      </c>
      <c r="M335" s="499">
        <v>0</v>
      </c>
      <c r="N335" s="512" t="str">
        <f>IF(M335=0,"0,00% ",(M335-L335)/M335)</f>
        <v xml:space="preserve">0,00% </v>
      </c>
      <c r="O335" s="499">
        <v>0</v>
      </c>
      <c r="P335" s="512" t="str">
        <f>IF(O335=0,"0,00% ",(O335-N335)/O335)</f>
        <v xml:space="preserve">0,00% </v>
      </c>
      <c r="Q335" s="484" t="str">
        <f>IF(O335=0,"R$0,0",(J335+K335+M335+O335)/4)</f>
        <v>R$0,0</v>
      </c>
      <c r="R335" s="495">
        <f>IF(P335=0,"R$0,0%",(L335+N335+P335)/3)</f>
        <v>0</v>
      </c>
    </row>
    <row r="336" spans="3:18" ht="14.1" customHeight="1" x14ac:dyDescent="0.25">
      <c r="J336" s="499"/>
      <c r="K336" s="499"/>
      <c r="M336" s="499"/>
      <c r="O336" s="499"/>
    </row>
    <row r="337" spans="3:23" s="492" customFormat="1" ht="14.1" customHeight="1" x14ac:dyDescent="0.25">
      <c r="C337" s="492" t="s">
        <v>6325</v>
      </c>
      <c r="I337" s="500" t="s">
        <v>6419</v>
      </c>
      <c r="J337" s="501">
        <f>J339</f>
        <v>0</v>
      </c>
      <c r="K337" s="501">
        <f>K339</f>
        <v>0</v>
      </c>
      <c r="L337" s="489" t="str">
        <f>IF(K337=0,"0,00% ",(K337-J337)/K337)</f>
        <v xml:space="preserve">0,00% </v>
      </c>
      <c r="M337" s="501">
        <f>M339</f>
        <v>0</v>
      </c>
      <c r="N337" s="489" t="str">
        <f>IF(M337=0,"0,00% ",(M337-K337)/M337)</f>
        <v xml:space="preserve">0,00% </v>
      </c>
      <c r="O337" s="501">
        <f>O339</f>
        <v>0</v>
      </c>
      <c r="P337" s="489" t="str">
        <f>IF(O337=0,"0,00% ",(O337-M337)/O337)</f>
        <v xml:space="preserve">0,00% </v>
      </c>
      <c r="Q337" s="490" t="str">
        <f>IF(O337=0,"R$0,0",(J337+K337+M337+O337)/4)</f>
        <v>R$0,0</v>
      </c>
      <c r="R337" s="491">
        <f>IF(P337=0,"R$0,0%",(L337+N337+P337)/3)</f>
        <v>0</v>
      </c>
    </row>
    <row r="338" spans="3:23" ht="14.1" customHeight="1" x14ac:dyDescent="0.25">
      <c r="J338" s="499"/>
      <c r="K338" s="499"/>
      <c r="M338" s="499"/>
      <c r="O338" s="499"/>
    </row>
    <row r="339" spans="3:23" ht="14.1" customHeight="1" x14ac:dyDescent="0.2">
      <c r="C339" s="483" t="s">
        <v>6326</v>
      </c>
      <c r="I339" s="506" t="s">
        <v>6397</v>
      </c>
      <c r="J339" s="499">
        <v>0</v>
      </c>
      <c r="K339" s="499">
        <v>0</v>
      </c>
      <c r="L339" s="512" t="str">
        <f>IF(K339=0,"0,00% ",(K339-J339)/K339)</f>
        <v xml:space="preserve">0,00% </v>
      </c>
      <c r="M339" s="499">
        <v>0</v>
      </c>
      <c r="N339" s="512" t="str">
        <f>IF(M339=0,"0,00% ",(M339-L339)/M339)</f>
        <v xml:space="preserve">0,00% </v>
      </c>
      <c r="O339" s="499">
        <v>0</v>
      </c>
      <c r="P339" s="512" t="str">
        <f>IF(O339=0,"0,00% ",(O339-N339)/O339)</f>
        <v xml:space="preserve">0,00% </v>
      </c>
      <c r="Q339" s="484" t="str">
        <f>IF(O339=0,"R$0,0",(J339+K339+M339+O339)/4)</f>
        <v>R$0,0</v>
      </c>
      <c r="R339" s="495">
        <f>IF(P339=0,"R$0,0%",(L339+N339+P339)/3)</f>
        <v>0</v>
      </c>
    </row>
    <row r="340" spans="3:23" ht="14.1" customHeight="1" x14ac:dyDescent="0.25">
      <c r="J340" s="499"/>
      <c r="K340" s="499"/>
      <c r="M340" s="499"/>
      <c r="O340" s="499"/>
    </row>
    <row r="341" spans="3:23" ht="14.1" customHeight="1" x14ac:dyDescent="0.25">
      <c r="J341" s="499"/>
      <c r="K341" s="499"/>
      <c r="M341" s="499"/>
      <c r="O341" s="499"/>
    </row>
    <row r="342" spans="3:23" s="492" customFormat="1" ht="14.1" customHeight="1" x14ac:dyDescent="0.25">
      <c r="C342" s="492" t="s">
        <v>2112</v>
      </c>
      <c r="I342" s="500" t="s">
        <v>2113</v>
      </c>
      <c r="J342" s="501">
        <f>J344+J404</f>
        <v>1430.0149999999996</v>
      </c>
      <c r="K342" s="501">
        <f>K344+K404</f>
        <v>7352.0150000000012</v>
      </c>
      <c r="L342" s="489">
        <f>IF(K342=0,"0,00% ",(K342-J342)/K342)</f>
        <v>0.80549345995621624</v>
      </c>
      <c r="M342" s="501">
        <f>M344+M404</f>
        <v>573</v>
      </c>
      <c r="N342" s="489">
        <f>IF(M342=0,"0,00% ",(M342-K342)/M342)</f>
        <v>-11.830741710296687</v>
      </c>
      <c r="O342" s="501">
        <f>O344+O404</f>
        <v>7352</v>
      </c>
      <c r="P342" s="489">
        <f>IF(O342=0,"0,00% ",(O342-M342)/O342)</f>
        <v>0.92206202393906422</v>
      </c>
      <c r="Q342" s="490">
        <f>IF(O342=0,"R$0,0",(J342+K342+M342+O342)/4)</f>
        <v>4176.7574999999997</v>
      </c>
      <c r="R342" s="491">
        <f>IF(P342=0,"R$0,0%",(L342+N342+P342)/3)</f>
        <v>-3.3677287421338025</v>
      </c>
      <c r="W342" s="502"/>
    </row>
    <row r="343" spans="3:23" s="492" customFormat="1" ht="14.1" customHeight="1" x14ac:dyDescent="0.25">
      <c r="J343" s="501"/>
      <c r="K343" s="501"/>
      <c r="M343" s="501"/>
      <c r="O343" s="501"/>
    </row>
    <row r="344" spans="3:23" s="492" customFormat="1" ht="14.1" customHeight="1" x14ac:dyDescent="0.25">
      <c r="C344" s="492" t="s">
        <v>2114</v>
      </c>
      <c r="I344" s="500" t="s">
        <v>95</v>
      </c>
      <c r="J344" s="501">
        <f>J346+J350+J354</f>
        <v>1430.0139999999997</v>
      </c>
      <c r="K344" s="501">
        <f>K346+K350+K354</f>
        <v>7352.014000000001</v>
      </c>
      <c r="L344" s="489">
        <f>IF(K344=0,"0,00% ",(K344-J344)/K344)</f>
        <v>0.80549356951714202</v>
      </c>
      <c r="M344" s="501">
        <f>M346+M350+M354</f>
        <v>573</v>
      </c>
      <c r="N344" s="489">
        <f>IF(M344=0,"0,00% ",(M344-K344)/M344)</f>
        <v>-11.830739965095988</v>
      </c>
      <c r="O344" s="501">
        <f>O346+O350+O354</f>
        <v>7352</v>
      </c>
      <c r="P344" s="489">
        <f>IF(O344=0,"0,00% ",(O344-M344)/O344)</f>
        <v>0.92206202393906422</v>
      </c>
      <c r="Q344" s="490">
        <f>IF(O344=0,"R$0,0",(J344+K344+M344+O344)/4)</f>
        <v>4176.7569999999996</v>
      </c>
      <c r="R344" s="491">
        <f>IF(P344=0,"R$0,0%",(L344+N344+P344)/3)</f>
        <v>-3.3677281238799277</v>
      </c>
      <c r="S344" s="502"/>
    </row>
    <row r="345" spans="3:23" s="492" customFormat="1" ht="14.1" customHeight="1" x14ac:dyDescent="0.25">
      <c r="J345" s="501"/>
      <c r="K345" s="501"/>
      <c r="M345" s="501"/>
      <c r="O345" s="501"/>
    </row>
    <row r="346" spans="3:23" s="492" customFormat="1" ht="14.1" customHeight="1" x14ac:dyDescent="0.25">
      <c r="C346" s="492" t="s">
        <v>2117</v>
      </c>
      <c r="I346" s="500" t="s">
        <v>2118</v>
      </c>
      <c r="J346" s="501">
        <f>J348</f>
        <v>0</v>
      </c>
      <c r="K346" s="501">
        <f>K348</f>
        <v>0</v>
      </c>
      <c r="L346" s="489" t="str">
        <f>IF(K346=0,"0,00% ",(K346-J346)/K346)</f>
        <v xml:space="preserve">0,00% </v>
      </c>
      <c r="M346" s="501">
        <f>M348</f>
        <v>0</v>
      </c>
      <c r="N346" s="489" t="str">
        <f>IF(M346=0,"0,00% ",(M346-K346)/M346)</f>
        <v xml:space="preserve">0,00% </v>
      </c>
      <c r="O346" s="501">
        <f>O348</f>
        <v>0</v>
      </c>
      <c r="P346" s="489" t="str">
        <f>IF(O346=0,"0,00% ",(O346-M346)/O346)</f>
        <v xml:space="preserve">0,00% </v>
      </c>
      <c r="Q346" s="490" t="str">
        <f>IF(O346=0,"R$0,0",(J346+K346+M346+O346)/4)</f>
        <v>R$0,0</v>
      </c>
      <c r="R346" s="491">
        <f>IF(P346=0,"R$0,0%",(L346+N346+P346)/3)</f>
        <v>0</v>
      </c>
    </row>
    <row r="347" spans="3:23" s="492" customFormat="1" ht="14.1" customHeight="1" x14ac:dyDescent="0.25">
      <c r="J347" s="501"/>
      <c r="K347" s="501"/>
      <c r="M347" s="501"/>
      <c r="O347" s="501"/>
    </row>
    <row r="348" spans="3:23" ht="14.1" customHeight="1" x14ac:dyDescent="0.2">
      <c r="C348" s="483" t="s">
        <v>6265</v>
      </c>
      <c r="I348" s="506" t="s">
        <v>985</v>
      </c>
      <c r="J348" s="499">
        <v>0</v>
      </c>
      <c r="K348" s="499">
        <v>0</v>
      </c>
      <c r="L348" s="512" t="str">
        <f>IF(K348=0,"0,00% ",(K348-J348)/K348)</f>
        <v xml:space="preserve">0,00% </v>
      </c>
      <c r="M348" s="499">
        <v>0</v>
      </c>
      <c r="N348" s="512" t="str">
        <f>IF(M348=0,"0,00% ",(M348-L348)/M348)</f>
        <v xml:space="preserve">0,00% </v>
      </c>
      <c r="O348" s="499">
        <v>0</v>
      </c>
      <c r="P348" s="512" t="str">
        <f>IF(O348=0,"0,00% ",(O348-N348)/O348)</f>
        <v xml:space="preserve">0,00% </v>
      </c>
      <c r="Q348" s="484" t="str">
        <f>IF(O348=0,"R$0,0",(J348+K348+M348+O348)/4)</f>
        <v>R$0,0</v>
      </c>
      <c r="R348" s="495">
        <f>IF(P348=0,"R$0,0%",(L348+N348+P348)/3)</f>
        <v>0</v>
      </c>
    </row>
    <row r="349" spans="3:23" s="492" customFormat="1" ht="14.1" customHeight="1" x14ac:dyDescent="0.25">
      <c r="J349" s="501"/>
      <c r="K349" s="501"/>
      <c r="M349" s="501"/>
      <c r="O349" s="501"/>
    </row>
    <row r="350" spans="3:23" s="492" customFormat="1" ht="14.1" customHeight="1" x14ac:dyDescent="0.25">
      <c r="C350" s="492" t="s">
        <v>2119</v>
      </c>
      <c r="I350" s="500" t="s">
        <v>2120</v>
      </c>
      <c r="J350" s="501">
        <f>J352</f>
        <v>0</v>
      </c>
      <c r="K350" s="501">
        <f>K352</f>
        <v>0</v>
      </c>
      <c r="L350" s="489" t="str">
        <f>IF(K350=0,"0,00% ",(K350-J350)/K350)</f>
        <v xml:space="preserve">0,00% </v>
      </c>
      <c r="M350" s="501">
        <f>M352</f>
        <v>0</v>
      </c>
      <c r="N350" s="489" t="str">
        <f>IF(M350=0,"0,00% ",(M350-K350)/M350)</f>
        <v xml:space="preserve">0,00% </v>
      </c>
      <c r="O350" s="501">
        <f>O352</f>
        <v>0</v>
      </c>
      <c r="P350" s="489" t="str">
        <f>IF(O350=0,"0,00% ",(O350-M350)/O350)</f>
        <v xml:space="preserve">0,00% </v>
      </c>
      <c r="Q350" s="490" t="str">
        <f>IF(O350=0,"R$0,0",(J350+K350+M350+O350)/4)</f>
        <v>R$0,0</v>
      </c>
      <c r="R350" s="491">
        <f>IF(P350=0,"R$0,0%",(L350+N350+P350)/3)</f>
        <v>0</v>
      </c>
    </row>
    <row r="351" spans="3:23" ht="14.1" customHeight="1" x14ac:dyDescent="0.25">
      <c r="J351" s="499"/>
      <c r="K351" s="499"/>
      <c r="M351" s="499"/>
      <c r="O351" s="499"/>
    </row>
    <row r="352" spans="3:23" ht="14.1" customHeight="1" x14ac:dyDescent="0.2">
      <c r="C352" s="483" t="s">
        <v>6266</v>
      </c>
      <c r="I352" s="506" t="s">
        <v>985</v>
      </c>
      <c r="J352" s="499">
        <v>0</v>
      </c>
      <c r="K352" s="499">
        <v>0</v>
      </c>
      <c r="L352" s="512" t="str">
        <f>IF(K352=0,"0,00% ",(K352-J352)/K352)</f>
        <v xml:space="preserve">0,00% </v>
      </c>
      <c r="M352" s="499">
        <v>0</v>
      </c>
      <c r="N352" s="512" t="str">
        <f>IF(M352=0,"0,00% ",(M352-L352)/M352)</f>
        <v xml:space="preserve">0,00% </v>
      </c>
      <c r="O352" s="499">
        <v>0</v>
      </c>
      <c r="P352" s="512" t="str">
        <f>IF(O352=0,"0,00% ",(O352-N352)/O352)</f>
        <v xml:space="preserve">0,00% </v>
      </c>
      <c r="Q352" s="484" t="str">
        <f>IF(O352=0,"R$0,0",(J352+K352+M352+O352)/4)</f>
        <v>R$0,0</v>
      </c>
      <c r="R352" s="495">
        <f>IF(P352=0,"R$0,0%",(L352+N352+P352)/3)</f>
        <v>0</v>
      </c>
    </row>
    <row r="353" spans="3:18" ht="14.1" customHeight="1" x14ac:dyDescent="0.25">
      <c r="J353" s="499"/>
      <c r="K353" s="499"/>
      <c r="M353" s="499"/>
      <c r="O353" s="499"/>
    </row>
    <row r="354" spans="3:18" s="492" customFormat="1" ht="14.1" customHeight="1" x14ac:dyDescent="0.25">
      <c r="C354" s="492" t="s">
        <v>2115</v>
      </c>
      <c r="I354" s="500" t="s">
        <v>2108</v>
      </c>
      <c r="J354" s="501">
        <f>J356+J364+J368+J372+J376+J400</f>
        <v>1430.0139999999997</v>
      </c>
      <c r="K354" s="501">
        <f>K356+K364+K368+K372+K376+K400</f>
        <v>7352.014000000001</v>
      </c>
      <c r="L354" s="489">
        <f>IF(K354=0,"0,00% ",(K354-J354)/K354)</f>
        <v>0.80549356951714202</v>
      </c>
      <c r="M354" s="501">
        <f>M356+M364+M368+M372+M376+M400</f>
        <v>573</v>
      </c>
      <c r="N354" s="489">
        <f>IF(M354=0,"0,00% ",(M354-K354)/M354)</f>
        <v>-11.830739965095988</v>
      </c>
      <c r="O354" s="501">
        <f>O356+O364+O368+O372+O376+O400</f>
        <v>7352</v>
      </c>
      <c r="P354" s="489">
        <f>IF(O354=0,"0,00% ",(O354-M354)/O354)</f>
        <v>0.92206202393906422</v>
      </c>
      <c r="Q354" s="490">
        <f>IF(O354=0,"R$0,0",(J354+K354+M354+O354)/4)</f>
        <v>4176.7569999999996</v>
      </c>
      <c r="R354" s="491">
        <f>IF(P354=0,"R$0,0%",(L354+N354+P354)/3)</f>
        <v>-3.3677281238799277</v>
      </c>
    </row>
    <row r="355" spans="3:18" s="492" customFormat="1" ht="14.1" customHeight="1" x14ac:dyDescent="0.25">
      <c r="J355" s="501"/>
      <c r="K355" s="501"/>
      <c r="M355" s="501"/>
      <c r="O355" s="501"/>
    </row>
    <row r="356" spans="3:18" s="492" customFormat="1" ht="14.1" customHeight="1" x14ac:dyDescent="0.25">
      <c r="C356" s="492" t="s">
        <v>6232</v>
      </c>
      <c r="I356" s="500" t="s">
        <v>996</v>
      </c>
      <c r="J356" s="501">
        <f>J358+J360+J362</f>
        <v>0</v>
      </c>
      <c r="K356" s="501">
        <f>K358+K360+K362</f>
        <v>0</v>
      </c>
      <c r="L356" s="489" t="str">
        <f>IF(K356=0,"0,00% ",(K356-J356)/K356)</f>
        <v xml:space="preserve">0,00% </v>
      </c>
      <c r="M356" s="501">
        <f>M358+M360+M362</f>
        <v>0</v>
      </c>
      <c r="N356" s="489" t="str">
        <f>IF(M356=0,"0,00% ",(M356-K356)/M356)</f>
        <v xml:space="preserve">0,00% </v>
      </c>
      <c r="O356" s="501">
        <f>O358+O360+O362</f>
        <v>0</v>
      </c>
      <c r="P356" s="489" t="str">
        <f>IF(O356=0,"0,00% ",(O356-M356)/O356)</f>
        <v xml:space="preserve">0,00% </v>
      </c>
      <c r="Q356" s="490" t="str">
        <f>IF(O356=0,"R$0,0",(J356+K356+M356+O356)/4)</f>
        <v>R$0,0</v>
      </c>
      <c r="R356" s="491">
        <f>IF(P356=0,"R$0,0%",(L356+N356+P356)/3)</f>
        <v>0</v>
      </c>
    </row>
    <row r="357" spans="3:18" ht="14.1" customHeight="1" x14ac:dyDescent="0.25">
      <c r="J357" s="499"/>
      <c r="K357" s="499"/>
      <c r="M357" s="499"/>
      <c r="O357" s="499"/>
    </row>
    <row r="358" spans="3:18" ht="14.1" customHeight="1" x14ac:dyDescent="0.2">
      <c r="C358" s="483" t="s">
        <v>6420</v>
      </c>
      <c r="I358" s="506" t="s">
        <v>5428</v>
      </c>
      <c r="J358" s="499">
        <v>0</v>
      </c>
      <c r="K358" s="499">
        <v>0</v>
      </c>
      <c r="L358" s="512" t="str">
        <f>IF(K358=0,"0,00% ",(K358-J358)/K358)</f>
        <v xml:space="preserve">0,00% </v>
      </c>
      <c r="M358" s="499">
        <v>0</v>
      </c>
      <c r="N358" s="512" t="str">
        <f>IF(M358=0,"0,00% ",(M358-K358)/M358)</f>
        <v xml:space="preserve">0,00% </v>
      </c>
      <c r="O358" s="499">
        <v>0</v>
      </c>
      <c r="P358" s="512" t="str">
        <f>IF(O358=0,"0,00% ",(O358-M358)/O358)</f>
        <v xml:space="preserve">0,00% </v>
      </c>
      <c r="Q358" s="484" t="str">
        <f>IF(O358=0,"R$0,0",(J358+K358+M358+O358)/4)</f>
        <v>R$0,0</v>
      </c>
      <c r="R358" s="495">
        <f>IF(P358=0,"R$0,0%",(L358+N358+P358)/3)</f>
        <v>0</v>
      </c>
    </row>
    <row r="359" spans="3:18" ht="14.1" customHeight="1" x14ac:dyDescent="0.25">
      <c r="J359" s="499"/>
      <c r="K359" s="499"/>
      <c r="M359" s="499"/>
      <c r="O359" s="499"/>
    </row>
    <row r="360" spans="3:18" ht="14.1" customHeight="1" x14ac:dyDescent="0.2">
      <c r="C360" s="483" t="s">
        <v>6315</v>
      </c>
      <c r="I360" s="506" t="s">
        <v>6373</v>
      </c>
      <c r="J360" s="499">
        <v>0</v>
      </c>
      <c r="K360" s="499">
        <v>0</v>
      </c>
      <c r="L360" s="512" t="str">
        <f>IF(K360=0,"0,00% ",(K360-J360)/K360)</f>
        <v xml:space="preserve">0,00% </v>
      </c>
      <c r="M360" s="499">
        <v>0</v>
      </c>
      <c r="N360" s="512" t="str">
        <f>IF(M360=0,"0,00% ",(M360-K360)/M360)</f>
        <v xml:space="preserve">0,00% </v>
      </c>
      <c r="O360" s="499">
        <v>0</v>
      </c>
      <c r="P360" s="512" t="str">
        <f>IF(O360=0,"0,00% ",(O360-M360)/O360)</f>
        <v xml:space="preserve">0,00% </v>
      </c>
      <c r="Q360" s="484" t="str">
        <f>IF(O360=0,"R$0,0",(J360+K360+M360+O360)/4)</f>
        <v>R$0,0</v>
      </c>
      <c r="R360" s="495">
        <f>IF(P360=0,"R$0,0%",(L360+N360+P360)/3)</f>
        <v>0</v>
      </c>
    </row>
    <row r="361" spans="3:18" ht="14.1" customHeight="1" x14ac:dyDescent="0.25">
      <c r="J361" s="499"/>
      <c r="K361" s="499"/>
      <c r="M361" s="499"/>
      <c r="O361" s="499"/>
    </row>
    <row r="362" spans="3:18" ht="14.1" customHeight="1" x14ac:dyDescent="0.2">
      <c r="C362" s="483" t="s">
        <v>6330</v>
      </c>
      <c r="I362" s="506" t="s">
        <v>995</v>
      </c>
      <c r="J362" s="499">
        <v>0</v>
      </c>
      <c r="K362" s="499">
        <v>0</v>
      </c>
      <c r="L362" s="512" t="str">
        <f>IF(K362=0,"0,00% ",(K362-J362)/K362)</f>
        <v xml:space="preserve">0,00% </v>
      </c>
      <c r="M362" s="499">
        <v>0</v>
      </c>
      <c r="N362" s="512" t="str">
        <f>IF(M362=0,"0,00% ",(M362-K362)/M362)</f>
        <v xml:space="preserve">0,00% </v>
      </c>
      <c r="O362" s="499">
        <v>0</v>
      </c>
      <c r="P362" s="512" t="str">
        <f>IF(O362=0,"0,00% ",(O362-M362)/O362)</f>
        <v xml:space="preserve">0,00% </v>
      </c>
      <c r="Q362" s="484" t="str">
        <f>IF(O362=0,"R$0,0",(J362+K362+M362+O362)/4)</f>
        <v>R$0,0</v>
      </c>
      <c r="R362" s="495">
        <f>IF(P362=0,"R$0,0%",(L362+N362+P362)/3)</f>
        <v>0</v>
      </c>
    </row>
    <row r="363" spans="3:18" ht="14.1" customHeight="1" x14ac:dyDescent="0.25">
      <c r="J363" s="499"/>
      <c r="K363" s="499"/>
      <c r="M363" s="499"/>
      <c r="O363" s="499"/>
    </row>
    <row r="364" spans="3:18" s="492" customFormat="1" ht="14.1" customHeight="1" x14ac:dyDescent="0.25">
      <c r="C364" s="492" t="s">
        <v>6233</v>
      </c>
      <c r="I364" s="500" t="s">
        <v>993</v>
      </c>
      <c r="J364" s="501">
        <f>J366</f>
        <v>1E-3</v>
      </c>
      <c r="K364" s="501">
        <f>K366</f>
        <v>1E-3</v>
      </c>
      <c r="L364" s="489">
        <f>IF(K364=0,"0,00% ",(K364-J364)/K364)</f>
        <v>0</v>
      </c>
      <c r="M364" s="501">
        <f>M366</f>
        <v>0</v>
      </c>
      <c r="N364" s="489" t="str">
        <f>IF(M364=0,"0,00% ",(M364-K364)/M364)</f>
        <v xml:space="preserve">0,00% </v>
      </c>
      <c r="O364" s="501">
        <f>O366</f>
        <v>0</v>
      </c>
      <c r="P364" s="489" t="str">
        <f>IF(O364=0,"0,00% ",(O364-M364)/O364)</f>
        <v xml:space="preserve">0,00% </v>
      </c>
      <c r="Q364" s="490" t="str">
        <f>IF(O364=0,"R$0,0",(J364+K364+M364+O364)/4)</f>
        <v>R$0,0</v>
      </c>
      <c r="R364" s="491">
        <f>IF(P364=0,"R$0,0%",(L364+N364+P364)/3)</f>
        <v>0</v>
      </c>
    </row>
    <row r="365" spans="3:18" ht="14.1" customHeight="1" x14ac:dyDescent="0.25">
      <c r="J365" s="499"/>
      <c r="K365" s="499"/>
      <c r="M365" s="499"/>
      <c r="O365" s="499"/>
    </row>
    <row r="366" spans="3:18" ht="14.1" customHeight="1" x14ac:dyDescent="0.2">
      <c r="C366" s="483" t="s">
        <v>6421</v>
      </c>
      <c r="I366" s="506" t="s">
        <v>6422</v>
      </c>
      <c r="J366" s="499">
        <v>1E-3</v>
      </c>
      <c r="K366" s="499">
        <v>1E-3</v>
      </c>
      <c r="L366" s="494">
        <f>IF(K366=0,"0,00% ",K366/K$420)</f>
        <v>1.8266252939690833E-9</v>
      </c>
      <c r="M366" s="499">
        <v>0</v>
      </c>
      <c r="N366" s="512" t="str">
        <f>IF(M366=0,"0,00% ",(M366-K366)/M366)</f>
        <v xml:space="preserve">0,00% </v>
      </c>
      <c r="O366" s="499">
        <v>0</v>
      </c>
      <c r="P366" s="512" t="str">
        <f>IF(O366=0,"0,00% ",(O366-M366)/O366)</f>
        <v xml:space="preserve">0,00% </v>
      </c>
      <c r="Q366" s="484" t="str">
        <f>IF(O366=0,"R$0,0",(J366+K366+M366+O366)/4)</f>
        <v>R$0,0</v>
      </c>
      <c r="R366" s="495">
        <f>IF(P366=0,"R$0,0%",(L366+N366+P366)/3)</f>
        <v>6.0887509798969444E-10</v>
      </c>
    </row>
    <row r="367" spans="3:18" ht="14.1" customHeight="1" x14ac:dyDescent="0.25">
      <c r="J367" s="499"/>
      <c r="K367" s="499"/>
      <c r="M367" s="499"/>
      <c r="O367" s="499"/>
    </row>
    <row r="368" spans="3:18" s="492" customFormat="1" ht="14.1" customHeight="1" x14ac:dyDescent="0.25">
      <c r="C368" s="492" t="s">
        <v>6234</v>
      </c>
      <c r="I368" s="500" t="s">
        <v>1053</v>
      </c>
      <c r="J368" s="501">
        <f>J370</f>
        <v>1E-3</v>
      </c>
      <c r="K368" s="501">
        <f>K370</f>
        <v>1E-3</v>
      </c>
      <c r="L368" s="489">
        <f>IF(K368=0,"0,00% ",(K368-J368)/K368)</f>
        <v>0</v>
      </c>
      <c r="M368" s="501">
        <f>M370</f>
        <v>0</v>
      </c>
      <c r="N368" s="489" t="str">
        <f>IF(M368=0,"0,00% ",(M368-K368)/M368)</f>
        <v xml:space="preserve">0,00% </v>
      </c>
      <c r="O368" s="501">
        <f>O370</f>
        <v>0</v>
      </c>
      <c r="P368" s="489" t="str">
        <f>IF(O368=0,"0,00% ",(O368-M368)/O368)</f>
        <v xml:space="preserve">0,00% </v>
      </c>
      <c r="Q368" s="490" t="str">
        <f>IF(O368=0,"R$0,0",(J368+K368+M368+O368)/4)</f>
        <v>R$0,0</v>
      </c>
      <c r="R368" s="491">
        <f>IF(P368=0,"R$0,0%",(L368+N368+P368)/3)</f>
        <v>0</v>
      </c>
    </row>
    <row r="369" spans="3:18" ht="14.1" customHeight="1" x14ac:dyDescent="0.25">
      <c r="J369" s="499"/>
      <c r="K369" s="499"/>
      <c r="M369" s="499"/>
      <c r="O369" s="499"/>
    </row>
    <row r="370" spans="3:18" ht="14.1" customHeight="1" x14ac:dyDescent="0.2">
      <c r="C370" s="483" t="s">
        <v>6423</v>
      </c>
      <c r="I370" s="506" t="s">
        <v>1742</v>
      </c>
      <c r="J370" s="499">
        <v>1E-3</v>
      </c>
      <c r="K370" s="499">
        <v>1E-3</v>
      </c>
      <c r="L370" s="494">
        <f>IF(K370=0,"0,00% ",K370/K$420)</f>
        <v>1.8266252939690833E-9</v>
      </c>
      <c r="M370" s="499">
        <v>0</v>
      </c>
      <c r="N370" s="512" t="str">
        <f>IF(M370=0,"0,00% ",(M370-K370)/M370)</f>
        <v xml:space="preserve">0,00% </v>
      </c>
      <c r="O370" s="499">
        <v>0</v>
      </c>
      <c r="P370" s="512" t="str">
        <f>IF(O370=0,"0,00% ",(O370-M370)/O370)</f>
        <v xml:space="preserve">0,00% </v>
      </c>
      <c r="Q370" s="484" t="str">
        <f>IF(O370=0,"R$0,0",(J370+K370+M370+O370)/4)</f>
        <v>R$0,0</v>
      </c>
      <c r="R370" s="495">
        <f>IF(P370=0,"R$0,0%",(L370+N370+P370)/3)</f>
        <v>6.0887509798969444E-10</v>
      </c>
    </row>
    <row r="371" spans="3:18" ht="14.1" customHeight="1" x14ac:dyDescent="0.25">
      <c r="J371" s="499"/>
      <c r="K371" s="499"/>
      <c r="M371" s="499"/>
      <c r="O371" s="499"/>
    </row>
    <row r="372" spans="3:18" s="492" customFormat="1" ht="14.1" customHeight="1" x14ac:dyDescent="0.25">
      <c r="C372" s="492" t="s">
        <v>6251</v>
      </c>
      <c r="I372" s="500" t="s">
        <v>1029</v>
      </c>
      <c r="J372" s="501">
        <f>J374</f>
        <v>1E-3</v>
      </c>
      <c r="K372" s="501">
        <f>K374</f>
        <v>1E-3</v>
      </c>
      <c r="L372" s="489">
        <f>IF(K372=0,"0,00% ",(K372-J372)/K372)</f>
        <v>0</v>
      </c>
      <c r="M372" s="501">
        <f>M374</f>
        <v>0</v>
      </c>
      <c r="N372" s="489" t="str">
        <f>IF(M372=0,"0,00% ",(M372-K372)/M372)</f>
        <v xml:space="preserve">0,00% </v>
      </c>
      <c r="O372" s="501">
        <f>O374</f>
        <v>0</v>
      </c>
      <c r="P372" s="489" t="str">
        <f>IF(O372=0,"0,00% ",(O372-M372)/O372)</f>
        <v xml:space="preserve">0,00% </v>
      </c>
      <c r="Q372" s="490" t="str">
        <f>IF(O372=0,"R$0,0",(J372+K372+M372+O372)/4)</f>
        <v>R$0,0</v>
      </c>
      <c r="R372" s="491">
        <f>IF(P372=0,"R$0,0%",(L372+N372+P372)/3)</f>
        <v>0</v>
      </c>
    </row>
    <row r="373" spans="3:18" ht="14.1" customHeight="1" x14ac:dyDescent="0.25">
      <c r="I373" s="506"/>
      <c r="J373" s="499"/>
      <c r="K373" s="499"/>
      <c r="L373" s="507"/>
      <c r="M373" s="499"/>
      <c r="N373" s="507"/>
      <c r="O373" s="499"/>
      <c r="P373" s="507"/>
    </row>
    <row r="374" spans="3:18" ht="14.1" customHeight="1" x14ac:dyDescent="0.2">
      <c r="C374" s="483" t="s">
        <v>6299</v>
      </c>
      <c r="I374" s="506" t="s">
        <v>1028</v>
      </c>
      <c r="J374" s="499">
        <v>1E-3</v>
      </c>
      <c r="K374" s="499">
        <v>1E-3</v>
      </c>
      <c r="L374" s="494">
        <f>IF(K374=0,"0,00% ",K374/K$420)</f>
        <v>1.8266252939690833E-9</v>
      </c>
      <c r="M374" s="499">
        <v>0</v>
      </c>
      <c r="N374" s="512" t="str">
        <f>IF(M374=0,"0,00% ",(M374-K374)/M374)</f>
        <v xml:space="preserve">0,00% </v>
      </c>
      <c r="O374" s="499">
        <v>0</v>
      </c>
      <c r="P374" s="512" t="str">
        <f>IF(O374=0,"0,00% ",(O374-M374)/O374)</f>
        <v xml:space="preserve">0,00% </v>
      </c>
      <c r="Q374" s="484" t="str">
        <f>IF(O374=0,"R$0,0",(J374+K374+M374+O374)/4)</f>
        <v>R$0,0</v>
      </c>
      <c r="R374" s="495">
        <f>IF(P374=0,"R$0,0%",(L374+N374+P374)/3)</f>
        <v>6.0887509798969444E-10</v>
      </c>
    </row>
    <row r="375" spans="3:18" ht="14.1" customHeight="1" x14ac:dyDescent="0.25">
      <c r="J375" s="499"/>
      <c r="K375" s="499"/>
      <c r="M375" s="499"/>
      <c r="O375" s="499"/>
    </row>
    <row r="376" spans="3:18" s="492" customFormat="1" ht="14.1" customHeight="1" x14ac:dyDescent="0.25">
      <c r="C376" s="492" t="s">
        <v>6235</v>
      </c>
      <c r="I376" s="500" t="s">
        <v>997</v>
      </c>
      <c r="J376" s="501">
        <f>J378+J380+J382+J386+J388+J390+J392+J396+J398+J384+J394</f>
        <v>1430.0099999999998</v>
      </c>
      <c r="K376" s="501">
        <f>K378+K380+K382+K386+K388+K390+K392+K396+K398+K384+K394</f>
        <v>7352.0100000000011</v>
      </c>
      <c r="L376" s="489">
        <f>IF(K376=0,"0,00% ",(K376-J376)/K376)</f>
        <v>0.80549400776114299</v>
      </c>
      <c r="M376" s="501">
        <f>M378+M380+M382+M386+M388+M390+M392+M396+M398+M384+M394</f>
        <v>573</v>
      </c>
      <c r="N376" s="489">
        <f>IF(M376=0,"0,00% ",(M376-K376)/M376)</f>
        <v>-11.830732984293196</v>
      </c>
      <c r="O376" s="501">
        <f>O378+O380+O382+O386+O388+O390+O392+O396+O398+O384+O394</f>
        <v>7352</v>
      </c>
      <c r="P376" s="489">
        <f>IF(O376=0,"0,00% ",(O376-M376)/O376)</f>
        <v>0.92206202393906422</v>
      </c>
      <c r="Q376" s="490">
        <f>IF(O376=0,"R$0,0",(J376+K376+M376+O376)/4)</f>
        <v>4176.7550000000001</v>
      </c>
      <c r="R376" s="491">
        <f>IF(P376=0,"R$0,0%",(L376+N376+P376)/3)</f>
        <v>-3.3677256508643296</v>
      </c>
    </row>
    <row r="377" spans="3:18" ht="14.1" customHeight="1" x14ac:dyDescent="0.25">
      <c r="J377" s="499"/>
      <c r="K377" s="499"/>
      <c r="M377" s="499"/>
      <c r="O377" s="499"/>
    </row>
    <row r="378" spans="3:18" ht="14.1" customHeight="1" x14ac:dyDescent="0.2">
      <c r="C378" s="483" t="s">
        <v>6424</v>
      </c>
      <c r="I378" s="506" t="s">
        <v>5522</v>
      </c>
      <c r="J378" s="499">
        <v>1E-3</v>
      </c>
      <c r="K378" s="499">
        <v>1E-3</v>
      </c>
      <c r="L378" s="494">
        <f>IF(K378=0,"0,00% ",K378/K$420)</f>
        <v>1.8266252939690833E-9</v>
      </c>
      <c r="M378" s="499">
        <v>0</v>
      </c>
      <c r="N378" s="512" t="str">
        <f>IF(M378=0,"0,00% ",(M378-K378)/M378)</f>
        <v xml:space="preserve">0,00% </v>
      </c>
      <c r="O378" s="499">
        <v>0</v>
      </c>
      <c r="P378" s="512" t="str">
        <f>IF(O378=0,"0,00% ",(O378-M378)/O378)</f>
        <v xml:space="preserve">0,00% </v>
      </c>
      <c r="Q378" s="484" t="str">
        <f>IF(O378=0,"R$0,0",(J378+K378+M378+O378)/4)</f>
        <v>R$0,0</v>
      </c>
      <c r="R378" s="495">
        <f>IF(P378=0,"R$0,0%",(L378+N378+P378)/3)</f>
        <v>6.0887509798969444E-10</v>
      </c>
    </row>
    <row r="379" spans="3:18" ht="14.1" customHeight="1" x14ac:dyDescent="0.25">
      <c r="J379" s="499"/>
      <c r="K379" s="499"/>
      <c r="M379" s="499"/>
      <c r="O379" s="499"/>
      <c r="R379" s="495"/>
    </row>
    <row r="380" spans="3:18" ht="14.1" customHeight="1" x14ac:dyDescent="0.2">
      <c r="C380" s="483" t="s">
        <v>6316</v>
      </c>
      <c r="I380" s="506" t="s">
        <v>1106</v>
      </c>
      <c r="J380" s="499">
        <v>1E-3</v>
      </c>
      <c r="K380" s="499">
        <v>1E-3</v>
      </c>
      <c r="L380" s="494">
        <f>IF(K380=0,"0,00% ",K380/K$420)</f>
        <v>1.8266252939690833E-9</v>
      </c>
      <c r="M380" s="499">
        <v>0</v>
      </c>
      <c r="N380" s="512" t="str">
        <f>IF(M380=0,"0,00% ",(M380-K380)/M380)</f>
        <v xml:space="preserve">0,00% </v>
      </c>
      <c r="O380" s="499">
        <v>0</v>
      </c>
      <c r="P380" s="512" t="str">
        <f>IF(O380=0,"0,00% ",(O380-M380)/O380)</f>
        <v xml:space="preserve">0,00% </v>
      </c>
      <c r="Q380" s="484" t="str">
        <f>IF(O380=0,"R$0,0",(J380+K380+M380+O380)/4)</f>
        <v>R$0,0</v>
      </c>
      <c r="R380" s="495">
        <f>IF(P380=0,"R$0,0%",(L380+N380+P380)/3)</f>
        <v>6.0887509798969444E-10</v>
      </c>
    </row>
    <row r="381" spans="3:18" ht="14.1" customHeight="1" x14ac:dyDescent="0.25">
      <c r="J381" s="499"/>
      <c r="K381" s="499"/>
      <c r="M381" s="499"/>
      <c r="O381" s="499"/>
      <c r="R381" s="495"/>
    </row>
    <row r="382" spans="3:18" ht="14.1" customHeight="1" x14ac:dyDescent="0.2">
      <c r="C382" s="483" t="s">
        <v>6270</v>
      </c>
      <c r="I382" s="506" t="s">
        <v>999</v>
      </c>
      <c r="J382" s="499">
        <v>1E-3</v>
      </c>
      <c r="K382" s="499">
        <v>1E-3</v>
      </c>
      <c r="L382" s="494">
        <f>IF(K382=0,"0,00% ",K382/K$420)</f>
        <v>1.8266252939690833E-9</v>
      </c>
      <c r="M382" s="499">
        <v>119</v>
      </c>
      <c r="N382" s="512">
        <f>IF(M382=0,"0,00% ",(M382-K382)/M382)</f>
        <v>0.99999159663865544</v>
      </c>
      <c r="O382" s="499">
        <v>0</v>
      </c>
      <c r="P382" s="512" t="str">
        <f>IF(O382=0,"0,00% ",(O382-M382)/O382)</f>
        <v xml:space="preserve">0,00% </v>
      </c>
      <c r="Q382" s="484" t="str">
        <f>IF(O382=0,"R$0,0",(J382+K382+M382+O382)/4)</f>
        <v>R$0,0</v>
      </c>
      <c r="R382" s="495">
        <f>IF(P382=0,"R$0,0%",(L382+N382+P382)/3)</f>
        <v>0.33333053282176023</v>
      </c>
    </row>
    <row r="383" spans="3:18" ht="14.1" customHeight="1" x14ac:dyDescent="0.25">
      <c r="J383" s="499"/>
      <c r="K383" s="499"/>
      <c r="M383" s="499"/>
      <c r="O383" s="499"/>
      <c r="R383" s="495"/>
    </row>
    <row r="384" spans="3:18" ht="14.1" customHeight="1" x14ac:dyDescent="0.2">
      <c r="C384" s="483" t="s">
        <v>6450</v>
      </c>
      <c r="I384" s="506" t="s">
        <v>6451</v>
      </c>
      <c r="J384" s="499">
        <v>1E-3</v>
      </c>
      <c r="K384" s="499">
        <v>1E-3</v>
      </c>
      <c r="L384" s="494">
        <f>IF(K384=0,"0,00% ",K384/K$420)</f>
        <v>1.8266252939690833E-9</v>
      </c>
      <c r="M384" s="499">
        <v>0</v>
      </c>
      <c r="N384" s="512" t="str">
        <f>IF(M384=0,"0,00% ",(M384-K384)/M384)</f>
        <v xml:space="preserve">0,00% </v>
      </c>
      <c r="O384" s="499">
        <v>0</v>
      </c>
      <c r="P384" s="512" t="str">
        <f>IF(O384=0,"0,00% ",(O384-M384)/O384)</f>
        <v xml:space="preserve">0,00% </v>
      </c>
      <c r="Q384" s="484" t="str">
        <f>IF(O384=0,"R$0,0",(J384+K384+M384+O384)/4)</f>
        <v>R$0,0</v>
      </c>
      <c r="R384" s="495">
        <f>IF(P384=0,"R$0,0%",(L384+N384+P384)/3)</f>
        <v>6.0887509798969444E-10</v>
      </c>
    </row>
    <row r="385" spans="3:18" ht="14.1" customHeight="1" x14ac:dyDescent="0.25">
      <c r="J385" s="499"/>
      <c r="K385" s="499"/>
      <c r="M385" s="499"/>
      <c r="O385" s="499"/>
      <c r="R385" s="495"/>
    </row>
    <row r="386" spans="3:18" ht="14.1" customHeight="1" x14ac:dyDescent="0.2">
      <c r="C386" s="483" t="s">
        <v>6331</v>
      </c>
      <c r="I386" s="506" t="s">
        <v>5531</v>
      </c>
      <c r="J386" s="499">
        <v>1E-3</v>
      </c>
      <c r="K386" s="499">
        <v>1E-3</v>
      </c>
      <c r="L386" s="494">
        <f>IF(K386=0,"0,00% ",K386/K$420)</f>
        <v>1.8266252939690833E-9</v>
      </c>
      <c r="M386" s="499">
        <v>0</v>
      </c>
      <c r="N386" s="512" t="str">
        <f>IF(M386=0,"0,00% ",(M386-K386)/M386)</f>
        <v xml:space="preserve">0,00% </v>
      </c>
      <c r="O386" s="499">
        <v>0</v>
      </c>
      <c r="P386" s="512" t="str">
        <f>IF(O386=0,"0,00% ",(O386-M386)/O386)</f>
        <v xml:space="preserve">0,00% </v>
      </c>
      <c r="Q386" s="484" t="str">
        <f>IF(O386=0,"R$0,0",(J386+K386+M386+O386)/4)</f>
        <v>R$0,0</v>
      </c>
      <c r="R386" s="495">
        <f>IF(P386=0,"R$0,0%",(L386+N386+P386)/3)</f>
        <v>6.0887509798969444E-10</v>
      </c>
    </row>
    <row r="387" spans="3:18" ht="14.1" customHeight="1" x14ac:dyDescent="0.25">
      <c r="J387" s="499"/>
      <c r="K387" s="499"/>
      <c r="M387" s="499"/>
      <c r="O387" s="499"/>
    </row>
    <row r="388" spans="3:18" ht="14.1" customHeight="1" x14ac:dyDescent="0.2">
      <c r="C388" s="483" t="s">
        <v>6308</v>
      </c>
      <c r="I388" s="506" t="s">
        <v>6425</v>
      </c>
      <c r="J388" s="499">
        <v>1430</v>
      </c>
      <c r="K388" s="499">
        <v>7352</v>
      </c>
      <c r="L388" s="494">
        <f>IF(K388=0,"0,00% ",K388/K$420)</f>
        <v>1.3429349161260699E-2</v>
      </c>
      <c r="M388" s="499">
        <v>169</v>
      </c>
      <c r="N388" s="512">
        <f>IF(M388=0,"0,00% ",(M388-K388)/M388)</f>
        <v>-42.502958579881657</v>
      </c>
      <c r="O388" s="499">
        <v>7352</v>
      </c>
      <c r="P388" s="512">
        <f>IF(O388=0,"0,00% ",(O388-M388)/O388)</f>
        <v>0.97701305767138191</v>
      </c>
      <c r="Q388" s="484">
        <f>IF(O388=0,"R$0,0",(J388+K388+M388+O388)/4)</f>
        <v>4075.75</v>
      </c>
      <c r="R388" s="495">
        <f>IF(P388=0,"R$0,0%",(L388+N388+P388)/3)</f>
        <v>-13.837505391016336</v>
      </c>
    </row>
    <row r="389" spans="3:18" ht="14.1" customHeight="1" x14ac:dyDescent="0.25">
      <c r="J389" s="499"/>
      <c r="K389" s="499"/>
      <c r="M389" s="499"/>
      <c r="O389" s="499"/>
      <c r="R389" s="495"/>
    </row>
    <row r="390" spans="3:18" ht="14.1" customHeight="1" x14ac:dyDescent="0.2">
      <c r="C390" s="483" t="s">
        <v>6271</v>
      </c>
      <c r="I390" s="506" t="s">
        <v>998</v>
      </c>
      <c r="J390" s="499">
        <v>1E-3</v>
      </c>
      <c r="K390" s="499">
        <v>1E-3</v>
      </c>
      <c r="L390" s="494">
        <f>IF(K390=0,"0,00% ",K390/K$420)</f>
        <v>1.8266252939690833E-9</v>
      </c>
      <c r="M390" s="499">
        <v>285</v>
      </c>
      <c r="N390" s="512">
        <f>IF(M390=0,"0,00% ",(M390-K390)/M390)</f>
        <v>0.99999649122807022</v>
      </c>
      <c r="O390" s="499">
        <v>0</v>
      </c>
      <c r="P390" s="512" t="str">
        <f>IF(O390=0,"0,00% ",(O390-M390)/O390)</f>
        <v xml:space="preserve">0,00% </v>
      </c>
      <c r="Q390" s="484" t="str">
        <f>IF(O390=0,"R$0,0",(J390+K390+M390+O390)/4)</f>
        <v>R$0,0</v>
      </c>
      <c r="R390" s="495">
        <f>IF(P390=0,"R$0,0%",(L390+N390+P390)/3)</f>
        <v>0.33333216435156515</v>
      </c>
    </row>
    <row r="391" spans="3:18" ht="14.1" customHeight="1" x14ac:dyDescent="0.2">
      <c r="J391" s="499"/>
      <c r="K391" s="499"/>
      <c r="M391" s="499"/>
      <c r="N391" s="512"/>
      <c r="O391" s="499"/>
      <c r="P391" s="512"/>
      <c r="R391" s="495"/>
    </row>
    <row r="392" spans="3:18" ht="14.1" customHeight="1" x14ac:dyDescent="0.2">
      <c r="C392" s="483" t="s">
        <v>6426</v>
      </c>
      <c r="I392" s="506" t="s">
        <v>5532</v>
      </c>
      <c r="J392" s="499">
        <v>1E-3</v>
      </c>
      <c r="K392" s="499">
        <v>1E-3</v>
      </c>
      <c r="L392" s="494">
        <f>IF(K392=0,"0,00% ",K392/K$420)</f>
        <v>1.8266252939690833E-9</v>
      </c>
      <c r="M392" s="499">
        <v>0</v>
      </c>
      <c r="N392" s="512" t="str">
        <f>IF(M392=0,"0,00% ",(M392-K392)/M392)</f>
        <v xml:space="preserve">0,00% </v>
      </c>
      <c r="O392" s="499">
        <v>0</v>
      </c>
      <c r="P392" s="512" t="str">
        <f>IF(O392=0,"0,00% ",(O392-M392)/O392)</f>
        <v xml:space="preserve">0,00% </v>
      </c>
      <c r="Q392" s="484" t="str">
        <f>IF(O392=0,"R$0,0",(J392+K392+M392+O392)/4)</f>
        <v>R$0,0</v>
      </c>
      <c r="R392" s="495">
        <f>IF(P392=0,"R$0,0%",(L392+N392+P392)/3)</f>
        <v>6.0887509798969444E-10</v>
      </c>
    </row>
    <row r="393" spans="3:18" ht="14.1" customHeight="1" x14ac:dyDescent="0.25">
      <c r="J393" s="499"/>
      <c r="K393" s="499"/>
      <c r="M393" s="499"/>
      <c r="O393" s="499"/>
    </row>
    <row r="394" spans="3:18" ht="14.1" customHeight="1" x14ac:dyDescent="0.2">
      <c r="C394" s="483" t="s">
        <v>6452</v>
      </c>
      <c r="I394" s="506" t="s">
        <v>6453</v>
      </c>
      <c r="J394" s="499">
        <v>1E-3</v>
      </c>
      <c r="K394" s="499">
        <v>1E-3</v>
      </c>
      <c r="L394" s="494">
        <f>IF(K394=0,"0,00% ",K394/K$420)</f>
        <v>1.8266252939690833E-9</v>
      </c>
      <c r="M394" s="499">
        <v>0</v>
      </c>
      <c r="N394" s="512" t="str">
        <f>IF(M394=0,"0,00% ",(M394-K394)/M394)</f>
        <v xml:space="preserve">0,00% </v>
      </c>
      <c r="O394" s="499">
        <v>0</v>
      </c>
      <c r="P394" s="512" t="str">
        <f>IF(O394=0,"0,00% ",(O394-M394)/O394)</f>
        <v xml:space="preserve">0,00% </v>
      </c>
      <c r="Q394" s="484" t="str">
        <f>IF(O394=0,"R$0,0",(J394+K394+M394+O394)/4)</f>
        <v>R$0,0</v>
      </c>
      <c r="R394" s="495">
        <f>IF(P394=0,"R$0,0%",(L394+N394+P394)/3)</f>
        <v>6.0887509798969444E-10</v>
      </c>
    </row>
    <row r="395" spans="3:18" ht="14.1" customHeight="1" x14ac:dyDescent="0.25">
      <c r="J395" s="499"/>
      <c r="K395" s="499"/>
      <c r="M395" s="499"/>
      <c r="O395" s="499"/>
      <c r="R395" s="495"/>
    </row>
    <row r="396" spans="3:18" ht="14.1" customHeight="1" x14ac:dyDescent="0.2">
      <c r="C396" s="483" t="s">
        <v>6272</v>
      </c>
      <c r="I396" s="506" t="s">
        <v>1000</v>
      </c>
      <c r="J396" s="499">
        <v>1E-3</v>
      </c>
      <c r="K396" s="499">
        <v>1E-3</v>
      </c>
      <c r="L396" s="494">
        <f>IF(K396=0,"0,00% ",K396/K$420)</f>
        <v>1.8266252939690833E-9</v>
      </c>
      <c r="M396" s="499">
        <v>0</v>
      </c>
      <c r="N396" s="512" t="str">
        <f>IF(M396=0,"0,00% ",(M396-K396)/M396)</f>
        <v xml:space="preserve">0,00% </v>
      </c>
      <c r="O396" s="499">
        <v>0</v>
      </c>
      <c r="P396" s="512" t="str">
        <f>IF(O396=0,"0,00% ",(O396-M396)/O396)</f>
        <v xml:space="preserve">0,00% </v>
      </c>
      <c r="Q396" s="484" t="str">
        <f>IF(O396=0,"R$0,0",(J396+K396+M396+O396)/4)</f>
        <v>R$0,0</v>
      </c>
      <c r="R396" s="495">
        <f>IF(P396=0,"R$0,0%",(L396+N396+P396)/3)</f>
        <v>6.0887509798969444E-10</v>
      </c>
    </row>
    <row r="397" spans="3:18" ht="14.1" customHeight="1" x14ac:dyDescent="0.25">
      <c r="J397" s="499"/>
      <c r="K397" s="499"/>
      <c r="M397" s="499"/>
      <c r="O397" s="499"/>
      <c r="R397" s="495"/>
    </row>
    <row r="398" spans="3:18" ht="14.1" customHeight="1" x14ac:dyDescent="0.2">
      <c r="C398" s="483" t="s">
        <v>6294</v>
      </c>
      <c r="I398" s="506" t="s">
        <v>1099</v>
      </c>
      <c r="J398" s="499">
        <v>1E-3</v>
      </c>
      <c r="K398" s="499">
        <v>1E-3</v>
      </c>
      <c r="L398" s="494">
        <f>IF(K398=0,"0,00% ",K398/K$420)</f>
        <v>1.8266252939690833E-9</v>
      </c>
      <c r="M398" s="499">
        <v>0</v>
      </c>
      <c r="N398" s="512" t="str">
        <f>IF(M398=0,"0,00% ",(M398-K398)/M398)</f>
        <v xml:space="preserve">0,00% </v>
      </c>
      <c r="O398" s="499">
        <v>0</v>
      </c>
      <c r="P398" s="512" t="str">
        <f>IF(O398=0,"0,00% ",(O398-M398)/O398)</f>
        <v xml:space="preserve">0,00% </v>
      </c>
      <c r="Q398" s="484" t="str">
        <f>IF(O398=0,"R$0,0",(J398+K398+M398+O398)/4)</f>
        <v>R$0,0</v>
      </c>
      <c r="R398" s="495">
        <f>IF(P398=0,"R$0,0%",(L398+N398+P398)/3)</f>
        <v>6.0887509798969444E-10</v>
      </c>
    </row>
    <row r="399" spans="3:18" ht="14.1" customHeight="1" x14ac:dyDescent="0.25">
      <c r="J399" s="499"/>
      <c r="K399" s="499"/>
      <c r="M399" s="499"/>
      <c r="O399" s="499"/>
    </row>
    <row r="400" spans="3:18" s="492" customFormat="1" ht="14.1" customHeight="1" x14ac:dyDescent="0.25">
      <c r="C400" s="492" t="s">
        <v>6252</v>
      </c>
      <c r="I400" s="500" t="s">
        <v>1192</v>
      </c>
      <c r="J400" s="501">
        <f>J402</f>
        <v>1E-3</v>
      </c>
      <c r="K400" s="501">
        <f>K402</f>
        <v>1E-3</v>
      </c>
      <c r="L400" s="489">
        <f>IF(K400=0,"0,00% ",(K400-J400)/K400)</f>
        <v>0</v>
      </c>
      <c r="M400" s="501">
        <f>M402</f>
        <v>0</v>
      </c>
      <c r="N400" s="489" t="str">
        <f>IF(M400=0,"0,00% ",(M400-K400)/M400)</f>
        <v xml:space="preserve">0,00% </v>
      </c>
      <c r="O400" s="501">
        <f>O402</f>
        <v>0</v>
      </c>
      <c r="P400" s="489" t="str">
        <f>IF(O400=0,"0,00% ",(O400-M400)/O400)</f>
        <v xml:space="preserve">0,00% </v>
      </c>
      <c r="Q400" s="490" t="str">
        <f>IF(O400=0,"R$0,0",(J400+K400+M400+O400)/4)</f>
        <v>R$0,0</v>
      </c>
      <c r="R400" s="491">
        <f>IF(P400=0,"R$0,0%",(L400+N400+P400)/3)</f>
        <v>0</v>
      </c>
    </row>
    <row r="401" spans="3:23" ht="14.1" customHeight="1" x14ac:dyDescent="0.25">
      <c r="J401" s="499"/>
      <c r="K401" s="499"/>
      <c r="M401" s="499"/>
      <c r="O401" s="499"/>
    </row>
    <row r="402" spans="3:23" ht="14.1" customHeight="1" x14ac:dyDescent="0.2">
      <c r="C402" s="483" t="s">
        <v>6427</v>
      </c>
      <c r="I402" s="506" t="s">
        <v>1191</v>
      </c>
      <c r="J402" s="499">
        <v>1E-3</v>
      </c>
      <c r="K402" s="499">
        <v>1E-3</v>
      </c>
      <c r="L402" s="494">
        <f>IF(K402=0,"0,00% ",K402/K$420)</f>
        <v>1.8266252939690833E-9</v>
      </c>
      <c r="M402" s="499">
        <v>0</v>
      </c>
      <c r="N402" s="512" t="str">
        <f>IF(M402=0,"0,00% ",(M402-K402)/M402)</f>
        <v xml:space="preserve">0,00% </v>
      </c>
      <c r="O402" s="499">
        <v>0</v>
      </c>
      <c r="P402" s="512" t="str">
        <f>IF(O402=0,"0,00% ",(O402-M402)/O402)</f>
        <v xml:space="preserve">0,00% </v>
      </c>
      <c r="Q402" s="484" t="str">
        <f>IF(O402=0,"R$0,0",(J402+K402+M402+O402)/4)</f>
        <v>R$0,0</v>
      </c>
      <c r="R402" s="495">
        <f>IF(P402=0,"R$0,0%",(L402+N402+P402)/3)</f>
        <v>6.0887509798969444E-10</v>
      </c>
    </row>
    <row r="403" spans="3:23" ht="14.1" customHeight="1" x14ac:dyDescent="0.25">
      <c r="J403" s="499"/>
      <c r="K403" s="499"/>
      <c r="M403" s="499"/>
      <c r="O403" s="499"/>
    </row>
    <row r="404" spans="3:23" s="492" customFormat="1" ht="14.1" customHeight="1" x14ac:dyDescent="0.25">
      <c r="C404" s="492" t="s">
        <v>6428</v>
      </c>
      <c r="I404" s="500" t="s">
        <v>2079</v>
      </c>
      <c r="J404" s="501">
        <f>J406</f>
        <v>1E-3</v>
      </c>
      <c r="K404" s="501">
        <f>K406</f>
        <v>1E-3</v>
      </c>
      <c r="L404" s="489">
        <f>IF(K404=0,"0,00% ",(K404-J404)/K404)</f>
        <v>0</v>
      </c>
      <c r="M404" s="501">
        <f>M406</f>
        <v>0</v>
      </c>
      <c r="N404" s="489" t="str">
        <f>IF(M404=0,"0,00% ",(M404-K404)/M404)</f>
        <v xml:space="preserve">0,00% </v>
      </c>
      <c r="O404" s="501">
        <f>O406</f>
        <v>0</v>
      </c>
      <c r="P404" s="489" t="str">
        <f>IF(O404=0,"0,00% ",(O404-M404)/O404)</f>
        <v xml:space="preserve">0,00% </v>
      </c>
      <c r="Q404" s="490" t="str">
        <f>IF(O404=0,"R$0,0",(J404+K404+M404+O404)/4)</f>
        <v>R$0,0</v>
      </c>
      <c r="R404" s="491">
        <f>IF(P404=0,"R$0,0%",(L404+N404+P404)/3)</f>
        <v>0</v>
      </c>
      <c r="S404" s="502"/>
    </row>
    <row r="405" spans="3:23" s="492" customFormat="1" ht="14.1" customHeight="1" x14ac:dyDescent="0.25">
      <c r="J405" s="501"/>
      <c r="K405" s="501"/>
      <c r="M405" s="501"/>
      <c r="O405" s="501"/>
    </row>
    <row r="406" spans="3:23" s="492" customFormat="1" ht="14.1" customHeight="1" x14ac:dyDescent="0.25">
      <c r="C406" s="492" t="s">
        <v>6429</v>
      </c>
      <c r="I406" s="500" t="s">
        <v>2108</v>
      </c>
      <c r="J406" s="501">
        <f>J408</f>
        <v>1E-3</v>
      </c>
      <c r="K406" s="501">
        <f>K408</f>
        <v>1E-3</v>
      </c>
      <c r="L406" s="489">
        <f>IF(K406=0,"0,00% ",(K406-J406)/K406)</f>
        <v>0</v>
      </c>
      <c r="M406" s="501">
        <f>M408</f>
        <v>0</v>
      </c>
      <c r="N406" s="489" t="str">
        <f>IF(M406=0,"0,00% ",(M406-K406)/M406)</f>
        <v xml:space="preserve">0,00% </v>
      </c>
      <c r="O406" s="501">
        <f>O408</f>
        <v>0</v>
      </c>
      <c r="P406" s="489" t="str">
        <f>IF(O406=0,"0,00% ",(O406-M406)/O406)</f>
        <v xml:space="preserve">0,00% </v>
      </c>
      <c r="Q406" s="490" t="str">
        <f>IF(O406=0,"R$0,0",(J406+K406+M406+O406)/4)</f>
        <v>R$0,0</v>
      </c>
      <c r="R406" s="491">
        <f>IF(P406=0,"R$0,0%",(L406+N406+P406)/3)</f>
        <v>0</v>
      </c>
    </row>
    <row r="407" spans="3:23" s="492" customFormat="1" ht="14.1" customHeight="1" x14ac:dyDescent="0.25">
      <c r="I407" s="500"/>
      <c r="J407" s="501"/>
      <c r="K407" s="501"/>
      <c r="L407" s="505"/>
      <c r="M407" s="501"/>
      <c r="N407" s="505"/>
      <c r="O407" s="501"/>
      <c r="P407" s="505"/>
      <c r="Q407" s="490"/>
      <c r="R407" s="491"/>
    </row>
    <row r="408" spans="3:23" ht="14.1" customHeight="1" x14ac:dyDescent="0.2">
      <c r="C408" s="483" t="s">
        <v>6267</v>
      </c>
      <c r="I408" s="506" t="s">
        <v>6454</v>
      </c>
      <c r="J408" s="499">
        <v>1E-3</v>
      </c>
      <c r="K408" s="499">
        <v>1E-3</v>
      </c>
      <c r="L408" s="494">
        <f>IF(K408=0,"0,00% ",K408/K$420)</f>
        <v>1.8266252939690833E-9</v>
      </c>
      <c r="M408" s="499">
        <v>0</v>
      </c>
      <c r="N408" s="512" t="str">
        <f>IF(M408=0,"0,00% ",(M408-K408)/M408)</f>
        <v xml:space="preserve">0,00% </v>
      </c>
      <c r="O408" s="499">
        <v>0</v>
      </c>
      <c r="P408" s="512" t="str">
        <f>IF(O408=0,"0,00% ",(O408-M408)/O408)</f>
        <v xml:space="preserve">0,00% </v>
      </c>
      <c r="Q408" s="484" t="str">
        <f>IF(O408=0,"R$0,0",(J408+K408+M408+O408)/4)</f>
        <v>R$0,0</v>
      </c>
      <c r="R408" s="495">
        <f>IF(P408=0,"R$0,0%",(L408+N408+P408)/3)</f>
        <v>6.0887509798969444E-10</v>
      </c>
    </row>
    <row r="409" spans="3:23" ht="14.1" customHeight="1" x14ac:dyDescent="0.2">
      <c r="I409" s="506"/>
      <c r="J409" s="499"/>
      <c r="K409" s="499"/>
      <c r="L409" s="494"/>
      <c r="M409" s="499"/>
      <c r="N409" s="494"/>
      <c r="O409" s="499"/>
      <c r="P409" s="494"/>
      <c r="Q409" s="484"/>
      <c r="R409" s="495"/>
    </row>
    <row r="410" spans="3:23" ht="14.1" customHeight="1" x14ac:dyDescent="0.2">
      <c r="C410" s="483" t="s">
        <v>6455</v>
      </c>
      <c r="I410" s="506" t="s">
        <v>6457</v>
      </c>
      <c r="J410" s="499">
        <v>1E-3</v>
      </c>
      <c r="K410" s="499">
        <v>1E-3</v>
      </c>
      <c r="L410" s="494">
        <f>IF(K410=0,"0,00% ",K410/K$420)</f>
        <v>1.8266252939690833E-9</v>
      </c>
      <c r="M410" s="499">
        <v>0</v>
      </c>
      <c r="N410" s="512" t="str">
        <f>IF(M410=0,"0,00% ",(M410-K410)/M410)</f>
        <v xml:space="preserve">0,00% </v>
      </c>
      <c r="O410" s="499">
        <v>0</v>
      </c>
      <c r="P410" s="512" t="str">
        <f>IF(O410=0,"0,00% ",(O410-M410)/O410)</f>
        <v xml:space="preserve">0,00% </v>
      </c>
      <c r="Q410" s="484" t="str">
        <f>IF(O410=0,"R$0,0",(J410+K410+M410+O410)/4)</f>
        <v>R$0,0</v>
      </c>
      <c r="R410" s="495">
        <f>IF(P410=0,"R$0,0%",(L410+N410+P410)/3)</f>
        <v>6.0887509798969444E-10</v>
      </c>
    </row>
    <row r="411" spans="3:23" ht="14.1" customHeight="1" x14ac:dyDescent="0.2">
      <c r="I411" s="506"/>
      <c r="J411" s="499"/>
      <c r="K411" s="499"/>
      <c r="L411" s="494"/>
      <c r="M411" s="499"/>
      <c r="N411" s="494"/>
      <c r="O411" s="499"/>
      <c r="P411" s="494"/>
      <c r="Q411" s="484"/>
      <c r="R411" s="495"/>
    </row>
    <row r="412" spans="3:23" ht="14.1" customHeight="1" x14ac:dyDescent="0.2">
      <c r="C412" s="483" t="s">
        <v>6456</v>
      </c>
      <c r="I412" s="506" t="s">
        <v>6458</v>
      </c>
      <c r="J412" s="499">
        <v>1E-3</v>
      </c>
      <c r="K412" s="499">
        <v>1E-3</v>
      </c>
      <c r="L412" s="494">
        <f>IF(K412=0,"0,00% ",K412/K$420)</f>
        <v>1.8266252939690833E-9</v>
      </c>
      <c r="M412" s="499">
        <v>0</v>
      </c>
      <c r="N412" s="512" t="str">
        <f>IF(M412=0,"0,00% ",(M412-K412)/M412)</f>
        <v xml:space="preserve">0,00% </v>
      </c>
      <c r="O412" s="499">
        <v>0</v>
      </c>
      <c r="P412" s="512" t="str">
        <f>IF(O412=0,"0,00% ",(O412-M412)/O412)</f>
        <v xml:space="preserve">0,00% </v>
      </c>
      <c r="Q412" s="484" t="str">
        <f>IF(O412=0,"R$0,0",(J412+K412+M412+O412)/4)</f>
        <v>R$0,0</v>
      </c>
      <c r="R412" s="495">
        <f>IF(P412=0,"R$0,0%",(L412+N412+P412)/3)</f>
        <v>6.0887509798969444E-10</v>
      </c>
    </row>
    <row r="413" spans="3:23" ht="14.1" customHeight="1" x14ac:dyDescent="0.2">
      <c r="I413" s="506"/>
      <c r="J413" s="499"/>
      <c r="K413" s="499"/>
      <c r="L413" s="494"/>
      <c r="M413" s="499"/>
      <c r="N413" s="494"/>
      <c r="O413" s="499"/>
      <c r="P413" s="494"/>
      <c r="Q413" s="484"/>
      <c r="R413" s="495"/>
    </row>
    <row r="414" spans="3:23" s="492" customFormat="1" ht="14.1" customHeight="1" x14ac:dyDescent="0.25">
      <c r="C414" s="492" t="s">
        <v>6430</v>
      </c>
      <c r="I414" s="500" t="s">
        <v>988</v>
      </c>
      <c r="J414" s="501">
        <v>0</v>
      </c>
      <c r="K414" s="501">
        <v>0</v>
      </c>
      <c r="L414" s="489" t="str">
        <f>IF(K414=0,"0,00% ",(K414-J414)/K414)</f>
        <v xml:space="preserve">0,00% </v>
      </c>
      <c r="M414" s="501">
        <v>0</v>
      </c>
      <c r="N414" s="489" t="str">
        <f>IF(M414=0,"0,00% ",(M414-K414)/M414)</f>
        <v xml:space="preserve">0,00% </v>
      </c>
      <c r="O414" s="501">
        <v>0</v>
      </c>
      <c r="P414" s="489" t="str">
        <f>IF(O414=0,"0,00% ",(O414-M414)/O414)</f>
        <v xml:space="preserve">0,00% </v>
      </c>
      <c r="Q414" s="490" t="str">
        <f>IF(O414=0,"R$0,0",(J414+K414+M414+O414)/4)</f>
        <v>R$0,0</v>
      </c>
      <c r="R414" s="491">
        <f>IF(P414=0,"R$0,0%",(L414+N414+P414)/3)</f>
        <v>0</v>
      </c>
      <c r="W414" s="502"/>
    </row>
    <row r="415" spans="3:23" s="492" customFormat="1" ht="14.1" customHeight="1" x14ac:dyDescent="0.25">
      <c r="J415" s="501"/>
      <c r="K415" s="501"/>
      <c r="M415" s="501"/>
      <c r="O415" s="501"/>
    </row>
    <row r="416" spans="3:23" s="492" customFormat="1" ht="14.1" customHeight="1" x14ac:dyDescent="0.25">
      <c r="C416" s="492" t="s">
        <v>6431</v>
      </c>
      <c r="I416" s="500" t="s">
        <v>988</v>
      </c>
      <c r="J416" s="501">
        <v>0</v>
      </c>
      <c r="K416" s="501">
        <v>0</v>
      </c>
      <c r="L416" s="489" t="str">
        <f>IF(K416=0,"0,00% ",(K416-J416)/K416)</f>
        <v xml:space="preserve">0,00% </v>
      </c>
      <c r="M416" s="501">
        <v>0</v>
      </c>
      <c r="N416" s="489" t="str">
        <f>IF(M416=0,"0,00% ",(M416-K416)/M416)</f>
        <v xml:space="preserve">0,00% </v>
      </c>
      <c r="O416" s="501">
        <v>0</v>
      </c>
      <c r="P416" s="489" t="str">
        <f>IF(O416=0,"0,00% ",(O416-M416)/O416)</f>
        <v xml:space="preserve">0,00% </v>
      </c>
      <c r="Q416" s="490" t="str">
        <f>IF(O416=0,"R$0,0",(J416+K416+M416+O416)/4)</f>
        <v>R$0,0</v>
      </c>
      <c r="R416" s="491">
        <f>IF(P416=0,"R$0,0%",(L416+N416+P416)/3)</f>
        <v>0</v>
      </c>
      <c r="S416" s="502"/>
    </row>
    <row r="417" spans="3:23" ht="14.1" customHeight="1" x14ac:dyDescent="0.25">
      <c r="J417" s="499"/>
      <c r="K417" s="499"/>
      <c r="M417" s="499"/>
      <c r="O417" s="499"/>
    </row>
    <row r="418" spans="3:23" ht="14.1" customHeight="1" x14ac:dyDescent="0.2">
      <c r="C418" s="483" t="s">
        <v>6432</v>
      </c>
      <c r="I418" s="506" t="s">
        <v>988</v>
      </c>
      <c r="J418" s="499">
        <v>1E-3</v>
      </c>
      <c r="K418" s="499">
        <v>1E-3</v>
      </c>
      <c r="L418" s="494">
        <f>IF(K418=0,"0,00% ",K418/K$420)</f>
        <v>1.8266252939690833E-9</v>
      </c>
      <c r="M418" s="499">
        <v>0</v>
      </c>
      <c r="N418" s="512" t="str">
        <f>IF(M418=0,"0,00% ",(M418-K418)/M418)</f>
        <v xml:space="preserve">0,00% </v>
      </c>
      <c r="O418" s="499">
        <v>0</v>
      </c>
      <c r="P418" s="512" t="str">
        <f>IF(O418=0,"0,00% ",(O418-M418)/O418)</f>
        <v xml:space="preserve">0,00% </v>
      </c>
      <c r="Q418" s="484" t="str">
        <f>IF(O418=0,"R$0,0",(J418+K418+M418+O418)/4)</f>
        <v>R$0,0</v>
      </c>
      <c r="R418" s="495">
        <f>IF(P418=0,"R$0,0%",(L418+N418+P418)/3)</f>
        <v>6.0887509798969444E-10</v>
      </c>
    </row>
    <row r="419" spans="3:23" ht="14.1" customHeight="1" x14ac:dyDescent="0.25">
      <c r="J419" s="499"/>
      <c r="K419" s="499"/>
      <c r="M419" s="499"/>
      <c r="O419" s="499"/>
    </row>
    <row r="420" spans="3:23" ht="14.1" customHeight="1" x14ac:dyDescent="0.25">
      <c r="I420" s="508" t="s">
        <v>0</v>
      </c>
      <c r="J420" s="509">
        <f>J9+J342+J414</f>
        <v>375655.21500000003</v>
      </c>
      <c r="K420" s="509">
        <f>K9+K342+K414</f>
        <v>547457.65500000003</v>
      </c>
      <c r="L420" s="513">
        <f>IF(K420=0,"0,00% ",(K420-J420)/K420)</f>
        <v>0.31381868246960581</v>
      </c>
      <c r="M420" s="509">
        <f>M9+M342+M414</f>
        <v>575499.29999999993</v>
      </c>
      <c r="N420" s="513">
        <f>IF(M420=0,"0,00% ",(M420-K420)/M420)</f>
        <v>4.8725767346719462E-2</v>
      </c>
      <c r="O420" s="509">
        <f>O9+O342+O414</f>
        <v>865041.67</v>
      </c>
      <c r="P420" s="513">
        <f>IF(O420=0,"0,00% ",(O420-M420)/O420)</f>
        <v>0.33471493922367934</v>
      </c>
      <c r="Q420" s="510">
        <f>IF(O420=0,"R$0,0",(J420+K420+M420+O420)/4)</f>
        <v>590913.46</v>
      </c>
      <c r="R420" s="511" t="e">
        <f>IF(P420=0,"R$0,0%",(#REF!+L420+N420+P420)/4)</f>
        <v>#REF!</v>
      </c>
    </row>
    <row r="421" spans="3:23" ht="14.1" customHeight="1" x14ac:dyDescent="0.25">
      <c r="J421" s="498"/>
      <c r="K421" s="498"/>
      <c r="L421" s="498"/>
      <c r="M421" s="498"/>
      <c r="N421" s="498"/>
      <c r="O421" s="498"/>
      <c r="P421" s="498"/>
      <c r="V421" s="502"/>
      <c r="W421" s="502"/>
    </row>
    <row r="422" spans="3:23" ht="14.1" customHeight="1" x14ac:dyDescent="0.25">
      <c r="J422" s="498"/>
      <c r="K422" s="498"/>
      <c r="L422" s="498"/>
      <c r="M422" s="498"/>
      <c r="N422" s="498"/>
      <c r="O422" s="498"/>
      <c r="P422" s="498"/>
    </row>
    <row r="423" spans="3:23" ht="14.1" customHeight="1" x14ac:dyDescent="0.25">
      <c r="J423" s="498"/>
      <c r="K423" s="498"/>
      <c r="L423" s="498"/>
      <c r="M423" s="498"/>
      <c r="N423" s="498"/>
      <c r="O423" s="498"/>
      <c r="P423" s="498"/>
    </row>
    <row r="424" spans="3:23" ht="14.1" customHeight="1" x14ac:dyDescent="0.25">
      <c r="J424" s="498"/>
      <c r="K424" s="498"/>
      <c r="M424" s="590"/>
      <c r="O424" s="498"/>
    </row>
    <row r="425" spans="3:23" ht="14.1" customHeight="1" x14ac:dyDescent="0.25"/>
    <row r="426" spans="3:23" ht="14.1" customHeight="1" x14ac:dyDescent="0.25">
      <c r="I426" s="1319" t="s">
        <v>2122</v>
      </c>
      <c r="J426" s="956">
        <v>2012</v>
      </c>
      <c r="K426" s="956">
        <v>2013</v>
      </c>
      <c r="L426" s="956"/>
      <c r="M426" s="956">
        <v>2014</v>
      </c>
      <c r="N426" s="956"/>
      <c r="O426" s="957">
        <v>2015</v>
      </c>
      <c r="P426" s="956"/>
      <c r="Q426" s="1320" t="s">
        <v>236</v>
      </c>
      <c r="R426" s="1320"/>
    </row>
    <row r="427" spans="3:23" ht="14.1" customHeight="1" x14ac:dyDescent="0.25">
      <c r="I427" s="1319"/>
      <c r="J427" s="958" t="s">
        <v>6207</v>
      </c>
      <c r="K427" s="958" t="s">
        <v>6207</v>
      </c>
      <c r="L427" s="959" t="s">
        <v>235</v>
      </c>
      <c r="M427" s="958" t="s">
        <v>6207</v>
      </c>
      <c r="N427" s="959" t="s">
        <v>235</v>
      </c>
      <c r="O427" s="958" t="s">
        <v>6207</v>
      </c>
      <c r="P427" s="959" t="s">
        <v>235</v>
      </c>
      <c r="Q427" s="960" t="s">
        <v>6220</v>
      </c>
      <c r="R427" s="961" t="s">
        <v>235</v>
      </c>
    </row>
    <row r="428" spans="3:23" ht="14.1" customHeight="1" x14ac:dyDescent="0.25">
      <c r="I428" s="962" t="s">
        <v>2074</v>
      </c>
      <c r="J428" s="963">
        <f>J429+J430+J431</f>
        <v>374225.2</v>
      </c>
      <c r="K428" s="963">
        <f>K429+K430+K431</f>
        <v>540105.64</v>
      </c>
      <c r="L428" s="489">
        <f>IF(K428=0,"0,00% ",(K428-J428)/K428)</f>
        <v>0.30712591707059383</v>
      </c>
      <c r="M428" s="963">
        <f>M429+M430+M431</f>
        <v>574926.29999999993</v>
      </c>
      <c r="N428" s="489">
        <f>IF(M428=0,"0,00% ",(M428-K428)/M428)</f>
        <v>6.0565432473692574E-2</v>
      </c>
      <c r="O428" s="963">
        <f>O429+O430+O431</f>
        <v>857689.67</v>
      </c>
      <c r="P428" s="489">
        <f>IF(O428=0,"0,00% ",(O428-M428)/O428)</f>
        <v>0.32968027934859012</v>
      </c>
      <c r="Q428" s="964">
        <f>IF(O428=0,"R$0,0",(J428+K428+M428+O428)/4)</f>
        <v>586736.70250000001</v>
      </c>
      <c r="R428" s="965">
        <f>IF(P428=0,"R$0,0%",(L428+N428+P428)/3)</f>
        <v>0.23245720963095884</v>
      </c>
      <c r="S428" s="502"/>
    </row>
    <row r="429" spans="3:23" ht="14.1" customHeight="1" x14ac:dyDescent="0.2">
      <c r="I429" s="966" t="s">
        <v>2123</v>
      </c>
      <c r="J429" s="967">
        <f>J11</f>
        <v>335605.51</v>
      </c>
      <c r="K429" s="967">
        <f>K11</f>
        <v>490124.27</v>
      </c>
      <c r="L429" s="512">
        <f>IF(K429=0,"0,00% ",(K429-J429)/K429)</f>
        <v>0.31526445323754321</v>
      </c>
      <c r="M429" s="967">
        <f>M11</f>
        <v>509706.87999999995</v>
      </c>
      <c r="N429" s="512">
        <f>IF(M429=0,"0,00% ",(M429-K429)/M429)</f>
        <v>3.8419355846246235E-2</v>
      </c>
      <c r="O429" s="967">
        <f>O11</f>
        <v>807708.3</v>
      </c>
      <c r="P429" s="512">
        <f t="shared" ref="N429:P431" si="0">IF(O429=0,"0,00% ",(O429-M429)/O429)</f>
        <v>0.36894683390030791</v>
      </c>
      <c r="Q429" s="968" t="str">
        <f>IF(O430=0,"R$0,0",(J430+K430+M430+O430)/4)</f>
        <v>R$0,0</v>
      </c>
      <c r="R429" s="969">
        <f>IF(P430=0,"R$0,0%",(L430+N430+P430)/3)</f>
        <v>0</v>
      </c>
      <c r="S429" s="507"/>
    </row>
    <row r="430" spans="3:23" ht="14.1" customHeight="1" x14ac:dyDescent="0.2">
      <c r="I430" s="966" t="s">
        <v>175</v>
      </c>
      <c r="J430" s="967">
        <f>J85</f>
        <v>0</v>
      </c>
      <c r="K430" s="967">
        <f>K85</f>
        <v>0</v>
      </c>
      <c r="L430" s="512" t="str">
        <f>IF(K430=0,"0,00% ",(K430-J430)/K430)</f>
        <v xml:space="preserve">0,00% </v>
      </c>
      <c r="M430" s="967">
        <f>M85</f>
        <v>0</v>
      </c>
      <c r="N430" s="512" t="str">
        <f t="shared" si="0"/>
        <v xml:space="preserve">0,00% </v>
      </c>
      <c r="O430" s="967">
        <f>O85</f>
        <v>0</v>
      </c>
      <c r="P430" s="512" t="str">
        <f t="shared" si="0"/>
        <v xml:space="preserve">0,00% </v>
      </c>
      <c r="Q430" s="968">
        <f>IF(O431=0,"R$0,0",(J431+K431+M431+O431)/4)</f>
        <v>50950.462499999994</v>
      </c>
      <c r="R430" s="969">
        <f>IF(P431=0,"R$0,0%",(L431+N431+P431)/3)</f>
        <v>5.2028844891287195E-2</v>
      </c>
      <c r="S430" s="507"/>
    </row>
    <row r="431" spans="3:23" ht="14.1" customHeight="1" x14ac:dyDescent="0.2">
      <c r="I431" s="966" t="s">
        <v>94</v>
      </c>
      <c r="J431" s="967">
        <f>J93</f>
        <v>38619.69</v>
      </c>
      <c r="K431" s="967">
        <f>K93</f>
        <v>49981.37</v>
      </c>
      <c r="L431" s="512">
        <f>IF(K431=0,"0,00% ",(K431-J431)/K431)</f>
        <v>0.22731829879813217</v>
      </c>
      <c r="M431" s="967">
        <f>M93</f>
        <v>65219.42</v>
      </c>
      <c r="N431" s="512">
        <f t="shared" si="0"/>
        <v>0.23364283215030118</v>
      </c>
      <c r="O431" s="967">
        <f>O93</f>
        <v>49981.37</v>
      </c>
      <c r="P431" s="512">
        <f t="shared" si="0"/>
        <v>-0.30487459627457181</v>
      </c>
      <c r="Q431" s="968" t="str">
        <f>IF(O432=0,"R$0,0",(J432+K432+M432+O432)/4)</f>
        <v>R$0,0</v>
      </c>
      <c r="R431" s="969" t="str">
        <f>IF(P432=0,"R$0,0%",(L432+N432+P432)/3)</f>
        <v>R$0,0%</v>
      </c>
      <c r="S431" s="507"/>
    </row>
    <row r="432" spans="3:23" ht="14.1" customHeight="1" x14ac:dyDescent="0.25">
      <c r="I432" s="966"/>
      <c r="J432" s="967"/>
      <c r="K432" s="967"/>
      <c r="L432" s="966"/>
      <c r="M432" s="967"/>
      <c r="N432" s="966"/>
      <c r="O432" s="967"/>
      <c r="P432" s="966"/>
      <c r="Q432" s="966"/>
      <c r="R432" s="966"/>
    </row>
    <row r="433" spans="2:19" ht="14.1" customHeight="1" x14ac:dyDescent="0.25">
      <c r="I433" s="962" t="s">
        <v>2077</v>
      </c>
      <c r="J433" s="963">
        <f>J434+J435+J436+J437</f>
        <v>1430.0149999999996</v>
      </c>
      <c r="K433" s="963">
        <f>K434+K435+K436+K437</f>
        <v>7352.0150000000012</v>
      </c>
      <c r="L433" s="489">
        <f>IF(K433=0,"0,00% ",(K433-J433)/K433)</f>
        <v>0.80549345995621624</v>
      </c>
      <c r="M433" s="963">
        <f>M434+M435+M436+M437</f>
        <v>573</v>
      </c>
      <c r="N433" s="489">
        <f>IF(M433=0,"0,00% ",(M433-K433)/M433)</f>
        <v>-11.830741710296687</v>
      </c>
      <c r="O433" s="963">
        <f>O434+O435+O436+O437</f>
        <v>7352</v>
      </c>
      <c r="P433" s="489">
        <f>IF(O433=0,"0,00% ",(O433-M433)/O433)</f>
        <v>0.92206202393906422</v>
      </c>
      <c r="Q433" s="964">
        <f>IF(O433=0,"R$0,0",(J433+K433+M433+O433)/4)</f>
        <v>4176.7574999999997</v>
      </c>
      <c r="R433" s="965">
        <f>IF(P433=0,"R$0,0%",(L433+N433+P433)/3)</f>
        <v>-3.3677287421338025</v>
      </c>
      <c r="S433" s="502"/>
    </row>
    <row r="434" spans="2:19" ht="14.1" customHeight="1" x14ac:dyDescent="0.25">
      <c r="I434" s="966" t="s">
        <v>95</v>
      </c>
      <c r="J434" s="967">
        <f>J344</f>
        <v>1430.0139999999997</v>
      </c>
      <c r="K434" s="967">
        <f>K344</f>
        <v>7352.014000000001</v>
      </c>
      <c r="L434" s="489">
        <f>IF(K434=0,"0,00% ",(K434-J434)/K434)</f>
        <v>0.80549356951714202</v>
      </c>
      <c r="M434" s="967">
        <f>M344</f>
        <v>573</v>
      </c>
      <c r="N434" s="489">
        <f>IF(M434=0,"0,00% ",(M434-K434)/M434)</f>
        <v>-11.830739965095988</v>
      </c>
      <c r="O434" s="967">
        <f>O344</f>
        <v>7352</v>
      </c>
      <c r="P434" s="489">
        <f>IF(O434=0,"0,00% ",(O434-M434)/O434)</f>
        <v>0.92206202393906422</v>
      </c>
      <c r="Q434" s="968" t="str">
        <f>IF(O435=0,"R$0,0",(J435+K435+M435+O435)/4)</f>
        <v>R$0,0</v>
      </c>
      <c r="R434" s="969">
        <f>IF(P435=0,"R$0,0%",(L435+N435+P435)/3)</f>
        <v>0</v>
      </c>
      <c r="S434" s="507"/>
    </row>
    <row r="435" spans="2:19" ht="14.1" customHeight="1" x14ac:dyDescent="0.2">
      <c r="I435" s="966" t="s">
        <v>176</v>
      </c>
      <c r="J435" s="967">
        <f>0</f>
        <v>0</v>
      </c>
      <c r="K435" s="967">
        <f>0</f>
        <v>0</v>
      </c>
      <c r="L435" s="512" t="str">
        <f>IF(K435=0,"0,00% ",(K435-J435)/K435)</f>
        <v xml:space="preserve">0,00% </v>
      </c>
      <c r="M435" s="967">
        <f>0</f>
        <v>0</v>
      </c>
      <c r="N435" s="512" t="str">
        <f t="shared" ref="N435:P437" si="1">IF(M435=0,"0,00% ",(M435-K435)/M435)</f>
        <v xml:space="preserve">0,00% </v>
      </c>
      <c r="O435" s="967">
        <f>0</f>
        <v>0</v>
      </c>
      <c r="P435" s="512" t="str">
        <f t="shared" si="1"/>
        <v xml:space="preserve">0,00% </v>
      </c>
      <c r="Q435" s="968" t="str">
        <f>IF(O436=0,"R$0,0",(J436+K436+M436+O436)/4)</f>
        <v>R$0,0</v>
      </c>
      <c r="R435" s="969">
        <f>IF(P436=0,"R$0,0%",(L436+N436+P436)/3)</f>
        <v>0</v>
      </c>
      <c r="S435" s="507"/>
    </row>
    <row r="436" spans="2:19" ht="14.1" customHeight="1" x14ac:dyDescent="0.2">
      <c r="I436" s="966" t="s">
        <v>96</v>
      </c>
      <c r="J436" s="967">
        <f>J404</f>
        <v>1E-3</v>
      </c>
      <c r="K436" s="967">
        <f>K404</f>
        <v>1E-3</v>
      </c>
      <c r="L436" s="512">
        <f>IF(K436=0,"0,00% ",(K436-J436)/K436)</f>
        <v>0</v>
      </c>
      <c r="M436" s="967">
        <f>M404</f>
        <v>0</v>
      </c>
      <c r="N436" s="512" t="str">
        <f t="shared" si="1"/>
        <v xml:space="preserve">0,00% </v>
      </c>
      <c r="O436" s="967">
        <f>O404</f>
        <v>0</v>
      </c>
      <c r="P436" s="512" t="str">
        <f t="shared" si="1"/>
        <v xml:space="preserve">0,00% </v>
      </c>
      <c r="Q436" s="968" t="str">
        <f>IF(O437=0,"R$0,0",(J437+K437+M437+O437)/4)</f>
        <v>R$0,0</v>
      </c>
      <c r="R436" s="969">
        <f>IF(P437=0,"R$0,0%",(L437+N437+P437)/3)</f>
        <v>0</v>
      </c>
      <c r="S436" s="507"/>
    </row>
    <row r="437" spans="2:19" ht="14.1" customHeight="1" x14ac:dyDescent="0.2">
      <c r="I437" s="966" t="s">
        <v>2080</v>
      </c>
      <c r="J437" s="967">
        <f>J416</f>
        <v>0</v>
      </c>
      <c r="K437" s="967">
        <f>K416</f>
        <v>0</v>
      </c>
      <c r="L437" s="512" t="str">
        <f>IF(K437=0,"0,00% ",(K437-J437)/K437)</f>
        <v xml:space="preserve">0,00% </v>
      </c>
      <c r="M437" s="967">
        <f>M416</f>
        <v>0</v>
      </c>
      <c r="N437" s="512" t="str">
        <f t="shared" si="1"/>
        <v xml:space="preserve">0,00% </v>
      </c>
      <c r="O437" s="967">
        <f>O416</f>
        <v>0</v>
      </c>
      <c r="P437" s="512" t="str">
        <f t="shared" si="1"/>
        <v xml:space="preserve">0,00% </v>
      </c>
      <c r="Q437" s="968" t="str">
        <f>IF(O438=0,"R$0,0",(J438+K438+M438+O438)/4)</f>
        <v>R$0,0</v>
      </c>
      <c r="R437" s="969" t="str">
        <f>IF(P438=0,"R$0,0%",(L438+N438+P438)/3)</f>
        <v>R$0,0%</v>
      </c>
      <c r="S437" s="507"/>
    </row>
    <row r="438" spans="2:19" ht="14.1" customHeight="1" x14ac:dyDescent="0.25">
      <c r="I438" s="966"/>
      <c r="J438" s="967"/>
      <c r="K438" s="967"/>
      <c r="L438" s="966"/>
      <c r="M438" s="967"/>
      <c r="N438" s="966"/>
      <c r="O438" s="967"/>
      <c r="P438" s="966"/>
      <c r="Q438" s="966"/>
      <c r="R438" s="966"/>
    </row>
    <row r="439" spans="2:19" ht="14.1" customHeight="1" x14ac:dyDescent="0.25">
      <c r="I439" s="962" t="s">
        <v>2124</v>
      </c>
      <c r="J439" s="963">
        <f>J440</f>
        <v>0</v>
      </c>
      <c r="K439" s="963">
        <f>K440</f>
        <v>0</v>
      </c>
      <c r="L439" s="489" t="str">
        <f>IF(K439=0,"0,00% ",(K439-J439)/K439)</f>
        <v xml:space="preserve">0,00% </v>
      </c>
      <c r="M439" s="963">
        <f>M440</f>
        <v>0</v>
      </c>
      <c r="N439" s="489" t="str">
        <f>IF(M439=0,"0,00% ",(M439-K439)/M439)</f>
        <v xml:space="preserve">0,00% </v>
      </c>
      <c r="O439" s="963">
        <f>O440</f>
        <v>0</v>
      </c>
      <c r="P439" s="489" t="str">
        <f>IF(O439=0,"0,00% ",(O439-M439)/O439)</f>
        <v xml:space="preserve">0,00% </v>
      </c>
      <c r="Q439" s="964" t="str">
        <f>IF(O439=0,"R$0,0",(J439+K439+M439+O439)/4)</f>
        <v>R$0,0</v>
      </c>
      <c r="R439" s="965">
        <f>IF(P439=0,"R$0,0%",(L439+N439+P439)/3)</f>
        <v>0</v>
      </c>
      <c r="S439" s="502"/>
    </row>
    <row r="440" spans="2:19" ht="14.1" customHeight="1" x14ac:dyDescent="0.2">
      <c r="I440" s="966" t="s">
        <v>2123</v>
      </c>
      <c r="J440" s="967">
        <v>0</v>
      </c>
      <c r="K440" s="967">
        <v>0</v>
      </c>
      <c r="L440" s="512" t="str">
        <f>IF(K440=0,"0,00% ",(K440-J440)/K440)</f>
        <v xml:space="preserve">0,00% </v>
      </c>
      <c r="M440" s="967">
        <v>0</v>
      </c>
      <c r="N440" s="512" t="str">
        <f>IF(M440=0,"0,00% ",(M440-K440)/M440)</f>
        <v xml:space="preserve">0,00% </v>
      </c>
      <c r="O440" s="967">
        <v>0</v>
      </c>
      <c r="P440" s="512" t="str">
        <f>IF(O440=0,"0,00% ",(O440-M440)/O440)</f>
        <v xml:space="preserve">0,00% </v>
      </c>
      <c r="Q440" s="968" t="str">
        <f>IF(O441=0,"R$0,0",(J441+K441+M441+O441)/4)</f>
        <v>R$0,0</v>
      </c>
      <c r="R440" s="969" t="str">
        <f>IF(P441=0,"R$0,0%",(L441+N441+P441)/3)</f>
        <v>R$0,0%</v>
      </c>
      <c r="S440" s="507"/>
    </row>
    <row r="441" spans="2:19" ht="14.1" customHeight="1" x14ac:dyDescent="0.25">
      <c r="I441" s="966"/>
      <c r="J441" s="967"/>
      <c r="K441" s="967"/>
      <c r="L441" s="966"/>
      <c r="M441" s="967"/>
      <c r="N441" s="966"/>
      <c r="O441" s="967"/>
      <c r="P441" s="966"/>
      <c r="Q441" s="966"/>
      <c r="R441" s="966"/>
    </row>
    <row r="442" spans="2:19" ht="14.1" customHeight="1" x14ac:dyDescent="0.25">
      <c r="I442" s="970" t="s">
        <v>0</v>
      </c>
      <c r="J442" s="963">
        <f>J428+J433+J439</f>
        <v>375655.21500000003</v>
      </c>
      <c r="K442" s="963">
        <f>K428+K433+K439</f>
        <v>547457.65500000003</v>
      </c>
      <c r="L442" s="489">
        <f>IF(K442=0,"0,00% ",(K442-J442)/K442)</f>
        <v>0.31381868246960581</v>
      </c>
      <c r="M442" s="963">
        <f>M428+M433+M439</f>
        <v>575499.29999999993</v>
      </c>
      <c r="N442" s="489">
        <f>IF(M442=0,"0,00% ",(M442-K442)/M442)</f>
        <v>4.8725767346719462E-2</v>
      </c>
      <c r="O442" s="963">
        <f>O428+O433+O439</f>
        <v>865041.67</v>
      </c>
      <c r="P442" s="489">
        <f>IF(O442=0,"0,00% ",(O442-M442)/O442)</f>
        <v>0.33471493922367934</v>
      </c>
      <c r="Q442" s="964">
        <f>IF(O442=0,"R$0,0",(J442+K442+M442+O442)/4)</f>
        <v>590913.46</v>
      </c>
      <c r="R442" s="965">
        <f>IF(P442=0,"R$0,0%",(L442+N442+P442)/3)</f>
        <v>0.23241979634666821</v>
      </c>
      <c r="S442" s="502"/>
    </row>
    <row r="443" spans="2:19" ht="14.1" customHeight="1" x14ac:dyDescent="0.25"/>
    <row r="444" spans="2:19" ht="14.1" customHeight="1" x14ac:dyDescent="0.25"/>
    <row r="445" spans="2:19" ht="14.1" customHeight="1" x14ac:dyDescent="0.25">
      <c r="B445" s="496"/>
      <c r="C445" s="496" t="s">
        <v>452</v>
      </c>
      <c r="D445" s="496"/>
      <c r="E445" s="496"/>
      <c r="F445" s="496"/>
      <c r="G445" s="496"/>
      <c r="H445" s="496"/>
      <c r="I445" s="496"/>
      <c r="J445" s="496"/>
      <c r="K445" s="496"/>
      <c r="M445" s="496"/>
      <c r="O445" s="496"/>
    </row>
    <row r="446" spans="2:19" ht="14.1" customHeight="1" x14ac:dyDescent="0.25"/>
    <row r="447" spans="2:19" ht="14.1" customHeight="1" x14ac:dyDescent="0.25"/>
    <row r="448" spans="2:19" ht="14.1" customHeight="1" x14ac:dyDescent="0.25">
      <c r="C448" s="1321" t="s">
        <v>2099</v>
      </c>
      <c r="D448" s="1321"/>
      <c r="E448" s="1321"/>
      <c r="F448" s="497"/>
      <c r="G448" s="497"/>
      <c r="H448" s="497"/>
      <c r="I448" s="1321" t="s">
        <v>2100</v>
      </c>
      <c r="J448" s="555">
        <v>2012</v>
      </c>
      <c r="K448" s="555">
        <v>2013</v>
      </c>
      <c r="L448" s="555"/>
      <c r="M448" s="555">
        <v>2014</v>
      </c>
      <c r="N448" s="555"/>
      <c r="O448" s="947">
        <v>2015</v>
      </c>
      <c r="P448" s="555"/>
      <c r="Q448" s="1318" t="s">
        <v>236</v>
      </c>
      <c r="R448" s="1318"/>
    </row>
    <row r="449" spans="3:23" ht="14.1" customHeight="1" x14ac:dyDescent="0.25">
      <c r="C449" s="1321"/>
      <c r="D449" s="1321"/>
      <c r="E449" s="1321"/>
      <c r="F449" s="497"/>
      <c r="G449" s="497"/>
      <c r="H449" s="497"/>
      <c r="I449" s="1321"/>
      <c r="J449" s="485" t="s">
        <v>6207</v>
      </c>
      <c r="K449" s="485" t="s">
        <v>6207</v>
      </c>
      <c r="L449" s="486" t="s">
        <v>235</v>
      </c>
      <c r="M449" s="485" t="s">
        <v>6207</v>
      </c>
      <c r="N449" s="486" t="s">
        <v>235</v>
      </c>
      <c r="O449" s="485" t="s">
        <v>6207</v>
      </c>
      <c r="P449" s="486" t="s">
        <v>235</v>
      </c>
      <c r="Q449" s="487" t="s">
        <v>6220</v>
      </c>
      <c r="R449" s="488" t="s">
        <v>235</v>
      </c>
      <c r="S449" s="498"/>
      <c r="V449" s="498"/>
      <c r="W449" s="498"/>
    </row>
    <row r="450" spans="3:23" ht="14.1" customHeight="1" x14ac:dyDescent="0.25">
      <c r="J450" s="499"/>
      <c r="K450" s="499"/>
      <c r="M450" s="499"/>
      <c r="O450" s="499"/>
    </row>
    <row r="451" spans="3:23" s="492" customFormat="1" ht="14.1" customHeight="1" x14ac:dyDescent="0.25">
      <c r="C451" s="492" t="s">
        <v>2104</v>
      </c>
      <c r="I451" s="500" t="s">
        <v>2105</v>
      </c>
      <c r="J451" s="501">
        <f>J453+J521+J529</f>
        <v>9760532.540000001</v>
      </c>
      <c r="K451" s="501">
        <f>K453+K521+K529</f>
        <v>11751138.68</v>
      </c>
      <c r="L451" s="489">
        <f>IF(K451=0,"0,00% ",(K451-J451)/K451)</f>
        <v>0.16939687243993948</v>
      </c>
      <c r="M451" s="501">
        <f>M453+M521+M529</f>
        <v>11878617.569999998</v>
      </c>
      <c r="N451" s="489">
        <f>IF(M451=0,"0,00% ",(M451-K451)/M451)</f>
        <v>1.073179511410087E-2</v>
      </c>
      <c r="O451" s="501">
        <f>O453+O521+O529</f>
        <v>7883766.75</v>
      </c>
      <c r="P451" s="489">
        <f>IF(O451=0,"0,00% ",(O451-M451)/O451)</f>
        <v>-0.5067185454211971</v>
      </c>
      <c r="Q451" s="490">
        <f>IF(O451=0,"R$0,0",(J451+K451+M451+O451)/4)</f>
        <v>10318513.885</v>
      </c>
      <c r="R451" s="491">
        <f>IF(P451=0,"R$0,0%",(L451+N451+P451)/3)</f>
        <v>-0.10886329262238559</v>
      </c>
      <c r="W451" s="502"/>
    </row>
    <row r="452" spans="3:23" s="492" customFormat="1" ht="14.1" customHeight="1" x14ac:dyDescent="0.25">
      <c r="J452" s="501"/>
      <c r="K452" s="501"/>
      <c r="M452" s="501"/>
      <c r="O452" s="501"/>
      <c r="Q452" s="503"/>
      <c r="R452" s="504"/>
    </row>
    <row r="453" spans="3:23" s="492" customFormat="1" ht="14.1" customHeight="1" x14ac:dyDescent="0.25">
      <c r="C453" s="492" t="s">
        <v>2106</v>
      </c>
      <c r="I453" s="500" t="s">
        <v>2075</v>
      </c>
      <c r="J453" s="501">
        <f>J455+J461</f>
        <v>5237803.0000000009</v>
      </c>
      <c r="K453" s="501">
        <f>K455+K461</f>
        <v>6203385.5199999986</v>
      </c>
      <c r="L453" s="489">
        <f>IF(K453=0,"0,00% ",(K453-J453)/K453)</f>
        <v>0.15565412094523473</v>
      </c>
      <c r="M453" s="501">
        <f>M455+M461</f>
        <v>6548088.5099999988</v>
      </c>
      <c r="N453" s="489">
        <f>IF(M453=0,"0,00% ",(M453-K453)/M453)</f>
        <v>5.2641773163814534E-2</v>
      </c>
      <c r="O453" s="501">
        <f>O455+O461</f>
        <v>4764410.3900000006</v>
      </c>
      <c r="P453" s="489">
        <f>IF(O453=0,"0,00% ",(O453-M453)/O453)</f>
        <v>-0.37437541563248877</v>
      </c>
      <c r="Q453" s="490">
        <f>IF(O453=0,"R$0,0",(J453+K453+M453+O453)/4)</f>
        <v>5688421.8549999995</v>
      </c>
      <c r="R453" s="491">
        <f>IF(P453=0,"R$0,0%",(L453+N453+P453)/3)</f>
        <v>-5.5359840507813174E-2</v>
      </c>
      <c r="S453" s="502"/>
    </row>
    <row r="454" spans="3:23" s="492" customFormat="1" ht="14.1" customHeight="1" x14ac:dyDescent="0.25">
      <c r="J454" s="501"/>
      <c r="K454" s="501"/>
      <c r="M454" s="501"/>
      <c r="O454" s="501"/>
      <c r="Q454" s="490"/>
      <c r="R454" s="493"/>
    </row>
    <row r="455" spans="3:23" s="492" customFormat="1" ht="14.1" customHeight="1" x14ac:dyDescent="0.25">
      <c r="C455" s="492" t="s">
        <v>6340</v>
      </c>
      <c r="I455" s="500" t="s">
        <v>6250</v>
      </c>
      <c r="J455" s="501">
        <f>J457+J459</f>
        <v>0</v>
      </c>
      <c r="K455" s="501">
        <f>K457+K459</f>
        <v>0</v>
      </c>
      <c r="L455" s="489" t="str">
        <f>IF(K455=0,"0,00% ",(K455-J455)/K455)</f>
        <v xml:space="preserve">0,00% </v>
      </c>
      <c r="M455" s="501">
        <f>M457+M459</f>
        <v>0</v>
      </c>
      <c r="N455" s="489" t="str">
        <f>IF(M455=0,"0,00% ",(M455-K455)/M455)</f>
        <v xml:space="preserve">0,00% </v>
      </c>
      <c r="O455" s="501">
        <f>O457+O459</f>
        <v>3349.12</v>
      </c>
      <c r="P455" s="489">
        <f>IF(O455=0,"0,00% ",(O455-M455)/O455)</f>
        <v>1</v>
      </c>
      <c r="Q455" s="490">
        <f>IF(O455=0,"R$0,0",(J455+K455+M455+O455)/4)</f>
        <v>837.28</v>
      </c>
      <c r="R455" s="491">
        <f>IF(P455=0,"R$0,0%",(L455+N455+P455)/3)</f>
        <v>0.33333333333333331</v>
      </c>
    </row>
    <row r="456" spans="3:23" ht="14.1" customHeight="1" x14ac:dyDescent="0.25">
      <c r="J456" s="499"/>
      <c r="K456" s="499"/>
      <c r="M456" s="499"/>
      <c r="O456" s="499"/>
      <c r="R456" s="491"/>
    </row>
    <row r="457" spans="3:23" ht="14.1" customHeight="1" x14ac:dyDescent="0.2">
      <c r="C457" s="483" t="s">
        <v>6249</v>
      </c>
      <c r="I457" s="506" t="s">
        <v>6341</v>
      </c>
      <c r="J457" s="499">
        <v>0</v>
      </c>
      <c r="K457" s="499">
        <v>0</v>
      </c>
      <c r="L457" s="512" t="str">
        <f>IF(K457=0,"0,00% ",(K457-J457)/K457)</f>
        <v xml:space="preserve">0,00% </v>
      </c>
      <c r="M457" s="499">
        <v>0</v>
      </c>
      <c r="N457" s="512" t="str">
        <f>IF(M457=0,"0,00% ",(M457-K457)/M457)</f>
        <v xml:space="preserve">0,00% </v>
      </c>
      <c r="O457" s="499">
        <v>0</v>
      </c>
      <c r="P457" s="512" t="str">
        <f>IF(O457=0,"0,00% ",(O457-M457)/O457)</f>
        <v xml:space="preserve">0,00% </v>
      </c>
      <c r="Q457" s="484" t="str">
        <f>IF(O457=0,"R$0,0",(J457+K457+M457+O457)/4)</f>
        <v>R$0,0</v>
      </c>
      <c r="R457" s="495">
        <f>IF(P457=0,"R$0,0%",(L457+N457+P457)/3)</f>
        <v>0</v>
      </c>
    </row>
    <row r="458" spans="3:23" ht="14.1" customHeight="1" x14ac:dyDescent="0.25">
      <c r="J458" s="499"/>
      <c r="K458" s="499"/>
      <c r="M458" s="499"/>
      <c r="O458" s="499"/>
    </row>
    <row r="459" spans="3:23" ht="14.1" customHeight="1" x14ac:dyDescent="0.2">
      <c r="C459" s="483" t="s">
        <v>6342</v>
      </c>
      <c r="I459" s="506" t="s">
        <v>6341</v>
      </c>
      <c r="J459" s="499">
        <v>0</v>
      </c>
      <c r="K459" s="499">
        <v>0</v>
      </c>
      <c r="L459" s="512" t="str">
        <f>IF(K459=0,"0,00% ",(K459-J459)/K459)</f>
        <v xml:space="preserve">0,00% </v>
      </c>
      <c r="M459" s="499">
        <v>0</v>
      </c>
      <c r="N459" s="512" t="str">
        <f>IF(M459=0,"0,00% ",(M459-K459)/M459)</f>
        <v xml:space="preserve">0,00% </v>
      </c>
      <c r="O459" s="499">
        <v>3349.12</v>
      </c>
      <c r="P459" s="512">
        <f>IF(O459=0,"0,00% ",(O459-M459)/O459)</f>
        <v>1</v>
      </c>
      <c r="Q459" s="484">
        <f>IF(O459=0,"R$0,0",(J459+K459+M459+O459)/4)</f>
        <v>837.28</v>
      </c>
      <c r="R459" s="495">
        <f>IF(P459=0,"R$0,0%",(L459+N459+P459)/3)</f>
        <v>0.33333333333333331</v>
      </c>
    </row>
    <row r="460" spans="3:23" ht="14.1" customHeight="1" x14ac:dyDescent="0.25">
      <c r="J460" s="499"/>
      <c r="K460" s="499"/>
      <c r="M460" s="499"/>
      <c r="O460" s="499"/>
    </row>
    <row r="461" spans="3:23" s="492" customFormat="1" ht="14.1" customHeight="1" x14ac:dyDescent="0.25">
      <c r="C461" s="492" t="s">
        <v>2107</v>
      </c>
      <c r="I461" s="500" t="s">
        <v>2108</v>
      </c>
      <c r="J461" s="501">
        <f>J463+J471+J475+J503+J513+J517</f>
        <v>5237803.0000000009</v>
      </c>
      <c r="K461" s="501">
        <f>K463+K471+K475+K503+K513+K517</f>
        <v>6203385.5199999986</v>
      </c>
      <c r="L461" s="489">
        <f>IF(K461=0,"0,00% ",(K461-J461)/K461)</f>
        <v>0.15565412094523473</v>
      </c>
      <c r="M461" s="501">
        <f>M463+M471+M475+M503+M513+M517</f>
        <v>6548088.5099999988</v>
      </c>
      <c r="N461" s="489">
        <f>IF(M461=0,"0,00% ",(M461-K461)/M461)</f>
        <v>5.2641773163814534E-2</v>
      </c>
      <c r="O461" s="501">
        <f>O463+O471+O475+O503+O513+O517</f>
        <v>4761061.2700000005</v>
      </c>
      <c r="P461" s="489">
        <f>IF(O461=0,"0,00% ",(O461-M461)/O461)</f>
        <v>-0.37534220600357832</v>
      </c>
      <c r="Q461" s="490">
        <f>IF(O461=0,"R$0,0",(J461+K461+M461+O461)/4)</f>
        <v>5687584.5749999993</v>
      </c>
      <c r="R461" s="491">
        <f>IF(P461=0,"R$0,0%",(L461+N461+P461)/3)</f>
        <v>-5.5682103964843022E-2</v>
      </c>
    </row>
    <row r="462" spans="3:23" ht="14.1" customHeight="1" x14ac:dyDescent="0.25">
      <c r="J462" s="499"/>
      <c r="K462" s="499"/>
      <c r="L462" s="492"/>
      <c r="M462" s="499"/>
      <c r="N462" s="492"/>
      <c r="O462" s="499"/>
      <c r="P462" s="492"/>
    </row>
    <row r="463" spans="3:23" s="492" customFormat="1" ht="14.1" customHeight="1" x14ac:dyDescent="0.25">
      <c r="C463" s="492" t="s">
        <v>6253</v>
      </c>
      <c r="I463" s="500" t="s">
        <v>1012</v>
      </c>
      <c r="J463" s="501">
        <f>J465+J467+J469</f>
        <v>223684.43</v>
      </c>
      <c r="K463" s="501">
        <f>K465+K467+K469</f>
        <v>563985.32999999996</v>
      </c>
      <c r="L463" s="489">
        <f>IF(K463=0,"0,00% ",(K463-J463)/K463)</f>
        <v>0.60338608452812059</v>
      </c>
      <c r="M463" s="501">
        <f>M465+M467+M469</f>
        <v>607631.24</v>
      </c>
      <c r="N463" s="489">
        <f>IF(M463=0,"0,00% ",(M463-K463)/M463)</f>
        <v>7.1829601782818206E-2</v>
      </c>
      <c r="O463" s="501">
        <f>O465+O467+O469</f>
        <v>296186.02</v>
      </c>
      <c r="P463" s="489">
        <f>IF(O463=0,"0,00% ",(O463-M463)/O463)</f>
        <v>-1.0515189744607121</v>
      </c>
      <c r="Q463" s="490">
        <f>IF(O463=0,"R$0,0",(J463+K463+M463+O463)/4)</f>
        <v>422871.755</v>
      </c>
      <c r="R463" s="491">
        <f>IF(P463=0,"R$0,0%",(L463+N463+P463)/3)</f>
        <v>-0.12543442938325777</v>
      </c>
    </row>
    <row r="464" spans="3:23" ht="14.1" customHeight="1" x14ac:dyDescent="0.25">
      <c r="J464" s="499"/>
      <c r="K464" s="499"/>
      <c r="L464" s="492"/>
      <c r="M464" s="499"/>
      <c r="O464" s="499"/>
    </row>
    <row r="465" spans="3:18" ht="14.1" customHeight="1" x14ac:dyDescent="0.2">
      <c r="C465" s="483" t="s">
        <v>6343</v>
      </c>
      <c r="I465" s="506" t="s">
        <v>6344</v>
      </c>
      <c r="J465" s="499">
        <v>34931.17</v>
      </c>
      <c r="K465" s="499">
        <v>117119.28</v>
      </c>
      <c r="L465" s="512">
        <f>IF(K465=0,"0,00% ",(K465-J465)/K465)</f>
        <v>0.70174705650512881</v>
      </c>
      <c r="M465" s="499">
        <v>161957.51999999999</v>
      </c>
      <c r="N465" s="512">
        <f>IF(M465=0,"0,00% ",(M465-K465)/M465)</f>
        <v>0.27685185596815753</v>
      </c>
      <c r="O465" s="499">
        <v>75826.67</v>
      </c>
      <c r="P465" s="512">
        <f>IF(O465=0,"0,00% ",(O465-M465)/O465)</f>
        <v>-1.1358912372124477</v>
      </c>
      <c r="Q465" s="484">
        <f>IF(O465=0,"R$0,0",(J465+K465+M465+O465)/4)</f>
        <v>97458.659999999989</v>
      </c>
      <c r="R465" s="495">
        <f>IF(P465=0,"R$0,0%",(L465+N465+P465)/3)</f>
        <v>-5.2430774913053778E-2</v>
      </c>
    </row>
    <row r="466" spans="3:18" ht="14.1" customHeight="1" x14ac:dyDescent="0.25">
      <c r="J466" s="499"/>
      <c r="K466" s="499"/>
      <c r="M466" s="499"/>
      <c r="O466" s="499"/>
    </row>
    <row r="467" spans="3:18" ht="14.1" customHeight="1" x14ac:dyDescent="0.2">
      <c r="C467" s="483" t="s">
        <v>6273</v>
      </c>
      <c r="I467" s="506" t="s">
        <v>1011</v>
      </c>
      <c r="J467" s="499">
        <v>53050.58</v>
      </c>
      <c r="K467" s="499">
        <v>97651.33</v>
      </c>
      <c r="L467" s="512">
        <f>IF(K467=0,"0,00% ",(K467-J467)/K467)</f>
        <v>0.45673469065910316</v>
      </c>
      <c r="M467" s="499">
        <v>110812.62</v>
      </c>
      <c r="N467" s="512">
        <f>IF(M467=0,"0,00% ",(M467-K467)/M467)</f>
        <v>0.11877067792459012</v>
      </c>
      <c r="O467" s="499">
        <v>38141.96</v>
      </c>
      <c r="P467" s="512">
        <f>IF(O467=0,"0,00% ",(O467-M467)/O467)</f>
        <v>-1.9052681089278056</v>
      </c>
      <c r="Q467" s="484">
        <f>IF(O467=0,"R$0,0",(J467+K467+M467+O467)/4)</f>
        <v>74914.122499999998</v>
      </c>
      <c r="R467" s="495">
        <f>IF(P467=0,"R$0,0%",(L467+N467+P467)/3)</f>
        <v>-0.44325424678137076</v>
      </c>
    </row>
    <row r="468" spans="3:18" ht="14.1" customHeight="1" x14ac:dyDescent="0.25">
      <c r="J468" s="499"/>
      <c r="K468" s="499"/>
      <c r="M468" s="499"/>
      <c r="O468" s="499"/>
    </row>
    <row r="469" spans="3:18" ht="14.1" customHeight="1" x14ac:dyDescent="0.2">
      <c r="C469" s="483" t="s">
        <v>6305</v>
      </c>
      <c r="I469" s="506" t="s">
        <v>4819</v>
      </c>
      <c r="J469" s="499">
        <v>135702.68</v>
      </c>
      <c r="K469" s="499">
        <v>349214.71999999997</v>
      </c>
      <c r="L469" s="512">
        <f>IF(K469=0,"0,00% ",(K469-J469)/K469)</f>
        <v>0.61140618585608308</v>
      </c>
      <c r="M469" s="499">
        <v>334861.09999999998</v>
      </c>
      <c r="N469" s="512">
        <f>IF(M469=0,"0,00% ",(M469-K469)/M469)</f>
        <v>-4.2864399597325568E-2</v>
      </c>
      <c r="O469" s="499">
        <v>182217.39</v>
      </c>
      <c r="P469" s="512">
        <f>IF(O469=0,"0,00% ",(O469-M469)/O469)</f>
        <v>-0.83770111074469866</v>
      </c>
      <c r="Q469" s="484">
        <f>IF(O469=0,"R$0,0",(J469+K469+M469+O469)/4)</f>
        <v>250498.9725</v>
      </c>
      <c r="R469" s="495">
        <f>IF(P469=0,"R$0,0%",(L469+N469+P469)/3)</f>
        <v>-8.9719774828647056E-2</v>
      </c>
    </row>
    <row r="470" spans="3:18" ht="14.1" customHeight="1" x14ac:dyDescent="0.25">
      <c r="J470" s="499"/>
      <c r="K470" s="499"/>
      <c r="M470" s="499"/>
      <c r="O470" s="499"/>
    </row>
    <row r="471" spans="3:18" s="492" customFormat="1" ht="14.1" customHeight="1" x14ac:dyDescent="0.25">
      <c r="C471" s="492" t="s">
        <v>6258</v>
      </c>
      <c r="I471" s="500" t="s">
        <v>1020</v>
      </c>
      <c r="J471" s="501">
        <f>J473</f>
        <v>138960.4</v>
      </c>
      <c r="K471" s="501">
        <f>K473</f>
        <v>136764.16</v>
      </c>
      <c r="L471" s="489">
        <f>IF(K471=0,"0,00% ",(K471-J471)/K471)</f>
        <v>-1.6058593128492074E-2</v>
      </c>
      <c r="M471" s="501">
        <f>M473</f>
        <v>145342.29999999999</v>
      </c>
      <c r="N471" s="489">
        <f>IF(M471=0,"0,00% ",(M471-K471)/M471)</f>
        <v>5.9020257695109997E-2</v>
      </c>
      <c r="O471" s="501">
        <f>O473</f>
        <v>103107.72</v>
      </c>
      <c r="P471" s="489">
        <f>IF(O471=0,"0,00% ",(O471-M471)/O471)</f>
        <v>-0.40961607918398341</v>
      </c>
      <c r="Q471" s="490">
        <f>IF(O471=0,"R$0,0",(J471+K471+M471+O471)/4)</f>
        <v>131043.64499999999</v>
      </c>
      <c r="R471" s="491">
        <f>IF(P471=0,"R$0,0%",(L471+N471+P471)/3)</f>
        <v>-0.12221813820578849</v>
      </c>
    </row>
    <row r="472" spans="3:18" ht="14.1" customHeight="1" x14ac:dyDescent="0.25">
      <c r="J472" s="499"/>
      <c r="K472" s="499"/>
      <c r="M472" s="499"/>
      <c r="O472" s="499"/>
    </row>
    <row r="473" spans="3:18" ht="14.1" customHeight="1" x14ac:dyDescent="0.2">
      <c r="C473" s="483" t="s">
        <v>6345</v>
      </c>
      <c r="I473" s="506" t="s">
        <v>1020</v>
      </c>
      <c r="J473" s="499">
        <v>138960.4</v>
      </c>
      <c r="K473" s="499">
        <v>136764.16</v>
      </c>
      <c r="L473" s="512">
        <f>IF(K473=0,"0,00% ",(K473-J473)/K473)</f>
        <v>-1.6058593128492074E-2</v>
      </c>
      <c r="M473" s="499">
        <v>145342.29999999999</v>
      </c>
      <c r="N473" s="512">
        <f>IF(M473=0,"0,00% ",(M473-K473)/M473)</f>
        <v>5.9020257695109997E-2</v>
      </c>
      <c r="O473" s="499">
        <v>103107.72</v>
      </c>
      <c r="P473" s="512">
        <f>IF(O473=0,"0,00% ",(O473-M473)/O473)</f>
        <v>-0.40961607918398341</v>
      </c>
      <c r="Q473" s="484">
        <f>IF(O473=0,"R$0,0",(J473+K473+M473+O473)/4)</f>
        <v>131043.64499999999</v>
      </c>
      <c r="R473" s="495">
        <f>IF(P473=0,"R$0,0%",(L473+N473+P473)/3)</f>
        <v>-0.12221813820578849</v>
      </c>
    </row>
    <row r="474" spans="3:18" ht="14.1" customHeight="1" x14ac:dyDescent="0.25">
      <c r="J474" s="499"/>
      <c r="K474" s="499"/>
      <c r="M474" s="499"/>
      <c r="O474" s="499"/>
    </row>
    <row r="475" spans="3:18" s="492" customFormat="1" ht="14.1" customHeight="1" x14ac:dyDescent="0.25">
      <c r="C475" s="492" t="s">
        <v>6236</v>
      </c>
      <c r="I475" s="500" t="s">
        <v>1009</v>
      </c>
      <c r="J475" s="501">
        <f>J477+J479+J481+J483+J485+J487+J489+J491+J493+J495+J497+J499+J501</f>
        <v>3695854.4000000004</v>
      </c>
      <c r="K475" s="501">
        <f>K477+K479+K481+K483+K485+K487+K489+K491+K493+K495+K497+K499+K501</f>
        <v>4157366.419999999</v>
      </c>
      <c r="L475" s="489">
        <f>IF(K475=0,"0,00% ",(K475-J475)/K475)</f>
        <v>0.11101066718097914</v>
      </c>
      <c r="M475" s="501">
        <f>M477+M479+M481+M483+M485+M487+M489+M491+M493+M495+M497+M499+M501</f>
        <v>4469431.8999999994</v>
      </c>
      <c r="N475" s="489">
        <f>IF(M475=0,"0,00% ",(M475-K475)/M475)</f>
        <v>6.9822180308866652E-2</v>
      </c>
      <c r="O475" s="501">
        <f>O477+O479+O481+O483+O485+O487+O489+O491+O493+O495+O497+O499+O501</f>
        <v>3048287.3200000003</v>
      </c>
      <c r="P475" s="489">
        <f>IF(O475=0,"0,00% ",(O475-M475)/O475)</f>
        <v>-0.46621083605727792</v>
      </c>
      <c r="Q475" s="490">
        <f>IF(O475=0,"R$0,0",(J475+K475+M475+O475)/4)</f>
        <v>3842735.01</v>
      </c>
      <c r="R475" s="491">
        <f>IF(P475=0,"R$0,0%",(L475+N475+P475)/3)</f>
        <v>-9.5125996189144038E-2</v>
      </c>
    </row>
    <row r="476" spans="3:18" ht="14.1" customHeight="1" x14ac:dyDescent="0.25">
      <c r="J476" s="499"/>
      <c r="K476" s="499"/>
      <c r="M476" s="499"/>
      <c r="O476" s="499"/>
    </row>
    <row r="477" spans="3:18" ht="14.1" customHeight="1" x14ac:dyDescent="0.2">
      <c r="C477" s="483" t="s">
        <v>6346</v>
      </c>
      <c r="I477" s="506" t="s">
        <v>4863</v>
      </c>
      <c r="J477" s="499">
        <f>1636474.05+960776.06</f>
        <v>2597250.1100000003</v>
      </c>
      <c r="K477" s="499">
        <v>2761253.03</v>
      </c>
      <c r="L477" s="512">
        <f>IF(K477=0,"0,00% ",(K477-J477)/K477)</f>
        <v>5.939438299140571E-2</v>
      </c>
      <c r="M477" s="499">
        <v>3003521.48</v>
      </c>
      <c r="N477" s="512">
        <f>IF(M477=0,"0,00% ",(M477-K477)/M477)</f>
        <v>8.0661467418571678E-2</v>
      </c>
      <c r="O477" s="499">
        <v>2124720.7799999998</v>
      </c>
      <c r="P477" s="512">
        <f>IF(O477=0,"0,00% ",(O477-M477)/O477)</f>
        <v>-0.41360761765600101</v>
      </c>
      <c r="Q477" s="484">
        <f>IF(O477=0,"R$0,0",(J477+K477+M477+O477)/4)</f>
        <v>2621686.35</v>
      </c>
      <c r="R477" s="495">
        <f>IF(P477=0,"R$0,0%",(L477+N477+P477)/3)</f>
        <v>-9.1183922415341193E-2</v>
      </c>
    </row>
    <row r="478" spans="3:18" ht="14.1" customHeight="1" x14ac:dyDescent="0.2">
      <c r="I478" s="506"/>
      <c r="J478" s="499"/>
      <c r="K478" s="499"/>
      <c r="L478" s="494"/>
      <c r="M478" s="499"/>
      <c r="N478" s="494"/>
      <c r="O478" s="499"/>
      <c r="P478" s="494"/>
      <c r="Q478" s="484"/>
    </row>
    <row r="479" spans="3:18" ht="14.1" customHeight="1" x14ac:dyDescent="0.2">
      <c r="C479" s="483" t="s">
        <v>6274</v>
      </c>
      <c r="I479" s="506" t="s">
        <v>1008</v>
      </c>
      <c r="J479" s="499">
        <v>8322.16</v>
      </c>
      <c r="K479" s="499">
        <v>5785.87</v>
      </c>
      <c r="L479" s="512">
        <f>IF(K479=0,"0,00% ",(K479-J479)/K479)</f>
        <v>-0.43835931329255584</v>
      </c>
      <c r="M479" s="499">
        <v>27554.83</v>
      </c>
      <c r="N479" s="512">
        <f>IF(M479=0,"0,00% ",(M479-K479)/M479)</f>
        <v>0.79002338247051429</v>
      </c>
      <c r="O479" s="499">
        <v>18337.71</v>
      </c>
      <c r="P479" s="512">
        <f>IF(O479=0,"0,00% ",(O479-M479)/O479)</f>
        <v>-0.5026320080315374</v>
      </c>
      <c r="Q479" s="484">
        <f>IF(O479=0,"R$0,0",(J479+K479+M479+O479)/4)</f>
        <v>15000.1425</v>
      </c>
      <c r="R479" s="495">
        <f>IF(P479=0,"R$0,0%",(L479+N479+P479)/3)</f>
        <v>-5.0322646284526318E-2</v>
      </c>
    </row>
    <row r="480" spans="3:18" ht="14.1" customHeight="1" x14ac:dyDescent="0.25">
      <c r="J480" s="499"/>
      <c r="K480" s="499"/>
      <c r="M480" s="499"/>
      <c r="O480" s="499"/>
    </row>
    <row r="481" spans="3:18" ht="14.1" customHeight="1" x14ac:dyDescent="0.2">
      <c r="C481" s="483" t="s">
        <v>6317</v>
      </c>
      <c r="I481" s="506" t="s">
        <v>4872</v>
      </c>
      <c r="J481" s="499">
        <v>0</v>
      </c>
      <c r="K481" s="499">
        <v>0</v>
      </c>
      <c r="L481" s="512" t="str">
        <f>IF(K481=0,"0,00% ",(K481-J481)/K481)</f>
        <v xml:space="preserve">0,00% </v>
      </c>
      <c r="M481" s="499">
        <v>5795.04</v>
      </c>
      <c r="N481" s="512">
        <f>IF(M481=0,"0,00% ",(M481-K481)/M481)</f>
        <v>1</v>
      </c>
      <c r="O481" s="499">
        <v>8296.18</v>
      </c>
      <c r="P481" s="512">
        <f>IF(O481=0,"0,00% ",(O481-M481)/O481)</f>
        <v>0.30148092254507497</v>
      </c>
      <c r="Q481" s="484">
        <f>IF(O481=0,"R$0,0",(J481+K481+M481+O481)/4)</f>
        <v>3522.8050000000003</v>
      </c>
      <c r="R481" s="495">
        <f>IF(P481=0,"R$0,0%",(L481+N481+P481)/3)</f>
        <v>0.43382697418169164</v>
      </c>
    </row>
    <row r="482" spans="3:18" ht="14.1" customHeight="1" x14ac:dyDescent="0.25">
      <c r="J482" s="499"/>
      <c r="K482" s="499"/>
      <c r="M482" s="499"/>
      <c r="O482" s="499"/>
    </row>
    <row r="483" spans="3:18" ht="14.1" customHeight="1" x14ac:dyDescent="0.2">
      <c r="C483" s="483" t="s">
        <v>6347</v>
      </c>
      <c r="I483" s="506" t="s">
        <v>4878</v>
      </c>
      <c r="J483" s="499">
        <v>0</v>
      </c>
      <c r="K483" s="499">
        <v>0</v>
      </c>
      <c r="L483" s="512" t="str">
        <f>IF(K483=0,"0,00% ",(K483-J483)/K483)</f>
        <v xml:space="preserve">0,00% </v>
      </c>
      <c r="M483" s="499">
        <v>17365.11</v>
      </c>
      <c r="N483" s="512">
        <f>IF(M483=0,"0,00% ",(M483-K483)/M483)</f>
        <v>1</v>
      </c>
      <c r="O483" s="499">
        <v>0</v>
      </c>
      <c r="P483" s="512" t="str">
        <f>IF(O483=0,"0,00% ",(O483-M483)/O483)</f>
        <v xml:space="preserve">0,00% </v>
      </c>
      <c r="Q483" s="484" t="str">
        <f>IF(O483=0,"R$0,0",(J483+K483+M483+O483)/4)</f>
        <v>R$0,0</v>
      </c>
      <c r="R483" s="495">
        <f>IF(P483=0,"R$0,0%",(L483+N483+P483)/3)</f>
        <v>0.33333333333333331</v>
      </c>
    </row>
    <row r="484" spans="3:18" ht="14.1" customHeight="1" x14ac:dyDescent="0.25">
      <c r="J484" s="499"/>
      <c r="K484" s="499"/>
      <c r="M484" s="499"/>
      <c r="O484" s="499"/>
    </row>
    <row r="485" spans="3:18" ht="14.1" customHeight="1" x14ac:dyDescent="0.2">
      <c r="C485" s="483" t="s">
        <v>6275</v>
      </c>
      <c r="I485" s="506" t="s">
        <v>1049</v>
      </c>
      <c r="J485" s="499">
        <v>87921.919999999998</v>
      </c>
      <c r="K485" s="499">
        <v>145958.96</v>
      </c>
      <c r="L485" s="512">
        <f>IF(K485=0,"0,00% ",(K485-J485)/K485)</f>
        <v>0.39762574356517749</v>
      </c>
      <c r="M485" s="499">
        <v>118336.64</v>
      </c>
      <c r="N485" s="512">
        <f>IF(M485=0,"0,00% ",(M485-K485)/M485)</f>
        <v>-0.23342153368559385</v>
      </c>
      <c r="O485" s="499">
        <v>83886.95</v>
      </c>
      <c r="P485" s="512">
        <f>IF(O485=0,"0,00% ",(O485-M485)/O485)</f>
        <v>-0.41066804789064332</v>
      </c>
      <c r="Q485" s="484">
        <f>IF(O485=0,"R$0,0",(J485+K485+M485+O485)/4)</f>
        <v>109026.11750000001</v>
      </c>
      <c r="R485" s="495">
        <f>IF(P485=0,"R$0,0%",(L485+N485+P485)/3)</f>
        <v>-8.2154612670353219E-2</v>
      </c>
    </row>
    <row r="486" spans="3:18" ht="14.1" customHeight="1" x14ac:dyDescent="0.25">
      <c r="J486" s="499"/>
      <c r="K486" s="499"/>
      <c r="M486" s="499"/>
      <c r="O486" s="499"/>
    </row>
    <row r="487" spans="3:18" ht="14.1" customHeight="1" x14ac:dyDescent="0.2">
      <c r="C487" s="483" t="s">
        <v>6276</v>
      </c>
      <c r="I487" s="506" t="s">
        <v>1048</v>
      </c>
      <c r="J487" s="499">
        <v>137245.4</v>
      </c>
      <c r="K487" s="499">
        <v>165091.07</v>
      </c>
      <c r="L487" s="512">
        <f>IF(K487=0,"0,00% ",(K487-J487)/K487)</f>
        <v>0.16866854155103611</v>
      </c>
      <c r="M487" s="499">
        <v>211407.5</v>
      </c>
      <c r="N487" s="512">
        <f>IF(M487=0,"0,00% ",(M487-K487)/M487)</f>
        <v>0.21908603053344841</v>
      </c>
      <c r="O487" s="499">
        <v>152227.64000000001</v>
      </c>
      <c r="P487" s="512">
        <f>IF(O487=0,"0,00% ",(O487-M487)/O487)</f>
        <v>-0.38875896650568831</v>
      </c>
      <c r="Q487" s="484">
        <f>IF(O487=0,"R$0,0",(J487+K487+M487+O487)/4)</f>
        <v>166492.9025</v>
      </c>
      <c r="R487" s="495">
        <f>IF(P487=0,"R$0,0%",(L487+N487+P487)/3)</f>
        <v>-3.347981404012712E-4</v>
      </c>
    </row>
    <row r="488" spans="3:18" ht="14.1" customHeight="1" x14ac:dyDescent="0.25">
      <c r="J488" s="499"/>
      <c r="K488" s="499"/>
      <c r="M488" s="499"/>
      <c r="O488" s="499"/>
    </row>
    <row r="489" spans="3:18" ht="14.1" customHeight="1" x14ac:dyDescent="0.2">
      <c r="C489" s="483" t="s">
        <v>6300</v>
      </c>
      <c r="I489" s="506" t="s">
        <v>1007</v>
      </c>
      <c r="J489" s="499">
        <v>92793.17</v>
      </c>
      <c r="K489" s="499">
        <v>74305.05</v>
      </c>
      <c r="L489" s="512">
        <f>IF(K489=0,"0,00% ",(K489-J489)/K489)</f>
        <v>-0.24881377510680627</v>
      </c>
      <c r="M489" s="499">
        <v>40357.06</v>
      </c>
      <c r="N489" s="512">
        <f>IF(M489=0,"0,00% ",(M489-K489)/M489)</f>
        <v>-0.84119085979008401</v>
      </c>
      <c r="O489" s="499">
        <v>16179.12</v>
      </c>
      <c r="P489" s="512">
        <f>IF(O489=0,"0,00% ",(O489-M489)/O489)</f>
        <v>-1.4943915367461267</v>
      </c>
      <c r="Q489" s="484">
        <f>IF(O489=0,"R$0,0",(J489+K489+M489+O489)/4)</f>
        <v>55908.6</v>
      </c>
      <c r="R489" s="495">
        <f>IF(P489=0,"R$0,0%",(L489+N489+P489)/3)</f>
        <v>-0.86146539054767235</v>
      </c>
    </row>
    <row r="490" spans="3:18" ht="14.1" customHeight="1" x14ac:dyDescent="0.25">
      <c r="J490" s="499"/>
      <c r="K490" s="499"/>
      <c r="M490" s="499"/>
      <c r="O490" s="499"/>
    </row>
    <row r="491" spans="3:18" ht="14.1" customHeight="1" x14ac:dyDescent="0.2">
      <c r="C491" s="483" t="s">
        <v>6301</v>
      </c>
      <c r="I491" s="506" t="s">
        <v>1006</v>
      </c>
      <c r="J491" s="499">
        <v>272356.38</v>
      </c>
      <c r="K491" s="499">
        <v>341595.83</v>
      </c>
      <c r="L491" s="512">
        <f>IF(K491=0,"0,00% ",(K491-J491)/K491)</f>
        <v>0.20269407269989217</v>
      </c>
      <c r="M491" s="499">
        <v>325226.26</v>
      </c>
      <c r="N491" s="512">
        <f>IF(M491=0,"0,00% ",(M491-K491)/M491)</f>
        <v>-5.0332866724845673E-2</v>
      </c>
      <c r="O491" s="499">
        <v>158805.19</v>
      </c>
      <c r="P491" s="512">
        <f>IF(O491=0,"0,00% ",(O491-M491)/O491)</f>
        <v>-1.0479573746928548</v>
      </c>
      <c r="Q491" s="484">
        <f>IF(O491=0,"R$0,0",(J491+K491+M491+O491)/4)</f>
        <v>274495.91499999998</v>
      </c>
      <c r="R491" s="495">
        <f>IF(P491=0,"R$0,0%",(L491+N491+P491)/3)</f>
        <v>-0.29853205623926943</v>
      </c>
    </row>
    <row r="492" spans="3:18" ht="14.1" customHeight="1" x14ac:dyDescent="0.25">
      <c r="J492" s="499"/>
      <c r="K492" s="499"/>
      <c r="M492" s="499"/>
      <c r="O492" s="499"/>
    </row>
    <row r="493" spans="3:18" ht="14.1" customHeight="1" x14ac:dyDescent="0.2">
      <c r="C493" s="483" t="s">
        <v>6295</v>
      </c>
      <c r="I493" s="506" t="s">
        <v>1047</v>
      </c>
      <c r="J493" s="499">
        <v>94232.43</v>
      </c>
      <c r="K493" s="499">
        <v>43436.28</v>
      </c>
      <c r="L493" s="512">
        <f>IF(K493=0,"0,00% ",(K493-J493)/K493)</f>
        <v>-1.1694406150802967</v>
      </c>
      <c r="M493" s="499">
        <v>93877.03</v>
      </c>
      <c r="N493" s="512">
        <f>IF(M493=0,"0,00% ",(M493-K493)/M493)</f>
        <v>0.53730662335610746</v>
      </c>
      <c r="O493" s="499">
        <v>86745.65</v>
      </c>
      <c r="P493" s="512">
        <f>IF(O493=0,"0,00% ",(O493-M493)/O493)</f>
        <v>-8.2210231867534622E-2</v>
      </c>
      <c r="Q493" s="484">
        <f>IF(O493=0,"R$0,0",(J493+K493+M493+O493)/4)</f>
        <v>79572.847500000003</v>
      </c>
      <c r="R493" s="495">
        <f>IF(P493=0,"R$0,0%",(L493+N493+P493)/3)</f>
        <v>-0.2381147411972413</v>
      </c>
    </row>
    <row r="494" spans="3:18" ht="14.1" customHeight="1" x14ac:dyDescent="0.25">
      <c r="J494" s="499"/>
      <c r="K494" s="499"/>
      <c r="M494" s="499"/>
      <c r="O494" s="499"/>
    </row>
    <row r="495" spans="3:18" ht="14.1" customHeight="1" x14ac:dyDescent="0.2">
      <c r="C495" s="483" t="s">
        <v>6318</v>
      </c>
      <c r="I495" s="506" t="s">
        <v>6348</v>
      </c>
      <c r="J495" s="499">
        <v>0</v>
      </c>
      <c r="K495" s="499">
        <v>0</v>
      </c>
      <c r="L495" s="512" t="str">
        <f>IF(K495=0,"0,00% ",(K495-J495)/K495)</f>
        <v xml:space="preserve">0,00% </v>
      </c>
      <c r="M495" s="499">
        <v>0</v>
      </c>
      <c r="N495" s="512" t="str">
        <f>IF(M495=0,"0,00% ",(M495-K495)/M495)</f>
        <v xml:space="preserve">0,00% </v>
      </c>
      <c r="O495" s="499">
        <v>0</v>
      </c>
      <c r="P495" s="512" t="str">
        <f>IF(O495=0,"0,00% ",(O495-M495)/O495)</f>
        <v xml:space="preserve">0,00% </v>
      </c>
      <c r="Q495" s="484" t="str">
        <f>IF(O495=0,"R$0,0",(J495+K495+M495+O495)/4)</f>
        <v>R$0,0</v>
      </c>
      <c r="R495" s="495">
        <f>IF(P495=0,"R$0,0%",(L495+N495+P495)/3)</f>
        <v>0</v>
      </c>
    </row>
    <row r="496" spans="3:18" ht="14.1" customHeight="1" x14ac:dyDescent="0.25">
      <c r="J496" s="499"/>
      <c r="K496" s="499"/>
      <c r="M496" s="499"/>
      <c r="O496" s="499"/>
    </row>
    <row r="497" spans="3:18" ht="14.1" customHeight="1" x14ac:dyDescent="0.2">
      <c r="C497" s="483" t="s">
        <v>6349</v>
      </c>
      <c r="I497" s="506" t="s">
        <v>6435</v>
      </c>
      <c r="J497" s="499">
        <v>36806.699999999997</v>
      </c>
      <c r="K497" s="499">
        <v>43205.53</v>
      </c>
      <c r="L497" s="512">
        <f>IF(K497=0,"0,00% ",(K497-J497)/K497)</f>
        <v>0.14810210637388321</v>
      </c>
      <c r="M497" s="499">
        <v>48421.88</v>
      </c>
      <c r="N497" s="512">
        <f>IF(M497=0,"0,00% ",(M497-K497)/M497)</f>
        <v>0.10772712666257483</v>
      </c>
      <c r="O497" s="499">
        <v>36555</v>
      </c>
      <c r="P497" s="512">
        <f>IF(O497=0,"0,00% ",(O497-M497)/O497)</f>
        <v>-0.32463083025577888</v>
      </c>
      <c r="Q497" s="484">
        <f>IF(O497=0,"R$0,0",(J497+K497+M497+O497)/4)</f>
        <v>41247.277499999997</v>
      </c>
      <c r="R497" s="495">
        <f>IF(P497=0,"R$0,0%",(L497+N497+P497)/3)</f>
        <v>-2.2933865739773612E-2</v>
      </c>
    </row>
    <row r="498" spans="3:18" ht="14.1" customHeight="1" x14ac:dyDescent="0.25">
      <c r="J498" s="499"/>
      <c r="K498" s="499"/>
      <c r="M498" s="499"/>
      <c r="O498" s="499"/>
    </row>
    <row r="499" spans="3:18" ht="14.1" customHeight="1" x14ac:dyDescent="0.2">
      <c r="C499" s="483" t="s">
        <v>6350</v>
      </c>
      <c r="I499" s="506" t="s">
        <v>1052</v>
      </c>
      <c r="J499" s="499">
        <v>368926.13</v>
      </c>
      <c r="K499" s="499">
        <v>576734.80000000005</v>
      </c>
      <c r="L499" s="512">
        <f>IF(K499=0,"0,00% ",(K499-J499)/K499)</f>
        <v>0.3603192836638261</v>
      </c>
      <c r="M499" s="499">
        <v>577561.55000000005</v>
      </c>
      <c r="N499" s="512">
        <f>IF(M499=0,"0,00% ",(M499-K499)/M499)</f>
        <v>1.4314491676255109E-3</v>
      </c>
      <c r="O499" s="499">
        <v>362533.1</v>
      </c>
      <c r="P499" s="512">
        <f>IF(O499=0,"0,00% ",(O499-M499)/O499)</f>
        <v>-0.59312777233306446</v>
      </c>
      <c r="Q499" s="484">
        <f>IF(O499=0,"R$0,0",(J499+K499+M499+O499)/4)</f>
        <v>471438.89500000002</v>
      </c>
      <c r="R499" s="495">
        <f>IF(P499=0,"R$0,0%",(L499+N499+P499)/3)</f>
        <v>-7.7125679833870961E-2</v>
      </c>
    </row>
    <row r="500" spans="3:18" ht="14.1" customHeight="1" x14ac:dyDescent="0.25">
      <c r="J500" s="499"/>
      <c r="K500" s="499"/>
      <c r="M500" s="499"/>
      <c r="O500" s="499"/>
    </row>
    <row r="501" spans="3:18" ht="14.1" customHeight="1" x14ac:dyDescent="0.2">
      <c r="C501" s="483" t="s">
        <v>6351</v>
      </c>
      <c r="I501" s="506" t="s">
        <v>4798</v>
      </c>
      <c r="J501" s="499">
        <v>0</v>
      </c>
      <c r="K501" s="499">
        <v>0</v>
      </c>
      <c r="L501" s="512" t="str">
        <f>IF(K501=0,"0,00% ",(K501-J501)/K501)</f>
        <v xml:space="preserve">0,00% </v>
      </c>
      <c r="M501" s="499">
        <v>7.52</v>
      </c>
      <c r="N501" s="512">
        <f>IF(M501=0,"0,00% ",(M501-K501)/M501)</f>
        <v>1</v>
      </c>
      <c r="O501" s="499">
        <v>0</v>
      </c>
      <c r="P501" s="512" t="str">
        <f>IF(O501=0,"0,00% ",(O501-M501)/O501)</f>
        <v xml:space="preserve">0,00% </v>
      </c>
      <c r="Q501" s="484" t="str">
        <f>IF(O501=0,"R$0,0",(J501+K501+M501+O501)/4)</f>
        <v>R$0,0</v>
      </c>
      <c r="R501" s="495">
        <f>IF(P501=0,"R$0,0%",(L501+N501+P501)/3)</f>
        <v>0.33333333333333331</v>
      </c>
    </row>
    <row r="502" spans="3:18" ht="14.1" customHeight="1" x14ac:dyDescent="0.25">
      <c r="J502" s="499"/>
      <c r="K502" s="499"/>
      <c r="M502" s="499"/>
      <c r="O502" s="499"/>
    </row>
    <row r="503" spans="3:18" s="492" customFormat="1" ht="14.1" customHeight="1" x14ac:dyDescent="0.25">
      <c r="C503" s="492" t="s">
        <v>6237</v>
      </c>
      <c r="I503" s="500" t="s">
        <v>1011</v>
      </c>
      <c r="J503" s="501">
        <f>J505+J507+J511+J509</f>
        <v>922189.08000000007</v>
      </c>
      <c r="K503" s="501">
        <f>K505+K507+K511+K509</f>
        <v>1056886.81</v>
      </c>
      <c r="L503" s="489">
        <f>IF(K503=0,"0,00% ",(K503-J503)/K503)</f>
        <v>0.12744764030123526</v>
      </c>
      <c r="M503" s="501">
        <f>M505+M507+M511+M509</f>
        <v>1090573.8899999999</v>
      </c>
      <c r="N503" s="489">
        <f>IF(M503=0,"0,00% ",(M503-K503)/M503)</f>
        <v>3.0889314615811906E-2</v>
      </c>
      <c r="O503" s="501">
        <f>O505+O507+O511+O509</f>
        <v>1180222.29</v>
      </c>
      <c r="P503" s="489">
        <f>IF(O503=0,"0,00% ",(O503-M503)/O503)</f>
        <v>7.5958911096315709E-2</v>
      </c>
      <c r="Q503" s="490">
        <f>IF(O503=0,"R$0,0",(J503+K503+M503+O503)/4)</f>
        <v>1062468.0175000001</v>
      </c>
      <c r="R503" s="491">
        <f>IF(P503=0,"R$0,0%",(L503+N503+P503)/3)</f>
        <v>7.8098622004454291E-2</v>
      </c>
    </row>
    <row r="504" spans="3:18" ht="14.1" customHeight="1" x14ac:dyDescent="0.25">
      <c r="J504" s="499"/>
      <c r="K504" s="499"/>
      <c r="M504" s="499"/>
      <c r="O504" s="499"/>
    </row>
    <row r="505" spans="3:18" ht="14.1" customHeight="1" x14ac:dyDescent="0.2">
      <c r="C505" s="483" t="s">
        <v>6352</v>
      </c>
      <c r="I505" s="506" t="s">
        <v>4800</v>
      </c>
      <c r="J505" s="499">
        <v>1092.9000000000001</v>
      </c>
      <c r="K505" s="499">
        <v>1022.31</v>
      </c>
      <c r="L505" s="512">
        <f>IF(K505=0,"0,00% ",(K505-J505)/K505)</f>
        <v>-6.9049505531590366E-2</v>
      </c>
      <c r="M505" s="499">
        <v>1036.06</v>
      </c>
      <c r="N505" s="512">
        <f>IF(M505=0,"0,00% ",(M505-K505)/M505)</f>
        <v>1.3271432156438816E-2</v>
      </c>
      <c r="O505" s="499">
        <v>599.53</v>
      </c>
      <c r="P505" s="512">
        <f>IF(O505=0,"0,00% ",(O505-M505)/O505)</f>
        <v>-0.72812036094941035</v>
      </c>
      <c r="Q505" s="484">
        <f>IF(O505=0,"R$0,0",(J505+K505+M505+O505)/4)</f>
        <v>937.7</v>
      </c>
      <c r="R505" s="495">
        <f>IF(P505=0,"R$0,0%",(L505+N505+P505)/3)</f>
        <v>-0.26129947810818727</v>
      </c>
    </row>
    <row r="506" spans="3:18" ht="14.1" customHeight="1" x14ac:dyDescent="0.25">
      <c r="J506" s="499"/>
      <c r="K506" s="499"/>
      <c r="M506" s="499"/>
      <c r="O506" s="499"/>
    </row>
    <row r="507" spans="3:18" ht="14.1" customHeight="1" x14ac:dyDescent="0.2">
      <c r="C507" s="483" t="s">
        <v>6353</v>
      </c>
      <c r="I507" s="506" t="s">
        <v>4803</v>
      </c>
      <c r="J507" s="499">
        <f>522658.99+265667.05+100925.01</f>
        <v>889251.05</v>
      </c>
      <c r="K507" s="499">
        <v>1032815.61</v>
      </c>
      <c r="L507" s="512">
        <f>IF(K507=0,"0,00% ",(K507-J507)/K507)</f>
        <v>0.13900308884758233</v>
      </c>
      <c r="M507" s="499">
        <v>1066601.8999999999</v>
      </c>
      <c r="N507" s="512">
        <f>IF(M507=0,"0,00% ",(M507-K507)/M507)</f>
        <v>3.167657023674899E-2</v>
      </c>
      <c r="O507" s="499">
        <v>586709.84</v>
      </c>
      <c r="P507" s="512">
        <f>IF(O507=0,"0,00% ",(O507-M507)/O507)</f>
        <v>-0.81793763677118481</v>
      </c>
      <c r="Q507" s="484">
        <f>IF(O507=0,"R$0,0",(J507+K507+M507+O507)/4)</f>
        <v>893844.6</v>
      </c>
      <c r="R507" s="495">
        <f>IF(P507=0,"R$0,0%",(L507+N507+P507)/3)</f>
        <v>-0.21575265922895115</v>
      </c>
    </row>
    <row r="508" spans="3:18" ht="14.1" customHeight="1" x14ac:dyDescent="0.25">
      <c r="J508" s="499"/>
      <c r="K508" s="499"/>
      <c r="M508" s="499"/>
      <c r="O508" s="499"/>
    </row>
    <row r="509" spans="3:18" ht="14.1" customHeight="1" x14ac:dyDescent="0.2">
      <c r="C509" s="483" t="s">
        <v>6436</v>
      </c>
      <c r="I509" s="506" t="s">
        <v>1116</v>
      </c>
      <c r="J509" s="499">
        <v>23927.02</v>
      </c>
      <c r="K509" s="499">
        <v>14338.23</v>
      </c>
      <c r="L509" s="512">
        <f>IF(K509=0,"0,00% ",(K509-J509)/K509)</f>
        <v>-0.66875688282305423</v>
      </c>
      <c r="M509" s="499">
        <v>8638.18</v>
      </c>
      <c r="N509" s="512">
        <f>IF(M509=0,"0,00% ",(M509-K509)/M509)</f>
        <v>-0.65986700902273387</v>
      </c>
      <c r="O509" s="499">
        <v>586709.84</v>
      </c>
      <c r="P509" s="512">
        <f>IF(O509=0,"0,00% ",(O509-M509)/O509)</f>
        <v>0.98527691303080911</v>
      </c>
      <c r="Q509" s="484">
        <f>IF(O509=0,"R$0,0",(J509+K509+M509+O509)/4)</f>
        <v>158403.3175</v>
      </c>
      <c r="R509" s="495">
        <f>IF(P509=0,"R$0,0%",(L509+N509+P509)/3)</f>
        <v>-0.11444899293832637</v>
      </c>
    </row>
    <row r="510" spans="3:18" ht="14.1" customHeight="1" x14ac:dyDescent="0.25">
      <c r="J510" s="499"/>
      <c r="K510" s="499"/>
      <c r="M510" s="499"/>
      <c r="O510" s="499"/>
    </row>
    <row r="511" spans="3:18" ht="14.1" customHeight="1" x14ac:dyDescent="0.2">
      <c r="C511" s="483" t="s">
        <v>6354</v>
      </c>
      <c r="I511" s="506" t="s">
        <v>1249</v>
      </c>
      <c r="J511" s="499">
        <v>7918.11</v>
      </c>
      <c r="K511" s="499">
        <v>8710.66</v>
      </c>
      <c r="L511" s="512">
        <f>IF(K511=0,"0,00% ",(K511-J511)/K511)</f>
        <v>9.0986216888272547E-2</v>
      </c>
      <c r="M511" s="499">
        <f>4613.39+9684.36</f>
        <v>14297.75</v>
      </c>
      <c r="N511" s="512">
        <f>IF(M511=0,"0,00% ",(M511-K511)/M511)</f>
        <v>0.39076707873616479</v>
      </c>
      <c r="O511" s="499">
        <v>6203.08</v>
      </c>
      <c r="P511" s="512">
        <f>IF(O511=0,"0,00% ",(O511-M511)/O511)</f>
        <v>-1.3049436731430193</v>
      </c>
      <c r="Q511" s="484">
        <f>IF(O511=0,"R$0,0",(J511+K511+M511+O511)/4)</f>
        <v>9282.4</v>
      </c>
      <c r="R511" s="495">
        <f>IF(P511=0,"R$0,0%",(L511+N511+P511)/3)</f>
        <v>-0.27439679250619398</v>
      </c>
    </row>
    <row r="512" spans="3:18" ht="14.1" customHeight="1" x14ac:dyDescent="0.25">
      <c r="J512" s="499"/>
      <c r="K512" s="499"/>
      <c r="M512" s="499"/>
      <c r="O512" s="499"/>
    </row>
    <row r="513" spans="3:19" s="492" customFormat="1" ht="14.1" customHeight="1" x14ac:dyDescent="0.25">
      <c r="C513" s="492" t="s">
        <v>6238</v>
      </c>
      <c r="I513" s="500" t="s">
        <v>1005</v>
      </c>
      <c r="J513" s="501">
        <f>J515</f>
        <v>257114.69</v>
      </c>
      <c r="K513" s="501">
        <f>K515</f>
        <v>286988.87</v>
      </c>
      <c r="L513" s="489">
        <f>IF(K513=0,"0,00% ",(K513-J513)/K513)</f>
        <v>0.10409525637701557</v>
      </c>
      <c r="M513" s="501">
        <f>M515</f>
        <v>235109.18</v>
      </c>
      <c r="N513" s="489">
        <f>IF(M513=0,"0,00% ",(M513-K513)/M513)</f>
        <v>-0.22066211961608648</v>
      </c>
      <c r="O513" s="501">
        <f>O515</f>
        <v>132448.76</v>
      </c>
      <c r="P513" s="489">
        <f>IF(O513=0,"0,00% ",(O513-M513)/O513)</f>
        <v>-0.77509536518122157</v>
      </c>
      <c r="Q513" s="490">
        <f>IF(O513=0,"R$0,0",(J513+K513+M513+O513)/4)</f>
        <v>227915.375</v>
      </c>
      <c r="R513" s="491">
        <f>IF(P513=0,"R$0,0%",(L513+N513+P513)/3)</f>
        <v>-0.29722074280676419</v>
      </c>
    </row>
    <row r="514" spans="3:19" ht="14.1" customHeight="1" x14ac:dyDescent="0.25">
      <c r="J514" s="499"/>
      <c r="K514" s="499"/>
      <c r="M514" s="499"/>
      <c r="O514" s="499"/>
    </row>
    <row r="515" spans="3:19" ht="14.1" customHeight="1" x14ac:dyDescent="0.2">
      <c r="C515" s="483" t="s">
        <v>6277</v>
      </c>
      <c r="I515" s="506" t="s">
        <v>1004</v>
      </c>
      <c r="J515" s="499">
        <v>257114.69</v>
      </c>
      <c r="K515" s="499">
        <v>286988.87</v>
      </c>
      <c r="L515" s="512">
        <f>IF(K515=0,"0,00% ",(K515-J515)/K515)</f>
        <v>0.10409525637701557</v>
      </c>
      <c r="M515" s="499">
        <v>235109.18</v>
      </c>
      <c r="N515" s="512">
        <f>IF(M515=0,"0,00% ",(M515-K515)/M515)</f>
        <v>-0.22066211961608648</v>
      </c>
      <c r="O515" s="499">
        <v>132448.76</v>
      </c>
      <c r="P515" s="512">
        <f>IF(O515=0,"0,00% ",(O515-M515)/O515)</f>
        <v>-0.77509536518122157</v>
      </c>
      <c r="Q515" s="484">
        <f>IF(O515=0,"R$0,0",(J515+K515+M515+O515)/4)</f>
        <v>227915.375</v>
      </c>
      <c r="R515" s="495">
        <f>IF(P515=0,"R$0,0%",(L515+N515+P515)/3)</f>
        <v>-0.29722074280676419</v>
      </c>
    </row>
    <row r="516" spans="3:19" ht="14.1" customHeight="1" x14ac:dyDescent="0.25">
      <c r="J516" s="499"/>
      <c r="K516" s="499"/>
      <c r="M516" s="499"/>
      <c r="O516" s="499"/>
    </row>
    <row r="517" spans="3:19" s="492" customFormat="1" ht="14.1" customHeight="1" x14ac:dyDescent="0.25">
      <c r="C517" s="492" t="s">
        <v>6259</v>
      </c>
      <c r="I517" s="500" t="s">
        <v>1254</v>
      </c>
      <c r="J517" s="501">
        <f>J519</f>
        <v>0</v>
      </c>
      <c r="K517" s="501">
        <f>K519</f>
        <v>1393.93</v>
      </c>
      <c r="L517" s="489">
        <f>IF(K517=0,"0,00% ",(K517-J517)/K517)</f>
        <v>1</v>
      </c>
      <c r="M517" s="501">
        <f>M519</f>
        <v>0</v>
      </c>
      <c r="N517" s="489" t="str">
        <f>IF(M517=0,"0,00% ",(M517-K517)/M517)</f>
        <v xml:space="preserve">0,00% </v>
      </c>
      <c r="O517" s="501">
        <f>O519</f>
        <v>809.16</v>
      </c>
      <c r="P517" s="489">
        <f>IF(O517=0,"0,00% ",(O517-M517)/O517)</f>
        <v>1</v>
      </c>
      <c r="Q517" s="490">
        <f>IF(O517=0,"R$0,0",(J517+K517+M517+O517)/4)</f>
        <v>550.77250000000004</v>
      </c>
      <c r="R517" s="491">
        <f>IF(P517=0,"R$0,0%",(L517+N517+P517)/3)</f>
        <v>0.66666666666666663</v>
      </c>
    </row>
    <row r="518" spans="3:19" ht="14.1" customHeight="1" x14ac:dyDescent="0.25">
      <c r="J518" s="499"/>
      <c r="K518" s="499"/>
      <c r="M518" s="499"/>
      <c r="O518" s="499"/>
    </row>
    <row r="519" spans="3:19" ht="14.1" customHeight="1" x14ac:dyDescent="0.2">
      <c r="C519" s="483" t="s">
        <v>6260</v>
      </c>
      <c r="I519" s="506" t="s">
        <v>1255</v>
      </c>
      <c r="J519" s="499">
        <v>0</v>
      </c>
      <c r="K519" s="499">
        <v>1393.93</v>
      </c>
      <c r="L519" s="512">
        <f>IF(K519=0,"0,00% ",(K519-J519)/K519)</f>
        <v>1</v>
      </c>
      <c r="M519" s="499">
        <v>0</v>
      </c>
      <c r="N519" s="512" t="str">
        <f>IF(M519=0,"0,00% ",(M519-K519)/M519)</f>
        <v xml:space="preserve">0,00% </v>
      </c>
      <c r="O519" s="499">
        <v>809.16</v>
      </c>
      <c r="P519" s="512">
        <f>IF(O519=0,"0,00% ",(O519-M519)/O519)</f>
        <v>1</v>
      </c>
      <c r="Q519" s="484">
        <f>IF(O519=0,"R$0,0",(J519+K519+M519+O519)/4)</f>
        <v>550.77250000000004</v>
      </c>
      <c r="R519" s="495">
        <f>IF(P519=0,"R$0,0%",(L519+N519+P519)/3)</f>
        <v>0.66666666666666663</v>
      </c>
    </row>
    <row r="520" spans="3:19" ht="14.1" customHeight="1" x14ac:dyDescent="0.25">
      <c r="I520" s="506"/>
      <c r="J520" s="499"/>
      <c r="K520" s="499"/>
      <c r="L520" s="507"/>
      <c r="M520" s="499"/>
      <c r="N520" s="507"/>
      <c r="O520" s="499"/>
      <c r="P520" s="507"/>
    </row>
    <row r="521" spans="3:19" s="492" customFormat="1" ht="14.1" customHeight="1" x14ac:dyDescent="0.25">
      <c r="C521" s="492" t="s">
        <v>6355</v>
      </c>
      <c r="I521" s="500" t="s">
        <v>2076</v>
      </c>
      <c r="J521" s="501">
        <f>J523</f>
        <v>36619.990000000005</v>
      </c>
      <c r="K521" s="501">
        <f>K523</f>
        <v>7684.48</v>
      </c>
      <c r="L521" s="489">
        <f>IF(K521=0,"0,00% ",(K521-J521)/K521)</f>
        <v>-3.7654480199050564</v>
      </c>
      <c r="M521" s="501">
        <f>M523</f>
        <v>1344.04</v>
      </c>
      <c r="N521" s="489">
        <f>IF(M521=0,"0,00% ",(M521-K521)/M521)</f>
        <v>-4.717448885449838</v>
      </c>
      <c r="O521" s="501">
        <f>O523</f>
        <v>36619.990000000005</v>
      </c>
      <c r="P521" s="489">
        <f>IF(O521=0,"0,00% ",(O521-M521)/O521)</f>
        <v>0.96329764153403641</v>
      </c>
      <c r="Q521" s="490">
        <f>IF(O521=0,"R$0,0",(J521+K521+M521+O521)/4)</f>
        <v>20567.125</v>
      </c>
      <c r="R521" s="491">
        <f>IF(P521=0,"R$0,0%",(L521+N521+P521)/3)</f>
        <v>-2.5065330879402863</v>
      </c>
      <c r="S521" s="502"/>
    </row>
    <row r="522" spans="3:19" ht="14.1" customHeight="1" x14ac:dyDescent="0.25">
      <c r="J522" s="499"/>
      <c r="K522" s="499"/>
      <c r="M522" s="499"/>
      <c r="O522" s="499"/>
    </row>
    <row r="523" spans="3:19" s="492" customFormat="1" ht="14.1" customHeight="1" x14ac:dyDescent="0.25">
      <c r="C523" s="492" t="s">
        <v>6356</v>
      </c>
      <c r="I523" s="500" t="s">
        <v>2108</v>
      </c>
      <c r="J523" s="501">
        <f>J525+J527</f>
        <v>36619.990000000005</v>
      </c>
      <c r="K523" s="501">
        <f>K525+K527</f>
        <v>7684.48</v>
      </c>
      <c r="L523" s="489">
        <f>IF(K523=0,"0,00% ",(K523-J523)/K523)</f>
        <v>-3.7654480199050564</v>
      </c>
      <c r="M523" s="501">
        <f>M525+M527</f>
        <v>1344.04</v>
      </c>
      <c r="N523" s="489">
        <f>IF(M523=0,"0,00% ",(M523-K523)/M523)</f>
        <v>-4.717448885449838</v>
      </c>
      <c r="O523" s="501">
        <f>O525+O527</f>
        <v>36619.990000000005</v>
      </c>
      <c r="P523" s="489">
        <f>IF(O523=0,"0,00% ",(O523-M523)/O523)</f>
        <v>0.96329764153403641</v>
      </c>
      <c r="Q523" s="490">
        <f>IF(O523=0,"R$0,0",(J523+K523+M523+O523)/4)</f>
        <v>20567.125</v>
      </c>
      <c r="R523" s="491">
        <f>IF(P523=0,"R$0,0%",(L523+N523+P523)/3)</f>
        <v>-2.5065330879402863</v>
      </c>
    </row>
    <row r="524" spans="3:19" ht="14.1" customHeight="1" x14ac:dyDescent="0.25">
      <c r="J524" s="499"/>
      <c r="K524" s="499"/>
      <c r="M524" s="499"/>
      <c r="O524" s="499"/>
    </row>
    <row r="525" spans="3:19" ht="14.1" customHeight="1" x14ac:dyDescent="0.2">
      <c r="C525" s="483" t="s">
        <v>6460</v>
      </c>
      <c r="I525" s="506" t="s">
        <v>6462</v>
      </c>
      <c r="J525" s="499">
        <v>20747.47</v>
      </c>
      <c r="K525" s="499">
        <v>0</v>
      </c>
      <c r="L525" s="512" t="str">
        <f>IF(K525=0,"0,00% ",(K525-J525)/K525)</f>
        <v xml:space="preserve">0,00% </v>
      </c>
      <c r="M525" s="499">
        <v>0</v>
      </c>
      <c r="N525" s="512" t="str">
        <f>IF(M525=0,"0,00% ",(M525-K525)/M525)</f>
        <v xml:space="preserve">0,00% </v>
      </c>
      <c r="O525" s="499">
        <v>20747.47</v>
      </c>
      <c r="P525" s="512">
        <f>IF(O525=0,"0,00% ",(O525-M525)/O525)</f>
        <v>1</v>
      </c>
      <c r="Q525" s="484">
        <f>IF(O525=0,"R$0,0",(J525+K525+M525+O525)/4)</f>
        <v>10373.735000000001</v>
      </c>
      <c r="R525" s="495">
        <f>IF(P525=0,"R$0,0%",(L525+N525+P525)/3)</f>
        <v>0.33333333333333331</v>
      </c>
    </row>
    <row r="526" spans="3:19" ht="14.1" customHeight="1" x14ac:dyDescent="0.2">
      <c r="I526" s="506"/>
      <c r="J526" s="499"/>
      <c r="K526" s="499"/>
      <c r="L526" s="494"/>
      <c r="M526" s="499"/>
      <c r="N526" s="494"/>
      <c r="O526" s="499"/>
      <c r="P526" s="494"/>
      <c r="Q526" s="484"/>
      <c r="R526" s="495"/>
    </row>
    <row r="527" spans="3:19" ht="14.1" customHeight="1" x14ac:dyDescent="0.2">
      <c r="C527" s="483" t="s">
        <v>6461</v>
      </c>
      <c r="I527" s="506" t="s">
        <v>6463</v>
      </c>
      <c r="J527" s="499">
        <v>15872.52</v>
      </c>
      <c r="K527" s="499">
        <v>7684.48</v>
      </c>
      <c r="L527" s="512">
        <f>IF(K527=0,"0,00% ",(K527-J527)/K527)</f>
        <v>-1.0655294828016992</v>
      </c>
      <c r="M527" s="499">
        <v>1344.04</v>
      </c>
      <c r="N527" s="512">
        <f>IF(M527=0,"0,00% ",(M527-K527)/M527)</f>
        <v>-4.717448885449838</v>
      </c>
      <c r="O527" s="499">
        <v>15872.52</v>
      </c>
      <c r="P527" s="512">
        <f>IF(O527=0,"0,00% ",(O527-M527)/O527)</f>
        <v>0.91532283468535547</v>
      </c>
      <c r="Q527" s="484">
        <f>IF(O527=0,"R$0,0",(J527+K527+M527+O527)/4)</f>
        <v>10193.39</v>
      </c>
      <c r="R527" s="495">
        <f>IF(P527=0,"R$0,0%",(L527+N527+P527)/3)</f>
        <v>-1.6225518445220608</v>
      </c>
    </row>
    <row r="528" spans="3:19" ht="14.1" customHeight="1" x14ac:dyDescent="0.2">
      <c r="I528" s="506"/>
      <c r="J528" s="499"/>
      <c r="K528" s="499"/>
      <c r="L528" s="494"/>
      <c r="M528" s="499"/>
      <c r="N528" s="494"/>
      <c r="O528" s="499"/>
      <c r="P528" s="494"/>
      <c r="Q528" s="484"/>
      <c r="R528" s="495"/>
    </row>
    <row r="529" spans="3:19" s="492" customFormat="1" ht="14.1" customHeight="1" x14ac:dyDescent="0.25">
      <c r="C529" s="492" t="s">
        <v>2109</v>
      </c>
      <c r="I529" s="500" t="s">
        <v>94</v>
      </c>
      <c r="J529" s="501">
        <f>J531+J541+J549+J553+J557+J771</f>
        <v>4486109.55</v>
      </c>
      <c r="K529" s="501">
        <f>K531+K541+K549+K553+K557+K771</f>
        <v>5540068.6799999997</v>
      </c>
      <c r="L529" s="489">
        <f>IF(K529=0,"0,00% ",(K529-J529)/K529)</f>
        <v>0.19024297186149683</v>
      </c>
      <c r="M529" s="501">
        <f>M531+M541+M549+M553+M557+M771</f>
        <v>5329185.0199999996</v>
      </c>
      <c r="N529" s="489">
        <f>IF(M529=0,"0,00% ",(M529-K529)/M529)</f>
        <v>-3.9571465281946654E-2</v>
      </c>
      <c r="O529" s="501">
        <f>O531+O541+O549+O553+O557+O771</f>
        <v>3082736.3699999996</v>
      </c>
      <c r="P529" s="489">
        <f>IF(O529=0,"0,00% ",(O529-M529)/O529)</f>
        <v>-0.72871902763452978</v>
      </c>
      <c r="Q529" s="490">
        <f>IF(O529=0,"R$0,0",(J529+K529+M529+O529)/4)</f>
        <v>4609524.9050000003</v>
      </c>
      <c r="R529" s="491">
        <f>IF(P529=0,"R$0,0%",(L529+N529+P529)/3)</f>
        <v>-0.19268250701832654</v>
      </c>
      <c r="S529" s="502"/>
    </row>
    <row r="530" spans="3:19" ht="14.1" customHeight="1" x14ac:dyDescent="0.25">
      <c r="J530" s="499"/>
      <c r="K530" s="499"/>
      <c r="M530" s="499"/>
      <c r="O530" s="499"/>
    </row>
    <row r="531" spans="3:19" s="492" customFormat="1" ht="14.1" customHeight="1" x14ac:dyDescent="0.25">
      <c r="C531" s="492" t="s">
        <v>2127</v>
      </c>
      <c r="I531" s="500" t="s">
        <v>2128</v>
      </c>
      <c r="J531" s="501">
        <f>J533+J537</f>
        <v>96030</v>
      </c>
      <c r="K531" s="501">
        <f>K533+K537</f>
        <v>100496</v>
      </c>
      <c r="L531" s="489">
        <f>IF(K531=0,"0,00% ",(K531-J531)/K531)</f>
        <v>4.4439579684763572E-2</v>
      </c>
      <c r="M531" s="501">
        <f>M533+M537</f>
        <v>140721.83000000002</v>
      </c>
      <c r="N531" s="489">
        <f>IF(M531=0,"0,00% ",(M531-K531)/M531)</f>
        <v>0.28585351682819937</v>
      </c>
      <c r="O531" s="501">
        <f>O533+O537</f>
        <v>124992</v>
      </c>
      <c r="P531" s="489">
        <f>IF(O531=0,"0,00% ",(O531-M531)/O531)</f>
        <v>-0.1258466941884282</v>
      </c>
      <c r="Q531" s="490">
        <f>IF(O531=0,"R$0,0",(J531+K531+M531+O531)/4)</f>
        <v>115559.9575</v>
      </c>
      <c r="R531" s="491">
        <f>IF(P531=0,"R$0,0%",(L531+N531+P531)/3)</f>
        <v>6.814880077484492E-2</v>
      </c>
    </row>
    <row r="532" spans="3:19" ht="14.1" customHeight="1" x14ac:dyDescent="0.25">
      <c r="J532" s="499"/>
      <c r="K532" s="499"/>
      <c r="M532" s="499"/>
      <c r="O532" s="499"/>
    </row>
    <row r="533" spans="3:19" s="492" customFormat="1" ht="14.1" customHeight="1" x14ac:dyDescent="0.25">
      <c r="C533" s="492" t="s">
        <v>6334</v>
      </c>
      <c r="I533" s="500" t="s">
        <v>1057</v>
      </c>
      <c r="J533" s="501">
        <f>J535</f>
        <v>96030</v>
      </c>
      <c r="K533" s="501">
        <f>K535</f>
        <v>100496</v>
      </c>
      <c r="L533" s="489">
        <f>IF(K533=0,"0,00% ",(K533-J533)/K533)</f>
        <v>4.4439579684763572E-2</v>
      </c>
      <c r="M533" s="501">
        <f>M535</f>
        <v>117180</v>
      </c>
      <c r="N533" s="489">
        <f>IF(M533=0,"0,00% ",(M533-K533)/M533)</f>
        <v>0.14237924560505205</v>
      </c>
      <c r="O533" s="501">
        <f>O535</f>
        <v>124992</v>
      </c>
      <c r="P533" s="489">
        <f>IF(O533=0,"0,00% ",(O533-M533)/O533)</f>
        <v>6.25E-2</v>
      </c>
      <c r="Q533" s="490">
        <f>IF(O533=0,"R$0,0",(J533+K533+M533+O533)/4)</f>
        <v>109674.5</v>
      </c>
      <c r="R533" s="491">
        <f>IF(P533=0,"R$0,0%",(L533+N533+P533)/3)</f>
        <v>8.3106275096605217E-2</v>
      </c>
    </row>
    <row r="534" spans="3:19" ht="14.1" customHeight="1" x14ac:dyDescent="0.25">
      <c r="J534" s="499"/>
      <c r="K534" s="499"/>
      <c r="M534" s="499"/>
      <c r="O534" s="499"/>
    </row>
    <row r="535" spans="3:19" ht="14.1" customHeight="1" x14ac:dyDescent="0.2">
      <c r="C535" s="483" t="s">
        <v>6357</v>
      </c>
      <c r="I535" s="506" t="s">
        <v>1274</v>
      </c>
      <c r="J535" s="499">
        <v>96030</v>
      </c>
      <c r="K535" s="499">
        <v>100496</v>
      </c>
      <c r="L535" s="512">
        <f>IF(K535=0,"0,00% ",(K535-J535)/K535)</f>
        <v>4.4439579684763572E-2</v>
      </c>
      <c r="M535" s="499">
        <v>117180</v>
      </c>
      <c r="N535" s="512">
        <f>IF(M535=0,"0,00% ",(M535-K535)/M535)</f>
        <v>0.14237924560505205</v>
      </c>
      <c r="O535" s="499">
        <v>124992</v>
      </c>
      <c r="P535" s="512">
        <f>IF(O535=0,"0,00% ",(O535-M535)/O535)</f>
        <v>6.25E-2</v>
      </c>
      <c r="Q535" s="484">
        <f>IF(O535=0,"R$0,0",(J535+K535+M535+O535)/4)</f>
        <v>109674.5</v>
      </c>
      <c r="R535" s="495">
        <f>IF(P535=0,"R$0,0%",(L535+N535+P535)/3)</f>
        <v>8.3106275096605217E-2</v>
      </c>
    </row>
    <row r="536" spans="3:19" ht="14.1" customHeight="1" x14ac:dyDescent="0.25">
      <c r="J536" s="499"/>
      <c r="K536" s="499"/>
      <c r="M536" s="499"/>
      <c r="O536" s="499"/>
    </row>
    <row r="537" spans="3:19" s="492" customFormat="1" ht="14.1" customHeight="1" x14ac:dyDescent="0.25">
      <c r="C537" s="492" t="s">
        <v>6255</v>
      </c>
      <c r="I537" s="500" t="s">
        <v>985</v>
      </c>
      <c r="J537" s="501">
        <f>J539</f>
        <v>0</v>
      </c>
      <c r="K537" s="501">
        <f>K539</f>
        <v>0</v>
      </c>
      <c r="L537" s="489" t="str">
        <f>IF(K537=0,"0,00% ",(K537-J537)/K537)</f>
        <v xml:space="preserve">0,00% </v>
      </c>
      <c r="M537" s="501">
        <f>M539</f>
        <v>23541.83</v>
      </c>
      <c r="N537" s="489">
        <f>IF(M537=0,"0,00% ",(M537-K537)/M537)</f>
        <v>1</v>
      </c>
      <c r="O537" s="501">
        <f>O539</f>
        <v>0</v>
      </c>
      <c r="P537" s="489" t="str">
        <f>IF(O537=0,"0,00% ",(O537-M537)/O537)</f>
        <v xml:space="preserve">0,00% </v>
      </c>
      <c r="Q537" s="490" t="str">
        <f>IF(O537=0,"R$0,0",(J537+K537+M537+O537)/4)</f>
        <v>R$0,0</v>
      </c>
      <c r="R537" s="491">
        <f>IF(P537=0,"R$0,0%",(L537+N537+P537)/3)</f>
        <v>0.33333333333333331</v>
      </c>
    </row>
    <row r="538" spans="3:19" ht="14.1" customHeight="1" x14ac:dyDescent="0.25">
      <c r="J538" s="499"/>
      <c r="K538" s="499"/>
      <c r="M538" s="499"/>
      <c r="O538" s="499"/>
    </row>
    <row r="539" spans="3:19" ht="14.1" customHeight="1" x14ac:dyDescent="0.2">
      <c r="C539" s="483" t="s">
        <v>6474</v>
      </c>
      <c r="I539" s="506" t="s">
        <v>1274</v>
      </c>
      <c r="J539" s="499">
        <v>0</v>
      </c>
      <c r="K539" s="499">
        <v>0</v>
      </c>
      <c r="L539" s="512" t="str">
        <f>IF(K539=0,"0,00% ",(K539-J539)/K539)</f>
        <v xml:space="preserve">0,00% </v>
      </c>
      <c r="M539" s="499">
        <v>23541.83</v>
      </c>
      <c r="N539" s="512">
        <f>IF(M539=0,"0,00% ",(M539-K539)/M539)</f>
        <v>1</v>
      </c>
      <c r="O539" s="499">
        <v>0</v>
      </c>
      <c r="P539" s="512" t="str">
        <f>IF(O539=0,"0,00% ",(O539-M539)/O539)</f>
        <v xml:space="preserve">0,00% </v>
      </c>
      <c r="Q539" s="484" t="str">
        <f>IF(O539=0,"R$0,0",(J539+K539+M539+O539)/4)</f>
        <v>R$0,0</v>
      </c>
      <c r="R539" s="495">
        <f>IF(P539=0,"R$0,0%",(L539+N539+P539)/3)</f>
        <v>0.33333333333333331</v>
      </c>
    </row>
    <row r="540" spans="3:19" ht="14.1" customHeight="1" x14ac:dyDescent="0.25">
      <c r="J540" s="499"/>
      <c r="K540" s="499"/>
      <c r="M540" s="499"/>
      <c r="O540" s="499"/>
    </row>
    <row r="541" spans="3:19" s="492" customFormat="1" ht="14.1" customHeight="1" x14ac:dyDescent="0.25">
      <c r="C541" s="492" t="s">
        <v>2125</v>
      </c>
      <c r="I541" s="500" t="s">
        <v>2126</v>
      </c>
      <c r="J541" s="501">
        <f>J543</f>
        <v>20713</v>
      </c>
      <c r="K541" s="501">
        <f>K543</f>
        <v>23396.19</v>
      </c>
      <c r="L541" s="489">
        <f>IF(K541=0,"0,00% ",(K541-J541)/K541)</f>
        <v>0.11468491237248453</v>
      </c>
      <c r="M541" s="501">
        <f>M543</f>
        <v>33396</v>
      </c>
      <c r="N541" s="489">
        <f>IF(M541=0,"0,00% ",(M541-K541)/M541)</f>
        <v>0.29943136902623074</v>
      </c>
      <c r="O541" s="501">
        <f>O543</f>
        <v>24979.9</v>
      </c>
      <c r="P541" s="489">
        <f>IF(O541=0,"0,00% ",(O541-M541)/O541)</f>
        <v>-0.33691487956316873</v>
      </c>
      <c r="Q541" s="490">
        <f>IF(O541=0,"R$0,0",(J541+K541+M541+O541)/4)</f>
        <v>25621.272499999999</v>
      </c>
      <c r="R541" s="491">
        <f>IF(P541=0,"R$0,0%",(L541+N541+P541)/3)</f>
        <v>2.573380061184884E-2</v>
      </c>
    </row>
    <row r="542" spans="3:19" s="492" customFormat="1" ht="14.1" customHeight="1" x14ac:dyDescent="0.25">
      <c r="J542" s="501"/>
      <c r="K542" s="501"/>
      <c r="M542" s="501"/>
      <c r="O542" s="501"/>
    </row>
    <row r="543" spans="3:19" s="492" customFormat="1" ht="14.1" customHeight="1" x14ac:dyDescent="0.25">
      <c r="C543" s="492" t="s">
        <v>6239</v>
      </c>
      <c r="I543" s="500" t="s">
        <v>1027</v>
      </c>
      <c r="J543" s="501">
        <f>J545+J547</f>
        <v>20713</v>
      </c>
      <c r="K543" s="501">
        <f>K545+K547</f>
        <v>23396.19</v>
      </c>
      <c r="L543" s="489">
        <f>IF(K543=0,"0,00% ",(K543-J543)/K543)</f>
        <v>0.11468491237248453</v>
      </c>
      <c r="M543" s="501">
        <f>M545+M547</f>
        <v>33396</v>
      </c>
      <c r="N543" s="489">
        <f>IF(M543=0,"0,00% ",(M543-K543)/M543)</f>
        <v>0.29943136902623074</v>
      </c>
      <c r="O543" s="501">
        <f>O545+O547</f>
        <v>24979.9</v>
      </c>
      <c r="P543" s="489">
        <f>IF(O543=0,"0,00% ",(O543-M543)/O543)</f>
        <v>-0.33691487956316873</v>
      </c>
      <c r="Q543" s="490">
        <f>IF(O543=0,"R$0,0",(J543+K543+M543+O543)/4)</f>
        <v>25621.272499999999</v>
      </c>
      <c r="R543" s="491">
        <f>IF(P543=0,"R$0,0%",(L543+N543+P543)/3)</f>
        <v>2.573380061184884E-2</v>
      </c>
    </row>
    <row r="544" spans="3:19" ht="14.1" customHeight="1" x14ac:dyDescent="0.25">
      <c r="J544" s="499"/>
      <c r="K544" s="499"/>
      <c r="M544" s="499"/>
      <c r="O544" s="499"/>
    </row>
    <row r="545" spans="3:18" ht="14.1" customHeight="1" x14ac:dyDescent="0.2">
      <c r="C545" s="483" t="s">
        <v>6336</v>
      </c>
      <c r="I545" s="506" t="s">
        <v>6358</v>
      </c>
      <c r="J545" s="499">
        <v>20713</v>
      </c>
      <c r="K545" s="499">
        <v>23396.19</v>
      </c>
      <c r="L545" s="512">
        <f>IF(K545=0,"0,00% ",(K545-J545)/K545)</f>
        <v>0.11468491237248453</v>
      </c>
      <c r="M545" s="499">
        <v>33396</v>
      </c>
      <c r="N545" s="512">
        <f>IF(M545=0,"0,00% ",(M545-K545)/M545)</f>
        <v>0.29943136902623074</v>
      </c>
      <c r="O545" s="499">
        <v>24979.9</v>
      </c>
      <c r="P545" s="512">
        <f>IF(O545=0,"0,00% ",(O545-M545)/O545)</f>
        <v>-0.33691487956316873</v>
      </c>
      <c r="Q545" s="484">
        <f>IF(O545=0,"R$0,0",(J545+K545+M545+O545)/4)</f>
        <v>25621.272499999999</v>
      </c>
      <c r="R545" s="495">
        <f>IF(P545=0,"R$0,0%",(L545+N545+P545)/3)</f>
        <v>2.573380061184884E-2</v>
      </c>
    </row>
    <row r="546" spans="3:18" ht="14.1" customHeight="1" x14ac:dyDescent="0.25">
      <c r="J546" s="499"/>
      <c r="K546" s="499"/>
      <c r="M546" s="499"/>
      <c r="O546" s="499"/>
    </row>
    <row r="547" spans="3:18" ht="14.1" customHeight="1" x14ac:dyDescent="0.2">
      <c r="C547" s="483" t="s">
        <v>6337</v>
      </c>
      <c r="I547" s="506" t="s">
        <v>1059</v>
      </c>
      <c r="J547" s="499">
        <v>0</v>
      </c>
      <c r="K547" s="499">
        <v>0</v>
      </c>
      <c r="L547" s="512" t="str">
        <f>IF(K547=0,"0,00% ",(K547-J547)/K547)</f>
        <v xml:space="preserve">0,00% </v>
      </c>
      <c r="M547" s="499">
        <v>0</v>
      </c>
      <c r="N547" s="512" t="str">
        <f>IF(M547=0,"0,00% ",(M547-K547)/M547)</f>
        <v xml:space="preserve">0,00% </v>
      </c>
      <c r="O547" s="499">
        <v>0</v>
      </c>
      <c r="P547" s="512" t="str">
        <f>IF(O547=0,"0,00% ",(O547-M547)/O547)</f>
        <v xml:space="preserve">0,00% </v>
      </c>
      <c r="Q547" s="484" t="str">
        <f>IF(O547=0,"R$0,0",(J547+K547+M547+O547)/4)</f>
        <v>R$0,0</v>
      </c>
      <c r="R547" s="495">
        <f>IF(P547=0,"R$0,0%",(L547+N547+P547)/3)</f>
        <v>0</v>
      </c>
    </row>
    <row r="548" spans="3:18" ht="14.1" customHeight="1" x14ac:dyDescent="0.25">
      <c r="J548" s="499"/>
      <c r="K548" s="499"/>
      <c r="M548" s="499"/>
      <c r="O548" s="499"/>
    </row>
    <row r="549" spans="3:18" s="492" customFormat="1" ht="14.1" customHeight="1" x14ac:dyDescent="0.25">
      <c r="C549" s="492" t="s">
        <v>2129</v>
      </c>
      <c r="I549" s="500" t="s">
        <v>2130</v>
      </c>
      <c r="J549" s="501">
        <f>J551</f>
        <v>0</v>
      </c>
      <c r="K549" s="501">
        <f>K551</f>
        <v>0</v>
      </c>
      <c r="L549" s="489" t="str">
        <f>IF(K549=0,"0,00% ",(K549-J549)/K549)</f>
        <v xml:space="preserve">0,00% </v>
      </c>
      <c r="M549" s="501">
        <f>M551</f>
        <v>0</v>
      </c>
      <c r="N549" s="489" t="str">
        <f>IF(M549=0,"0,00% ",(M549-K549)/M549)</f>
        <v xml:space="preserve">0,00% </v>
      </c>
      <c r="O549" s="501">
        <f>O551</f>
        <v>0</v>
      </c>
      <c r="P549" s="489" t="str">
        <f>IF(O549=0,"0,00% ",(O549-M549)/O549)</f>
        <v xml:space="preserve">0,00% </v>
      </c>
      <c r="Q549" s="490" t="str">
        <f>IF(O549=0,"R$0,0",(J549+K549+M549+O549)/4)</f>
        <v>R$0,0</v>
      </c>
      <c r="R549" s="491">
        <f>IF(P549=0,"R$0,0%",(L549+N549+P549)/3)</f>
        <v>0</v>
      </c>
    </row>
    <row r="550" spans="3:18" ht="14.1" customHeight="1" x14ac:dyDescent="0.25">
      <c r="J550" s="499"/>
      <c r="K550" s="499"/>
      <c r="M550" s="499"/>
      <c r="O550" s="499"/>
    </row>
    <row r="551" spans="3:18" ht="14.1" customHeight="1" x14ac:dyDescent="0.2">
      <c r="C551" s="483" t="s">
        <v>6332</v>
      </c>
      <c r="I551" s="506" t="s">
        <v>6359</v>
      </c>
      <c r="J551" s="499">
        <v>0</v>
      </c>
      <c r="K551" s="499">
        <v>0</v>
      </c>
      <c r="L551" s="512" t="str">
        <f>IF(K551=0,"0,00% ",(K551-J551)/K551)</f>
        <v xml:space="preserve">0,00% </v>
      </c>
      <c r="M551" s="499">
        <v>0</v>
      </c>
      <c r="N551" s="512" t="str">
        <f>IF(M551=0,"0,00% ",(M551-K551)/M551)</f>
        <v xml:space="preserve">0,00% </v>
      </c>
      <c r="O551" s="499">
        <v>0</v>
      </c>
      <c r="P551" s="512" t="str">
        <f>IF(O551=0,"0,00% ",(O551-M551)/O551)</f>
        <v xml:space="preserve">0,00% </v>
      </c>
      <c r="Q551" s="484" t="str">
        <f>IF(O551=0,"R$0,0",(J551+K551+M551+O551)/4)</f>
        <v>R$0,0</v>
      </c>
      <c r="R551" s="495">
        <f>IF(P551=0,"R$0,0%",(L551+N551+P551)/3)</f>
        <v>0</v>
      </c>
    </row>
    <row r="552" spans="3:18" ht="14.1" customHeight="1" x14ac:dyDescent="0.25">
      <c r="J552" s="499"/>
      <c r="K552" s="499"/>
      <c r="M552" s="499"/>
      <c r="O552" s="499"/>
    </row>
    <row r="553" spans="3:18" s="492" customFormat="1" ht="14.1" customHeight="1" x14ac:dyDescent="0.25">
      <c r="C553" s="492" t="s">
        <v>2110</v>
      </c>
      <c r="I553" s="500" t="s">
        <v>6250</v>
      </c>
      <c r="J553" s="501">
        <f>J555</f>
        <v>3163.8</v>
      </c>
      <c r="K553" s="501">
        <f>K555</f>
        <v>30323.73</v>
      </c>
      <c r="L553" s="489">
        <f>IF(K553=0,"0,00% ",(K553-J553)/K553)</f>
        <v>0.89566586960113415</v>
      </c>
      <c r="M553" s="501">
        <f>M555</f>
        <v>4576.88</v>
      </c>
      <c r="N553" s="489">
        <f>IF(M553=0,"0,00% ",(M553-K553)/M553)</f>
        <v>-5.625415129957525</v>
      </c>
      <c r="O553" s="501">
        <f>O555</f>
        <v>0</v>
      </c>
      <c r="P553" s="489" t="str">
        <f>IF(O553=0,"0,00% ",(O553-M553)/O553)</f>
        <v xml:space="preserve">0,00% </v>
      </c>
      <c r="Q553" s="490" t="str">
        <f>IF(O553=0,"R$0,0",(J553+K553+M553+O553)/4)</f>
        <v>R$0,0</v>
      </c>
      <c r="R553" s="491">
        <f>IF(P553=0,"R$0,0%",(L553+N553+P553)/3)</f>
        <v>-1.5765830867854635</v>
      </c>
    </row>
    <row r="554" spans="3:18" s="492" customFormat="1" ht="14.1" customHeight="1" x14ac:dyDescent="0.25">
      <c r="J554" s="501"/>
      <c r="K554" s="501"/>
      <c r="L554" s="483"/>
      <c r="M554" s="501"/>
      <c r="N554" s="483"/>
      <c r="O554" s="501"/>
      <c r="P554" s="483"/>
    </row>
    <row r="555" spans="3:18" ht="14.1" customHeight="1" x14ac:dyDescent="0.2">
      <c r="C555" s="483" t="s">
        <v>6459</v>
      </c>
      <c r="I555" s="506" t="s">
        <v>6250</v>
      </c>
      <c r="J555" s="499">
        <v>3163.8</v>
      </c>
      <c r="K555" s="499">
        <v>30323.73</v>
      </c>
      <c r="L555" s="512">
        <f>IF(K555=0,"0,00% ",(K555-J555)/K555)</f>
        <v>0.89566586960113415</v>
      </c>
      <c r="M555" s="499">
        <v>4576.88</v>
      </c>
      <c r="N555" s="512">
        <f>IF(M555=0,"0,00% ",(M555-K555)/M555)</f>
        <v>-5.625415129957525</v>
      </c>
      <c r="O555" s="499">
        <v>0</v>
      </c>
      <c r="P555" s="512" t="str">
        <f>IF(O555=0,"0,00% ",(O555-M555)/O555)</f>
        <v xml:space="preserve">0,00% </v>
      </c>
      <c r="Q555" s="484" t="str">
        <f>IF(O555=0,"R$0,0",(J555+K555+M555+O555)/4)</f>
        <v>R$0,0</v>
      </c>
      <c r="R555" s="495">
        <f>IF(P555=0,"R$0,0%",(L555+N555+P555)/3)</f>
        <v>-1.5765830867854635</v>
      </c>
    </row>
    <row r="556" spans="3:18" s="492" customFormat="1" ht="14.1" customHeight="1" x14ac:dyDescent="0.25">
      <c r="J556" s="501"/>
      <c r="K556" s="501"/>
      <c r="M556" s="501"/>
      <c r="O556" s="501"/>
    </row>
    <row r="557" spans="3:18" s="492" customFormat="1" ht="14.1" customHeight="1" x14ac:dyDescent="0.25">
      <c r="C557" s="492" t="s">
        <v>2111</v>
      </c>
      <c r="I557" s="500" t="s">
        <v>2108</v>
      </c>
      <c r="J557" s="501">
        <f>J563+J569+J627+J635+J647+J655+J659+J679+J739+J743+J755+J763+J767+J559+J759</f>
        <v>4366202.75</v>
      </c>
      <c r="K557" s="501">
        <f>K563+K569+K627+K635+K647+K655+K659+K679+K739+K743+K755+K763+K767+K559+K759</f>
        <v>5385852.7599999998</v>
      </c>
      <c r="L557" s="489">
        <f>IF(K557=0,"0,00% ",(K557-J557)/K557)</f>
        <v>0.18932006785866901</v>
      </c>
      <c r="M557" s="501">
        <f>M563+M569+M627+M635+M647+M655+M659+M679+M739+M743+M755+M763+M767+M559+M759</f>
        <v>5150490.3099999996</v>
      </c>
      <c r="N557" s="489">
        <f>IF(M557=0,"0,00% ",(M557-K557)/M557)</f>
        <v>-4.5697095972208557E-2</v>
      </c>
      <c r="O557" s="501">
        <f>O563+O569+O627+O635+O647+O655+O659+O679+O739+O743+O755+O763+O767+O559+O759</f>
        <v>2911902.9899999998</v>
      </c>
      <c r="P557" s="489">
        <f>IF(O557=0,"0,00% ",(O557-M557)/O557)</f>
        <v>-0.76877125635287735</v>
      </c>
      <c r="Q557" s="490">
        <f>IF(O557=0,"R$0,0",(J557+K557+M557+O557)/4)</f>
        <v>4453612.2024999997</v>
      </c>
      <c r="R557" s="491">
        <f>IF(P557=0,"R$0,0%",(L557+N557+P557)/3)</f>
        <v>-0.20838276148880563</v>
      </c>
    </row>
    <row r="558" spans="3:18" s="492" customFormat="1" ht="14.1" customHeight="1" x14ac:dyDescent="0.25">
      <c r="J558" s="501"/>
      <c r="K558" s="501"/>
      <c r="M558" s="501"/>
      <c r="O558" s="501"/>
    </row>
    <row r="559" spans="3:18" s="492" customFormat="1" ht="14.1" customHeight="1" x14ac:dyDescent="0.25">
      <c r="C559" s="492" t="s">
        <v>6437</v>
      </c>
      <c r="I559" s="500" t="s">
        <v>6438</v>
      </c>
      <c r="J559" s="501">
        <f>J561</f>
        <v>1400</v>
      </c>
      <c r="K559" s="501">
        <f>K561</f>
        <v>2400</v>
      </c>
      <c r="L559" s="489">
        <f>IF(K559=0,"0,00% ",(K559-J559)/K559)</f>
        <v>0.41666666666666669</v>
      </c>
      <c r="M559" s="501">
        <f>M561</f>
        <v>1400</v>
      </c>
      <c r="N559" s="489">
        <f>IF(M559=0,"0,00% ",(M559-K559)/M559)</f>
        <v>-0.7142857142857143</v>
      </c>
      <c r="O559" s="501">
        <f>O561</f>
        <v>78338</v>
      </c>
      <c r="P559" s="489">
        <f>IF(O559=0,"0,00% ",(O559-M559)/O559)</f>
        <v>0.98212872424621511</v>
      </c>
      <c r="Q559" s="490">
        <f>IF(O559=0,"R$0,0",(J559+K559+M559+O559)/4)</f>
        <v>20884.5</v>
      </c>
      <c r="R559" s="491">
        <f>IF(P559=0,"R$0,0%",(L559+N559+P559)/3)</f>
        <v>0.22816989220905581</v>
      </c>
    </row>
    <row r="560" spans="3:18" ht="14.1" customHeight="1" x14ac:dyDescent="0.25">
      <c r="J560" s="499"/>
      <c r="K560" s="499"/>
      <c r="M560" s="499"/>
      <c r="O560" s="499"/>
    </row>
    <row r="561" spans="3:18" ht="14.1" customHeight="1" x14ac:dyDescent="0.2">
      <c r="C561" s="483" t="s">
        <v>6439</v>
      </c>
      <c r="I561" s="506" t="s">
        <v>6440</v>
      </c>
      <c r="J561" s="499">
        <v>1400</v>
      </c>
      <c r="K561" s="499">
        <v>2400</v>
      </c>
      <c r="L561" s="512">
        <f>IF(K561=0,"0,00% ",(K561-J561)/K561)</f>
        <v>0.41666666666666669</v>
      </c>
      <c r="M561" s="499">
        <v>1400</v>
      </c>
      <c r="N561" s="512">
        <f>IF(M561=0,"0,00% ",(M561-K561)/M561)</f>
        <v>-0.7142857142857143</v>
      </c>
      <c r="O561" s="499">
        <v>78338</v>
      </c>
      <c r="P561" s="512">
        <f>IF(O561=0,"0,00% ",(O561-M561)/O561)</f>
        <v>0.98212872424621511</v>
      </c>
      <c r="Q561" s="484">
        <f>IF(O561=0,"R$0,0",(J561+K561+M561+O561)/4)</f>
        <v>20884.5</v>
      </c>
      <c r="R561" s="495">
        <f>IF(P561=0,"R$0,0%",(L561+N561+P561)/3)</f>
        <v>0.22816989220905581</v>
      </c>
    </row>
    <row r="562" spans="3:18" s="492" customFormat="1" ht="14.1" customHeight="1" x14ac:dyDescent="0.25">
      <c r="J562" s="501"/>
      <c r="K562" s="501"/>
      <c r="M562" s="501"/>
      <c r="O562" s="501"/>
    </row>
    <row r="563" spans="3:18" s="492" customFormat="1" ht="14.1" customHeight="1" x14ac:dyDescent="0.25">
      <c r="C563" s="492" t="s">
        <v>6240</v>
      </c>
      <c r="I563" s="500" t="s">
        <v>1046</v>
      </c>
      <c r="J563" s="501">
        <f>J565+J567</f>
        <v>150797</v>
      </c>
      <c r="K563" s="501">
        <f>K565+K567</f>
        <v>167218.20000000001</v>
      </c>
      <c r="L563" s="489">
        <f>IF(K563=0,"0,00% ",(K563-J563)/K563)</f>
        <v>9.8202229183187065E-2</v>
      </c>
      <c r="M563" s="501">
        <f>M565+M567</f>
        <v>139427.62</v>
      </c>
      <c r="N563" s="489">
        <f>IF(M563=0,"0,00% ",(M563-K563)/M563)</f>
        <v>-0.19931904453364419</v>
      </c>
      <c r="O563" s="501">
        <f>O565+O567</f>
        <v>85445.38</v>
      </c>
      <c r="P563" s="489">
        <f>IF(O563=0,"0,00% ",(O563-M563)/O563)</f>
        <v>-0.63177482504027704</v>
      </c>
      <c r="Q563" s="490">
        <f>IF(O563=0,"R$0,0",(J563+K563+M563+O563)/4)</f>
        <v>135722.04999999999</v>
      </c>
      <c r="R563" s="491">
        <f>IF(P563=0,"R$0,0%",(L563+N563+P563)/3)</f>
        <v>-0.24429721346357805</v>
      </c>
    </row>
    <row r="564" spans="3:18" ht="14.1" customHeight="1" x14ac:dyDescent="0.25">
      <c r="J564" s="499"/>
      <c r="K564" s="499"/>
      <c r="M564" s="499"/>
      <c r="O564" s="499"/>
    </row>
    <row r="565" spans="3:18" ht="14.1" customHeight="1" x14ac:dyDescent="0.2">
      <c r="C565" s="483" t="s">
        <v>6360</v>
      </c>
      <c r="I565" s="506" t="s">
        <v>5050</v>
      </c>
      <c r="J565" s="499">
        <v>150797</v>
      </c>
      <c r="K565" s="499">
        <v>167218.20000000001</v>
      </c>
      <c r="L565" s="512">
        <f>IF(K565=0,"0,00% ",(K565-J565)/K565)</f>
        <v>9.8202229183187065E-2</v>
      </c>
      <c r="M565" s="499">
        <v>139427.62</v>
      </c>
      <c r="N565" s="512">
        <f>IF(M565=0,"0,00% ",(M565-K565)/M565)</f>
        <v>-0.19931904453364419</v>
      </c>
      <c r="O565" s="499">
        <v>78338</v>
      </c>
      <c r="P565" s="512">
        <f>IF(O565=0,"0,00% ",(O565-M565)/O565)</f>
        <v>-0.7798210319385227</v>
      </c>
      <c r="Q565" s="484">
        <f>IF(O565=0,"R$0,0",(J565+K565+M565+O565)/4)</f>
        <v>133945.20500000002</v>
      </c>
      <c r="R565" s="495">
        <f>IF(P565=0,"R$0,0%",(L565+N565+P565)/3)</f>
        <v>-0.29364594909632663</v>
      </c>
    </row>
    <row r="566" spans="3:18" ht="14.1" customHeight="1" x14ac:dyDescent="0.25">
      <c r="J566" s="499"/>
      <c r="K566" s="499"/>
      <c r="M566" s="499"/>
      <c r="O566" s="499"/>
    </row>
    <row r="567" spans="3:18" ht="14.1" customHeight="1" x14ac:dyDescent="0.2">
      <c r="C567" s="483" t="s">
        <v>6361</v>
      </c>
      <c r="I567" s="506" t="s">
        <v>5054</v>
      </c>
      <c r="J567" s="499">
        <v>0</v>
      </c>
      <c r="K567" s="499">
        <v>0</v>
      </c>
      <c r="L567" s="512" t="str">
        <f>IF(K567=0,"0,00% ",(K567-J567)/K567)</f>
        <v xml:space="preserve">0,00% </v>
      </c>
      <c r="M567" s="499">
        <v>0</v>
      </c>
      <c r="N567" s="512" t="str">
        <f>IF(M567=0,"0,00% ",(M567-K567)/M567)</f>
        <v xml:space="preserve">0,00% </v>
      </c>
      <c r="O567" s="499">
        <v>7107.38</v>
      </c>
      <c r="P567" s="512">
        <f>IF(O567=0,"0,00% ",(O567-M567)/O567)</f>
        <v>1</v>
      </c>
      <c r="Q567" s="484">
        <f>IF(O567=0,"R$0,0",(J567+K567+M567+O567)/4)</f>
        <v>1776.845</v>
      </c>
      <c r="R567" s="495">
        <f>IF(P567=0,"R$0,0%",(L567+N567+P567)/3)</f>
        <v>0.33333333333333331</v>
      </c>
    </row>
    <row r="568" spans="3:18" ht="14.1" customHeight="1" x14ac:dyDescent="0.25">
      <c r="J568" s="499"/>
      <c r="K568" s="499"/>
      <c r="M568" s="499"/>
      <c r="O568" s="499"/>
    </row>
    <row r="569" spans="3:18" s="492" customFormat="1" ht="14.1" customHeight="1" x14ac:dyDescent="0.25">
      <c r="C569" s="492" t="s">
        <v>6241</v>
      </c>
      <c r="I569" s="500" t="s">
        <v>996</v>
      </c>
      <c r="J569" s="501">
        <f>J571+J573+J575+J577+J579+J583+J587+J589+J591+J593+J595+J597+J599+J601+J603+J605+J607+J611+J613+J615+J617+J619+J621+J623+J581+J625+J585+J609</f>
        <v>1287473.1200000001</v>
      </c>
      <c r="K569" s="501">
        <f>K571+K573+K575+K577+K579+K583+K587+K589+K591+K593+K595+K597+K599+K601+K603+K605+K607+K611+K613+K615+K617+K619+K621+K623+K581+K625+K585+K609</f>
        <v>1485685.4999999998</v>
      </c>
      <c r="L569" s="489">
        <f>IF(K569=0,"0,00% ",(K569-J569)/K569)</f>
        <v>0.13341476375720143</v>
      </c>
      <c r="M569" s="501">
        <f>M571+M573+M575+M577+M579+M583+M587+M589+M591+M593+M595+M597+M599+M601+M603+M605+M607+M611+M613+M615+M617+M619+M621+M623+M581+M625+M585+M609</f>
        <v>1024773.4299999997</v>
      </c>
      <c r="N569" s="489">
        <f>IF(M569=0,"0,00% ",(M569-K569)/M569)</f>
        <v>-0.44976973105167278</v>
      </c>
      <c r="O569" s="501">
        <f>O571+O573+O575+O577+O579+O583+O587+O589+O591+O593+O595+O597+O599+O601+O603+O605+O607+O611+O613+O615+O617+O619+O621+O623+O581+O625+O585+O609</f>
        <v>629539.62000000011</v>
      </c>
      <c r="P569" s="489">
        <f>IF(O569=0,"0,00% ",(O569-M569)/O569)</f>
        <v>-0.62781403654943835</v>
      </c>
      <c r="Q569" s="490">
        <f>IF(O569=0,"R$0,0",(J569+K569+M569+O569)/4)</f>
        <v>1106867.9175</v>
      </c>
      <c r="R569" s="491">
        <f>IF(P569=0,"R$0,0%",(L569+N569+P569)/3)</f>
        <v>-0.31472300128130321</v>
      </c>
    </row>
    <row r="570" spans="3:18" ht="14.1" customHeight="1" x14ac:dyDescent="0.25">
      <c r="J570" s="499"/>
      <c r="K570" s="499"/>
      <c r="M570" s="499"/>
      <c r="O570" s="499"/>
    </row>
    <row r="571" spans="3:18" ht="14.1" customHeight="1" x14ac:dyDescent="0.2">
      <c r="C571" s="483" t="s">
        <v>6362</v>
      </c>
      <c r="I571" s="506" t="s">
        <v>6363</v>
      </c>
      <c r="J571" s="499">
        <f>93424.37+287281.38</f>
        <v>380705.75</v>
      </c>
      <c r="K571" s="499">
        <v>434970.32</v>
      </c>
      <c r="L571" s="512">
        <f>IF(K571=0,"0,00% ",(K571-J571)/K571)</f>
        <v>0.12475464992645936</v>
      </c>
      <c r="M571" s="499">
        <v>432339.12</v>
      </c>
      <c r="N571" s="512">
        <f>IF(M571=0,"0,00% ",(M571-K571)/M571)</f>
        <v>-6.0859632595819963E-3</v>
      </c>
      <c r="O571" s="499">
        <v>264364.23</v>
      </c>
      <c r="P571" s="512">
        <f>IF(O571=0,"0,00% ",(O571-M571)/O571)</f>
        <v>-0.63539189851819222</v>
      </c>
      <c r="Q571" s="484">
        <f>IF(O571=0,"R$0,0",(J571+K571+M571+O571)/4)</f>
        <v>378094.85499999998</v>
      </c>
      <c r="R571" s="495">
        <f>IF(P571=0,"R$0,0%",(L571+N571+P571)/3)</f>
        <v>-0.17224107061710495</v>
      </c>
    </row>
    <row r="572" spans="3:18" ht="14.1" customHeight="1" x14ac:dyDescent="0.25">
      <c r="J572" s="499"/>
      <c r="K572" s="499"/>
      <c r="M572" s="499"/>
      <c r="O572" s="499"/>
    </row>
    <row r="573" spans="3:18" ht="14.1" customHeight="1" x14ac:dyDescent="0.2">
      <c r="C573" s="483" t="s">
        <v>6364</v>
      </c>
      <c r="I573" s="506" t="s">
        <v>6365</v>
      </c>
      <c r="J573" s="499">
        <v>28342.35</v>
      </c>
      <c r="K573" s="499">
        <v>439.04</v>
      </c>
      <c r="L573" s="512">
        <f>IF(K573=0,"0,00% ",(K573-J573)/K573)</f>
        <v>-63.555279701166171</v>
      </c>
      <c r="M573" s="499">
        <v>1128.49</v>
      </c>
      <c r="N573" s="512">
        <f>IF(M573=0,"0,00% ",(M573-K573)/M573)</f>
        <v>0.61094914443194004</v>
      </c>
      <c r="O573" s="499">
        <v>891.03</v>
      </c>
      <c r="P573" s="512">
        <f>IF(O573=0,"0,00% ",(O573-M573)/O573)</f>
        <v>-0.26650056675981731</v>
      </c>
      <c r="Q573" s="484">
        <f>IF(O573=0,"R$0,0",(J573+K573+M573+O573)/4)</f>
        <v>7700.2275</v>
      </c>
      <c r="R573" s="495">
        <f>IF(P573=0,"R$0,0%",(L573+N573+P573)/3)</f>
        <v>-21.070277041164683</v>
      </c>
    </row>
    <row r="574" spans="3:18" ht="14.1" customHeight="1" x14ac:dyDescent="0.25">
      <c r="J574" s="499"/>
      <c r="K574" s="499"/>
      <c r="M574" s="499"/>
      <c r="O574" s="499"/>
    </row>
    <row r="575" spans="3:18" ht="14.1" customHeight="1" x14ac:dyDescent="0.2">
      <c r="C575" s="483" t="s">
        <v>6302</v>
      </c>
      <c r="I575" s="506" t="s">
        <v>1090</v>
      </c>
      <c r="J575" s="499">
        <v>5088.2</v>
      </c>
      <c r="K575" s="499">
        <v>3540.08</v>
      </c>
      <c r="L575" s="512">
        <f>IF(K575=0,"0,00% ",(K575-J575)/K575)</f>
        <v>-0.4373121511378274</v>
      </c>
      <c r="M575" s="499">
        <v>8069</v>
      </c>
      <c r="N575" s="512">
        <f>IF(M575=0,"0,00% ",(M575-K575)/M575)</f>
        <v>0.56127401164952284</v>
      </c>
      <c r="O575" s="499">
        <v>2604.9</v>
      </c>
      <c r="P575" s="512">
        <f>IF(O575=0,"0,00% ",(O575-M575)/O575)</f>
        <v>-2.0976237091634995</v>
      </c>
      <c r="Q575" s="484">
        <f>IF(O575=0,"R$0,0",(J575+K575+M575+O575)/4)</f>
        <v>4825.5450000000001</v>
      </c>
      <c r="R575" s="495">
        <f>IF(P575=0,"R$0,0%",(L575+N575+P575)/3)</f>
        <v>-0.65788728288393472</v>
      </c>
    </row>
    <row r="576" spans="3:18" ht="14.1" customHeight="1" x14ac:dyDescent="0.25">
      <c r="J576" s="499"/>
      <c r="K576" s="499"/>
      <c r="M576" s="499"/>
      <c r="O576" s="499"/>
    </row>
    <row r="577" spans="3:18" ht="14.1" customHeight="1" x14ac:dyDescent="0.2">
      <c r="C577" s="483" t="s">
        <v>6278</v>
      </c>
      <c r="I577" s="506" t="s">
        <v>1161</v>
      </c>
      <c r="J577" s="499">
        <v>111643.33</v>
      </c>
      <c r="K577" s="499">
        <v>114493.04</v>
      </c>
      <c r="L577" s="512">
        <f>IF(K577=0,"0,00% ",(K577-J577)/K577)</f>
        <v>2.4889809895867837E-2</v>
      </c>
      <c r="M577" s="499">
        <v>189992.97</v>
      </c>
      <c r="N577" s="512">
        <f>IF(M577=0,"0,00% ",(M577-K577)/M577)</f>
        <v>0.39738275579354332</v>
      </c>
      <c r="O577" s="499">
        <v>70127.289999999994</v>
      </c>
      <c r="P577" s="512">
        <f>IF(O577=0,"0,00% ",(O577-M577)/O577)</f>
        <v>-1.7092586923008151</v>
      </c>
      <c r="Q577" s="484">
        <f>IF(O577=0,"R$0,0",(J577+K577+M577+O577)/4)</f>
        <v>121564.15749999999</v>
      </c>
      <c r="R577" s="495">
        <f>IF(P577=0,"R$0,0%",(L577+N577+P577)/3)</f>
        <v>-0.42899537553713457</v>
      </c>
    </row>
    <row r="578" spans="3:18" ht="14.1" customHeight="1" x14ac:dyDescent="0.25">
      <c r="J578" s="499"/>
      <c r="K578" s="499"/>
      <c r="M578" s="499"/>
      <c r="O578" s="499"/>
    </row>
    <row r="579" spans="3:18" ht="14.1" customHeight="1" x14ac:dyDescent="0.2">
      <c r="C579" s="483" t="s">
        <v>6320</v>
      </c>
      <c r="I579" s="506" t="s">
        <v>1105</v>
      </c>
      <c r="J579" s="499">
        <v>6015</v>
      </c>
      <c r="K579" s="499">
        <v>87766.6</v>
      </c>
      <c r="L579" s="512">
        <f>IF(K579=0,"0,00% ",(K579-J579)/K579)</f>
        <v>0.93146595629772599</v>
      </c>
      <c r="M579" s="499">
        <v>54056.97</v>
      </c>
      <c r="N579" s="512">
        <f>IF(M579=0,"0,00% ",(M579-K579)/M579)</f>
        <v>-0.62359451519387799</v>
      </c>
      <c r="O579" s="499">
        <v>17373.23</v>
      </c>
      <c r="P579" s="512">
        <f>IF(O579=0,"0,00% ",(O579-M579)/O579)</f>
        <v>-2.1115094890242059</v>
      </c>
      <c r="Q579" s="484">
        <f>IF(O579=0,"R$0,0",(J579+K579+M579+O579)/4)</f>
        <v>41302.950000000004</v>
      </c>
      <c r="R579" s="495">
        <f>IF(P579=0,"R$0,0%",(L579+N579+P579)/3)</f>
        <v>-0.60121268264011929</v>
      </c>
    </row>
    <row r="580" spans="3:18" ht="14.1" customHeight="1" x14ac:dyDescent="0.25">
      <c r="J580" s="499" t="s">
        <v>6441</v>
      </c>
      <c r="K580" s="499"/>
      <c r="M580" s="499"/>
      <c r="O580" s="499"/>
    </row>
    <row r="581" spans="3:18" ht="14.1" customHeight="1" x14ac:dyDescent="0.2">
      <c r="C581" s="483" t="s">
        <v>6442</v>
      </c>
      <c r="I581" s="506" t="s">
        <v>6443</v>
      </c>
      <c r="J581" s="499">
        <v>4544.8</v>
      </c>
      <c r="K581" s="499">
        <v>0</v>
      </c>
      <c r="L581" s="512" t="str">
        <f>IF(K581=0,"0,00% ",(K581-J581)/K581)</f>
        <v xml:space="preserve">0,00% </v>
      </c>
      <c r="M581" s="499">
        <v>999.3</v>
      </c>
      <c r="N581" s="512">
        <f>IF(M581=0,"0,00% ",(M581-K581)/M581)</f>
        <v>1</v>
      </c>
      <c r="O581" s="499">
        <v>17373.23</v>
      </c>
      <c r="P581" s="512">
        <f>IF(O581=0,"0,00% ",(O581-M581)/O581)</f>
        <v>0.94248047139190583</v>
      </c>
      <c r="Q581" s="484">
        <f>IF(O581=0,"R$0,0",(J581+K581+M581+O581)/4)</f>
        <v>5729.3325000000004</v>
      </c>
      <c r="R581" s="495">
        <f>IF(P581=0,"R$0,0%",(L581+N581+P581)/3)</f>
        <v>0.64749349046396854</v>
      </c>
    </row>
    <row r="582" spans="3:18" ht="14.1" customHeight="1" x14ac:dyDescent="0.25">
      <c r="J582" s="499" t="s">
        <v>6441</v>
      </c>
      <c r="K582" s="499"/>
      <c r="M582" s="499"/>
      <c r="O582" s="499"/>
    </row>
    <row r="583" spans="3:18" ht="14.1" customHeight="1" x14ac:dyDescent="0.2">
      <c r="C583" s="483" t="s">
        <v>6303</v>
      </c>
      <c r="I583" s="506" t="s">
        <v>1016</v>
      </c>
      <c r="J583" s="499">
        <v>0</v>
      </c>
      <c r="K583" s="499">
        <v>1724</v>
      </c>
      <c r="L583" s="512">
        <f>IF(K583=0,"0,00% ",(K583-J583)/K583)</f>
        <v>1</v>
      </c>
      <c r="M583" s="499">
        <v>7813.82</v>
      </c>
      <c r="N583" s="512">
        <f>IF(M583=0,"0,00% ",(M583-K583)/M583)</f>
        <v>0.77936527844255432</v>
      </c>
      <c r="O583" s="499">
        <v>4270.1499999999996</v>
      </c>
      <c r="P583" s="512">
        <f>IF(O583=0,"0,00% ",(O583-M583)/O583)</f>
        <v>-0.82987014507687096</v>
      </c>
      <c r="Q583" s="484">
        <f>IF(O583=0,"R$0,0",(J583+K583+M583+O583)/4)</f>
        <v>3451.9924999999998</v>
      </c>
      <c r="R583" s="495">
        <f>IF(P583=0,"R$0,0%",(L583+N583+P583)/3)</f>
        <v>0.3164983777885611</v>
      </c>
    </row>
    <row r="584" spans="3:18" ht="14.1" customHeight="1" x14ac:dyDescent="0.25">
      <c r="J584" s="499" t="s">
        <v>6441</v>
      </c>
      <c r="K584" s="499"/>
      <c r="M584" s="499"/>
      <c r="O584" s="499"/>
    </row>
    <row r="585" spans="3:18" ht="14.1" customHeight="1" x14ac:dyDescent="0.2">
      <c r="C585" s="483" t="s">
        <v>6467</v>
      </c>
      <c r="I585" s="506" t="s">
        <v>6468</v>
      </c>
      <c r="J585" s="499">
        <v>0</v>
      </c>
      <c r="K585" s="499">
        <v>0</v>
      </c>
      <c r="L585" s="512" t="str">
        <f>IF(K585=0,"0,00% ",(K585-J585)/K585)</f>
        <v xml:space="preserve">0,00% </v>
      </c>
      <c r="M585" s="499">
        <v>6623.3</v>
      </c>
      <c r="N585" s="512">
        <f>IF(M585=0,"0,00% ",(M585-K585)/M585)</f>
        <v>1</v>
      </c>
      <c r="O585" s="499">
        <v>4270.1499999999996</v>
      </c>
      <c r="P585" s="512">
        <f>IF(O585=0,"0,00% ",(O585-M585)/O585)</f>
        <v>-0.55106963455616331</v>
      </c>
      <c r="Q585" s="484">
        <f>IF(O585=0,"R$0,0",(J585+K585+M585+O585)/4)</f>
        <v>2723.3625000000002</v>
      </c>
      <c r="R585" s="495">
        <f>IF(P585=0,"R$0,0%",(L585+N585+P585)/3)</f>
        <v>0.14964345514794555</v>
      </c>
    </row>
    <row r="586" spans="3:18" ht="14.1" customHeight="1" x14ac:dyDescent="0.25">
      <c r="J586" s="499"/>
      <c r="K586" s="499"/>
      <c r="M586" s="499"/>
      <c r="O586" s="499"/>
    </row>
    <row r="587" spans="3:18" ht="14.1" customHeight="1" x14ac:dyDescent="0.2">
      <c r="C587" s="483" t="s">
        <v>6296</v>
      </c>
      <c r="I587" s="506" t="s">
        <v>1003</v>
      </c>
      <c r="J587" s="499">
        <v>0</v>
      </c>
      <c r="K587" s="499">
        <v>27764.11</v>
      </c>
      <c r="L587" s="512">
        <f>IF(K587=0,"0,00% ",(K587-J587)/K587)</f>
        <v>1</v>
      </c>
      <c r="M587" s="499">
        <v>10365.950000000001</v>
      </c>
      <c r="N587" s="512">
        <f>IF(M587=0,"0,00% ",(M587-K587)/M587)</f>
        <v>-1.6783951302099662</v>
      </c>
      <c r="O587" s="499">
        <v>8787.24</v>
      </c>
      <c r="P587" s="512">
        <f>IF(O587=0,"0,00% ",(O587-M587)/O587)</f>
        <v>-0.17965936972246133</v>
      </c>
      <c r="Q587" s="484">
        <f>IF(O587=0,"R$0,0",(J587+K587+M587+O587)/4)</f>
        <v>11729.324999999999</v>
      </c>
      <c r="R587" s="495">
        <f>IF(P587=0,"R$0,0%",(L587+N587+P587)/3)</f>
        <v>-0.28601816664414254</v>
      </c>
    </row>
    <row r="588" spans="3:18" ht="14.1" customHeight="1" x14ac:dyDescent="0.25">
      <c r="J588" s="499"/>
      <c r="K588" s="499"/>
      <c r="M588" s="499"/>
      <c r="O588" s="499"/>
    </row>
    <row r="589" spans="3:18" ht="14.1" customHeight="1" x14ac:dyDescent="0.2">
      <c r="C589" s="483" t="s">
        <v>6279</v>
      </c>
      <c r="I589" s="506" t="s">
        <v>5106</v>
      </c>
      <c r="J589" s="499">
        <v>0</v>
      </c>
      <c r="K589" s="499">
        <v>0</v>
      </c>
      <c r="L589" s="512" t="str">
        <f>IF(K589=0,"0,00% ",(K589-J589)/K589)</f>
        <v xml:space="preserve">0,00% </v>
      </c>
      <c r="M589" s="499">
        <v>20462.7</v>
      </c>
      <c r="N589" s="512">
        <f>IF(M589=0,"0,00% ",(M589-K589)/M589)</f>
        <v>1</v>
      </c>
      <c r="O589" s="499">
        <v>20510.22</v>
      </c>
      <c r="P589" s="512">
        <f>IF(O589=0,"0,00% ",(O589-M589)/O589)</f>
        <v>2.3168937242019068E-3</v>
      </c>
      <c r="Q589" s="484">
        <f>IF(O589=0,"R$0,0",(J589+K589+M589+O589)/4)</f>
        <v>10243.23</v>
      </c>
      <c r="R589" s="495">
        <f>IF(P589=0,"R$0,0%",(L589+N589+P589)/3)</f>
        <v>0.33410563124140064</v>
      </c>
    </row>
    <row r="590" spans="3:18" ht="14.1" customHeight="1" x14ac:dyDescent="0.25">
      <c r="J590" s="499"/>
      <c r="K590" s="499"/>
      <c r="M590" s="499"/>
      <c r="O590" s="499"/>
    </row>
    <row r="591" spans="3:18" ht="14.1" customHeight="1" x14ac:dyDescent="0.2">
      <c r="C591" s="483" t="s">
        <v>6327</v>
      </c>
      <c r="I591" s="506" t="s">
        <v>6366</v>
      </c>
      <c r="J591" s="499">
        <v>0</v>
      </c>
      <c r="K591" s="499">
        <v>0</v>
      </c>
      <c r="L591" s="512" t="str">
        <f>IF(K591=0,"0,00% ",(K591-J591)/K591)</f>
        <v xml:space="preserve">0,00% </v>
      </c>
      <c r="M591" s="499">
        <v>0</v>
      </c>
      <c r="N591" s="512" t="str">
        <f>IF(M591=0,"0,00% ",(M591-K591)/M591)</f>
        <v xml:space="preserve">0,00% </v>
      </c>
      <c r="O591" s="499">
        <v>1145</v>
      </c>
      <c r="P591" s="512">
        <f>IF(O591=0,"0,00% ",(O591-M591)/O591)</f>
        <v>1</v>
      </c>
      <c r="Q591" s="484">
        <f>IF(O591=0,"R$0,0",(J591+K591+M591+O591)/4)</f>
        <v>286.25</v>
      </c>
      <c r="R591" s="495">
        <f>IF(P591=0,"R$0,0%",(L591+N591+P591)/3)</f>
        <v>0.33333333333333331</v>
      </c>
    </row>
    <row r="592" spans="3:18" ht="14.1" customHeight="1" x14ac:dyDescent="0.25">
      <c r="J592" s="499"/>
      <c r="K592" s="499"/>
      <c r="M592" s="499"/>
      <c r="O592" s="499"/>
    </row>
    <row r="593" spans="3:18" ht="14.1" customHeight="1" x14ac:dyDescent="0.2">
      <c r="C593" s="483" t="s">
        <v>6321</v>
      </c>
      <c r="I593" s="506" t="s">
        <v>5111</v>
      </c>
      <c r="J593" s="499">
        <v>0</v>
      </c>
      <c r="K593" s="499">
        <v>0</v>
      </c>
      <c r="L593" s="512" t="str">
        <f>IF(K593=0,"0,00% ",(K593-J593)/K593)</f>
        <v xml:space="preserve">0,00% </v>
      </c>
      <c r="M593" s="499">
        <v>155</v>
      </c>
      <c r="N593" s="512">
        <f>IF(M593=0,"0,00% ",(M593-K593)/M593)</f>
        <v>1</v>
      </c>
      <c r="O593" s="499">
        <v>60.9</v>
      </c>
      <c r="P593" s="512">
        <f>IF(O593=0,"0,00% ",(O593-M593)/O593)</f>
        <v>-1.5451559934318555</v>
      </c>
      <c r="Q593" s="484">
        <f>IF(O593=0,"R$0,0",(J593+K593+M593+O593)/4)</f>
        <v>53.975000000000001</v>
      </c>
      <c r="R593" s="495">
        <f>IF(P593=0,"R$0,0%",(L593+N593+P593)/3)</f>
        <v>-0.18171866447728516</v>
      </c>
    </row>
    <row r="594" spans="3:18" ht="14.1" customHeight="1" x14ac:dyDescent="0.25">
      <c r="J594" s="499"/>
      <c r="K594" s="499"/>
      <c r="M594" s="499"/>
      <c r="O594" s="499"/>
    </row>
    <row r="595" spans="3:18" ht="14.1" customHeight="1" x14ac:dyDescent="0.2">
      <c r="C595" s="483" t="s">
        <v>6367</v>
      </c>
      <c r="I595" s="506" t="s">
        <v>1002</v>
      </c>
      <c r="J595" s="499">
        <v>0</v>
      </c>
      <c r="K595" s="499">
        <v>9110.08</v>
      </c>
      <c r="L595" s="512">
        <f>IF(K595=0,"0,00% ",(K595-J595)/K595)</f>
        <v>1</v>
      </c>
      <c r="M595" s="499">
        <v>1696.95</v>
      </c>
      <c r="N595" s="512">
        <f>IF(M595=0,"0,00% ",(M595-K595)/M595)</f>
        <v>-4.3685023129732752</v>
      </c>
      <c r="O595" s="499">
        <v>34.5</v>
      </c>
      <c r="P595" s="512">
        <f>IF(O595=0,"0,00% ",(O595-M595)/O595)</f>
        <v>-48.186956521739134</v>
      </c>
      <c r="Q595" s="484">
        <f>IF(O595=0,"R$0,0",(J595+K595+M595+O595)/4)</f>
        <v>2710.3825000000002</v>
      </c>
      <c r="R595" s="495">
        <f>IF(P595=0,"R$0,0%",(L595+N595+P595)/3)</f>
        <v>-17.185152944904136</v>
      </c>
    </row>
    <row r="596" spans="3:18" ht="14.1" customHeight="1" x14ac:dyDescent="0.25">
      <c r="J596" s="499"/>
      <c r="K596" s="499"/>
      <c r="M596" s="499"/>
      <c r="O596" s="499"/>
    </row>
    <row r="597" spans="3:18" ht="14.1" customHeight="1" x14ac:dyDescent="0.2">
      <c r="C597" s="483" t="s">
        <v>6368</v>
      </c>
      <c r="I597" s="506" t="s">
        <v>6369</v>
      </c>
      <c r="J597" s="499">
        <v>44.7</v>
      </c>
      <c r="K597" s="499">
        <v>16216.87</v>
      </c>
      <c r="L597" s="512">
        <f>IF(K597=0,"0,00% ",(K597-J597)/K597)</f>
        <v>0.99724361112841131</v>
      </c>
      <c r="M597" s="499">
        <v>6067.19</v>
      </c>
      <c r="N597" s="512">
        <f>IF(M597=0,"0,00% ",(M597-K597)/M597)</f>
        <v>-1.6728798669565319</v>
      </c>
      <c r="O597" s="499">
        <v>15921.03</v>
      </c>
      <c r="P597" s="512">
        <f>IF(O597=0,"0,00% ",(O597-M597)/O597)</f>
        <v>0.61891975581981817</v>
      </c>
      <c r="Q597" s="484">
        <f>IF(O597=0,"R$0,0",(J597+K597+M597+O597)/4)</f>
        <v>9562.4475000000002</v>
      </c>
      <c r="R597" s="495">
        <f>IF(P597=0,"R$0,0%",(L597+N597+P597)/3)</f>
        <v>-1.8905500002767472E-2</v>
      </c>
    </row>
    <row r="598" spans="3:18" ht="14.1" customHeight="1" x14ac:dyDescent="0.25">
      <c r="J598" s="499"/>
      <c r="K598" s="499"/>
      <c r="M598" s="499"/>
      <c r="O598" s="499"/>
    </row>
    <row r="599" spans="3:18" ht="14.1" customHeight="1" x14ac:dyDescent="0.2">
      <c r="C599" s="483" t="s">
        <v>6370</v>
      </c>
      <c r="I599" s="506" t="s">
        <v>1015</v>
      </c>
      <c r="J599" s="499">
        <v>0</v>
      </c>
      <c r="K599" s="499">
        <v>1500</v>
      </c>
      <c r="L599" s="512">
        <f>IF(K599=0,"0,00% ",(K599-J599)/K599)</f>
        <v>1</v>
      </c>
      <c r="M599" s="499">
        <v>0</v>
      </c>
      <c r="N599" s="512" t="str">
        <f>IF(M599=0,"0,00% ",(M599-K599)/M599)</f>
        <v xml:space="preserve">0,00% </v>
      </c>
      <c r="O599" s="499">
        <v>499</v>
      </c>
      <c r="P599" s="512">
        <f>IF(O599=0,"0,00% ",(O599-M599)/O599)</f>
        <v>1</v>
      </c>
      <c r="Q599" s="484">
        <f>IF(O599=0,"R$0,0",(J599+K599+M599+O599)/4)</f>
        <v>499.75</v>
      </c>
      <c r="R599" s="495">
        <f>IF(P599=0,"R$0,0%",(L599+N599+P599)/3)</f>
        <v>0.66666666666666663</v>
      </c>
    </row>
    <row r="600" spans="3:18" ht="14.1" customHeight="1" x14ac:dyDescent="0.25">
      <c r="J600" s="499"/>
      <c r="K600" s="499"/>
      <c r="M600" s="499"/>
      <c r="O600" s="499"/>
    </row>
    <row r="601" spans="3:18" ht="14.1" customHeight="1" x14ac:dyDescent="0.2">
      <c r="C601" s="483" t="s">
        <v>6297</v>
      </c>
      <c r="I601" s="506" t="s">
        <v>6371</v>
      </c>
      <c r="J601" s="499">
        <v>0</v>
      </c>
      <c r="K601" s="499">
        <v>0</v>
      </c>
      <c r="L601" s="512" t="str">
        <f>IF(K601=0,"0,00% ",(K601-J601)/K601)</f>
        <v xml:space="preserve">0,00% </v>
      </c>
      <c r="M601" s="499">
        <v>5609.45</v>
      </c>
      <c r="N601" s="512">
        <f>IF(M601=0,"0,00% ",(M601-K601)/M601)</f>
        <v>1</v>
      </c>
      <c r="O601" s="499">
        <v>12496.59</v>
      </c>
      <c r="P601" s="512">
        <f>IF(O601=0,"0,00% ",(O601-M601)/O601)</f>
        <v>0.55112154595773732</v>
      </c>
      <c r="Q601" s="484">
        <f>IF(O601=0,"R$0,0",(J601+K601+M601+O601)/4)</f>
        <v>4526.51</v>
      </c>
      <c r="R601" s="495">
        <f>IF(P601=0,"R$0,0%",(L601+N601+P601)/3)</f>
        <v>0.51704051531924577</v>
      </c>
    </row>
    <row r="602" spans="3:18" ht="14.1" customHeight="1" x14ac:dyDescent="0.25">
      <c r="I602" s="506"/>
      <c r="J602" s="499"/>
      <c r="K602" s="499"/>
      <c r="M602" s="499"/>
      <c r="O602" s="499"/>
    </row>
    <row r="603" spans="3:18" ht="14.1" customHeight="1" x14ac:dyDescent="0.2">
      <c r="C603" s="483" t="s">
        <v>6372</v>
      </c>
      <c r="I603" s="506" t="s">
        <v>6373</v>
      </c>
      <c r="J603" s="499">
        <v>48</v>
      </c>
      <c r="K603" s="499">
        <v>21604.69</v>
      </c>
      <c r="L603" s="512">
        <f>IF(K603=0,"0,00% ",(K603-J603)/K603)</f>
        <v>0.99777826018332128</v>
      </c>
      <c r="M603" s="499">
        <v>16194.34</v>
      </c>
      <c r="N603" s="512">
        <f>IF(M603=0,"0,00% ",(M603-K603)/M603)</f>
        <v>-0.33408894712597109</v>
      </c>
      <c r="O603" s="499">
        <v>3641.31</v>
      </c>
      <c r="P603" s="512">
        <f>IF(O603=0,"0,00% ",(O603-M603)/O603)</f>
        <v>-3.4473939324034486</v>
      </c>
      <c r="Q603" s="484">
        <f>IF(O603=0,"R$0,0",(J603+K603+M603+O603)/4)</f>
        <v>10372.084999999999</v>
      </c>
      <c r="R603" s="495">
        <f>IF(P603=0,"R$0,0%",(L603+N603+P603)/3)</f>
        <v>-0.92790153978203271</v>
      </c>
    </row>
    <row r="604" spans="3:18" ht="14.1" customHeight="1" x14ac:dyDescent="0.25">
      <c r="J604" s="499"/>
      <c r="K604" s="499"/>
      <c r="M604" s="499"/>
      <c r="O604" s="499"/>
    </row>
    <row r="605" spans="3:18" ht="14.1" customHeight="1" x14ac:dyDescent="0.2">
      <c r="C605" s="483" t="s">
        <v>6374</v>
      </c>
      <c r="I605" s="506" t="s">
        <v>1045</v>
      </c>
      <c r="J605" s="499">
        <v>4090.95</v>
      </c>
      <c r="K605" s="499">
        <v>10423.870000000001</v>
      </c>
      <c r="L605" s="512">
        <f>IF(K605=0,"0,00% ",(K605-J605)/K605)</f>
        <v>0.60754019380517987</v>
      </c>
      <c r="M605" s="499">
        <v>1671.45</v>
      </c>
      <c r="N605" s="512">
        <f>IF(M605=0,"0,00% ",(M605-K605)/M605)</f>
        <v>-5.2364234646564363</v>
      </c>
      <c r="O605" s="499">
        <v>23690.21</v>
      </c>
      <c r="P605" s="512">
        <f>IF(O605=0,"0,00% ",(O605-M605)/O605)</f>
        <v>0.92944553889560289</v>
      </c>
      <c r="Q605" s="484">
        <f>IF(O605=0,"R$0,0",(J605+K605+M605+O605)/4)</f>
        <v>9969.119999999999</v>
      </c>
      <c r="R605" s="495">
        <f>IF(P605=0,"R$0,0%",(L605+N605+P605)/3)</f>
        <v>-1.2331459106518843</v>
      </c>
    </row>
    <row r="606" spans="3:18" ht="14.1" customHeight="1" x14ac:dyDescent="0.25">
      <c r="J606" s="499"/>
      <c r="K606" s="499"/>
      <c r="M606" s="499"/>
      <c r="O606" s="499"/>
    </row>
    <row r="607" spans="3:18" ht="14.1" customHeight="1" x14ac:dyDescent="0.2">
      <c r="C607" s="483" t="s">
        <v>6309</v>
      </c>
      <c r="I607" s="506" t="s">
        <v>5126</v>
      </c>
      <c r="J607" s="499">
        <v>0</v>
      </c>
      <c r="K607" s="499">
        <v>0</v>
      </c>
      <c r="L607" s="512" t="str">
        <f>IF(K607=0,"0,00% ",(K607-J607)/K607)</f>
        <v xml:space="preserve">0,00% </v>
      </c>
      <c r="M607" s="499">
        <v>973.3</v>
      </c>
      <c r="N607" s="512">
        <f>IF(M607=0,"0,00% ",(M607-K607)/M607)</f>
        <v>1</v>
      </c>
      <c r="O607" s="499">
        <v>6047.1</v>
      </c>
      <c r="P607" s="512">
        <f>IF(O607=0,"0,00% ",(O607-M607)/O607)</f>
        <v>0.83904681582907503</v>
      </c>
      <c r="Q607" s="484">
        <f>IF(O607=0,"R$0,0",(J607+K607+M607+O607)/4)</f>
        <v>1755.1000000000001</v>
      </c>
      <c r="R607" s="495">
        <f>IF(P607=0,"R$0,0%",(L607+N607+P607)/3)</f>
        <v>0.61301560527635834</v>
      </c>
    </row>
    <row r="608" spans="3:18" ht="14.1" customHeight="1" x14ac:dyDescent="0.25">
      <c r="J608" s="499"/>
      <c r="K608" s="499"/>
      <c r="M608" s="499"/>
      <c r="O608" s="499"/>
    </row>
    <row r="609" spans="3:18" ht="14.1" customHeight="1" x14ac:dyDescent="0.2">
      <c r="C609" s="483" t="s">
        <v>6469</v>
      </c>
      <c r="I609" s="506" t="s">
        <v>6470</v>
      </c>
      <c r="J609" s="499">
        <v>0</v>
      </c>
      <c r="K609" s="499">
        <v>0</v>
      </c>
      <c r="L609" s="512" t="str">
        <f>IF(K609=0,"0,00% ",(K609-J609)/K609)</f>
        <v xml:space="preserve">0,00% </v>
      </c>
      <c r="M609" s="499">
        <v>2898.8</v>
      </c>
      <c r="N609" s="512">
        <f>IF(M609=0,"0,00% ",(M609-K609)/M609)</f>
        <v>1</v>
      </c>
      <c r="O609" s="499">
        <v>6047.1</v>
      </c>
      <c r="P609" s="512">
        <f>IF(O609=0,"0,00% ",(O609-M609)/O609)</f>
        <v>0.5206297233384598</v>
      </c>
      <c r="Q609" s="484">
        <f>IF(O609=0,"R$0,0",(J609+K609+M609+O609)/4)</f>
        <v>2236.4750000000004</v>
      </c>
      <c r="R609" s="495">
        <f>IF(P609=0,"R$0,0%",(L609+N609+P609)/3)</f>
        <v>0.50687657444615331</v>
      </c>
    </row>
    <row r="610" spans="3:18" ht="14.1" customHeight="1" x14ac:dyDescent="0.25">
      <c r="J610" s="499"/>
      <c r="K610" s="499"/>
      <c r="M610" s="499"/>
      <c r="O610" s="499"/>
    </row>
    <row r="611" spans="3:18" ht="14.1" customHeight="1" x14ac:dyDescent="0.2">
      <c r="C611" s="483" t="s">
        <v>6375</v>
      </c>
      <c r="I611" s="506" t="s">
        <v>1197</v>
      </c>
      <c r="J611" s="499">
        <v>0</v>
      </c>
      <c r="K611" s="499">
        <v>0</v>
      </c>
      <c r="L611" s="512" t="str">
        <f>IF(K611=0,"0,00% ",(K611-J611)/K611)</f>
        <v xml:space="preserve">0,00% </v>
      </c>
      <c r="M611" s="499">
        <v>153.6</v>
      </c>
      <c r="N611" s="512">
        <f>IF(M611=0,"0,00% ",(M611-K611)/M611)</f>
        <v>1</v>
      </c>
      <c r="O611" s="499">
        <v>200</v>
      </c>
      <c r="P611" s="512">
        <f>IF(O611=0,"0,00% ",(O611-M611)/O611)</f>
        <v>0.23200000000000004</v>
      </c>
      <c r="Q611" s="484">
        <f>IF(O611=0,"R$0,0",(J611+K611+M611+O611)/4)</f>
        <v>88.4</v>
      </c>
      <c r="R611" s="495">
        <f>IF(P611=0,"R$0,0%",(L611+N611+P611)/3)</f>
        <v>0.41066666666666668</v>
      </c>
    </row>
    <row r="612" spans="3:18" ht="14.1" customHeight="1" x14ac:dyDescent="0.25">
      <c r="J612" s="499"/>
      <c r="K612" s="499"/>
      <c r="M612" s="499"/>
      <c r="O612" s="499"/>
    </row>
    <row r="613" spans="3:18" ht="14.1" customHeight="1" x14ac:dyDescent="0.2">
      <c r="C613" s="483" t="s">
        <v>6328</v>
      </c>
      <c r="I613" s="506" t="s">
        <v>1108</v>
      </c>
      <c r="J613" s="499">
        <v>14486.26</v>
      </c>
      <c r="K613" s="499">
        <v>6631.1</v>
      </c>
      <c r="L613" s="512">
        <f>IF(K613=0,"0,00% ",(K613-J613)/K613)</f>
        <v>-1.1845938079654958</v>
      </c>
      <c r="M613" s="499">
        <v>52562.94</v>
      </c>
      <c r="N613" s="512">
        <f>IF(M613=0,"0,00% ",(M613-K613)/M613)</f>
        <v>0.8738445756649077</v>
      </c>
      <c r="O613" s="499">
        <v>7502.47</v>
      </c>
      <c r="P613" s="512">
        <f>IF(O613=0,"0,00% ",(O613-M613)/O613)</f>
        <v>-6.0060846627843896</v>
      </c>
      <c r="Q613" s="484">
        <f>IF(O613=0,"R$0,0",(J613+K613+M613+O613)/4)</f>
        <v>20295.692500000001</v>
      </c>
      <c r="R613" s="495">
        <f>IF(P613=0,"R$0,0%",(L613+N613+P613)/3)</f>
        <v>-2.1056112983616591</v>
      </c>
    </row>
    <row r="614" spans="3:18" ht="14.1" customHeight="1" x14ac:dyDescent="0.25">
      <c r="J614" s="499"/>
      <c r="K614" s="499"/>
      <c r="M614" s="499"/>
      <c r="O614" s="499"/>
    </row>
    <row r="615" spans="3:18" ht="14.1" customHeight="1" x14ac:dyDescent="0.2">
      <c r="C615" s="483" t="s">
        <v>6376</v>
      </c>
      <c r="I615" s="506" t="s">
        <v>6377</v>
      </c>
      <c r="J615" s="499">
        <v>406840.14</v>
      </c>
      <c r="K615" s="499">
        <v>458719.52</v>
      </c>
      <c r="L615" s="512">
        <f>IF(K615=0,"0,00% ",(K615-J615)/K615)</f>
        <v>0.11309608102136139</v>
      </c>
      <c r="M615" s="499">
        <v>143355.24</v>
      </c>
      <c r="N615" s="512">
        <f>IF(M615=0,"0,00% ",(M615-K615)/M615)</f>
        <v>-2.1998796835051166</v>
      </c>
      <c r="O615" s="499">
        <v>111153.12</v>
      </c>
      <c r="P615" s="512">
        <f>IF(O615=0,"0,00% ",(O615-M615)/O615)</f>
        <v>-0.2897095466146159</v>
      </c>
      <c r="Q615" s="484">
        <f>IF(O615=0,"R$0,0",(J615+K615+M615+O615)/4)</f>
        <v>280017.005</v>
      </c>
      <c r="R615" s="495">
        <f>IF(P615=0,"R$0,0%",(L615+N615+P615)/3)</f>
        <v>-0.79216438303279046</v>
      </c>
    </row>
    <row r="616" spans="3:18" ht="14.1" customHeight="1" x14ac:dyDescent="0.25">
      <c r="J616" s="499"/>
      <c r="K616" s="499"/>
      <c r="M616" s="499"/>
      <c r="O616" s="499"/>
    </row>
    <row r="617" spans="3:18" ht="14.1" customHeight="1" x14ac:dyDescent="0.2">
      <c r="C617" s="483" t="s">
        <v>6333</v>
      </c>
      <c r="I617" s="506" t="s">
        <v>1089</v>
      </c>
      <c r="J617" s="499">
        <v>325</v>
      </c>
      <c r="K617" s="499">
        <v>1027</v>
      </c>
      <c r="L617" s="512">
        <f>IF(K617=0,"0,00% ",(K617-J617)/K617)</f>
        <v>0.68354430379746833</v>
      </c>
      <c r="M617" s="499">
        <v>2911</v>
      </c>
      <c r="N617" s="512">
        <f>IF(M617=0,"0,00% ",(M617-K617)/M617)</f>
        <v>0.64720027481964959</v>
      </c>
      <c r="O617" s="499">
        <v>2035</v>
      </c>
      <c r="P617" s="512">
        <f>IF(O617=0,"0,00% ",(O617-M617)/O617)</f>
        <v>-0.43046683046683049</v>
      </c>
      <c r="Q617" s="484">
        <f>IF(O617=0,"R$0,0",(J617+K617+M617+O617)/4)</f>
        <v>1574.5</v>
      </c>
      <c r="R617" s="495">
        <f>IF(P617=0,"R$0,0%",(L617+N617+P617)/3)</f>
        <v>0.30009258271676248</v>
      </c>
    </row>
    <row r="618" spans="3:18" ht="14.1" customHeight="1" x14ac:dyDescent="0.25">
      <c r="J618" s="499"/>
      <c r="K618" s="499"/>
      <c r="M618" s="499"/>
      <c r="O618" s="499"/>
    </row>
    <row r="619" spans="3:18" ht="14.1" customHeight="1" x14ac:dyDescent="0.2">
      <c r="C619" s="483" t="s">
        <v>6311</v>
      </c>
      <c r="I619" s="506" t="s">
        <v>1201</v>
      </c>
      <c r="J619" s="499">
        <v>500</v>
      </c>
      <c r="K619" s="499">
        <v>0</v>
      </c>
      <c r="L619" s="512" t="str">
        <f>IF(K619=0,"0,00% ",(K619-J619)/K619)</f>
        <v xml:space="preserve">0,00% </v>
      </c>
      <c r="M619" s="499">
        <v>0</v>
      </c>
      <c r="N619" s="512" t="str">
        <f>IF(M619=0,"0,00% ",(M619-K619)/M619)</f>
        <v xml:space="preserve">0,00% </v>
      </c>
      <c r="O619" s="499">
        <v>1423.5</v>
      </c>
      <c r="P619" s="512">
        <f>IF(O619=0,"0,00% ",(O619-M619)/O619)</f>
        <v>1</v>
      </c>
      <c r="Q619" s="484">
        <f>IF(O619=0,"R$0,0",(J619+K619+M619+O619)/4)</f>
        <v>480.875</v>
      </c>
      <c r="R619" s="495">
        <f>IF(P619=0,"R$0,0%",(L619+N619+P619)/3)</f>
        <v>0.33333333333333331</v>
      </c>
    </row>
    <row r="620" spans="3:18" ht="14.1" customHeight="1" x14ac:dyDescent="0.25">
      <c r="J620" s="499"/>
      <c r="K620" s="499"/>
      <c r="M620" s="499"/>
      <c r="O620" s="499"/>
    </row>
    <row r="621" spans="3:18" ht="14.1" customHeight="1" x14ac:dyDescent="0.2">
      <c r="C621" s="483" t="s">
        <v>6378</v>
      </c>
      <c r="I621" s="506" t="s">
        <v>5149</v>
      </c>
      <c r="J621" s="499">
        <v>0</v>
      </c>
      <c r="K621" s="499">
        <v>0</v>
      </c>
      <c r="L621" s="512" t="str">
        <f>IF(K621=0,"0,00% ",(K621-J621)/K621)</f>
        <v xml:space="preserve">0,00% </v>
      </c>
      <c r="M621" s="499">
        <v>718</v>
      </c>
      <c r="N621" s="512">
        <f>IF(M621=0,"0,00% ",(M621-K621)/M621)</f>
        <v>1</v>
      </c>
      <c r="O621" s="499">
        <v>0</v>
      </c>
      <c r="P621" s="512" t="str">
        <f>IF(O621=0,"0,00% ",(O621-M621)/O621)</f>
        <v xml:space="preserve">0,00% </v>
      </c>
      <c r="Q621" s="484" t="str">
        <f>IF(O621=0,"R$0,0",(J621+K621+M621+O621)/4)</f>
        <v>R$0,0</v>
      </c>
      <c r="R621" s="495">
        <f>IF(P621=0,"R$0,0%",(L621+N621+P621)/3)</f>
        <v>0.33333333333333331</v>
      </c>
    </row>
    <row r="622" spans="3:18" ht="14.1" customHeight="1" x14ac:dyDescent="0.25">
      <c r="J622" s="499"/>
      <c r="K622" s="499"/>
      <c r="M622" s="499"/>
      <c r="O622" s="499"/>
    </row>
    <row r="623" spans="3:18" ht="14.1" customHeight="1" x14ac:dyDescent="0.2">
      <c r="C623" s="483" t="s">
        <v>6444</v>
      </c>
      <c r="I623" s="506" t="s">
        <v>6445</v>
      </c>
      <c r="J623" s="499">
        <v>6817.5</v>
      </c>
      <c r="K623" s="499">
        <v>37376</v>
      </c>
      <c r="L623" s="512">
        <f>IF(K623=0,"0,00% ",(K623-J623)/K623)</f>
        <v>0.8175968535958904</v>
      </c>
      <c r="M623" s="499">
        <v>0</v>
      </c>
      <c r="N623" s="512" t="str">
        <f>IF(M623=0,"0,00% ",(M623-K623)/M623)</f>
        <v xml:space="preserve">0,00% </v>
      </c>
      <c r="O623" s="499">
        <v>13535.56</v>
      </c>
      <c r="P623" s="512">
        <f>IF(O623=0,"0,00% ",(O623-M623)/O623)</f>
        <v>1</v>
      </c>
      <c r="Q623" s="484">
        <f>IF(O623=0,"R$0,0",(J623+K623+M623+O623)/4)</f>
        <v>14432.264999999999</v>
      </c>
      <c r="R623" s="495">
        <f>IF(P623=0,"R$0,0%",(L623+N623+P623)/3)</f>
        <v>0.6058656178652968</v>
      </c>
    </row>
    <row r="624" spans="3:18" ht="14.1" customHeight="1" x14ac:dyDescent="0.25">
      <c r="J624" s="499"/>
      <c r="K624" s="499"/>
      <c r="M624" s="499"/>
      <c r="O624" s="499"/>
    </row>
    <row r="625" spans="3:18" ht="14.1" customHeight="1" x14ac:dyDescent="0.2">
      <c r="C625" s="483" t="s">
        <v>6280</v>
      </c>
      <c r="I625" s="506" t="s">
        <v>4202</v>
      </c>
      <c r="J625" s="499">
        <v>317981.14</v>
      </c>
      <c r="K625" s="499">
        <v>252379.18</v>
      </c>
      <c r="L625" s="512">
        <f>IF(K625=0,"0,00% ",(K625-J625)/K625)</f>
        <v>-0.25993411976376191</v>
      </c>
      <c r="M625" s="499">
        <f>1024773.43-966818.88</f>
        <v>57954.550000000047</v>
      </c>
      <c r="N625" s="512">
        <f>IF(M625=0,"0,00% ",(M625-K625)/M625)</f>
        <v>-3.3547776662919442</v>
      </c>
      <c r="O625" s="499">
        <v>13535.56</v>
      </c>
      <c r="P625" s="512">
        <f>IF(O625=0,"0,00% ",(O625-M625)/O625)</f>
        <v>-3.2816514425705363</v>
      </c>
      <c r="Q625" s="484">
        <f>IF(O625=0,"R$0,0",(J625+K625+M625+O625)/4)</f>
        <v>160462.60750000004</v>
      </c>
      <c r="R625" s="495">
        <f>IF(P625=0,"R$0,0%",(L625+N625+P625)/3)</f>
        <v>-2.298787742875414</v>
      </c>
    </row>
    <row r="626" spans="3:18" ht="14.1" customHeight="1" x14ac:dyDescent="0.25">
      <c r="J626" s="499"/>
      <c r="K626" s="499"/>
      <c r="M626" s="499"/>
      <c r="O626" s="499"/>
    </row>
    <row r="627" spans="3:18" s="492" customFormat="1" ht="14.1" customHeight="1" x14ac:dyDescent="0.25">
      <c r="C627" s="492" t="s">
        <v>6257</v>
      </c>
      <c r="I627" s="500" t="s">
        <v>1153</v>
      </c>
      <c r="J627" s="501">
        <f>J631+J633+J629</f>
        <v>4525.8599999999997</v>
      </c>
      <c r="K627" s="501">
        <f>K631+K633+K629</f>
        <v>8318.7000000000007</v>
      </c>
      <c r="L627" s="489">
        <f>IF(K627=0,"0,00% ",(K627-J627)/K627)</f>
        <v>0.45594143315662311</v>
      </c>
      <c r="M627" s="501">
        <f>M631+M633+M629</f>
        <v>18512.900000000001</v>
      </c>
      <c r="N627" s="489">
        <f>IF(M627=0,"0,00% ",(M627-K627)/M627)</f>
        <v>0.55065386838366759</v>
      </c>
      <c r="O627" s="501">
        <f>O631+O633+O629</f>
        <v>13126.8</v>
      </c>
      <c r="P627" s="489">
        <f>IF(O627=0,"0,00% ",(O627-M627)/O627)</f>
        <v>-0.41031325227778304</v>
      </c>
      <c r="Q627" s="490">
        <f>IF(O627=0,"R$0,0",(J627+K627+M627+O627)/4)</f>
        <v>11121.065000000001</v>
      </c>
      <c r="R627" s="491">
        <f>IF(P627=0,"R$0,0%",(L627+N627+P627)/3)</f>
        <v>0.19876068308750253</v>
      </c>
    </row>
    <row r="628" spans="3:18" ht="14.1" customHeight="1" x14ac:dyDescent="0.25">
      <c r="J628" s="499"/>
      <c r="K628" s="499"/>
      <c r="M628" s="499"/>
      <c r="O628" s="499"/>
    </row>
    <row r="629" spans="3:18" ht="14.1" customHeight="1" x14ac:dyDescent="0.2">
      <c r="C629" s="483" t="s">
        <v>6471</v>
      </c>
      <c r="I629" s="506" t="s">
        <v>5155</v>
      </c>
      <c r="J629" s="499">
        <v>0</v>
      </c>
      <c r="K629" s="499">
        <v>0</v>
      </c>
      <c r="L629" s="512" t="str">
        <f>IF(K629=0,"0,00% ",(K629-J629)/K629)</f>
        <v xml:space="preserve">0,00% </v>
      </c>
      <c r="M629" s="499">
        <v>1226</v>
      </c>
      <c r="N629" s="512">
        <f>IF(M629=0,"0,00% ",(M629-K629)/M629)</f>
        <v>1</v>
      </c>
      <c r="O629" s="499">
        <v>3713.4</v>
      </c>
      <c r="P629" s="512">
        <f>IF(O629=0,"0,00% ",(O629-M629)/O629)</f>
        <v>0.66984434749824961</v>
      </c>
      <c r="Q629" s="484">
        <f>IF(O629=0,"R$0,0",(J629+K629+M629+O629)/4)</f>
        <v>1234.8499999999999</v>
      </c>
      <c r="R629" s="495">
        <f>IF(P629=0,"R$0,0%",(L629+N629+P629)/3)</f>
        <v>0.55661478249941654</v>
      </c>
    </row>
    <row r="630" spans="3:18" ht="14.1" customHeight="1" x14ac:dyDescent="0.25">
      <c r="J630" s="499"/>
      <c r="K630" s="499"/>
      <c r="M630" s="499"/>
      <c r="O630" s="499"/>
    </row>
    <row r="631" spans="3:18" ht="14.1" customHeight="1" x14ac:dyDescent="0.2">
      <c r="C631" s="483" t="s">
        <v>6314</v>
      </c>
      <c r="I631" s="506" t="s">
        <v>1152</v>
      </c>
      <c r="J631" s="499">
        <v>4525.8599999999997</v>
      </c>
      <c r="K631" s="499">
        <v>8318.7000000000007</v>
      </c>
      <c r="L631" s="512">
        <f>IF(K631=0,"0,00% ",(K631-J631)/K631)</f>
        <v>0.45594143315662311</v>
      </c>
      <c r="M631" s="499">
        <v>10446.9</v>
      </c>
      <c r="N631" s="512">
        <f>IF(M631=0,"0,00% ",(M631-K631)/M631)</f>
        <v>0.20371593487063139</v>
      </c>
      <c r="O631" s="499">
        <v>3713.4</v>
      </c>
      <c r="P631" s="512">
        <f>IF(O631=0,"0,00% ",(O631-M631)/O631)</f>
        <v>-1.8132977863952173</v>
      </c>
      <c r="Q631" s="484">
        <f>IF(O631=0,"R$0,0",(J631+K631+M631+O631)/4)</f>
        <v>6751.2150000000001</v>
      </c>
      <c r="R631" s="495">
        <f>IF(P631=0,"R$0,0%",(L631+N631+P631)/3)</f>
        <v>-0.38454680612265424</v>
      </c>
    </row>
    <row r="632" spans="3:18" ht="14.1" customHeight="1" x14ac:dyDescent="0.25">
      <c r="J632" s="499"/>
      <c r="K632" s="499"/>
      <c r="M632" s="499"/>
      <c r="O632" s="499"/>
    </row>
    <row r="633" spans="3:18" ht="14.1" customHeight="1" x14ac:dyDescent="0.2">
      <c r="C633" s="483" t="s">
        <v>6312</v>
      </c>
      <c r="I633" s="506" t="s">
        <v>1258</v>
      </c>
      <c r="J633" s="499">
        <v>0</v>
      </c>
      <c r="K633" s="499">
        <v>0</v>
      </c>
      <c r="L633" s="512" t="str">
        <f>IF(K633=0,"0,00% ",(K633-J633)/K633)</f>
        <v xml:space="preserve">0,00% </v>
      </c>
      <c r="M633" s="499">
        <v>6840</v>
      </c>
      <c r="N633" s="512">
        <f>IF(M633=0,"0,00% ",(M633-K633)/M633)</f>
        <v>1</v>
      </c>
      <c r="O633" s="499">
        <v>5700</v>
      </c>
      <c r="P633" s="512">
        <f>IF(O633=0,"0,00% ",(O633-M633)/O633)</f>
        <v>-0.2</v>
      </c>
      <c r="Q633" s="484">
        <f>IF(O633=0,"R$0,0",(J633+K633+M633+O633)/4)</f>
        <v>3135</v>
      </c>
      <c r="R633" s="495">
        <f>IF(P633=0,"R$0,0%",(L633+N633+P633)/3)</f>
        <v>0.26666666666666666</v>
      </c>
    </row>
    <row r="634" spans="3:18" ht="14.1" customHeight="1" x14ac:dyDescent="0.25">
      <c r="J634" s="499"/>
      <c r="K634" s="499"/>
      <c r="M634" s="499"/>
      <c r="O634" s="499"/>
    </row>
    <row r="635" spans="3:18" s="492" customFormat="1" ht="14.1" customHeight="1" x14ac:dyDescent="0.25">
      <c r="C635" s="492" t="s">
        <v>6242</v>
      </c>
      <c r="I635" s="500" t="s">
        <v>1021</v>
      </c>
      <c r="J635" s="501">
        <f>J637+J639+J641+J643+J645</f>
        <v>152518.32999999999</v>
      </c>
      <c r="K635" s="501">
        <f>K637+K639+K641+K643+K645</f>
        <v>135736.74000000002</v>
      </c>
      <c r="L635" s="489">
        <f>IF(K635=0,"0,00% ",(K635-J635)/K635)</f>
        <v>-0.123633365586944</v>
      </c>
      <c r="M635" s="501">
        <f>M637+M639+M641+M643+M645</f>
        <v>127337.28</v>
      </c>
      <c r="N635" s="489">
        <f>IF(M635=0,"0,00% ",(M635-K635)/M635)</f>
        <v>-6.5962301063757764E-2</v>
      </c>
      <c r="O635" s="501">
        <f>O637+O639+O641+O643+O645</f>
        <v>64940.639999999999</v>
      </c>
      <c r="P635" s="489">
        <f>IF(O635=0,"0,00% ",(O635-M635)/O635)</f>
        <v>-0.96082576334326242</v>
      </c>
      <c r="Q635" s="490">
        <f>IF(O635=0,"R$0,0",(J635+K635+M635+O635)/4)</f>
        <v>120133.2475</v>
      </c>
      <c r="R635" s="491">
        <f>IF(P635=0,"R$0,0%",(L635+N635+P635)/3)</f>
        <v>-0.38347380999798802</v>
      </c>
    </row>
    <row r="636" spans="3:18" ht="14.1" customHeight="1" x14ac:dyDescent="0.25">
      <c r="J636" s="499"/>
      <c r="K636" s="499"/>
      <c r="M636" s="499"/>
      <c r="O636" s="499"/>
    </row>
    <row r="637" spans="3:18" ht="14.1" customHeight="1" x14ac:dyDescent="0.2">
      <c r="C637" s="483" t="s">
        <v>6338</v>
      </c>
      <c r="I637" s="506" t="s">
        <v>1001</v>
      </c>
      <c r="J637" s="499">
        <v>580</v>
      </c>
      <c r="K637" s="499">
        <v>0</v>
      </c>
      <c r="L637" s="512" t="str">
        <f>IF(K637=0,"0,00% ",(K637-J637)/K637)</f>
        <v xml:space="preserve">0,00% </v>
      </c>
      <c r="M637" s="499">
        <v>21290.93</v>
      </c>
      <c r="N637" s="512">
        <f>IF(M637=0,"0,00% ",(M637-K637)/M637)</f>
        <v>1</v>
      </c>
      <c r="O637" s="499">
        <v>573.5</v>
      </c>
      <c r="P637" s="512">
        <f>IF(O637=0,"0,00% ",(O637-M637)/O637)</f>
        <v>-36.124551002615519</v>
      </c>
      <c r="Q637" s="484">
        <f>IF(O637=0,"R$0,0",(J637+K637+M637+O637)/4)</f>
        <v>5611.1075000000001</v>
      </c>
      <c r="R637" s="495">
        <f>IF(P637=0,"R$0,0%",(L637+N637+P637)/3)</f>
        <v>-11.708183667538506</v>
      </c>
    </row>
    <row r="638" spans="3:18" ht="14.1" customHeight="1" x14ac:dyDescent="0.25">
      <c r="J638" s="499"/>
      <c r="K638" s="499"/>
      <c r="M638" s="499"/>
      <c r="O638" s="499"/>
    </row>
    <row r="639" spans="3:18" ht="14.1" customHeight="1" x14ac:dyDescent="0.2">
      <c r="C639" s="483" t="s">
        <v>6379</v>
      </c>
      <c r="I639" s="506" t="s">
        <v>5159</v>
      </c>
      <c r="J639" s="499">
        <v>0</v>
      </c>
      <c r="K639" s="499">
        <v>0</v>
      </c>
      <c r="L639" s="512" t="str">
        <f>IF(K639=0,"0,00% ",(K639-J639)/K639)</f>
        <v xml:space="preserve">0,00% </v>
      </c>
      <c r="M639" s="499">
        <v>0</v>
      </c>
      <c r="N639" s="512" t="str">
        <f>IF(M639=0,"0,00% ",(M639-K639)/M639)</f>
        <v xml:space="preserve">0,00% </v>
      </c>
      <c r="O639" s="499">
        <v>0</v>
      </c>
      <c r="P639" s="512" t="str">
        <f>IF(O639=0,"0,00% ",(O639-M639)/O639)</f>
        <v xml:space="preserve">0,00% </v>
      </c>
      <c r="Q639" s="484" t="str">
        <f>IF(O639=0,"R$0,0",(J639+K639+M639+O639)/4)</f>
        <v>R$0,0</v>
      </c>
      <c r="R639" s="495">
        <f>IF(P639=0,"R$0,0%",(L639+N639+P639)/3)</f>
        <v>0</v>
      </c>
    </row>
    <row r="640" spans="3:18" ht="14.1" customHeight="1" x14ac:dyDescent="0.25">
      <c r="J640" s="499"/>
      <c r="K640" s="499"/>
      <c r="M640" s="499"/>
      <c r="O640" s="499"/>
    </row>
    <row r="641" spans="3:18" ht="14.1" customHeight="1" x14ac:dyDescent="0.2">
      <c r="C641" s="483" t="s">
        <v>6380</v>
      </c>
      <c r="I641" s="506" t="s">
        <v>1261</v>
      </c>
      <c r="J641" s="499">
        <v>984.09</v>
      </c>
      <c r="K641" s="499">
        <v>2490.17</v>
      </c>
      <c r="L641" s="512">
        <f>IF(K641=0,"0,00% ",(K641-J641)/K641)</f>
        <v>0.60481011336575408</v>
      </c>
      <c r="M641" s="499">
        <v>22795.53</v>
      </c>
      <c r="N641" s="512">
        <f>IF(M641=0,"0,00% ",(M641-K641)/M641)</f>
        <v>0.89076060087218856</v>
      </c>
      <c r="O641" s="499">
        <v>19984</v>
      </c>
      <c r="P641" s="512">
        <f>IF(O641=0,"0,00% ",(O641-M641)/O641)</f>
        <v>-0.14068905124099274</v>
      </c>
      <c r="Q641" s="484">
        <f>IF(O641=0,"R$0,0",(J641+K641+M641+O641)/4)</f>
        <v>11563.4475</v>
      </c>
      <c r="R641" s="495">
        <f>IF(P641=0,"R$0,0%",(L641+N641+P641)/3)</f>
        <v>0.45162722099898334</v>
      </c>
    </row>
    <row r="642" spans="3:18" ht="14.1" customHeight="1" x14ac:dyDescent="0.25">
      <c r="J642" s="499"/>
      <c r="K642" s="499"/>
      <c r="M642" s="499"/>
      <c r="O642" s="499"/>
    </row>
    <row r="643" spans="3:18" ht="14.1" customHeight="1" x14ac:dyDescent="0.2">
      <c r="C643" s="483" t="s">
        <v>6381</v>
      </c>
      <c r="I643" s="506" t="s">
        <v>2203</v>
      </c>
      <c r="J643" s="499">
        <v>0</v>
      </c>
      <c r="K643" s="499">
        <v>0</v>
      </c>
      <c r="L643" s="512" t="str">
        <f>IF(K643=0,"0,00% ",(K643-J643)/K643)</f>
        <v xml:space="preserve">0,00% </v>
      </c>
      <c r="M643" s="499">
        <v>0</v>
      </c>
      <c r="N643" s="512" t="str">
        <f>IF(M643=0,"0,00% ",(M643-K643)/M643)</f>
        <v xml:space="preserve">0,00% </v>
      </c>
      <c r="O643" s="499">
        <v>0</v>
      </c>
      <c r="P643" s="512" t="str">
        <f>IF(O643=0,"0,00% ",(O643-M643)/O643)</f>
        <v xml:space="preserve">0,00% </v>
      </c>
      <c r="Q643" s="484" t="str">
        <f>IF(O643=0,"R$0,0",(J643+K643+M643+O643)/4)</f>
        <v>R$0,0</v>
      </c>
      <c r="R643" s="495">
        <f>IF(P643=0,"R$0,0%",(L643+N643+P643)/3)</f>
        <v>0</v>
      </c>
    </row>
    <row r="644" spans="3:18" ht="14.1" customHeight="1" x14ac:dyDescent="0.25">
      <c r="J644" s="499"/>
      <c r="K644" s="499"/>
      <c r="M644" s="499"/>
      <c r="O644" s="499"/>
    </row>
    <row r="645" spans="3:18" ht="14.1" customHeight="1" x14ac:dyDescent="0.2">
      <c r="C645" s="483" t="s">
        <v>6329</v>
      </c>
      <c r="I645" s="506" t="s">
        <v>5168</v>
      </c>
      <c r="J645" s="499">
        <f>152518.33-1564.09</f>
        <v>150954.23999999999</v>
      </c>
      <c r="K645" s="499">
        <v>133246.57</v>
      </c>
      <c r="L645" s="512">
        <f>IF(K645=0,"0,00% ",(K645-J645)/K645)</f>
        <v>-0.13289400244974398</v>
      </c>
      <c r="M645" s="499">
        <v>83250.820000000007</v>
      </c>
      <c r="N645" s="512">
        <f>IF(M645=0,"0,00% ",(M645-K645)/M645)</f>
        <v>-0.60054363428492352</v>
      </c>
      <c r="O645" s="499">
        <v>44383.14</v>
      </c>
      <c r="P645" s="512">
        <f>IF(O645=0,"0,00% ",(O645-M645)/O645)</f>
        <v>-0.87573073919510891</v>
      </c>
      <c r="Q645" s="484">
        <f>IF(O645=0,"R$0,0",(J645+K645+M645+O645)/4)</f>
        <v>102958.6925</v>
      </c>
      <c r="R645" s="495">
        <f>IF(P645=0,"R$0,0%",(L645+N645+P645)/3)</f>
        <v>-0.53638945864325882</v>
      </c>
    </row>
    <row r="646" spans="3:18" ht="14.1" customHeight="1" x14ac:dyDescent="0.25">
      <c r="J646" s="499"/>
      <c r="K646" s="499"/>
      <c r="M646" s="499"/>
      <c r="O646" s="499"/>
    </row>
    <row r="647" spans="3:18" s="492" customFormat="1" ht="14.1" customHeight="1" x14ac:dyDescent="0.25">
      <c r="C647" s="492" t="s">
        <v>6243</v>
      </c>
      <c r="I647" s="500" t="s">
        <v>1044</v>
      </c>
      <c r="J647" s="501">
        <f>J649+J651+J653</f>
        <v>12987.42</v>
      </c>
      <c r="K647" s="501">
        <f>K649+K651+K653</f>
        <v>15379.7</v>
      </c>
      <c r="L647" s="489">
        <f>IF(K647=0,"0,00% ",(K647-J647)/K647)</f>
        <v>0.15554789755326831</v>
      </c>
      <c r="M647" s="501">
        <f>M649+M651+M653</f>
        <v>3681.85</v>
      </c>
      <c r="N647" s="489">
        <f>IF(M647=0,"0,00% ",(M647-K647)/M647)</f>
        <v>-3.1771663701671717</v>
      </c>
      <c r="O647" s="501">
        <f>O649+O651+O653</f>
        <v>8251.119999999999</v>
      </c>
      <c r="P647" s="489">
        <f>IF(O647=0,"0,00% ",(O647-M647)/O647)</f>
        <v>0.55377572984031254</v>
      </c>
      <c r="Q647" s="490">
        <f>IF(O647=0,"R$0,0",(J647+K647+M647+O647)/4)</f>
        <v>10075.022499999999</v>
      </c>
      <c r="R647" s="491">
        <f>IF(P647=0,"R$0,0%",(L647+N647+P647)/3)</f>
        <v>-0.82261424759119695</v>
      </c>
    </row>
    <row r="648" spans="3:18" ht="14.1" customHeight="1" x14ac:dyDescent="0.25">
      <c r="J648" s="499"/>
      <c r="K648" s="499"/>
      <c r="M648" s="499"/>
      <c r="O648" s="499"/>
    </row>
    <row r="649" spans="3:18" ht="14.1" customHeight="1" x14ac:dyDescent="0.2">
      <c r="C649" s="483" t="s">
        <v>6306</v>
      </c>
      <c r="I649" s="506" t="s">
        <v>5170</v>
      </c>
      <c r="J649" s="499">
        <v>0</v>
      </c>
      <c r="K649" s="499">
        <v>0</v>
      </c>
      <c r="L649" s="512" t="str">
        <f>IF(K649=0,"0,00% ",(K649-J649)/K649)</f>
        <v xml:space="preserve">0,00% </v>
      </c>
      <c r="M649" s="499">
        <v>0</v>
      </c>
      <c r="N649" s="512" t="str">
        <f>IF(M649=0,"0,00% ",(M649-K649)/M649)</f>
        <v xml:space="preserve">0,00% </v>
      </c>
      <c r="O649" s="499">
        <v>280.75</v>
      </c>
      <c r="P649" s="512">
        <f>IF(O649=0,"0,00% ",(O649-M649)/O649)</f>
        <v>1</v>
      </c>
      <c r="Q649" s="484">
        <f>IF(O649=0,"R$0,0",(J649+K649+M649+O649)/4)</f>
        <v>70.1875</v>
      </c>
      <c r="R649" s="495">
        <f>IF(P649=0,"R$0,0%",(L649+N649+P649)/3)</f>
        <v>0.33333333333333331</v>
      </c>
    </row>
    <row r="650" spans="3:18" ht="14.1" customHeight="1" x14ac:dyDescent="0.25">
      <c r="J650" s="499"/>
      <c r="K650" s="499"/>
      <c r="M650" s="499"/>
      <c r="O650" s="499"/>
    </row>
    <row r="651" spans="3:18" ht="14.1" customHeight="1" x14ac:dyDescent="0.2">
      <c r="C651" s="483" t="s">
        <v>6382</v>
      </c>
      <c r="I651" s="506" t="s">
        <v>1043</v>
      </c>
      <c r="J651" s="499">
        <v>12987.42</v>
      </c>
      <c r="K651" s="499">
        <v>15379.7</v>
      </c>
      <c r="L651" s="512">
        <f>IF(K651=0,"0,00% ",(K651-J651)/K651)</f>
        <v>0.15554789755326831</v>
      </c>
      <c r="M651" s="499">
        <v>0</v>
      </c>
      <c r="N651" s="512" t="str">
        <f>IF(M651=0,"0,00% ",(M651-K651)/M651)</f>
        <v xml:space="preserve">0,00% </v>
      </c>
      <c r="O651" s="499">
        <v>0</v>
      </c>
      <c r="P651" s="512" t="str">
        <f>IF(O651=0,"0,00% ",(O651-M651)/O651)</f>
        <v xml:space="preserve">0,00% </v>
      </c>
      <c r="Q651" s="484" t="str">
        <f>IF(O651=0,"R$0,0",(J651+K651+M651+O651)/4)</f>
        <v>R$0,0</v>
      </c>
      <c r="R651" s="495">
        <f>IF(P651=0,"R$0,0%",(L651+N651+P651)/3)</f>
        <v>5.184929918442277E-2</v>
      </c>
    </row>
    <row r="652" spans="3:18" ht="14.1" customHeight="1" x14ac:dyDescent="0.25">
      <c r="J652" s="499"/>
      <c r="K652" s="499"/>
      <c r="M652" s="499"/>
      <c r="O652" s="499"/>
    </row>
    <row r="653" spans="3:18" ht="14.1" customHeight="1" x14ac:dyDescent="0.2">
      <c r="C653" s="483" t="s">
        <v>6383</v>
      </c>
      <c r="I653" s="506" t="s">
        <v>5175</v>
      </c>
      <c r="J653" s="499">
        <v>0</v>
      </c>
      <c r="K653" s="499">
        <v>0</v>
      </c>
      <c r="L653" s="512" t="str">
        <f>IF(K653=0,"0,00% ",(K653-J653)/K653)</f>
        <v xml:space="preserve">0,00% </v>
      </c>
      <c r="M653" s="499">
        <v>3681.85</v>
      </c>
      <c r="N653" s="512">
        <f>IF(M653=0,"0,00% ",(M653-K653)/M653)</f>
        <v>1</v>
      </c>
      <c r="O653" s="499">
        <v>7970.37</v>
      </c>
      <c r="P653" s="512">
        <f>IF(O653=0,"0,00% ",(O653-M653)/O653)</f>
        <v>0.53805783169413723</v>
      </c>
      <c r="Q653" s="484">
        <f>IF(O653=0,"R$0,0",(J653+K653+M653+O653)/4)</f>
        <v>2913.0549999999998</v>
      </c>
      <c r="R653" s="495">
        <f>IF(P653=0,"R$0,0%",(L653+N653+P653)/3)</f>
        <v>0.51268594389804578</v>
      </c>
    </row>
    <row r="654" spans="3:18" ht="14.1" customHeight="1" x14ac:dyDescent="0.25">
      <c r="J654" s="499"/>
      <c r="K654" s="499"/>
      <c r="M654" s="499"/>
      <c r="O654" s="499"/>
    </row>
    <row r="655" spans="3:18" s="492" customFormat="1" ht="14.1" customHeight="1" x14ac:dyDescent="0.25">
      <c r="C655" s="492" t="s">
        <v>6254</v>
      </c>
      <c r="I655" s="500" t="s">
        <v>1260</v>
      </c>
      <c r="J655" s="501">
        <f>J657</f>
        <v>14111.16</v>
      </c>
      <c r="K655" s="501">
        <f>K657</f>
        <v>16246.23</v>
      </c>
      <c r="L655" s="489">
        <f>IF(K655=0,"0,00% ",(K655-J655)/K655)</f>
        <v>0.13141941238059537</v>
      </c>
      <c r="M655" s="501">
        <f>M657</f>
        <v>17175.599999999999</v>
      </c>
      <c r="N655" s="489">
        <f>IF(M655=0,"0,00% ",(M655-K655)/M655)</f>
        <v>5.4109900090826467E-2</v>
      </c>
      <c r="O655" s="501">
        <f>O657</f>
        <v>13048.72</v>
      </c>
      <c r="P655" s="489">
        <f>IF(O655=0,"0,00% ",(O655-M655)/O655)</f>
        <v>-0.31626703615373764</v>
      </c>
      <c r="Q655" s="490">
        <f>IF(O655=0,"R$0,0",(J655+K655+M655+O655)/4)</f>
        <v>15145.4275</v>
      </c>
      <c r="R655" s="491">
        <f>IF(P655=0,"R$0,0%",(L655+N655+P655)/3)</f>
        <v>-4.3579241227438593E-2</v>
      </c>
    </row>
    <row r="656" spans="3:18" ht="14.1" customHeight="1" x14ac:dyDescent="0.25">
      <c r="J656" s="499"/>
      <c r="K656" s="499"/>
      <c r="M656" s="499"/>
      <c r="O656" s="499"/>
    </row>
    <row r="657" spans="3:18" ht="14.1" customHeight="1" x14ac:dyDescent="0.2">
      <c r="C657" s="483" t="s">
        <v>6384</v>
      </c>
      <c r="I657" s="506" t="s">
        <v>1259</v>
      </c>
      <c r="J657" s="499">
        <v>14111.16</v>
      </c>
      <c r="K657" s="499">
        <v>16246.23</v>
      </c>
      <c r="L657" s="512">
        <f>IF(K657=0,"0,00% ",(K657-J657)/K657)</f>
        <v>0.13141941238059537</v>
      </c>
      <c r="M657" s="499">
        <v>17175.599999999999</v>
      </c>
      <c r="N657" s="512">
        <f>IF(M657=0,"0,00% ",(M657-K657)/M657)</f>
        <v>5.4109900090826467E-2</v>
      </c>
      <c r="O657" s="499">
        <v>13048.72</v>
      </c>
      <c r="P657" s="512">
        <f>IF(O657=0,"0,00% ",(O657-M657)/O657)</f>
        <v>-0.31626703615373764</v>
      </c>
      <c r="Q657" s="484">
        <f>IF(O657=0,"R$0,0",(J657+K657+M657+O657)/4)</f>
        <v>15145.4275</v>
      </c>
      <c r="R657" s="495">
        <f>IF(P657=0,"R$0,0%",(L657+N657+P657)/3)</f>
        <v>-4.3579241227438593E-2</v>
      </c>
    </row>
    <row r="658" spans="3:18" ht="14.1" customHeight="1" x14ac:dyDescent="0.25">
      <c r="J658" s="499"/>
      <c r="K658" s="499"/>
      <c r="M658" s="499"/>
      <c r="O658" s="499"/>
    </row>
    <row r="659" spans="3:18" s="492" customFormat="1" ht="14.1" customHeight="1" x14ac:dyDescent="0.25">
      <c r="C659" s="492" t="s">
        <v>6244</v>
      </c>
      <c r="I659" s="500" t="s">
        <v>993</v>
      </c>
      <c r="J659" s="501">
        <f>J661+J663+J665+J667+J669+J671+J673+J675+J677</f>
        <v>305933.40999999997</v>
      </c>
      <c r="K659" s="501">
        <f>K661+K663+K665+K667+K669+K671+K673+K675+K677</f>
        <v>186915.84</v>
      </c>
      <c r="L659" s="489">
        <f>IF(K659=0,"0,00% ",(K659-J659)/K659)</f>
        <v>-0.63674416250650545</v>
      </c>
      <c r="M659" s="501">
        <f>M661+M663+M665+M667+M669+M671+M673+M675+M677</f>
        <v>276182.18</v>
      </c>
      <c r="N659" s="489">
        <f>IF(M659=0,"0,00% ",(M659-K659)/M659)</f>
        <v>0.32321542251567426</v>
      </c>
      <c r="O659" s="501">
        <f>O661+O663+O665+O667+O669+O671+O673+O675+O677</f>
        <v>156567.25</v>
      </c>
      <c r="P659" s="489">
        <f>IF(O659=0,"0,00% ",(O659-M659)/O659)</f>
        <v>-0.76398435815919352</v>
      </c>
      <c r="Q659" s="490">
        <f>IF(O659=0,"R$0,0",(J659+K659+M659+O659)/4)</f>
        <v>231399.66999999998</v>
      </c>
      <c r="R659" s="491">
        <f>IF(P659=0,"R$0,0%",(L659+N659+P659)/3)</f>
        <v>-0.35917103271667489</v>
      </c>
    </row>
    <row r="660" spans="3:18" ht="14.1" customHeight="1" x14ac:dyDescent="0.25">
      <c r="J660" s="499"/>
      <c r="K660" s="499"/>
      <c r="M660" s="499"/>
      <c r="O660" s="499"/>
    </row>
    <row r="661" spans="3:18" ht="14.1" customHeight="1" x14ac:dyDescent="0.2">
      <c r="C661" s="483" t="s">
        <v>6281</v>
      </c>
      <c r="I661" s="506" t="s">
        <v>1151</v>
      </c>
      <c r="J661" s="499">
        <v>0</v>
      </c>
      <c r="K661" s="499">
        <v>0</v>
      </c>
      <c r="L661" s="512" t="str">
        <f>IF(K661=0,"0,00% ",(K661-J661)/K661)</f>
        <v xml:space="preserve">0,00% </v>
      </c>
      <c r="M661" s="499">
        <v>123162</v>
      </c>
      <c r="N661" s="512">
        <f>IF(M661=0,"0,00% ",(M661-K661)/M661)</f>
        <v>1</v>
      </c>
      <c r="O661" s="499">
        <v>18441.240000000002</v>
      </c>
      <c r="P661" s="512">
        <f>IF(O661=0,"0,00% ",(O661-M661)/O661)</f>
        <v>-5.6786181406456393</v>
      </c>
      <c r="Q661" s="484">
        <f>IF(O661=0,"R$0,0",(J661+K661+M661+O661)/4)</f>
        <v>35400.81</v>
      </c>
      <c r="R661" s="495">
        <f>IF(P661=0,"R$0,0%",(L661+N661+P661)/3)</f>
        <v>-1.5595393802152131</v>
      </c>
    </row>
    <row r="662" spans="3:18" ht="14.1" customHeight="1" x14ac:dyDescent="0.25">
      <c r="J662" s="499"/>
      <c r="K662" s="499"/>
      <c r="M662" s="499"/>
      <c r="O662" s="499"/>
    </row>
    <row r="663" spans="3:18" ht="14.1" customHeight="1" x14ac:dyDescent="0.2">
      <c r="C663" s="483" t="s">
        <v>6282</v>
      </c>
      <c r="I663" s="506" t="s">
        <v>1026</v>
      </c>
      <c r="J663" s="499">
        <v>81929.11</v>
      </c>
      <c r="K663" s="499">
        <v>92504.11</v>
      </c>
      <c r="L663" s="512">
        <f>IF(K663=0,"0,00% ",(K663-J663)/K663)</f>
        <v>0.11431924484220214</v>
      </c>
      <c r="M663" s="499">
        <v>76509.94</v>
      </c>
      <c r="N663" s="512">
        <f>IF(M663=0,"0,00% ",(M663-K663)/M663)</f>
        <v>-0.20904695520608169</v>
      </c>
      <c r="O663" s="499">
        <v>62795.01</v>
      </c>
      <c r="P663" s="512">
        <f>IF(O663=0,"0,00% ",(O663-M663)/O663)</f>
        <v>-0.21840795948595279</v>
      </c>
      <c r="Q663" s="484">
        <f>IF(O663=0,"R$0,0",(J663+K663+M663+O663)/4)</f>
        <v>78434.542499999996</v>
      </c>
      <c r="R663" s="495">
        <f>IF(P663=0,"R$0,0%",(L663+N663+P663)/3)</f>
        <v>-0.10437855661661077</v>
      </c>
    </row>
    <row r="664" spans="3:18" ht="14.1" customHeight="1" x14ac:dyDescent="0.25">
      <c r="I664" s="483" t="s">
        <v>903</v>
      </c>
      <c r="J664" s="499"/>
      <c r="K664" s="499"/>
      <c r="M664" s="499"/>
      <c r="O664" s="499"/>
    </row>
    <row r="665" spans="3:18" ht="14.1" customHeight="1" x14ac:dyDescent="0.2">
      <c r="C665" s="483" t="s">
        <v>6385</v>
      </c>
      <c r="I665" s="506" t="s">
        <v>5194</v>
      </c>
      <c r="J665" s="499">
        <v>0</v>
      </c>
      <c r="K665" s="499">
        <v>0</v>
      </c>
      <c r="L665" s="512" t="str">
        <f>IF(K665=0,"0,00% ",(K665-J665)/K665)</f>
        <v xml:space="preserve">0,00% </v>
      </c>
      <c r="M665" s="499">
        <v>0</v>
      </c>
      <c r="N665" s="512" t="str">
        <f>IF(M665=0,"0,00% ",(M665-K665)/M665)</f>
        <v xml:space="preserve">0,00% </v>
      </c>
      <c r="O665" s="499">
        <v>250</v>
      </c>
      <c r="P665" s="512">
        <f>IF(O665=0,"0,00% ",(O665-M665)/O665)</f>
        <v>1</v>
      </c>
      <c r="Q665" s="484">
        <f>IF(O665=0,"R$0,0",(J665+K665+M665+O665)/4)</f>
        <v>62.5</v>
      </c>
      <c r="R665" s="495">
        <f>IF(P665=0,"R$0,0%",(L665+N665+P665)/3)</f>
        <v>0.33333333333333331</v>
      </c>
    </row>
    <row r="666" spans="3:18" ht="14.1" customHeight="1" x14ac:dyDescent="0.25">
      <c r="J666" s="499"/>
      <c r="K666" s="499"/>
      <c r="M666" s="499"/>
      <c r="O666" s="499"/>
    </row>
    <row r="667" spans="3:18" ht="14.1" customHeight="1" x14ac:dyDescent="0.2">
      <c r="C667" s="483" t="s">
        <v>6319</v>
      </c>
      <c r="I667" s="506" t="s">
        <v>6386</v>
      </c>
      <c r="J667" s="499">
        <v>0</v>
      </c>
      <c r="K667" s="499">
        <v>0</v>
      </c>
      <c r="L667" s="512" t="str">
        <f>IF(K667=0,"0,00% ",(K667-J667)/K667)</f>
        <v xml:space="preserve">0,00% </v>
      </c>
      <c r="M667" s="499">
        <v>0</v>
      </c>
      <c r="N667" s="512" t="str">
        <f>IF(M667=0,"0,00% ",(M667-K667)/M667)</f>
        <v xml:space="preserve">0,00% </v>
      </c>
      <c r="O667" s="499">
        <v>1050</v>
      </c>
      <c r="P667" s="512">
        <f>IF(O667=0,"0,00% ",(O667-M667)/O667)</f>
        <v>1</v>
      </c>
      <c r="Q667" s="484">
        <f>IF(O667=0,"R$0,0",(J667+K667+M667+O667)/4)</f>
        <v>262.5</v>
      </c>
      <c r="R667" s="495">
        <f>IF(P667=0,"R$0,0%",(L667+N667+P667)/3)</f>
        <v>0.33333333333333331</v>
      </c>
    </row>
    <row r="668" spans="3:18" ht="14.1" customHeight="1" x14ac:dyDescent="0.25">
      <c r="J668" s="499"/>
      <c r="K668" s="499"/>
      <c r="M668" s="499"/>
      <c r="O668" s="499"/>
    </row>
    <row r="669" spans="3:18" ht="14.1" customHeight="1" x14ac:dyDescent="0.2">
      <c r="C669" s="483" t="s">
        <v>6313</v>
      </c>
      <c r="I669" s="506" t="s">
        <v>5206</v>
      </c>
      <c r="J669" s="499">
        <v>0</v>
      </c>
      <c r="K669" s="499">
        <v>0</v>
      </c>
      <c r="L669" s="512" t="str">
        <f>IF(K669=0,"0,00% ",(K669-J669)/K669)</f>
        <v xml:space="preserve">0,00% </v>
      </c>
      <c r="M669" s="499">
        <v>616</v>
      </c>
      <c r="N669" s="512">
        <f t="shared" ref="N669:P671" si="2">IF(M669=0,"0,00% ",(M669-K669)/M669)</f>
        <v>1</v>
      </c>
      <c r="O669" s="499">
        <v>65</v>
      </c>
      <c r="P669" s="512">
        <f t="shared" si="2"/>
        <v>-8.476923076923077</v>
      </c>
      <c r="Q669" s="484">
        <f>IF(O669=0,"R$0,0",(J669+K669+M669+O669)/4)</f>
        <v>170.25</v>
      </c>
      <c r="R669" s="495">
        <f>IF(P669=0,"R$0,0%",(L669+N669+P669)/3)</f>
        <v>-2.4923076923076923</v>
      </c>
    </row>
    <row r="670" spans="3:18" ht="14.1" customHeight="1" x14ac:dyDescent="0.25">
      <c r="J670" s="499"/>
      <c r="K670" s="499"/>
      <c r="M670" s="499"/>
      <c r="O670" s="499"/>
    </row>
    <row r="671" spans="3:18" ht="14.1" customHeight="1" x14ac:dyDescent="0.2">
      <c r="C671" s="483" t="s">
        <v>6283</v>
      </c>
      <c r="I671" s="506" t="s">
        <v>2205</v>
      </c>
      <c r="J671" s="499">
        <v>0</v>
      </c>
      <c r="K671" s="499">
        <v>0</v>
      </c>
      <c r="L671" s="512" t="str">
        <f>IF(K671=0,"0,00% ",(K671-J671)/K671)</f>
        <v xml:space="preserve">0,00% </v>
      </c>
      <c r="M671" s="499">
        <v>462</v>
      </c>
      <c r="N671" s="512">
        <f t="shared" si="2"/>
        <v>1</v>
      </c>
      <c r="O671" s="499">
        <v>623</v>
      </c>
      <c r="P671" s="512">
        <f t="shared" si="2"/>
        <v>0.25842696629213485</v>
      </c>
      <c r="Q671" s="484">
        <f>IF(O671=0,"R$0,0",(J671+K671+M671+O671)/4)</f>
        <v>271.25</v>
      </c>
      <c r="R671" s="495">
        <f>IF(P671=0,"R$0,0%",(L671+N671+P671)/3)</f>
        <v>0.41947565543071158</v>
      </c>
    </row>
    <row r="672" spans="3:18" ht="14.1" customHeight="1" x14ac:dyDescent="0.25">
      <c r="J672" s="499"/>
      <c r="K672" s="499"/>
      <c r="M672" s="499"/>
      <c r="O672" s="499"/>
    </row>
    <row r="673" spans="3:18" ht="14.1" customHeight="1" x14ac:dyDescent="0.2">
      <c r="C673" s="483" t="s">
        <v>6387</v>
      </c>
      <c r="I673" s="506" t="s">
        <v>1042</v>
      </c>
      <c r="J673" s="499">
        <v>0</v>
      </c>
      <c r="K673" s="499">
        <v>0</v>
      </c>
      <c r="L673" s="512" t="str">
        <f>IF(K673=0,"0,00% ",(K673-J673)/K673)</f>
        <v xml:space="preserve">0,00% </v>
      </c>
      <c r="M673" s="499">
        <v>0</v>
      </c>
      <c r="N673" s="512" t="str">
        <f>IF(M673=0,"0,00% ",(M673-K673)/M673)</f>
        <v xml:space="preserve">0,00% </v>
      </c>
      <c r="O673" s="499">
        <v>0</v>
      </c>
      <c r="P673" s="512" t="str">
        <f>IF(O673=0,"0,00% ",(O673-M673)/O673)</f>
        <v xml:space="preserve">0,00% </v>
      </c>
      <c r="Q673" s="484" t="str">
        <f>IF(O673=0,"R$0,0",(J673+K673+M673+O673)/4)</f>
        <v>R$0,0</v>
      </c>
      <c r="R673" s="495">
        <f>IF(P673=0,"R$0,0%",(L673+N673+P673)/3)</f>
        <v>0</v>
      </c>
    </row>
    <row r="674" spans="3:18" ht="14.1" customHeight="1" x14ac:dyDescent="0.25">
      <c r="J674" s="499"/>
      <c r="K674" s="499"/>
      <c r="M674" s="499"/>
      <c r="O674" s="499"/>
    </row>
    <row r="675" spans="3:18" ht="14.1" customHeight="1" x14ac:dyDescent="0.2">
      <c r="C675" s="483" t="s">
        <v>6322</v>
      </c>
      <c r="I675" s="506" t="s">
        <v>5210</v>
      </c>
      <c r="J675" s="499">
        <v>0</v>
      </c>
      <c r="K675" s="499">
        <v>0</v>
      </c>
      <c r="L675" s="512" t="str">
        <f>IF(K675=0,"0,00% ",(K675-J675)/K675)</f>
        <v xml:space="preserve">0,00% </v>
      </c>
      <c r="M675" s="499">
        <v>24738</v>
      </c>
      <c r="N675" s="512">
        <f t="shared" ref="N675:P677" si="3">IF(M675=0,"0,00% ",(M675-K675)/M675)</f>
        <v>1</v>
      </c>
      <c r="O675" s="499">
        <v>73343</v>
      </c>
      <c r="P675" s="512">
        <f t="shared" si="3"/>
        <v>0.66270809756895677</v>
      </c>
      <c r="Q675" s="484">
        <f>IF(O675=0,"R$0,0",(J675+K675+M675+O675)/4)</f>
        <v>24520.25</v>
      </c>
      <c r="R675" s="495">
        <f>IF(P675=0,"R$0,0%",(L675+N675+P675)/3)</f>
        <v>0.55423603252298559</v>
      </c>
    </row>
    <row r="676" spans="3:18" ht="14.1" customHeight="1" x14ac:dyDescent="0.25">
      <c r="I676" s="506"/>
      <c r="J676" s="499"/>
      <c r="K676" s="499"/>
      <c r="M676" s="499"/>
      <c r="O676" s="499"/>
    </row>
    <row r="677" spans="3:18" ht="14.1" customHeight="1" x14ac:dyDescent="0.2">
      <c r="C677" s="483" t="s">
        <v>6388</v>
      </c>
      <c r="I677" s="506" t="s">
        <v>1742</v>
      </c>
      <c r="J677" s="499">
        <f>210369.3+13635</f>
        <v>224004.3</v>
      </c>
      <c r="K677" s="499">
        <v>94411.73</v>
      </c>
      <c r="L677" s="512">
        <f>IF(K677=0,"0,00% ",(K677-J677)/K677)</f>
        <v>-1.3726320871357829</v>
      </c>
      <c r="M677" s="499">
        <f>14424.09+4635+29202.9+2432.25</f>
        <v>50694.240000000005</v>
      </c>
      <c r="N677" s="512">
        <f t="shared" si="3"/>
        <v>-0.86237588333506898</v>
      </c>
      <c r="O677" s="499">
        <v>0</v>
      </c>
      <c r="P677" s="512" t="str">
        <f t="shared" si="3"/>
        <v xml:space="preserve">0,00% </v>
      </c>
      <c r="Q677" s="484" t="str">
        <f>IF(O677=0,"R$0,0",(J677+K677+M677+O677)/4)</f>
        <v>R$0,0</v>
      </c>
      <c r="R677" s="495">
        <f>IF(P677=0,"R$0,0%",(L677+N677+P677)/3)</f>
        <v>-0.74500265682361722</v>
      </c>
    </row>
    <row r="678" spans="3:18" ht="14.1" customHeight="1" x14ac:dyDescent="0.25">
      <c r="J678" s="499"/>
      <c r="K678" s="499"/>
      <c r="M678" s="499"/>
      <c r="O678" s="499"/>
    </row>
    <row r="679" spans="3:18" s="492" customFormat="1" ht="14.1" customHeight="1" x14ac:dyDescent="0.25">
      <c r="C679" s="492" t="s">
        <v>6245</v>
      </c>
      <c r="I679" s="500" t="s">
        <v>6307</v>
      </c>
      <c r="J679" s="501">
        <f>J681+J683+J685+J687+J689+J691+J693+J695+J697+J701+J703+J705+J707+J709+J711+J713+J715+J717+J719+J721+J723+J725+J727+J729+J731+J733+J735+J737+J699</f>
        <v>2192789.2400000002</v>
      </c>
      <c r="K679" s="501">
        <f>K681+K683+K685+K687+K689+K691+K693+K695+K697+K701+K703+K705+K707+K709+K711+K713+K715+K717+K719+K721+K723+K725+K727+K729+K731+K733+K735+K737+K699</f>
        <v>3076189.54</v>
      </c>
      <c r="L679" s="489">
        <f>IF(K679=0,"0,00% ",(K679-J679)/K679)</f>
        <v>0.28717355953300583</v>
      </c>
      <c r="M679" s="501">
        <f>M681+M683+M685+M687+M689+M691+M693+M695+M697+M701+M703+M705+M707+M709+M711+M713+M715+M717+M719+M721+M723+M725+M727+M729+M731+M733+M735+M737+M699</f>
        <v>3173248.06</v>
      </c>
      <c r="N679" s="489">
        <f>IF(M679=0,"0,00% ",(M679-K679)/M679)</f>
        <v>3.0586489982759184E-2</v>
      </c>
      <c r="O679" s="501">
        <f>O681+O683+O685+O687+O689+O691+O693+O695+O697+O701+O703+O705+O707+O709+O711+O713+O715+O717+O719+O721+O723+O725+O727+O729+O731+O733+O735+O737+O699</f>
        <v>1627373.94</v>
      </c>
      <c r="P679" s="489">
        <f>IF(O679=0,"0,00% ",(O679-M679)/O679)</f>
        <v>-0.94991942663159534</v>
      </c>
      <c r="Q679" s="490">
        <f>IF(O679=0,"R$0,0",(J679+K679+M679+O679)/4)</f>
        <v>2517400.1949999998</v>
      </c>
      <c r="R679" s="491">
        <f>IF(P679=0,"R$0,0%",(L679+N679+P679)/3)</f>
        <v>-0.21071979237194341</v>
      </c>
    </row>
    <row r="680" spans="3:18" ht="14.1" customHeight="1" x14ac:dyDescent="0.25">
      <c r="J680" s="499"/>
      <c r="K680" s="499"/>
      <c r="M680" s="499"/>
      <c r="O680" s="499"/>
    </row>
    <row r="681" spans="3:18" ht="14.1" customHeight="1" x14ac:dyDescent="0.2">
      <c r="C681" s="483" t="s">
        <v>6284</v>
      </c>
      <c r="I681" s="506" t="s">
        <v>1054</v>
      </c>
      <c r="J681" s="499">
        <v>811.38</v>
      </c>
      <c r="K681" s="499">
        <v>929</v>
      </c>
      <c r="L681" s="512">
        <f>IF(K681=0,"0,00% ",(K681-J681)/K681)</f>
        <v>0.1266092572658773</v>
      </c>
      <c r="M681" s="499">
        <v>2191</v>
      </c>
      <c r="N681" s="512">
        <f t="shared" ref="N681:P683" si="4">IF(M681=0,"0,00% ",(M681-K681)/M681)</f>
        <v>0.57599269739844816</v>
      </c>
      <c r="O681" s="499">
        <v>1364</v>
      </c>
      <c r="P681" s="512">
        <f t="shared" si="4"/>
        <v>-0.60630498533724342</v>
      </c>
      <c r="Q681" s="484">
        <f>IF(O681=0,"R$0,0",(J681+K681+M681+O681)/4)</f>
        <v>1323.845</v>
      </c>
      <c r="R681" s="495">
        <f>IF(P681=0,"R$0,0%",(L681+N681+P681)/3)</f>
        <v>3.2098989775693997E-2</v>
      </c>
    </row>
    <row r="682" spans="3:18" ht="14.1" customHeight="1" x14ac:dyDescent="0.25">
      <c r="J682" s="499"/>
      <c r="K682" s="499"/>
      <c r="M682" s="499"/>
      <c r="O682" s="499"/>
    </row>
    <row r="683" spans="3:18" ht="14.1" customHeight="1" x14ac:dyDescent="0.2">
      <c r="C683" s="483" t="s">
        <v>6285</v>
      </c>
      <c r="I683" s="506" t="s">
        <v>1151</v>
      </c>
      <c r="J683" s="499">
        <v>12222</v>
      </c>
      <c r="K683" s="499">
        <v>14997</v>
      </c>
      <c r="L683" s="512">
        <f>IF(K683=0,"0,00% ",(K683-J683)/K683)</f>
        <v>0.1850370074014803</v>
      </c>
      <c r="M683" s="499">
        <v>126377.62</v>
      </c>
      <c r="N683" s="512">
        <f t="shared" si="4"/>
        <v>0.88133183707684948</v>
      </c>
      <c r="O683" s="499">
        <v>69962.679999999993</v>
      </c>
      <c r="P683" s="512">
        <f t="shared" si="4"/>
        <v>-0.80635761809010187</v>
      </c>
      <c r="Q683" s="484">
        <f>IF(O683=0,"R$0,0",(J683+K683+M683+O683)/4)</f>
        <v>55889.824999999997</v>
      </c>
      <c r="R683" s="495">
        <f>IF(P683=0,"R$0,0%",(L683+N683+P683)/3)</f>
        <v>8.6670408796075946E-2</v>
      </c>
    </row>
    <row r="684" spans="3:18" ht="14.1" customHeight="1" x14ac:dyDescent="0.25">
      <c r="J684" s="499"/>
      <c r="K684" s="499"/>
      <c r="M684" s="499"/>
      <c r="O684" s="499"/>
    </row>
    <row r="685" spans="3:18" ht="14.1" customHeight="1" x14ac:dyDescent="0.2">
      <c r="C685" s="483" t="s">
        <v>6389</v>
      </c>
      <c r="I685" s="506" t="s">
        <v>5230</v>
      </c>
      <c r="J685" s="499">
        <v>0</v>
      </c>
      <c r="K685" s="499">
        <v>0</v>
      </c>
      <c r="L685" s="512" t="str">
        <f>IF(K685=0,"0,00% ",(K685-J685)/K685)</f>
        <v xml:space="preserve">0,00% </v>
      </c>
      <c r="M685" s="499">
        <v>23626</v>
      </c>
      <c r="N685" s="512">
        <f t="shared" ref="N685:P687" si="5">IF(M685=0,"0,00% ",(M685-K685)/M685)</f>
        <v>1</v>
      </c>
      <c r="O685" s="499">
        <v>0</v>
      </c>
      <c r="P685" s="512" t="str">
        <f t="shared" si="5"/>
        <v xml:space="preserve">0,00% </v>
      </c>
      <c r="Q685" s="484" t="str">
        <f>IF(O685=0,"R$0,0",(J685+K685+M685+O685)/4)</f>
        <v>R$0,0</v>
      </c>
      <c r="R685" s="495">
        <f>IF(P685=0,"R$0,0%",(L685+N685+P685)/3)</f>
        <v>0.33333333333333331</v>
      </c>
    </row>
    <row r="686" spans="3:18" ht="14.1" customHeight="1" x14ac:dyDescent="0.25">
      <c r="J686" s="499"/>
      <c r="K686" s="499"/>
      <c r="M686" s="499"/>
      <c r="O686" s="499"/>
    </row>
    <row r="687" spans="3:18" ht="14.1" customHeight="1" x14ac:dyDescent="0.2">
      <c r="C687" s="483" t="s">
        <v>6298</v>
      </c>
      <c r="I687" s="506" t="s">
        <v>5241</v>
      </c>
      <c r="J687" s="499">
        <v>39065.4</v>
      </c>
      <c r="K687" s="499">
        <v>56126</v>
      </c>
      <c r="L687" s="512">
        <f>IF(K687=0,"0,00% ",(K687-J687)/K687)</f>
        <v>0.3039696397391583</v>
      </c>
      <c r="M687" s="499">
        <v>44643.15</v>
      </c>
      <c r="N687" s="512">
        <f t="shared" si="5"/>
        <v>-0.2572141526751584</v>
      </c>
      <c r="O687" s="499">
        <v>27473.1</v>
      </c>
      <c r="P687" s="512">
        <f t="shared" si="5"/>
        <v>-0.62497679548358231</v>
      </c>
      <c r="Q687" s="484">
        <f>IF(O687=0,"R$0,0",(J687+K687+M687+O687)/4)</f>
        <v>41826.912499999999</v>
      </c>
      <c r="R687" s="495">
        <f>IF(P687=0,"R$0,0%",(L687+N687+P687)/3)</f>
        <v>-0.1927404361398608</v>
      </c>
    </row>
    <row r="688" spans="3:18" ht="14.1" customHeight="1" x14ac:dyDescent="0.25">
      <c r="J688" s="499"/>
      <c r="K688" s="499"/>
      <c r="M688" s="499"/>
      <c r="O688" s="499"/>
    </row>
    <row r="689" spans="3:18" ht="14.1" customHeight="1" x14ac:dyDescent="0.2">
      <c r="C689" s="483" t="s">
        <v>6339</v>
      </c>
      <c r="I689" s="506" t="s">
        <v>5242</v>
      </c>
      <c r="J689" s="499">
        <v>0</v>
      </c>
      <c r="K689" s="499">
        <v>0</v>
      </c>
      <c r="L689" s="512" t="str">
        <f>IF(K689=0,"0,00% ",(K689-J689)/K689)</f>
        <v xml:space="preserve">0,00% </v>
      </c>
      <c r="M689" s="499">
        <v>0</v>
      </c>
      <c r="N689" s="512" t="str">
        <f t="shared" ref="N689:P691" si="6">IF(M689=0,"0,00% ",(M689-K689)/M689)</f>
        <v xml:space="preserve">0,00% </v>
      </c>
      <c r="O689" s="499">
        <v>5760</v>
      </c>
      <c r="P689" s="512">
        <f t="shared" si="6"/>
        <v>1</v>
      </c>
      <c r="Q689" s="484">
        <f>IF(O689=0,"R$0,0",(J689+K689+M689+O689)/4)</f>
        <v>1440</v>
      </c>
      <c r="R689" s="495">
        <f>IF(P689=0,"R$0,0%",(L689+N689+P689)/3)</f>
        <v>0.33333333333333331</v>
      </c>
    </row>
    <row r="690" spans="3:18" ht="14.1" customHeight="1" x14ac:dyDescent="0.25">
      <c r="J690" s="499"/>
      <c r="K690" s="499"/>
      <c r="M690" s="499"/>
      <c r="O690" s="499"/>
    </row>
    <row r="691" spans="3:18" ht="14.1" customHeight="1" x14ac:dyDescent="0.2">
      <c r="C691" s="483" t="s">
        <v>6390</v>
      </c>
      <c r="I691" s="506" t="s">
        <v>6391</v>
      </c>
      <c r="J691" s="499">
        <v>0</v>
      </c>
      <c r="K691" s="499">
        <v>0</v>
      </c>
      <c r="L691" s="512" t="str">
        <f>IF(K691=0,"0,00% ",(K691-J691)/K691)</f>
        <v xml:space="preserve">0,00% </v>
      </c>
      <c r="M691" s="499">
        <v>0</v>
      </c>
      <c r="N691" s="512" t="str">
        <f t="shared" si="6"/>
        <v xml:space="preserve">0,00% </v>
      </c>
      <c r="O691" s="499">
        <v>0</v>
      </c>
      <c r="P691" s="512" t="str">
        <f t="shared" si="6"/>
        <v xml:space="preserve">0,00% </v>
      </c>
      <c r="Q691" s="484" t="str">
        <f>IF(O691=0,"R$0,0",(J691+K691+M691+O691)/4)</f>
        <v>R$0,0</v>
      </c>
      <c r="R691" s="495">
        <f>IF(P691=0,"R$0,0%",(L691+N691+P691)/3)</f>
        <v>0</v>
      </c>
    </row>
    <row r="692" spans="3:18" ht="14.1" customHeight="1" x14ac:dyDescent="0.25">
      <c r="J692" s="499"/>
      <c r="K692" s="499"/>
      <c r="M692" s="499"/>
      <c r="O692" s="499"/>
    </row>
    <row r="693" spans="3:18" ht="14.1" customHeight="1" x14ac:dyDescent="0.2">
      <c r="C693" s="483" t="s">
        <v>6293</v>
      </c>
      <c r="I693" s="506" t="s">
        <v>6386</v>
      </c>
      <c r="J693" s="499">
        <v>0</v>
      </c>
      <c r="K693" s="499">
        <v>0</v>
      </c>
      <c r="L693" s="512" t="str">
        <f>IF(K693=0,"0,00% ",(K693-J693)/K693)</f>
        <v xml:space="preserve">0,00% </v>
      </c>
      <c r="M693" s="499">
        <v>13150.29</v>
      </c>
      <c r="N693" s="512">
        <f t="shared" ref="N693:P695" si="7">IF(M693=0,"0,00% ",(M693-K693)/M693)</f>
        <v>1</v>
      </c>
      <c r="O693" s="499">
        <v>5850</v>
      </c>
      <c r="P693" s="512">
        <f t="shared" si="7"/>
        <v>-1.2479128205128207</v>
      </c>
      <c r="Q693" s="484">
        <f>IF(O693=0,"R$0,0",(J693+K693+M693+O693)/4)</f>
        <v>4750.0725000000002</v>
      </c>
      <c r="R693" s="495">
        <f>IF(P693=0,"R$0,0%",(L693+N693+P693)/3)</f>
        <v>-8.2637606837606903E-2</v>
      </c>
    </row>
    <row r="694" spans="3:18" ht="14.1" customHeight="1" x14ac:dyDescent="0.25">
      <c r="J694" s="499"/>
      <c r="K694" s="499"/>
      <c r="M694" s="499"/>
      <c r="O694" s="499"/>
    </row>
    <row r="695" spans="3:18" ht="14.1" customHeight="1" x14ac:dyDescent="0.2">
      <c r="C695" s="483" t="s">
        <v>6392</v>
      </c>
      <c r="I695" s="506" t="s">
        <v>6393</v>
      </c>
      <c r="J695" s="499">
        <v>208590.7</v>
      </c>
      <c r="K695" s="499">
        <v>89333.43</v>
      </c>
      <c r="L695" s="512">
        <f>IF(K695=0,"0,00% ",(K695-J695)/K695)</f>
        <v>-1.3349679957435869</v>
      </c>
      <c r="M695" s="499">
        <v>47049.919999999998</v>
      </c>
      <c r="N695" s="512">
        <f t="shared" si="7"/>
        <v>-0.89869462052220273</v>
      </c>
      <c r="O695" s="499">
        <v>55143.61</v>
      </c>
      <c r="P695" s="512">
        <f t="shared" si="7"/>
        <v>0.14677475776431761</v>
      </c>
      <c r="Q695" s="484">
        <f>IF(O695=0,"R$0,0",(J695+K695+M695+O695)/4)</f>
        <v>100029.41499999999</v>
      </c>
      <c r="R695" s="495">
        <f>IF(P695=0,"R$0,0%",(L695+N695+P695)/3)</f>
        <v>-0.69562928616715736</v>
      </c>
    </row>
    <row r="696" spans="3:18" ht="14.1" customHeight="1" x14ac:dyDescent="0.25">
      <c r="J696" s="499"/>
      <c r="K696" s="499"/>
      <c r="M696" s="499"/>
      <c r="O696" s="499"/>
    </row>
    <row r="697" spans="3:18" ht="14.1" customHeight="1" x14ac:dyDescent="0.2">
      <c r="C697" s="483" t="s">
        <v>6394</v>
      </c>
      <c r="I697" s="506" t="s">
        <v>5194</v>
      </c>
      <c r="J697" s="499">
        <v>33793.040000000001</v>
      </c>
      <c r="K697" s="499">
        <v>52579.62</v>
      </c>
      <c r="L697" s="512">
        <f>IF(K697=0,"0,00% ",(K697-J697)/K697)</f>
        <v>0.35729775148622223</v>
      </c>
      <c r="M697" s="499">
        <v>38242.519999999997</v>
      </c>
      <c r="N697" s="512">
        <f t="shared" ref="N697:P699" si="8">IF(M697=0,"0,00% ",(M697-K697)/M697)</f>
        <v>-0.37489945746253139</v>
      </c>
      <c r="O697" s="499">
        <v>47862.65</v>
      </c>
      <c r="P697" s="512">
        <f t="shared" si="8"/>
        <v>0.20099451242252581</v>
      </c>
      <c r="Q697" s="484">
        <f>IF(O697=0,"R$0,0",(J697+K697+M697+O697)/4)</f>
        <v>43119.457499999997</v>
      </c>
      <c r="R697" s="495">
        <f>IF(P697=0,"R$0,0%",(L697+N697+P697)/3)</f>
        <v>6.1130935482072213E-2</v>
      </c>
    </row>
    <row r="698" spans="3:18" ht="14.1" customHeight="1" x14ac:dyDescent="0.25">
      <c r="J698" s="499"/>
      <c r="K698" s="499"/>
      <c r="M698" s="499"/>
      <c r="O698" s="499"/>
    </row>
    <row r="699" spans="3:18" ht="14.1" customHeight="1" x14ac:dyDescent="0.2">
      <c r="C699" s="483" t="s">
        <v>6446</v>
      </c>
      <c r="I699" s="506" t="s">
        <v>6447</v>
      </c>
      <c r="J699" s="499">
        <v>270</v>
      </c>
      <c r="K699" s="499">
        <v>197</v>
      </c>
      <c r="L699" s="512">
        <f>IF(K699=0,"0,00% ",(K699-J699)/K699)</f>
        <v>-0.37055837563451777</v>
      </c>
      <c r="M699" s="499">
        <v>65</v>
      </c>
      <c r="N699" s="512">
        <f t="shared" si="8"/>
        <v>-2.0307692307692307</v>
      </c>
      <c r="O699" s="499">
        <v>47862.65</v>
      </c>
      <c r="P699" s="512">
        <f t="shared" si="8"/>
        <v>0.99864194732218126</v>
      </c>
      <c r="Q699" s="484">
        <f>IF(O699=0,"R$0,0",(J699+K699+M699+O699)/4)</f>
        <v>12098.6625</v>
      </c>
      <c r="R699" s="495">
        <f>IF(P699=0,"R$0,0%",(L699+N699+P699)/3)</f>
        <v>-0.46756188636052237</v>
      </c>
    </row>
    <row r="700" spans="3:18" ht="14.1" customHeight="1" x14ac:dyDescent="0.25">
      <c r="J700" s="499"/>
      <c r="K700" s="499"/>
      <c r="M700" s="499"/>
      <c r="O700" s="499"/>
    </row>
    <row r="701" spans="3:18" ht="14.1" customHeight="1" x14ac:dyDescent="0.2">
      <c r="C701" s="483" t="s">
        <v>6310</v>
      </c>
      <c r="I701" s="506" t="s">
        <v>5290</v>
      </c>
      <c r="J701" s="499">
        <v>0</v>
      </c>
      <c r="K701" s="499">
        <v>0</v>
      </c>
      <c r="L701" s="512" t="str">
        <f>IF(K701=0,"0,00% ",(K701-J701)/K701)</f>
        <v xml:space="preserve">0,00% </v>
      </c>
      <c r="M701" s="499">
        <v>0</v>
      </c>
      <c r="N701" s="512" t="str">
        <f t="shared" ref="N701:P703" si="9">IF(M701=0,"0,00% ",(M701-K701)/M701)</f>
        <v xml:space="preserve">0,00% </v>
      </c>
      <c r="O701" s="499">
        <v>50555</v>
      </c>
      <c r="P701" s="512">
        <f t="shared" si="9"/>
        <v>1</v>
      </c>
      <c r="Q701" s="484">
        <f>IF(O701=0,"R$0,0",(J701+K701+M701+O701)/4)</f>
        <v>12638.75</v>
      </c>
      <c r="R701" s="495">
        <f>IF(P701=0,"R$0,0%",(L701+N701+P701)/3)</f>
        <v>0.33333333333333331</v>
      </c>
    </row>
    <row r="702" spans="3:18" ht="14.1" customHeight="1" x14ac:dyDescent="0.25">
      <c r="J702" s="499"/>
      <c r="K702" s="499"/>
      <c r="M702" s="499"/>
      <c r="O702" s="499"/>
    </row>
    <row r="703" spans="3:18" ht="14.1" customHeight="1" x14ac:dyDescent="0.2">
      <c r="C703" s="483" t="s">
        <v>6395</v>
      </c>
      <c r="I703" s="506" t="s">
        <v>5295</v>
      </c>
      <c r="J703" s="499">
        <v>0</v>
      </c>
      <c r="K703" s="499">
        <v>0</v>
      </c>
      <c r="L703" s="512" t="str">
        <f>IF(K703=0,"0,00% ",(K703-J703)/K703)</f>
        <v xml:space="preserve">0,00% </v>
      </c>
      <c r="M703" s="499">
        <v>0</v>
      </c>
      <c r="N703" s="512" t="str">
        <f t="shared" si="9"/>
        <v xml:space="preserve">0,00% </v>
      </c>
      <c r="O703" s="499">
        <v>1846.39</v>
      </c>
      <c r="P703" s="512">
        <f t="shared" si="9"/>
        <v>1</v>
      </c>
      <c r="Q703" s="484">
        <f>IF(O703=0,"R$0,0",(J703+K703+M703+O703)/4)</f>
        <v>461.59750000000003</v>
      </c>
      <c r="R703" s="495">
        <f>IF(P703=0,"R$0,0%",(L703+N703+P703)/3)</f>
        <v>0.33333333333333331</v>
      </c>
    </row>
    <row r="704" spans="3:18" ht="14.1" customHeight="1" x14ac:dyDescent="0.25">
      <c r="J704" s="499"/>
      <c r="K704" s="499"/>
      <c r="M704" s="499"/>
      <c r="O704" s="499"/>
    </row>
    <row r="705" spans="3:18" ht="14.1" customHeight="1" x14ac:dyDescent="0.2">
      <c r="C705" s="483" t="s">
        <v>6286</v>
      </c>
      <c r="I705" s="506" t="s">
        <v>1025</v>
      </c>
      <c r="J705" s="499">
        <v>107574.8</v>
      </c>
      <c r="K705" s="499">
        <v>94416.03</v>
      </c>
      <c r="L705" s="512">
        <f>IF(K705=0,"0,00% ",(K705-J705)/K705)</f>
        <v>-0.13937008366058184</v>
      </c>
      <c r="M705" s="499">
        <v>119770.81</v>
      </c>
      <c r="N705" s="512">
        <f t="shared" ref="N705:P707" si="10">IF(M705=0,"0,00% ",(M705-K705)/M705)</f>
        <v>0.21169415152156021</v>
      </c>
      <c r="O705" s="499">
        <v>93217.89</v>
      </c>
      <c r="P705" s="512">
        <f t="shared" si="10"/>
        <v>-0.2848478977586813</v>
      </c>
      <c r="Q705" s="484">
        <f>IF(O705=0,"R$0,0",(J705+K705+M705+O705)/4)</f>
        <v>103744.88250000001</v>
      </c>
      <c r="R705" s="495">
        <f>IF(P705=0,"R$0,0%",(L705+N705+P705)/3)</f>
        <v>-7.0841276632567646E-2</v>
      </c>
    </row>
    <row r="706" spans="3:18" ht="14.1" customHeight="1" x14ac:dyDescent="0.25">
      <c r="J706" s="499"/>
      <c r="K706" s="499"/>
      <c r="M706" s="499"/>
      <c r="O706" s="499"/>
    </row>
    <row r="707" spans="3:18" ht="14.1" customHeight="1" x14ac:dyDescent="0.2">
      <c r="C707" s="483" t="s">
        <v>6287</v>
      </c>
      <c r="I707" s="506" t="s">
        <v>1024</v>
      </c>
      <c r="J707" s="499">
        <v>16032.1</v>
      </c>
      <c r="K707" s="499">
        <v>17905.27</v>
      </c>
      <c r="L707" s="512">
        <f>IF(K707=0,"0,00% ",(K707-J707)/K707)</f>
        <v>0.10461556848905379</v>
      </c>
      <c r="M707" s="499">
        <v>18314.189999999999</v>
      </c>
      <c r="N707" s="512">
        <f t="shared" si="10"/>
        <v>2.2328041808018714E-2</v>
      </c>
      <c r="O707" s="499">
        <v>13967.97</v>
      </c>
      <c r="P707" s="512">
        <f t="shared" si="10"/>
        <v>-0.31115616657252265</v>
      </c>
      <c r="Q707" s="484">
        <f>IF(O707=0,"R$0,0",(J707+K707+M707+O707)/4)</f>
        <v>16554.8825</v>
      </c>
      <c r="R707" s="495">
        <f>IF(P707=0,"R$0,0%",(L707+N707+P707)/3)</f>
        <v>-6.1404185425150047E-2</v>
      </c>
    </row>
    <row r="708" spans="3:18" ht="14.1" customHeight="1" x14ac:dyDescent="0.25">
      <c r="J708" s="499"/>
      <c r="K708" s="499"/>
      <c r="M708" s="499"/>
      <c r="O708" s="499"/>
    </row>
    <row r="709" spans="3:18" ht="14.1" customHeight="1" x14ac:dyDescent="0.2">
      <c r="C709" s="483" t="s">
        <v>6396</v>
      </c>
      <c r="I709" s="506" t="s">
        <v>5208</v>
      </c>
      <c r="J709" s="499">
        <v>3212.57</v>
      </c>
      <c r="K709" s="499">
        <v>1569.44</v>
      </c>
      <c r="L709" s="512">
        <f>IF(K709=0,"0,00% ",(K709-J709)/K709)</f>
        <v>-1.0469530533183811</v>
      </c>
      <c r="M709" s="499">
        <v>5926.36</v>
      </c>
      <c r="N709" s="512">
        <f t="shared" ref="N709:P711" si="11">IF(M709=0,"0,00% ",(M709-K709)/M709)</f>
        <v>0.73517639832882242</v>
      </c>
      <c r="O709" s="499">
        <v>2153.7600000000002</v>
      </c>
      <c r="P709" s="512">
        <f t="shared" si="11"/>
        <v>-1.7516343510883288</v>
      </c>
      <c r="Q709" s="484">
        <f>IF(O709=0,"R$0,0",(J709+K709+M709+O709)/4)</f>
        <v>3215.5324999999998</v>
      </c>
      <c r="R709" s="495">
        <f>IF(P709=0,"R$0,0%",(L709+N709+P709)/3)</f>
        <v>-0.6878036686926291</v>
      </c>
    </row>
    <row r="710" spans="3:18" ht="14.1" customHeight="1" x14ac:dyDescent="0.25">
      <c r="J710" s="499"/>
      <c r="K710" s="499"/>
      <c r="M710" s="499"/>
      <c r="O710" s="499"/>
    </row>
    <row r="711" spans="3:18" ht="14.1" customHeight="1" x14ac:dyDescent="0.2">
      <c r="C711" s="483" t="s">
        <v>6288</v>
      </c>
      <c r="I711" s="506" t="s">
        <v>1042</v>
      </c>
      <c r="J711" s="499">
        <v>11101.8</v>
      </c>
      <c r="K711" s="499">
        <v>29509.56</v>
      </c>
      <c r="L711" s="512">
        <f>IF(K711=0,"0,00% ",(K711-J711)/K711)</f>
        <v>0.62378971424853513</v>
      </c>
      <c r="M711" s="499">
        <v>55341.65</v>
      </c>
      <c r="N711" s="512">
        <f t="shared" si="11"/>
        <v>0.46677484317869089</v>
      </c>
      <c r="O711" s="499">
        <v>19869.64</v>
      </c>
      <c r="P711" s="512">
        <f t="shared" si="11"/>
        <v>-1.7852366726322169</v>
      </c>
      <c r="Q711" s="484">
        <f>IF(O711=0,"R$0,0",(J711+K711+M711+O711)/4)</f>
        <v>28955.662500000002</v>
      </c>
      <c r="R711" s="495">
        <f>IF(P711=0,"R$0,0%",(L711+N711+P711)/3)</f>
        <v>-0.23155737173499694</v>
      </c>
    </row>
    <row r="712" spans="3:18" ht="14.1" customHeight="1" x14ac:dyDescent="0.25">
      <c r="J712" s="499"/>
      <c r="K712" s="499"/>
      <c r="M712" s="499"/>
      <c r="O712" s="499"/>
    </row>
    <row r="713" spans="3:18" ht="14.1" customHeight="1" x14ac:dyDescent="0.2">
      <c r="C713" s="483" t="s">
        <v>6323</v>
      </c>
      <c r="I713" s="506" t="s">
        <v>6397</v>
      </c>
      <c r="J713" s="499">
        <v>281309.78000000003</v>
      </c>
      <c r="K713" s="499">
        <v>508535.4</v>
      </c>
      <c r="L713" s="512">
        <f>IF(K713=0,"0,00% ",(K713-J713)/K713)</f>
        <v>0.44682360362720075</v>
      </c>
      <c r="M713" s="499">
        <v>335504.59000000003</v>
      </c>
      <c r="N713" s="512">
        <f t="shared" ref="N713:P715" si="12">IF(M713=0,"0,00% ",(M713-K713)/M713)</f>
        <v>-0.51573306344333469</v>
      </c>
      <c r="O713" s="499">
        <v>214776.36</v>
      </c>
      <c r="P713" s="512">
        <f t="shared" si="12"/>
        <v>-0.56211135154725622</v>
      </c>
      <c r="Q713" s="484">
        <f>IF(O713=0,"R$0,0",(J713+K713+M713+O713)/4)</f>
        <v>335031.53249999997</v>
      </c>
      <c r="R713" s="495">
        <f>IF(P713=0,"R$0,0%",(L713+N713+P713)/3)</f>
        <v>-0.21034027045446338</v>
      </c>
    </row>
    <row r="714" spans="3:18" ht="14.1" customHeight="1" x14ac:dyDescent="0.25">
      <c r="J714" s="499"/>
      <c r="K714" s="499"/>
      <c r="M714" s="499"/>
      <c r="O714" s="499"/>
    </row>
    <row r="715" spans="3:18" ht="14.1" customHeight="1" x14ac:dyDescent="0.2">
      <c r="C715" s="483" t="s">
        <v>6335</v>
      </c>
      <c r="I715" s="506" t="s">
        <v>5212</v>
      </c>
      <c r="J715" s="499">
        <v>0</v>
      </c>
      <c r="K715" s="499">
        <v>0</v>
      </c>
      <c r="L715" s="512" t="str">
        <f>IF(K715=0,"0,00% ",(K715-J715)/K715)</f>
        <v xml:space="preserve">0,00% </v>
      </c>
      <c r="M715" s="499">
        <v>108756</v>
      </c>
      <c r="N715" s="512">
        <f t="shared" si="12"/>
        <v>1</v>
      </c>
      <c r="O715" s="499">
        <v>12420</v>
      </c>
      <c r="P715" s="512">
        <f t="shared" si="12"/>
        <v>-7.7565217391304344</v>
      </c>
      <c r="Q715" s="484">
        <f>IF(O715=0,"R$0,0",(J715+K715+M715+O715)/4)</f>
        <v>30294</v>
      </c>
      <c r="R715" s="495">
        <f>IF(P715=0,"R$0,0%",(L715+N715+P715)/3)</f>
        <v>-2.2521739130434781</v>
      </c>
    </row>
    <row r="716" spans="3:18" ht="14.1" customHeight="1" x14ac:dyDescent="0.25">
      <c r="J716" s="499"/>
      <c r="K716" s="499"/>
      <c r="M716" s="499"/>
      <c r="O716" s="499"/>
    </row>
    <row r="717" spans="3:18" ht="14.1" customHeight="1" x14ac:dyDescent="0.2">
      <c r="C717" s="483" t="s">
        <v>6398</v>
      </c>
      <c r="I717" s="506" t="s">
        <v>6399</v>
      </c>
      <c r="J717" s="499">
        <v>0</v>
      </c>
      <c r="K717" s="499">
        <v>0</v>
      </c>
      <c r="L717" s="512" t="str">
        <f>IF(K717=0,"0,00% ",(K717-J717)/K717)</f>
        <v xml:space="preserve">0,00% </v>
      </c>
      <c r="M717" s="499">
        <v>3000</v>
      </c>
      <c r="N717" s="512">
        <f t="shared" ref="N717:P719" si="13">IF(M717=0,"0,00% ",(M717-K717)/M717)</f>
        <v>1</v>
      </c>
      <c r="O717" s="499">
        <v>335</v>
      </c>
      <c r="P717" s="512">
        <f t="shared" si="13"/>
        <v>-7.955223880597015</v>
      </c>
      <c r="Q717" s="484">
        <f>IF(O717=0,"R$0,0",(J717+K717+M717+O717)/4)</f>
        <v>833.75</v>
      </c>
      <c r="R717" s="495">
        <f>IF(P717=0,"R$0,0%",(L717+N717+P717)/3)</f>
        <v>-2.3184079601990049</v>
      </c>
    </row>
    <row r="718" spans="3:18" ht="14.1" customHeight="1" x14ac:dyDescent="0.25">
      <c r="J718" s="499"/>
      <c r="K718" s="499"/>
      <c r="M718" s="499"/>
      <c r="O718" s="499"/>
    </row>
    <row r="719" spans="3:18" ht="14.1" customHeight="1" x14ac:dyDescent="0.2">
      <c r="C719" s="483" t="s">
        <v>6400</v>
      </c>
      <c r="I719" s="506" t="s">
        <v>5306</v>
      </c>
      <c r="J719" s="499">
        <v>49051.7</v>
      </c>
      <c r="K719" s="499">
        <v>118173.42</v>
      </c>
      <c r="L719" s="512">
        <f>IF(K719=0,"0,00% ",(K719-J719)/K719)</f>
        <v>0.58491765745630453</v>
      </c>
      <c r="M719" s="499">
        <v>114461.32</v>
      </c>
      <c r="N719" s="512">
        <f t="shared" si="13"/>
        <v>-3.2431043080754188E-2</v>
      </c>
      <c r="O719" s="499">
        <v>74122.960000000006</v>
      </c>
      <c r="P719" s="512">
        <f t="shared" si="13"/>
        <v>-0.54420870402369248</v>
      </c>
      <c r="Q719" s="484">
        <f>IF(O719=0,"R$0,0",(J719+K719+M719+O719)/4)</f>
        <v>88952.35</v>
      </c>
      <c r="R719" s="495">
        <f>IF(P719=0,"R$0,0%",(L719+N719+P719)/3)</f>
        <v>2.7593034506192917E-3</v>
      </c>
    </row>
    <row r="720" spans="3:18" ht="14.1" customHeight="1" x14ac:dyDescent="0.25">
      <c r="J720" s="499"/>
      <c r="K720" s="499"/>
      <c r="M720" s="499"/>
      <c r="O720" s="499"/>
    </row>
    <row r="721" spans="3:18" ht="14.1" customHeight="1" x14ac:dyDescent="0.2">
      <c r="C721" s="483" t="s">
        <v>6289</v>
      </c>
      <c r="I721" s="506" t="s">
        <v>2188</v>
      </c>
      <c r="J721" s="499">
        <v>0</v>
      </c>
      <c r="K721" s="499">
        <v>0</v>
      </c>
      <c r="L721" s="512" t="str">
        <f>IF(K721=0,"0,00% ",(K721-J721)/K721)</f>
        <v xml:space="preserve">0,00% </v>
      </c>
      <c r="M721" s="499">
        <v>21474</v>
      </c>
      <c r="N721" s="512">
        <f t="shared" ref="N721:P723" si="14">IF(M721=0,"0,00% ",(M721-K721)/M721)</f>
        <v>1</v>
      </c>
      <c r="O721" s="499">
        <v>12447</v>
      </c>
      <c r="P721" s="512">
        <f t="shared" si="14"/>
        <v>-0.72523499638467104</v>
      </c>
      <c r="Q721" s="484">
        <f>IF(O721=0,"R$0,0",(J721+K721+M721+O721)/4)</f>
        <v>8480.25</v>
      </c>
      <c r="R721" s="495">
        <f>IF(P721=0,"R$0,0%",(L721+N721+P721)/3)</f>
        <v>9.1588334538442992E-2</v>
      </c>
    </row>
    <row r="722" spans="3:18" ht="14.1" customHeight="1" x14ac:dyDescent="0.25">
      <c r="J722" s="499"/>
      <c r="K722" s="499"/>
      <c r="M722" s="499"/>
      <c r="O722" s="499"/>
    </row>
    <row r="723" spans="3:18" ht="14.1" customHeight="1" x14ac:dyDescent="0.2">
      <c r="C723" s="483" t="s">
        <v>6401</v>
      </c>
      <c r="I723" s="506" t="s">
        <v>5315</v>
      </c>
      <c r="J723" s="499">
        <v>28496.78</v>
      </c>
      <c r="K723" s="499">
        <v>49839.24</v>
      </c>
      <c r="L723" s="512">
        <f>IF(K723=0,"0,00% ",(K723-J723)/K723)</f>
        <v>0.42822603233917694</v>
      </c>
      <c r="M723" s="499">
        <v>32542.42</v>
      </c>
      <c r="N723" s="512">
        <f t="shared" si="14"/>
        <v>-0.53151609499232078</v>
      </c>
      <c r="O723" s="499">
        <v>26406.94</v>
      </c>
      <c r="P723" s="512">
        <f t="shared" si="14"/>
        <v>-0.23234346728549388</v>
      </c>
      <c r="Q723" s="484">
        <f>IF(O723=0,"R$0,0",(J723+K723+M723+O723)/4)</f>
        <v>34321.344999999994</v>
      </c>
      <c r="R723" s="495">
        <f>IF(P723=0,"R$0,0%",(L723+N723+P723)/3)</f>
        <v>-0.11187784331287924</v>
      </c>
    </row>
    <row r="724" spans="3:18" ht="14.1" customHeight="1" x14ac:dyDescent="0.25">
      <c r="J724" s="499"/>
      <c r="K724" s="499"/>
      <c r="M724" s="499"/>
      <c r="O724" s="499"/>
    </row>
    <row r="725" spans="3:18" ht="14.1" customHeight="1" x14ac:dyDescent="0.2">
      <c r="C725" s="483" t="s">
        <v>6402</v>
      </c>
      <c r="I725" s="506" t="s">
        <v>1196</v>
      </c>
      <c r="J725" s="499">
        <v>0</v>
      </c>
      <c r="K725" s="499">
        <v>0</v>
      </c>
      <c r="L725" s="512" t="str">
        <f>IF(K725=0,"0,00% ",(K725-J725)/K725)</f>
        <v xml:space="preserve">0,00% </v>
      </c>
      <c r="M725" s="499">
        <v>120056.27</v>
      </c>
      <c r="N725" s="512">
        <f t="shared" ref="N725:P727" si="15">IF(M725=0,"0,00% ",(M725-K725)/M725)</f>
        <v>1</v>
      </c>
      <c r="O725" s="499">
        <v>3805.1</v>
      </c>
      <c r="P725" s="512">
        <f t="shared" si="15"/>
        <v>-30.55140994980421</v>
      </c>
      <c r="Q725" s="484">
        <f>IF(O725=0,"R$0,0",(J725+K725+M725+O725)/4)</f>
        <v>30965.342500000002</v>
      </c>
      <c r="R725" s="495">
        <f>IF(P725=0,"R$0,0%",(L725+N725+P725)/3)</f>
        <v>-9.85046998326807</v>
      </c>
    </row>
    <row r="726" spans="3:18" ht="14.1" customHeight="1" x14ac:dyDescent="0.25">
      <c r="J726" s="499"/>
      <c r="K726" s="499"/>
      <c r="M726" s="499"/>
      <c r="O726" s="499"/>
    </row>
    <row r="727" spans="3:18" ht="14.1" customHeight="1" x14ac:dyDescent="0.2">
      <c r="C727" s="483" t="s">
        <v>6261</v>
      </c>
      <c r="I727" s="506" t="s">
        <v>991</v>
      </c>
      <c r="J727" s="499">
        <v>17869.71</v>
      </c>
      <c r="K727" s="499">
        <v>24589.31</v>
      </c>
      <c r="L727" s="512">
        <f>IF(K727=0,"0,00% ",(K727-J727)/K727)</f>
        <v>0.27327322320146447</v>
      </c>
      <c r="M727" s="499">
        <v>19605.54</v>
      </c>
      <c r="N727" s="512">
        <f t="shared" si="15"/>
        <v>-0.25420212858202323</v>
      </c>
      <c r="O727" s="499">
        <v>8191.3</v>
      </c>
      <c r="P727" s="512">
        <f t="shared" si="15"/>
        <v>-1.3934589137255382</v>
      </c>
      <c r="Q727" s="484">
        <f>IF(O727=0,"R$0,0",(J727+K727+M727+O727)/4)</f>
        <v>17563.965</v>
      </c>
      <c r="R727" s="495">
        <f>IF(P727=0,"R$0,0%",(L727+N727+P727)/3)</f>
        <v>-0.45812927303536566</v>
      </c>
    </row>
    <row r="728" spans="3:18" ht="14.1" customHeight="1" x14ac:dyDescent="0.25">
      <c r="J728" s="499"/>
      <c r="K728" s="499"/>
      <c r="M728" s="499"/>
      <c r="O728" s="499"/>
    </row>
    <row r="729" spans="3:18" ht="14.1" customHeight="1" x14ac:dyDescent="0.2">
      <c r="C729" s="483" t="s">
        <v>6403</v>
      </c>
      <c r="I729" s="506" t="s">
        <v>1098</v>
      </c>
      <c r="J729" s="499">
        <v>25078</v>
      </c>
      <c r="K729" s="499">
        <v>16018</v>
      </c>
      <c r="L729" s="512">
        <f>IF(K729=0,"0,00% ",(K729-J729)/K729)</f>
        <v>-0.56561368460481953</v>
      </c>
      <c r="M729" s="499">
        <v>36512</v>
      </c>
      <c r="N729" s="512">
        <f>IF(M729=0,"0,00% ",(M729-K729)/M729)</f>
        <v>0.561294916739702</v>
      </c>
      <c r="O729" s="499">
        <v>11274</v>
      </c>
      <c r="P729" s="512">
        <f>IF(O729=0,"0,00% ",(O729-M729)/O729)</f>
        <v>-2.2386020933120454</v>
      </c>
      <c r="Q729" s="484">
        <f>IF(O729=0,"R$0,0",(J729+K729+M729+O729)/4)</f>
        <v>22220.5</v>
      </c>
      <c r="R729" s="495">
        <f>IF(P729=0,"R$0,0%",(L729+N729+P729)/3)</f>
        <v>-0.74764028705905439</v>
      </c>
    </row>
    <row r="730" spans="3:18" ht="14.1" customHeight="1" x14ac:dyDescent="0.25">
      <c r="J730" s="499"/>
      <c r="K730" s="499"/>
      <c r="M730" s="499"/>
      <c r="O730" s="499"/>
    </row>
    <row r="731" spans="3:18" ht="14.1" customHeight="1" x14ac:dyDescent="0.2">
      <c r="C731" s="483" t="s">
        <v>6404</v>
      </c>
      <c r="I731" s="506" t="s">
        <v>1097</v>
      </c>
      <c r="J731" s="499">
        <v>0</v>
      </c>
      <c r="K731" s="499">
        <v>12785</v>
      </c>
      <c r="L731" s="512">
        <f>IF(K731=0,"0,00% ",(K731-J731)/K731)</f>
        <v>1</v>
      </c>
      <c r="M731" s="499">
        <v>0</v>
      </c>
      <c r="N731" s="512" t="str">
        <f>IF(M731=0,"0,00% ",(M731-K731)/M731)</f>
        <v xml:space="preserve">0,00% </v>
      </c>
      <c r="O731" s="499">
        <v>0</v>
      </c>
      <c r="P731" s="512" t="str">
        <f>IF(O731=0,"0,00% ",(O731-M731)/O731)</f>
        <v xml:space="preserve">0,00% </v>
      </c>
      <c r="Q731" s="484" t="str">
        <f>IF(O731=0,"R$0,0",(J731+K731+M731+O731)/4)</f>
        <v>R$0,0</v>
      </c>
      <c r="R731" s="495">
        <f>IF(P731=0,"R$0,0%",(L731+N731+P731)/3)</f>
        <v>0.33333333333333331</v>
      </c>
    </row>
    <row r="732" spans="3:18" ht="14.1" customHeight="1" x14ac:dyDescent="0.25">
      <c r="J732" s="499"/>
      <c r="K732" s="499"/>
      <c r="M732" s="499"/>
      <c r="O732" s="499"/>
    </row>
    <row r="733" spans="3:18" ht="14.1" customHeight="1" x14ac:dyDescent="0.2">
      <c r="C733" s="483" t="s">
        <v>6405</v>
      </c>
      <c r="I733" s="506" t="s">
        <v>1096</v>
      </c>
      <c r="J733" s="499">
        <v>0</v>
      </c>
      <c r="K733" s="499">
        <v>1406</v>
      </c>
      <c r="L733" s="512">
        <f>IF(K733=0,"0,00% ",(K733-J733)/K733)</f>
        <v>1</v>
      </c>
      <c r="M733" s="499">
        <v>0</v>
      </c>
      <c r="N733" s="512" t="str">
        <f>IF(M733=0,"0,00% ",(M733-K733)/M733)</f>
        <v xml:space="preserve">0,00% </v>
      </c>
      <c r="O733" s="499">
        <v>1600</v>
      </c>
      <c r="P733" s="512">
        <f>IF(O733=0,"0,00% ",(O733-M733)/O733)</f>
        <v>1</v>
      </c>
      <c r="Q733" s="484">
        <f>IF(O733=0,"R$0,0",(J733+K733+M733+O733)/4)</f>
        <v>751.5</v>
      </c>
      <c r="R733" s="495">
        <f>IF(P733=0,"R$0,0%",(L733+N733+P733)/3)</f>
        <v>0.66666666666666663</v>
      </c>
    </row>
    <row r="734" spans="3:18" ht="14.1" customHeight="1" x14ac:dyDescent="0.25">
      <c r="J734" s="499"/>
      <c r="K734" s="499"/>
      <c r="M734" s="499"/>
      <c r="O734" s="499"/>
    </row>
    <row r="735" spans="3:18" ht="14.1" customHeight="1" x14ac:dyDescent="0.2">
      <c r="C735" s="483" t="s">
        <v>6290</v>
      </c>
      <c r="I735" s="506" t="s">
        <v>5334</v>
      </c>
      <c r="J735" s="499">
        <v>0</v>
      </c>
      <c r="K735" s="499">
        <v>0</v>
      </c>
      <c r="L735" s="512" t="str">
        <f>IF(K735=0,"0,00% ",(K735-J735)/K735)</f>
        <v xml:space="preserve">0,00% </v>
      </c>
      <c r="M735" s="499">
        <v>0</v>
      </c>
      <c r="N735" s="512" t="str">
        <f t="shared" ref="N735:P737" si="16">IF(M735=0,"0,00% ",(M735-K735)/M735)</f>
        <v xml:space="preserve">0,00% </v>
      </c>
      <c r="O735" s="499">
        <v>14035</v>
      </c>
      <c r="P735" s="512">
        <f t="shared" si="16"/>
        <v>1</v>
      </c>
      <c r="Q735" s="484">
        <f>IF(O735=0,"R$0,0",(J735+K735+M735+O735)/4)</f>
        <v>3508.75</v>
      </c>
      <c r="R735" s="495">
        <f>IF(P735=0,"R$0,0%",(L735+N735+P735)/3)</f>
        <v>0.33333333333333331</v>
      </c>
    </row>
    <row r="736" spans="3:18" ht="14.1" customHeight="1" x14ac:dyDescent="0.25">
      <c r="J736" s="499"/>
      <c r="K736" s="499"/>
      <c r="M736" s="499"/>
      <c r="O736" s="499"/>
    </row>
    <row r="737" spans="3:18" ht="14.1" customHeight="1" x14ac:dyDescent="0.2">
      <c r="C737" s="483" t="s">
        <v>6406</v>
      </c>
      <c r="I737" s="506" t="s">
        <v>6307</v>
      </c>
      <c r="J737" s="499">
        <f>2192789.24-834479.76</f>
        <v>1358309.4800000002</v>
      </c>
      <c r="K737" s="499">
        <f>1987180.85+99.97</f>
        <v>1987280.82</v>
      </c>
      <c r="L737" s="512">
        <f>IF(K737=0,"0,00% ",(K737-J737)/K737)</f>
        <v>0.31649847050805824</v>
      </c>
      <c r="M737" s="499">
        <f>15.68+1680+3750+1881191.73</f>
        <v>1886637.41</v>
      </c>
      <c r="N737" s="512">
        <f t="shared" si="16"/>
        <v>-5.3345390834797529E-2</v>
      </c>
      <c r="O737" s="499">
        <v>805070.94</v>
      </c>
      <c r="P737" s="512">
        <f t="shared" si="16"/>
        <v>-1.3434424424759388</v>
      </c>
      <c r="Q737" s="484">
        <f>IF(O737=0,"R$0,0",(J737+K737+M737+O737)/4)</f>
        <v>1509324.6625000001</v>
      </c>
      <c r="R737" s="495">
        <f>IF(P737=0,"R$0,0%",(L737+N737+P737)/3)</f>
        <v>-0.36009645426755937</v>
      </c>
    </row>
    <row r="738" spans="3:18" ht="14.1" customHeight="1" x14ac:dyDescent="0.25">
      <c r="J738" s="499"/>
      <c r="K738" s="499"/>
      <c r="M738" s="499"/>
      <c r="O738" s="499"/>
    </row>
    <row r="739" spans="3:18" s="492" customFormat="1" ht="14.1" customHeight="1" x14ac:dyDescent="0.25">
      <c r="C739" s="492" t="s">
        <v>6246</v>
      </c>
      <c r="I739" s="500" t="s">
        <v>6407</v>
      </c>
      <c r="J739" s="501">
        <f>J741</f>
        <v>0</v>
      </c>
      <c r="K739" s="501">
        <f>K741</f>
        <v>0</v>
      </c>
      <c r="L739" s="489" t="str">
        <f>IF(K739=0,"0,00% ",(K739-J739)/K739)</f>
        <v xml:space="preserve">0,00% </v>
      </c>
      <c r="M739" s="501">
        <f>M741</f>
        <v>0</v>
      </c>
      <c r="N739" s="489" t="str">
        <f>IF(M739=0,"0,00% ",(M739-K739)/M739)</f>
        <v xml:space="preserve">0,00% </v>
      </c>
      <c r="O739" s="501">
        <f>O741</f>
        <v>0</v>
      </c>
      <c r="P739" s="489" t="str">
        <f>IF(O739=0,"0,00% ",(O739-M739)/O739)</f>
        <v xml:space="preserve">0,00% </v>
      </c>
      <c r="Q739" s="490" t="str">
        <f>IF(O739=0,"R$0,0",(J739+K739+M739+O739)/4)</f>
        <v>R$0,0</v>
      </c>
      <c r="R739" s="491">
        <f>IF(P739=0,"R$0,0%",(L739+N739+P739)/3)</f>
        <v>0</v>
      </c>
    </row>
    <row r="740" spans="3:18" ht="14.1" customHeight="1" x14ac:dyDescent="0.25">
      <c r="J740" s="499"/>
      <c r="K740" s="499"/>
      <c r="M740" s="499"/>
      <c r="O740" s="499"/>
    </row>
    <row r="741" spans="3:18" ht="14.1" customHeight="1" x14ac:dyDescent="0.2">
      <c r="C741" s="483" t="s">
        <v>6408</v>
      </c>
      <c r="I741" s="506" t="s">
        <v>6409</v>
      </c>
      <c r="J741" s="499">
        <v>0</v>
      </c>
      <c r="K741" s="499">
        <v>0</v>
      </c>
      <c r="L741" s="512" t="str">
        <f>IF(K741=0,"0,00% ",(K741-J741)/K741)</f>
        <v xml:space="preserve">0,00% </v>
      </c>
      <c r="M741" s="499">
        <v>0</v>
      </c>
      <c r="N741" s="512" t="str">
        <f>IF(M741=0,"0,00% ",(M741-K741)/M741)</f>
        <v xml:space="preserve">0,00% </v>
      </c>
      <c r="O741" s="499">
        <v>0</v>
      </c>
      <c r="P741" s="512" t="str">
        <f>IF(O741=0,"0,00% ",(O741-M741)/O741)</f>
        <v xml:space="preserve">0,00% </v>
      </c>
      <c r="Q741" s="484" t="str">
        <f>IF(O741=0,"R$0,0",(J741+K741+M741+O741)/4)</f>
        <v>R$0,0</v>
      </c>
      <c r="R741" s="495">
        <f>IF(P741=0,"R$0,0%",(L741+N741+P741)/3)</f>
        <v>0</v>
      </c>
    </row>
    <row r="742" spans="3:18" ht="14.1" customHeight="1" x14ac:dyDescent="0.25">
      <c r="J742" s="499"/>
      <c r="K742" s="499"/>
      <c r="M742" s="499"/>
      <c r="O742" s="499"/>
    </row>
    <row r="743" spans="3:18" s="492" customFormat="1" ht="14.1" customHeight="1" x14ac:dyDescent="0.25">
      <c r="C743" s="492" t="s">
        <v>6231</v>
      </c>
      <c r="I743" s="500" t="s">
        <v>990</v>
      </c>
      <c r="J743" s="501">
        <f>J745+J747+J749+J751+J753</f>
        <v>164875.51999999999</v>
      </c>
      <c r="K743" s="501">
        <f>K745+K747+K749+K751+K753</f>
        <v>150992.54999999999</v>
      </c>
      <c r="L743" s="489">
        <f>IF(K743=0,"0,00% ",(K743-J743)/K743)</f>
        <v>-9.1944735021694798E-2</v>
      </c>
      <c r="M743" s="501">
        <f>M745+M747+M749+M751+M753</f>
        <v>181101.71999999997</v>
      </c>
      <c r="N743" s="489">
        <f>IF(M743=0,"0,00% ",(M743-K743)/M743)</f>
        <v>0.16625557173062736</v>
      </c>
      <c r="O743" s="501">
        <f>O745+O747+O749+O751+O753</f>
        <v>112280.84</v>
      </c>
      <c r="P743" s="489">
        <f>IF(O743=0,"0,00% ",(O743-M743)/O743)</f>
        <v>-0.61293520782352517</v>
      </c>
      <c r="Q743" s="490">
        <f>IF(O743=0,"R$0,0",(J743+K743+M743+O743)/4)</f>
        <v>152312.65749999997</v>
      </c>
      <c r="R743" s="491">
        <f>IF(P743=0,"R$0,0%",(L743+N743+P743)/3)</f>
        <v>-0.17954145703819754</v>
      </c>
    </row>
    <row r="744" spans="3:18" ht="14.1" customHeight="1" x14ac:dyDescent="0.25">
      <c r="J744" s="499"/>
      <c r="K744" s="499"/>
      <c r="M744" s="499"/>
      <c r="O744" s="499"/>
    </row>
    <row r="745" spans="3:18" ht="14.1" customHeight="1" x14ac:dyDescent="0.2">
      <c r="C745" s="483" t="s">
        <v>6262</v>
      </c>
      <c r="I745" s="506" t="s">
        <v>6410</v>
      </c>
      <c r="J745" s="499">
        <v>118468.03</v>
      </c>
      <c r="K745" s="499">
        <v>126768.04</v>
      </c>
      <c r="L745" s="512">
        <f>IF(K745=0,"0,00% ",(K745-J745)/K745)</f>
        <v>6.5473994864951729E-2</v>
      </c>
      <c r="M745" s="499">
        <v>135057.35999999999</v>
      </c>
      <c r="N745" s="512">
        <f>IF(M745=0,"0,00% ",(M745-K745)/M745)</f>
        <v>6.1376292265745411E-2</v>
      </c>
      <c r="O745" s="499">
        <v>77455.100000000006</v>
      </c>
      <c r="P745" s="512">
        <f>IF(O745=0,"0,00% ",(O745-M745)/O745)</f>
        <v>-0.74368582572354791</v>
      </c>
      <c r="Q745" s="484">
        <f>IF(O745=0,"R$0,0",(J745+K745+M745+O745)/4)</f>
        <v>114437.13250000001</v>
      </c>
      <c r="R745" s="495">
        <f>IF(P745=0,"R$0,0%",(L745+N745+P745)/3)</f>
        <v>-0.20561184619761694</v>
      </c>
    </row>
    <row r="746" spans="3:18" ht="14.1" customHeight="1" x14ac:dyDescent="0.25">
      <c r="I746" s="506"/>
      <c r="J746" s="499"/>
      <c r="K746" s="499"/>
      <c r="M746" s="499"/>
      <c r="O746" s="499"/>
    </row>
    <row r="747" spans="3:18" ht="14.1" customHeight="1" x14ac:dyDescent="0.2">
      <c r="C747" s="483" t="s">
        <v>6263</v>
      </c>
      <c r="I747" s="506" t="s">
        <v>1116</v>
      </c>
      <c r="J747" s="499">
        <v>0</v>
      </c>
      <c r="K747" s="499">
        <v>1066.07</v>
      </c>
      <c r="L747" s="512">
        <f>IF(K747=0,"0,00% ",(K747-J747)/K747)</f>
        <v>1</v>
      </c>
      <c r="M747" s="499">
        <v>1086.75</v>
      </c>
      <c r="N747" s="512">
        <f>IF(M747=0,"0,00% ",(M747-K747)/M747)</f>
        <v>1.9029215550954739E-2</v>
      </c>
      <c r="O747" s="499">
        <v>297.08</v>
      </c>
      <c r="P747" s="512">
        <f>IF(O747=0,"0,00% ",(O747-M747)/O747)</f>
        <v>-2.6581055607917063</v>
      </c>
      <c r="Q747" s="484">
        <f>IF(O747=0,"R$0,0",(J747+K747+M747+O747)/4)</f>
        <v>612.47499999999991</v>
      </c>
      <c r="R747" s="495">
        <f>IF(P747=0,"R$0,0%",(L747+N747+P747)/3)</f>
        <v>-0.54635878174691721</v>
      </c>
    </row>
    <row r="748" spans="3:18" ht="14.1" customHeight="1" x14ac:dyDescent="0.25">
      <c r="J748" s="499"/>
      <c r="K748" s="499"/>
      <c r="M748" s="499"/>
      <c r="O748" s="499"/>
    </row>
    <row r="749" spans="3:18" ht="14.1" customHeight="1" x14ac:dyDescent="0.2">
      <c r="C749" s="483" t="s">
        <v>6264</v>
      </c>
      <c r="I749" s="506" t="s">
        <v>1250</v>
      </c>
      <c r="J749" s="499">
        <v>0</v>
      </c>
      <c r="K749" s="499">
        <v>313.51</v>
      </c>
      <c r="L749" s="512">
        <f>IF(K749=0,"0,00% ",(K749-J749)/K749)</f>
        <v>1</v>
      </c>
      <c r="M749" s="499">
        <v>174.82</v>
      </c>
      <c r="N749" s="512">
        <f>IF(M749=0,"0,00% ",(M749-K749)/M749)</f>
        <v>-0.79333028257636429</v>
      </c>
      <c r="O749" s="499">
        <v>0</v>
      </c>
      <c r="P749" s="512" t="str">
        <f>IF(O749=0,"0,00% ",(O749-M749)/O749)</f>
        <v xml:space="preserve">0,00% </v>
      </c>
      <c r="Q749" s="484" t="str">
        <f>IF(O749=0,"R$0,0",(J749+K749+M749+O749)/4)</f>
        <v>R$0,0</v>
      </c>
      <c r="R749" s="495">
        <f>IF(P749=0,"R$0,0%",(L749+N749+P749)/3)</f>
        <v>6.8889905807878571E-2</v>
      </c>
    </row>
    <row r="750" spans="3:18" ht="14.1" customHeight="1" x14ac:dyDescent="0.25">
      <c r="J750" s="499"/>
      <c r="K750" s="499"/>
      <c r="M750" s="499"/>
      <c r="O750" s="499"/>
    </row>
    <row r="751" spans="3:18" ht="14.1" customHeight="1" x14ac:dyDescent="0.2">
      <c r="C751" s="483" t="s">
        <v>6268</v>
      </c>
      <c r="I751" s="506" t="s">
        <v>6411</v>
      </c>
      <c r="J751" s="499">
        <v>46407.49</v>
      </c>
      <c r="K751" s="499">
        <v>22844.93</v>
      </c>
      <c r="L751" s="512">
        <f>IF(K751=0,"0,00% ",(K751-J751)/K751)</f>
        <v>-1.0314130969103428</v>
      </c>
      <c r="M751" s="499">
        <v>34733.99</v>
      </c>
      <c r="N751" s="512">
        <f t="shared" ref="N751:P753" si="17">IF(M751=0,"0,00% ",(M751-K751)/M751)</f>
        <v>0.34228892217680718</v>
      </c>
      <c r="O751" s="499">
        <v>24835.84</v>
      </c>
      <c r="P751" s="512">
        <f t="shared" si="17"/>
        <v>-0.39854299270731319</v>
      </c>
      <c r="Q751" s="484">
        <f>IF(O751=0,"R$0,0",(J751+K751+M751+O751)/4)</f>
        <v>32205.5625</v>
      </c>
      <c r="R751" s="495">
        <f>IF(P751=0,"R$0,0%",(L751+N751+P751)/3)</f>
        <v>-0.36255572248028295</v>
      </c>
    </row>
    <row r="752" spans="3:18" ht="14.1" customHeight="1" x14ac:dyDescent="0.25">
      <c r="J752" s="499"/>
      <c r="K752" s="499"/>
      <c r="M752" s="499"/>
      <c r="O752" s="499"/>
    </row>
    <row r="753" spans="3:18" ht="14.1" customHeight="1" x14ac:dyDescent="0.2">
      <c r="C753" s="483" t="s">
        <v>6269</v>
      </c>
      <c r="I753" s="506" t="s">
        <v>6412</v>
      </c>
      <c r="J753" s="499">
        <v>0</v>
      </c>
      <c r="K753" s="499">
        <v>0</v>
      </c>
      <c r="L753" s="512" t="str">
        <f>IF(K753=0,"0,00% ",(K753-J753)/K753)</f>
        <v xml:space="preserve">0,00% </v>
      </c>
      <c r="M753" s="499">
        <v>10048.799999999999</v>
      </c>
      <c r="N753" s="512">
        <f t="shared" si="17"/>
        <v>1</v>
      </c>
      <c r="O753" s="499">
        <v>9692.82</v>
      </c>
      <c r="P753" s="512">
        <f t="shared" si="17"/>
        <v>-3.6726153998526703E-2</v>
      </c>
      <c r="Q753" s="484">
        <f>IF(O753=0,"R$0,0",(J753+K753+M753+O753)/4)</f>
        <v>4935.4049999999997</v>
      </c>
      <c r="R753" s="495">
        <f>IF(P753=0,"R$0,0%",(L753+N753+P753)/3)</f>
        <v>0.32109128200049109</v>
      </c>
    </row>
    <row r="754" spans="3:18" ht="14.1" customHeight="1" x14ac:dyDescent="0.25">
      <c r="J754" s="499"/>
      <c r="K754" s="499"/>
      <c r="M754" s="499"/>
      <c r="O754" s="499"/>
    </row>
    <row r="755" spans="3:18" s="492" customFormat="1" ht="14.1" customHeight="1" x14ac:dyDescent="0.25">
      <c r="C755" s="492" t="s">
        <v>6247</v>
      </c>
      <c r="I755" s="500" t="s">
        <v>6042</v>
      </c>
      <c r="J755" s="501">
        <f>J757</f>
        <v>76856.429999999993</v>
      </c>
      <c r="K755" s="501">
        <f>K757</f>
        <v>138199.79</v>
      </c>
      <c r="L755" s="489">
        <f>IF(K755=0,"0,00% ",(K755-J755)/K755)</f>
        <v>0.44387448056180123</v>
      </c>
      <c r="M755" s="501">
        <f>M757</f>
        <v>184707.77</v>
      </c>
      <c r="N755" s="489">
        <f>IF(M755=0,"0,00% ",(M755-K755)/M755)</f>
        <v>0.25179222292597642</v>
      </c>
      <c r="O755" s="501">
        <f>O757</f>
        <v>119843.63</v>
      </c>
      <c r="P755" s="489">
        <f>IF(O755=0,"0,00% ",(O755-M755)/O755)</f>
        <v>-0.54123978053735511</v>
      </c>
      <c r="Q755" s="490">
        <f>IF(O755=0,"R$0,0",(J755+K755+M755+O755)/4)</f>
        <v>129901.905</v>
      </c>
      <c r="R755" s="491">
        <f>IF(P755=0,"R$0,0%",(L755+N755+P755)/3)</f>
        <v>5.1475640983474201E-2</v>
      </c>
    </row>
    <row r="756" spans="3:18" ht="14.1" customHeight="1" x14ac:dyDescent="0.25">
      <c r="J756" s="499"/>
      <c r="K756" s="499"/>
      <c r="M756" s="499"/>
      <c r="O756" s="499"/>
    </row>
    <row r="757" spans="3:18" ht="14.1" customHeight="1" x14ac:dyDescent="0.2">
      <c r="C757" s="483" t="s">
        <v>6291</v>
      </c>
      <c r="I757" s="506" t="s">
        <v>6413</v>
      </c>
      <c r="J757" s="499">
        <v>76856.429999999993</v>
      </c>
      <c r="K757" s="499">
        <f>208.64+137991.15</f>
        <v>138199.79</v>
      </c>
      <c r="L757" s="512">
        <f>IF(K757=0,"0,00% ",(K757-J757)/K757)</f>
        <v>0.44387448056180123</v>
      </c>
      <c r="M757" s="499">
        <v>184707.77</v>
      </c>
      <c r="N757" s="512">
        <f>IF(M757=0,"0,00% ",(M757-K757)/M757)</f>
        <v>0.25179222292597642</v>
      </c>
      <c r="O757" s="499">
        <v>119843.63</v>
      </c>
      <c r="P757" s="512">
        <f>IF(O757=0,"0,00% ",(O757-M757)/O757)</f>
        <v>-0.54123978053735511</v>
      </c>
      <c r="Q757" s="484">
        <f>IF(O757=0,"R$0,0",(J757+K757+M757+O757)/4)</f>
        <v>129901.905</v>
      </c>
      <c r="R757" s="495">
        <f>IF(P757=0,"R$0,0%",(L757+N757+P757)/3)</f>
        <v>5.1475640983474201E-2</v>
      </c>
    </row>
    <row r="758" spans="3:18" ht="14.1" customHeight="1" x14ac:dyDescent="0.25">
      <c r="J758" s="499"/>
      <c r="K758" s="499"/>
      <c r="M758" s="499"/>
      <c r="O758" s="499"/>
    </row>
    <row r="759" spans="3:18" s="492" customFormat="1" ht="14.1" customHeight="1" x14ac:dyDescent="0.25">
      <c r="C759" s="492" t="s">
        <v>6448</v>
      </c>
      <c r="I759" s="500" t="s">
        <v>6449</v>
      </c>
      <c r="J759" s="501">
        <f>J761</f>
        <v>223.98</v>
      </c>
      <c r="K759" s="501">
        <f>K761</f>
        <v>0</v>
      </c>
      <c r="L759" s="489" t="str">
        <f>IF(K759=0,"0,00% ",(K759-J759)/K759)</f>
        <v xml:space="preserve">0,00% </v>
      </c>
      <c r="M759" s="501">
        <f>M761</f>
        <v>0</v>
      </c>
      <c r="N759" s="489" t="str">
        <f>IF(M759=0,"0,00% ",(M759-K759)/M759)</f>
        <v xml:space="preserve">0,00% </v>
      </c>
      <c r="O759" s="501">
        <f>O761</f>
        <v>720.84</v>
      </c>
      <c r="P759" s="489">
        <f>IF(O759=0,"0,00% ",(O759-M759)/O759)</f>
        <v>1</v>
      </c>
      <c r="Q759" s="490">
        <f>IF(O759=0,"R$0,0",(J759+K759+M759+O759)/4)</f>
        <v>236.20500000000001</v>
      </c>
      <c r="R759" s="491">
        <f>IF(P759=0,"R$0,0%",(L759+N759+P759)/3)</f>
        <v>0.33333333333333331</v>
      </c>
    </row>
    <row r="760" spans="3:18" ht="14.1" customHeight="1" x14ac:dyDescent="0.25">
      <c r="J760" s="499"/>
      <c r="K760" s="499"/>
      <c r="M760" s="499"/>
      <c r="O760" s="499"/>
    </row>
    <row r="761" spans="3:18" ht="14.1" customHeight="1" x14ac:dyDescent="0.2">
      <c r="C761" s="483" t="s">
        <v>6448</v>
      </c>
      <c r="I761" s="506" t="s">
        <v>6449</v>
      </c>
      <c r="J761" s="499">
        <v>223.98</v>
      </c>
      <c r="K761" s="499">
        <v>0</v>
      </c>
      <c r="L761" s="512" t="str">
        <f>IF(K761=0,"0,00% ",(K761-J761)/K761)</f>
        <v xml:space="preserve">0,00% </v>
      </c>
      <c r="M761" s="499">
        <v>0</v>
      </c>
      <c r="N761" s="512" t="str">
        <f>IF(M761=0,"0,00% ",(M761-K761)/M761)</f>
        <v xml:space="preserve">0,00% </v>
      </c>
      <c r="O761" s="499">
        <v>720.84</v>
      </c>
      <c r="P761" s="512">
        <f>IF(O761=0,"0,00% ",(O761-M761)/O761)</f>
        <v>1</v>
      </c>
      <c r="Q761" s="484">
        <f>IF(O761=0,"R$0,0",(J761+K761+M761+O761)/4)</f>
        <v>236.20500000000001</v>
      </c>
      <c r="R761" s="495">
        <f>IF(P761=0,"R$0,0%",(L761+N761+P761)/3)</f>
        <v>0.33333333333333331</v>
      </c>
    </row>
    <row r="762" spans="3:18" ht="14.1" customHeight="1" x14ac:dyDescent="0.2">
      <c r="I762" s="506"/>
      <c r="J762" s="499"/>
      <c r="K762" s="499"/>
      <c r="L762" s="494"/>
      <c r="M762" s="499"/>
      <c r="N762" s="494"/>
      <c r="O762" s="499"/>
      <c r="P762" s="494"/>
      <c r="Q762" s="484"/>
      <c r="R762" s="495"/>
    </row>
    <row r="763" spans="3:18" s="492" customFormat="1" ht="14.1" customHeight="1" x14ac:dyDescent="0.25">
      <c r="C763" s="492" t="s">
        <v>6304</v>
      </c>
      <c r="I763" s="500" t="s">
        <v>1158</v>
      </c>
      <c r="J763" s="501">
        <f>J765</f>
        <v>0</v>
      </c>
      <c r="K763" s="501">
        <f>K765</f>
        <v>199.98</v>
      </c>
      <c r="L763" s="489">
        <f>IF(K763=0,"0,00% ",(K763-J763)/K763)</f>
        <v>1</v>
      </c>
      <c r="M763" s="501">
        <f>M765</f>
        <v>0</v>
      </c>
      <c r="N763" s="489" t="str">
        <f>IF(M763=0,"0,00% ",(M763-K763)/M763)</f>
        <v xml:space="preserve">0,00% </v>
      </c>
      <c r="O763" s="501">
        <f>O765</f>
        <v>720.84</v>
      </c>
      <c r="P763" s="489">
        <f>IF(O763=0,"0,00% ",(O763-M763)/O763)</f>
        <v>1</v>
      </c>
      <c r="Q763" s="490">
        <f>IF(O763=0,"R$0,0",(J763+K763+M763+O763)/4)</f>
        <v>230.20500000000001</v>
      </c>
      <c r="R763" s="491">
        <f>IF(P763=0,"R$0,0%",(L763+N763+P763)/3)</f>
        <v>0.66666666666666663</v>
      </c>
    </row>
    <row r="764" spans="3:18" ht="14.1" customHeight="1" x14ac:dyDescent="0.25">
      <c r="J764" s="499"/>
      <c r="K764" s="499"/>
      <c r="M764" s="499"/>
      <c r="O764" s="499"/>
    </row>
    <row r="765" spans="3:18" ht="14.1" customHeight="1" x14ac:dyDescent="0.2">
      <c r="C765" s="483" t="s">
        <v>6414</v>
      </c>
      <c r="I765" s="506" t="s">
        <v>1997</v>
      </c>
      <c r="J765" s="499">
        <v>0</v>
      </c>
      <c r="K765" s="499">
        <v>199.98</v>
      </c>
      <c r="L765" s="512">
        <f>IF(K765=0,"0,00% ",(K765-J765)/K765)</f>
        <v>1</v>
      </c>
      <c r="M765" s="499">
        <v>0</v>
      </c>
      <c r="N765" s="512" t="str">
        <f>IF(M765=0,"0,00% ",(M765-K765)/M765)</f>
        <v xml:space="preserve">0,00% </v>
      </c>
      <c r="O765" s="499">
        <v>720.84</v>
      </c>
      <c r="P765" s="512">
        <f>IF(O765=0,"0,00% ",(O765-M765)/O765)</f>
        <v>1</v>
      </c>
      <c r="Q765" s="484">
        <f>IF(O765=0,"R$0,0",(J765+K765+M765+O765)/4)</f>
        <v>230.20500000000001</v>
      </c>
      <c r="R765" s="495">
        <f>IF(P765=0,"R$0,0%",(L765+N765+P765)/3)</f>
        <v>0.66666666666666663</v>
      </c>
    </row>
    <row r="766" spans="3:18" ht="14.1" customHeight="1" x14ac:dyDescent="0.25">
      <c r="J766" s="499"/>
      <c r="K766" s="499"/>
      <c r="M766" s="499"/>
      <c r="O766" s="499"/>
    </row>
    <row r="767" spans="3:18" s="492" customFormat="1" ht="14.1" customHeight="1" x14ac:dyDescent="0.25">
      <c r="C767" s="492" t="s">
        <v>6248</v>
      </c>
      <c r="I767" s="500" t="s">
        <v>985</v>
      </c>
      <c r="J767" s="501">
        <f>J769</f>
        <v>1711.28</v>
      </c>
      <c r="K767" s="501">
        <f>K769</f>
        <v>2369.9899999999998</v>
      </c>
      <c r="L767" s="489">
        <f>IF(K767=0,"0,00% ",(K767-J767)/K767)</f>
        <v>0.27793788159443705</v>
      </c>
      <c r="M767" s="501">
        <f>M769</f>
        <v>2941.9</v>
      </c>
      <c r="N767" s="489">
        <f>IF(M767=0,"0,00% ",(M767-K767)/M767)</f>
        <v>0.19440157721200593</v>
      </c>
      <c r="O767" s="501">
        <f>O769</f>
        <v>1705.37</v>
      </c>
      <c r="P767" s="489">
        <f>IF(O767=0,"0,00% ",(O767-M767)/O767)</f>
        <v>-0.7250801878771177</v>
      </c>
      <c r="Q767" s="490">
        <f>IF(O767=0,"R$0,0",(J767+K767+M767+O767)/4)</f>
        <v>2182.1350000000002</v>
      </c>
      <c r="R767" s="491">
        <f>IF(P767=0,"R$0,0%",(L767+N767+P767)/3)</f>
        <v>-8.42469096902249E-2</v>
      </c>
    </row>
    <row r="768" spans="3:18" ht="14.1" customHeight="1" x14ac:dyDescent="0.25">
      <c r="J768" s="499"/>
      <c r="K768" s="499"/>
      <c r="M768" s="499"/>
      <c r="O768" s="499"/>
    </row>
    <row r="769" spans="3:18" ht="14.1" customHeight="1" x14ac:dyDescent="0.2">
      <c r="C769" s="483" t="s">
        <v>6415</v>
      </c>
      <c r="I769" s="506" t="s">
        <v>1162</v>
      </c>
      <c r="J769" s="499">
        <v>1711.28</v>
      </c>
      <c r="K769" s="499">
        <f>547.37+1822.62</f>
        <v>2369.9899999999998</v>
      </c>
      <c r="L769" s="512">
        <f>IF(K769=0,"0,00% ",(K769-J769)/K769)</f>
        <v>0.27793788159443705</v>
      </c>
      <c r="M769" s="499">
        <v>2941.9</v>
      </c>
      <c r="N769" s="512">
        <f>IF(M769=0,"0,00% ",(M769-K769)/M769)</f>
        <v>0.19440157721200593</v>
      </c>
      <c r="O769" s="499">
        <v>1705.37</v>
      </c>
      <c r="P769" s="512">
        <f>IF(O769=0,"0,00% ",(O769-M769)/O769)</f>
        <v>-0.7250801878771177</v>
      </c>
      <c r="Q769" s="484">
        <f>IF(O769=0,"R$0,0",(J769+K769+M769+O769)/4)</f>
        <v>2182.1350000000002</v>
      </c>
      <c r="R769" s="495">
        <f>IF(P769=0,"R$0,0%",(L769+N769+P769)/3)</f>
        <v>-8.42469096902249E-2</v>
      </c>
    </row>
    <row r="770" spans="3:18" ht="14.1" customHeight="1" x14ac:dyDescent="0.25">
      <c r="J770" s="499"/>
      <c r="K770" s="499"/>
      <c r="M770" s="499"/>
      <c r="O770" s="499"/>
    </row>
    <row r="771" spans="3:18" s="492" customFormat="1" ht="14.1" customHeight="1" x14ac:dyDescent="0.25">
      <c r="C771" s="492" t="s">
        <v>6416</v>
      </c>
      <c r="I771" s="500" t="s">
        <v>6417</v>
      </c>
      <c r="J771" s="501">
        <f>J773+J781</f>
        <v>0</v>
      </c>
      <c r="K771" s="501">
        <f>K773+K781</f>
        <v>0</v>
      </c>
      <c r="L771" s="489" t="str">
        <f>IF(K771=0,"0,00% ",(K771-J771)/K771)</f>
        <v xml:space="preserve">0,00% </v>
      </c>
      <c r="M771" s="501">
        <f>M773+M781</f>
        <v>0</v>
      </c>
      <c r="N771" s="489" t="str">
        <f>IF(M771=0,"0,00% ",(M771-K771)/M771)</f>
        <v xml:space="preserve">0,00% </v>
      </c>
      <c r="O771" s="501">
        <f>O773+O781</f>
        <v>20861.48</v>
      </c>
      <c r="P771" s="489">
        <f>IF(O771=0,"0,00% ",(O771-M771)/O771)</f>
        <v>1</v>
      </c>
      <c r="Q771" s="490">
        <f>IF(O771=0,"R$0,0",(J771+K771+M771+O771)/4)</f>
        <v>5215.37</v>
      </c>
      <c r="R771" s="491">
        <f>IF(P771=0,"R$0,0%",(L771+N771+P771)/3)</f>
        <v>0.33333333333333331</v>
      </c>
    </row>
    <row r="772" spans="3:18" ht="14.1" customHeight="1" x14ac:dyDescent="0.25">
      <c r="J772" s="499"/>
      <c r="K772" s="499"/>
      <c r="M772" s="499"/>
      <c r="O772" s="499"/>
    </row>
    <row r="773" spans="3:18" s="492" customFormat="1" ht="14.1" customHeight="1" x14ac:dyDescent="0.25">
      <c r="C773" s="492" t="s">
        <v>6256</v>
      </c>
      <c r="I773" s="500" t="s">
        <v>996</v>
      </c>
      <c r="J773" s="501">
        <f>J775+J777+J779</f>
        <v>0</v>
      </c>
      <c r="K773" s="501">
        <f>K775+K777+K779</f>
        <v>0</v>
      </c>
      <c r="L773" s="489" t="str">
        <f>IF(K773=0,"0,00% ",(K773-J773)/K773)</f>
        <v xml:space="preserve">0,00% </v>
      </c>
      <c r="M773" s="501">
        <f>M775+M777+M779</f>
        <v>0</v>
      </c>
      <c r="N773" s="489" t="str">
        <f>IF(M773=0,"0,00% ",(M773-K773)/M773)</f>
        <v xml:space="preserve">0,00% </v>
      </c>
      <c r="O773" s="501">
        <f>O775+O777+O779</f>
        <v>16670.14</v>
      </c>
      <c r="P773" s="489">
        <f>IF(O773=0,"0,00% ",(O773-M773)/O773)</f>
        <v>1</v>
      </c>
      <c r="Q773" s="490">
        <f>IF(O773=0,"R$0,0",(J773+K773+M773+O773)/4)</f>
        <v>4167.5349999999999</v>
      </c>
      <c r="R773" s="491">
        <f>IF(P773=0,"R$0,0%",(L773+N773+P773)/3)</f>
        <v>0.33333333333333331</v>
      </c>
    </row>
    <row r="774" spans="3:18" ht="14.1" customHeight="1" x14ac:dyDescent="0.25">
      <c r="J774" s="499"/>
      <c r="K774" s="499"/>
      <c r="M774" s="499"/>
      <c r="O774" s="499"/>
    </row>
    <row r="775" spans="3:18" ht="14.1" customHeight="1" x14ac:dyDescent="0.2">
      <c r="C775" s="483" t="s">
        <v>6324</v>
      </c>
      <c r="I775" s="506" t="s">
        <v>1023</v>
      </c>
      <c r="J775" s="499">
        <v>0</v>
      </c>
      <c r="K775" s="499">
        <v>0</v>
      </c>
      <c r="L775" s="512" t="str">
        <f>IF(K775=0,"0,00% ",(K775-J775)/K775)</f>
        <v xml:space="preserve">0,00% </v>
      </c>
      <c r="M775" s="499">
        <v>0</v>
      </c>
      <c r="N775" s="512" t="str">
        <f>IF(M775=0,"0,00% ",(M775-K775)/M775)</f>
        <v xml:space="preserve">0,00% </v>
      </c>
      <c r="O775" s="499">
        <v>16670.14</v>
      </c>
      <c r="P775" s="512">
        <f>IF(O775=0,"0,00% ",(O775-M775)/O775)</f>
        <v>1</v>
      </c>
      <c r="Q775" s="484">
        <f>IF(O775=0,"R$0,0",(J775+K775+M775+O775)/4)</f>
        <v>4167.5349999999999</v>
      </c>
      <c r="R775" s="495">
        <f>IF(P775=0,"R$0,0%",(L775+N775+P775)/3)</f>
        <v>0.33333333333333331</v>
      </c>
    </row>
    <row r="776" spans="3:18" ht="14.1" customHeight="1" x14ac:dyDescent="0.25">
      <c r="J776" s="499"/>
      <c r="K776" s="499"/>
      <c r="M776" s="499"/>
      <c r="O776" s="499"/>
    </row>
    <row r="777" spans="3:18" ht="14.1" customHeight="1" x14ac:dyDescent="0.2">
      <c r="C777" s="483" t="s">
        <v>6292</v>
      </c>
      <c r="I777" s="506" t="s">
        <v>1003</v>
      </c>
      <c r="J777" s="499">
        <v>0</v>
      </c>
      <c r="K777" s="499">
        <v>0</v>
      </c>
      <c r="L777" s="512" t="str">
        <f>IF(K777=0,"0,00% ",(K777-J777)/K777)</f>
        <v xml:space="preserve">0,00% </v>
      </c>
      <c r="M777" s="499">
        <v>0</v>
      </c>
      <c r="N777" s="512" t="str">
        <f>IF(M777=0,"0,00% ",(M777-K777)/M777)</f>
        <v xml:space="preserve">0,00% </v>
      </c>
      <c r="O777" s="499">
        <v>0</v>
      </c>
      <c r="P777" s="512" t="str">
        <f>IF(O777=0,"0,00% ",(O777-M777)/O777)</f>
        <v xml:space="preserve">0,00% </v>
      </c>
      <c r="Q777" s="484" t="str">
        <f>IF(O777=0,"R$0,0",(J777+K777+M777+O777)/4)</f>
        <v>R$0,0</v>
      </c>
      <c r="R777" s="495">
        <f>IF(P777=0,"R$0,0%",(L777+N777+P777)/3)</f>
        <v>0</v>
      </c>
    </row>
    <row r="778" spans="3:18" ht="14.1" customHeight="1" x14ac:dyDescent="0.25">
      <c r="J778" s="499"/>
      <c r="K778" s="499"/>
      <c r="M778" s="499"/>
      <c r="O778" s="499"/>
    </row>
    <row r="779" spans="3:18" ht="14.1" customHeight="1" x14ac:dyDescent="0.2">
      <c r="C779" s="483" t="s">
        <v>6418</v>
      </c>
      <c r="I779" s="506" t="s">
        <v>1100</v>
      </c>
      <c r="J779" s="499">
        <v>0</v>
      </c>
      <c r="K779" s="499">
        <v>0</v>
      </c>
      <c r="L779" s="512" t="str">
        <f>IF(K779=0,"0,00% ",(K779-J779)/K779)</f>
        <v xml:space="preserve">0,00% </v>
      </c>
      <c r="M779" s="499">
        <v>0</v>
      </c>
      <c r="N779" s="512" t="str">
        <f>IF(M779=0,"0,00% ",(M779-K779)/M779)</f>
        <v xml:space="preserve">0,00% </v>
      </c>
      <c r="O779" s="499">
        <v>0</v>
      </c>
      <c r="P779" s="512" t="str">
        <f>IF(O779=0,"0,00% ",(O779-M779)/O779)</f>
        <v xml:space="preserve">0,00% </v>
      </c>
      <c r="Q779" s="484" t="str">
        <f>IF(O779=0,"R$0,0",(J779+K779+M779+O779)/4)</f>
        <v>R$0,0</v>
      </c>
      <c r="R779" s="495">
        <f>IF(P779=0,"R$0,0%",(L779+N779+P779)/3)</f>
        <v>0</v>
      </c>
    </row>
    <row r="780" spans="3:18" ht="14.1" customHeight="1" x14ac:dyDescent="0.25">
      <c r="J780" s="499"/>
      <c r="K780" s="499"/>
      <c r="M780" s="499"/>
      <c r="O780" s="499"/>
    </row>
    <row r="781" spans="3:18" s="492" customFormat="1" ht="14.1" customHeight="1" x14ac:dyDescent="0.25">
      <c r="C781" s="492" t="s">
        <v>6325</v>
      </c>
      <c r="I781" s="500" t="s">
        <v>6419</v>
      </c>
      <c r="J781" s="501">
        <f>J783</f>
        <v>0</v>
      </c>
      <c r="K781" s="501">
        <f>K783</f>
        <v>0</v>
      </c>
      <c r="L781" s="489" t="str">
        <f>IF(K781=0,"0,00% ",(K781-J781)/K781)</f>
        <v xml:space="preserve">0,00% </v>
      </c>
      <c r="M781" s="501">
        <f>M783</f>
        <v>0</v>
      </c>
      <c r="N781" s="489" t="str">
        <f>IF(M781=0,"0,00% ",(M781-K781)/M781)</f>
        <v xml:space="preserve">0,00% </v>
      </c>
      <c r="O781" s="501">
        <f>O783</f>
        <v>4191.34</v>
      </c>
      <c r="P781" s="489">
        <f>IF(O781=0,"0,00% ",(O781-M781)/O781)</f>
        <v>1</v>
      </c>
      <c r="Q781" s="490">
        <f>IF(O781=0,"R$0,0",(J781+K781+M781+O781)/4)</f>
        <v>1047.835</v>
      </c>
      <c r="R781" s="491">
        <f>IF(P781=0,"R$0,0%",(L781+N781+P781)/3)</f>
        <v>0.33333333333333331</v>
      </c>
    </row>
    <row r="782" spans="3:18" ht="14.1" customHeight="1" x14ac:dyDescent="0.25">
      <c r="J782" s="499"/>
      <c r="K782" s="499"/>
      <c r="M782" s="499"/>
      <c r="O782" s="499"/>
    </row>
    <row r="783" spans="3:18" ht="14.1" customHeight="1" x14ac:dyDescent="0.2">
      <c r="C783" s="483" t="s">
        <v>6326</v>
      </c>
      <c r="I783" s="506" t="s">
        <v>6397</v>
      </c>
      <c r="J783" s="499">
        <v>0</v>
      </c>
      <c r="K783" s="499">
        <v>0</v>
      </c>
      <c r="L783" s="512" t="str">
        <f>IF(K783=0,"0,00% ",(K783-J783)/K783)</f>
        <v xml:space="preserve">0,00% </v>
      </c>
      <c r="M783" s="499">
        <v>0</v>
      </c>
      <c r="N783" s="512" t="str">
        <f>IF(M783=0,"0,00% ",(M783-K783)/M783)</f>
        <v xml:space="preserve">0,00% </v>
      </c>
      <c r="O783" s="499">
        <v>4191.34</v>
      </c>
      <c r="P783" s="512">
        <f>IF(O783=0,"0,00% ",(O783-M783)/O783)</f>
        <v>1</v>
      </c>
      <c r="Q783" s="484">
        <f>IF(O783=0,"R$0,0",(J783+K783+M783+O783)/4)</f>
        <v>1047.835</v>
      </c>
      <c r="R783" s="495">
        <f>IF(P783=0,"R$0,0%",(L783+N783+P783)/3)</f>
        <v>0.33333333333333331</v>
      </c>
    </row>
    <row r="784" spans="3:18" ht="14.1" customHeight="1" x14ac:dyDescent="0.25">
      <c r="J784" s="499"/>
      <c r="K784" s="499"/>
      <c r="M784" s="499"/>
      <c r="O784" s="499"/>
    </row>
    <row r="785" spans="3:23" ht="14.1" customHeight="1" x14ac:dyDescent="0.25">
      <c r="J785" s="499"/>
      <c r="K785" s="499"/>
      <c r="M785" s="499"/>
      <c r="O785" s="499"/>
    </row>
    <row r="786" spans="3:23" s="492" customFormat="1" ht="14.1" customHeight="1" x14ac:dyDescent="0.25">
      <c r="C786" s="492" t="s">
        <v>2112</v>
      </c>
      <c r="I786" s="500" t="s">
        <v>2113</v>
      </c>
      <c r="J786" s="501">
        <f>J788+J850</f>
        <v>943470.09</v>
      </c>
      <c r="K786" s="501">
        <f>K788+K850</f>
        <v>610346.75</v>
      </c>
      <c r="L786" s="489">
        <f>IF(K786=0,"0,00% ",(K786-J786)/K786)</f>
        <v>-0.54579358372924891</v>
      </c>
      <c r="M786" s="501">
        <f>M788+M850</f>
        <v>960047.66</v>
      </c>
      <c r="N786" s="489">
        <f>IF(M786=0,"0,00% ",(M786-K786)/M786)</f>
        <v>0.36425369757163933</v>
      </c>
      <c r="O786" s="501">
        <f>O788+O850</f>
        <v>552011.62</v>
      </c>
      <c r="P786" s="489">
        <f>IF(O786=0,"0,00% ",(O786-M786)/O786)</f>
        <v>-0.73918016435958367</v>
      </c>
      <c r="Q786" s="490">
        <f>IF(O786=0,"R$0,0",(J786+K786+M786+O786)/4)</f>
        <v>766469.03</v>
      </c>
      <c r="R786" s="491">
        <f>IF(P786=0,"R$0,0%",(L786+N786+P786)/3)</f>
        <v>-0.30690668350573108</v>
      </c>
      <c r="W786" s="502"/>
    </row>
    <row r="787" spans="3:23" s="492" customFormat="1" ht="14.1" customHeight="1" x14ac:dyDescent="0.25">
      <c r="J787" s="501"/>
      <c r="K787" s="501"/>
      <c r="M787" s="501"/>
      <c r="O787" s="501"/>
    </row>
    <row r="788" spans="3:23" s="492" customFormat="1" ht="14.1" customHeight="1" x14ac:dyDescent="0.25">
      <c r="C788" s="492" t="s">
        <v>2114</v>
      </c>
      <c r="I788" s="500" t="s">
        <v>95</v>
      </c>
      <c r="J788" s="501">
        <f>J790+J794+J798</f>
        <v>860731.33</v>
      </c>
      <c r="K788" s="501">
        <f>K790+K794+K798</f>
        <v>532824.94999999995</v>
      </c>
      <c r="L788" s="489">
        <f>IF(K788=0,"0,00% ",(K788-J788)/K788)</f>
        <v>-0.61541108388411625</v>
      </c>
      <c r="M788" s="501">
        <f>M790+M794+M798</f>
        <v>914826.61</v>
      </c>
      <c r="N788" s="489">
        <f>IF(M788=0,"0,00% ",(M788-K788)/M788)</f>
        <v>0.41756728086429412</v>
      </c>
      <c r="O788" s="501">
        <f>O790+O794+O798</f>
        <v>469272.86</v>
      </c>
      <c r="P788" s="489">
        <f>IF(O788=0,"0,00% ",(O788-M788)/O788)</f>
        <v>-0.94945561096373654</v>
      </c>
      <c r="Q788" s="490">
        <f>IF(O788=0,"R$0,0",(J788+K788+M788+O788)/4)</f>
        <v>694413.93749999988</v>
      </c>
      <c r="R788" s="491">
        <f>IF(P788=0,"R$0,0%",(L788+N788+P788)/3)</f>
        <v>-0.38243313799451956</v>
      </c>
      <c r="S788" s="502"/>
    </row>
    <row r="789" spans="3:23" s="492" customFormat="1" ht="14.1" customHeight="1" x14ac:dyDescent="0.25">
      <c r="J789" s="501"/>
      <c r="K789" s="501"/>
      <c r="M789" s="501"/>
      <c r="O789" s="501"/>
    </row>
    <row r="790" spans="3:23" s="492" customFormat="1" ht="14.1" customHeight="1" x14ac:dyDescent="0.25">
      <c r="C790" s="492" t="s">
        <v>2117</v>
      </c>
      <c r="I790" s="500" t="s">
        <v>2118</v>
      </c>
      <c r="J790" s="501">
        <f>J792</f>
        <v>0</v>
      </c>
      <c r="K790" s="501">
        <f>K792</f>
        <v>61839.46</v>
      </c>
      <c r="L790" s="489">
        <f>IF(K790=0,"0,00% ",(K790-J790)/K790)</f>
        <v>1</v>
      </c>
      <c r="M790" s="501">
        <f>M792</f>
        <v>76576.87</v>
      </c>
      <c r="N790" s="489">
        <f>IF(M790=0,"0,00% ",(M790-K790)/M790)</f>
        <v>0.19245249903789483</v>
      </c>
      <c r="O790" s="501">
        <f>O792</f>
        <v>0</v>
      </c>
      <c r="P790" s="489" t="str">
        <f>IF(O790=0,"0,00% ",(O790-M790)/O790)</f>
        <v xml:space="preserve">0,00% </v>
      </c>
      <c r="Q790" s="490" t="str">
        <f>IF(O790=0,"R$0,0",(J790+K790+M790+O790)/4)</f>
        <v>R$0,0</v>
      </c>
      <c r="R790" s="491">
        <f>IF(P790=0,"R$0,0%",(L790+N790+P790)/3)</f>
        <v>0.39748416634596495</v>
      </c>
    </row>
    <row r="791" spans="3:23" s="492" customFormat="1" ht="14.1" customHeight="1" x14ac:dyDescent="0.25">
      <c r="J791" s="501"/>
      <c r="K791" s="501"/>
      <c r="M791" s="501"/>
      <c r="O791" s="501"/>
    </row>
    <row r="792" spans="3:23" ht="14.1" customHeight="1" x14ac:dyDescent="0.2">
      <c r="C792" s="483" t="s">
        <v>6265</v>
      </c>
      <c r="I792" s="506" t="s">
        <v>985</v>
      </c>
      <c r="J792" s="499">
        <v>0</v>
      </c>
      <c r="K792" s="499">
        <v>61839.46</v>
      </c>
      <c r="L792" s="512">
        <f>IF(K792=0,"0,00% ",(K792-J792)/K792)</f>
        <v>1</v>
      </c>
      <c r="M792" s="499">
        <v>76576.87</v>
      </c>
      <c r="N792" s="512">
        <f>IF(M792=0,"0,00% ",(M792-K792)/M792)</f>
        <v>0.19245249903789483</v>
      </c>
      <c r="O792" s="499">
        <v>0</v>
      </c>
      <c r="P792" s="512" t="str">
        <f>IF(O792=0,"0,00% ",(O792-M792)/O792)</f>
        <v xml:space="preserve">0,00% </v>
      </c>
      <c r="Q792" s="484" t="str">
        <f>IF(O792=0,"R$0,0",(J792+K792+M792+O792)/4)</f>
        <v>R$0,0</v>
      </c>
      <c r="R792" s="495">
        <f>IF(P792=0,"R$0,0%",(L792+N792+P792)/3)</f>
        <v>0.39748416634596495</v>
      </c>
    </row>
    <row r="793" spans="3:23" s="492" customFormat="1" ht="14.1" customHeight="1" x14ac:dyDescent="0.25">
      <c r="J793" s="501"/>
      <c r="K793" s="501"/>
      <c r="M793" s="501"/>
      <c r="O793" s="501"/>
    </row>
    <row r="794" spans="3:23" s="492" customFormat="1" ht="14.1" customHeight="1" x14ac:dyDescent="0.25">
      <c r="C794" s="492" t="s">
        <v>2119</v>
      </c>
      <c r="I794" s="500" t="s">
        <v>2120</v>
      </c>
      <c r="J794" s="501">
        <f>J796</f>
        <v>447.58</v>
      </c>
      <c r="K794" s="501">
        <f>K796</f>
        <v>10784.67</v>
      </c>
      <c r="L794" s="489">
        <f>IF(K794=0,"0,00% ",(K794-J794)/K794)</f>
        <v>0.95849849833142786</v>
      </c>
      <c r="M794" s="501">
        <f>M796</f>
        <v>21534.74</v>
      </c>
      <c r="N794" s="489">
        <f>IF(M794=0,"0,00% ",(M794-K794)/M794)</f>
        <v>0.49919664690634763</v>
      </c>
      <c r="O794" s="501">
        <f>O796</f>
        <v>13658.89</v>
      </c>
      <c r="P794" s="489">
        <f>IF(O794=0,"0,00% ",(O794-M794)/O794)</f>
        <v>-0.57660981236396236</v>
      </c>
      <c r="Q794" s="490">
        <f>IF(O794=0,"R$0,0",(J794+K794+M794+O794)/4)</f>
        <v>11606.470000000001</v>
      </c>
      <c r="R794" s="491">
        <f>IF(P794=0,"R$0,0%",(L794+N794+P794)/3)</f>
        <v>0.29369511095793771</v>
      </c>
    </row>
    <row r="795" spans="3:23" ht="14.1" customHeight="1" x14ac:dyDescent="0.25">
      <c r="J795" s="499"/>
      <c r="K795" s="499"/>
      <c r="M795" s="499"/>
      <c r="N795" s="492"/>
      <c r="O795" s="499"/>
      <c r="P795" s="492"/>
    </row>
    <row r="796" spans="3:23" ht="14.1" customHeight="1" x14ac:dyDescent="0.2">
      <c r="C796" s="483" t="s">
        <v>6266</v>
      </c>
      <c r="I796" s="506" t="s">
        <v>985</v>
      </c>
      <c r="J796" s="499">
        <v>447.58</v>
      </c>
      <c r="K796" s="499">
        <v>10784.67</v>
      </c>
      <c r="L796" s="512">
        <f>IF(K796=0,"0,00% ",(K796-J796)/K796)</f>
        <v>0.95849849833142786</v>
      </c>
      <c r="M796" s="499">
        <v>21534.74</v>
      </c>
      <c r="N796" s="512">
        <f>IF(M796=0,"0,00% ",(M796-K796)/M796)</f>
        <v>0.49919664690634763</v>
      </c>
      <c r="O796" s="499">
        <v>13658.89</v>
      </c>
      <c r="P796" s="512">
        <f>IF(O796=0,"0,00% ",(O796-M796)/O796)</f>
        <v>-0.57660981236396236</v>
      </c>
      <c r="Q796" s="484">
        <f>IF(O796=0,"R$0,0",(J796+K796+M796+O796)/4)</f>
        <v>11606.470000000001</v>
      </c>
      <c r="R796" s="495">
        <f>IF(P796=0,"R$0,0%",(L796+N796+P796)/3)</f>
        <v>0.29369511095793771</v>
      </c>
    </row>
    <row r="797" spans="3:23" ht="14.1" customHeight="1" x14ac:dyDescent="0.25">
      <c r="J797" s="499"/>
      <c r="K797" s="499"/>
      <c r="M797" s="499"/>
      <c r="O797" s="499"/>
    </row>
    <row r="798" spans="3:23" s="492" customFormat="1" ht="14.1" customHeight="1" x14ac:dyDescent="0.25">
      <c r="C798" s="492" t="s">
        <v>2115</v>
      </c>
      <c r="I798" s="500" t="s">
        <v>2108</v>
      </c>
      <c r="J798" s="501">
        <f>J800+J808+J812+J816+J820+J846</f>
        <v>860283.75</v>
      </c>
      <c r="K798" s="501">
        <f>K800+K808+K812+K816+K820+K846</f>
        <v>460200.81999999995</v>
      </c>
      <c r="L798" s="489">
        <f>IF(K798=0,"0,00% ",(K798-J798)/K798)</f>
        <v>-0.86936596505847186</v>
      </c>
      <c r="M798" s="501">
        <f>M800+M808+M812+M816+M820+M846</f>
        <v>816715</v>
      </c>
      <c r="N798" s="489">
        <f t="shared" ref="N798:P800" si="18">IF(M798=0,"0,00% ",(M798-K798)/M798)</f>
        <v>0.43652214052637706</v>
      </c>
      <c r="O798" s="501">
        <f>O800+O808+O812+O816+O820+O846</f>
        <v>455613.97</v>
      </c>
      <c r="P798" s="489">
        <f t="shared" si="18"/>
        <v>-0.79255917021157196</v>
      </c>
      <c r="Q798" s="490">
        <f>IF(O798=0,"R$0,0",(J798+K798+M798+O798)/4)</f>
        <v>648203.38500000001</v>
      </c>
      <c r="R798" s="491">
        <f>IF(P798=0,"R$0,0%",(L798+N798+P798)/3)</f>
        <v>-0.40846766491455561</v>
      </c>
    </row>
    <row r="799" spans="3:23" s="492" customFormat="1" ht="14.1" customHeight="1" x14ac:dyDescent="0.25">
      <c r="J799" s="501"/>
      <c r="K799" s="501"/>
      <c r="M799" s="501"/>
      <c r="O799" s="501"/>
    </row>
    <row r="800" spans="3:23" s="492" customFormat="1" ht="14.1" customHeight="1" x14ac:dyDescent="0.25">
      <c r="C800" s="492" t="s">
        <v>6232</v>
      </c>
      <c r="I800" s="500" t="s">
        <v>996</v>
      </c>
      <c r="J800" s="501">
        <f>J802+J804+J806</f>
        <v>0</v>
      </c>
      <c r="K800" s="501">
        <f>K802+K804+K806</f>
        <v>0</v>
      </c>
      <c r="L800" s="489" t="str">
        <f>IF(K800=0,"0,00% ",(K800-J800)/K800)</f>
        <v xml:space="preserve">0,00% </v>
      </c>
      <c r="M800" s="501">
        <f>M802+M804+M806</f>
        <v>71476.56</v>
      </c>
      <c r="N800" s="489">
        <f t="shared" si="18"/>
        <v>1</v>
      </c>
      <c r="O800" s="501">
        <f>O802+O804+O806</f>
        <v>25640.46</v>
      </c>
      <c r="P800" s="489">
        <f t="shared" si="18"/>
        <v>-1.7876473355002211</v>
      </c>
      <c r="Q800" s="490">
        <f>IF(O800=0,"R$0,0",(J800+K800+M800+O800)/4)</f>
        <v>24279.254999999997</v>
      </c>
      <c r="R800" s="491">
        <f>IF(P800=0,"R$0,0%",(L800+N800+P800)/3)</f>
        <v>-0.26254911183340707</v>
      </c>
    </row>
    <row r="801" spans="3:18" ht="14.1" customHeight="1" x14ac:dyDescent="0.25">
      <c r="J801" s="499"/>
      <c r="K801" s="499"/>
      <c r="M801" s="499"/>
      <c r="O801" s="499"/>
    </row>
    <row r="802" spans="3:18" ht="14.1" customHeight="1" x14ac:dyDescent="0.2">
      <c r="C802" s="483" t="s">
        <v>6420</v>
      </c>
      <c r="I802" s="506" t="s">
        <v>5428</v>
      </c>
      <c r="J802" s="499">
        <v>0</v>
      </c>
      <c r="K802" s="499">
        <v>0</v>
      </c>
      <c r="L802" s="512" t="str">
        <f>IF(K802=0,"0,00% ",(K802-J802)/K802)</f>
        <v xml:space="preserve">0,00% </v>
      </c>
      <c r="M802" s="499">
        <v>39329.68</v>
      </c>
      <c r="N802" s="512">
        <f>IF(M802=0,"0,00% ",(M802-K802)/M802)</f>
        <v>1</v>
      </c>
      <c r="O802" s="499">
        <v>14949</v>
      </c>
      <c r="P802" s="512">
        <f>IF(O802=0,"0,00% ",(O802-M802)/O802)</f>
        <v>-1.6309238076125494</v>
      </c>
      <c r="Q802" s="484">
        <f>IF(O802=0,"R$0,0",(J802+K802+M802+O802)/4)</f>
        <v>13569.67</v>
      </c>
      <c r="R802" s="495">
        <f>IF(P802=0,"R$0,0%",(L802+N802+P802)/3)</f>
        <v>-0.21030793587084981</v>
      </c>
    </row>
    <row r="803" spans="3:18" ht="14.1" customHeight="1" x14ac:dyDescent="0.25">
      <c r="J803" s="499"/>
      <c r="K803" s="499"/>
      <c r="M803" s="499"/>
      <c r="O803" s="499"/>
    </row>
    <row r="804" spans="3:18" ht="14.1" customHeight="1" x14ac:dyDescent="0.2">
      <c r="C804" s="483" t="s">
        <v>6315</v>
      </c>
      <c r="I804" s="506" t="s">
        <v>6373</v>
      </c>
      <c r="J804" s="499">
        <v>0</v>
      </c>
      <c r="K804" s="499">
        <v>0</v>
      </c>
      <c r="L804" s="512" t="str">
        <f>IF(K804=0,"0,00% ",(K804-J804)/K804)</f>
        <v xml:space="preserve">0,00% </v>
      </c>
      <c r="M804" s="499">
        <v>0</v>
      </c>
      <c r="N804" s="512" t="str">
        <f>IF(M804=0,"0,00% ",(M804-K804)/M804)</f>
        <v xml:space="preserve">0,00% </v>
      </c>
      <c r="O804" s="499">
        <v>952.84</v>
      </c>
      <c r="P804" s="512">
        <f>IF(O804=0,"0,00% ",(O804-M804)/O804)</f>
        <v>1</v>
      </c>
      <c r="Q804" s="484">
        <f>IF(O804=0,"R$0,0",(J804+K804+M804+O804)/4)</f>
        <v>238.21</v>
      </c>
      <c r="R804" s="495">
        <f>IF(P804=0,"R$0,0%",(L804+N804+P804)/3)</f>
        <v>0.33333333333333331</v>
      </c>
    </row>
    <row r="805" spans="3:18" ht="14.1" customHeight="1" x14ac:dyDescent="0.25">
      <c r="J805" s="499"/>
      <c r="K805" s="499"/>
      <c r="M805" s="499"/>
      <c r="O805" s="499"/>
    </row>
    <row r="806" spans="3:18" ht="14.1" customHeight="1" x14ac:dyDescent="0.2">
      <c r="C806" s="483" t="s">
        <v>6330</v>
      </c>
      <c r="I806" s="506" t="s">
        <v>995</v>
      </c>
      <c r="J806" s="499">
        <v>0</v>
      </c>
      <c r="K806" s="499">
        <v>0</v>
      </c>
      <c r="L806" s="512" t="str">
        <f>IF(K806=0,"0,00% ",(K806-J806)/K806)</f>
        <v xml:space="preserve">0,00% </v>
      </c>
      <c r="M806" s="499">
        <f>31069.3+349+728.58</f>
        <v>32146.880000000001</v>
      </c>
      <c r="N806" s="512">
        <f>IF(M806=0,"0,00% ",(M806-K806)/M806)</f>
        <v>1</v>
      </c>
      <c r="O806" s="499">
        <v>9738.6200000000008</v>
      </c>
      <c r="P806" s="512">
        <f>IF(O806=0,"0,00% ",(O806-M806)/O806)</f>
        <v>-2.3009687204141862</v>
      </c>
      <c r="Q806" s="484">
        <f>IF(O806=0,"R$0,0",(J806+K806+M806+O806)/4)</f>
        <v>10471.375</v>
      </c>
      <c r="R806" s="495">
        <f>IF(P806=0,"R$0,0%",(L806+N806+P806)/3)</f>
        <v>-0.43365624013806209</v>
      </c>
    </row>
    <row r="807" spans="3:18" ht="14.1" customHeight="1" x14ac:dyDescent="0.25">
      <c r="J807" s="499"/>
      <c r="K807" s="499"/>
      <c r="M807" s="499"/>
      <c r="O807" s="499"/>
    </row>
    <row r="808" spans="3:18" s="492" customFormat="1" ht="14.1" customHeight="1" x14ac:dyDescent="0.25">
      <c r="C808" s="492" t="s">
        <v>6233</v>
      </c>
      <c r="I808" s="500" t="s">
        <v>993</v>
      </c>
      <c r="J808" s="501">
        <f>J810</f>
        <v>0</v>
      </c>
      <c r="K808" s="501">
        <f>K810</f>
        <v>0</v>
      </c>
      <c r="L808" s="489" t="str">
        <f>IF(K808=0,"0,00% ",(K808-J808)/K808)</f>
        <v xml:space="preserve">0,00% </v>
      </c>
      <c r="M808" s="501">
        <f>M810</f>
        <v>0</v>
      </c>
      <c r="N808" s="489" t="str">
        <f>IF(M808=0,"0,00% ",(M808-K808)/M808)</f>
        <v xml:space="preserve">0,00% </v>
      </c>
      <c r="O808" s="501">
        <f>O810</f>
        <v>2650</v>
      </c>
      <c r="P808" s="489">
        <f>IF(O808=0,"0,00% ",(O808-M808)/O808)</f>
        <v>1</v>
      </c>
      <c r="Q808" s="490">
        <f>IF(O808=0,"R$0,0",(J808+K808+M808+O808)/4)</f>
        <v>662.5</v>
      </c>
      <c r="R808" s="491">
        <f>IF(P808=0,"R$0,0%",(L808+N808+P808)/3)</f>
        <v>0.33333333333333331</v>
      </c>
    </row>
    <row r="809" spans="3:18" ht="14.1" customHeight="1" x14ac:dyDescent="0.25">
      <c r="J809" s="499"/>
      <c r="K809" s="499"/>
      <c r="M809" s="499"/>
      <c r="O809" s="499"/>
    </row>
    <row r="810" spans="3:18" ht="14.1" customHeight="1" x14ac:dyDescent="0.2">
      <c r="C810" s="483" t="s">
        <v>6421</v>
      </c>
      <c r="I810" s="506" t="s">
        <v>6422</v>
      </c>
      <c r="J810" s="499">
        <v>0</v>
      </c>
      <c r="K810" s="499">
        <v>0</v>
      </c>
      <c r="L810" s="512" t="str">
        <f>IF(K810=0,"0,00% ",(K810-J810)/K810)</f>
        <v xml:space="preserve">0,00% </v>
      </c>
      <c r="M810" s="499">
        <v>0</v>
      </c>
      <c r="N810" s="512" t="str">
        <f>IF(M810=0,"0,00% ",(M810-K810)/M810)</f>
        <v xml:space="preserve">0,00% </v>
      </c>
      <c r="O810" s="499">
        <v>2650</v>
      </c>
      <c r="P810" s="512">
        <f>IF(O810=0,"0,00% ",(O810-M810)/O810)</f>
        <v>1</v>
      </c>
      <c r="Q810" s="484">
        <f>IF(O810=0,"R$0,0",(J810+K810+M810+O810)/4)</f>
        <v>662.5</v>
      </c>
      <c r="R810" s="495">
        <f>IF(P810=0,"R$0,0%",(L810+N810+P810)/3)</f>
        <v>0.33333333333333331</v>
      </c>
    </row>
    <row r="811" spans="3:18" ht="14.1" customHeight="1" x14ac:dyDescent="0.25">
      <c r="J811" s="499"/>
      <c r="K811" s="499"/>
      <c r="M811" s="499"/>
      <c r="O811" s="499"/>
    </row>
    <row r="812" spans="3:18" s="492" customFormat="1" ht="14.1" customHeight="1" x14ac:dyDescent="0.25">
      <c r="C812" s="492" t="s">
        <v>6234</v>
      </c>
      <c r="I812" s="500" t="s">
        <v>1053</v>
      </c>
      <c r="J812" s="501">
        <f>J814</f>
        <v>21</v>
      </c>
      <c r="K812" s="501">
        <f>K814</f>
        <v>7</v>
      </c>
      <c r="L812" s="489">
        <f>IF(K812=0,"0,00% ",(K812-J812)/K812)</f>
        <v>-2</v>
      </c>
      <c r="M812" s="501">
        <f>M814</f>
        <v>20577.37</v>
      </c>
      <c r="N812" s="489">
        <f>IF(M812=0,"0,00% ",(M812-K812)/M812)</f>
        <v>0.99965982047268431</v>
      </c>
      <c r="O812" s="501">
        <f>O814</f>
        <v>7350</v>
      </c>
      <c r="P812" s="489">
        <f>IF(O812=0,"0,00% ",(O812-M812)/O812)</f>
        <v>-1.7996421768707482</v>
      </c>
      <c r="Q812" s="490">
        <f>IF(O812=0,"R$0,0",(J812+K812+M812+O812)/4)</f>
        <v>6988.8424999999997</v>
      </c>
      <c r="R812" s="491">
        <f>IF(P812=0,"R$0,0%",(L812+N812+P812)/3)</f>
        <v>-0.93332745213268797</v>
      </c>
    </row>
    <row r="813" spans="3:18" ht="14.1" customHeight="1" x14ac:dyDescent="0.25">
      <c r="J813" s="499"/>
      <c r="K813" s="499"/>
      <c r="M813" s="499"/>
      <c r="O813" s="499"/>
    </row>
    <row r="814" spans="3:18" ht="14.1" customHeight="1" x14ac:dyDescent="0.2">
      <c r="C814" s="483" t="s">
        <v>6423</v>
      </c>
      <c r="I814" s="506" t="s">
        <v>1742</v>
      </c>
      <c r="J814" s="499">
        <v>21</v>
      </c>
      <c r="K814" s="499">
        <v>7</v>
      </c>
      <c r="L814" s="512">
        <f>IF(K814=0,"0,00% ",(K814-J814)/K814)</f>
        <v>-2</v>
      </c>
      <c r="M814" s="499">
        <v>20577.37</v>
      </c>
      <c r="N814" s="512">
        <f>IF(M814=0,"0,00% ",(M814-K814)/M814)</f>
        <v>0.99965982047268431</v>
      </c>
      <c r="O814" s="499">
        <v>7350</v>
      </c>
      <c r="P814" s="512">
        <f>IF(O814=0,"0,00% ",(O814-M814)/O814)</f>
        <v>-1.7996421768707482</v>
      </c>
      <c r="Q814" s="484">
        <f>IF(O814=0,"R$0,0",(J814+K814+M814+O814)/4)</f>
        <v>6988.8424999999997</v>
      </c>
      <c r="R814" s="495">
        <f>IF(P814=0,"R$0,0%",(L814+N814+P814)/3)</f>
        <v>-0.93332745213268797</v>
      </c>
    </row>
    <row r="815" spans="3:18" ht="14.1" customHeight="1" x14ac:dyDescent="0.25">
      <c r="J815" s="499"/>
      <c r="K815" s="499"/>
      <c r="M815" s="499"/>
      <c r="O815" s="499"/>
    </row>
    <row r="816" spans="3:18" s="492" customFormat="1" ht="14.1" customHeight="1" x14ac:dyDescent="0.25">
      <c r="C816" s="492" t="s">
        <v>6251</v>
      </c>
      <c r="I816" s="500" t="s">
        <v>1029</v>
      </c>
      <c r="J816" s="501">
        <f>J818</f>
        <v>442746.56</v>
      </c>
      <c r="K816" s="501">
        <f>K818</f>
        <v>293835.71999999997</v>
      </c>
      <c r="L816" s="489">
        <f>IF(K816=0,"0,00% ",(K816-J816)/K816)</f>
        <v>-0.50678263350691344</v>
      </c>
      <c r="M816" s="501">
        <f>M818</f>
        <v>89036.9</v>
      </c>
      <c r="N816" s="489">
        <f>IF(M816=0,"0,00% ",(M816-K816)/M816)</f>
        <v>-2.3001566766138533</v>
      </c>
      <c r="O816" s="501">
        <f>O818</f>
        <v>77075.47</v>
      </c>
      <c r="P816" s="489">
        <f>IF(O816=0,"0,00% ",(O816-M816)/O816)</f>
        <v>-0.15519113928205683</v>
      </c>
      <c r="Q816" s="490">
        <f>IF(O816=0,"R$0,0",(J816+K816+M816+O816)/4)</f>
        <v>225673.66250000001</v>
      </c>
      <c r="R816" s="491">
        <f>IF(P816=0,"R$0,0%",(L816+N816+P816)/3)</f>
        <v>-0.98737681646760789</v>
      </c>
    </row>
    <row r="817" spans="3:18" ht="14.1" customHeight="1" x14ac:dyDescent="0.25">
      <c r="I817" s="506"/>
      <c r="J817" s="499"/>
      <c r="K817" s="499"/>
      <c r="L817" s="507"/>
      <c r="M817" s="499"/>
      <c r="N817" s="507"/>
      <c r="O817" s="499"/>
      <c r="P817" s="507"/>
    </row>
    <row r="818" spans="3:18" ht="14.1" customHeight="1" x14ac:dyDescent="0.2">
      <c r="C818" s="483" t="s">
        <v>6299</v>
      </c>
      <c r="I818" s="506" t="s">
        <v>1028</v>
      </c>
      <c r="J818" s="499">
        <v>442746.56</v>
      </c>
      <c r="K818" s="499">
        <f>108106.78+185728.94</f>
        <v>293835.71999999997</v>
      </c>
      <c r="L818" s="512">
        <f>IF(K818=0,"0,00% ",(K818-J818)/K818)</f>
        <v>-0.50678263350691344</v>
      </c>
      <c r="M818" s="499">
        <v>89036.9</v>
      </c>
      <c r="N818" s="512">
        <f>IF(M818=0,"0,00% ",(M818-K818)/M818)</f>
        <v>-2.3001566766138533</v>
      </c>
      <c r="O818" s="499">
        <v>77075.47</v>
      </c>
      <c r="P818" s="512">
        <f>IF(O818=0,"0,00% ",(O818-M818)/O818)</f>
        <v>-0.15519113928205683</v>
      </c>
      <c r="Q818" s="484">
        <f>IF(O818=0,"R$0,0",(J818+K818+M818+O818)/4)</f>
        <v>225673.66250000001</v>
      </c>
      <c r="R818" s="495">
        <f>IF(P818=0,"R$0,0%",(L818+N818+P818)/3)</f>
        <v>-0.98737681646760789</v>
      </c>
    </row>
    <row r="819" spans="3:18" ht="14.1" customHeight="1" x14ac:dyDescent="0.25">
      <c r="J819" s="499"/>
      <c r="K819" s="499"/>
      <c r="M819" s="499"/>
      <c r="O819" s="499"/>
    </row>
    <row r="820" spans="3:18" s="492" customFormat="1" ht="14.1" customHeight="1" x14ac:dyDescent="0.25">
      <c r="C820" s="492" t="s">
        <v>6235</v>
      </c>
      <c r="I820" s="500" t="s">
        <v>997</v>
      </c>
      <c r="J820" s="501">
        <f>J822+J824+J826+J832+J834+J836+J838+J842+J844+J830+J840</f>
        <v>417516.19</v>
      </c>
      <c r="K820" s="501">
        <f>K822+K824+K826+K832+K834+K836+K838+K842+K844+K830+K840</f>
        <v>166358.09999999998</v>
      </c>
      <c r="L820" s="489">
        <f>IF(K820=0,"0,00% ",(K820-J820)/K820)</f>
        <v>-1.5097436794481307</v>
      </c>
      <c r="M820" s="501">
        <f>M822+M824+M826+M832+M834+M836+M838+M842+M844+M830+M840+M828</f>
        <v>485624.17</v>
      </c>
      <c r="N820" s="489">
        <f>IF(M820=0,"0,00% ",(M820-K820)/M820)</f>
        <v>0.65743447242339692</v>
      </c>
      <c r="O820" s="501">
        <f>O822+O824+O826+O832+O834+O836+O838+O842+O844+O830+O840</f>
        <v>192898.03999999998</v>
      </c>
      <c r="P820" s="489">
        <f>IF(O820=0,"0,00% ",(O820-M820)/O820)</f>
        <v>-1.5175173889791729</v>
      </c>
      <c r="Q820" s="490">
        <f>IF(O820=0,"R$0,0",(J820+K820+M820+O820)/4)</f>
        <v>315599.125</v>
      </c>
      <c r="R820" s="491">
        <f>IF(P820=0,"R$0,0%",(L820+N820+P820)/3)</f>
        <v>-0.78994219866796878</v>
      </c>
    </row>
    <row r="821" spans="3:18" ht="14.1" customHeight="1" x14ac:dyDescent="0.25">
      <c r="J821" s="499"/>
      <c r="K821" s="499"/>
      <c r="M821" s="499"/>
      <c r="O821" s="499"/>
    </row>
    <row r="822" spans="3:18" ht="14.1" customHeight="1" x14ac:dyDescent="0.2">
      <c r="C822" s="483" t="s">
        <v>6424</v>
      </c>
      <c r="I822" s="506" t="s">
        <v>5522</v>
      </c>
      <c r="J822" s="499">
        <v>0</v>
      </c>
      <c r="K822" s="499">
        <v>0</v>
      </c>
      <c r="L822" s="512" t="str">
        <f>IF(K822=0,"0,00% ",(K822-J822)/K822)</f>
        <v xml:space="preserve">0,00% </v>
      </c>
      <c r="M822" s="499">
        <v>0</v>
      </c>
      <c r="N822" s="512" t="str">
        <f>IF(M822=0,"0,00% ",(M822-K822)/M822)</f>
        <v xml:space="preserve">0,00% </v>
      </c>
      <c r="O822" s="499">
        <v>516.66999999999996</v>
      </c>
      <c r="P822" s="512">
        <f>IF(O822=0,"0,00% ",(O822-M822)/O822)</f>
        <v>1</v>
      </c>
      <c r="Q822" s="484">
        <f>IF(O822=0,"R$0,0",(J822+K822+M822+O822)/4)</f>
        <v>129.16749999999999</v>
      </c>
      <c r="R822" s="495">
        <f>IF(P822=0,"R$0,0%",(L822+N822+P822)/3)</f>
        <v>0.33333333333333331</v>
      </c>
    </row>
    <row r="823" spans="3:18" ht="14.1" customHeight="1" x14ac:dyDescent="0.25">
      <c r="J823" s="499"/>
      <c r="K823" s="499"/>
      <c r="M823" s="499"/>
      <c r="O823" s="499"/>
    </row>
    <row r="824" spans="3:18" ht="14.1" customHeight="1" x14ac:dyDescent="0.2">
      <c r="C824" s="483" t="s">
        <v>6316</v>
      </c>
      <c r="I824" s="506" t="s">
        <v>1106</v>
      </c>
      <c r="J824" s="499">
        <v>1670</v>
      </c>
      <c r="K824" s="499">
        <v>0</v>
      </c>
      <c r="L824" s="512" t="str">
        <f>IF(K824=0,"0,00% ",(K824-J824)/K824)</f>
        <v xml:space="preserve">0,00% </v>
      </c>
      <c r="M824" s="499">
        <v>24879.72</v>
      </c>
      <c r="N824" s="512">
        <f>IF(M824=0,"0,00% ",(M824-K824)/M824)</f>
        <v>1</v>
      </c>
      <c r="O824" s="499">
        <v>5361.23</v>
      </c>
      <c r="P824" s="512">
        <f>IF(O824=0,"0,00% ",(O824-M824)/O824)</f>
        <v>-3.6406738752114727</v>
      </c>
      <c r="Q824" s="484">
        <f>IF(O824=0,"R$0,0",(J824+K824+M824+O824)/4)</f>
        <v>7977.7375000000002</v>
      </c>
      <c r="R824" s="495">
        <f>IF(P824=0,"R$0,0%",(L824+N824+P824)/3)</f>
        <v>-0.88022462507049093</v>
      </c>
    </row>
    <row r="825" spans="3:18" ht="14.1" customHeight="1" x14ac:dyDescent="0.25">
      <c r="J825" s="499"/>
      <c r="K825" s="499"/>
      <c r="M825" s="499"/>
      <c r="O825" s="499"/>
    </row>
    <row r="826" spans="3:18" ht="14.1" customHeight="1" x14ac:dyDescent="0.2">
      <c r="C826" s="483" t="s">
        <v>6270</v>
      </c>
      <c r="I826" s="506" t="s">
        <v>999</v>
      </c>
      <c r="J826" s="499">
        <v>0</v>
      </c>
      <c r="K826" s="499">
        <v>1976</v>
      </c>
      <c r="L826" s="512">
        <f>IF(K826=0,"0,00% ",(K826-J826)/K826)</f>
        <v>1</v>
      </c>
      <c r="M826" s="499">
        <v>7553.87</v>
      </c>
      <c r="N826" s="512">
        <f>IF(M826=0,"0,00% ",(M826-K826)/M826)</f>
        <v>0.73841223108155152</v>
      </c>
      <c r="O826" s="499">
        <v>1585.02</v>
      </c>
      <c r="P826" s="512">
        <f>IF(O826=0,"0,00% ",(O826-M826)/O826)</f>
        <v>-3.7657884443098513</v>
      </c>
      <c r="Q826" s="484">
        <f>IF(O826=0,"R$0,0",(J826+K826+M826+O826)/4)</f>
        <v>2778.7224999999999</v>
      </c>
      <c r="R826" s="495">
        <f>IF(P826=0,"R$0,0%",(L826+N826+P826)/3)</f>
        <v>-0.67579207107609995</v>
      </c>
    </row>
    <row r="827" spans="3:18" ht="14.1" customHeight="1" x14ac:dyDescent="0.25">
      <c r="J827" s="499"/>
      <c r="K827" s="499"/>
      <c r="M827" s="499"/>
      <c r="O827" s="499"/>
    </row>
    <row r="828" spans="3:18" ht="14.1" customHeight="1" x14ac:dyDescent="0.2">
      <c r="C828" s="483" t="s">
        <v>6472</v>
      </c>
      <c r="I828" s="506" t="s">
        <v>6473</v>
      </c>
      <c r="J828" s="499">
        <v>0</v>
      </c>
      <c r="K828" s="499">
        <v>0</v>
      </c>
      <c r="L828" s="512" t="str">
        <f>IF(K828=0,"0,00% ",(K828-J828)/K828)</f>
        <v xml:space="preserve">0,00% </v>
      </c>
      <c r="M828" s="499">
        <v>13819.73</v>
      </c>
      <c r="N828" s="512">
        <f>IF(M828=0,"0,00% ",(M828-K828)/M828)</f>
        <v>1</v>
      </c>
      <c r="O828" s="499">
        <v>1585.02</v>
      </c>
      <c r="P828" s="512">
        <f>IF(O828=0,"0,00% ",(O828-M828)/O828)</f>
        <v>-7.7189625367503245</v>
      </c>
      <c r="Q828" s="484">
        <f>IF(O828=0,"R$0,0",(J828+K828+M828+O828)/4)</f>
        <v>3851.1875</v>
      </c>
      <c r="R828" s="495">
        <f>IF(P828=0,"R$0,0%",(L828+N828+P828)/3)</f>
        <v>-2.239654178916775</v>
      </c>
    </row>
    <row r="829" spans="3:18" ht="14.1" customHeight="1" x14ac:dyDescent="0.25">
      <c r="J829" s="499"/>
      <c r="K829" s="499"/>
      <c r="M829" s="499"/>
      <c r="O829" s="499"/>
    </row>
    <row r="830" spans="3:18" ht="14.1" customHeight="1" x14ac:dyDescent="0.2">
      <c r="C830" s="483" t="s">
        <v>6450</v>
      </c>
      <c r="I830" s="506" t="s">
        <v>6451</v>
      </c>
      <c r="J830" s="499">
        <v>801</v>
      </c>
      <c r="K830" s="499">
        <v>5938.4</v>
      </c>
      <c r="L830" s="512">
        <f>IF(K830=0,"0,00% ",(K830-J830)/K830)</f>
        <v>0.8651151825407517</v>
      </c>
      <c r="M830" s="499">
        <v>7894</v>
      </c>
      <c r="N830" s="512">
        <f>IF(M830=0,"0,00% ",(M830-K830)/M830)</f>
        <v>0.2477324550291361</v>
      </c>
      <c r="O830" s="499">
        <v>1585.02</v>
      </c>
      <c r="P830" s="512">
        <f>IF(O830=0,"0,00% ",(O830-M830)/O830)</f>
        <v>-3.9803787964820629</v>
      </c>
      <c r="Q830" s="484">
        <f>IF(O830=0,"R$0,0",(J830+K830+M830+O830)/4)</f>
        <v>4054.605</v>
      </c>
      <c r="R830" s="495">
        <f>IF(P830=0,"R$0,0%",(L830+N830+P830)/3)</f>
        <v>-0.95584371963739168</v>
      </c>
    </row>
    <row r="831" spans="3:18" ht="14.1" customHeight="1" x14ac:dyDescent="0.25">
      <c r="J831" s="499"/>
      <c r="K831" s="499"/>
      <c r="M831" s="499"/>
      <c r="O831" s="499"/>
    </row>
    <row r="832" spans="3:18" ht="14.1" customHeight="1" x14ac:dyDescent="0.2">
      <c r="C832" s="483" t="s">
        <v>6331</v>
      </c>
      <c r="I832" s="506" t="s">
        <v>5531</v>
      </c>
      <c r="J832" s="499">
        <v>0</v>
      </c>
      <c r="K832" s="499">
        <v>0</v>
      </c>
      <c r="L832" s="512" t="str">
        <f>IF(K832=0,"0,00% ",(K832-J832)/K832)</f>
        <v xml:space="preserve">0,00% </v>
      </c>
      <c r="M832" s="499">
        <v>1877</v>
      </c>
      <c r="N832" s="512">
        <f>IF(M832=0,"0,00% ",(M832-K832)/M832)</f>
        <v>1</v>
      </c>
      <c r="O832" s="499">
        <v>1799</v>
      </c>
      <c r="P832" s="512">
        <f>IF(O832=0,"0,00% ",(O832-M832)/O832)</f>
        <v>-4.3357420789327403E-2</v>
      </c>
      <c r="Q832" s="484">
        <f>IF(O832=0,"R$0,0",(J832+K832+M832+O832)/4)</f>
        <v>919</v>
      </c>
      <c r="R832" s="495">
        <f>IF(P832=0,"R$0,0%",(L832+N832+P832)/3)</f>
        <v>0.3188808597368909</v>
      </c>
    </row>
    <row r="833" spans="3:18" ht="14.1" customHeight="1" x14ac:dyDescent="0.25">
      <c r="J833" s="499"/>
      <c r="K833" s="499"/>
      <c r="M833" s="499"/>
      <c r="O833" s="499"/>
    </row>
    <row r="834" spans="3:18" ht="14.1" customHeight="1" x14ac:dyDescent="0.2">
      <c r="C834" s="483" t="s">
        <v>6308</v>
      </c>
      <c r="I834" s="506" t="s">
        <v>6425</v>
      </c>
      <c r="J834" s="499">
        <v>123322.19</v>
      </c>
      <c r="K834" s="499">
        <f>97612.23+284</f>
        <v>97896.23</v>
      </c>
      <c r="L834" s="512">
        <f>IF(K834=0,"0,00% ",(K834-J834)/K834)</f>
        <v>-0.25972358690421488</v>
      </c>
      <c r="M834" s="499">
        <f>8820.96</f>
        <v>8820.9599999999991</v>
      </c>
      <c r="N834" s="512">
        <f>IF(M834=0,"0,00% ",(M834-K834)/M834)</f>
        <v>-10.098137844406958</v>
      </c>
      <c r="O834" s="499">
        <v>51445.14</v>
      </c>
      <c r="P834" s="512">
        <f>IF(O834=0,"0,00% ",(O834-M834)/O834)</f>
        <v>0.82853657313402196</v>
      </c>
      <c r="Q834" s="484">
        <f>IF(O834=0,"R$0,0",(J834+K834+M834+O834)/4)</f>
        <v>70371.12999999999</v>
      </c>
      <c r="R834" s="495">
        <f>IF(P834=0,"R$0,0%",(L834+N834+P834)/3)</f>
        <v>-3.1764416193923837</v>
      </c>
    </row>
    <row r="835" spans="3:18" ht="14.1" customHeight="1" x14ac:dyDescent="0.25">
      <c r="J835" s="499"/>
      <c r="K835" s="499"/>
      <c r="M835" s="499"/>
      <c r="O835" s="499"/>
    </row>
    <row r="836" spans="3:18" ht="14.1" customHeight="1" x14ac:dyDescent="0.2">
      <c r="C836" s="483" t="s">
        <v>6271</v>
      </c>
      <c r="I836" s="506" t="s">
        <v>998</v>
      </c>
      <c r="J836" s="499">
        <v>9923</v>
      </c>
      <c r="K836" s="499">
        <v>46973</v>
      </c>
      <c r="L836" s="512">
        <f>IF(K836=0,"0,00% ",(K836-J836)/K836)</f>
        <v>0.78875098460817916</v>
      </c>
      <c r="M836" s="499">
        <v>20587.099999999999</v>
      </c>
      <c r="N836" s="512">
        <f>IF(M836=0,"0,00% ",(M836-K836)/M836)</f>
        <v>-1.2816715321730601</v>
      </c>
      <c r="O836" s="499">
        <v>17676.96</v>
      </c>
      <c r="P836" s="512">
        <f>IF(O836=0,"0,00% ",(O836-M836)/O836)</f>
        <v>-0.16462898597948966</v>
      </c>
      <c r="Q836" s="484">
        <f>IF(O836=0,"R$0,0",(J836+K836+M836+O836)/4)</f>
        <v>23790.014999999999</v>
      </c>
      <c r="R836" s="495">
        <f>IF(P836=0,"R$0,0%",(L836+N836+P836)/3)</f>
        <v>-0.21918317784812355</v>
      </c>
    </row>
    <row r="837" spans="3:18" ht="14.1" customHeight="1" x14ac:dyDescent="0.25">
      <c r="J837" s="499"/>
      <c r="K837" s="499"/>
      <c r="M837" s="499"/>
      <c r="O837" s="499"/>
    </row>
    <row r="838" spans="3:18" ht="14.1" customHeight="1" x14ac:dyDescent="0.2">
      <c r="C838" s="483" t="s">
        <v>6426</v>
      </c>
      <c r="I838" s="506" t="s">
        <v>5532</v>
      </c>
      <c r="J838" s="499">
        <v>0</v>
      </c>
      <c r="K838" s="499">
        <v>0</v>
      </c>
      <c r="L838" s="512" t="str">
        <f>IF(K838=0,"0,00% ",(K838-J838)/K838)</f>
        <v xml:space="preserve">0,00% </v>
      </c>
      <c r="M838" s="499">
        <v>0</v>
      </c>
      <c r="N838" s="512" t="str">
        <f>IF(M838=0,"0,00% ",(M838-K838)/M838)</f>
        <v xml:space="preserve">0,00% </v>
      </c>
      <c r="O838" s="499">
        <v>2788</v>
      </c>
      <c r="P838" s="512">
        <f>IF(O838=0,"0,00% ",(O838-M838)/O838)</f>
        <v>1</v>
      </c>
      <c r="Q838" s="484">
        <f>IF(O838=0,"R$0,0",(J838+K838+M838+O838)/4)</f>
        <v>697</v>
      </c>
      <c r="R838" s="495">
        <f>IF(P838=0,"R$0,0%",(L838+N838+P838)/3)</f>
        <v>0.33333333333333331</v>
      </c>
    </row>
    <row r="839" spans="3:18" ht="14.1" customHeight="1" x14ac:dyDescent="0.25">
      <c r="J839" s="499"/>
      <c r="K839" s="499"/>
      <c r="M839" s="499"/>
      <c r="O839" s="499"/>
    </row>
    <row r="840" spans="3:18" ht="14.1" customHeight="1" x14ac:dyDescent="0.2">
      <c r="C840" s="483" t="s">
        <v>6452</v>
      </c>
      <c r="I840" s="506" t="s">
        <v>6453</v>
      </c>
      <c r="J840" s="499">
        <v>243200</v>
      </c>
      <c r="K840" s="499">
        <v>0</v>
      </c>
      <c r="L840" s="512" t="str">
        <f>IF(K840=0,"0,00% ",(K840-J840)/K840)</f>
        <v xml:space="preserve">0,00% </v>
      </c>
      <c r="M840" s="499">
        <v>0</v>
      </c>
      <c r="N840" s="512" t="str">
        <f>IF(M840=0,"0,00% ",(M840-K840)/M840)</f>
        <v xml:space="preserve">0,00% </v>
      </c>
      <c r="O840" s="499">
        <v>2788</v>
      </c>
      <c r="P840" s="512">
        <f>IF(O840=0,"0,00% ",(O840-M840)/O840)</f>
        <v>1</v>
      </c>
      <c r="Q840" s="484">
        <f>IF(O840=0,"R$0,0",(J840+K840+M840+O840)/4)</f>
        <v>61497</v>
      </c>
      <c r="R840" s="495">
        <f>IF(P840=0,"R$0,0%",(L840+N840+P840)/3)</f>
        <v>0.33333333333333331</v>
      </c>
    </row>
    <row r="841" spans="3:18" ht="14.1" customHeight="1" x14ac:dyDescent="0.25">
      <c r="J841" s="499"/>
      <c r="K841" s="499"/>
      <c r="M841" s="499"/>
      <c r="O841" s="499"/>
    </row>
    <row r="842" spans="3:18" ht="14.1" customHeight="1" x14ac:dyDescent="0.2">
      <c r="C842" s="483" t="s">
        <v>6272</v>
      </c>
      <c r="I842" s="506" t="s">
        <v>1000</v>
      </c>
      <c r="J842" s="499">
        <v>0</v>
      </c>
      <c r="K842" s="499">
        <f>720+12854.47</f>
        <v>13574.47</v>
      </c>
      <c r="L842" s="512">
        <f>IF(K842=0,"0,00% ",(K842-J842)/K842)</f>
        <v>1</v>
      </c>
      <c r="M842" s="499">
        <v>19311.79</v>
      </c>
      <c r="N842" s="512">
        <f>IF(M842=0,"0,00% ",(M842-K842)/M842)</f>
        <v>0.29708898035863074</v>
      </c>
      <c r="O842" s="499">
        <v>3353</v>
      </c>
      <c r="P842" s="512">
        <f>IF(O842=0,"0,00% ",(O842-M842)/O842)</f>
        <v>-4.7595556218311961</v>
      </c>
      <c r="Q842" s="484">
        <f>IF(O842=0,"R$0,0",(J842+K842+M842+O842)/4)</f>
        <v>9059.8150000000005</v>
      </c>
      <c r="R842" s="495">
        <f>IF(P842=0,"R$0,0%",(L842+N842+P842)/3)</f>
        <v>-1.1541555471575218</v>
      </c>
    </row>
    <row r="843" spans="3:18" ht="14.1" customHeight="1" x14ac:dyDescent="0.25">
      <c r="J843" s="499"/>
      <c r="K843" s="499"/>
      <c r="M843" s="499"/>
      <c r="O843" s="499"/>
    </row>
    <row r="844" spans="3:18" ht="14.1" customHeight="1" x14ac:dyDescent="0.2">
      <c r="C844" s="483" t="s">
        <v>6294</v>
      </c>
      <c r="I844" s="506" t="s">
        <v>1099</v>
      </c>
      <c r="J844" s="499">
        <v>38600</v>
      </c>
      <c r="K844" s="499">
        <v>0</v>
      </c>
      <c r="L844" s="512" t="str">
        <f>IF(K844=0,"0,00% ",(K844-J844)/K844)</f>
        <v xml:space="preserve">0,00% </v>
      </c>
      <c r="M844" s="499">
        <v>380880</v>
      </c>
      <c r="N844" s="512">
        <f>IF(M844=0,"0,00% ",(M844-K844)/M844)</f>
        <v>1</v>
      </c>
      <c r="O844" s="499">
        <v>104000</v>
      </c>
      <c r="P844" s="512">
        <f>IF(O844=0,"0,00% ",(O844-M844)/O844)</f>
        <v>-2.6623076923076923</v>
      </c>
      <c r="Q844" s="484">
        <f>IF(O844=0,"R$0,0",(J844+K844+M844+O844)/4)</f>
        <v>130870</v>
      </c>
      <c r="R844" s="495">
        <f>IF(P844=0,"R$0,0%",(L844+N844+P844)/3)</f>
        <v>-0.55410256410256409</v>
      </c>
    </row>
    <row r="845" spans="3:18" ht="14.1" customHeight="1" x14ac:dyDescent="0.25">
      <c r="J845" s="499"/>
      <c r="K845" s="499"/>
      <c r="M845" s="499"/>
      <c r="O845" s="499"/>
    </row>
    <row r="846" spans="3:18" s="492" customFormat="1" ht="14.1" customHeight="1" x14ac:dyDescent="0.25">
      <c r="C846" s="492" t="s">
        <v>6252</v>
      </c>
      <c r="I846" s="500" t="s">
        <v>1192</v>
      </c>
      <c r="J846" s="501">
        <f>J848</f>
        <v>0</v>
      </c>
      <c r="K846" s="501">
        <f>K848</f>
        <v>0</v>
      </c>
      <c r="L846" s="489" t="str">
        <f>IF(K846=0,"0,00% ",(K846-J846)/K846)</f>
        <v xml:space="preserve">0,00% </v>
      </c>
      <c r="M846" s="501">
        <f>M848</f>
        <v>150000</v>
      </c>
      <c r="N846" s="489">
        <f>IF(M846=0,"0,00% ",(M846-K846)/M846)</f>
        <v>1</v>
      </c>
      <c r="O846" s="501">
        <f>O848</f>
        <v>150000</v>
      </c>
      <c r="P846" s="489">
        <f>IF(O846=0,"0,00% ",(O846-M846)/O846)</f>
        <v>0</v>
      </c>
      <c r="Q846" s="490">
        <f>IF(O846=0,"R$0,0",(J846+K846+M846+O846)/4)</f>
        <v>75000</v>
      </c>
      <c r="R846" s="491" t="str">
        <f>IF(P846=0,"R$0,0%",(L846+N846+P846)/3)</f>
        <v>R$0,0%</v>
      </c>
    </row>
    <row r="847" spans="3:18" ht="14.1" customHeight="1" x14ac:dyDescent="0.25">
      <c r="J847" s="499"/>
      <c r="K847" s="499"/>
      <c r="M847" s="499"/>
      <c r="O847" s="499"/>
    </row>
    <row r="848" spans="3:18" ht="14.1" customHeight="1" x14ac:dyDescent="0.2">
      <c r="C848" s="483" t="s">
        <v>6427</v>
      </c>
      <c r="I848" s="506" t="s">
        <v>1191</v>
      </c>
      <c r="J848" s="499">
        <v>0</v>
      </c>
      <c r="K848" s="499">
        <v>0</v>
      </c>
      <c r="L848" s="512" t="str">
        <f>IF(K848=0,"0,00% ",(K848-J848)/K848)</f>
        <v xml:space="preserve">0,00% </v>
      </c>
      <c r="M848" s="499">
        <v>150000</v>
      </c>
      <c r="N848" s="512">
        <f>IF(M848=0,"0,00% ",(M848-K848)/M848)</f>
        <v>1</v>
      </c>
      <c r="O848" s="499">
        <v>150000</v>
      </c>
      <c r="P848" s="512">
        <f>IF(O848=0,"0,00% ",(O848-M848)/O848)</f>
        <v>0</v>
      </c>
      <c r="Q848" s="484">
        <f>IF(O848=0,"R$0,0",(J848+K848+M848+O848)/4)</f>
        <v>75000</v>
      </c>
      <c r="R848" s="495" t="str">
        <f>IF(P848=0,"R$0,0%",(L848+N848+P848)/3)</f>
        <v>R$0,0%</v>
      </c>
    </row>
    <row r="849" spans="3:23" ht="14.1" customHeight="1" x14ac:dyDescent="0.25">
      <c r="J849" s="499"/>
      <c r="K849" s="499"/>
      <c r="M849" s="499"/>
      <c r="O849" s="499"/>
    </row>
    <row r="850" spans="3:23" s="492" customFormat="1" ht="14.1" customHeight="1" x14ac:dyDescent="0.25">
      <c r="C850" s="492" t="s">
        <v>6428</v>
      </c>
      <c r="I850" s="500" t="s">
        <v>2079</v>
      </c>
      <c r="J850" s="501">
        <f>J852</f>
        <v>82738.760000000009</v>
      </c>
      <c r="K850" s="501">
        <f>K852</f>
        <v>77521.8</v>
      </c>
      <c r="L850" s="489">
        <f>IF(K850=0,"0,00% ",(K850-J850)/K850)</f>
        <v>-6.7296682997556895E-2</v>
      </c>
      <c r="M850" s="501">
        <f>M852</f>
        <v>45221.05</v>
      </c>
      <c r="N850" s="489">
        <f>IF(M850=0,"0,00% ",(M850-K850)/M850)</f>
        <v>-0.71428571428571419</v>
      </c>
      <c r="O850" s="501">
        <f>O852</f>
        <v>82738.760000000009</v>
      </c>
      <c r="P850" s="489">
        <f>IF(O850=0,"0,00% ",(O850-M850)/O850)</f>
        <v>0.45344781575165016</v>
      </c>
      <c r="Q850" s="490">
        <f>IF(O850=0,"R$0,0",(J850+K850+M850+O850)/4)</f>
        <v>72055.092499999999</v>
      </c>
      <c r="R850" s="491">
        <f>IF(P850=0,"R$0,0%",(L850+N850+P850)/3)</f>
        <v>-0.10937819384387364</v>
      </c>
      <c r="S850" s="502"/>
    </row>
    <row r="851" spans="3:23" s="492" customFormat="1" ht="14.1" customHeight="1" x14ac:dyDescent="0.25">
      <c r="J851" s="501"/>
      <c r="K851" s="501"/>
      <c r="M851" s="501"/>
      <c r="O851" s="501"/>
    </row>
    <row r="852" spans="3:23" s="492" customFormat="1" ht="14.1" customHeight="1" x14ac:dyDescent="0.25">
      <c r="C852" s="492" t="s">
        <v>6429</v>
      </c>
      <c r="I852" s="500" t="s">
        <v>2108</v>
      </c>
      <c r="J852" s="501">
        <f>J854</f>
        <v>82738.760000000009</v>
      </c>
      <c r="K852" s="501">
        <f>K854</f>
        <v>77521.8</v>
      </c>
      <c r="L852" s="489">
        <f>IF(K852=0,"0,00% ",(K852-J852)/K852)</f>
        <v>-6.7296682997556895E-2</v>
      </c>
      <c r="M852" s="501">
        <f>M854</f>
        <v>45221.05</v>
      </c>
      <c r="N852" s="489">
        <f>IF(M852=0,"0,00% ",(M852-K852)/M852)</f>
        <v>-0.71428571428571419</v>
      </c>
      <c r="O852" s="501">
        <f>O854</f>
        <v>82738.760000000009</v>
      </c>
      <c r="P852" s="489">
        <f>IF(O852=0,"0,00% ",(O852-M852)/O852)</f>
        <v>0.45344781575165016</v>
      </c>
      <c r="Q852" s="490">
        <f>IF(O852=0,"R$0,0",(J852+K852+M852+O852)/4)</f>
        <v>72055.092499999999</v>
      </c>
      <c r="R852" s="491">
        <f>IF(P852=0,"R$0,0%",(L852+N852+P852)/3)</f>
        <v>-0.10937819384387364</v>
      </c>
    </row>
    <row r="853" spans="3:23" s="492" customFormat="1" ht="14.1" customHeight="1" x14ac:dyDescent="0.25">
      <c r="I853" s="500"/>
      <c r="J853" s="501"/>
      <c r="K853" s="501"/>
      <c r="L853" s="505"/>
      <c r="M853" s="501"/>
      <c r="N853" s="505"/>
      <c r="O853" s="501"/>
      <c r="P853" s="505"/>
      <c r="Q853" s="490"/>
      <c r="R853" s="491"/>
    </row>
    <row r="854" spans="3:23" s="492" customFormat="1" ht="14.1" customHeight="1" x14ac:dyDescent="0.25">
      <c r="C854" s="492" t="s">
        <v>6267</v>
      </c>
      <c r="I854" s="500" t="s">
        <v>6454</v>
      </c>
      <c r="J854" s="501">
        <f>J856+J858</f>
        <v>82738.760000000009</v>
      </c>
      <c r="K854" s="501">
        <f>K856+K858</f>
        <v>77521.8</v>
      </c>
      <c r="L854" s="489">
        <f>IF(K854=0,"0,00% ",(K854-J854)/K854)</f>
        <v>-6.7296682997556895E-2</v>
      </c>
      <c r="M854" s="501">
        <f>M856+M858</f>
        <v>45221.05</v>
      </c>
      <c r="N854" s="489">
        <f>IF(M854=0,"0,00% ",(M854-K854)/M854)</f>
        <v>-0.71428571428571419</v>
      </c>
      <c r="O854" s="501">
        <f>O856+O858</f>
        <v>82738.760000000009</v>
      </c>
      <c r="P854" s="489">
        <f>IF(O854=0,"0,00% ",(O854-M854)/O854)</f>
        <v>0.45344781575165016</v>
      </c>
      <c r="Q854" s="490">
        <f>IF(O854=0,"R$0,0",(J854+K854+M854+O854)/4)</f>
        <v>72055.092499999999</v>
      </c>
      <c r="R854" s="491">
        <f>IF(P854=0,"R$0,0%",(L854+N854+P854)/3)</f>
        <v>-0.10937819384387364</v>
      </c>
    </row>
    <row r="855" spans="3:23" ht="14.1" customHeight="1" x14ac:dyDescent="0.2">
      <c r="I855" s="506"/>
      <c r="J855" s="499"/>
      <c r="K855" s="499"/>
      <c r="L855" s="494"/>
      <c r="M855" s="499"/>
      <c r="N855" s="494"/>
      <c r="O855" s="499"/>
      <c r="P855" s="494"/>
      <c r="Q855" s="484"/>
      <c r="R855" s="495"/>
    </row>
    <row r="856" spans="3:23" ht="14.1" customHeight="1" x14ac:dyDescent="0.2">
      <c r="C856" s="483" t="s">
        <v>6455</v>
      </c>
      <c r="I856" s="506" t="s">
        <v>6457</v>
      </c>
      <c r="J856" s="499">
        <v>5216.96</v>
      </c>
      <c r="K856" s="499">
        <v>0</v>
      </c>
      <c r="L856" s="512" t="str">
        <f>IF(K856=0,"0,00% ",(K856-J856)/K856)</f>
        <v xml:space="preserve">0,00% </v>
      </c>
      <c r="M856" s="499">
        <v>0</v>
      </c>
      <c r="N856" s="512" t="str">
        <f>IF(M856=0,"0,00% ",(M856-K856)/M856)</f>
        <v xml:space="preserve">0,00% </v>
      </c>
      <c r="O856" s="499">
        <v>5216.96</v>
      </c>
      <c r="P856" s="512">
        <f>IF(O856=0,"0,00% ",(O856-M856)/O856)</f>
        <v>1</v>
      </c>
      <c r="Q856" s="484">
        <f>IF(O856=0,"R$0,0",(J856+K856+M856+O856)/4)</f>
        <v>2608.48</v>
      </c>
      <c r="R856" s="495">
        <f>IF(P856=0,"R$0,0%",(L856+N856+P856)/3)</f>
        <v>0.33333333333333331</v>
      </c>
    </row>
    <row r="857" spans="3:23" ht="14.1" customHeight="1" x14ac:dyDescent="0.2">
      <c r="I857" s="506"/>
      <c r="J857" s="499"/>
      <c r="K857" s="499"/>
      <c r="L857" s="494"/>
      <c r="M857" s="499"/>
      <c r="N857" s="494"/>
      <c r="O857" s="499"/>
      <c r="P857" s="494"/>
      <c r="Q857" s="484"/>
      <c r="R857" s="495"/>
    </row>
    <row r="858" spans="3:23" ht="14.1" customHeight="1" x14ac:dyDescent="0.2">
      <c r="C858" s="483" t="s">
        <v>6456</v>
      </c>
      <c r="I858" s="506" t="s">
        <v>6458</v>
      </c>
      <c r="J858" s="499">
        <v>77521.8</v>
      </c>
      <c r="K858" s="499">
        <v>77521.8</v>
      </c>
      <c r="L858" s="512">
        <f>IF(K858=0,"0,00% ",(K858-J858)/K858)</f>
        <v>0</v>
      </c>
      <c r="M858" s="499">
        <v>45221.05</v>
      </c>
      <c r="N858" s="512">
        <f>IF(M858=0,"0,00% ",(M858-K858)/M858)</f>
        <v>-0.71428571428571419</v>
      </c>
      <c r="O858" s="499">
        <v>77521.8</v>
      </c>
      <c r="P858" s="512">
        <f>IF(O858=0,"0,00% ",(O858-M858)/O858)</f>
        <v>0.41666666666666663</v>
      </c>
      <c r="Q858" s="484">
        <f>IF(O858=0,"R$0,0",(J858+K858+M858+O858)/4)</f>
        <v>69446.612500000003</v>
      </c>
      <c r="R858" s="495">
        <f>IF(P858=0,"R$0,0%",(L858+N858+P858)/3)</f>
        <v>-9.9206349206349187E-2</v>
      </c>
    </row>
    <row r="859" spans="3:23" ht="14.1" customHeight="1" x14ac:dyDescent="0.2">
      <c r="I859" s="506"/>
      <c r="J859" s="499"/>
      <c r="K859" s="499"/>
      <c r="L859" s="494"/>
      <c r="M859" s="499"/>
      <c r="N859" s="494"/>
      <c r="O859" s="499"/>
      <c r="P859" s="494"/>
      <c r="Q859" s="484"/>
      <c r="R859" s="495"/>
    </row>
    <row r="860" spans="3:23" s="492" customFormat="1" ht="14.1" customHeight="1" x14ac:dyDescent="0.25">
      <c r="C860" s="492" t="s">
        <v>6430</v>
      </c>
      <c r="I860" s="500" t="s">
        <v>988</v>
      </c>
      <c r="J860" s="501">
        <v>0</v>
      </c>
      <c r="K860" s="501">
        <v>0</v>
      </c>
      <c r="L860" s="489" t="str">
        <f>IF(K860=0,"0,00% ",(K860-J860)/K860)</f>
        <v xml:space="preserve">0,00% </v>
      </c>
      <c r="M860" s="501">
        <v>0</v>
      </c>
      <c r="N860" s="489" t="str">
        <f>IF(M860=0,"0,00% ",(M860-K860)/M860)</f>
        <v xml:space="preserve">0,00% </v>
      </c>
      <c r="O860" s="501">
        <v>0</v>
      </c>
      <c r="P860" s="489" t="str">
        <f>IF(O860=0,"0,00% ",(O860-M860)/O860)</f>
        <v xml:space="preserve">0,00% </v>
      </c>
      <c r="Q860" s="490" t="str">
        <f>IF(O860=0,"R$0,0",(J860+K860+M860+O860)/4)</f>
        <v>R$0,0</v>
      </c>
      <c r="R860" s="491">
        <f>IF(P860=0,"R$0,0%",(L860+N860+P860)/3)</f>
        <v>0</v>
      </c>
      <c r="W860" s="502"/>
    </row>
    <row r="861" spans="3:23" s="492" customFormat="1" ht="14.1" customHeight="1" x14ac:dyDescent="0.25">
      <c r="J861" s="501"/>
      <c r="K861" s="501"/>
      <c r="M861" s="501"/>
      <c r="O861" s="501"/>
    </row>
    <row r="862" spans="3:23" s="492" customFormat="1" ht="14.1" customHeight="1" x14ac:dyDescent="0.25">
      <c r="C862" s="492" t="s">
        <v>6431</v>
      </c>
      <c r="I862" s="500" t="s">
        <v>988</v>
      </c>
      <c r="J862" s="501">
        <v>0</v>
      </c>
      <c r="K862" s="501">
        <v>0</v>
      </c>
      <c r="L862" s="489" t="str">
        <f>IF(K862=0,"0,00% ",(K862-J862)/K862)</f>
        <v xml:space="preserve">0,00% </v>
      </c>
      <c r="M862" s="501">
        <v>0</v>
      </c>
      <c r="N862" s="489" t="str">
        <f>IF(M862=0,"0,00% ",(M862-K862)/M862)</f>
        <v xml:space="preserve">0,00% </v>
      </c>
      <c r="O862" s="501">
        <v>0</v>
      </c>
      <c r="P862" s="489" t="str">
        <f>IF(O862=0,"0,00% ",(O862-M862)/O862)</f>
        <v xml:space="preserve">0,00% </v>
      </c>
      <c r="Q862" s="490" t="str">
        <f>IF(O862=0,"R$0,0",(J862+K862+M862+O862)/4)</f>
        <v>R$0,0</v>
      </c>
      <c r="R862" s="491">
        <f>IF(P862=0,"R$0,0%",(L862+N862+P862)/3)</f>
        <v>0</v>
      </c>
      <c r="S862" s="502"/>
    </row>
    <row r="863" spans="3:23" ht="14.1" customHeight="1" x14ac:dyDescent="0.25">
      <c r="J863" s="499"/>
      <c r="K863" s="499"/>
      <c r="M863" s="499"/>
      <c r="O863" s="499"/>
    </row>
    <row r="864" spans="3:23" ht="14.1" customHeight="1" x14ac:dyDescent="0.2">
      <c r="C864" s="483" t="s">
        <v>6432</v>
      </c>
      <c r="I864" s="506" t="s">
        <v>988</v>
      </c>
      <c r="J864" s="499">
        <v>0</v>
      </c>
      <c r="K864" s="499">
        <v>0</v>
      </c>
      <c r="L864" s="512" t="str">
        <f>IF(K864=0,"0,00% ",(K864-J864)/K864)</f>
        <v xml:space="preserve">0,00% </v>
      </c>
      <c r="M864" s="501">
        <v>0</v>
      </c>
      <c r="N864" s="512" t="str">
        <f>IF(M864=0,"0,00% ",(M864-K864)/M864)</f>
        <v xml:space="preserve">0,00% </v>
      </c>
      <c r="O864" s="499">
        <v>0</v>
      </c>
      <c r="P864" s="512" t="str">
        <f>IF(O864=0,"0,00% ",(O864-M864)/O864)</f>
        <v xml:space="preserve">0,00% </v>
      </c>
      <c r="Q864" s="484" t="str">
        <f>IF(O864=0,"R$0,0",(J864+K864+M864+O864)/4)</f>
        <v>R$0,0</v>
      </c>
      <c r="R864" s="495">
        <f>IF(P864=0,"R$0,0%",(L864+N864+P864)/3)</f>
        <v>0</v>
      </c>
    </row>
    <row r="865" spans="9:23" ht="14.1" customHeight="1" x14ac:dyDescent="0.25">
      <c r="J865" s="499"/>
      <c r="K865" s="499"/>
      <c r="M865" s="499"/>
      <c r="O865" s="499"/>
    </row>
    <row r="866" spans="9:23" ht="14.1" customHeight="1" x14ac:dyDescent="0.25">
      <c r="I866" s="508" t="s">
        <v>0</v>
      </c>
      <c r="J866" s="509">
        <f>J451+J786+J860</f>
        <v>10704002.630000001</v>
      </c>
      <c r="K866" s="509">
        <f>K451+K786+K860</f>
        <v>12361485.43</v>
      </c>
      <c r="L866" s="513">
        <f>IF(K866=0,"0,00% ",(K866-J866)/K866)</f>
        <v>0.13408443583790228</v>
      </c>
      <c r="M866" s="509">
        <f>M451+M786+M860</f>
        <v>12838665.229999999</v>
      </c>
      <c r="N866" s="513">
        <f>IF(M866=0,"0,00% ",(M866-K866)/M866)</f>
        <v>3.7167399527248124E-2</v>
      </c>
      <c r="O866" s="509">
        <f>O451+O786+O860</f>
        <v>8435778.3699999992</v>
      </c>
      <c r="P866" s="513">
        <f>IF(O866=0,"0,00% ",(O866-M866)/O866)</f>
        <v>-0.52193012510355929</v>
      </c>
      <c r="Q866" s="510">
        <f>IF(O866=0,"R$0,0",(J866+K866+M866+O866)/4)</f>
        <v>11084982.914999999</v>
      </c>
      <c r="R866" s="511">
        <f>IF(P866=0,"R$0,0%",(L866+N866+P866)/3)</f>
        <v>-0.11689276324613629</v>
      </c>
    </row>
    <row r="867" spans="9:23" ht="14.1" customHeight="1" x14ac:dyDescent="0.25">
      <c r="J867" s="498"/>
      <c r="K867" s="498"/>
      <c r="L867" s="498"/>
      <c r="M867" s="498"/>
      <c r="N867" s="498"/>
      <c r="O867" s="498"/>
      <c r="P867" s="498"/>
      <c r="V867" s="502"/>
      <c r="W867" s="502"/>
    </row>
    <row r="868" spans="9:23" ht="14.1" customHeight="1" x14ac:dyDescent="0.25">
      <c r="J868" s="498"/>
      <c r="K868" s="498"/>
      <c r="L868" s="498"/>
      <c r="M868" s="498"/>
      <c r="N868" s="498"/>
      <c r="O868" s="498"/>
      <c r="P868" s="498"/>
    </row>
    <row r="869" spans="9:23" ht="14.1" customHeight="1" x14ac:dyDescent="0.25">
      <c r="J869" s="498"/>
      <c r="K869" s="498"/>
      <c r="L869" s="498"/>
      <c r="M869" s="498"/>
      <c r="N869" s="498"/>
      <c r="O869" s="498"/>
      <c r="P869" s="498"/>
    </row>
    <row r="870" spans="9:23" ht="14.1" customHeight="1" x14ac:dyDescent="0.25">
      <c r="J870" s="498"/>
      <c r="K870" s="498"/>
      <c r="L870" s="498"/>
      <c r="M870" s="498"/>
      <c r="N870" s="498"/>
      <c r="O870" s="498"/>
      <c r="P870" s="498"/>
    </row>
    <row r="871" spans="9:23" ht="14.1" customHeight="1" x14ac:dyDescent="0.25">
      <c r="J871" s="498"/>
      <c r="K871" s="498"/>
      <c r="L871" s="498"/>
      <c r="M871" s="498"/>
      <c r="N871" s="498"/>
      <c r="O871" s="498"/>
      <c r="P871" s="498"/>
    </row>
    <row r="872" spans="9:23" ht="14.1" customHeight="1" x14ac:dyDescent="0.25">
      <c r="J872" s="498"/>
      <c r="K872" s="498"/>
      <c r="L872" s="590"/>
      <c r="M872" s="498"/>
      <c r="N872" s="498"/>
      <c r="O872" s="498"/>
      <c r="P872" s="498"/>
    </row>
    <row r="873" spans="9:23" ht="14.1" customHeight="1" x14ac:dyDescent="0.25">
      <c r="J873" s="498"/>
      <c r="K873" s="498"/>
      <c r="L873" s="1317"/>
      <c r="M873" s="1317"/>
      <c r="N873" s="498"/>
      <c r="O873" s="498"/>
      <c r="P873" s="498"/>
    </row>
    <row r="874" spans="9:23" ht="14.1" customHeight="1" x14ac:dyDescent="0.25"/>
    <row r="875" spans="9:23" ht="14.1" customHeight="1" x14ac:dyDescent="0.25">
      <c r="I875" s="1114" t="s">
        <v>2122</v>
      </c>
      <c r="J875" s="555">
        <v>2012</v>
      </c>
      <c r="K875" s="555">
        <v>2013</v>
      </c>
      <c r="L875" s="555"/>
      <c r="M875" s="555">
        <v>2014</v>
      </c>
      <c r="N875" s="555"/>
      <c r="O875" s="1113">
        <v>2015</v>
      </c>
      <c r="P875" s="555"/>
      <c r="Q875" s="1113" t="s">
        <v>236</v>
      </c>
      <c r="R875" s="1113"/>
    </row>
    <row r="876" spans="9:23" ht="14.1" customHeight="1" x14ac:dyDescent="0.25">
      <c r="I876" s="1114"/>
      <c r="J876" s="485" t="s">
        <v>6207</v>
      </c>
      <c r="K876" s="485" t="s">
        <v>6207</v>
      </c>
      <c r="L876" s="486" t="s">
        <v>235</v>
      </c>
      <c r="M876" s="485" t="s">
        <v>6207</v>
      </c>
      <c r="N876" s="486" t="s">
        <v>235</v>
      </c>
      <c r="O876" s="485" t="s">
        <v>6207</v>
      </c>
      <c r="P876" s="486" t="s">
        <v>235</v>
      </c>
      <c r="Q876" s="487" t="s">
        <v>6220</v>
      </c>
      <c r="R876" s="488" t="s">
        <v>235</v>
      </c>
    </row>
    <row r="877" spans="9:23" ht="14.1" customHeight="1" x14ac:dyDescent="0.25">
      <c r="I877" s="492" t="s">
        <v>2074</v>
      </c>
      <c r="J877" s="501">
        <f>J878+J879+J880</f>
        <v>9760532.540000001</v>
      </c>
      <c r="K877" s="501">
        <f>K878+K879+K880</f>
        <v>11751138.68</v>
      </c>
      <c r="L877" s="489">
        <f>IF(K877=0,"0,00% ",(K877-J877)/K877)</f>
        <v>0.16939687243993948</v>
      </c>
      <c r="M877" s="501">
        <f>M878+M879+M880</f>
        <v>11878617.569999998</v>
      </c>
      <c r="N877" s="489">
        <f>IF(M877=0,"0,00% ",(M877-K877)/M877)</f>
        <v>1.073179511410087E-2</v>
      </c>
      <c r="O877" s="501">
        <f>O878+O879+O880</f>
        <v>7883766.75</v>
      </c>
      <c r="P877" s="489">
        <f>IF(O877=0,"0,00% ",(O877-M877)/O877)</f>
        <v>-0.5067185454211971</v>
      </c>
      <c r="Q877" s="490">
        <f>IF(O877=0,"R$0,0",(J877+K877+M877+O877)/4)</f>
        <v>10318513.885</v>
      </c>
      <c r="R877" s="491">
        <f>IF(P877=0,"R$0,0%",(L877+N877+P877)/3)</f>
        <v>-0.10886329262238559</v>
      </c>
      <c r="S877" s="502"/>
    </row>
    <row r="878" spans="9:23" ht="14.1" customHeight="1" x14ac:dyDescent="0.2">
      <c r="I878" s="483" t="s">
        <v>2123</v>
      </c>
      <c r="J878" s="499">
        <f>J453</f>
        <v>5237803.0000000009</v>
      </c>
      <c r="K878" s="499">
        <f>K453</f>
        <v>6203385.5199999986</v>
      </c>
      <c r="L878" s="512">
        <f>IF(K878=0,"0,00% ",(K878-J878)/K878)</f>
        <v>0.15565412094523473</v>
      </c>
      <c r="M878" s="499">
        <f>M453</f>
        <v>6548088.5099999988</v>
      </c>
      <c r="N878" s="512">
        <f>IF(M878=0,"0,00% ",(M878-K878)/M878)</f>
        <v>5.2641773163814534E-2</v>
      </c>
      <c r="O878" s="499">
        <f>O453</f>
        <v>4764410.3900000006</v>
      </c>
      <c r="P878" s="512">
        <f>IF(O878=0,"0,00% ",(O878-M878)/O878)</f>
        <v>-0.37437541563248877</v>
      </c>
      <c r="Q878" s="484">
        <f>IF(O879=0,"R$0,0",(J879+K879+M879+O879)/4)</f>
        <v>20567.125</v>
      </c>
      <c r="R878" s="495">
        <f>IF(P878=0,"R$0,0%",(L878+N878+P878)/3)</f>
        <v>-5.5359840507813174E-2</v>
      </c>
      <c r="S878" s="507"/>
    </row>
    <row r="879" spans="9:23" ht="14.1" customHeight="1" x14ac:dyDescent="0.2">
      <c r="I879" s="483" t="s">
        <v>175</v>
      </c>
      <c r="J879" s="499">
        <f>J521</f>
        <v>36619.990000000005</v>
      </c>
      <c r="K879" s="499">
        <f>K521</f>
        <v>7684.48</v>
      </c>
      <c r="L879" s="512">
        <f>IF(J879 = 0,0,(K879-J879)/ABS(K879))</f>
        <v>-3.7654480199050564</v>
      </c>
      <c r="M879" s="499">
        <f>M521</f>
        <v>1344.04</v>
      </c>
      <c r="N879" s="512">
        <f>IF(M879=0,"0,00% ",(M879-K879)/M879)</f>
        <v>-4.717448885449838</v>
      </c>
      <c r="O879" s="499">
        <f>O521</f>
        <v>36619.990000000005</v>
      </c>
      <c r="P879" s="512">
        <f>IF(O879=0,"0,00% ",(O879-M879)/O879)</f>
        <v>0.96329764153403641</v>
      </c>
      <c r="Q879" s="484">
        <f>IF(O880=0,"R$0,0",(J880+K880+M880+O880)/4)</f>
        <v>4609524.9050000003</v>
      </c>
      <c r="R879" s="495">
        <f>IF(P880=0,"R$0,0%",(L879+N879+P879)/3)</f>
        <v>-2.5065330879402863</v>
      </c>
      <c r="S879" s="507"/>
    </row>
    <row r="880" spans="9:23" ht="14.1" customHeight="1" x14ac:dyDescent="0.2">
      <c r="I880" s="483" t="s">
        <v>94</v>
      </c>
      <c r="J880" s="499">
        <f>J529</f>
        <v>4486109.55</v>
      </c>
      <c r="K880" s="499">
        <f>K529</f>
        <v>5540068.6799999997</v>
      </c>
      <c r="L880" s="512">
        <f>IF(J880 = 0,0,(K880-J880)/ABS(K880))</f>
        <v>0.19024297186149683</v>
      </c>
      <c r="M880" s="499">
        <f>M529</f>
        <v>5329185.0199999996</v>
      </c>
      <c r="N880" s="512">
        <f>IF(M880=0,"0,00% ",(M880-K880)/M880)</f>
        <v>-3.9571465281946654E-2</v>
      </c>
      <c r="O880" s="499">
        <f>O529</f>
        <v>3082736.3699999996</v>
      </c>
      <c r="P880" s="512">
        <f>IF(O880=0,"0,00% ",(O880-M880)/O880)</f>
        <v>-0.72871902763452978</v>
      </c>
      <c r="Q880" s="484" t="str">
        <f>IF(O881=0,"R$0,0",(J881+K881+M881+O881)/4)</f>
        <v>R$0,0</v>
      </c>
      <c r="R880" s="495" t="str">
        <f>IF(P881=0,"R$0,0%",(L880+N880+P880)/3)</f>
        <v>R$0,0%</v>
      </c>
      <c r="S880" s="507"/>
    </row>
    <row r="881" spans="9:19" ht="14.1" customHeight="1" x14ac:dyDescent="0.25">
      <c r="J881" s="499"/>
      <c r="K881" s="499"/>
      <c r="M881" s="499"/>
      <c r="O881" s="499"/>
    </row>
    <row r="882" spans="9:19" ht="14.1" customHeight="1" x14ac:dyDescent="0.25">
      <c r="I882" s="492" t="s">
        <v>2077</v>
      </c>
      <c r="J882" s="501">
        <f>J883+J884+J885+J886</f>
        <v>943470.09</v>
      </c>
      <c r="K882" s="501">
        <f>K883+K884+K885+K886</f>
        <v>610346.75</v>
      </c>
      <c r="L882" s="489">
        <f>IF(J882 = 0,0,(K882-J882)/ABS(K882))</f>
        <v>-0.54579358372924891</v>
      </c>
      <c r="M882" s="501">
        <f>M883+M884+M885+M886</f>
        <v>960047.66</v>
      </c>
      <c r="N882" s="489">
        <f>IF(M882=0,"0,00% ",(M882-K882)/M882)</f>
        <v>0.36425369757163933</v>
      </c>
      <c r="O882" s="501">
        <f>O883+O884+O885+O886</f>
        <v>552011.62</v>
      </c>
      <c r="P882" s="489">
        <f>IF(O882=0,"0,00% ",(O882-M882)/O882)</f>
        <v>-0.73918016435958367</v>
      </c>
      <c r="Q882" s="490">
        <f>IF(O882=0,"R$0,0",(J882+K882+M882+O882)/4)</f>
        <v>766469.03</v>
      </c>
      <c r="R882" s="491">
        <f>IF(P882=0,"R$0,0%",(L882+N882+P882)/3)</f>
        <v>-0.30690668350573108</v>
      </c>
      <c r="S882" s="502"/>
    </row>
    <row r="883" spans="9:19" ht="14.1" customHeight="1" x14ac:dyDescent="0.2">
      <c r="I883" s="483" t="s">
        <v>95</v>
      </c>
      <c r="J883" s="499">
        <f>J788</f>
        <v>860731.33</v>
      </c>
      <c r="K883" s="499">
        <f>K788</f>
        <v>532824.94999999995</v>
      </c>
      <c r="L883" s="512">
        <f>IF(K883=0,"0,00% ",(K883-J883)/K883)</f>
        <v>-0.61541108388411625</v>
      </c>
      <c r="M883" s="499">
        <f>M788</f>
        <v>914826.61</v>
      </c>
      <c r="N883" s="512">
        <f>IF(M883=0,"0,00% ",(M883-K883)/M883)</f>
        <v>0.41756728086429412</v>
      </c>
      <c r="O883" s="499">
        <f>O788</f>
        <v>469272.86</v>
      </c>
      <c r="P883" s="512">
        <f>IF(O883=0,"0,00% ",(O883-M883)/O883)</f>
        <v>-0.94945561096373654</v>
      </c>
      <c r="Q883" s="484" t="str">
        <f>IF(O884=0,"R$0,0",(J884+K884+M884+O884)/4)</f>
        <v>R$0,0</v>
      </c>
      <c r="R883" s="495">
        <f>IF(P884=0,"R$0,0%",(L883+N883+P883)/3)</f>
        <v>-0.38243313799451956</v>
      </c>
      <c r="S883" s="507"/>
    </row>
    <row r="884" spans="9:19" ht="14.1" customHeight="1" x14ac:dyDescent="0.2">
      <c r="I884" s="483" t="s">
        <v>176</v>
      </c>
      <c r="J884" s="499">
        <f>0</f>
        <v>0</v>
      </c>
      <c r="K884" s="499">
        <f>0</f>
        <v>0</v>
      </c>
      <c r="L884" s="512" t="str">
        <f>IF(K884=0,"0,00% ",(K884-J884)/K884)</f>
        <v xml:space="preserve">0,00% </v>
      </c>
      <c r="M884" s="499">
        <f>0</f>
        <v>0</v>
      </c>
      <c r="N884" s="512" t="str">
        <f>IF(M884=0,"0,00% ",(M884-K884)/M884)</f>
        <v xml:space="preserve">0,00% </v>
      </c>
      <c r="O884" s="499">
        <f>0</f>
        <v>0</v>
      </c>
      <c r="P884" s="512" t="str">
        <f>IF(O884=0,"0,00% ",(O884-M884)/O884)</f>
        <v xml:space="preserve">0,00% </v>
      </c>
      <c r="Q884" s="484">
        <f>IF(O885=0,"R$0,0",(J885+K885+M885+O885)/4)</f>
        <v>72055.092499999999</v>
      </c>
      <c r="R884" s="495">
        <f>IF(P885=0,"R$0,0%",(L884+N884+P884)/3)</f>
        <v>0</v>
      </c>
      <c r="S884" s="507"/>
    </row>
    <row r="885" spans="9:19" ht="14.1" customHeight="1" x14ac:dyDescent="0.2">
      <c r="I885" s="483" t="s">
        <v>96</v>
      </c>
      <c r="J885" s="499">
        <f>J850</f>
        <v>82738.760000000009</v>
      </c>
      <c r="K885" s="499">
        <f>K850</f>
        <v>77521.8</v>
      </c>
      <c r="L885" s="512">
        <f>IF(K885=0,"0,00% ",(K885-J885)/K885)</f>
        <v>-6.7296682997556895E-2</v>
      </c>
      <c r="M885" s="499">
        <f>M850</f>
        <v>45221.05</v>
      </c>
      <c r="N885" s="512">
        <f>IF(M885=0,"0,00% ",(M885-K885)/M885)</f>
        <v>-0.71428571428571419</v>
      </c>
      <c r="O885" s="499">
        <f>O850</f>
        <v>82738.760000000009</v>
      </c>
      <c r="P885" s="512">
        <f>IF(O885=0,"0,00% ",(O885-M885)/O885)</f>
        <v>0.45344781575165016</v>
      </c>
      <c r="Q885" s="484" t="str">
        <f>IF(O886=0,"R$0,0",(J886+K886+M886+O886)/4)</f>
        <v>R$0,0</v>
      </c>
      <c r="R885" s="495">
        <f>IF(P886=0,"R$0,0%",(L885+N885+P885)/3)</f>
        <v>-0.10937819384387364</v>
      </c>
      <c r="S885" s="507"/>
    </row>
    <row r="886" spans="9:19" ht="14.1" customHeight="1" x14ac:dyDescent="0.2">
      <c r="I886" s="483" t="s">
        <v>2080</v>
      </c>
      <c r="J886" s="499">
        <f>J862</f>
        <v>0</v>
      </c>
      <c r="K886" s="499">
        <f>K862</f>
        <v>0</v>
      </c>
      <c r="L886" s="512" t="str">
        <f>IF(K886=0,"0,00% ",(K886-J886)/K886)</f>
        <v xml:space="preserve">0,00% </v>
      </c>
      <c r="M886" s="499">
        <f>M862</f>
        <v>0</v>
      </c>
      <c r="N886" s="512" t="str">
        <f>IF(M886=0,"0,00% ",(M886-K886)/M886)</f>
        <v xml:space="preserve">0,00% </v>
      </c>
      <c r="O886" s="499">
        <f>O862</f>
        <v>0</v>
      </c>
      <c r="P886" s="512" t="str">
        <f>IF(O886=0,"0,00% ",(O886-M886)/O886)</f>
        <v xml:space="preserve">0,00% </v>
      </c>
      <c r="Q886" s="484" t="str">
        <f>IF(O887=0,"R$0,0",(J887+K887+M887+O887)/4)</f>
        <v>R$0,0</v>
      </c>
      <c r="R886" s="495" t="str">
        <f>IF(P887=0,"R$0,0%",(L886+N886+P886)/3)</f>
        <v>R$0,0%</v>
      </c>
      <c r="S886" s="507"/>
    </row>
    <row r="887" spans="9:19" ht="14.1" customHeight="1" x14ac:dyDescent="0.25">
      <c r="J887" s="499"/>
      <c r="K887" s="499"/>
      <c r="M887" s="499"/>
      <c r="O887" s="499"/>
    </row>
    <row r="888" spans="9:19" ht="14.1" customHeight="1" x14ac:dyDescent="0.25">
      <c r="I888" s="492" t="s">
        <v>2124</v>
      </c>
      <c r="J888" s="501">
        <f>J889</f>
        <v>0</v>
      </c>
      <c r="K888" s="501">
        <f>K889</f>
        <v>0</v>
      </c>
      <c r="L888" s="489" t="str">
        <f>IF(K888=0,"0,00% ",(K888-J888)/K888)</f>
        <v xml:space="preserve">0,00% </v>
      </c>
      <c r="M888" s="501">
        <f>M889</f>
        <v>0</v>
      </c>
      <c r="N888" s="489" t="str">
        <f>IF(M888=0,"0,00% ",(M888-K888)/M888)</f>
        <v xml:space="preserve">0,00% </v>
      </c>
      <c r="O888" s="501">
        <f>O889</f>
        <v>0</v>
      </c>
      <c r="P888" s="489" t="str">
        <f>IF(O888=0,"0,00% ",(O888-M888)/O888)</f>
        <v xml:space="preserve">0,00% </v>
      </c>
      <c r="Q888" s="490" t="str">
        <f>IF(O888=0,"R$0,0",(J888+K888+M888+O888)/4)</f>
        <v>R$0,0</v>
      </c>
      <c r="R888" s="491">
        <f>IF(P888=0,"R$0,0%",(L888+N888+P888)/3)</f>
        <v>0</v>
      </c>
      <c r="S888" s="502"/>
    </row>
    <row r="889" spans="9:19" ht="14.1" customHeight="1" x14ac:dyDescent="0.2">
      <c r="I889" s="483" t="s">
        <v>2123</v>
      </c>
      <c r="J889" s="499">
        <v>0</v>
      </c>
      <c r="K889" s="499">
        <v>0</v>
      </c>
      <c r="L889" s="512" t="str">
        <f>IF(K889=0,"0,00% ",(K889-J889)/K889)</f>
        <v xml:space="preserve">0,00% </v>
      </c>
      <c r="M889" s="499">
        <v>0</v>
      </c>
      <c r="N889" s="512" t="str">
        <f>IF(M889=0,"0,00% ",(M889-K889)/M889)</f>
        <v xml:space="preserve">0,00% </v>
      </c>
      <c r="O889" s="499">
        <v>0</v>
      </c>
      <c r="P889" s="512" t="str">
        <f>IF(O889=0,"0,00% ",(O889-M889)/O889)</f>
        <v xml:space="preserve">0,00% </v>
      </c>
      <c r="Q889" s="484" t="str">
        <f>IF(O890=0,"R$0,0",(J890+K890+M890+O890)/4)</f>
        <v>R$0,0</v>
      </c>
      <c r="R889" s="495" t="str">
        <f>IF(P890=0,"R$0,0%",(L889+N889+P889)/3)</f>
        <v>R$0,0%</v>
      </c>
      <c r="S889" s="507"/>
    </row>
    <row r="890" spans="9:19" ht="14.1" customHeight="1" x14ac:dyDescent="0.25">
      <c r="J890" s="499"/>
      <c r="K890" s="499"/>
      <c r="M890" s="499"/>
      <c r="O890" s="499"/>
    </row>
    <row r="891" spans="9:19" ht="14.1" customHeight="1" x14ac:dyDescent="0.25">
      <c r="I891" s="508" t="s">
        <v>0</v>
      </c>
      <c r="J891" s="509">
        <f>J877+J882+J888</f>
        <v>10704002.630000001</v>
      </c>
      <c r="K891" s="509">
        <f>K877+K882+K888</f>
        <v>12361485.43</v>
      </c>
      <c r="L891" s="513">
        <f>IF(K891=0,"0,00% ",(K891-J891)/K891)</f>
        <v>0.13408443583790228</v>
      </c>
      <c r="M891" s="509">
        <f>M877+M882+M888</f>
        <v>12838665.229999999</v>
      </c>
      <c r="N891" s="513">
        <f>IF(M891=0,"0,00% ",(M891-K891)/M891)</f>
        <v>3.7167399527248124E-2</v>
      </c>
      <c r="O891" s="509">
        <f>O877+O882+O888</f>
        <v>8435778.3699999992</v>
      </c>
      <c r="P891" s="513">
        <f>IF(O891=0,"0,00% ",(O891-M891)/O891)</f>
        <v>-0.52193012510355929</v>
      </c>
      <c r="Q891" s="510">
        <f>IF(O891=0,"R$0,0",(J891+K891+M891+O891)/4)</f>
        <v>11084982.914999999</v>
      </c>
      <c r="R891" s="511">
        <f>IF(P891=0,"R$0,0%",(L891+N891+P891)/3)</f>
        <v>-0.11689276324613629</v>
      </c>
      <c r="S891" s="502"/>
    </row>
    <row r="892" spans="9:19" ht="14.1" customHeight="1" x14ac:dyDescent="0.25"/>
    <row r="893" spans="9:19" ht="14.1" customHeight="1" x14ac:dyDescent="0.25"/>
    <row r="894" spans="9:19" ht="14.1" customHeight="1" x14ac:dyDescent="0.25">
      <c r="O894" s="499"/>
    </row>
  </sheetData>
  <mergeCells count="9">
    <mergeCell ref="L873:M873"/>
    <mergeCell ref="Q6:R6"/>
    <mergeCell ref="I426:I427"/>
    <mergeCell ref="Q426:R426"/>
    <mergeCell ref="C448:E449"/>
    <mergeCell ref="I448:I449"/>
    <mergeCell ref="Q448:R448"/>
    <mergeCell ref="C6:E7"/>
    <mergeCell ref="I6:I7"/>
  </mergeCells>
  <phoneticPr fontId="46" type="noConversion"/>
  <printOptions horizontalCentered="1"/>
  <pageMargins left="0.51181102362204722" right="0.11811023622047245" top="1.3779527559055118" bottom="0.78740157480314965" header="0.31496062992125984" footer="0.31496062992125984"/>
  <pageSetup paperSize="9" scale="65" orientation="landscape" verticalDpi="72" r:id="rId1"/>
  <headerFooter>
    <oddHeader>&amp;L                                                               &amp;G&amp;C&amp;"Vivaldi,Regular"&amp;20Estado do Rio Grande do Sul&amp;11&amp;16Prefeitura Municipal de Chuvisca&amp;11&amp;14Secretaria Municipal da Fazenda</oddHeader>
    <oddFooter>&amp;CAvenida 28 de Dezembro s/nº - Fone/Fax: (51) 3611 7096 – (51) 3671 3501 – Chuvisca – RS – CEP 96193-000prefeitura@chuvisca.rs.gov.br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'PTD '!$A$4:$A$52</xm:f>
          </x14:formula1>
          <xm:sqref>B4:B5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974"/>
  <sheetViews>
    <sheetView showGridLines="0" workbookViewId="0">
      <selection activeCell="Q12" sqref="Q12"/>
    </sheetView>
  </sheetViews>
  <sheetFormatPr defaultColWidth="1.140625" defaultRowHeight="15" customHeight="1" x14ac:dyDescent="0.25"/>
  <cols>
    <col min="1" max="1" width="1.140625" style="483" customWidth="1"/>
    <col min="2" max="2" width="1" style="483" customWidth="1"/>
    <col min="3" max="3" width="7.28515625" style="483" customWidth="1"/>
    <col min="4" max="4" width="1.140625" style="483" customWidth="1"/>
    <col min="5" max="5" width="5.5703125" style="483" customWidth="1"/>
    <col min="6" max="6" width="1.140625" style="483" customWidth="1"/>
    <col min="7" max="7" width="1.28515625" style="483" customWidth="1"/>
    <col min="8" max="8" width="8" style="483" customWidth="1"/>
    <col min="9" max="9" width="65.140625" style="483" customWidth="1"/>
    <col min="10" max="10" width="13.5703125" style="591" customWidth="1"/>
    <col min="11" max="11" width="14.28515625" style="591" customWidth="1"/>
    <col min="12" max="12" width="12.85546875" style="591" customWidth="1"/>
    <col min="13" max="13" width="13.7109375" style="591" customWidth="1"/>
    <col min="14" max="14" width="7.140625" style="483" customWidth="1"/>
    <col min="15" max="15" width="3.5703125" style="483" customWidth="1"/>
    <col min="16" max="16" width="2" style="483" customWidth="1"/>
    <col min="17" max="17" width="14.5703125" style="483" customWidth="1"/>
    <col min="18" max="18" width="10.85546875" style="483" customWidth="1"/>
    <col min="19" max="19" width="1" style="483" customWidth="1"/>
    <col min="20" max="20" width="1.140625" style="483" customWidth="1"/>
    <col min="21" max="21" width="1.7109375" style="483" customWidth="1"/>
    <col min="22" max="22" width="5.85546875" style="483" customWidth="1"/>
    <col min="23" max="250" width="6.85546875" style="483" customWidth="1"/>
    <col min="251" max="251" width="1.140625" style="483" customWidth="1"/>
    <col min="252" max="252" width="1" style="483" customWidth="1"/>
    <col min="253" max="253" width="7.28515625" style="483" customWidth="1"/>
    <col min="254" max="254" width="1.140625" style="483" customWidth="1"/>
    <col min="255" max="255" width="5.5703125" style="483" customWidth="1"/>
    <col min="256" max="256" width="1.140625" style="483"/>
    <col min="257" max="257" width="1.140625" style="483" customWidth="1"/>
    <col min="258" max="258" width="1" style="483" customWidth="1"/>
    <col min="259" max="259" width="7.28515625" style="483" customWidth="1"/>
    <col min="260" max="260" width="1.140625" style="483" customWidth="1"/>
    <col min="261" max="261" width="5.5703125" style="483" customWidth="1"/>
    <col min="262" max="262" width="1.140625" style="483" customWidth="1"/>
    <col min="263" max="263" width="1.28515625" style="483" customWidth="1"/>
    <col min="264" max="264" width="8" style="483" customWidth="1"/>
    <col min="265" max="265" width="65.140625" style="483" customWidth="1"/>
    <col min="266" max="266" width="13.5703125" style="483" customWidth="1"/>
    <col min="267" max="267" width="14.28515625" style="483" customWidth="1"/>
    <col min="268" max="268" width="12.85546875" style="483" customWidth="1"/>
    <col min="269" max="269" width="13.7109375" style="483" customWidth="1"/>
    <col min="270" max="270" width="7.140625" style="483" customWidth="1"/>
    <col min="271" max="271" width="3.5703125" style="483" customWidth="1"/>
    <col min="272" max="272" width="2" style="483" customWidth="1"/>
    <col min="273" max="273" width="14.5703125" style="483" customWidth="1"/>
    <col min="274" max="274" width="10.85546875" style="483" customWidth="1"/>
    <col min="275" max="275" width="1" style="483" customWidth="1"/>
    <col min="276" max="276" width="1.140625" style="483" customWidth="1"/>
    <col min="277" max="277" width="1.7109375" style="483" customWidth="1"/>
    <col min="278" max="278" width="5.85546875" style="483" customWidth="1"/>
    <col min="279" max="506" width="6.85546875" style="483" customWidth="1"/>
    <col min="507" max="507" width="1.140625" style="483" customWidth="1"/>
    <col min="508" max="508" width="1" style="483" customWidth="1"/>
    <col min="509" max="509" width="7.28515625" style="483" customWidth="1"/>
    <col min="510" max="510" width="1.140625" style="483" customWidth="1"/>
    <col min="511" max="511" width="5.5703125" style="483" customWidth="1"/>
    <col min="512" max="512" width="1.140625" style="483"/>
    <col min="513" max="513" width="1.140625" style="483" customWidth="1"/>
    <col min="514" max="514" width="1" style="483" customWidth="1"/>
    <col min="515" max="515" width="7.28515625" style="483" customWidth="1"/>
    <col min="516" max="516" width="1.140625" style="483" customWidth="1"/>
    <col min="517" max="517" width="5.5703125" style="483" customWidth="1"/>
    <col min="518" max="518" width="1.140625" style="483" customWidth="1"/>
    <col min="519" max="519" width="1.28515625" style="483" customWidth="1"/>
    <col min="520" max="520" width="8" style="483" customWidth="1"/>
    <col min="521" max="521" width="65.140625" style="483" customWidth="1"/>
    <col min="522" max="522" width="13.5703125" style="483" customWidth="1"/>
    <col min="523" max="523" width="14.28515625" style="483" customWidth="1"/>
    <col min="524" max="524" width="12.85546875" style="483" customWidth="1"/>
    <col min="525" max="525" width="13.7109375" style="483" customWidth="1"/>
    <col min="526" max="526" width="7.140625" style="483" customWidth="1"/>
    <col min="527" max="527" width="3.5703125" style="483" customWidth="1"/>
    <col min="528" max="528" width="2" style="483" customWidth="1"/>
    <col min="529" max="529" width="14.5703125" style="483" customWidth="1"/>
    <col min="530" max="530" width="10.85546875" style="483" customWidth="1"/>
    <col min="531" max="531" width="1" style="483" customWidth="1"/>
    <col min="532" max="532" width="1.140625" style="483" customWidth="1"/>
    <col min="533" max="533" width="1.7109375" style="483" customWidth="1"/>
    <col min="534" max="534" width="5.85546875" style="483" customWidth="1"/>
    <col min="535" max="762" width="6.85546875" style="483" customWidth="1"/>
    <col min="763" max="763" width="1.140625" style="483" customWidth="1"/>
    <col min="764" max="764" width="1" style="483" customWidth="1"/>
    <col min="765" max="765" width="7.28515625" style="483" customWidth="1"/>
    <col min="766" max="766" width="1.140625" style="483" customWidth="1"/>
    <col min="767" max="767" width="5.5703125" style="483" customWidth="1"/>
    <col min="768" max="768" width="1.140625" style="483"/>
    <col min="769" max="769" width="1.140625" style="483" customWidth="1"/>
    <col min="770" max="770" width="1" style="483" customWidth="1"/>
    <col min="771" max="771" width="7.28515625" style="483" customWidth="1"/>
    <col min="772" max="772" width="1.140625" style="483" customWidth="1"/>
    <col min="773" max="773" width="5.5703125" style="483" customWidth="1"/>
    <col min="774" max="774" width="1.140625" style="483" customWidth="1"/>
    <col min="775" max="775" width="1.28515625" style="483" customWidth="1"/>
    <col min="776" max="776" width="8" style="483" customWidth="1"/>
    <col min="777" max="777" width="65.140625" style="483" customWidth="1"/>
    <col min="778" max="778" width="13.5703125" style="483" customWidth="1"/>
    <col min="779" max="779" width="14.28515625" style="483" customWidth="1"/>
    <col min="780" max="780" width="12.85546875" style="483" customWidth="1"/>
    <col min="781" max="781" width="13.7109375" style="483" customWidth="1"/>
    <col min="782" max="782" width="7.140625" style="483" customWidth="1"/>
    <col min="783" max="783" width="3.5703125" style="483" customWidth="1"/>
    <col min="784" max="784" width="2" style="483" customWidth="1"/>
    <col min="785" max="785" width="14.5703125" style="483" customWidth="1"/>
    <col min="786" max="786" width="10.85546875" style="483" customWidth="1"/>
    <col min="787" max="787" width="1" style="483" customWidth="1"/>
    <col min="788" max="788" width="1.140625" style="483" customWidth="1"/>
    <col min="789" max="789" width="1.7109375" style="483" customWidth="1"/>
    <col min="790" max="790" width="5.85546875" style="483" customWidth="1"/>
    <col min="791" max="1018" width="6.85546875" style="483" customWidth="1"/>
    <col min="1019" max="1019" width="1.140625" style="483" customWidth="1"/>
    <col min="1020" max="1020" width="1" style="483" customWidth="1"/>
    <col min="1021" max="1021" width="7.28515625" style="483" customWidth="1"/>
    <col min="1022" max="1022" width="1.140625" style="483" customWidth="1"/>
    <col min="1023" max="1023" width="5.5703125" style="483" customWidth="1"/>
    <col min="1024" max="1024" width="1.140625" style="483"/>
    <col min="1025" max="1025" width="1.140625" style="483" customWidth="1"/>
    <col min="1026" max="1026" width="1" style="483" customWidth="1"/>
    <col min="1027" max="1027" width="7.28515625" style="483" customWidth="1"/>
    <col min="1028" max="1028" width="1.140625" style="483" customWidth="1"/>
    <col min="1029" max="1029" width="5.5703125" style="483" customWidth="1"/>
    <col min="1030" max="1030" width="1.140625" style="483" customWidth="1"/>
    <col min="1031" max="1031" width="1.28515625" style="483" customWidth="1"/>
    <col min="1032" max="1032" width="8" style="483" customWidth="1"/>
    <col min="1033" max="1033" width="65.140625" style="483" customWidth="1"/>
    <col min="1034" max="1034" width="13.5703125" style="483" customWidth="1"/>
    <col min="1035" max="1035" width="14.28515625" style="483" customWidth="1"/>
    <col min="1036" max="1036" width="12.85546875" style="483" customWidth="1"/>
    <col min="1037" max="1037" width="13.7109375" style="483" customWidth="1"/>
    <col min="1038" max="1038" width="7.140625" style="483" customWidth="1"/>
    <col min="1039" max="1039" width="3.5703125" style="483" customWidth="1"/>
    <col min="1040" max="1040" width="2" style="483" customWidth="1"/>
    <col min="1041" max="1041" width="14.5703125" style="483" customWidth="1"/>
    <col min="1042" max="1042" width="10.85546875" style="483" customWidth="1"/>
    <col min="1043" max="1043" width="1" style="483" customWidth="1"/>
    <col min="1044" max="1044" width="1.140625" style="483" customWidth="1"/>
    <col min="1045" max="1045" width="1.7109375" style="483" customWidth="1"/>
    <col min="1046" max="1046" width="5.85546875" style="483" customWidth="1"/>
    <col min="1047" max="1274" width="6.85546875" style="483" customWidth="1"/>
    <col min="1275" max="1275" width="1.140625" style="483" customWidth="1"/>
    <col min="1276" max="1276" width="1" style="483" customWidth="1"/>
    <col min="1277" max="1277" width="7.28515625" style="483" customWidth="1"/>
    <col min="1278" max="1278" width="1.140625" style="483" customWidth="1"/>
    <col min="1279" max="1279" width="5.5703125" style="483" customWidth="1"/>
    <col min="1280" max="1280" width="1.140625" style="483"/>
    <col min="1281" max="1281" width="1.140625" style="483" customWidth="1"/>
    <col min="1282" max="1282" width="1" style="483" customWidth="1"/>
    <col min="1283" max="1283" width="7.28515625" style="483" customWidth="1"/>
    <col min="1284" max="1284" width="1.140625" style="483" customWidth="1"/>
    <col min="1285" max="1285" width="5.5703125" style="483" customWidth="1"/>
    <col min="1286" max="1286" width="1.140625" style="483" customWidth="1"/>
    <col min="1287" max="1287" width="1.28515625" style="483" customWidth="1"/>
    <col min="1288" max="1288" width="8" style="483" customWidth="1"/>
    <col min="1289" max="1289" width="65.140625" style="483" customWidth="1"/>
    <col min="1290" max="1290" width="13.5703125" style="483" customWidth="1"/>
    <col min="1291" max="1291" width="14.28515625" style="483" customWidth="1"/>
    <col min="1292" max="1292" width="12.85546875" style="483" customWidth="1"/>
    <col min="1293" max="1293" width="13.7109375" style="483" customWidth="1"/>
    <col min="1294" max="1294" width="7.140625" style="483" customWidth="1"/>
    <col min="1295" max="1295" width="3.5703125" style="483" customWidth="1"/>
    <col min="1296" max="1296" width="2" style="483" customWidth="1"/>
    <col min="1297" max="1297" width="14.5703125" style="483" customWidth="1"/>
    <col min="1298" max="1298" width="10.85546875" style="483" customWidth="1"/>
    <col min="1299" max="1299" width="1" style="483" customWidth="1"/>
    <col min="1300" max="1300" width="1.140625" style="483" customWidth="1"/>
    <col min="1301" max="1301" width="1.7109375" style="483" customWidth="1"/>
    <col min="1302" max="1302" width="5.85546875" style="483" customWidth="1"/>
    <col min="1303" max="1530" width="6.85546875" style="483" customWidth="1"/>
    <col min="1531" max="1531" width="1.140625" style="483" customWidth="1"/>
    <col min="1532" max="1532" width="1" style="483" customWidth="1"/>
    <col min="1533" max="1533" width="7.28515625" style="483" customWidth="1"/>
    <col min="1534" max="1534" width="1.140625" style="483" customWidth="1"/>
    <col min="1535" max="1535" width="5.5703125" style="483" customWidth="1"/>
    <col min="1536" max="1536" width="1.140625" style="483"/>
    <col min="1537" max="1537" width="1.140625" style="483" customWidth="1"/>
    <col min="1538" max="1538" width="1" style="483" customWidth="1"/>
    <col min="1539" max="1539" width="7.28515625" style="483" customWidth="1"/>
    <col min="1540" max="1540" width="1.140625" style="483" customWidth="1"/>
    <col min="1541" max="1541" width="5.5703125" style="483" customWidth="1"/>
    <col min="1542" max="1542" width="1.140625" style="483" customWidth="1"/>
    <col min="1543" max="1543" width="1.28515625" style="483" customWidth="1"/>
    <col min="1544" max="1544" width="8" style="483" customWidth="1"/>
    <col min="1545" max="1545" width="65.140625" style="483" customWidth="1"/>
    <col min="1546" max="1546" width="13.5703125" style="483" customWidth="1"/>
    <col min="1547" max="1547" width="14.28515625" style="483" customWidth="1"/>
    <col min="1548" max="1548" width="12.85546875" style="483" customWidth="1"/>
    <col min="1549" max="1549" width="13.7109375" style="483" customWidth="1"/>
    <col min="1550" max="1550" width="7.140625" style="483" customWidth="1"/>
    <col min="1551" max="1551" width="3.5703125" style="483" customWidth="1"/>
    <col min="1552" max="1552" width="2" style="483" customWidth="1"/>
    <col min="1553" max="1553" width="14.5703125" style="483" customWidth="1"/>
    <col min="1554" max="1554" width="10.85546875" style="483" customWidth="1"/>
    <col min="1555" max="1555" width="1" style="483" customWidth="1"/>
    <col min="1556" max="1556" width="1.140625" style="483" customWidth="1"/>
    <col min="1557" max="1557" width="1.7109375" style="483" customWidth="1"/>
    <col min="1558" max="1558" width="5.85546875" style="483" customWidth="1"/>
    <col min="1559" max="1786" width="6.85546875" style="483" customWidth="1"/>
    <col min="1787" max="1787" width="1.140625" style="483" customWidth="1"/>
    <col min="1788" max="1788" width="1" style="483" customWidth="1"/>
    <col min="1789" max="1789" width="7.28515625" style="483" customWidth="1"/>
    <col min="1790" max="1790" width="1.140625" style="483" customWidth="1"/>
    <col min="1791" max="1791" width="5.5703125" style="483" customWidth="1"/>
    <col min="1792" max="1792" width="1.140625" style="483"/>
    <col min="1793" max="1793" width="1.140625" style="483" customWidth="1"/>
    <col min="1794" max="1794" width="1" style="483" customWidth="1"/>
    <col min="1795" max="1795" width="7.28515625" style="483" customWidth="1"/>
    <col min="1796" max="1796" width="1.140625" style="483" customWidth="1"/>
    <col min="1797" max="1797" width="5.5703125" style="483" customWidth="1"/>
    <col min="1798" max="1798" width="1.140625" style="483" customWidth="1"/>
    <col min="1799" max="1799" width="1.28515625" style="483" customWidth="1"/>
    <col min="1800" max="1800" width="8" style="483" customWidth="1"/>
    <col min="1801" max="1801" width="65.140625" style="483" customWidth="1"/>
    <col min="1802" max="1802" width="13.5703125" style="483" customWidth="1"/>
    <col min="1803" max="1803" width="14.28515625" style="483" customWidth="1"/>
    <col min="1804" max="1804" width="12.85546875" style="483" customWidth="1"/>
    <col min="1805" max="1805" width="13.7109375" style="483" customWidth="1"/>
    <col min="1806" max="1806" width="7.140625" style="483" customWidth="1"/>
    <col min="1807" max="1807" width="3.5703125" style="483" customWidth="1"/>
    <col min="1808" max="1808" width="2" style="483" customWidth="1"/>
    <col min="1809" max="1809" width="14.5703125" style="483" customWidth="1"/>
    <col min="1810" max="1810" width="10.85546875" style="483" customWidth="1"/>
    <col min="1811" max="1811" width="1" style="483" customWidth="1"/>
    <col min="1812" max="1812" width="1.140625" style="483" customWidth="1"/>
    <col min="1813" max="1813" width="1.7109375" style="483" customWidth="1"/>
    <col min="1814" max="1814" width="5.85546875" style="483" customWidth="1"/>
    <col min="1815" max="2042" width="6.85546875" style="483" customWidth="1"/>
    <col min="2043" max="2043" width="1.140625" style="483" customWidth="1"/>
    <col min="2044" max="2044" width="1" style="483" customWidth="1"/>
    <col min="2045" max="2045" width="7.28515625" style="483" customWidth="1"/>
    <col min="2046" max="2046" width="1.140625" style="483" customWidth="1"/>
    <col min="2047" max="2047" width="5.5703125" style="483" customWidth="1"/>
    <col min="2048" max="2048" width="1.140625" style="483"/>
    <col min="2049" max="2049" width="1.140625" style="483" customWidth="1"/>
    <col min="2050" max="2050" width="1" style="483" customWidth="1"/>
    <col min="2051" max="2051" width="7.28515625" style="483" customWidth="1"/>
    <col min="2052" max="2052" width="1.140625" style="483" customWidth="1"/>
    <col min="2053" max="2053" width="5.5703125" style="483" customWidth="1"/>
    <col min="2054" max="2054" width="1.140625" style="483" customWidth="1"/>
    <col min="2055" max="2055" width="1.28515625" style="483" customWidth="1"/>
    <col min="2056" max="2056" width="8" style="483" customWidth="1"/>
    <col min="2057" max="2057" width="65.140625" style="483" customWidth="1"/>
    <col min="2058" max="2058" width="13.5703125" style="483" customWidth="1"/>
    <col min="2059" max="2059" width="14.28515625" style="483" customWidth="1"/>
    <col min="2060" max="2060" width="12.85546875" style="483" customWidth="1"/>
    <col min="2061" max="2061" width="13.7109375" style="483" customWidth="1"/>
    <col min="2062" max="2062" width="7.140625" style="483" customWidth="1"/>
    <col min="2063" max="2063" width="3.5703125" style="483" customWidth="1"/>
    <col min="2064" max="2064" width="2" style="483" customWidth="1"/>
    <col min="2065" max="2065" width="14.5703125" style="483" customWidth="1"/>
    <col min="2066" max="2066" width="10.85546875" style="483" customWidth="1"/>
    <col min="2067" max="2067" width="1" style="483" customWidth="1"/>
    <col min="2068" max="2068" width="1.140625" style="483" customWidth="1"/>
    <col min="2069" max="2069" width="1.7109375" style="483" customWidth="1"/>
    <col min="2070" max="2070" width="5.85546875" style="483" customWidth="1"/>
    <col min="2071" max="2298" width="6.85546875" style="483" customWidth="1"/>
    <col min="2299" max="2299" width="1.140625" style="483" customWidth="1"/>
    <col min="2300" max="2300" width="1" style="483" customWidth="1"/>
    <col min="2301" max="2301" width="7.28515625" style="483" customWidth="1"/>
    <col min="2302" max="2302" width="1.140625" style="483" customWidth="1"/>
    <col min="2303" max="2303" width="5.5703125" style="483" customWidth="1"/>
    <col min="2304" max="2304" width="1.140625" style="483"/>
    <col min="2305" max="2305" width="1.140625" style="483" customWidth="1"/>
    <col min="2306" max="2306" width="1" style="483" customWidth="1"/>
    <col min="2307" max="2307" width="7.28515625" style="483" customWidth="1"/>
    <col min="2308" max="2308" width="1.140625" style="483" customWidth="1"/>
    <col min="2309" max="2309" width="5.5703125" style="483" customWidth="1"/>
    <col min="2310" max="2310" width="1.140625" style="483" customWidth="1"/>
    <col min="2311" max="2311" width="1.28515625" style="483" customWidth="1"/>
    <col min="2312" max="2312" width="8" style="483" customWidth="1"/>
    <col min="2313" max="2313" width="65.140625" style="483" customWidth="1"/>
    <col min="2314" max="2314" width="13.5703125" style="483" customWidth="1"/>
    <col min="2315" max="2315" width="14.28515625" style="483" customWidth="1"/>
    <col min="2316" max="2316" width="12.85546875" style="483" customWidth="1"/>
    <col min="2317" max="2317" width="13.7109375" style="483" customWidth="1"/>
    <col min="2318" max="2318" width="7.140625" style="483" customWidth="1"/>
    <col min="2319" max="2319" width="3.5703125" style="483" customWidth="1"/>
    <col min="2320" max="2320" width="2" style="483" customWidth="1"/>
    <col min="2321" max="2321" width="14.5703125" style="483" customWidth="1"/>
    <col min="2322" max="2322" width="10.85546875" style="483" customWidth="1"/>
    <col min="2323" max="2323" width="1" style="483" customWidth="1"/>
    <col min="2324" max="2324" width="1.140625" style="483" customWidth="1"/>
    <col min="2325" max="2325" width="1.7109375" style="483" customWidth="1"/>
    <col min="2326" max="2326" width="5.85546875" style="483" customWidth="1"/>
    <col min="2327" max="2554" width="6.85546875" style="483" customWidth="1"/>
    <col min="2555" max="2555" width="1.140625" style="483" customWidth="1"/>
    <col min="2556" max="2556" width="1" style="483" customWidth="1"/>
    <col min="2557" max="2557" width="7.28515625" style="483" customWidth="1"/>
    <col min="2558" max="2558" width="1.140625" style="483" customWidth="1"/>
    <col min="2559" max="2559" width="5.5703125" style="483" customWidth="1"/>
    <col min="2560" max="2560" width="1.140625" style="483"/>
    <col min="2561" max="2561" width="1.140625" style="483" customWidth="1"/>
    <col min="2562" max="2562" width="1" style="483" customWidth="1"/>
    <col min="2563" max="2563" width="7.28515625" style="483" customWidth="1"/>
    <col min="2564" max="2564" width="1.140625" style="483" customWidth="1"/>
    <col min="2565" max="2565" width="5.5703125" style="483" customWidth="1"/>
    <col min="2566" max="2566" width="1.140625" style="483" customWidth="1"/>
    <col min="2567" max="2567" width="1.28515625" style="483" customWidth="1"/>
    <col min="2568" max="2568" width="8" style="483" customWidth="1"/>
    <col min="2569" max="2569" width="65.140625" style="483" customWidth="1"/>
    <col min="2570" max="2570" width="13.5703125" style="483" customWidth="1"/>
    <col min="2571" max="2571" width="14.28515625" style="483" customWidth="1"/>
    <col min="2572" max="2572" width="12.85546875" style="483" customWidth="1"/>
    <col min="2573" max="2573" width="13.7109375" style="483" customWidth="1"/>
    <col min="2574" max="2574" width="7.140625" style="483" customWidth="1"/>
    <col min="2575" max="2575" width="3.5703125" style="483" customWidth="1"/>
    <col min="2576" max="2576" width="2" style="483" customWidth="1"/>
    <col min="2577" max="2577" width="14.5703125" style="483" customWidth="1"/>
    <col min="2578" max="2578" width="10.85546875" style="483" customWidth="1"/>
    <col min="2579" max="2579" width="1" style="483" customWidth="1"/>
    <col min="2580" max="2580" width="1.140625" style="483" customWidth="1"/>
    <col min="2581" max="2581" width="1.7109375" style="483" customWidth="1"/>
    <col min="2582" max="2582" width="5.85546875" style="483" customWidth="1"/>
    <col min="2583" max="2810" width="6.85546875" style="483" customWidth="1"/>
    <col min="2811" max="2811" width="1.140625" style="483" customWidth="1"/>
    <col min="2812" max="2812" width="1" style="483" customWidth="1"/>
    <col min="2813" max="2813" width="7.28515625" style="483" customWidth="1"/>
    <col min="2814" max="2814" width="1.140625" style="483" customWidth="1"/>
    <col min="2815" max="2815" width="5.5703125" style="483" customWidth="1"/>
    <col min="2816" max="2816" width="1.140625" style="483"/>
    <col min="2817" max="2817" width="1.140625" style="483" customWidth="1"/>
    <col min="2818" max="2818" width="1" style="483" customWidth="1"/>
    <col min="2819" max="2819" width="7.28515625" style="483" customWidth="1"/>
    <col min="2820" max="2820" width="1.140625" style="483" customWidth="1"/>
    <col min="2821" max="2821" width="5.5703125" style="483" customWidth="1"/>
    <col min="2822" max="2822" width="1.140625" style="483" customWidth="1"/>
    <col min="2823" max="2823" width="1.28515625" style="483" customWidth="1"/>
    <col min="2824" max="2824" width="8" style="483" customWidth="1"/>
    <col min="2825" max="2825" width="65.140625" style="483" customWidth="1"/>
    <col min="2826" max="2826" width="13.5703125" style="483" customWidth="1"/>
    <col min="2827" max="2827" width="14.28515625" style="483" customWidth="1"/>
    <col min="2828" max="2828" width="12.85546875" style="483" customWidth="1"/>
    <col min="2829" max="2829" width="13.7109375" style="483" customWidth="1"/>
    <col min="2830" max="2830" width="7.140625" style="483" customWidth="1"/>
    <col min="2831" max="2831" width="3.5703125" style="483" customWidth="1"/>
    <col min="2832" max="2832" width="2" style="483" customWidth="1"/>
    <col min="2833" max="2833" width="14.5703125" style="483" customWidth="1"/>
    <col min="2834" max="2834" width="10.85546875" style="483" customWidth="1"/>
    <col min="2835" max="2835" width="1" style="483" customWidth="1"/>
    <col min="2836" max="2836" width="1.140625" style="483" customWidth="1"/>
    <col min="2837" max="2837" width="1.7109375" style="483" customWidth="1"/>
    <col min="2838" max="2838" width="5.85546875" style="483" customWidth="1"/>
    <col min="2839" max="3066" width="6.85546875" style="483" customWidth="1"/>
    <col min="3067" max="3067" width="1.140625" style="483" customWidth="1"/>
    <col min="3068" max="3068" width="1" style="483" customWidth="1"/>
    <col min="3069" max="3069" width="7.28515625" style="483" customWidth="1"/>
    <col min="3070" max="3070" width="1.140625" style="483" customWidth="1"/>
    <col min="3071" max="3071" width="5.5703125" style="483" customWidth="1"/>
    <col min="3072" max="3072" width="1.140625" style="483"/>
    <col min="3073" max="3073" width="1.140625" style="483" customWidth="1"/>
    <col min="3074" max="3074" width="1" style="483" customWidth="1"/>
    <col min="3075" max="3075" width="7.28515625" style="483" customWidth="1"/>
    <col min="3076" max="3076" width="1.140625" style="483" customWidth="1"/>
    <col min="3077" max="3077" width="5.5703125" style="483" customWidth="1"/>
    <col min="3078" max="3078" width="1.140625" style="483" customWidth="1"/>
    <col min="3079" max="3079" width="1.28515625" style="483" customWidth="1"/>
    <col min="3080" max="3080" width="8" style="483" customWidth="1"/>
    <col min="3081" max="3081" width="65.140625" style="483" customWidth="1"/>
    <col min="3082" max="3082" width="13.5703125" style="483" customWidth="1"/>
    <col min="3083" max="3083" width="14.28515625" style="483" customWidth="1"/>
    <col min="3084" max="3084" width="12.85546875" style="483" customWidth="1"/>
    <col min="3085" max="3085" width="13.7109375" style="483" customWidth="1"/>
    <col min="3086" max="3086" width="7.140625" style="483" customWidth="1"/>
    <col min="3087" max="3087" width="3.5703125" style="483" customWidth="1"/>
    <col min="3088" max="3088" width="2" style="483" customWidth="1"/>
    <col min="3089" max="3089" width="14.5703125" style="483" customWidth="1"/>
    <col min="3090" max="3090" width="10.85546875" style="483" customWidth="1"/>
    <col min="3091" max="3091" width="1" style="483" customWidth="1"/>
    <col min="3092" max="3092" width="1.140625" style="483" customWidth="1"/>
    <col min="3093" max="3093" width="1.7109375" style="483" customWidth="1"/>
    <col min="3094" max="3094" width="5.85546875" style="483" customWidth="1"/>
    <col min="3095" max="3322" width="6.85546875" style="483" customWidth="1"/>
    <col min="3323" max="3323" width="1.140625" style="483" customWidth="1"/>
    <col min="3324" max="3324" width="1" style="483" customWidth="1"/>
    <col min="3325" max="3325" width="7.28515625" style="483" customWidth="1"/>
    <col min="3326" max="3326" width="1.140625" style="483" customWidth="1"/>
    <col min="3327" max="3327" width="5.5703125" style="483" customWidth="1"/>
    <col min="3328" max="3328" width="1.140625" style="483"/>
    <col min="3329" max="3329" width="1.140625" style="483" customWidth="1"/>
    <col min="3330" max="3330" width="1" style="483" customWidth="1"/>
    <col min="3331" max="3331" width="7.28515625" style="483" customWidth="1"/>
    <col min="3332" max="3332" width="1.140625" style="483" customWidth="1"/>
    <col min="3333" max="3333" width="5.5703125" style="483" customWidth="1"/>
    <col min="3334" max="3334" width="1.140625" style="483" customWidth="1"/>
    <col min="3335" max="3335" width="1.28515625" style="483" customWidth="1"/>
    <col min="3336" max="3336" width="8" style="483" customWidth="1"/>
    <col min="3337" max="3337" width="65.140625" style="483" customWidth="1"/>
    <col min="3338" max="3338" width="13.5703125" style="483" customWidth="1"/>
    <col min="3339" max="3339" width="14.28515625" style="483" customWidth="1"/>
    <col min="3340" max="3340" width="12.85546875" style="483" customWidth="1"/>
    <col min="3341" max="3341" width="13.7109375" style="483" customWidth="1"/>
    <col min="3342" max="3342" width="7.140625" style="483" customWidth="1"/>
    <col min="3343" max="3343" width="3.5703125" style="483" customWidth="1"/>
    <col min="3344" max="3344" width="2" style="483" customWidth="1"/>
    <col min="3345" max="3345" width="14.5703125" style="483" customWidth="1"/>
    <col min="3346" max="3346" width="10.85546875" style="483" customWidth="1"/>
    <col min="3347" max="3347" width="1" style="483" customWidth="1"/>
    <col min="3348" max="3348" width="1.140625" style="483" customWidth="1"/>
    <col min="3349" max="3349" width="1.7109375" style="483" customWidth="1"/>
    <col min="3350" max="3350" width="5.85546875" style="483" customWidth="1"/>
    <col min="3351" max="3578" width="6.85546875" style="483" customWidth="1"/>
    <col min="3579" max="3579" width="1.140625" style="483" customWidth="1"/>
    <col min="3580" max="3580" width="1" style="483" customWidth="1"/>
    <col min="3581" max="3581" width="7.28515625" style="483" customWidth="1"/>
    <col min="3582" max="3582" width="1.140625" style="483" customWidth="1"/>
    <col min="3583" max="3583" width="5.5703125" style="483" customWidth="1"/>
    <col min="3584" max="3584" width="1.140625" style="483"/>
    <col min="3585" max="3585" width="1.140625" style="483" customWidth="1"/>
    <col min="3586" max="3586" width="1" style="483" customWidth="1"/>
    <col min="3587" max="3587" width="7.28515625" style="483" customWidth="1"/>
    <col min="3588" max="3588" width="1.140625" style="483" customWidth="1"/>
    <col min="3589" max="3589" width="5.5703125" style="483" customWidth="1"/>
    <col min="3590" max="3590" width="1.140625" style="483" customWidth="1"/>
    <col min="3591" max="3591" width="1.28515625" style="483" customWidth="1"/>
    <col min="3592" max="3592" width="8" style="483" customWidth="1"/>
    <col min="3593" max="3593" width="65.140625" style="483" customWidth="1"/>
    <col min="3594" max="3594" width="13.5703125" style="483" customWidth="1"/>
    <col min="3595" max="3595" width="14.28515625" style="483" customWidth="1"/>
    <col min="3596" max="3596" width="12.85546875" style="483" customWidth="1"/>
    <col min="3597" max="3597" width="13.7109375" style="483" customWidth="1"/>
    <col min="3598" max="3598" width="7.140625" style="483" customWidth="1"/>
    <col min="3599" max="3599" width="3.5703125" style="483" customWidth="1"/>
    <col min="3600" max="3600" width="2" style="483" customWidth="1"/>
    <col min="3601" max="3601" width="14.5703125" style="483" customWidth="1"/>
    <col min="3602" max="3602" width="10.85546875" style="483" customWidth="1"/>
    <col min="3603" max="3603" width="1" style="483" customWidth="1"/>
    <col min="3604" max="3604" width="1.140625" style="483" customWidth="1"/>
    <col min="3605" max="3605" width="1.7109375" style="483" customWidth="1"/>
    <col min="3606" max="3606" width="5.85546875" style="483" customWidth="1"/>
    <col min="3607" max="3834" width="6.85546875" style="483" customWidth="1"/>
    <col min="3835" max="3835" width="1.140625" style="483" customWidth="1"/>
    <col min="3836" max="3836" width="1" style="483" customWidth="1"/>
    <col min="3837" max="3837" width="7.28515625" style="483" customWidth="1"/>
    <col min="3838" max="3838" width="1.140625" style="483" customWidth="1"/>
    <col min="3839" max="3839" width="5.5703125" style="483" customWidth="1"/>
    <col min="3840" max="3840" width="1.140625" style="483"/>
    <col min="3841" max="3841" width="1.140625" style="483" customWidth="1"/>
    <col min="3842" max="3842" width="1" style="483" customWidth="1"/>
    <col min="3843" max="3843" width="7.28515625" style="483" customWidth="1"/>
    <col min="3844" max="3844" width="1.140625" style="483" customWidth="1"/>
    <col min="3845" max="3845" width="5.5703125" style="483" customWidth="1"/>
    <col min="3846" max="3846" width="1.140625" style="483" customWidth="1"/>
    <col min="3847" max="3847" width="1.28515625" style="483" customWidth="1"/>
    <col min="3848" max="3848" width="8" style="483" customWidth="1"/>
    <col min="3849" max="3849" width="65.140625" style="483" customWidth="1"/>
    <col min="3850" max="3850" width="13.5703125" style="483" customWidth="1"/>
    <col min="3851" max="3851" width="14.28515625" style="483" customWidth="1"/>
    <col min="3852" max="3852" width="12.85546875" style="483" customWidth="1"/>
    <col min="3853" max="3853" width="13.7109375" style="483" customWidth="1"/>
    <col min="3854" max="3854" width="7.140625" style="483" customWidth="1"/>
    <col min="3855" max="3855" width="3.5703125" style="483" customWidth="1"/>
    <col min="3856" max="3856" width="2" style="483" customWidth="1"/>
    <col min="3857" max="3857" width="14.5703125" style="483" customWidth="1"/>
    <col min="3858" max="3858" width="10.85546875" style="483" customWidth="1"/>
    <col min="3859" max="3859" width="1" style="483" customWidth="1"/>
    <col min="3860" max="3860" width="1.140625" style="483" customWidth="1"/>
    <col min="3861" max="3861" width="1.7109375" style="483" customWidth="1"/>
    <col min="3862" max="3862" width="5.85546875" style="483" customWidth="1"/>
    <col min="3863" max="4090" width="6.85546875" style="483" customWidth="1"/>
    <col min="4091" max="4091" width="1.140625" style="483" customWidth="1"/>
    <col min="4092" max="4092" width="1" style="483" customWidth="1"/>
    <col min="4093" max="4093" width="7.28515625" style="483" customWidth="1"/>
    <col min="4094" max="4094" width="1.140625" style="483" customWidth="1"/>
    <col min="4095" max="4095" width="5.5703125" style="483" customWidth="1"/>
    <col min="4096" max="4096" width="1.140625" style="483"/>
    <col min="4097" max="4097" width="1.140625" style="483" customWidth="1"/>
    <col min="4098" max="4098" width="1" style="483" customWidth="1"/>
    <col min="4099" max="4099" width="7.28515625" style="483" customWidth="1"/>
    <col min="4100" max="4100" width="1.140625" style="483" customWidth="1"/>
    <col min="4101" max="4101" width="5.5703125" style="483" customWidth="1"/>
    <col min="4102" max="4102" width="1.140625" style="483" customWidth="1"/>
    <col min="4103" max="4103" width="1.28515625" style="483" customWidth="1"/>
    <col min="4104" max="4104" width="8" style="483" customWidth="1"/>
    <col min="4105" max="4105" width="65.140625" style="483" customWidth="1"/>
    <col min="4106" max="4106" width="13.5703125" style="483" customWidth="1"/>
    <col min="4107" max="4107" width="14.28515625" style="483" customWidth="1"/>
    <col min="4108" max="4108" width="12.85546875" style="483" customWidth="1"/>
    <col min="4109" max="4109" width="13.7109375" style="483" customWidth="1"/>
    <col min="4110" max="4110" width="7.140625" style="483" customWidth="1"/>
    <col min="4111" max="4111" width="3.5703125" style="483" customWidth="1"/>
    <col min="4112" max="4112" width="2" style="483" customWidth="1"/>
    <col min="4113" max="4113" width="14.5703125" style="483" customWidth="1"/>
    <col min="4114" max="4114" width="10.85546875" style="483" customWidth="1"/>
    <col min="4115" max="4115" width="1" style="483" customWidth="1"/>
    <col min="4116" max="4116" width="1.140625" style="483" customWidth="1"/>
    <col min="4117" max="4117" width="1.7109375" style="483" customWidth="1"/>
    <col min="4118" max="4118" width="5.85546875" style="483" customWidth="1"/>
    <col min="4119" max="4346" width="6.85546875" style="483" customWidth="1"/>
    <col min="4347" max="4347" width="1.140625" style="483" customWidth="1"/>
    <col min="4348" max="4348" width="1" style="483" customWidth="1"/>
    <col min="4349" max="4349" width="7.28515625" style="483" customWidth="1"/>
    <col min="4350" max="4350" width="1.140625" style="483" customWidth="1"/>
    <col min="4351" max="4351" width="5.5703125" style="483" customWidth="1"/>
    <col min="4352" max="4352" width="1.140625" style="483"/>
    <col min="4353" max="4353" width="1.140625" style="483" customWidth="1"/>
    <col min="4354" max="4354" width="1" style="483" customWidth="1"/>
    <col min="4355" max="4355" width="7.28515625" style="483" customWidth="1"/>
    <col min="4356" max="4356" width="1.140625" style="483" customWidth="1"/>
    <col min="4357" max="4357" width="5.5703125" style="483" customWidth="1"/>
    <col min="4358" max="4358" width="1.140625" style="483" customWidth="1"/>
    <col min="4359" max="4359" width="1.28515625" style="483" customWidth="1"/>
    <col min="4360" max="4360" width="8" style="483" customWidth="1"/>
    <col min="4361" max="4361" width="65.140625" style="483" customWidth="1"/>
    <col min="4362" max="4362" width="13.5703125" style="483" customWidth="1"/>
    <col min="4363" max="4363" width="14.28515625" style="483" customWidth="1"/>
    <col min="4364" max="4364" width="12.85546875" style="483" customWidth="1"/>
    <col min="4365" max="4365" width="13.7109375" style="483" customWidth="1"/>
    <col min="4366" max="4366" width="7.140625" style="483" customWidth="1"/>
    <col min="4367" max="4367" width="3.5703125" style="483" customWidth="1"/>
    <col min="4368" max="4368" width="2" style="483" customWidth="1"/>
    <col min="4369" max="4369" width="14.5703125" style="483" customWidth="1"/>
    <col min="4370" max="4370" width="10.85546875" style="483" customWidth="1"/>
    <col min="4371" max="4371" width="1" style="483" customWidth="1"/>
    <col min="4372" max="4372" width="1.140625" style="483" customWidth="1"/>
    <col min="4373" max="4373" width="1.7109375" style="483" customWidth="1"/>
    <col min="4374" max="4374" width="5.85546875" style="483" customWidth="1"/>
    <col min="4375" max="4602" width="6.85546875" style="483" customWidth="1"/>
    <col min="4603" max="4603" width="1.140625" style="483" customWidth="1"/>
    <col min="4604" max="4604" width="1" style="483" customWidth="1"/>
    <col min="4605" max="4605" width="7.28515625" style="483" customWidth="1"/>
    <col min="4606" max="4606" width="1.140625" style="483" customWidth="1"/>
    <col min="4607" max="4607" width="5.5703125" style="483" customWidth="1"/>
    <col min="4608" max="4608" width="1.140625" style="483"/>
    <col min="4609" max="4609" width="1.140625" style="483" customWidth="1"/>
    <col min="4610" max="4610" width="1" style="483" customWidth="1"/>
    <col min="4611" max="4611" width="7.28515625" style="483" customWidth="1"/>
    <col min="4612" max="4612" width="1.140625" style="483" customWidth="1"/>
    <col min="4613" max="4613" width="5.5703125" style="483" customWidth="1"/>
    <col min="4614" max="4614" width="1.140625" style="483" customWidth="1"/>
    <col min="4615" max="4615" width="1.28515625" style="483" customWidth="1"/>
    <col min="4616" max="4616" width="8" style="483" customWidth="1"/>
    <col min="4617" max="4617" width="65.140625" style="483" customWidth="1"/>
    <col min="4618" max="4618" width="13.5703125" style="483" customWidth="1"/>
    <col min="4619" max="4619" width="14.28515625" style="483" customWidth="1"/>
    <col min="4620" max="4620" width="12.85546875" style="483" customWidth="1"/>
    <col min="4621" max="4621" width="13.7109375" style="483" customWidth="1"/>
    <col min="4622" max="4622" width="7.140625" style="483" customWidth="1"/>
    <col min="4623" max="4623" width="3.5703125" style="483" customWidth="1"/>
    <col min="4624" max="4624" width="2" style="483" customWidth="1"/>
    <col min="4625" max="4625" width="14.5703125" style="483" customWidth="1"/>
    <col min="4626" max="4626" width="10.85546875" style="483" customWidth="1"/>
    <col min="4627" max="4627" width="1" style="483" customWidth="1"/>
    <col min="4628" max="4628" width="1.140625" style="483" customWidth="1"/>
    <col min="4629" max="4629" width="1.7109375" style="483" customWidth="1"/>
    <col min="4630" max="4630" width="5.85546875" style="483" customWidth="1"/>
    <col min="4631" max="4858" width="6.85546875" style="483" customWidth="1"/>
    <col min="4859" max="4859" width="1.140625" style="483" customWidth="1"/>
    <col min="4860" max="4860" width="1" style="483" customWidth="1"/>
    <col min="4861" max="4861" width="7.28515625" style="483" customWidth="1"/>
    <col min="4862" max="4862" width="1.140625" style="483" customWidth="1"/>
    <col min="4863" max="4863" width="5.5703125" style="483" customWidth="1"/>
    <col min="4864" max="4864" width="1.140625" style="483"/>
    <col min="4865" max="4865" width="1.140625" style="483" customWidth="1"/>
    <col min="4866" max="4866" width="1" style="483" customWidth="1"/>
    <col min="4867" max="4867" width="7.28515625" style="483" customWidth="1"/>
    <col min="4868" max="4868" width="1.140625" style="483" customWidth="1"/>
    <col min="4869" max="4869" width="5.5703125" style="483" customWidth="1"/>
    <col min="4870" max="4870" width="1.140625" style="483" customWidth="1"/>
    <col min="4871" max="4871" width="1.28515625" style="483" customWidth="1"/>
    <col min="4872" max="4872" width="8" style="483" customWidth="1"/>
    <col min="4873" max="4873" width="65.140625" style="483" customWidth="1"/>
    <col min="4874" max="4874" width="13.5703125" style="483" customWidth="1"/>
    <col min="4875" max="4875" width="14.28515625" style="483" customWidth="1"/>
    <col min="4876" max="4876" width="12.85546875" style="483" customWidth="1"/>
    <col min="4877" max="4877" width="13.7109375" style="483" customWidth="1"/>
    <col min="4878" max="4878" width="7.140625" style="483" customWidth="1"/>
    <col min="4879" max="4879" width="3.5703125" style="483" customWidth="1"/>
    <col min="4880" max="4880" width="2" style="483" customWidth="1"/>
    <col min="4881" max="4881" width="14.5703125" style="483" customWidth="1"/>
    <col min="4882" max="4882" width="10.85546875" style="483" customWidth="1"/>
    <col min="4883" max="4883" width="1" style="483" customWidth="1"/>
    <col min="4884" max="4884" width="1.140625" style="483" customWidth="1"/>
    <col min="4885" max="4885" width="1.7109375" style="483" customWidth="1"/>
    <col min="4886" max="4886" width="5.85546875" style="483" customWidth="1"/>
    <col min="4887" max="5114" width="6.85546875" style="483" customWidth="1"/>
    <col min="5115" max="5115" width="1.140625" style="483" customWidth="1"/>
    <col min="5116" max="5116" width="1" style="483" customWidth="1"/>
    <col min="5117" max="5117" width="7.28515625" style="483" customWidth="1"/>
    <col min="5118" max="5118" width="1.140625" style="483" customWidth="1"/>
    <col min="5119" max="5119" width="5.5703125" style="483" customWidth="1"/>
    <col min="5120" max="5120" width="1.140625" style="483"/>
    <col min="5121" max="5121" width="1.140625" style="483" customWidth="1"/>
    <col min="5122" max="5122" width="1" style="483" customWidth="1"/>
    <col min="5123" max="5123" width="7.28515625" style="483" customWidth="1"/>
    <col min="5124" max="5124" width="1.140625" style="483" customWidth="1"/>
    <col min="5125" max="5125" width="5.5703125" style="483" customWidth="1"/>
    <col min="5126" max="5126" width="1.140625" style="483" customWidth="1"/>
    <col min="5127" max="5127" width="1.28515625" style="483" customWidth="1"/>
    <col min="5128" max="5128" width="8" style="483" customWidth="1"/>
    <col min="5129" max="5129" width="65.140625" style="483" customWidth="1"/>
    <col min="5130" max="5130" width="13.5703125" style="483" customWidth="1"/>
    <col min="5131" max="5131" width="14.28515625" style="483" customWidth="1"/>
    <col min="5132" max="5132" width="12.85546875" style="483" customWidth="1"/>
    <col min="5133" max="5133" width="13.7109375" style="483" customWidth="1"/>
    <col min="5134" max="5134" width="7.140625" style="483" customWidth="1"/>
    <col min="5135" max="5135" width="3.5703125" style="483" customWidth="1"/>
    <col min="5136" max="5136" width="2" style="483" customWidth="1"/>
    <col min="5137" max="5137" width="14.5703125" style="483" customWidth="1"/>
    <col min="5138" max="5138" width="10.85546875" style="483" customWidth="1"/>
    <col min="5139" max="5139" width="1" style="483" customWidth="1"/>
    <col min="5140" max="5140" width="1.140625" style="483" customWidth="1"/>
    <col min="5141" max="5141" width="1.7109375" style="483" customWidth="1"/>
    <col min="5142" max="5142" width="5.85546875" style="483" customWidth="1"/>
    <col min="5143" max="5370" width="6.85546875" style="483" customWidth="1"/>
    <col min="5371" max="5371" width="1.140625" style="483" customWidth="1"/>
    <col min="5372" max="5372" width="1" style="483" customWidth="1"/>
    <col min="5373" max="5373" width="7.28515625" style="483" customWidth="1"/>
    <col min="5374" max="5374" width="1.140625" style="483" customWidth="1"/>
    <col min="5375" max="5375" width="5.5703125" style="483" customWidth="1"/>
    <col min="5376" max="5376" width="1.140625" style="483"/>
    <col min="5377" max="5377" width="1.140625" style="483" customWidth="1"/>
    <col min="5378" max="5378" width="1" style="483" customWidth="1"/>
    <col min="5379" max="5379" width="7.28515625" style="483" customWidth="1"/>
    <col min="5380" max="5380" width="1.140625" style="483" customWidth="1"/>
    <col min="5381" max="5381" width="5.5703125" style="483" customWidth="1"/>
    <col min="5382" max="5382" width="1.140625" style="483" customWidth="1"/>
    <col min="5383" max="5383" width="1.28515625" style="483" customWidth="1"/>
    <col min="5384" max="5384" width="8" style="483" customWidth="1"/>
    <col min="5385" max="5385" width="65.140625" style="483" customWidth="1"/>
    <col min="5386" max="5386" width="13.5703125" style="483" customWidth="1"/>
    <col min="5387" max="5387" width="14.28515625" style="483" customWidth="1"/>
    <col min="5388" max="5388" width="12.85546875" style="483" customWidth="1"/>
    <col min="5389" max="5389" width="13.7109375" style="483" customWidth="1"/>
    <col min="5390" max="5390" width="7.140625" style="483" customWidth="1"/>
    <col min="5391" max="5391" width="3.5703125" style="483" customWidth="1"/>
    <col min="5392" max="5392" width="2" style="483" customWidth="1"/>
    <col min="5393" max="5393" width="14.5703125" style="483" customWidth="1"/>
    <col min="5394" max="5394" width="10.85546875" style="483" customWidth="1"/>
    <col min="5395" max="5395" width="1" style="483" customWidth="1"/>
    <col min="5396" max="5396" width="1.140625" style="483" customWidth="1"/>
    <col min="5397" max="5397" width="1.7109375" style="483" customWidth="1"/>
    <col min="5398" max="5398" width="5.85546875" style="483" customWidth="1"/>
    <col min="5399" max="5626" width="6.85546875" style="483" customWidth="1"/>
    <col min="5627" max="5627" width="1.140625" style="483" customWidth="1"/>
    <col min="5628" max="5628" width="1" style="483" customWidth="1"/>
    <col min="5629" max="5629" width="7.28515625" style="483" customWidth="1"/>
    <col min="5630" max="5630" width="1.140625" style="483" customWidth="1"/>
    <col min="5631" max="5631" width="5.5703125" style="483" customWidth="1"/>
    <col min="5632" max="5632" width="1.140625" style="483"/>
    <col min="5633" max="5633" width="1.140625" style="483" customWidth="1"/>
    <col min="5634" max="5634" width="1" style="483" customWidth="1"/>
    <col min="5635" max="5635" width="7.28515625" style="483" customWidth="1"/>
    <col min="5636" max="5636" width="1.140625" style="483" customWidth="1"/>
    <col min="5637" max="5637" width="5.5703125" style="483" customWidth="1"/>
    <col min="5638" max="5638" width="1.140625" style="483" customWidth="1"/>
    <col min="5639" max="5639" width="1.28515625" style="483" customWidth="1"/>
    <col min="5640" max="5640" width="8" style="483" customWidth="1"/>
    <col min="5641" max="5641" width="65.140625" style="483" customWidth="1"/>
    <col min="5642" max="5642" width="13.5703125" style="483" customWidth="1"/>
    <col min="5643" max="5643" width="14.28515625" style="483" customWidth="1"/>
    <col min="5644" max="5644" width="12.85546875" style="483" customWidth="1"/>
    <col min="5645" max="5645" width="13.7109375" style="483" customWidth="1"/>
    <col min="5646" max="5646" width="7.140625" style="483" customWidth="1"/>
    <col min="5647" max="5647" width="3.5703125" style="483" customWidth="1"/>
    <col min="5648" max="5648" width="2" style="483" customWidth="1"/>
    <col min="5649" max="5649" width="14.5703125" style="483" customWidth="1"/>
    <col min="5650" max="5650" width="10.85546875" style="483" customWidth="1"/>
    <col min="5651" max="5651" width="1" style="483" customWidth="1"/>
    <col min="5652" max="5652" width="1.140625" style="483" customWidth="1"/>
    <col min="5653" max="5653" width="1.7109375" style="483" customWidth="1"/>
    <col min="5654" max="5654" width="5.85546875" style="483" customWidth="1"/>
    <col min="5655" max="5882" width="6.85546875" style="483" customWidth="1"/>
    <col min="5883" max="5883" width="1.140625" style="483" customWidth="1"/>
    <col min="5884" max="5884" width="1" style="483" customWidth="1"/>
    <col min="5885" max="5885" width="7.28515625" style="483" customWidth="1"/>
    <col min="5886" max="5886" width="1.140625" style="483" customWidth="1"/>
    <col min="5887" max="5887" width="5.5703125" style="483" customWidth="1"/>
    <col min="5888" max="5888" width="1.140625" style="483"/>
    <col min="5889" max="5889" width="1.140625" style="483" customWidth="1"/>
    <col min="5890" max="5890" width="1" style="483" customWidth="1"/>
    <col min="5891" max="5891" width="7.28515625" style="483" customWidth="1"/>
    <col min="5892" max="5892" width="1.140625" style="483" customWidth="1"/>
    <col min="5893" max="5893" width="5.5703125" style="483" customWidth="1"/>
    <col min="5894" max="5894" width="1.140625" style="483" customWidth="1"/>
    <col min="5895" max="5895" width="1.28515625" style="483" customWidth="1"/>
    <col min="5896" max="5896" width="8" style="483" customWidth="1"/>
    <col min="5897" max="5897" width="65.140625" style="483" customWidth="1"/>
    <col min="5898" max="5898" width="13.5703125" style="483" customWidth="1"/>
    <col min="5899" max="5899" width="14.28515625" style="483" customWidth="1"/>
    <col min="5900" max="5900" width="12.85546875" style="483" customWidth="1"/>
    <col min="5901" max="5901" width="13.7109375" style="483" customWidth="1"/>
    <col min="5902" max="5902" width="7.140625" style="483" customWidth="1"/>
    <col min="5903" max="5903" width="3.5703125" style="483" customWidth="1"/>
    <col min="5904" max="5904" width="2" style="483" customWidth="1"/>
    <col min="5905" max="5905" width="14.5703125" style="483" customWidth="1"/>
    <col min="5906" max="5906" width="10.85546875" style="483" customWidth="1"/>
    <col min="5907" max="5907" width="1" style="483" customWidth="1"/>
    <col min="5908" max="5908" width="1.140625" style="483" customWidth="1"/>
    <col min="5909" max="5909" width="1.7109375" style="483" customWidth="1"/>
    <col min="5910" max="5910" width="5.85546875" style="483" customWidth="1"/>
    <col min="5911" max="6138" width="6.85546875" style="483" customWidth="1"/>
    <col min="6139" max="6139" width="1.140625" style="483" customWidth="1"/>
    <col min="6140" max="6140" width="1" style="483" customWidth="1"/>
    <col min="6141" max="6141" width="7.28515625" style="483" customWidth="1"/>
    <col min="6142" max="6142" width="1.140625" style="483" customWidth="1"/>
    <col min="6143" max="6143" width="5.5703125" style="483" customWidth="1"/>
    <col min="6144" max="6144" width="1.140625" style="483"/>
    <col min="6145" max="6145" width="1.140625" style="483" customWidth="1"/>
    <col min="6146" max="6146" width="1" style="483" customWidth="1"/>
    <col min="6147" max="6147" width="7.28515625" style="483" customWidth="1"/>
    <col min="6148" max="6148" width="1.140625" style="483" customWidth="1"/>
    <col min="6149" max="6149" width="5.5703125" style="483" customWidth="1"/>
    <col min="6150" max="6150" width="1.140625" style="483" customWidth="1"/>
    <col min="6151" max="6151" width="1.28515625" style="483" customWidth="1"/>
    <col min="6152" max="6152" width="8" style="483" customWidth="1"/>
    <col min="6153" max="6153" width="65.140625" style="483" customWidth="1"/>
    <col min="6154" max="6154" width="13.5703125" style="483" customWidth="1"/>
    <col min="6155" max="6155" width="14.28515625" style="483" customWidth="1"/>
    <col min="6156" max="6156" width="12.85546875" style="483" customWidth="1"/>
    <col min="6157" max="6157" width="13.7109375" style="483" customWidth="1"/>
    <col min="6158" max="6158" width="7.140625" style="483" customWidth="1"/>
    <col min="6159" max="6159" width="3.5703125" style="483" customWidth="1"/>
    <col min="6160" max="6160" width="2" style="483" customWidth="1"/>
    <col min="6161" max="6161" width="14.5703125" style="483" customWidth="1"/>
    <col min="6162" max="6162" width="10.85546875" style="483" customWidth="1"/>
    <col min="6163" max="6163" width="1" style="483" customWidth="1"/>
    <col min="6164" max="6164" width="1.140625" style="483" customWidth="1"/>
    <col min="6165" max="6165" width="1.7109375" style="483" customWidth="1"/>
    <col min="6166" max="6166" width="5.85546875" style="483" customWidth="1"/>
    <col min="6167" max="6394" width="6.85546875" style="483" customWidth="1"/>
    <col min="6395" max="6395" width="1.140625" style="483" customWidth="1"/>
    <col min="6396" max="6396" width="1" style="483" customWidth="1"/>
    <col min="6397" max="6397" width="7.28515625" style="483" customWidth="1"/>
    <col min="6398" max="6398" width="1.140625" style="483" customWidth="1"/>
    <col min="6399" max="6399" width="5.5703125" style="483" customWidth="1"/>
    <col min="6400" max="6400" width="1.140625" style="483"/>
    <col min="6401" max="6401" width="1.140625" style="483" customWidth="1"/>
    <col min="6402" max="6402" width="1" style="483" customWidth="1"/>
    <col min="6403" max="6403" width="7.28515625" style="483" customWidth="1"/>
    <col min="6404" max="6404" width="1.140625" style="483" customWidth="1"/>
    <col min="6405" max="6405" width="5.5703125" style="483" customWidth="1"/>
    <col min="6406" max="6406" width="1.140625" style="483" customWidth="1"/>
    <col min="6407" max="6407" width="1.28515625" style="483" customWidth="1"/>
    <col min="6408" max="6408" width="8" style="483" customWidth="1"/>
    <col min="6409" max="6409" width="65.140625" style="483" customWidth="1"/>
    <col min="6410" max="6410" width="13.5703125" style="483" customWidth="1"/>
    <col min="6411" max="6411" width="14.28515625" style="483" customWidth="1"/>
    <col min="6412" max="6412" width="12.85546875" style="483" customWidth="1"/>
    <col min="6413" max="6413" width="13.7109375" style="483" customWidth="1"/>
    <col min="6414" max="6414" width="7.140625" style="483" customWidth="1"/>
    <col min="6415" max="6415" width="3.5703125" style="483" customWidth="1"/>
    <col min="6416" max="6416" width="2" style="483" customWidth="1"/>
    <col min="6417" max="6417" width="14.5703125" style="483" customWidth="1"/>
    <col min="6418" max="6418" width="10.85546875" style="483" customWidth="1"/>
    <col min="6419" max="6419" width="1" style="483" customWidth="1"/>
    <col min="6420" max="6420" width="1.140625" style="483" customWidth="1"/>
    <col min="6421" max="6421" width="1.7109375" style="483" customWidth="1"/>
    <col min="6422" max="6422" width="5.85546875" style="483" customWidth="1"/>
    <col min="6423" max="6650" width="6.85546875" style="483" customWidth="1"/>
    <col min="6651" max="6651" width="1.140625" style="483" customWidth="1"/>
    <col min="6652" max="6652" width="1" style="483" customWidth="1"/>
    <col min="6653" max="6653" width="7.28515625" style="483" customWidth="1"/>
    <col min="6654" max="6654" width="1.140625" style="483" customWidth="1"/>
    <col min="6655" max="6655" width="5.5703125" style="483" customWidth="1"/>
    <col min="6656" max="6656" width="1.140625" style="483"/>
    <col min="6657" max="6657" width="1.140625" style="483" customWidth="1"/>
    <col min="6658" max="6658" width="1" style="483" customWidth="1"/>
    <col min="6659" max="6659" width="7.28515625" style="483" customWidth="1"/>
    <col min="6660" max="6660" width="1.140625" style="483" customWidth="1"/>
    <col min="6661" max="6661" width="5.5703125" style="483" customWidth="1"/>
    <col min="6662" max="6662" width="1.140625" style="483" customWidth="1"/>
    <col min="6663" max="6663" width="1.28515625" style="483" customWidth="1"/>
    <col min="6664" max="6664" width="8" style="483" customWidth="1"/>
    <col min="6665" max="6665" width="65.140625" style="483" customWidth="1"/>
    <col min="6666" max="6666" width="13.5703125" style="483" customWidth="1"/>
    <col min="6667" max="6667" width="14.28515625" style="483" customWidth="1"/>
    <col min="6668" max="6668" width="12.85546875" style="483" customWidth="1"/>
    <col min="6669" max="6669" width="13.7109375" style="483" customWidth="1"/>
    <col min="6670" max="6670" width="7.140625" style="483" customWidth="1"/>
    <col min="6671" max="6671" width="3.5703125" style="483" customWidth="1"/>
    <col min="6672" max="6672" width="2" style="483" customWidth="1"/>
    <col min="6673" max="6673" width="14.5703125" style="483" customWidth="1"/>
    <col min="6674" max="6674" width="10.85546875" style="483" customWidth="1"/>
    <col min="6675" max="6675" width="1" style="483" customWidth="1"/>
    <col min="6676" max="6676" width="1.140625" style="483" customWidth="1"/>
    <col min="6677" max="6677" width="1.7109375" style="483" customWidth="1"/>
    <col min="6678" max="6678" width="5.85546875" style="483" customWidth="1"/>
    <col min="6679" max="6906" width="6.85546875" style="483" customWidth="1"/>
    <col min="6907" max="6907" width="1.140625" style="483" customWidth="1"/>
    <col min="6908" max="6908" width="1" style="483" customWidth="1"/>
    <col min="6909" max="6909" width="7.28515625" style="483" customWidth="1"/>
    <col min="6910" max="6910" width="1.140625" style="483" customWidth="1"/>
    <col min="6911" max="6911" width="5.5703125" style="483" customWidth="1"/>
    <col min="6912" max="6912" width="1.140625" style="483"/>
    <col min="6913" max="6913" width="1.140625" style="483" customWidth="1"/>
    <col min="6914" max="6914" width="1" style="483" customWidth="1"/>
    <col min="6915" max="6915" width="7.28515625" style="483" customWidth="1"/>
    <col min="6916" max="6916" width="1.140625" style="483" customWidth="1"/>
    <col min="6917" max="6917" width="5.5703125" style="483" customWidth="1"/>
    <col min="6918" max="6918" width="1.140625" style="483" customWidth="1"/>
    <col min="6919" max="6919" width="1.28515625" style="483" customWidth="1"/>
    <col min="6920" max="6920" width="8" style="483" customWidth="1"/>
    <col min="6921" max="6921" width="65.140625" style="483" customWidth="1"/>
    <col min="6922" max="6922" width="13.5703125" style="483" customWidth="1"/>
    <col min="6923" max="6923" width="14.28515625" style="483" customWidth="1"/>
    <col min="6924" max="6924" width="12.85546875" style="483" customWidth="1"/>
    <col min="6925" max="6925" width="13.7109375" style="483" customWidth="1"/>
    <col min="6926" max="6926" width="7.140625" style="483" customWidth="1"/>
    <col min="6927" max="6927" width="3.5703125" style="483" customWidth="1"/>
    <col min="6928" max="6928" width="2" style="483" customWidth="1"/>
    <col min="6929" max="6929" width="14.5703125" style="483" customWidth="1"/>
    <col min="6930" max="6930" width="10.85546875" style="483" customWidth="1"/>
    <col min="6931" max="6931" width="1" style="483" customWidth="1"/>
    <col min="6932" max="6932" width="1.140625" style="483" customWidth="1"/>
    <col min="6933" max="6933" width="1.7109375" style="483" customWidth="1"/>
    <col min="6934" max="6934" width="5.85546875" style="483" customWidth="1"/>
    <col min="6935" max="7162" width="6.85546875" style="483" customWidth="1"/>
    <col min="7163" max="7163" width="1.140625" style="483" customWidth="1"/>
    <col min="7164" max="7164" width="1" style="483" customWidth="1"/>
    <col min="7165" max="7165" width="7.28515625" style="483" customWidth="1"/>
    <col min="7166" max="7166" width="1.140625" style="483" customWidth="1"/>
    <col min="7167" max="7167" width="5.5703125" style="483" customWidth="1"/>
    <col min="7168" max="7168" width="1.140625" style="483"/>
    <col min="7169" max="7169" width="1.140625" style="483" customWidth="1"/>
    <col min="7170" max="7170" width="1" style="483" customWidth="1"/>
    <col min="7171" max="7171" width="7.28515625" style="483" customWidth="1"/>
    <col min="7172" max="7172" width="1.140625" style="483" customWidth="1"/>
    <col min="7173" max="7173" width="5.5703125" style="483" customWidth="1"/>
    <col min="7174" max="7174" width="1.140625" style="483" customWidth="1"/>
    <col min="7175" max="7175" width="1.28515625" style="483" customWidth="1"/>
    <col min="7176" max="7176" width="8" style="483" customWidth="1"/>
    <col min="7177" max="7177" width="65.140625" style="483" customWidth="1"/>
    <col min="7178" max="7178" width="13.5703125" style="483" customWidth="1"/>
    <col min="7179" max="7179" width="14.28515625" style="483" customWidth="1"/>
    <col min="7180" max="7180" width="12.85546875" style="483" customWidth="1"/>
    <col min="7181" max="7181" width="13.7109375" style="483" customWidth="1"/>
    <col min="7182" max="7182" width="7.140625" style="483" customWidth="1"/>
    <col min="7183" max="7183" width="3.5703125" style="483" customWidth="1"/>
    <col min="7184" max="7184" width="2" style="483" customWidth="1"/>
    <col min="7185" max="7185" width="14.5703125" style="483" customWidth="1"/>
    <col min="7186" max="7186" width="10.85546875" style="483" customWidth="1"/>
    <col min="7187" max="7187" width="1" style="483" customWidth="1"/>
    <col min="7188" max="7188" width="1.140625" style="483" customWidth="1"/>
    <col min="7189" max="7189" width="1.7109375" style="483" customWidth="1"/>
    <col min="7190" max="7190" width="5.85546875" style="483" customWidth="1"/>
    <col min="7191" max="7418" width="6.85546875" style="483" customWidth="1"/>
    <col min="7419" max="7419" width="1.140625" style="483" customWidth="1"/>
    <col min="7420" max="7420" width="1" style="483" customWidth="1"/>
    <col min="7421" max="7421" width="7.28515625" style="483" customWidth="1"/>
    <col min="7422" max="7422" width="1.140625" style="483" customWidth="1"/>
    <col min="7423" max="7423" width="5.5703125" style="483" customWidth="1"/>
    <col min="7424" max="7424" width="1.140625" style="483"/>
    <col min="7425" max="7425" width="1.140625" style="483" customWidth="1"/>
    <col min="7426" max="7426" width="1" style="483" customWidth="1"/>
    <col min="7427" max="7427" width="7.28515625" style="483" customWidth="1"/>
    <col min="7428" max="7428" width="1.140625" style="483" customWidth="1"/>
    <col min="7429" max="7429" width="5.5703125" style="483" customWidth="1"/>
    <col min="7430" max="7430" width="1.140625" style="483" customWidth="1"/>
    <col min="7431" max="7431" width="1.28515625" style="483" customWidth="1"/>
    <col min="7432" max="7432" width="8" style="483" customWidth="1"/>
    <col min="7433" max="7433" width="65.140625" style="483" customWidth="1"/>
    <col min="7434" max="7434" width="13.5703125" style="483" customWidth="1"/>
    <col min="7435" max="7435" width="14.28515625" style="483" customWidth="1"/>
    <col min="7436" max="7436" width="12.85546875" style="483" customWidth="1"/>
    <col min="7437" max="7437" width="13.7109375" style="483" customWidth="1"/>
    <col min="7438" max="7438" width="7.140625" style="483" customWidth="1"/>
    <col min="7439" max="7439" width="3.5703125" style="483" customWidth="1"/>
    <col min="7440" max="7440" width="2" style="483" customWidth="1"/>
    <col min="7441" max="7441" width="14.5703125" style="483" customWidth="1"/>
    <col min="7442" max="7442" width="10.85546875" style="483" customWidth="1"/>
    <col min="7443" max="7443" width="1" style="483" customWidth="1"/>
    <col min="7444" max="7444" width="1.140625" style="483" customWidth="1"/>
    <col min="7445" max="7445" width="1.7109375" style="483" customWidth="1"/>
    <col min="7446" max="7446" width="5.85546875" style="483" customWidth="1"/>
    <col min="7447" max="7674" width="6.85546875" style="483" customWidth="1"/>
    <col min="7675" max="7675" width="1.140625" style="483" customWidth="1"/>
    <col min="7676" max="7676" width="1" style="483" customWidth="1"/>
    <col min="7677" max="7677" width="7.28515625" style="483" customWidth="1"/>
    <col min="7678" max="7678" width="1.140625" style="483" customWidth="1"/>
    <col min="7679" max="7679" width="5.5703125" style="483" customWidth="1"/>
    <col min="7680" max="7680" width="1.140625" style="483"/>
    <col min="7681" max="7681" width="1.140625" style="483" customWidth="1"/>
    <col min="7682" max="7682" width="1" style="483" customWidth="1"/>
    <col min="7683" max="7683" width="7.28515625" style="483" customWidth="1"/>
    <col min="7684" max="7684" width="1.140625" style="483" customWidth="1"/>
    <col min="7685" max="7685" width="5.5703125" style="483" customWidth="1"/>
    <col min="7686" max="7686" width="1.140625" style="483" customWidth="1"/>
    <col min="7687" max="7687" width="1.28515625" style="483" customWidth="1"/>
    <col min="7688" max="7688" width="8" style="483" customWidth="1"/>
    <col min="7689" max="7689" width="65.140625" style="483" customWidth="1"/>
    <col min="7690" max="7690" width="13.5703125" style="483" customWidth="1"/>
    <col min="7691" max="7691" width="14.28515625" style="483" customWidth="1"/>
    <col min="7692" max="7692" width="12.85546875" style="483" customWidth="1"/>
    <col min="7693" max="7693" width="13.7109375" style="483" customWidth="1"/>
    <col min="7694" max="7694" width="7.140625" style="483" customWidth="1"/>
    <col min="7695" max="7695" width="3.5703125" style="483" customWidth="1"/>
    <col min="7696" max="7696" width="2" style="483" customWidth="1"/>
    <col min="7697" max="7697" width="14.5703125" style="483" customWidth="1"/>
    <col min="7698" max="7698" width="10.85546875" style="483" customWidth="1"/>
    <col min="7699" max="7699" width="1" style="483" customWidth="1"/>
    <col min="7700" max="7700" width="1.140625" style="483" customWidth="1"/>
    <col min="7701" max="7701" width="1.7109375" style="483" customWidth="1"/>
    <col min="7702" max="7702" width="5.85546875" style="483" customWidth="1"/>
    <col min="7703" max="7930" width="6.85546875" style="483" customWidth="1"/>
    <col min="7931" max="7931" width="1.140625" style="483" customWidth="1"/>
    <col min="7932" max="7932" width="1" style="483" customWidth="1"/>
    <col min="7933" max="7933" width="7.28515625" style="483" customWidth="1"/>
    <col min="7934" max="7934" width="1.140625" style="483" customWidth="1"/>
    <col min="7935" max="7935" width="5.5703125" style="483" customWidth="1"/>
    <col min="7936" max="7936" width="1.140625" style="483"/>
    <col min="7937" max="7937" width="1.140625" style="483" customWidth="1"/>
    <col min="7938" max="7938" width="1" style="483" customWidth="1"/>
    <col min="7939" max="7939" width="7.28515625" style="483" customWidth="1"/>
    <col min="7940" max="7940" width="1.140625" style="483" customWidth="1"/>
    <col min="7941" max="7941" width="5.5703125" style="483" customWidth="1"/>
    <col min="7942" max="7942" width="1.140625" style="483" customWidth="1"/>
    <col min="7943" max="7943" width="1.28515625" style="483" customWidth="1"/>
    <col min="7944" max="7944" width="8" style="483" customWidth="1"/>
    <col min="7945" max="7945" width="65.140625" style="483" customWidth="1"/>
    <col min="7946" max="7946" width="13.5703125" style="483" customWidth="1"/>
    <col min="7947" max="7947" width="14.28515625" style="483" customWidth="1"/>
    <col min="7948" max="7948" width="12.85546875" style="483" customWidth="1"/>
    <col min="7949" max="7949" width="13.7109375" style="483" customWidth="1"/>
    <col min="7950" max="7950" width="7.140625" style="483" customWidth="1"/>
    <col min="7951" max="7951" width="3.5703125" style="483" customWidth="1"/>
    <col min="7952" max="7952" width="2" style="483" customWidth="1"/>
    <col min="7953" max="7953" width="14.5703125" style="483" customWidth="1"/>
    <col min="7954" max="7954" width="10.85546875" style="483" customWidth="1"/>
    <col min="7955" max="7955" width="1" style="483" customWidth="1"/>
    <col min="7956" max="7956" width="1.140625" style="483" customWidth="1"/>
    <col min="7957" max="7957" width="1.7109375" style="483" customWidth="1"/>
    <col min="7958" max="7958" width="5.85546875" style="483" customWidth="1"/>
    <col min="7959" max="8186" width="6.85546875" style="483" customWidth="1"/>
    <col min="8187" max="8187" width="1.140625" style="483" customWidth="1"/>
    <col min="8188" max="8188" width="1" style="483" customWidth="1"/>
    <col min="8189" max="8189" width="7.28515625" style="483" customWidth="1"/>
    <col min="8190" max="8190" width="1.140625" style="483" customWidth="1"/>
    <col min="8191" max="8191" width="5.5703125" style="483" customWidth="1"/>
    <col min="8192" max="8192" width="1.140625" style="483"/>
    <col min="8193" max="8193" width="1.140625" style="483" customWidth="1"/>
    <col min="8194" max="8194" width="1" style="483" customWidth="1"/>
    <col min="8195" max="8195" width="7.28515625" style="483" customWidth="1"/>
    <col min="8196" max="8196" width="1.140625" style="483" customWidth="1"/>
    <col min="8197" max="8197" width="5.5703125" style="483" customWidth="1"/>
    <col min="8198" max="8198" width="1.140625" style="483" customWidth="1"/>
    <col min="8199" max="8199" width="1.28515625" style="483" customWidth="1"/>
    <col min="8200" max="8200" width="8" style="483" customWidth="1"/>
    <col min="8201" max="8201" width="65.140625" style="483" customWidth="1"/>
    <col min="8202" max="8202" width="13.5703125" style="483" customWidth="1"/>
    <col min="8203" max="8203" width="14.28515625" style="483" customWidth="1"/>
    <col min="8204" max="8204" width="12.85546875" style="483" customWidth="1"/>
    <col min="8205" max="8205" width="13.7109375" style="483" customWidth="1"/>
    <col min="8206" max="8206" width="7.140625" style="483" customWidth="1"/>
    <col min="8207" max="8207" width="3.5703125" style="483" customWidth="1"/>
    <col min="8208" max="8208" width="2" style="483" customWidth="1"/>
    <col min="8209" max="8209" width="14.5703125" style="483" customWidth="1"/>
    <col min="8210" max="8210" width="10.85546875" style="483" customWidth="1"/>
    <col min="8211" max="8211" width="1" style="483" customWidth="1"/>
    <col min="8212" max="8212" width="1.140625" style="483" customWidth="1"/>
    <col min="8213" max="8213" width="1.7109375" style="483" customWidth="1"/>
    <col min="8214" max="8214" width="5.85546875" style="483" customWidth="1"/>
    <col min="8215" max="8442" width="6.85546875" style="483" customWidth="1"/>
    <col min="8443" max="8443" width="1.140625" style="483" customWidth="1"/>
    <col min="8444" max="8444" width="1" style="483" customWidth="1"/>
    <col min="8445" max="8445" width="7.28515625" style="483" customWidth="1"/>
    <col min="8446" max="8446" width="1.140625" style="483" customWidth="1"/>
    <col min="8447" max="8447" width="5.5703125" style="483" customWidth="1"/>
    <col min="8448" max="8448" width="1.140625" style="483"/>
    <col min="8449" max="8449" width="1.140625" style="483" customWidth="1"/>
    <col min="8450" max="8450" width="1" style="483" customWidth="1"/>
    <col min="8451" max="8451" width="7.28515625" style="483" customWidth="1"/>
    <col min="8452" max="8452" width="1.140625" style="483" customWidth="1"/>
    <col min="8453" max="8453" width="5.5703125" style="483" customWidth="1"/>
    <col min="8454" max="8454" width="1.140625" style="483" customWidth="1"/>
    <col min="8455" max="8455" width="1.28515625" style="483" customWidth="1"/>
    <col min="8456" max="8456" width="8" style="483" customWidth="1"/>
    <col min="8457" max="8457" width="65.140625" style="483" customWidth="1"/>
    <col min="8458" max="8458" width="13.5703125" style="483" customWidth="1"/>
    <col min="8459" max="8459" width="14.28515625" style="483" customWidth="1"/>
    <col min="8460" max="8460" width="12.85546875" style="483" customWidth="1"/>
    <col min="8461" max="8461" width="13.7109375" style="483" customWidth="1"/>
    <col min="8462" max="8462" width="7.140625" style="483" customWidth="1"/>
    <col min="8463" max="8463" width="3.5703125" style="483" customWidth="1"/>
    <col min="8464" max="8464" width="2" style="483" customWidth="1"/>
    <col min="8465" max="8465" width="14.5703125" style="483" customWidth="1"/>
    <col min="8466" max="8466" width="10.85546875" style="483" customWidth="1"/>
    <col min="8467" max="8467" width="1" style="483" customWidth="1"/>
    <col min="8468" max="8468" width="1.140625" style="483" customWidth="1"/>
    <col min="8469" max="8469" width="1.7109375" style="483" customWidth="1"/>
    <col min="8470" max="8470" width="5.85546875" style="483" customWidth="1"/>
    <col min="8471" max="8698" width="6.85546875" style="483" customWidth="1"/>
    <col min="8699" max="8699" width="1.140625" style="483" customWidth="1"/>
    <col min="8700" max="8700" width="1" style="483" customWidth="1"/>
    <col min="8701" max="8701" width="7.28515625" style="483" customWidth="1"/>
    <col min="8702" max="8702" width="1.140625" style="483" customWidth="1"/>
    <col min="8703" max="8703" width="5.5703125" style="483" customWidth="1"/>
    <col min="8704" max="8704" width="1.140625" style="483"/>
    <col min="8705" max="8705" width="1.140625" style="483" customWidth="1"/>
    <col min="8706" max="8706" width="1" style="483" customWidth="1"/>
    <col min="8707" max="8707" width="7.28515625" style="483" customWidth="1"/>
    <col min="8708" max="8708" width="1.140625" style="483" customWidth="1"/>
    <col min="8709" max="8709" width="5.5703125" style="483" customWidth="1"/>
    <col min="8710" max="8710" width="1.140625" style="483" customWidth="1"/>
    <col min="8711" max="8711" width="1.28515625" style="483" customWidth="1"/>
    <col min="8712" max="8712" width="8" style="483" customWidth="1"/>
    <col min="8713" max="8713" width="65.140625" style="483" customWidth="1"/>
    <col min="8714" max="8714" width="13.5703125" style="483" customWidth="1"/>
    <col min="8715" max="8715" width="14.28515625" style="483" customWidth="1"/>
    <col min="8716" max="8716" width="12.85546875" style="483" customWidth="1"/>
    <col min="8717" max="8717" width="13.7109375" style="483" customWidth="1"/>
    <col min="8718" max="8718" width="7.140625" style="483" customWidth="1"/>
    <col min="8719" max="8719" width="3.5703125" style="483" customWidth="1"/>
    <col min="8720" max="8720" width="2" style="483" customWidth="1"/>
    <col min="8721" max="8721" width="14.5703125" style="483" customWidth="1"/>
    <col min="8722" max="8722" width="10.85546875" style="483" customWidth="1"/>
    <col min="8723" max="8723" width="1" style="483" customWidth="1"/>
    <col min="8724" max="8724" width="1.140625" style="483" customWidth="1"/>
    <col min="8725" max="8725" width="1.7109375" style="483" customWidth="1"/>
    <col min="8726" max="8726" width="5.85546875" style="483" customWidth="1"/>
    <col min="8727" max="8954" width="6.85546875" style="483" customWidth="1"/>
    <col min="8955" max="8955" width="1.140625" style="483" customWidth="1"/>
    <col min="8956" max="8956" width="1" style="483" customWidth="1"/>
    <col min="8957" max="8957" width="7.28515625" style="483" customWidth="1"/>
    <col min="8958" max="8958" width="1.140625" style="483" customWidth="1"/>
    <col min="8959" max="8959" width="5.5703125" style="483" customWidth="1"/>
    <col min="8960" max="8960" width="1.140625" style="483"/>
    <col min="8961" max="8961" width="1.140625" style="483" customWidth="1"/>
    <col min="8962" max="8962" width="1" style="483" customWidth="1"/>
    <col min="8963" max="8963" width="7.28515625" style="483" customWidth="1"/>
    <col min="8964" max="8964" width="1.140625" style="483" customWidth="1"/>
    <col min="8965" max="8965" width="5.5703125" style="483" customWidth="1"/>
    <col min="8966" max="8966" width="1.140625" style="483" customWidth="1"/>
    <col min="8967" max="8967" width="1.28515625" style="483" customWidth="1"/>
    <col min="8968" max="8968" width="8" style="483" customWidth="1"/>
    <col min="8969" max="8969" width="65.140625" style="483" customWidth="1"/>
    <col min="8970" max="8970" width="13.5703125" style="483" customWidth="1"/>
    <col min="8971" max="8971" width="14.28515625" style="483" customWidth="1"/>
    <col min="8972" max="8972" width="12.85546875" style="483" customWidth="1"/>
    <col min="8973" max="8973" width="13.7109375" style="483" customWidth="1"/>
    <col min="8974" max="8974" width="7.140625" style="483" customWidth="1"/>
    <col min="8975" max="8975" width="3.5703125" style="483" customWidth="1"/>
    <col min="8976" max="8976" width="2" style="483" customWidth="1"/>
    <col min="8977" max="8977" width="14.5703125" style="483" customWidth="1"/>
    <col min="8978" max="8978" width="10.85546875" style="483" customWidth="1"/>
    <col min="8979" max="8979" width="1" style="483" customWidth="1"/>
    <col min="8980" max="8980" width="1.140625" style="483" customWidth="1"/>
    <col min="8981" max="8981" width="1.7109375" style="483" customWidth="1"/>
    <col min="8982" max="8982" width="5.85546875" style="483" customWidth="1"/>
    <col min="8983" max="9210" width="6.85546875" style="483" customWidth="1"/>
    <col min="9211" max="9211" width="1.140625" style="483" customWidth="1"/>
    <col min="9212" max="9212" width="1" style="483" customWidth="1"/>
    <col min="9213" max="9213" width="7.28515625" style="483" customWidth="1"/>
    <col min="9214" max="9214" width="1.140625" style="483" customWidth="1"/>
    <col min="9215" max="9215" width="5.5703125" style="483" customWidth="1"/>
    <col min="9216" max="9216" width="1.140625" style="483"/>
    <col min="9217" max="9217" width="1.140625" style="483" customWidth="1"/>
    <col min="9218" max="9218" width="1" style="483" customWidth="1"/>
    <col min="9219" max="9219" width="7.28515625" style="483" customWidth="1"/>
    <col min="9220" max="9220" width="1.140625" style="483" customWidth="1"/>
    <col min="9221" max="9221" width="5.5703125" style="483" customWidth="1"/>
    <col min="9222" max="9222" width="1.140625" style="483" customWidth="1"/>
    <col min="9223" max="9223" width="1.28515625" style="483" customWidth="1"/>
    <col min="9224" max="9224" width="8" style="483" customWidth="1"/>
    <col min="9225" max="9225" width="65.140625" style="483" customWidth="1"/>
    <col min="9226" max="9226" width="13.5703125" style="483" customWidth="1"/>
    <col min="9227" max="9227" width="14.28515625" style="483" customWidth="1"/>
    <col min="9228" max="9228" width="12.85546875" style="483" customWidth="1"/>
    <col min="9229" max="9229" width="13.7109375" style="483" customWidth="1"/>
    <col min="9230" max="9230" width="7.140625" style="483" customWidth="1"/>
    <col min="9231" max="9231" width="3.5703125" style="483" customWidth="1"/>
    <col min="9232" max="9232" width="2" style="483" customWidth="1"/>
    <col min="9233" max="9233" width="14.5703125" style="483" customWidth="1"/>
    <col min="9234" max="9234" width="10.85546875" style="483" customWidth="1"/>
    <col min="9235" max="9235" width="1" style="483" customWidth="1"/>
    <col min="9236" max="9236" width="1.140625" style="483" customWidth="1"/>
    <col min="9237" max="9237" width="1.7109375" style="483" customWidth="1"/>
    <col min="9238" max="9238" width="5.85546875" style="483" customWidth="1"/>
    <col min="9239" max="9466" width="6.85546875" style="483" customWidth="1"/>
    <col min="9467" max="9467" width="1.140625" style="483" customWidth="1"/>
    <col min="9468" max="9468" width="1" style="483" customWidth="1"/>
    <col min="9469" max="9469" width="7.28515625" style="483" customWidth="1"/>
    <col min="9470" max="9470" width="1.140625" style="483" customWidth="1"/>
    <col min="9471" max="9471" width="5.5703125" style="483" customWidth="1"/>
    <col min="9472" max="9472" width="1.140625" style="483"/>
    <col min="9473" max="9473" width="1.140625" style="483" customWidth="1"/>
    <col min="9474" max="9474" width="1" style="483" customWidth="1"/>
    <col min="9475" max="9475" width="7.28515625" style="483" customWidth="1"/>
    <col min="9476" max="9476" width="1.140625" style="483" customWidth="1"/>
    <col min="9477" max="9477" width="5.5703125" style="483" customWidth="1"/>
    <col min="9478" max="9478" width="1.140625" style="483" customWidth="1"/>
    <col min="9479" max="9479" width="1.28515625" style="483" customWidth="1"/>
    <col min="9480" max="9480" width="8" style="483" customWidth="1"/>
    <col min="9481" max="9481" width="65.140625" style="483" customWidth="1"/>
    <col min="9482" max="9482" width="13.5703125" style="483" customWidth="1"/>
    <col min="9483" max="9483" width="14.28515625" style="483" customWidth="1"/>
    <col min="9484" max="9484" width="12.85546875" style="483" customWidth="1"/>
    <col min="9485" max="9485" width="13.7109375" style="483" customWidth="1"/>
    <col min="9486" max="9486" width="7.140625" style="483" customWidth="1"/>
    <col min="9487" max="9487" width="3.5703125" style="483" customWidth="1"/>
    <col min="9488" max="9488" width="2" style="483" customWidth="1"/>
    <col min="9489" max="9489" width="14.5703125" style="483" customWidth="1"/>
    <col min="9490" max="9490" width="10.85546875" style="483" customWidth="1"/>
    <col min="9491" max="9491" width="1" style="483" customWidth="1"/>
    <col min="9492" max="9492" width="1.140625" style="483" customWidth="1"/>
    <col min="9493" max="9493" width="1.7109375" style="483" customWidth="1"/>
    <col min="9494" max="9494" width="5.85546875" style="483" customWidth="1"/>
    <col min="9495" max="9722" width="6.85546875" style="483" customWidth="1"/>
    <col min="9723" max="9723" width="1.140625" style="483" customWidth="1"/>
    <col min="9724" max="9724" width="1" style="483" customWidth="1"/>
    <col min="9725" max="9725" width="7.28515625" style="483" customWidth="1"/>
    <col min="9726" max="9726" width="1.140625" style="483" customWidth="1"/>
    <col min="9727" max="9727" width="5.5703125" style="483" customWidth="1"/>
    <col min="9728" max="9728" width="1.140625" style="483"/>
    <col min="9729" max="9729" width="1.140625" style="483" customWidth="1"/>
    <col min="9730" max="9730" width="1" style="483" customWidth="1"/>
    <col min="9731" max="9731" width="7.28515625" style="483" customWidth="1"/>
    <col min="9732" max="9732" width="1.140625" style="483" customWidth="1"/>
    <col min="9733" max="9733" width="5.5703125" style="483" customWidth="1"/>
    <col min="9734" max="9734" width="1.140625" style="483" customWidth="1"/>
    <col min="9735" max="9735" width="1.28515625" style="483" customWidth="1"/>
    <col min="9736" max="9736" width="8" style="483" customWidth="1"/>
    <col min="9737" max="9737" width="65.140625" style="483" customWidth="1"/>
    <col min="9738" max="9738" width="13.5703125" style="483" customWidth="1"/>
    <col min="9739" max="9739" width="14.28515625" style="483" customWidth="1"/>
    <col min="9740" max="9740" width="12.85546875" style="483" customWidth="1"/>
    <col min="9741" max="9741" width="13.7109375" style="483" customWidth="1"/>
    <col min="9742" max="9742" width="7.140625" style="483" customWidth="1"/>
    <col min="9743" max="9743" width="3.5703125" style="483" customWidth="1"/>
    <col min="9744" max="9744" width="2" style="483" customWidth="1"/>
    <col min="9745" max="9745" width="14.5703125" style="483" customWidth="1"/>
    <col min="9746" max="9746" width="10.85546875" style="483" customWidth="1"/>
    <col min="9747" max="9747" width="1" style="483" customWidth="1"/>
    <col min="9748" max="9748" width="1.140625" style="483" customWidth="1"/>
    <col min="9749" max="9749" width="1.7109375" style="483" customWidth="1"/>
    <col min="9750" max="9750" width="5.85546875" style="483" customWidth="1"/>
    <col min="9751" max="9978" width="6.85546875" style="483" customWidth="1"/>
    <col min="9979" max="9979" width="1.140625" style="483" customWidth="1"/>
    <col min="9980" max="9980" width="1" style="483" customWidth="1"/>
    <col min="9981" max="9981" width="7.28515625" style="483" customWidth="1"/>
    <col min="9982" max="9982" width="1.140625" style="483" customWidth="1"/>
    <col min="9983" max="9983" width="5.5703125" style="483" customWidth="1"/>
    <col min="9984" max="9984" width="1.140625" style="483"/>
    <col min="9985" max="9985" width="1.140625" style="483" customWidth="1"/>
    <col min="9986" max="9986" width="1" style="483" customWidth="1"/>
    <col min="9987" max="9987" width="7.28515625" style="483" customWidth="1"/>
    <col min="9988" max="9988" width="1.140625" style="483" customWidth="1"/>
    <col min="9989" max="9989" width="5.5703125" style="483" customWidth="1"/>
    <col min="9990" max="9990" width="1.140625" style="483" customWidth="1"/>
    <col min="9991" max="9991" width="1.28515625" style="483" customWidth="1"/>
    <col min="9992" max="9992" width="8" style="483" customWidth="1"/>
    <col min="9993" max="9993" width="65.140625" style="483" customWidth="1"/>
    <col min="9994" max="9994" width="13.5703125" style="483" customWidth="1"/>
    <col min="9995" max="9995" width="14.28515625" style="483" customWidth="1"/>
    <col min="9996" max="9996" width="12.85546875" style="483" customWidth="1"/>
    <col min="9997" max="9997" width="13.7109375" style="483" customWidth="1"/>
    <col min="9998" max="9998" width="7.140625" style="483" customWidth="1"/>
    <col min="9999" max="9999" width="3.5703125" style="483" customWidth="1"/>
    <col min="10000" max="10000" width="2" style="483" customWidth="1"/>
    <col min="10001" max="10001" width="14.5703125" style="483" customWidth="1"/>
    <col min="10002" max="10002" width="10.85546875" style="483" customWidth="1"/>
    <col min="10003" max="10003" width="1" style="483" customWidth="1"/>
    <col min="10004" max="10004" width="1.140625" style="483" customWidth="1"/>
    <col min="10005" max="10005" width="1.7109375" style="483" customWidth="1"/>
    <col min="10006" max="10006" width="5.85546875" style="483" customWidth="1"/>
    <col min="10007" max="10234" width="6.85546875" style="483" customWidth="1"/>
    <col min="10235" max="10235" width="1.140625" style="483" customWidth="1"/>
    <col min="10236" max="10236" width="1" style="483" customWidth="1"/>
    <col min="10237" max="10237" width="7.28515625" style="483" customWidth="1"/>
    <col min="10238" max="10238" width="1.140625" style="483" customWidth="1"/>
    <col min="10239" max="10239" width="5.5703125" style="483" customWidth="1"/>
    <col min="10240" max="10240" width="1.140625" style="483"/>
    <col min="10241" max="10241" width="1.140625" style="483" customWidth="1"/>
    <col min="10242" max="10242" width="1" style="483" customWidth="1"/>
    <col min="10243" max="10243" width="7.28515625" style="483" customWidth="1"/>
    <col min="10244" max="10244" width="1.140625" style="483" customWidth="1"/>
    <col min="10245" max="10245" width="5.5703125" style="483" customWidth="1"/>
    <col min="10246" max="10246" width="1.140625" style="483" customWidth="1"/>
    <col min="10247" max="10247" width="1.28515625" style="483" customWidth="1"/>
    <col min="10248" max="10248" width="8" style="483" customWidth="1"/>
    <col min="10249" max="10249" width="65.140625" style="483" customWidth="1"/>
    <col min="10250" max="10250" width="13.5703125" style="483" customWidth="1"/>
    <col min="10251" max="10251" width="14.28515625" style="483" customWidth="1"/>
    <col min="10252" max="10252" width="12.85546875" style="483" customWidth="1"/>
    <col min="10253" max="10253" width="13.7109375" style="483" customWidth="1"/>
    <col min="10254" max="10254" width="7.140625" style="483" customWidth="1"/>
    <col min="10255" max="10255" width="3.5703125" style="483" customWidth="1"/>
    <col min="10256" max="10256" width="2" style="483" customWidth="1"/>
    <col min="10257" max="10257" width="14.5703125" style="483" customWidth="1"/>
    <col min="10258" max="10258" width="10.85546875" style="483" customWidth="1"/>
    <col min="10259" max="10259" width="1" style="483" customWidth="1"/>
    <col min="10260" max="10260" width="1.140625" style="483" customWidth="1"/>
    <col min="10261" max="10261" width="1.7109375" style="483" customWidth="1"/>
    <col min="10262" max="10262" width="5.85546875" style="483" customWidth="1"/>
    <col min="10263" max="10490" width="6.85546875" style="483" customWidth="1"/>
    <col min="10491" max="10491" width="1.140625" style="483" customWidth="1"/>
    <col min="10492" max="10492" width="1" style="483" customWidth="1"/>
    <col min="10493" max="10493" width="7.28515625" style="483" customWidth="1"/>
    <col min="10494" max="10494" width="1.140625" style="483" customWidth="1"/>
    <col min="10495" max="10495" width="5.5703125" style="483" customWidth="1"/>
    <col min="10496" max="10496" width="1.140625" style="483"/>
    <col min="10497" max="10497" width="1.140625" style="483" customWidth="1"/>
    <col min="10498" max="10498" width="1" style="483" customWidth="1"/>
    <col min="10499" max="10499" width="7.28515625" style="483" customWidth="1"/>
    <col min="10500" max="10500" width="1.140625" style="483" customWidth="1"/>
    <col min="10501" max="10501" width="5.5703125" style="483" customWidth="1"/>
    <col min="10502" max="10502" width="1.140625" style="483" customWidth="1"/>
    <col min="10503" max="10503" width="1.28515625" style="483" customWidth="1"/>
    <col min="10504" max="10504" width="8" style="483" customWidth="1"/>
    <col min="10505" max="10505" width="65.140625" style="483" customWidth="1"/>
    <col min="10506" max="10506" width="13.5703125" style="483" customWidth="1"/>
    <col min="10507" max="10507" width="14.28515625" style="483" customWidth="1"/>
    <col min="10508" max="10508" width="12.85546875" style="483" customWidth="1"/>
    <col min="10509" max="10509" width="13.7109375" style="483" customWidth="1"/>
    <col min="10510" max="10510" width="7.140625" style="483" customWidth="1"/>
    <col min="10511" max="10511" width="3.5703125" style="483" customWidth="1"/>
    <col min="10512" max="10512" width="2" style="483" customWidth="1"/>
    <col min="10513" max="10513" width="14.5703125" style="483" customWidth="1"/>
    <col min="10514" max="10514" width="10.85546875" style="483" customWidth="1"/>
    <col min="10515" max="10515" width="1" style="483" customWidth="1"/>
    <col min="10516" max="10516" width="1.140625" style="483" customWidth="1"/>
    <col min="10517" max="10517" width="1.7109375" style="483" customWidth="1"/>
    <col min="10518" max="10518" width="5.85546875" style="483" customWidth="1"/>
    <col min="10519" max="10746" width="6.85546875" style="483" customWidth="1"/>
    <col min="10747" max="10747" width="1.140625" style="483" customWidth="1"/>
    <col min="10748" max="10748" width="1" style="483" customWidth="1"/>
    <col min="10749" max="10749" width="7.28515625" style="483" customWidth="1"/>
    <col min="10750" max="10750" width="1.140625" style="483" customWidth="1"/>
    <col min="10751" max="10751" width="5.5703125" style="483" customWidth="1"/>
    <col min="10752" max="10752" width="1.140625" style="483"/>
    <col min="10753" max="10753" width="1.140625" style="483" customWidth="1"/>
    <col min="10754" max="10754" width="1" style="483" customWidth="1"/>
    <col min="10755" max="10755" width="7.28515625" style="483" customWidth="1"/>
    <col min="10756" max="10756" width="1.140625" style="483" customWidth="1"/>
    <col min="10757" max="10757" width="5.5703125" style="483" customWidth="1"/>
    <col min="10758" max="10758" width="1.140625" style="483" customWidth="1"/>
    <col min="10759" max="10759" width="1.28515625" style="483" customWidth="1"/>
    <col min="10760" max="10760" width="8" style="483" customWidth="1"/>
    <col min="10761" max="10761" width="65.140625" style="483" customWidth="1"/>
    <col min="10762" max="10762" width="13.5703125" style="483" customWidth="1"/>
    <col min="10763" max="10763" width="14.28515625" style="483" customWidth="1"/>
    <col min="10764" max="10764" width="12.85546875" style="483" customWidth="1"/>
    <col min="10765" max="10765" width="13.7109375" style="483" customWidth="1"/>
    <col min="10766" max="10766" width="7.140625" style="483" customWidth="1"/>
    <col min="10767" max="10767" width="3.5703125" style="483" customWidth="1"/>
    <col min="10768" max="10768" width="2" style="483" customWidth="1"/>
    <col min="10769" max="10769" width="14.5703125" style="483" customWidth="1"/>
    <col min="10770" max="10770" width="10.85546875" style="483" customWidth="1"/>
    <col min="10771" max="10771" width="1" style="483" customWidth="1"/>
    <col min="10772" max="10772" width="1.140625" style="483" customWidth="1"/>
    <col min="10773" max="10773" width="1.7109375" style="483" customWidth="1"/>
    <col min="10774" max="10774" width="5.85546875" style="483" customWidth="1"/>
    <col min="10775" max="11002" width="6.85546875" style="483" customWidth="1"/>
    <col min="11003" max="11003" width="1.140625" style="483" customWidth="1"/>
    <col min="11004" max="11004" width="1" style="483" customWidth="1"/>
    <col min="11005" max="11005" width="7.28515625" style="483" customWidth="1"/>
    <col min="11006" max="11006" width="1.140625" style="483" customWidth="1"/>
    <col min="11007" max="11007" width="5.5703125" style="483" customWidth="1"/>
    <col min="11008" max="11008" width="1.140625" style="483"/>
    <col min="11009" max="11009" width="1.140625" style="483" customWidth="1"/>
    <col min="11010" max="11010" width="1" style="483" customWidth="1"/>
    <col min="11011" max="11011" width="7.28515625" style="483" customWidth="1"/>
    <col min="11012" max="11012" width="1.140625" style="483" customWidth="1"/>
    <col min="11013" max="11013" width="5.5703125" style="483" customWidth="1"/>
    <col min="11014" max="11014" width="1.140625" style="483" customWidth="1"/>
    <col min="11015" max="11015" width="1.28515625" style="483" customWidth="1"/>
    <col min="11016" max="11016" width="8" style="483" customWidth="1"/>
    <col min="11017" max="11017" width="65.140625" style="483" customWidth="1"/>
    <col min="11018" max="11018" width="13.5703125" style="483" customWidth="1"/>
    <col min="11019" max="11019" width="14.28515625" style="483" customWidth="1"/>
    <col min="11020" max="11020" width="12.85546875" style="483" customWidth="1"/>
    <col min="11021" max="11021" width="13.7109375" style="483" customWidth="1"/>
    <col min="11022" max="11022" width="7.140625" style="483" customWidth="1"/>
    <col min="11023" max="11023" width="3.5703125" style="483" customWidth="1"/>
    <col min="11024" max="11024" width="2" style="483" customWidth="1"/>
    <col min="11025" max="11025" width="14.5703125" style="483" customWidth="1"/>
    <col min="11026" max="11026" width="10.85546875" style="483" customWidth="1"/>
    <col min="11027" max="11027" width="1" style="483" customWidth="1"/>
    <col min="11028" max="11028" width="1.140625" style="483" customWidth="1"/>
    <col min="11029" max="11029" width="1.7109375" style="483" customWidth="1"/>
    <col min="11030" max="11030" width="5.85546875" style="483" customWidth="1"/>
    <col min="11031" max="11258" width="6.85546875" style="483" customWidth="1"/>
    <col min="11259" max="11259" width="1.140625" style="483" customWidth="1"/>
    <col min="11260" max="11260" width="1" style="483" customWidth="1"/>
    <col min="11261" max="11261" width="7.28515625" style="483" customWidth="1"/>
    <col min="11262" max="11262" width="1.140625" style="483" customWidth="1"/>
    <col min="11263" max="11263" width="5.5703125" style="483" customWidth="1"/>
    <col min="11264" max="11264" width="1.140625" style="483"/>
    <col min="11265" max="11265" width="1.140625" style="483" customWidth="1"/>
    <col min="11266" max="11266" width="1" style="483" customWidth="1"/>
    <col min="11267" max="11267" width="7.28515625" style="483" customWidth="1"/>
    <col min="11268" max="11268" width="1.140625" style="483" customWidth="1"/>
    <col min="11269" max="11269" width="5.5703125" style="483" customWidth="1"/>
    <col min="11270" max="11270" width="1.140625" style="483" customWidth="1"/>
    <col min="11271" max="11271" width="1.28515625" style="483" customWidth="1"/>
    <col min="11272" max="11272" width="8" style="483" customWidth="1"/>
    <col min="11273" max="11273" width="65.140625" style="483" customWidth="1"/>
    <col min="11274" max="11274" width="13.5703125" style="483" customWidth="1"/>
    <col min="11275" max="11275" width="14.28515625" style="483" customWidth="1"/>
    <col min="11276" max="11276" width="12.85546875" style="483" customWidth="1"/>
    <col min="11277" max="11277" width="13.7109375" style="483" customWidth="1"/>
    <col min="11278" max="11278" width="7.140625" style="483" customWidth="1"/>
    <col min="11279" max="11279" width="3.5703125" style="483" customWidth="1"/>
    <col min="11280" max="11280" width="2" style="483" customWidth="1"/>
    <col min="11281" max="11281" width="14.5703125" style="483" customWidth="1"/>
    <col min="11282" max="11282" width="10.85546875" style="483" customWidth="1"/>
    <col min="11283" max="11283" width="1" style="483" customWidth="1"/>
    <col min="11284" max="11284" width="1.140625" style="483" customWidth="1"/>
    <col min="11285" max="11285" width="1.7109375" style="483" customWidth="1"/>
    <col min="11286" max="11286" width="5.85546875" style="483" customWidth="1"/>
    <col min="11287" max="11514" width="6.85546875" style="483" customWidth="1"/>
    <col min="11515" max="11515" width="1.140625" style="483" customWidth="1"/>
    <col min="11516" max="11516" width="1" style="483" customWidth="1"/>
    <col min="11517" max="11517" width="7.28515625" style="483" customWidth="1"/>
    <col min="11518" max="11518" width="1.140625" style="483" customWidth="1"/>
    <col min="11519" max="11519" width="5.5703125" style="483" customWidth="1"/>
    <col min="11520" max="11520" width="1.140625" style="483"/>
    <col min="11521" max="11521" width="1.140625" style="483" customWidth="1"/>
    <col min="11522" max="11522" width="1" style="483" customWidth="1"/>
    <col min="11523" max="11523" width="7.28515625" style="483" customWidth="1"/>
    <col min="11524" max="11524" width="1.140625" style="483" customWidth="1"/>
    <col min="11525" max="11525" width="5.5703125" style="483" customWidth="1"/>
    <col min="11526" max="11526" width="1.140625" style="483" customWidth="1"/>
    <col min="11527" max="11527" width="1.28515625" style="483" customWidth="1"/>
    <col min="11528" max="11528" width="8" style="483" customWidth="1"/>
    <col min="11529" max="11529" width="65.140625" style="483" customWidth="1"/>
    <col min="11530" max="11530" width="13.5703125" style="483" customWidth="1"/>
    <col min="11531" max="11531" width="14.28515625" style="483" customWidth="1"/>
    <col min="11532" max="11532" width="12.85546875" style="483" customWidth="1"/>
    <col min="11533" max="11533" width="13.7109375" style="483" customWidth="1"/>
    <col min="11534" max="11534" width="7.140625" style="483" customWidth="1"/>
    <col min="11535" max="11535" width="3.5703125" style="483" customWidth="1"/>
    <col min="11536" max="11536" width="2" style="483" customWidth="1"/>
    <col min="11537" max="11537" width="14.5703125" style="483" customWidth="1"/>
    <col min="11538" max="11538" width="10.85546875" style="483" customWidth="1"/>
    <col min="11539" max="11539" width="1" style="483" customWidth="1"/>
    <col min="11540" max="11540" width="1.140625" style="483" customWidth="1"/>
    <col min="11541" max="11541" width="1.7109375" style="483" customWidth="1"/>
    <col min="11542" max="11542" width="5.85546875" style="483" customWidth="1"/>
    <col min="11543" max="11770" width="6.85546875" style="483" customWidth="1"/>
    <col min="11771" max="11771" width="1.140625" style="483" customWidth="1"/>
    <col min="11772" max="11772" width="1" style="483" customWidth="1"/>
    <col min="11773" max="11773" width="7.28515625" style="483" customWidth="1"/>
    <col min="11774" max="11774" width="1.140625" style="483" customWidth="1"/>
    <col min="11775" max="11775" width="5.5703125" style="483" customWidth="1"/>
    <col min="11776" max="11776" width="1.140625" style="483"/>
    <col min="11777" max="11777" width="1.140625" style="483" customWidth="1"/>
    <col min="11778" max="11778" width="1" style="483" customWidth="1"/>
    <col min="11779" max="11779" width="7.28515625" style="483" customWidth="1"/>
    <col min="11780" max="11780" width="1.140625" style="483" customWidth="1"/>
    <col min="11781" max="11781" width="5.5703125" style="483" customWidth="1"/>
    <col min="11782" max="11782" width="1.140625" style="483" customWidth="1"/>
    <col min="11783" max="11783" width="1.28515625" style="483" customWidth="1"/>
    <col min="11784" max="11784" width="8" style="483" customWidth="1"/>
    <col min="11785" max="11785" width="65.140625" style="483" customWidth="1"/>
    <col min="11786" max="11786" width="13.5703125" style="483" customWidth="1"/>
    <col min="11787" max="11787" width="14.28515625" style="483" customWidth="1"/>
    <col min="11788" max="11788" width="12.85546875" style="483" customWidth="1"/>
    <col min="11789" max="11789" width="13.7109375" style="483" customWidth="1"/>
    <col min="11790" max="11790" width="7.140625" style="483" customWidth="1"/>
    <col min="11791" max="11791" width="3.5703125" style="483" customWidth="1"/>
    <col min="11792" max="11792" width="2" style="483" customWidth="1"/>
    <col min="11793" max="11793" width="14.5703125" style="483" customWidth="1"/>
    <col min="11794" max="11794" width="10.85546875" style="483" customWidth="1"/>
    <col min="11795" max="11795" width="1" style="483" customWidth="1"/>
    <col min="11796" max="11796" width="1.140625" style="483" customWidth="1"/>
    <col min="11797" max="11797" width="1.7109375" style="483" customWidth="1"/>
    <col min="11798" max="11798" width="5.85546875" style="483" customWidth="1"/>
    <col min="11799" max="12026" width="6.85546875" style="483" customWidth="1"/>
    <col min="12027" max="12027" width="1.140625" style="483" customWidth="1"/>
    <col min="12028" max="12028" width="1" style="483" customWidth="1"/>
    <col min="12029" max="12029" width="7.28515625" style="483" customWidth="1"/>
    <col min="12030" max="12030" width="1.140625" style="483" customWidth="1"/>
    <col min="12031" max="12031" width="5.5703125" style="483" customWidth="1"/>
    <col min="12032" max="12032" width="1.140625" style="483"/>
    <col min="12033" max="12033" width="1.140625" style="483" customWidth="1"/>
    <col min="12034" max="12034" width="1" style="483" customWidth="1"/>
    <col min="12035" max="12035" width="7.28515625" style="483" customWidth="1"/>
    <col min="12036" max="12036" width="1.140625" style="483" customWidth="1"/>
    <col min="12037" max="12037" width="5.5703125" style="483" customWidth="1"/>
    <col min="12038" max="12038" width="1.140625" style="483" customWidth="1"/>
    <col min="12039" max="12039" width="1.28515625" style="483" customWidth="1"/>
    <col min="12040" max="12040" width="8" style="483" customWidth="1"/>
    <col min="12041" max="12041" width="65.140625" style="483" customWidth="1"/>
    <col min="12042" max="12042" width="13.5703125" style="483" customWidth="1"/>
    <col min="12043" max="12043" width="14.28515625" style="483" customWidth="1"/>
    <col min="12044" max="12044" width="12.85546875" style="483" customWidth="1"/>
    <col min="12045" max="12045" width="13.7109375" style="483" customWidth="1"/>
    <col min="12046" max="12046" width="7.140625" style="483" customWidth="1"/>
    <col min="12047" max="12047" width="3.5703125" style="483" customWidth="1"/>
    <col min="12048" max="12048" width="2" style="483" customWidth="1"/>
    <col min="12049" max="12049" width="14.5703125" style="483" customWidth="1"/>
    <col min="12050" max="12050" width="10.85546875" style="483" customWidth="1"/>
    <col min="12051" max="12051" width="1" style="483" customWidth="1"/>
    <col min="12052" max="12052" width="1.140625" style="483" customWidth="1"/>
    <col min="12053" max="12053" width="1.7109375" style="483" customWidth="1"/>
    <col min="12054" max="12054" width="5.85546875" style="483" customWidth="1"/>
    <col min="12055" max="12282" width="6.85546875" style="483" customWidth="1"/>
    <col min="12283" max="12283" width="1.140625" style="483" customWidth="1"/>
    <col min="12284" max="12284" width="1" style="483" customWidth="1"/>
    <col min="12285" max="12285" width="7.28515625" style="483" customWidth="1"/>
    <col min="12286" max="12286" width="1.140625" style="483" customWidth="1"/>
    <col min="12287" max="12287" width="5.5703125" style="483" customWidth="1"/>
    <col min="12288" max="12288" width="1.140625" style="483"/>
    <col min="12289" max="12289" width="1.140625" style="483" customWidth="1"/>
    <col min="12290" max="12290" width="1" style="483" customWidth="1"/>
    <col min="12291" max="12291" width="7.28515625" style="483" customWidth="1"/>
    <col min="12292" max="12292" width="1.140625" style="483" customWidth="1"/>
    <col min="12293" max="12293" width="5.5703125" style="483" customWidth="1"/>
    <col min="12294" max="12294" width="1.140625" style="483" customWidth="1"/>
    <col min="12295" max="12295" width="1.28515625" style="483" customWidth="1"/>
    <col min="12296" max="12296" width="8" style="483" customWidth="1"/>
    <col min="12297" max="12297" width="65.140625" style="483" customWidth="1"/>
    <col min="12298" max="12298" width="13.5703125" style="483" customWidth="1"/>
    <col min="12299" max="12299" width="14.28515625" style="483" customWidth="1"/>
    <col min="12300" max="12300" width="12.85546875" style="483" customWidth="1"/>
    <col min="12301" max="12301" width="13.7109375" style="483" customWidth="1"/>
    <col min="12302" max="12302" width="7.140625" style="483" customWidth="1"/>
    <col min="12303" max="12303" width="3.5703125" style="483" customWidth="1"/>
    <col min="12304" max="12304" width="2" style="483" customWidth="1"/>
    <col min="12305" max="12305" width="14.5703125" style="483" customWidth="1"/>
    <col min="12306" max="12306" width="10.85546875" style="483" customWidth="1"/>
    <col min="12307" max="12307" width="1" style="483" customWidth="1"/>
    <col min="12308" max="12308" width="1.140625" style="483" customWidth="1"/>
    <col min="12309" max="12309" width="1.7109375" style="483" customWidth="1"/>
    <col min="12310" max="12310" width="5.85546875" style="483" customWidth="1"/>
    <col min="12311" max="12538" width="6.85546875" style="483" customWidth="1"/>
    <col min="12539" max="12539" width="1.140625" style="483" customWidth="1"/>
    <col min="12540" max="12540" width="1" style="483" customWidth="1"/>
    <col min="12541" max="12541" width="7.28515625" style="483" customWidth="1"/>
    <col min="12542" max="12542" width="1.140625" style="483" customWidth="1"/>
    <col min="12543" max="12543" width="5.5703125" style="483" customWidth="1"/>
    <col min="12544" max="12544" width="1.140625" style="483"/>
    <col min="12545" max="12545" width="1.140625" style="483" customWidth="1"/>
    <col min="12546" max="12546" width="1" style="483" customWidth="1"/>
    <col min="12547" max="12547" width="7.28515625" style="483" customWidth="1"/>
    <col min="12548" max="12548" width="1.140625" style="483" customWidth="1"/>
    <col min="12549" max="12549" width="5.5703125" style="483" customWidth="1"/>
    <col min="12550" max="12550" width="1.140625" style="483" customWidth="1"/>
    <col min="12551" max="12551" width="1.28515625" style="483" customWidth="1"/>
    <col min="12552" max="12552" width="8" style="483" customWidth="1"/>
    <col min="12553" max="12553" width="65.140625" style="483" customWidth="1"/>
    <col min="12554" max="12554" width="13.5703125" style="483" customWidth="1"/>
    <col min="12555" max="12555" width="14.28515625" style="483" customWidth="1"/>
    <col min="12556" max="12556" width="12.85546875" style="483" customWidth="1"/>
    <col min="12557" max="12557" width="13.7109375" style="483" customWidth="1"/>
    <col min="12558" max="12558" width="7.140625" style="483" customWidth="1"/>
    <col min="12559" max="12559" width="3.5703125" style="483" customWidth="1"/>
    <col min="12560" max="12560" width="2" style="483" customWidth="1"/>
    <col min="12561" max="12561" width="14.5703125" style="483" customWidth="1"/>
    <col min="12562" max="12562" width="10.85546875" style="483" customWidth="1"/>
    <col min="12563" max="12563" width="1" style="483" customWidth="1"/>
    <col min="12564" max="12564" width="1.140625" style="483" customWidth="1"/>
    <col min="12565" max="12565" width="1.7109375" style="483" customWidth="1"/>
    <col min="12566" max="12566" width="5.85546875" style="483" customWidth="1"/>
    <col min="12567" max="12794" width="6.85546875" style="483" customWidth="1"/>
    <col min="12795" max="12795" width="1.140625" style="483" customWidth="1"/>
    <col min="12796" max="12796" width="1" style="483" customWidth="1"/>
    <col min="12797" max="12797" width="7.28515625" style="483" customWidth="1"/>
    <col min="12798" max="12798" width="1.140625" style="483" customWidth="1"/>
    <col min="12799" max="12799" width="5.5703125" style="483" customWidth="1"/>
    <col min="12800" max="12800" width="1.140625" style="483"/>
    <col min="12801" max="12801" width="1.140625" style="483" customWidth="1"/>
    <col min="12802" max="12802" width="1" style="483" customWidth="1"/>
    <col min="12803" max="12803" width="7.28515625" style="483" customWidth="1"/>
    <col min="12804" max="12804" width="1.140625" style="483" customWidth="1"/>
    <col min="12805" max="12805" width="5.5703125" style="483" customWidth="1"/>
    <col min="12806" max="12806" width="1.140625" style="483" customWidth="1"/>
    <col min="12807" max="12807" width="1.28515625" style="483" customWidth="1"/>
    <col min="12808" max="12808" width="8" style="483" customWidth="1"/>
    <col min="12809" max="12809" width="65.140625" style="483" customWidth="1"/>
    <col min="12810" max="12810" width="13.5703125" style="483" customWidth="1"/>
    <col min="12811" max="12811" width="14.28515625" style="483" customWidth="1"/>
    <col min="12812" max="12812" width="12.85546875" style="483" customWidth="1"/>
    <col min="12813" max="12813" width="13.7109375" style="483" customWidth="1"/>
    <col min="12814" max="12814" width="7.140625" style="483" customWidth="1"/>
    <col min="12815" max="12815" width="3.5703125" style="483" customWidth="1"/>
    <col min="12816" max="12816" width="2" style="483" customWidth="1"/>
    <col min="12817" max="12817" width="14.5703125" style="483" customWidth="1"/>
    <col min="12818" max="12818" width="10.85546875" style="483" customWidth="1"/>
    <col min="12819" max="12819" width="1" style="483" customWidth="1"/>
    <col min="12820" max="12820" width="1.140625" style="483" customWidth="1"/>
    <col min="12821" max="12821" width="1.7109375" style="483" customWidth="1"/>
    <col min="12822" max="12822" width="5.85546875" style="483" customWidth="1"/>
    <col min="12823" max="13050" width="6.85546875" style="483" customWidth="1"/>
    <col min="13051" max="13051" width="1.140625" style="483" customWidth="1"/>
    <col min="13052" max="13052" width="1" style="483" customWidth="1"/>
    <col min="13053" max="13053" width="7.28515625" style="483" customWidth="1"/>
    <col min="13054" max="13054" width="1.140625" style="483" customWidth="1"/>
    <col min="13055" max="13055" width="5.5703125" style="483" customWidth="1"/>
    <col min="13056" max="13056" width="1.140625" style="483"/>
    <col min="13057" max="13057" width="1.140625" style="483" customWidth="1"/>
    <col min="13058" max="13058" width="1" style="483" customWidth="1"/>
    <col min="13059" max="13059" width="7.28515625" style="483" customWidth="1"/>
    <col min="13060" max="13060" width="1.140625" style="483" customWidth="1"/>
    <col min="13061" max="13061" width="5.5703125" style="483" customWidth="1"/>
    <col min="13062" max="13062" width="1.140625" style="483" customWidth="1"/>
    <col min="13063" max="13063" width="1.28515625" style="483" customWidth="1"/>
    <col min="13064" max="13064" width="8" style="483" customWidth="1"/>
    <col min="13065" max="13065" width="65.140625" style="483" customWidth="1"/>
    <col min="13066" max="13066" width="13.5703125" style="483" customWidth="1"/>
    <col min="13067" max="13067" width="14.28515625" style="483" customWidth="1"/>
    <col min="13068" max="13068" width="12.85546875" style="483" customWidth="1"/>
    <col min="13069" max="13069" width="13.7109375" style="483" customWidth="1"/>
    <col min="13070" max="13070" width="7.140625" style="483" customWidth="1"/>
    <col min="13071" max="13071" width="3.5703125" style="483" customWidth="1"/>
    <col min="13072" max="13072" width="2" style="483" customWidth="1"/>
    <col min="13073" max="13073" width="14.5703125" style="483" customWidth="1"/>
    <col min="13074" max="13074" width="10.85546875" style="483" customWidth="1"/>
    <col min="13075" max="13075" width="1" style="483" customWidth="1"/>
    <col min="13076" max="13076" width="1.140625" style="483" customWidth="1"/>
    <col min="13077" max="13077" width="1.7109375" style="483" customWidth="1"/>
    <col min="13078" max="13078" width="5.85546875" style="483" customWidth="1"/>
    <col min="13079" max="13306" width="6.85546875" style="483" customWidth="1"/>
    <col min="13307" max="13307" width="1.140625" style="483" customWidth="1"/>
    <col min="13308" max="13308" width="1" style="483" customWidth="1"/>
    <col min="13309" max="13309" width="7.28515625" style="483" customWidth="1"/>
    <col min="13310" max="13310" width="1.140625" style="483" customWidth="1"/>
    <col min="13311" max="13311" width="5.5703125" style="483" customWidth="1"/>
    <col min="13312" max="13312" width="1.140625" style="483"/>
    <col min="13313" max="13313" width="1.140625" style="483" customWidth="1"/>
    <col min="13314" max="13314" width="1" style="483" customWidth="1"/>
    <col min="13315" max="13315" width="7.28515625" style="483" customWidth="1"/>
    <col min="13316" max="13316" width="1.140625" style="483" customWidth="1"/>
    <col min="13317" max="13317" width="5.5703125" style="483" customWidth="1"/>
    <col min="13318" max="13318" width="1.140625" style="483" customWidth="1"/>
    <col min="13319" max="13319" width="1.28515625" style="483" customWidth="1"/>
    <col min="13320" max="13320" width="8" style="483" customWidth="1"/>
    <col min="13321" max="13321" width="65.140625" style="483" customWidth="1"/>
    <col min="13322" max="13322" width="13.5703125" style="483" customWidth="1"/>
    <col min="13323" max="13323" width="14.28515625" style="483" customWidth="1"/>
    <col min="13324" max="13324" width="12.85546875" style="483" customWidth="1"/>
    <col min="13325" max="13325" width="13.7109375" style="483" customWidth="1"/>
    <col min="13326" max="13326" width="7.140625" style="483" customWidth="1"/>
    <col min="13327" max="13327" width="3.5703125" style="483" customWidth="1"/>
    <col min="13328" max="13328" width="2" style="483" customWidth="1"/>
    <col min="13329" max="13329" width="14.5703125" style="483" customWidth="1"/>
    <col min="13330" max="13330" width="10.85546875" style="483" customWidth="1"/>
    <col min="13331" max="13331" width="1" style="483" customWidth="1"/>
    <col min="13332" max="13332" width="1.140625" style="483" customWidth="1"/>
    <col min="13333" max="13333" width="1.7109375" style="483" customWidth="1"/>
    <col min="13334" max="13334" width="5.85546875" style="483" customWidth="1"/>
    <col min="13335" max="13562" width="6.85546875" style="483" customWidth="1"/>
    <col min="13563" max="13563" width="1.140625" style="483" customWidth="1"/>
    <col min="13564" max="13564" width="1" style="483" customWidth="1"/>
    <col min="13565" max="13565" width="7.28515625" style="483" customWidth="1"/>
    <col min="13566" max="13566" width="1.140625" style="483" customWidth="1"/>
    <col min="13567" max="13567" width="5.5703125" style="483" customWidth="1"/>
    <col min="13568" max="13568" width="1.140625" style="483"/>
    <col min="13569" max="13569" width="1.140625" style="483" customWidth="1"/>
    <col min="13570" max="13570" width="1" style="483" customWidth="1"/>
    <col min="13571" max="13571" width="7.28515625" style="483" customWidth="1"/>
    <col min="13572" max="13572" width="1.140625" style="483" customWidth="1"/>
    <col min="13573" max="13573" width="5.5703125" style="483" customWidth="1"/>
    <col min="13574" max="13574" width="1.140625" style="483" customWidth="1"/>
    <col min="13575" max="13575" width="1.28515625" style="483" customWidth="1"/>
    <col min="13576" max="13576" width="8" style="483" customWidth="1"/>
    <col min="13577" max="13577" width="65.140625" style="483" customWidth="1"/>
    <col min="13578" max="13578" width="13.5703125" style="483" customWidth="1"/>
    <col min="13579" max="13579" width="14.28515625" style="483" customWidth="1"/>
    <col min="13580" max="13580" width="12.85546875" style="483" customWidth="1"/>
    <col min="13581" max="13581" width="13.7109375" style="483" customWidth="1"/>
    <col min="13582" max="13582" width="7.140625" style="483" customWidth="1"/>
    <col min="13583" max="13583" width="3.5703125" style="483" customWidth="1"/>
    <col min="13584" max="13584" width="2" style="483" customWidth="1"/>
    <col min="13585" max="13585" width="14.5703125" style="483" customWidth="1"/>
    <col min="13586" max="13586" width="10.85546875" style="483" customWidth="1"/>
    <col min="13587" max="13587" width="1" style="483" customWidth="1"/>
    <col min="13588" max="13588" width="1.140625" style="483" customWidth="1"/>
    <col min="13589" max="13589" width="1.7109375" style="483" customWidth="1"/>
    <col min="13590" max="13590" width="5.85546875" style="483" customWidth="1"/>
    <col min="13591" max="13818" width="6.85546875" style="483" customWidth="1"/>
    <col min="13819" max="13819" width="1.140625" style="483" customWidth="1"/>
    <col min="13820" max="13820" width="1" style="483" customWidth="1"/>
    <col min="13821" max="13821" width="7.28515625" style="483" customWidth="1"/>
    <col min="13822" max="13822" width="1.140625" style="483" customWidth="1"/>
    <col min="13823" max="13823" width="5.5703125" style="483" customWidth="1"/>
    <col min="13824" max="13824" width="1.140625" style="483"/>
    <col min="13825" max="13825" width="1.140625" style="483" customWidth="1"/>
    <col min="13826" max="13826" width="1" style="483" customWidth="1"/>
    <col min="13827" max="13827" width="7.28515625" style="483" customWidth="1"/>
    <col min="13828" max="13828" width="1.140625" style="483" customWidth="1"/>
    <col min="13829" max="13829" width="5.5703125" style="483" customWidth="1"/>
    <col min="13830" max="13830" width="1.140625" style="483" customWidth="1"/>
    <col min="13831" max="13831" width="1.28515625" style="483" customWidth="1"/>
    <col min="13832" max="13832" width="8" style="483" customWidth="1"/>
    <col min="13833" max="13833" width="65.140625" style="483" customWidth="1"/>
    <col min="13834" max="13834" width="13.5703125" style="483" customWidth="1"/>
    <col min="13835" max="13835" width="14.28515625" style="483" customWidth="1"/>
    <col min="13836" max="13836" width="12.85546875" style="483" customWidth="1"/>
    <col min="13837" max="13837" width="13.7109375" style="483" customWidth="1"/>
    <col min="13838" max="13838" width="7.140625" style="483" customWidth="1"/>
    <col min="13839" max="13839" width="3.5703125" style="483" customWidth="1"/>
    <col min="13840" max="13840" width="2" style="483" customWidth="1"/>
    <col min="13841" max="13841" width="14.5703125" style="483" customWidth="1"/>
    <col min="13842" max="13842" width="10.85546875" style="483" customWidth="1"/>
    <col min="13843" max="13843" width="1" style="483" customWidth="1"/>
    <col min="13844" max="13844" width="1.140625" style="483" customWidth="1"/>
    <col min="13845" max="13845" width="1.7109375" style="483" customWidth="1"/>
    <col min="13846" max="13846" width="5.85546875" style="483" customWidth="1"/>
    <col min="13847" max="14074" width="6.85546875" style="483" customWidth="1"/>
    <col min="14075" max="14075" width="1.140625" style="483" customWidth="1"/>
    <col min="14076" max="14076" width="1" style="483" customWidth="1"/>
    <col min="14077" max="14077" width="7.28515625" style="483" customWidth="1"/>
    <col min="14078" max="14078" width="1.140625" style="483" customWidth="1"/>
    <col min="14079" max="14079" width="5.5703125" style="483" customWidth="1"/>
    <col min="14080" max="14080" width="1.140625" style="483"/>
    <col min="14081" max="14081" width="1.140625" style="483" customWidth="1"/>
    <col min="14082" max="14082" width="1" style="483" customWidth="1"/>
    <col min="14083" max="14083" width="7.28515625" style="483" customWidth="1"/>
    <col min="14084" max="14084" width="1.140625" style="483" customWidth="1"/>
    <col min="14085" max="14085" width="5.5703125" style="483" customWidth="1"/>
    <col min="14086" max="14086" width="1.140625" style="483" customWidth="1"/>
    <col min="14087" max="14087" width="1.28515625" style="483" customWidth="1"/>
    <col min="14088" max="14088" width="8" style="483" customWidth="1"/>
    <col min="14089" max="14089" width="65.140625" style="483" customWidth="1"/>
    <col min="14090" max="14090" width="13.5703125" style="483" customWidth="1"/>
    <col min="14091" max="14091" width="14.28515625" style="483" customWidth="1"/>
    <col min="14092" max="14092" width="12.85546875" style="483" customWidth="1"/>
    <col min="14093" max="14093" width="13.7109375" style="483" customWidth="1"/>
    <col min="14094" max="14094" width="7.140625" style="483" customWidth="1"/>
    <col min="14095" max="14095" width="3.5703125" style="483" customWidth="1"/>
    <col min="14096" max="14096" width="2" style="483" customWidth="1"/>
    <col min="14097" max="14097" width="14.5703125" style="483" customWidth="1"/>
    <col min="14098" max="14098" width="10.85546875" style="483" customWidth="1"/>
    <col min="14099" max="14099" width="1" style="483" customWidth="1"/>
    <col min="14100" max="14100" width="1.140625" style="483" customWidth="1"/>
    <col min="14101" max="14101" width="1.7109375" style="483" customWidth="1"/>
    <col min="14102" max="14102" width="5.85546875" style="483" customWidth="1"/>
    <col min="14103" max="14330" width="6.85546875" style="483" customWidth="1"/>
    <col min="14331" max="14331" width="1.140625" style="483" customWidth="1"/>
    <col min="14332" max="14332" width="1" style="483" customWidth="1"/>
    <col min="14333" max="14333" width="7.28515625" style="483" customWidth="1"/>
    <col min="14334" max="14334" width="1.140625" style="483" customWidth="1"/>
    <col min="14335" max="14335" width="5.5703125" style="483" customWidth="1"/>
    <col min="14336" max="14336" width="1.140625" style="483"/>
    <col min="14337" max="14337" width="1.140625" style="483" customWidth="1"/>
    <col min="14338" max="14338" width="1" style="483" customWidth="1"/>
    <col min="14339" max="14339" width="7.28515625" style="483" customWidth="1"/>
    <col min="14340" max="14340" width="1.140625" style="483" customWidth="1"/>
    <col min="14341" max="14341" width="5.5703125" style="483" customWidth="1"/>
    <col min="14342" max="14342" width="1.140625" style="483" customWidth="1"/>
    <col min="14343" max="14343" width="1.28515625" style="483" customWidth="1"/>
    <col min="14344" max="14344" width="8" style="483" customWidth="1"/>
    <col min="14345" max="14345" width="65.140625" style="483" customWidth="1"/>
    <col min="14346" max="14346" width="13.5703125" style="483" customWidth="1"/>
    <col min="14347" max="14347" width="14.28515625" style="483" customWidth="1"/>
    <col min="14348" max="14348" width="12.85546875" style="483" customWidth="1"/>
    <col min="14349" max="14349" width="13.7109375" style="483" customWidth="1"/>
    <col min="14350" max="14350" width="7.140625" style="483" customWidth="1"/>
    <col min="14351" max="14351" width="3.5703125" style="483" customWidth="1"/>
    <col min="14352" max="14352" width="2" style="483" customWidth="1"/>
    <col min="14353" max="14353" width="14.5703125" style="483" customWidth="1"/>
    <col min="14354" max="14354" width="10.85546875" style="483" customWidth="1"/>
    <col min="14355" max="14355" width="1" style="483" customWidth="1"/>
    <col min="14356" max="14356" width="1.140625" style="483" customWidth="1"/>
    <col min="14357" max="14357" width="1.7109375" style="483" customWidth="1"/>
    <col min="14358" max="14358" width="5.85546875" style="483" customWidth="1"/>
    <col min="14359" max="14586" width="6.85546875" style="483" customWidth="1"/>
    <col min="14587" max="14587" width="1.140625" style="483" customWidth="1"/>
    <col min="14588" max="14588" width="1" style="483" customWidth="1"/>
    <col min="14589" max="14589" width="7.28515625" style="483" customWidth="1"/>
    <col min="14590" max="14590" width="1.140625" style="483" customWidth="1"/>
    <col min="14591" max="14591" width="5.5703125" style="483" customWidth="1"/>
    <col min="14592" max="14592" width="1.140625" style="483"/>
    <col min="14593" max="14593" width="1.140625" style="483" customWidth="1"/>
    <col min="14594" max="14594" width="1" style="483" customWidth="1"/>
    <col min="14595" max="14595" width="7.28515625" style="483" customWidth="1"/>
    <col min="14596" max="14596" width="1.140625" style="483" customWidth="1"/>
    <col min="14597" max="14597" width="5.5703125" style="483" customWidth="1"/>
    <col min="14598" max="14598" width="1.140625" style="483" customWidth="1"/>
    <col min="14599" max="14599" width="1.28515625" style="483" customWidth="1"/>
    <col min="14600" max="14600" width="8" style="483" customWidth="1"/>
    <col min="14601" max="14601" width="65.140625" style="483" customWidth="1"/>
    <col min="14602" max="14602" width="13.5703125" style="483" customWidth="1"/>
    <col min="14603" max="14603" width="14.28515625" style="483" customWidth="1"/>
    <col min="14604" max="14604" width="12.85546875" style="483" customWidth="1"/>
    <col min="14605" max="14605" width="13.7109375" style="483" customWidth="1"/>
    <col min="14606" max="14606" width="7.140625" style="483" customWidth="1"/>
    <col min="14607" max="14607" width="3.5703125" style="483" customWidth="1"/>
    <col min="14608" max="14608" width="2" style="483" customWidth="1"/>
    <col min="14609" max="14609" width="14.5703125" style="483" customWidth="1"/>
    <col min="14610" max="14610" width="10.85546875" style="483" customWidth="1"/>
    <col min="14611" max="14611" width="1" style="483" customWidth="1"/>
    <col min="14612" max="14612" width="1.140625" style="483" customWidth="1"/>
    <col min="14613" max="14613" width="1.7109375" style="483" customWidth="1"/>
    <col min="14614" max="14614" width="5.85546875" style="483" customWidth="1"/>
    <col min="14615" max="14842" width="6.85546875" style="483" customWidth="1"/>
    <col min="14843" max="14843" width="1.140625" style="483" customWidth="1"/>
    <col min="14844" max="14844" width="1" style="483" customWidth="1"/>
    <col min="14845" max="14845" width="7.28515625" style="483" customWidth="1"/>
    <col min="14846" max="14846" width="1.140625" style="483" customWidth="1"/>
    <col min="14847" max="14847" width="5.5703125" style="483" customWidth="1"/>
    <col min="14848" max="14848" width="1.140625" style="483"/>
    <col min="14849" max="14849" width="1.140625" style="483" customWidth="1"/>
    <col min="14850" max="14850" width="1" style="483" customWidth="1"/>
    <col min="14851" max="14851" width="7.28515625" style="483" customWidth="1"/>
    <col min="14852" max="14852" width="1.140625" style="483" customWidth="1"/>
    <col min="14853" max="14853" width="5.5703125" style="483" customWidth="1"/>
    <col min="14854" max="14854" width="1.140625" style="483" customWidth="1"/>
    <col min="14855" max="14855" width="1.28515625" style="483" customWidth="1"/>
    <col min="14856" max="14856" width="8" style="483" customWidth="1"/>
    <col min="14857" max="14857" width="65.140625" style="483" customWidth="1"/>
    <col min="14858" max="14858" width="13.5703125" style="483" customWidth="1"/>
    <col min="14859" max="14859" width="14.28515625" style="483" customWidth="1"/>
    <col min="14860" max="14860" width="12.85546875" style="483" customWidth="1"/>
    <col min="14861" max="14861" width="13.7109375" style="483" customWidth="1"/>
    <col min="14862" max="14862" width="7.140625" style="483" customWidth="1"/>
    <col min="14863" max="14863" width="3.5703125" style="483" customWidth="1"/>
    <col min="14864" max="14864" width="2" style="483" customWidth="1"/>
    <col min="14865" max="14865" width="14.5703125" style="483" customWidth="1"/>
    <col min="14866" max="14866" width="10.85546875" style="483" customWidth="1"/>
    <col min="14867" max="14867" width="1" style="483" customWidth="1"/>
    <col min="14868" max="14868" width="1.140625" style="483" customWidth="1"/>
    <col min="14869" max="14869" width="1.7109375" style="483" customWidth="1"/>
    <col min="14870" max="14870" width="5.85546875" style="483" customWidth="1"/>
    <col min="14871" max="15098" width="6.85546875" style="483" customWidth="1"/>
    <col min="15099" max="15099" width="1.140625" style="483" customWidth="1"/>
    <col min="15100" max="15100" width="1" style="483" customWidth="1"/>
    <col min="15101" max="15101" width="7.28515625" style="483" customWidth="1"/>
    <col min="15102" max="15102" width="1.140625" style="483" customWidth="1"/>
    <col min="15103" max="15103" width="5.5703125" style="483" customWidth="1"/>
    <col min="15104" max="15104" width="1.140625" style="483"/>
    <col min="15105" max="15105" width="1.140625" style="483" customWidth="1"/>
    <col min="15106" max="15106" width="1" style="483" customWidth="1"/>
    <col min="15107" max="15107" width="7.28515625" style="483" customWidth="1"/>
    <col min="15108" max="15108" width="1.140625" style="483" customWidth="1"/>
    <col min="15109" max="15109" width="5.5703125" style="483" customWidth="1"/>
    <col min="15110" max="15110" width="1.140625" style="483" customWidth="1"/>
    <col min="15111" max="15111" width="1.28515625" style="483" customWidth="1"/>
    <col min="15112" max="15112" width="8" style="483" customWidth="1"/>
    <col min="15113" max="15113" width="65.140625" style="483" customWidth="1"/>
    <col min="15114" max="15114" width="13.5703125" style="483" customWidth="1"/>
    <col min="15115" max="15115" width="14.28515625" style="483" customWidth="1"/>
    <col min="15116" max="15116" width="12.85546875" style="483" customWidth="1"/>
    <col min="15117" max="15117" width="13.7109375" style="483" customWidth="1"/>
    <col min="15118" max="15118" width="7.140625" style="483" customWidth="1"/>
    <col min="15119" max="15119" width="3.5703125" style="483" customWidth="1"/>
    <col min="15120" max="15120" width="2" style="483" customWidth="1"/>
    <col min="15121" max="15121" width="14.5703125" style="483" customWidth="1"/>
    <col min="15122" max="15122" width="10.85546875" style="483" customWidth="1"/>
    <col min="15123" max="15123" width="1" style="483" customWidth="1"/>
    <col min="15124" max="15124" width="1.140625" style="483" customWidth="1"/>
    <col min="15125" max="15125" width="1.7109375" style="483" customWidth="1"/>
    <col min="15126" max="15126" width="5.85546875" style="483" customWidth="1"/>
    <col min="15127" max="15354" width="6.85546875" style="483" customWidth="1"/>
    <col min="15355" max="15355" width="1.140625" style="483" customWidth="1"/>
    <col min="15356" max="15356" width="1" style="483" customWidth="1"/>
    <col min="15357" max="15357" width="7.28515625" style="483" customWidth="1"/>
    <col min="15358" max="15358" width="1.140625" style="483" customWidth="1"/>
    <col min="15359" max="15359" width="5.5703125" style="483" customWidth="1"/>
    <col min="15360" max="15360" width="1.140625" style="483"/>
    <col min="15361" max="15361" width="1.140625" style="483" customWidth="1"/>
    <col min="15362" max="15362" width="1" style="483" customWidth="1"/>
    <col min="15363" max="15363" width="7.28515625" style="483" customWidth="1"/>
    <col min="15364" max="15364" width="1.140625" style="483" customWidth="1"/>
    <col min="15365" max="15365" width="5.5703125" style="483" customWidth="1"/>
    <col min="15366" max="15366" width="1.140625" style="483" customWidth="1"/>
    <col min="15367" max="15367" width="1.28515625" style="483" customWidth="1"/>
    <col min="15368" max="15368" width="8" style="483" customWidth="1"/>
    <col min="15369" max="15369" width="65.140625" style="483" customWidth="1"/>
    <col min="15370" max="15370" width="13.5703125" style="483" customWidth="1"/>
    <col min="15371" max="15371" width="14.28515625" style="483" customWidth="1"/>
    <col min="15372" max="15372" width="12.85546875" style="483" customWidth="1"/>
    <col min="15373" max="15373" width="13.7109375" style="483" customWidth="1"/>
    <col min="15374" max="15374" width="7.140625" style="483" customWidth="1"/>
    <col min="15375" max="15375" width="3.5703125" style="483" customWidth="1"/>
    <col min="15376" max="15376" width="2" style="483" customWidth="1"/>
    <col min="15377" max="15377" width="14.5703125" style="483" customWidth="1"/>
    <col min="15378" max="15378" width="10.85546875" style="483" customWidth="1"/>
    <col min="15379" max="15379" width="1" style="483" customWidth="1"/>
    <col min="15380" max="15380" width="1.140625" style="483" customWidth="1"/>
    <col min="15381" max="15381" width="1.7109375" style="483" customWidth="1"/>
    <col min="15382" max="15382" width="5.85546875" style="483" customWidth="1"/>
    <col min="15383" max="15610" width="6.85546875" style="483" customWidth="1"/>
    <col min="15611" max="15611" width="1.140625" style="483" customWidth="1"/>
    <col min="15612" max="15612" width="1" style="483" customWidth="1"/>
    <col min="15613" max="15613" width="7.28515625" style="483" customWidth="1"/>
    <col min="15614" max="15614" width="1.140625" style="483" customWidth="1"/>
    <col min="15615" max="15615" width="5.5703125" style="483" customWidth="1"/>
    <col min="15616" max="15616" width="1.140625" style="483"/>
    <col min="15617" max="15617" width="1.140625" style="483" customWidth="1"/>
    <col min="15618" max="15618" width="1" style="483" customWidth="1"/>
    <col min="15619" max="15619" width="7.28515625" style="483" customWidth="1"/>
    <col min="15620" max="15620" width="1.140625" style="483" customWidth="1"/>
    <col min="15621" max="15621" width="5.5703125" style="483" customWidth="1"/>
    <col min="15622" max="15622" width="1.140625" style="483" customWidth="1"/>
    <col min="15623" max="15623" width="1.28515625" style="483" customWidth="1"/>
    <col min="15624" max="15624" width="8" style="483" customWidth="1"/>
    <col min="15625" max="15625" width="65.140625" style="483" customWidth="1"/>
    <col min="15626" max="15626" width="13.5703125" style="483" customWidth="1"/>
    <col min="15627" max="15627" width="14.28515625" style="483" customWidth="1"/>
    <col min="15628" max="15628" width="12.85546875" style="483" customWidth="1"/>
    <col min="15629" max="15629" width="13.7109375" style="483" customWidth="1"/>
    <col min="15630" max="15630" width="7.140625" style="483" customWidth="1"/>
    <col min="15631" max="15631" width="3.5703125" style="483" customWidth="1"/>
    <col min="15632" max="15632" width="2" style="483" customWidth="1"/>
    <col min="15633" max="15633" width="14.5703125" style="483" customWidth="1"/>
    <col min="15634" max="15634" width="10.85546875" style="483" customWidth="1"/>
    <col min="15635" max="15635" width="1" style="483" customWidth="1"/>
    <col min="15636" max="15636" width="1.140625" style="483" customWidth="1"/>
    <col min="15637" max="15637" width="1.7109375" style="483" customWidth="1"/>
    <col min="15638" max="15638" width="5.85546875" style="483" customWidth="1"/>
    <col min="15639" max="15866" width="6.85546875" style="483" customWidth="1"/>
    <col min="15867" max="15867" width="1.140625" style="483" customWidth="1"/>
    <col min="15868" max="15868" width="1" style="483" customWidth="1"/>
    <col min="15869" max="15869" width="7.28515625" style="483" customWidth="1"/>
    <col min="15870" max="15870" width="1.140625" style="483" customWidth="1"/>
    <col min="15871" max="15871" width="5.5703125" style="483" customWidth="1"/>
    <col min="15872" max="15872" width="1.140625" style="483"/>
    <col min="15873" max="15873" width="1.140625" style="483" customWidth="1"/>
    <col min="15874" max="15874" width="1" style="483" customWidth="1"/>
    <col min="15875" max="15875" width="7.28515625" style="483" customWidth="1"/>
    <col min="15876" max="15876" width="1.140625" style="483" customWidth="1"/>
    <col min="15877" max="15877" width="5.5703125" style="483" customWidth="1"/>
    <col min="15878" max="15878" width="1.140625" style="483" customWidth="1"/>
    <col min="15879" max="15879" width="1.28515625" style="483" customWidth="1"/>
    <col min="15880" max="15880" width="8" style="483" customWidth="1"/>
    <col min="15881" max="15881" width="65.140625" style="483" customWidth="1"/>
    <col min="15882" max="15882" width="13.5703125" style="483" customWidth="1"/>
    <col min="15883" max="15883" width="14.28515625" style="483" customWidth="1"/>
    <col min="15884" max="15884" width="12.85546875" style="483" customWidth="1"/>
    <col min="15885" max="15885" width="13.7109375" style="483" customWidth="1"/>
    <col min="15886" max="15886" width="7.140625" style="483" customWidth="1"/>
    <col min="15887" max="15887" width="3.5703125" style="483" customWidth="1"/>
    <col min="15888" max="15888" width="2" style="483" customWidth="1"/>
    <col min="15889" max="15889" width="14.5703125" style="483" customWidth="1"/>
    <col min="15890" max="15890" width="10.85546875" style="483" customWidth="1"/>
    <col min="15891" max="15891" width="1" style="483" customWidth="1"/>
    <col min="15892" max="15892" width="1.140625" style="483" customWidth="1"/>
    <col min="15893" max="15893" width="1.7109375" style="483" customWidth="1"/>
    <col min="15894" max="15894" width="5.85546875" style="483" customWidth="1"/>
    <col min="15895" max="16122" width="6.85546875" style="483" customWidth="1"/>
    <col min="16123" max="16123" width="1.140625" style="483" customWidth="1"/>
    <col min="16124" max="16124" width="1" style="483" customWidth="1"/>
    <col min="16125" max="16125" width="7.28515625" style="483" customWidth="1"/>
    <col min="16126" max="16126" width="1.140625" style="483" customWidth="1"/>
    <col min="16127" max="16127" width="5.5703125" style="483" customWidth="1"/>
    <col min="16128" max="16128" width="1.140625" style="483"/>
    <col min="16129" max="16129" width="1.140625" style="483" customWidth="1"/>
    <col min="16130" max="16130" width="1" style="483" customWidth="1"/>
    <col min="16131" max="16131" width="7.28515625" style="483" customWidth="1"/>
    <col min="16132" max="16132" width="1.140625" style="483" customWidth="1"/>
    <col min="16133" max="16133" width="5.5703125" style="483" customWidth="1"/>
    <col min="16134" max="16134" width="1.140625" style="483" customWidth="1"/>
    <col min="16135" max="16135" width="1.28515625" style="483" customWidth="1"/>
    <col min="16136" max="16136" width="8" style="483" customWidth="1"/>
    <col min="16137" max="16137" width="65.140625" style="483" customWidth="1"/>
    <col min="16138" max="16138" width="13.5703125" style="483" customWidth="1"/>
    <col min="16139" max="16139" width="14.28515625" style="483" customWidth="1"/>
    <col min="16140" max="16140" width="12.85546875" style="483" customWidth="1"/>
    <col min="16141" max="16141" width="13.7109375" style="483" customWidth="1"/>
    <col min="16142" max="16142" width="7.140625" style="483" customWidth="1"/>
    <col min="16143" max="16143" width="3.5703125" style="483" customWidth="1"/>
    <col min="16144" max="16144" width="2" style="483" customWidth="1"/>
    <col min="16145" max="16145" width="14.5703125" style="483" customWidth="1"/>
    <col min="16146" max="16146" width="10.85546875" style="483" customWidth="1"/>
    <col min="16147" max="16147" width="1" style="483" customWidth="1"/>
    <col min="16148" max="16148" width="1.140625" style="483" customWidth="1"/>
    <col min="16149" max="16149" width="1.7109375" style="483" customWidth="1"/>
    <col min="16150" max="16150" width="5.85546875" style="483" customWidth="1"/>
    <col min="16151" max="16378" width="6.85546875" style="483" customWidth="1"/>
    <col min="16379" max="16379" width="1.140625" style="483" customWidth="1"/>
    <col min="16380" max="16380" width="1" style="483" customWidth="1"/>
    <col min="16381" max="16381" width="7.28515625" style="483" customWidth="1"/>
    <col min="16382" max="16382" width="1.140625" style="483" customWidth="1"/>
    <col min="16383" max="16383" width="5.5703125" style="483" customWidth="1"/>
    <col min="16384" max="16384" width="1.140625" style="483"/>
  </cols>
  <sheetData>
    <row r="1" spans="2:18" ht="15" customHeight="1" x14ac:dyDescent="0.25">
      <c r="B1" s="496" t="s">
        <v>6230</v>
      </c>
      <c r="C1" s="496"/>
      <c r="D1" s="496"/>
      <c r="E1" s="496"/>
      <c r="F1" s="496"/>
      <c r="G1" s="496"/>
      <c r="H1" s="496"/>
      <c r="I1" s="496"/>
    </row>
    <row r="2" spans="2:18" ht="15" customHeight="1" x14ac:dyDescent="0.25">
      <c r="B2" s="496"/>
      <c r="C2" s="496"/>
      <c r="D2" s="496"/>
      <c r="E2" s="496"/>
      <c r="F2" s="496"/>
      <c r="G2" s="496"/>
      <c r="H2" s="496"/>
      <c r="I2" s="496"/>
    </row>
    <row r="3" spans="2:18" ht="15" customHeight="1" x14ac:dyDescent="0.25">
      <c r="B3" s="496"/>
      <c r="C3" s="496" t="s">
        <v>937</v>
      </c>
      <c r="D3" s="496"/>
      <c r="E3" s="496"/>
      <c r="F3" s="496"/>
      <c r="G3" s="496"/>
      <c r="H3" s="496"/>
      <c r="I3" s="496"/>
    </row>
    <row r="5" spans="2:18" ht="20.25" customHeight="1" x14ac:dyDescent="0.25"/>
    <row r="6" spans="2:18" ht="15" customHeight="1" x14ac:dyDescent="0.25">
      <c r="C6" s="1321" t="s">
        <v>2099</v>
      </c>
      <c r="D6" s="1321"/>
      <c r="E6" s="1321"/>
      <c r="F6" s="497"/>
      <c r="G6" s="497"/>
      <c r="H6" s="497"/>
      <c r="I6" s="1321" t="s">
        <v>2100</v>
      </c>
      <c r="J6" s="592" t="s">
        <v>6830</v>
      </c>
      <c r="K6" s="592" t="s">
        <v>6831</v>
      </c>
      <c r="L6" s="592" t="s">
        <v>6832</v>
      </c>
      <c r="M6" s="488" t="s">
        <v>236</v>
      </c>
    </row>
    <row r="7" spans="2:18" ht="15" customHeight="1" x14ac:dyDescent="0.25">
      <c r="C7" s="1321"/>
      <c r="D7" s="1321"/>
      <c r="E7" s="1321"/>
      <c r="F7" s="497"/>
      <c r="G7" s="497"/>
      <c r="H7" s="497"/>
      <c r="I7" s="1321"/>
      <c r="J7" s="592" t="s">
        <v>235</v>
      </c>
      <c r="K7" s="592" t="s">
        <v>235</v>
      </c>
      <c r="L7" s="592" t="s">
        <v>235</v>
      </c>
      <c r="M7" s="488" t="s">
        <v>235</v>
      </c>
      <c r="N7" s="498"/>
      <c r="Q7" s="498"/>
      <c r="R7" s="498"/>
    </row>
    <row r="9" spans="2:18" s="492" customFormat="1" ht="15" customHeight="1" x14ac:dyDescent="0.25">
      <c r="C9" s="492" t="s">
        <v>2104</v>
      </c>
      <c r="I9" s="500" t="s">
        <v>2105</v>
      </c>
      <c r="J9" s="489">
        <f>'[1]CADASTRO BASE ORÇ. DESPESA'!L9</f>
        <v>0.30712591707059383</v>
      </c>
      <c r="K9" s="489">
        <f>'[1]CADASTRO BASE ORÇ. DESPESA'!N9</f>
        <v>6.0565432473692574E-2</v>
      </c>
      <c r="L9" s="489">
        <f>'[1]CADASTRO BASE ORÇ. DESPESA'!P9</f>
        <v>0.32968027934859012</v>
      </c>
      <c r="M9" s="491">
        <f>L9+K9+J9/3</f>
        <v>0.49262101751248061</v>
      </c>
      <c r="R9" s="502"/>
    </row>
    <row r="10" spans="2:18" s="492" customFormat="1" ht="15" customHeight="1" x14ac:dyDescent="0.25">
      <c r="J10" s="493"/>
      <c r="K10" s="493"/>
      <c r="L10" s="493"/>
      <c r="M10" s="504"/>
    </row>
    <row r="11" spans="2:18" s="492" customFormat="1" ht="15" customHeight="1" x14ac:dyDescent="0.25">
      <c r="C11" s="492" t="s">
        <v>2106</v>
      </c>
      <c r="I11" s="500" t="s">
        <v>2075</v>
      </c>
      <c r="J11" s="489">
        <f>'[1]CADASTRO BASE ORÇ. DESPESA'!L11</f>
        <v>0.31526445323754321</v>
      </c>
      <c r="K11" s="489">
        <f>'[1]CADASTRO BASE ORÇ. DESPESA'!N11</f>
        <v>3.8419355846246235E-2</v>
      </c>
      <c r="L11" s="489">
        <f>'[1]CADASTRO BASE ORÇ. DESPESA'!P11</f>
        <v>0.36894683390030791</v>
      </c>
      <c r="M11" s="491">
        <f>L11+K11+J11/3</f>
        <v>0.51245434082573516</v>
      </c>
      <c r="N11" s="502"/>
    </row>
    <row r="12" spans="2:18" s="492" customFormat="1" ht="15" customHeight="1" x14ac:dyDescent="0.25">
      <c r="J12" s="493"/>
      <c r="K12" s="493"/>
      <c r="L12" s="493"/>
      <c r="M12" s="493"/>
    </row>
    <row r="13" spans="2:18" s="492" customFormat="1" ht="15" customHeight="1" x14ac:dyDescent="0.25">
      <c r="C13" s="492" t="s">
        <v>6340</v>
      </c>
      <c r="I13" s="500" t="s">
        <v>6250</v>
      </c>
      <c r="J13" s="489" t="str">
        <f>'[1]CADASTRO BASE ORÇ. DESPESA'!L13</f>
        <v xml:space="preserve">0,00% </v>
      </c>
      <c r="K13" s="489" t="str">
        <f>'[1]CADASTRO BASE ORÇ. DESPESA'!N13</f>
        <v xml:space="preserve">0,00% </v>
      </c>
      <c r="L13" s="489" t="str">
        <f>'[1]CADASTRO BASE ORÇ. DESPESA'!P13</f>
        <v xml:space="preserve">0,00% </v>
      </c>
      <c r="M13" s="491">
        <f>L13+K13+J13/3</f>
        <v>0</v>
      </c>
    </row>
    <row r="15" spans="2:18" ht="15" customHeight="1" x14ac:dyDescent="0.2">
      <c r="C15" s="483" t="s">
        <v>6249</v>
      </c>
      <c r="I15" s="506" t="s">
        <v>6341</v>
      </c>
      <c r="J15" s="512" t="str">
        <f>'[1]CADASTRO BASE ORÇ. DESPESA'!L15</f>
        <v xml:space="preserve">0,00% </v>
      </c>
      <c r="K15" s="512" t="str">
        <f>'[1]CADASTRO BASE ORÇ. DESPESA'!N15</f>
        <v xml:space="preserve">0,00% </v>
      </c>
      <c r="L15" s="512" t="str">
        <f>'[1]CADASTRO BASE ORÇ. DESPESA'!P15</f>
        <v xml:space="preserve">0,00% </v>
      </c>
      <c r="M15" s="495">
        <f>L15+K15+J15/3</f>
        <v>0</v>
      </c>
    </row>
    <row r="17" spans="3:13" ht="15" customHeight="1" x14ac:dyDescent="0.2">
      <c r="C17" s="483" t="s">
        <v>6342</v>
      </c>
      <c r="I17" s="506" t="s">
        <v>6341</v>
      </c>
      <c r="J17" s="512" t="str">
        <f>'[1]CADASTRO BASE ORÇ. DESPESA'!L17</f>
        <v xml:space="preserve">0,00% </v>
      </c>
      <c r="K17" s="512" t="str">
        <f>'[1]CADASTRO BASE ORÇ. DESPESA'!N17</f>
        <v xml:space="preserve">0,00% </v>
      </c>
      <c r="L17" s="512" t="str">
        <f>'[1]CADASTRO BASE ORÇ. DESPESA'!P17</f>
        <v xml:space="preserve">0,00% </v>
      </c>
      <c r="M17" s="495">
        <f>L17+K17+J17/3</f>
        <v>0</v>
      </c>
    </row>
    <row r="19" spans="3:13" s="492" customFormat="1" ht="15" customHeight="1" x14ac:dyDescent="0.25">
      <c r="C19" s="492" t="s">
        <v>2107</v>
      </c>
      <c r="I19" s="500" t="s">
        <v>2108</v>
      </c>
      <c r="J19" s="489">
        <f>'[1]CADASTRO BASE ORÇ. DESPESA'!L19</f>
        <v>0.31526445323754321</v>
      </c>
      <c r="K19" s="489">
        <f>'[1]CADASTRO BASE ORÇ. DESPESA'!N19</f>
        <v>3.8419355846246235E-2</v>
      </c>
      <c r="L19" s="489">
        <f>'[1]CADASTRO BASE ORÇ. DESPESA'!P19</f>
        <v>0.36894683390030791</v>
      </c>
      <c r="M19" s="491">
        <f>L19+K19+J19/3</f>
        <v>0.51245434082573516</v>
      </c>
    </row>
    <row r="20" spans="3:13" ht="15" customHeight="1" x14ac:dyDescent="0.25">
      <c r="J20" s="493"/>
      <c r="K20" s="493"/>
      <c r="L20" s="493"/>
      <c r="M20" s="493"/>
    </row>
    <row r="21" spans="3:13" s="492" customFormat="1" ht="15" customHeight="1" x14ac:dyDescent="0.25">
      <c r="C21" s="492" t="s">
        <v>6253</v>
      </c>
      <c r="I21" s="500" t="s">
        <v>1012</v>
      </c>
      <c r="J21" s="489" t="str">
        <f>'[1]CADASTRO BASE ORÇ. DESPESA'!L21</f>
        <v xml:space="preserve">0,00% </v>
      </c>
      <c r="K21" s="489" t="str">
        <f>'[1]CADASTRO BASE ORÇ. DESPESA'!N21</f>
        <v xml:space="preserve">0,00% </v>
      </c>
      <c r="L21" s="489" t="str">
        <f>'[1]CADASTRO BASE ORÇ. DESPESA'!P21</f>
        <v xml:space="preserve">0,00% </v>
      </c>
      <c r="M21" s="491">
        <f>L21+K21+J21/3</f>
        <v>0</v>
      </c>
    </row>
    <row r="23" spans="3:13" ht="15" customHeight="1" x14ac:dyDescent="0.2">
      <c r="C23" s="483" t="s">
        <v>6343</v>
      </c>
      <c r="I23" s="506" t="s">
        <v>6344</v>
      </c>
      <c r="J23" s="512" t="str">
        <f>'[1]CADASTRO BASE ORÇ. DESPESA'!L23</f>
        <v xml:space="preserve">0,00% </v>
      </c>
      <c r="K23" s="512" t="str">
        <f>'[1]CADASTRO BASE ORÇ. DESPESA'!N23</f>
        <v xml:space="preserve">0,00% </v>
      </c>
      <c r="L23" s="512" t="str">
        <f>'[1]CADASTRO BASE ORÇ. DESPESA'!P23</f>
        <v xml:space="preserve">0,00% </v>
      </c>
      <c r="M23" s="495">
        <f>L23+K23+J23/3</f>
        <v>0</v>
      </c>
    </row>
    <row r="25" spans="3:13" ht="15" customHeight="1" x14ac:dyDescent="0.2">
      <c r="C25" s="483" t="s">
        <v>6273</v>
      </c>
      <c r="I25" s="506" t="s">
        <v>1011</v>
      </c>
      <c r="J25" s="512" t="str">
        <f>'[1]CADASTRO BASE ORÇ. DESPESA'!L25</f>
        <v xml:space="preserve">0,00% </v>
      </c>
      <c r="K25" s="512" t="str">
        <f>'[1]CADASTRO BASE ORÇ. DESPESA'!N25</f>
        <v xml:space="preserve">0,00% </v>
      </c>
      <c r="L25" s="512" t="str">
        <f>'[1]CADASTRO BASE ORÇ. DESPESA'!P25</f>
        <v xml:space="preserve">0,00% </v>
      </c>
      <c r="M25" s="495">
        <f>L25+K25+J25/3</f>
        <v>0</v>
      </c>
    </row>
    <row r="27" spans="3:13" ht="15" customHeight="1" x14ac:dyDescent="0.2">
      <c r="C27" s="483" t="s">
        <v>6305</v>
      </c>
      <c r="I27" s="506" t="s">
        <v>4819</v>
      </c>
      <c r="J27" s="512" t="str">
        <f>'[1]CADASTRO BASE ORÇ. DESPESA'!L27</f>
        <v xml:space="preserve">0,00% </v>
      </c>
      <c r="K27" s="512" t="str">
        <f>'[1]CADASTRO BASE ORÇ. DESPESA'!N27</f>
        <v xml:space="preserve">0,00% </v>
      </c>
      <c r="L27" s="512" t="str">
        <f>'[1]CADASTRO BASE ORÇ. DESPESA'!P27</f>
        <v xml:space="preserve">0,00% </v>
      </c>
      <c r="M27" s="495">
        <f>L27+K27+J27/3</f>
        <v>0</v>
      </c>
    </row>
    <row r="29" spans="3:13" s="492" customFormat="1" ht="15" customHeight="1" x14ac:dyDescent="0.25">
      <c r="C29" s="492" t="s">
        <v>6258</v>
      </c>
      <c r="I29" s="500" t="s">
        <v>1020</v>
      </c>
      <c r="J29" s="489" t="str">
        <f>'[1]CADASTRO BASE ORÇ. DESPESA'!L29</f>
        <v xml:space="preserve">0,00% </v>
      </c>
      <c r="K29" s="489" t="str">
        <f>'[1]CADASTRO BASE ORÇ. DESPESA'!N29</f>
        <v xml:space="preserve">0,00% </v>
      </c>
      <c r="L29" s="489" t="str">
        <f>'[1]CADASTRO BASE ORÇ. DESPESA'!P29</f>
        <v xml:space="preserve">0,00% </v>
      </c>
      <c r="M29" s="491">
        <f>L29+K29+J29/3</f>
        <v>0</v>
      </c>
    </row>
    <row r="31" spans="3:13" ht="15" customHeight="1" x14ac:dyDescent="0.2">
      <c r="C31" s="483" t="s">
        <v>6345</v>
      </c>
      <c r="I31" s="506" t="s">
        <v>1020</v>
      </c>
      <c r="J31" s="512" t="str">
        <f>'[1]CADASTRO BASE ORÇ. DESPESA'!L31</f>
        <v xml:space="preserve">0,00% </v>
      </c>
      <c r="K31" s="512" t="str">
        <f>'[1]CADASTRO BASE ORÇ. DESPESA'!N31</f>
        <v xml:space="preserve">0,00% </v>
      </c>
      <c r="L31" s="512" t="str">
        <f>'[1]CADASTRO BASE ORÇ. DESPESA'!P31</f>
        <v xml:space="preserve">0,00% </v>
      </c>
      <c r="M31" s="495">
        <f>L31+K31+J31/3</f>
        <v>0</v>
      </c>
    </row>
    <row r="33" spans="3:13" s="492" customFormat="1" ht="15" customHeight="1" x14ac:dyDescent="0.25">
      <c r="C33" s="492" t="s">
        <v>6236</v>
      </c>
      <c r="I33" s="500" t="s">
        <v>1009</v>
      </c>
      <c r="J33" s="489">
        <f>'[1]CADASTRO BASE ORÇ. DESPESA'!L33</f>
        <v>0.30528766912913546</v>
      </c>
      <c r="K33" s="489">
        <f>'[1]CADASTRO BASE ORÇ. DESPESA'!N33</f>
        <v>2.0302872258056721E-2</v>
      </c>
      <c r="L33" s="489">
        <f>'[1]CADASTRO BASE ORÇ. DESPESA'!P33</f>
        <v>0.43097801981391959</v>
      </c>
      <c r="M33" s="491">
        <f>L33+K33+J33/3</f>
        <v>0.55304344844835485</v>
      </c>
    </row>
    <row r="35" spans="3:13" ht="15" customHeight="1" x14ac:dyDescent="0.2">
      <c r="C35" s="483" t="s">
        <v>6346</v>
      </c>
      <c r="I35" s="506" t="s">
        <v>4863</v>
      </c>
      <c r="J35" s="512">
        <f>'[1]CADASTRO BASE ORÇ. DESPESA'!L35</f>
        <v>0.1870833462389182</v>
      </c>
      <c r="K35" s="512">
        <f>'[1]CADASTRO BASE ORÇ. DESPESA'!N35</f>
        <v>4.4105848241390251E-2</v>
      </c>
      <c r="L35" s="512">
        <f>'[1]CADASTRO BASE ORÇ. DESPESA'!P35</f>
        <v>-4.6140933240617021E-2</v>
      </c>
      <c r="M35" s="495">
        <f>L35+K35+J35/3</f>
        <v>6.0326030413745964E-2</v>
      </c>
    </row>
    <row r="36" spans="3:13" ht="15" customHeight="1" x14ac:dyDescent="0.2">
      <c r="I36" s="506"/>
      <c r="J36" s="494"/>
      <c r="K36" s="494"/>
      <c r="L36" s="494"/>
      <c r="M36" s="495"/>
    </row>
    <row r="37" spans="3:13" ht="15" customHeight="1" x14ac:dyDescent="0.2">
      <c r="C37" s="483" t="s">
        <v>6433</v>
      </c>
      <c r="I37" s="506" t="s">
        <v>6434</v>
      </c>
      <c r="J37" s="512" t="str">
        <f>'[1]CADASTRO BASE ORÇ. DESPESA'!L37</f>
        <v xml:space="preserve">0,00% </v>
      </c>
      <c r="K37" s="512" t="str">
        <f>'[1]CADASTRO BASE ORÇ. DESPESA'!N37</f>
        <v xml:space="preserve">0,00% </v>
      </c>
      <c r="L37" s="512" t="str">
        <f>'[1]CADASTRO BASE ORÇ. DESPESA'!P37</f>
        <v xml:space="preserve">0,00% </v>
      </c>
      <c r="M37" s="495">
        <f>L37+K37+J37/3</f>
        <v>0</v>
      </c>
    </row>
    <row r="39" spans="3:13" ht="15" customHeight="1" x14ac:dyDescent="0.2">
      <c r="C39" s="483" t="s">
        <v>6274</v>
      </c>
      <c r="I39" s="506" t="s">
        <v>1008</v>
      </c>
      <c r="J39" s="512" t="str">
        <f>'[1]CADASTRO BASE ORÇ. DESPESA'!L39</f>
        <v xml:space="preserve">0,00% </v>
      </c>
      <c r="K39" s="512" t="str">
        <f>'[1]CADASTRO BASE ORÇ. DESPESA'!N39</f>
        <v xml:space="preserve">0,00% </v>
      </c>
      <c r="L39" s="512" t="str">
        <f>'[1]CADASTRO BASE ORÇ. DESPESA'!P39</f>
        <v xml:space="preserve">0,00% </v>
      </c>
      <c r="M39" s="495">
        <f>L39+K39+J39/3</f>
        <v>0</v>
      </c>
    </row>
    <row r="41" spans="3:13" ht="15" customHeight="1" x14ac:dyDescent="0.2">
      <c r="C41" s="483" t="s">
        <v>6317</v>
      </c>
      <c r="I41" s="506" t="s">
        <v>4872</v>
      </c>
      <c r="J41" s="512" t="str">
        <f>'[1]CADASTRO BASE ORÇ. DESPESA'!L41</f>
        <v xml:space="preserve">0,00% </v>
      </c>
      <c r="K41" s="512" t="str">
        <f>'[1]CADASTRO BASE ORÇ. DESPESA'!N41</f>
        <v xml:space="preserve">0,00% </v>
      </c>
      <c r="L41" s="512" t="str">
        <f>'[1]CADASTRO BASE ORÇ. DESPESA'!P41</f>
        <v xml:space="preserve">0,00% </v>
      </c>
      <c r="M41" s="495">
        <f>L41+K41+J41/3</f>
        <v>0</v>
      </c>
    </row>
    <row r="43" spans="3:13" ht="15" customHeight="1" x14ac:dyDescent="0.2">
      <c r="C43" s="483" t="s">
        <v>6347</v>
      </c>
      <c r="I43" s="506" t="s">
        <v>4878</v>
      </c>
      <c r="J43" s="512" t="str">
        <f>'[1]CADASTRO BASE ORÇ. DESPESA'!L43</f>
        <v xml:space="preserve">0,00% </v>
      </c>
      <c r="K43" s="512" t="str">
        <f>'[1]CADASTRO BASE ORÇ. DESPESA'!N43</f>
        <v xml:space="preserve">0,00% </v>
      </c>
      <c r="L43" s="512" t="str">
        <f>'[1]CADASTRO BASE ORÇ. DESPESA'!P43</f>
        <v xml:space="preserve">0,00% </v>
      </c>
      <c r="M43" s="495">
        <f>L43+K43+J43/3</f>
        <v>0</v>
      </c>
    </row>
    <row r="45" spans="3:13" ht="15" customHeight="1" x14ac:dyDescent="0.2">
      <c r="C45" s="483" t="s">
        <v>6275</v>
      </c>
      <c r="I45" s="506" t="s">
        <v>1049</v>
      </c>
      <c r="J45" s="512" t="str">
        <f>'[1]CADASTRO BASE ORÇ. DESPESA'!L45</f>
        <v xml:space="preserve">0,00% </v>
      </c>
      <c r="K45" s="512" t="str">
        <f>'[1]CADASTRO BASE ORÇ. DESPESA'!N45</f>
        <v xml:space="preserve">0,00% </v>
      </c>
      <c r="L45" s="512" t="str">
        <f>'[1]CADASTRO BASE ORÇ. DESPESA'!P45</f>
        <v xml:space="preserve">0,00% </v>
      </c>
      <c r="M45" s="495">
        <f>L45+K45+J45/3</f>
        <v>0</v>
      </c>
    </row>
    <row r="47" spans="3:13" ht="15" customHeight="1" x14ac:dyDescent="0.2">
      <c r="C47" s="483" t="s">
        <v>6276</v>
      </c>
      <c r="I47" s="506" t="s">
        <v>1048</v>
      </c>
      <c r="J47" s="512" t="str">
        <f>'[1]CADASTRO BASE ORÇ. DESPESA'!L47</f>
        <v xml:space="preserve">0,00% </v>
      </c>
      <c r="K47" s="512" t="str">
        <f>'[1]CADASTRO BASE ORÇ. DESPESA'!N47</f>
        <v xml:space="preserve">0,00% </v>
      </c>
      <c r="L47" s="512" t="str">
        <f>'[1]CADASTRO BASE ORÇ. DESPESA'!P47</f>
        <v xml:space="preserve">0,00% </v>
      </c>
      <c r="M47" s="495">
        <f>L47+K47+J47/3</f>
        <v>0</v>
      </c>
    </row>
    <row r="49" spans="3:13" ht="15" customHeight="1" x14ac:dyDescent="0.2">
      <c r="C49" s="483" t="s">
        <v>6300</v>
      </c>
      <c r="I49" s="506" t="s">
        <v>1007</v>
      </c>
      <c r="J49" s="512" t="str">
        <f>'[1]CADASTRO BASE ORÇ. DESPESA'!L49</f>
        <v xml:space="preserve">0,00% </v>
      </c>
      <c r="K49" s="512">
        <f>'[1]CADASTRO BASE ORÇ. DESPESA'!N49</f>
        <v>1</v>
      </c>
      <c r="L49" s="512" t="str">
        <f>'[1]CADASTRO BASE ORÇ. DESPESA'!P49</f>
        <v xml:space="preserve">0,00% </v>
      </c>
      <c r="M49" s="495">
        <f>L49+K49+J49/3</f>
        <v>1</v>
      </c>
    </row>
    <row r="51" spans="3:13" ht="15" customHeight="1" x14ac:dyDescent="0.2">
      <c r="C51" s="483" t="s">
        <v>6301</v>
      </c>
      <c r="I51" s="506" t="s">
        <v>1006</v>
      </c>
      <c r="J51" s="512">
        <f>'[1]CADASTRO BASE ORÇ. DESPESA'!L51</f>
        <v>0.23877405769140272</v>
      </c>
      <c r="K51" s="512">
        <f>'[1]CADASTRO BASE ORÇ. DESPESA'!N51</f>
        <v>-0.59913462669018214</v>
      </c>
      <c r="L51" s="512">
        <f>'[1]CADASTRO BASE ORÇ. DESPESA'!P51</f>
        <v>0.37466178062208833</v>
      </c>
      <c r="M51" s="495">
        <f>L51+K51+J51/3</f>
        <v>-0.14488149350429291</v>
      </c>
    </row>
    <row r="53" spans="3:13" ht="15" customHeight="1" x14ac:dyDescent="0.2">
      <c r="C53" s="483" t="s">
        <v>6295</v>
      </c>
      <c r="I53" s="506" t="s">
        <v>1047</v>
      </c>
      <c r="J53" s="512">
        <f>'[1]CADASTRO BASE ORÇ. DESPESA'!L53</f>
        <v>-0.49278041142956552</v>
      </c>
      <c r="K53" s="512">
        <f>'[1]CADASTRO BASE ORÇ. DESPESA'!N53</f>
        <v>0.75338660374322952</v>
      </c>
      <c r="L53" s="512">
        <f>'[1]CADASTRO BASE ORÇ. DESPESA'!P53</f>
        <v>-3.0549297612316795</v>
      </c>
      <c r="M53" s="495">
        <f>L53+K53+J53/3</f>
        <v>-2.4658032946316384</v>
      </c>
    </row>
    <row r="55" spans="3:13" ht="15" customHeight="1" x14ac:dyDescent="0.2">
      <c r="C55" s="483" t="s">
        <v>6318</v>
      </c>
      <c r="I55" s="506" t="s">
        <v>6348</v>
      </c>
      <c r="J55" s="512" t="str">
        <f>'[1]CADASTRO BASE ORÇ. DESPESA'!L55</f>
        <v xml:space="preserve">0,00% </v>
      </c>
      <c r="K55" s="512" t="str">
        <f>'[1]CADASTRO BASE ORÇ. DESPESA'!N55</f>
        <v xml:space="preserve">0,00% </v>
      </c>
      <c r="L55" s="512" t="str">
        <f>'[1]CADASTRO BASE ORÇ. DESPESA'!P55</f>
        <v xml:space="preserve">0,00% </v>
      </c>
      <c r="M55" s="495">
        <f>L55+K55+J55/3</f>
        <v>0</v>
      </c>
    </row>
    <row r="57" spans="3:13" ht="15" customHeight="1" x14ac:dyDescent="0.2">
      <c r="C57" s="483" t="s">
        <v>6349</v>
      </c>
      <c r="I57" s="506" t="s">
        <v>6435</v>
      </c>
      <c r="J57" s="512" t="str">
        <f>'[1]CADASTRO BASE ORÇ. DESPESA'!L57</f>
        <v xml:space="preserve">0,00% </v>
      </c>
      <c r="K57" s="512" t="str">
        <f>'[1]CADASTRO BASE ORÇ. DESPESA'!N57</f>
        <v xml:space="preserve">0,00% </v>
      </c>
      <c r="L57" s="512" t="str">
        <f>'[1]CADASTRO BASE ORÇ. DESPESA'!P57</f>
        <v xml:space="preserve">0,00% </v>
      </c>
      <c r="M57" s="495">
        <f>L57+K57+J57/3</f>
        <v>0</v>
      </c>
    </row>
    <row r="59" spans="3:13" ht="15" customHeight="1" x14ac:dyDescent="0.2">
      <c r="C59" s="483" t="s">
        <v>6350</v>
      </c>
      <c r="I59" s="506" t="s">
        <v>1052</v>
      </c>
      <c r="J59" s="512">
        <f>'[1]CADASTRO BASE ORÇ. DESPESA'!L59</f>
        <v>0.34627251250637514</v>
      </c>
      <c r="K59" s="512">
        <f>'[1]CADASTRO BASE ORÇ. DESPESA'!N59</f>
        <v>-5.4749183906561173E-2</v>
      </c>
      <c r="L59" s="512">
        <f>'[1]CADASTRO BASE ORÇ. DESPESA'!P59</f>
        <v>5.1907301510091833E-2</v>
      </c>
      <c r="M59" s="495">
        <f>L59+K59+J59/3</f>
        <v>0.11258228843898904</v>
      </c>
    </row>
    <row r="61" spans="3:13" ht="15" customHeight="1" x14ac:dyDescent="0.2">
      <c r="C61" s="483" t="s">
        <v>6351</v>
      </c>
      <c r="I61" s="506" t="s">
        <v>4798</v>
      </c>
      <c r="J61" s="512" t="str">
        <f>'[1]CADASTRO BASE ORÇ. DESPESA'!L61</f>
        <v xml:space="preserve">0,00% </v>
      </c>
      <c r="K61" s="512">
        <f>'[1]CADASTRO BASE ORÇ. DESPESA'!N61</f>
        <v>1</v>
      </c>
      <c r="L61" s="512">
        <f>'[1]CADASTRO BASE ORÇ. DESPESA'!P61</f>
        <v>0.94732864873589517</v>
      </c>
      <c r="M61" s="495">
        <f>L61+K61+J61/3</f>
        <v>1.9473286487358952</v>
      </c>
    </row>
    <row r="63" spans="3:13" s="492" customFormat="1" ht="15" customHeight="1" x14ac:dyDescent="0.25">
      <c r="C63" s="492" t="s">
        <v>6237</v>
      </c>
      <c r="I63" s="500" t="s">
        <v>1011</v>
      </c>
      <c r="J63" s="489" t="str">
        <f>'[1]CADASTRO BASE ORÇ. DESPESA'!L63</f>
        <v xml:space="preserve">0,00% </v>
      </c>
      <c r="K63" s="489" t="str">
        <f>'[1]CADASTRO BASE ORÇ. DESPESA'!N63</f>
        <v xml:space="preserve">0,00% </v>
      </c>
      <c r="L63" s="489" t="str">
        <f>'[1]CADASTRO BASE ORÇ. DESPESA'!P63</f>
        <v xml:space="preserve">0,00% </v>
      </c>
      <c r="M63" s="491">
        <f>L63+K63+J63/3</f>
        <v>0</v>
      </c>
    </row>
    <row r="65" spans="3:13" ht="15" customHeight="1" x14ac:dyDescent="0.2">
      <c r="C65" s="483" t="s">
        <v>6352</v>
      </c>
      <c r="I65" s="506" t="s">
        <v>4800</v>
      </c>
      <c r="J65" s="512">
        <f>'[1]CADASTRO BASE ORÇ. DESPESA'!L65</f>
        <v>0.32997460447801857</v>
      </c>
      <c r="K65" s="512">
        <f>'[1]CADASTRO BASE ORÇ. DESPESA'!N65</f>
        <v>3.7501383796332E-2</v>
      </c>
      <c r="L65" s="512">
        <f>'[1]CADASTRO BASE ORÇ. DESPESA'!P65</f>
        <v>-3.8962532688355138E-2</v>
      </c>
      <c r="M65" s="495">
        <f>L65+K65+J65/3</f>
        <v>0.10853038593398306</v>
      </c>
    </row>
    <row r="67" spans="3:13" ht="15" customHeight="1" x14ac:dyDescent="0.2">
      <c r="C67" s="483" t="s">
        <v>6353</v>
      </c>
      <c r="I67" s="506" t="s">
        <v>4803</v>
      </c>
      <c r="J67" s="512" t="str">
        <f>'[1]CADASTRO BASE ORÇ. DESPESA'!L67</f>
        <v xml:space="preserve">0,00% </v>
      </c>
      <c r="K67" s="512" t="str">
        <f>'[1]CADASTRO BASE ORÇ. DESPESA'!N67</f>
        <v xml:space="preserve">0,00% </v>
      </c>
      <c r="L67" s="512" t="str">
        <f>'[1]CADASTRO BASE ORÇ. DESPESA'!P67</f>
        <v xml:space="preserve">0,00% </v>
      </c>
      <c r="M67" s="495">
        <f>L67+K67+J67/3</f>
        <v>0</v>
      </c>
    </row>
    <row r="69" spans="3:13" ht="15" customHeight="1" x14ac:dyDescent="0.2">
      <c r="C69" s="483" t="s">
        <v>6436</v>
      </c>
      <c r="I69" s="506" t="s">
        <v>1116</v>
      </c>
      <c r="J69" s="512">
        <f>'[1]CADASTRO BASE ORÇ. DESPESA'!L69</f>
        <v>0.32997460447801857</v>
      </c>
      <c r="K69" s="512">
        <f>'[1]CADASTRO BASE ORÇ. DESPESA'!N69</f>
        <v>3.199478447731971E-2</v>
      </c>
      <c r="L69" s="512">
        <f>'[1]CADASTRO BASE ORÇ. DESPESA'!P69</f>
        <v>-3.3052285219397223E-2</v>
      </c>
      <c r="M69" s="495">
        <f>L69+K69+J69/3</f>
        <v>0.10893403408392868</v>
      </c>
    </row>
    <row r="71" spans="3:13" ht="15" customHeight="1" x14ac:dyDescent="0.2">
      <c r="C71" s="483" t="s">
        <v>6354</v>
      </c>
      <c r="I71" s="506" t="s">
        <v>1249</v>
      </c>
      <c r="J71" s="512" t="str">
        <f>'[1]CADASTRO BASE ORÇ. DESPESA'!L71</f>
        <v xml:space="preserve">0,00% </v>
      </c>
      <c r="K71" s="512" t="str">
        <f>'[1]CADASTRO BASE ORÇ. DESPESA'!N71</f>
        <v xml:space="preserve">0,00% </v>
      </c>
      <c r="L71" s="512" t="str">
        <f>'[1]CADASTRO BASE ORÇ. DESPESA'!P71</f>
        <v xml:space="preserve">0,00% </v>
      </c>
      <c r="M71" s="495">
        <f>L71+K71+J71/3</f>
        <v>0</v>
      </c>
    </row>
    <row r="73" spans="3:13" s="492" customFormat="1" ht="15" customHeight="1" x14ac:dyDescent="0.25">
      <c r="C73" s="492" t="s">
        <v>6238</v>
      </c>
      <c r="I73" s="500" t="s">
        <v>1005</v>
      </c>
      <c r="J73" s="489" t="str">
        <f>'[1]CADASTRO BASE ORÇ. DESPESA'!L73</f>
        <v xml:space="preserve">0,00% </v>
      </c>
      <c r="K73" s="489">
        <f>'[1]CADASTRO BASE ORÇ. DESPESA'!N73</f>
        <v>1</v>
      </c>
      <c r="L73" s="489" t="str">
        <f>'[1]CADASTRO BASE ORÇ. DESPESA'!P73</f>
        <v xml:space="preserve">0,00% </v>
      </c>
      <c r="M73" s="491">
        <f>L73+K73+J73/3</f>
        <v>1</v>
      </c>
    </row>
    <row r="75" spans="3:13" ht="15" customHeight="1" x14ac:dyDescent="0.2">
      <c r="C75" s="483" t="s">
        <v>6465</v>
      </c>
      <c r="I75" s="506" t="s">
        <v>6466</v>
      </c>
      <c r="J75" s="512">
        <f>'[1]CADASTRO BASE ORÇ. DESPESA'!L75</f>
        <v>1</v>
      </c>
      <c r="K75" s="512">
        <f>'[1]CADASTRO BASE ORÇ. DESPESA'!N75</f>
        <v>0.66605247171514781</v>
      </c>
      <c r="L75" s="512">
        <f>'[1]CADASTRO BASE ORÇ. DESPESA'!P75</f>
        <v>-1.9944824120603017</v>
      </c>
      <c r="M75" s="495">
        <f>L75+K75+J75/3</f>
        <v>-0.99509660701182079</v>
      </c>
    </row>
    <row r="77" spans="3:13" ht="15" customHeight="1" x14ac:dyDescent="0.2">
      <c r="C77" s="483" t="s">
        <v>6277</v>
      </c>
      <c r="I77" s="506" t="s">
        <v>1004</v>
      </c>
      <c r="J77" s="512">
        <f>'[1]CADASTRO BASE ORÇ. DESPESA'!L77</f>
        <v>1</v>
      </c>
      <c r="K77" s="512">
        <f>'[1]CADASTRO BASE ORÇ. DESPESA'!N77</f>
        <v>0.66605247171514781</v>
      </c>
      <c r="L77" s="512">
        <f>'[1]CADASTRO BASE ORÇ. DESPESA'!P77</f>
        <v>-1.9944824120603017</v>
      </c>
      <c r="M77" s="495">
        <f>L77+K77+J77/3</f>
        <v>-0.99509660701182079</v>
      </c>
    </row>
    <row r="79" spans="3:13" s="492" customFormat="1" ht="15" customHeight="1" x14ac:dyDescent="0.25">
      <c r="C79" s="492" t="s">
        <v>6259</v>
      </c>
      <c r="I79" s="500" t="s">
        <v>1254</v>
      </c>
      <c r="J79" s="489" t="str">
        <f>'[1]CADASTRO BASE ORÇ. DESPESA'!L79</f>
        <v xml:space="preserve">0,00% </v>
      </c>
      <c r="K79" s="489" t="str">
        <f>'[1]CADASTRO BASE ORÇ. DESPESA'!N79</f>
        <v xml:space="preserve">0,00% </v>
      </c>
      <c r="L79" s="489" t="str">
        <f>'[1]CADASTRO BASE ORÇ. DESPESA'!P79</f>
        <v xml:space="preserve">0,00% </v>
      </c>
      <c r="M79" s="491">
        <f>L79+K79+J79/3</f>
        <v>0</v>
      </c>
    </row>
    <row r="81" spans="3:14" ht="15" customHeight="1" x14ac:dyDescent="0.2">
      <c r="C81" s="483" t="s">
        <v>6260</v>
      </c>
      <c r="I81" s="506" t="s">
        <v>1255</v>
      </c>
      <c r="J81" s="512" t="str">
        <f>'[1]CADASTRO BASE ORÇ. DESPESA'!L81</f>
        <v xml:space="preserve">0,00% </v>
      </c>
      <c r="K81" s="512" t="str">
        <f>'[1]CADASTRO BASE ORÇ. DESPESA'!N81</f>
        <v xml:space="preserve">0,00% </v>
      </c>
      <c r="L81" s="512" t="str">
        <f>'[1]CADASTRO BASE ORÇ. DESPESA'!P81</f>
        <v xml:space="preserve">0,00% </v>
      </c>
      <c r="M81" s="495">
        <f>L81+K81+J81/3</f>
        <v>0</v>
      </c>
    </row>
    <row r="82" spans="3:14" ht="15" customHeight="1" x14ac:dyDescent="0.25">
      <c r="I82" s="506"/>
    </row>
    <row r="83" spans="3:14" s="492" customFormat="1" ht="15" customHeight="1" x14ac:dyDescent="0.25">
      <c r="C83" s="492" t="s">
        <v>6355</v>
      </c>
      <c r="I83" s="500" t="s">
        <v>2076</v>
      </c>
      <c r="J83" s="489" t="str">
        <f>'[1]CADASTRO BASE ORÇ. DESPESA'!L83</f>
        <v xml:space="preserve">0,00% </v>
      </c>
      <c r="K83" s="489" t="str">
        <f>'[1]CADASTRO BASE ORÇ. DESPESA'!N83</f>
        <v xml:space="preserve">0,00% </v>
      </c>
      <c r="L83" s="489" t="str">
        <f>'[1]CADASTRO BASE ORÇ. DESPESA'!P83</f>
        <v xml:space="preserve">0,00% </v>
      </c>
      <c r="M83" s="491">
        <f>L83+K83+J83/3</f>
        <v>0</v>
      </c>
      <c r="N83" s="502"/>
    </row>
    <row r="85" spans="3:14" s="492" customFormat="1" ht="15" customHeight="1" x14ac:dyDescent="0.25">
      <c r="C85" s="492" t="s">
        <v>6356</v>
      </c>
      <c r="I85" s="500" t="s">
        <v>2108</v>
      </c>
      <c r="J85" s="489" t="str">
        <f>'[1]CADASTRO BASE ORÇ. DESPESA'!L85</f>
        <v xml:space="preserve">0,00% </v>
      </c>
      <c r="K85" s="489" t="str">
        <f>'[1]CADASTRO BASE ORÇ. DESPESA'!N85</f>
        <v xml:space="preserve">0,00% </v>
      </c>
      <c r="L85" s="489" t="str">
        <f>'[1]CADASTRO BASE ORÇ. DESPESA'!P85</f>
        <v xml:space="preserve">0,00% </v>
      </c>
      <c r="M85" s="491">
        <f>L85+K85+J85/3</f>
        <v>0</v>
      </c>
    </row>
    <row r="87" spans="3:14" ht="18" customHeight="1" x14ac:dyDescent="0.2">
      <c r="C87" s="483" t="s">
        <v>6460</v>
      </c>
      <c r="I87" s="506" t="s">
        <v>6462</v>
      </c>
      <c r="J87" s="512" t="str">
        <f>'[1]CADASTRO BASE ORÇ. DESPESA'!L87</f>
        <v xml:space="preserve">0,00% </v>
      </c>
      <c r="K87" s="512" t="str">
        <f>'[1]CADASTRO BASE ORÇ. DESPESA'!N87</f>
        <v xml:space="preserve">0,00% </v>
      </c>
      <c r="L87" s="512" t="str">
        <f>'[1]CADASTRO BASE ORÇ. DESPESA'!P87</f>
        <v xml:space="preserve">0,00% </v>
      </c>
      <c r="M87" s="495">
        <f>L87+K87+J87/3</f>
        <v>0</v>
      </c>
    </row>
    <row r="88" spans="3:14" ht="15" customHeight="1" x14ac:dyDescent="0.25">
      <c r="I88" s="506"/>
      <c r="J88" s="489"/>
      <c r="K88" s="489"/>
      <c r="L88" s="489"/>
      <c r="M88" s="491"/>
    </row>
    <row r="89" spans="3:14" ht="15" customHeight="1" x14ac:dyDescent="0.2">
      <c r="C89" s="483" t="s">
        <v>6461</v>
      </c>
      <c r="I89" s="506" t="s">
        <v>6463</v>
      </c>
      <c r="J89" s="512" t="str">
        <f>'[1]CADASTRO BASE ORÇ. DESPESA'!L89</f>
        <v xml:space="preserve">0,00% </v>
      </c>
      <c r="K89" s="512" t="str">
        <f>'[1]CADASTRO BASE ORÇ. DESPESA'!N89</f>
        <v xml:space="preserve">0,00% </v>
      </c>
      <c r="L89" s="512" t="str">
        <f>'[1]CADASTRO BASE ORÇ. DESPESA'!P89</f>
        <v xml:space="preserve">0,00% </v>
      </c>
      <c r="M89" s="495">
        <f>L89+K89+J89/3</f>
        <v>0</v>
      </c>
    </row>
    <row r="90" spans="3:14" ht="15" customHeight="1" x14ac:dyDescent="0.2">
      <c r="I90" s="506"/>
      <c r="J90" s="494"/>
      <c r="K90" s="494"/>
      <c r="L90" s="494"/>
      <c r="M90" s="495"/>
    </row>
    <row r="91" spans="3:14" s="492" customFormat="1" ht="15" customHeight="1" x14ac:dyDescent="0.25">
      <c r="C91" s="492" t="s">
        <v>2109</v>
      </c>
      <c r="I91" s="500" t="s">
        <v>94</v>
      </c>
      <c r="J91" s="489" t="str">
        <f>'[1]CADASTRO BASE ORÇ. DESPESA'!L91</f>
        <v xml:space="preserve">0,00% </v>
      </c>
      <c r="K91" s="489" t="str">
        <f>'[1]CADASTRO BASE ORÇ. DESPESA'!N91</f>
        <v xml:space="preserve">0,00% </v>
      </c>
      <c r="L91" s="489" t="str">
        <f>'[1]CADASTRO BASE ORÇ. DESPESA'!P91</f>
        <v xml:space="preserve">0,00% </v>
      </c>
      <c r="M91" s="491">
        <f>L91+K91+J91/3</f>
        <v>0</v>
      </c>
      <c r="N91" s="502"/>
    </row>
    <row r="93" spans="3:14" s="492" customFormat="1" ht="15" customHeight="1" x14ac:dyDescent="0.25">
      <c r="C93" s="492" t="s">
        <v>2127</v>
      </c>
      <c r="I93" s="500" t="s">
        <v>2128</v>
      </c>
      <c r="J93" s="489">
        <f>'[1]CADASTRO BASE ORÇ. DESPESA'!L93</f>
        <v>0.22731829879813217</v>
      </c>
      <c r="K93" s="489">
        <f>'[1]CADASTRO BASE ORÇ. DESPESA'!N93</f>
        <v>0.23364283215030118</v>
      </c>
      <c r="L93" s="489">
        <f>'[1]CADASTRO BASE ORÇ. DESPESA'!P93</f>
        <v>-0.30487459627457181</v>
      </c>
      <c r="M93" s="491">
        <f>L93+K93+J93/3</f>
        <v>4.5410021417734286E-3</v>
      </c>
    </row>
    <row r="95" spans="3:14" s="492" customFormat="1" ht="15" customHeight="1" x14ac:dyDescent="0.25">
      <c r="C95" s="492" t="s">
        <v>6334</v>
      </c>
      <c r="I95" s="500" t="s">
        <v>1057</v>
      </c>
      <c r="J95" s="489" t="str">
        <f>'[1]CADASTRO BASE ORÇ. DESPESA'!L95</f>
        <v xml:space="preserve">0,00% </v>
      </c>
      <c r="K95" s="489" t="str">
        <f>'[1]CADASTRO BASE ORÇ. DESPESA'!N95</f>
        <v xml:space="preserve">0,00% </v>
      </c>
      <c r="L95" s="489" t="str">
        <f>'[1]CADASTRO BASE ORÇ. DESPESA'!P95</f>
        <v xml:space="preserve">0,00% </v>
      </c>
      <c r="M95" s="491">
        <f>L95+K95+J95/3</f>
        <v>0</v>
      </c>
    </row>
    <row r="97" spans="3:13" ht="15" customHeight="1" x14ac:dyDescent="0.2">
      <c r="C97" s="483" t="s">
        <v>6357</v>
      </c>
      <c r="I97" s="506" t="s">
        <v>1274</v>
      </c>
      <c r="J97" s="512" t="str">
        <f>'[1]CADASTRO BASE ORÇ. DESPESA'!L97</f>
        <v xml:space="preserve">0,00% </v>
      </c>
      <c r="K97" s="512" t="str">
        <f>'[1]CADASTRO BASE ORÇ. DESPESA'!N97</f>
        <v xml:space="preserve">0,00% </v>
      </c>
      <c r="L97" s="512" t="str">
        <f>'[1]CADASTRO BASE ORÇ. DESPESA'!P97</f>
        <v xml:space="preserve">0,00% </v>
      </c>
      <c r="M97" s="495">
        <f>L97+K97+J97/3</f>
        <v>0</v>
      </c>
    </row>
    <row r="99" spans="3:13" s="492" customFormat="1" ht="15" customHeight="1" x14ac:dyDescent="0.25">
      <c r="C99" s="492" t="s">
        <v>6255</v>
      </c>
      <c r="I99" s="500" t="s">
        <v>985</v>
      </c>
      <c r="J99" s="489" t="str">
        <f>'[1]CADASTRO BASE ORÇ. DESPESA'!L99</f>
        <v xml:space="preserve">0,00% </v>
      </c>
      <c r="K99" s="489" t="str">
        <f>'[1]CADASTRO BASE ORÇ. DESPESA'!N99</f>
        <v xml:space="preserve">0,00% </v>
      </c>
      <c r="L99" s="489" t="str">
        <f>'[1]CADASTRO BASE ORÇ. DESPESA'!P99</f>
        <v xml:space="preserve">0,00% </v>
      </c>
      <c r="M99" s="491">
        <f>L99+K99+J99/3</f>
        <v>0</v>
      </c>
    </row>
    <row r="101" spans="3:13" s="492" customFormat="1" ht="15" customHeight="1" x14ac:dyDescent="0.25">
      <c r="C101" s="492" t="s">
        <v>2125</v>
      </c>
      <c r="I101" s="500" t="s">
        <v>2126</v>
      </c>
      <c r="J101" s="489" t="str">
        <f>'[1]CADASTRO BASE ORÇ. DESPESA'!L101</f>
        <v xml:space="preserve">0,00% </v>
      </c>
      <c r="K101" s="489" t="str">
        <f>'[1]CADASTRO BASE ORÇ. DESPESA'!N101</f>
        <v xml:space="preserve">0,00% </v>
      </c>
      <c r="L101" s="489" t="str">
        <f>'[1]CADASTRO BASE ORÇ. DESPESA'!P101</f>
        <v xml:space="preserve">0,00% </v>
      </c>
      <c r="M101" s="491">
        <f>L101+K101+J101/3</f>
        <v>0</v>
      </c>
    </row>
    <row r="102" spans="3:13" s="492" customFormat="1" ht="15" customHeight="1" x14ac:dyDescent="0.25">
      <c r="J102" s="493"/>
      <c r="K102" s="493"/>
      <c r="L102" s="493"/>
      <c r="M102" s="493"/>
    </row>
    <row r="103" spans="3:13" s="492" customFormat="1" ht="15" customHeight="1" x14ac:dyDescent="0.25">
      <c r="C103" s="492" t="s">
        <v>6239</v>
      </c>
      <c r="I103" s="500" t="s">
        <v>1027</v>
      </c>
      <c r="J103" s="489" t="str">
        <f>'[1]CADASTRO BASE ORÇ. DESPESA'!L103</f>
        <v xml:space="preserve">0,00% </v>
      </c>
      <c r="K103" s="489" t="str">
        <f>'[1]CADASTRO BASE ORÇ. DESPESA'!N103</f>
        <v xml:space="preserve">0,00% </v>
      </c>
      <c r="L103" s="489" t="str">
        <f>'[1]CADASTRO BASE ORÇ. DESPESA'!P103</f>
        <v xml:space="preserve">0,00% </v>
      </c>
      <c r="M103" s="491">
        <f>L103+K103+J103/3</f>
        <v>0</v>
      </c>
    </row>
    <row r="105" spans="3:13" ht="15" customHeight="1" x14ac:dyDescent="0.2">
      <c r="C105" s="483" t="s">
        <v>6336</v>
      </c>
      <c r="I105" s="506" t="s">
        <v>6358</v>
      </c>
      <c r="J105" s="512" t="str">
        <f>'[1]CADASTRO BASE ORÇ. DESPESA'!L105</f>
        <v xml:space="preserve">0,00% </v>
      </c>
      <c r="K105" s="512" t="str">
        <f>'[1]CADASTRO BASE ORÇ. DESPESA'!N105</f>
        <v xml:space="preserve">0,00% </v>
      </c>
      <c r="L105" s="512" t="str">
        <f>'[1]CADASTRO BASE ORÇ. DESPESA'!P105</f>
        <v xml:space="preserve">0,00% </v>
      </c>
      <c r="M105" s="495">
        <f>L105+K105+J105/3</f>
        <v>0</v>
      </c>
    </row>
    <row r="107" spans="3:13" ht="15" customHeight="1" x14ac:dyDescent="0.2">
      <c r="C107" s="483" t="s">
        <v>6337</v>
      </c>
      <c r="I107" s="506" t="s">
        <v>1059</v>
      </c>
      <c r="J107" s="512" t="str">
        <f>'[1]CADASTRO BASE ORÇ. DESPESA'!L107</f>
        <v xml:space="preserve">0,00% </v>
      </c>
      <c r="K107" s="512" t="str">
        <f>'[1]CADASTRO BASE ORÇ. DESPESA'!N107</f>
        <v xml:space="preserve">0,00% </v>
      </c>
      <c r="L107" s="512" t="str">
        <f>'[1]CADASTRO BASE ORÇ. DESPESA'!P107</f>
        <v xml:space="preserve">0,00% </v>
      </c>
      <c r="M107" s="495">
        <f>L107+K107+J107/3</f>
        <v>0</v>
      </c>
    </row>
    <row r="109" spans="3:13" s="492" customFormat="1" ht="15" customHeight="1" x14ac:dyDescent="0.25">
      <c r="C109" s="492" t="s">
        <v>2129</v>
      </c>
      <c r="I109" s="500" t="s">
        <v>2130</v>
      </c>
      <c r="J109" s="489" t="str">
        <f>'[1]CADASTRO BASE ORÇ. DESPESA'!L109</f>
        <v xml:space="preserve">0,00% </v>
      </c>
      <c r="K109" s="489" t="str">
        <f>'[1]CADASTRO BASE ORÇ. DESPESA'!N109</f>
        <v xml:space="preserve">0,00% </v>
      </c>
      <c r="L109" s="489" t="str">
        <f>'[1]CADASTRO BASE ORÇ. DESPESA'!P109</f>
        <v xml:space="preserve">0,00% </v>
      </c>
      <c r="M109" s="491">
        <f>L109+K109+J109/3</f>
        <v>0</v>
      </c>
    </row>
    <row r="111" spans="3:13" ht="15" customHeight="1" x14ac:dyDescent="0.2">
      <c r="C111" s="483" t="s">
        <v>6332</v>
      </c>
      <c r="I111" s="506" t="s">
        <v>6359</v>
      </c>
      <c r="J111" s="512" t="str">
        <f>'[1]CADASTRO BASE ORÇ. DESPESA'!L111</f>
        <v xml:space="preserve">0,00% </v>
      </c>
      <c r="K111" s="512" t="str">
        <f>'[1]CADASTRO BASE ORÇ. DESPESA'!N111</f>
        <v xml:space="preserve">0,00% </v>
      </c>
      <c r="L111" s="512" t="str">
        <f>'[1]CADASTRO BASE ORÇ. DESPESA'!P111</f>
        <v xml:space="preserve">0,00% </v>
      </c>
      <c r="M111" s="495">
        <f>L111+K111+J111/3</f>
        <v>0</v>
      </c>
    </row>
    <row r="113" spans="3:13" s="492" customFormat="1" ht="15" customHeight="1" x14ac:dyDescent="0.25">
      <c r="C113" s="492" t="s">
        <v>2110</v>
      </c>
      <c r="I113" s="500" t="s">
        <v>6250</v>
      </c>
      <c r="J113" s="489" t="str">
        <f>'[1]CADASTRO BASE ORÇ. DESPESA'!L113</f>
        <v xml:space="preserve">0,00% </v>
      </c>
      <c r="K113" s="489" t="str">
        <f>'[1]CADASTRO BASE ORÇ. DESPESA'!N113</f>
        <v xml:space="preserve">0,00% </v>
      </c>
      <c r="L113" s="489" t="str">
        <f>'[1]CADASTRO BASE ORÇ. DESPESA'!P113</f>
        <v xml:space="preserve">0,00% </v>
      </c>
      <c r="M113" s="491">
        <f>L113+K113+J113/3</f>
        <v>0</v>
      </c>
    </row>
    <row r="114" spans="3:13" s="492" customFormat="1" ht="15" customHeight="1" x14ac:dyDescent="0.25">
      <c r="J114" s="591"/>
      <c r="K114" s="591"/>
      <c r="L114" s="591"/>
      <c r="M114" s="591"/>
    </row>
    <row r="115" spans="3:13" ht="15" customHeight="1" x14ac:dyDescent="0.2">
      <c r="C115" s="483" t="s">
        <v>6459</v>
      </c>
      <c r="I115" s="506" t="s">
        <v>6250</v>
      </c>
      <c r="J115" s="512" t="str">
        <f>'[1]CADASTRO BASE ORÇ. DESPESA'!L115</f>
        <v xml:space="preserve">0,00% </v>
      </c>
      <c r="K115" s="512" t="str">
        <f>'[1]CADASTRO BASE ORÇ. DESPESA'!N115</f>
        <v xml:space="preserve">0,00% </v>
      </c>
      <c r="L115" s="512" t="str">
        <f>'[1]CADASTRO BASE ORÇ. DESPESA'!P115</f>
        <v xml:space="preserve">0,00% </v>
      </c>
      <c r="M115" s="495">
        <f>L115+K115+J115/3</f>
        <v>0</v>
      </c>
    </row>
    <row r="116" spans="3:13" s="492" customFormat="1" ht="15" customHeight="1" x14ac:dyDescent="0.25">
      <c r="J116" s="493"/>
      <c r="K116" s="493"/>
      <c r="L116" s="493"/>
      <c r="M116" s="493"/>
    </row>
    <row r="117" spans="3:13" s="492" customFormat="1" ht="15" customHeight="1" x14ac:dyDescent="0.25">
      <c r="C117" s="492" t="s">
        <v>2111</v>
      </c>
      <c r="I117" s="500" t="s">
        <v>2108</v>
      </c>
      <c r="J117" s="489" t="str">
        <f>'[1]CADASTRO BASE ORÇ. DESPESA'!L117</f>
        <v xml:space="preserve">0,00% </v>
      </c>
      <c r="K117" s="489" t="str">
        <f>'[1]CADASTRO BASE ORÇ. DESPESA'!N117</f>
        <v xml:space="preserve">0,00% </v>
      </c>
      <c r="L117" s="489" t="str">
        <f>'[1]CADASTRO BASE ORÇ. DESPESA'!P117</f>
        <v xml:space="preserve">0,00% </v>
      </c>
      <c r="M117" s="491">
        <f>L117+K117+J117/3</f>
        <v>0</v>
      </c>
    </row>
    <row r="118" spans="3:13" s="492" customFormat="1" ht="15" customHeight="1" x14ac:dyDescent="0.25">
      <c r="J118" s="591"/>
      <c r="K118" s="591"/>
      <c r="L118" s="591"/>
      <c r="M118" s="591"/>
    </row>
    <row r="119" spans="3:13" s="492" customFormat="1" ht="15" customHeight="1" x14ac:dyDescent="0.25">
      <c r="C119" s="492" t="s">
        <v>6437</v>
      </c>
      <c r="I119" s="500" t="s">
        <v>6438</v>
      </c>
      <c r="J119" s="489">
        <f>'[1]CADASTRO BASE ORÇ. DESPESA'!L119</f>
        <v>0.22731829879813217</v>
      </c>
      <c r="K119" s="489">
        <f>'[1]CADASTRO BASE ORÇ. DESPESA'!N119</f>
        <v>0.23364283215030118</v>
      </c>
      <c r="L119" s="489">
        <f>'[1]CADASTRO BASE ORÇ. DESPESA'!P119</f>
        <v>-0.30487459627457181</v>
      </c>
      <c r="M119" s="491">
        <f>L119+K119+J119/3</f>
        <v>4.5410021417734286E-3</v>
      </c>
    </row>
    <row r="121" spans="3:13" ht="15" customHeight="1" x14ac:dyDescent="0.2">
      <c r="C121" s="483" t="s">
        <v>6439</v>
      </c>
      <c r="I121" s="506" t="s">
        <v>6440</v>
      </c>
      <c r="J121" s="512" t="str">
        <f>'[1]CADASTRO BASE ORÇ. DESPESA'!L121</f>
        <v xml:space="preserve">0,00% </v>
      </c>
      <c r="K121" s="512" t="str">
        <f>'[1]CADASTRO BASE ORÇ. DESPESA'!N121</f>
        <v xml:space="preserve">0,00% </v>
      </c>
      <c r="L121" s="512" t="str">
        <f>'[1]CADASTRO BASE ORÇ. DESPESA'!P121</f>
        <v xml:space="preserve">0,00% </v>
      </c>
      <c r="M121" s="495">
        <f>L121+K121+J121/3</f>
        <v>0</v>
      </c>
    </row>
    <row r="122" spans="3:13" s="492" customFormat="1" ht="15" customHeight="1" x14ac:dyDescent="0.25">
      <c r="J122" s="591"/>
      <c r="K122" s="591"/>
      <c r="L122" s="591"/>
      <c r="M122" s="591"/>
    </row>
    <row r="123" spans="3:13" s="492" customFormat="1" ht="15" customHeight="1" x14ac:dyDescent="0.25">
      <c r="C123" s="492" t="s">
        <v>6240</v>
      </c>
      <c r="I123" s="500" t="s">
        <v>1046</v>
      </c>
      <c r="J123" s="489" t="str">
        <f>'[1]CADASTRO BASE ORÇ. DESPESA'!L123</f>
        <v xml:space="preserve">0,00% </v>
      </c>
      <c r="K123" s="489" t="str">
        <f>'[1]CADASTRO BASE ORÇ. DESPESA'!N123</f>
        <v xml:space="preserve">0,00% </v>
      </c>
      <c r="L123" s="489" t="str">
        <f>'[1]CADASTRO BASE ORÇ. DESPESA'!P123</f>
        <v xml:space="preserve">0,00% </v>
      </c>
      <c r="M123" s="491">
        <f>L123+K123+J123/3</f>
        <v>0</v>
      </c>
    </row>
    <row r="125" spans="3:13" ht="15" customHeight="1" x14ac:dyDescent="0.2">
      <c r="C125" s="483" t="s">
        <v>6360</v>
      </c>
      <c r="I125" s="506" t="s">
        <v>5050</v>
      </c>
      <c r="J125" s="512">
        <f>'[1]CADASTRO BASE ORÇ. DESPESA'!L125</f>
        <v>-2.3297796526278738E-2</v>
      </c>
      <c r="K125" s="512">
        <f>'[1]CADASTRO BASE ORÇ. DESPESA'!N125</f>
        <v>0.22192517641644507</v>
      </c>
      <c r="L125" s="512">
        <f>'[1]CADASTRO BASE ORÇ. DESPESA'!P125</f>
        <v>-0.2852234382733671</v>
      </c>
      <c r="M125" s="495">
        <f>L125+K125+J125/3</f>
        <v>-7.1064194032348274E-2</v>
      </c>
    </row>
    <row r="127" spans="3:13" ht="15" customHeight="1" x14ac:dyDescent="0.2">
      <c r="C127" s="483" t="s">
        <v>6361</v>
      </c>
      <c r="I127" s="506" t="s">
        <v>5054</v>
      </c>
      <c r="J127" s="512">
        <f>'[1]CADASTRO BASE ORÇ. DESPESA'!L127</f>
        <v>-2.3297796526278738E-2</v>
      </c>
      <c r="K127" s="512">
        <f>'[1]CADASTRO BASE ORÇ. DESPESA'!N127</f>
        <v>0.22192517641644507</v>
      </c>
      <c r="L127" s="512">
        <f>'[1]CADASTRO BASE ORÇ. DESPESA'!P127</f>
        <v>-0.2852234382733671</v>
      </c>
      <c r="M127" s="495">
        <f>L127+K127+J127/3</f>
        <v>-7.1064194032348274E-2</v>
      </c>
    </row>
    <row r="129" spans="3:13" s="492" customFormat="1" ht="15" customHeight="1" x14ac:dyDescent="0.25">
      <c r="C129" s="492" t="s">
        <v>6241</v>
      </c>
      <c r="I129" s="500" t="s">
        <v>996</v>
      </c>
      <c r="J129" s="489" t="str">
        <f>'[1]CADASTRO BASE ORÇ. DESPESA'!L129</f>
        <v xml:space="preserve">0,00% </v>
      </c>
      <c r="K129" s="489" t="str">
        <f>'[1]CADASTRO BASE ORÇ. DESPESA'!N129</f>
        <v xml:space="preserve">0,00% </v>
      </c>
      <c r="L129" s="489" t="str">
        <f>'[1]CADASTRO BASE ORÇ. DESPESA'!P129</f>
        <v xml:space="preserve">0,00% </v>
      </c>
      <c r="M129" s="491">
        <f>L129+K129+J129/3</f>
        <v>0</v>
      </c>
    </row>
    <row r="131" spans="3:13" ht="15" customHeight="1" x14ac:dyDescent="0.2">
      <c r="C131" s="483" t="s">
        <v>6362</v>
      </c>
      <c r="I131" s="506" t="s">
        <v>6363</v>
      </c>
      <c r="J131" s="512">
        <f>'[1]CADASTRO BASE ORÇ. DESPESA'!L131</f>
        <v>-0.29839882954295938</v>
      </c>
      <c r="K131" s="512">
        <f>'[1]CADASTRO BASE ORÇ. DESPESA'!N131</f>
        <v>0.28027263127579904</v>
      </c>
      <c r="L131" s="512">
        <f>'[1]CADASTRO BASE ORÇ. DESPESA'!P131</f>
        <v>-0.38941499719902872</v>
      </c>
      <c r="M131" s="495">
        <f>L131+K131+J131/3</f>
        <v>-0.20860864243754945</v>
      </c>
    </row>
    <row r="133" spans="3:13" ht="15" customHeight="1" x14ac:dyDescent="0.2">
      <c r="C133" s="483" t="s">
        <v>6364</v>
      </c>
      <c r="I133" s="506" t="s">
        <v>6365</v>
      </c>
      <c r="J133" s="512" t="str">
        <f>'[1]CADASTRO BASE ORÇ. DESPESA'!L133</f>
        <v xml:space="preserve">0,00% </v>
      </c>
      <c r="K133" s="512" t="str">
        <f>'[1]CADASTRO BASE ORÇ. DESPESA'!N133</f>
        <v xml:space="preserve">0,00% </v>
      </c>
      <c r="L133" s="512" t="str">
        <f>'[1]CADASTRO BASE ORÇ. DESPESA'!P133</f>
        <v xml:space="preserve">0,00% </v>
      </c>
      <c r="M133" s="495">
        <f>L133+K133+J133/3</f>
        <v>0</v>
      </c>
    </row>
    <row r="135" spans="3:13" ht="15" customHeight="1" x14ac:dyDescent="0.2">
      <c r="C135" s="483" t="s">
        <v>6302</v>
      </c>
      <c r="I135" s="506" t="s">
        <v>1090</v>
      </c>
      <c r="J135" s="512" t="str">
        <f>'[1]CADASTRO BASE ORÇ. DESPESA'!L135</f>
        <v xml:space="preserve">0,00% </v>
      </c>
      <c r="K135" s="512" t="str">
        <f>'[1]CADASTRO BASE ORÇ. DESPESA'!N135</f>
        <v xml:space="preserve">0,00% </v>
      </c>
      <c r="L135" s="512" t="str">
        <f>'[1]CADASTRO BASE ORÇ. DESPESA'!P135</f>
        <v xml:space="preserve">0,00% </v>
      </c>
      <c r="M135" s="495">
        <f>L135+K135+J135/3</f>
        <v>0</v>
      </c>
    </row>
    <row r="137" spans="3:13" ht="15" customHeight="1" x14ac:dyDescent="0.2">
      <c r="C137" s="483" t="s">
        <v>6278</v>
      </c>
      <c r="I137" s="506" t="s">
        <v>1161</v>
      </c>
      <c r="J137" s="512" t="str">
        <f>'[1]CADASTRO BASE ORÇ. DESPESA'!L137</f>
        <v xml:space="preserve">0,00% </v>
      </c>
      <c r="K137" s="512" t="str">
        <f>'[1]CADASTRO BASE ORÇ. DESPESA'!N137</f>
        <v xml:space="preserve">0,00% </v>
      </c>
      <c r="L137" s="512" t="str">
        <f>'[1]CADASTRO BASE ORÇ. DESPESA'!P137</f>
        <v xml:space="preserve">0,00% </v>
      </c>
      <c r="M137" s="495">
        <f>L137+K137+J137/3</f>
        <v>0</v>
      </c>
    </row>
    <row r="139" spans="3:13" ht="15" customHeight="1" x14ac:dyDescent="0.2">
      <c r="C139" s="483" t="s">
        <v>6320</v>
      </c>
      <c r="I139" s="506" t="s">
        <v>1105</v>
      </c>
      <c r="J139" s="512" t="str">
        <f>'[1]CADASTRO BASE ORÇ. DESPESA'!L139</f>
        <v xml:space="preserve">0,00% </v>
      </c>
      <c r="K139" s="512" t="str">
        <f>'[1]CADASTRO BASE ORÇ. DESPESA'!N139</f>
        <v xml:space="preserve">0,00% </v>
      </c>
      <c r="L139" s="512" t="str">
        <f>'[1]CADASTRO BASE ORÇ. DESPESA'!P139</f>
        <v xml:space="preserve">0,00% </v>
      </c>
      <c r="M139" s="495">
        <f>L139+K139+J139/3</f>
        <v>0</v>
      </c>
    </row>
    <row r="141" spans="3:13" ht="15" customHeight="1" x14ac:dyDescent="0.2">
      <c r="C141" s="483" t="s">
        <v>6442</v>
      </c>
      <c r="I141" s="506" t="s">
        <v>6443</v>
      </c>
      <c r="J141" s="512" t="str">
        <f>'[1]CADASTRO BASE ORÇ. DESPESA'!L141</f>
        <v xml:space="preserve">0,00% </v>
      </c>
      <c r="K141" s="512" t="str">
        <f>'[1]CADASTRO BASE ORÇ. DESPESA'!N141</f>
        <v xml:space="preserve">0,00% </v>
      </c>
      <c r="L141" s="512" t="str">
        <f>'[1]CADASTRO BASE ORÇ. DESPESA'!P141</f>
        <v xml:space="preserve">0,00% </v>
      </c>
      <c r="M141" s="495">
        <f>L141+K141+J141/3</f>
        <v>0</v>
      </c>
    </row>
    <row r="143" spans="3:13" ht="15" customHeight="1" x14ac:dyDescent="0.2">
      <c r="C143" s="483" t="s">
        <v>6303</v>
      </c>
      <c r="I143" s="506" t="s">
        <v>1016</v>
      </c>
      <c r="J143" s="512" t="str">
        <f>'[1]CADASTRO BASE ORÇ. DESPESA'!L143</f>
        <v xml:space="preserve">0,00% </v>
      </c>
      <c r="K143" s="512" t="str">
        <f>'[1]CADASTRO BASE ORÇ. DESPESA'!N143</f>
        <v xml:space="preserve">0,00% </v>
      </c>
      <c r="L143" s="512" t="str">
        <f>'[1]CADASTRO BASE ORÇ. DESPESA'!P143</f>
        <v xml:space="preserve">0,00% </v>
      </c>
      <c r="M143" s="495">
        <f>L143+K143+J143/3</f>
        <v>0</v>
      </c>
    </row>
    <row r="145" spans="3:13" ht="15" customHeight="1" x14ac:dyDescent="0.2">
      <c r="C145" s="483" t="s">
        <v>6296</v>
      </c>
      <c r="I145" s="506" t="s">
        <v>1003</v>
      </c>
      <c r="J145" s="512" t="str">
        <f>'[1]CADASTRO BASE ORÇ. DESPESA'!L145</f>
        <v xml:space="preserve">0,00% </v>
      </c>
      <c r="K145" s="512" t="str">
        <f>'[1]CADASTRO BASE ORÇ. DESPESA'!N145</f>
        <v xml:space="preserve">0,00% </v>
      </c>
      <c r="L145" s="512" t="str">
        <f>'[1]CADASTRO BASE ORÇ. DESPESA'!P145</f>
        <v xml:space="preserve">0,00% </v>
      </c>
      <c r="M145" s="495">
        <f>L145+K145+J145/3</f>
        <v>0</v>
      </c>
    </row>
    <row r="147" spans="3:13" ht="15" customHeight="1" x14ac:dyDescent="0.2">
      <c r="C147" s="483" t="s">
        <v>6279</v>
      </c>
      <c r="I147" s="506" t="s">
        <v>5106</v>
      </c>
      <c r="J147" s="512" t="str">
        <f>'[1]CADASTRO BASE ORÇ. DESPESA'!L147</f>
        <v xml:space="preserve">0,00% </v>
      </c>
      <c r="K147" s="512">
        <f>'[1]CADASTRO BASE ORÇ. DESPESA'!N147</f>
        <v>1</v>
      </c>
      <c r="L147" s="512" t="str">
        <f>'[1]CADASTRO BASE ORÇ. DESPESA'!P147</f>
        <v xml:space="preserve">0,00% </v>
      </c>
      <c r="M147" s="495">
        <f>L147+K147+J147/3</f>
        <v>1</v>
      </c>
    </row>
    <row r="149" spans="3:13" ht="15" customHeight="1" x14ac:dyDescent="0.2">
      <c r="C149" s="483" t="s">
        <v>6327</v>
      </c>
      <c r="I149" s="506" t="s">
        <v>6366</v>
      </c>
      <c r="J149" s="512" t="str">
        <f>'[1]CADASTRO BASE ORÇ. DESPESA'!L149</f>
        <v xml:space="preserve">0,00% </v>
      </c>
      <c r="K149" s="512" t="str">
        <f>'[1]CADASTRO BASE ORÇ. DESPESA'!N149</f>
        <v xml:space="preserve">0,00% </v>
      </c>
      <c r="L149" s="512" t="str">
        <f>'[1]CADASTRO BASE ORÇ. DESPESA'!P149</f>
        <v xml:space="preserve">0,00% </v>
      </c>
      <c r="M149" s="495">
        <f>L149+K149+J149/3</f>
        <v>0</v>
      </c>
    </row>
    <row r="151" spans="3:13" ht="15" customHeight="1" x14ac:dyDescent="0.2">
      <c r="C151" s="483" t="s">
        <v>6321</v>
      </c>
      <c r="I151" s="506" t="s">
        <v>5111</v>
      </c>
      <c r="J151" s="512" t="str">
        <f>'[1]CADASTRO BASE ORÇ. DESPESA'!L151</f>
        <v xml:space="preserve">0,00% </v>
      </c>
      <c r="K151" s="512" t="str">
        <f>'[1]CADASTRO BASE ORÇ. DESPESA'!N151</f>
        <v xml:space="preserve">0,00% </v>
      </c>
      <c r="L151" s="512" t="str">
        <f>'[1]CADASTRO BASE ORÇ. DESPESA'!P151</f>
        <v xml:space="preserve">0,00% </v>
      </c>
      <c r="M151" s="495">
        <f>L151+K151+J151/3</f>
        <v>0</v>
      </c>
    </row>
    <row r="153" spans="3:13" ht="15" customHeight="1" x14ac:dyDescent="0.2">
      <c r="C153" s="483" t="s">
        <v>6367</v>
      </c>
      <c r="I153" s="506" t="s">
        <v>1002</v>
      </c>
      <c r="J153" s="512" t="str">
        <f>'[1]CADASTRO BASE ORÇ. DESPESA'!L153</f>
        <v xml:space="preserve">0,00% </v>
      </c>
      <c r="K153" s="512" t="str">
        <f>'[1]CADASTRO BASE ORÇ. DESPESA'!N153</f>
        <v xml:space="preserve">0,00% </v>
      </c>
      <c r="L153" s="512" t="str">
        <f>'[1]CADASTRO BASE ORÇ. DESPESA'!P153</f>
        <v xml:space="preserve">0,00% </v>
      </c>
      <c r="M153" s="495">
        <f>L153+K153+J153/3</f>
        <v>0</v>
      </c>
    </row>
    <row r="155" spans="3:13" ht="15" customHeight="1" x14ac:dyDescent="0.2">
      <c r="C155" s="483" t="s">
        <v>6368</v>
      </c>
      <c r="I155" s="506" t="s">
        <v>6369</v>
      </c>
      <c r="J155" s="512">
        <f>'[1]CADASTRO BASE ORÇ. DESPESA'!L155</f>
        <v>1</v>
      </c>
      <c r="K155" s="512">
        <f>'[1]CADASTRO BASE ORÇ. DESPESA'!N155</f>
        <v>0.84414773545939192</v>
      </c>
      <c r="L155" s="512">
        <f>'[1]CADASTRO BASE ORÇ. DESPESA'!P155</f>
        <v>-5.4163328197226495</v>
      </c>
      <c r="M155" s="495">
        <f>L155+K155+J155/3</f>
        <v>-4.2388517509299248</v>
      </c>
    </row>
    <row r="157" spans="3:13" ht="15" customHeight="1" x14ac:dyDescent="0.2">
      <c r="C157" s="483" t="s">
        <v>6370</v>
      </c>
      <c r="I157" s="506" t="s">
        <v>1015</v>
      </c>
      <c r="J157" s="512">
        <f>'[1]CADASTRO BASE ORÇ. DESPESA'!L157</f>
        <v>1</v>
      </c>
      <c r="K157" s="512">
        <f>'[1]CADASTRO BASE ORÇ. DESPESA'!N157</f>
        <v>0.85296112422343406</v>
      </c>
      <c r="L157" s="512">
        <f>'[1]CADASTRO BASE ORÇ. DESPESA'!P157</f>
        <v>-5.8009225092250922</v>
      </c>
      <c r="M157" s="495">
        <f>L157+K157+J157/3</f>
        <v>-4.6146280516683253</v>
      </c>
    </row>
    <row r="159" spans="3:13" ht="15" customHeight="1" x14ac:dyDescent="0.2">
      <c r="C159" s="483" t="s">
        <v>6297</v>
      </c>
      <c r="I159" s="506" t="s">
        <v>6371</v>
      </c>
      <c r="J159" s="512" t="str">
        <f>'[1]CADASTRO BASE ORÇ. DESPESA'!L159</f>
        <v xml:space="preserve">0,00% </v>
      </c>
      <c r="K159" s="512" t="str">
        <f>'[1]CADASTRO BASE ORÇ. DESPESA'!N159</f>
        <v xml:space="preserve">0,00% </v>
      </c>
      <c r="L159" s="512" t="str">
        <f>'[1]CADASTRO BASE ORÇ. DESPESA'!P159</f>
        <v xml:space="preserve">0,00% </v>
      </c>
      <c r="M159" s="495">
        <f>L159+K159+J159/3</f>
        <v>0</v>
      </c>
    </row>
    <row r="160" spans="3:13" ht="15" customHeight="1" x14ac:dyDescent="0.25">
      <c r="I160" s="506"/>
    </row>
    <row r="161" spans="3:13" ht="15" customHeight="1" x14ac:dyDescent="0.2">
      <c r="C161" s="483" t="s">
        <v>6372</v>
      </c>
      <c r="I161" s="506" t="s">
        <v>6373</v>
      </c>
      <c r="J161" s="512" t="str">
        <f>'[1]CADASTRO BASE ORÇ. DESPESA'!L161</f>
        <v xml:space="preserve">0,00% </v>
      </c>
      <c r="K161" s="512">
        <f>'[1]CADASTRO BASE ORÇ. DESPESA'!N161</f>
        <v>1</v>
      </c>
      <c r="L161" s="512" t="str">
        <f>'[1]CADASTRO BASE ORÇ. DESPESA'!P161</f>
        <v xml:space="preserve">0,00% </v>
      </c>
      <c r="M161" s="495">
        <f>L161+K161+J161/3</f>
        <v>1</v>
      </c>
    </row>
    <row r="163" spans="3:13" ht="15" customHeight="1" x14ac:dyDescent="0.2">
      <c r="C163" s="483" t="s">
        <v>6374</v>
      </c>
      <c r="I163" s="506" t="s">
        <v>1045</v>
      </c>
      <c r="J163" s="512" t="str">
        <f>'[1]CADASTRO BASE ORÇ. DESPESA'!L163</f>
        <v xml:space="preserve">0,00% </v>
      </c>
      <c r="K163" s="512" t="str">
        <f>'[1]CADASTRO BASE ORÇ. DESPESA'!N163</f>
        <v xml:space="preserve">0,00% </v>
      </c>
      <c r="L163" s="512" t="str">
        <f>'[1]CADASTRO BASE ORÇ. DESPESA'!P163</f>
        <v xml:space="preserve">0,00% </v>
      </c>
      <c r="M163" s="495">
        <f>L163+K163+J163/3</f>
        <v>0</v>
      </c>
    </row>
    <row r="165" spans="3:13" ht="15" customHeight="1" x14ac:dyDescent="0.2">
      <c r="C165" s="483" t="s">
        <v>6309</v>
      </c>
      <c r="I165" s="506" t="s">
        <v>5126</v>
      </c>
      <c r="J165" s="512" t="str">
        <f>'[1]CADASTRO BASE ORÇ. DESPESA'!L165</f>
        <v xml:space="preserve">0,00% </v>
      </c>
      <c r="K165" s="512" t="str">
        <f>'[1]CADASTRO BASE ORÇ. DESPESA'!N165</f>
        <v xml:space="preserve">0,00% </v>
      </c>
      <c r="L165" s="512" t="str">
        <f>'[1]CADASTRO BASE ORÇ. DESPESA'!P165</f>
        <v xml:space="preserve">0,00% </v>
      </c>
      <c r="M165" s="495">
        <f>L165+K165+J165/3</f>
        <v>0</v>
      </c>
    </row>
    <row r="167" spans="3:13" ht="15" customHeight="1" x14ac:dyDescent="0.2">
      <c r="C167" s="483" t="s">
        <v>6375</v>
      </c>
      <c r="I167" s="506" t="s">
        <v>1197</v>
      </c>
      <c r="J167" s="512" t="str">
        <f>'[1]CADASTRO BASE ORÇ. DESPESA'!L167</f>
        <v xml:space="preserve">0,00% </v>
      </c>
      <c r="K167" s="512" t="str">
        <f>'[1]CADASTRO BASE ORÇ. DESPESA'!N167</f>
        <v xml:space="preserve">0,00% </v>
      </c>
      <c r="L167" s="512" t="str">
        <f>'[1]CADASTRO BASE ORÇ. DESPESA'!P167</f>
        <v xml:space="preserve">0,00% </v>
      </c>
      <c r="M167" s="495">
        <f>L167+K167+J167/3</f>
        <v>0</v>
      </c>
    </row>
    <row r="169" spans="3:13" ht="15" customHeight="1" x14ac:dyDescent="0.2">
      <c r="C169" s="483" t="s">
        <v>6328</v>
      </c>
      <c r="I169" s="506" t="s">
        <v>1108</v>
      </c>
      <c r="J169" s="512" t="str">
        <f>'[1]CADASTRO BASE ORÇ. DESPESA'!L169</f>
        <v xml:space="preserve">0,00% </v>
      </c>
      <c r="K169" s="512" t="str">
        <f>'[1]CADASTRO BASE ORÇ. DESPESA'!N169</f>
        <v xml:space="preserve">0,00% </v>
      </c>
      <c r="L169" s="512" t="str">
        <f>'[1]CADASTRO BASE ORÇ. DESPESA'!P169</f>
        <v xml:space="preserve">0,00% </v>
      </c>
      <c r="M169" s="495">
        <f>L169+K169+J169/3</f>
        <v>0</v>
      </c>
    </row>
    <row r="171" spans="3:13" ht="15" customHeight="1" x14ac:dyDescent="0.2">
      <c r="C171" s="483" t="s">
        <v>6376</v>
      </c>
      <c r="I171" s="506" t="s">
        <v>6377</v>
      </c>
      <c r="J171" s="512" t="str">
        <f>'[1]CADASTRO BASE ORÇ. DESPESA'!L171</f>
        <v xml:space="preserve">0,00% </v>
      </c>
      <c r="K171" s="512" t="str">
        <f>'[1]CADASTRO BASE ORÇ. DESPESA'!N171</f>
        <v xml:space="preserve">0,00% </v>
      </c>
      <c r="L171" s="512" t="str">
        <f>'[1]CADASTRO BASE ORÇ. DESPESA'!P171</f>
        <v xml:space="preserve">0,00% </v>
      </c>
      <c r="M171" s="495">
        <f>L171+K171+J171/3</f>
        <v>0</v>
      </c>
    </row>
    <row r="173" spans="3:13" ht="15" customHeight="1" x14ac:dyDescent="0.2">
      <c r="C173" s="483" t="s">
        <v>6333</v>
      </c>
      <c r="I173" s="506" t="s">
        <v>1089</v>
      </c>
      <c r="J173" s="512" t="str">
        <f>'[1]CADASTRO BASE ORÇ. DESPESA'!L173</f>
        <v xml:space="preserve">0,00% </v>
      </c>
      <c r="K173" s="512" t="str">
        <f>'[1]CADASTRO BASE ORÇ. DESPESA'!N173</f>
        <v xml:space="preserve">0,00% </v>
      </c>
      <c r="L173" s="512" t="str">
        <f>'[1]CADASTRO BASE ORÇ. DESPESA'!P173</f>
        <v xml:space="preserve">0,00% </v>
      </c>
      <c r="M173" s="495">
        <f>L173+K173+J173/3</f>
        <v>0</v>
      </c>
    </row>
    <row r="175" spans="3:13" ht="15" customHeight="1" x14ac:dyDescent="0.2">
      <c r="C175" s="483" t="s">
        <v>6311</v>
      </c>
      <c r="I175" s="506" t="s">
        <v>1201</v>
      </c>
      <c r="J175" s="512" t="str">
        <f>'[1]CADASTRO BASE ORÇ. DESPESA'!L175</f>
        <v xml:space="preserve">0,00% </v>
      </c>
      <c r="K175" s="512" t="str">
        <f>'[1]CADASTRO BASE ORÇ. DESPESA'!N175</f>
        <v xml:space="preserve">0,00% </v>
      </c>
      <c r="L175" s="512" t="str">
        <f>'[1]CADASTRO BASE ORÇ. DESPESA'!P175</f>
        <v xml:space="preserve">0,00% </v>
      </c>
      <c r="M175" s="495">
        <f>L175+K175+J175/3</f>
        <v>0</v>
      </c>
    </row>
    <row r="177" spans="3:13" ht="15" customHeight="1" x14ac:dyDescent="0.2">
      <c r="C177" s="483" t="s">
        <v>6378</v>
      </c>
      <c r="I177" s="506" t="s">
        <v>5149</v>
      </c>
      <c r="J177" s="512" t="str">
        <f>'[1]CADASTRO BASE ORÇ. DESPESA'!L177</f>
        <v xml:space="preserve">0,00% </v>
      </c>
      <c r="K177" s="512" t="str">
        <f>'[1]CADASTRO BASE ORÇ. DESPESA'!N177</f>
        <v xml:space="preserve">0,00% </v>
      </c>
      <c r="L177" s="512" t="str">
        <f>'[1]CADASTRO BASE ORÇ. DESPESA'!P177</f>
        <v xml:space="preserve">0,00% </v>
      </c>
      <c r="M177" s="495">
        <f>L177+K177+J177/3</f>
        <v>0</v>
      </c>
    </row>
    <row r="179" spans="3:13" ht="15" customHeight="1" x14ac:dyDescent="0.2">
      <c r="C179" s="483" t="s">
        <v>6444</v>
      </c>
      <c r="I179" s="506" t="s">
        <v>6445</v>
      </c>
      <c r="J179" s="512" t="str">
        <f>'[1]CADASTRO BASE ORÇ. DESPESA'!L179</f>
        <v xml:space="preserve">0,00% </v>
      </c>
      <c r="K179" s="512" t="str">
        <f>'[1]CADASTRO BASE ORÇ. DESPESA'!N179</f>
        <v xml:space="preserve">0,00% </v>
      </c>
      <c r="L179" s="512" t="str">
        <f>'[1]CADASTRO BASE ORÇ. DESPESA'!P179</f>
        <v xml:space="preserve">0,00% </v>
      </c>
      <c r="M179" s="495">
        <f>L179+K179+J179/3</f>
        <v>0</v>
      </c>
    </row>
    <row r="181" spans="3:13" ht="15" customHeight="1" x14ac:dyDescent="0.2">
      <c r="C181" s="483" t="s">
        <v>6280</v>
      </c>
      <c r="I181" s="506" t="s">
        <v>4202</v>
      </c>
      <c r="J181" s="512" t="str">
        <f>'[1]CADASTRO BASE ORÇ. DESPESA'!L181</f>
        <v xml:space="preserve">0,00% </v>
      </c>
      <c r="K181" s="512" t="str">
        <f>'[1]CADASTRO BASE ORÇ. DESPESA'!N181</f>
        <v xml:space="preserve">0,00% </v>
      </c>
      <c r="L181" s="512" t="str">
        <f>'[1]CADASTRO BASE ORÇ. DESPESA'!P181</f>
        <v xml:space="preserve">0,00% </v>
      </c>
      <c r="M181" s="495">
        <f>L181+K181+J181/3</f>
        <v>0</v>
      </c>
    </row>
    <row r="183" spans="3:13" s="492" customFormat="1" ht="15" customHeight="1" x14ac:dyDescent="0.25">
      <c r="C183" s="492" t="s">
        <v>6257</v>
      </c>
      <c r="I183" s="500" t="s">
        <v>1153</v>
      </c>
      <c r="J183" s="489">
        <f>'[1]CADASTRO BASE ORÇ. DESPESA'!L183</f>
        <v>-0.36838622336215349</v>
      </c>
      <c r="K183" s="489">
        <f>'[1]CADASTRO BASE ORÇ. DESPESA'!N183</f>
        <v>-7.6109124767225333</v>
      </c>
      <c r="L183" s="489">
        <f>'[1]CADASTRO BASE ORÇ. DESPESA'!P183</f>
        <v>0.88386828890628588</v>
      </c>
      <c r="M183" s="491">
        <f>L183+K183+J183/3</f>
        <v>-6.8498395956036315</v>
      </c>
    </row>
    <row r="185" spans="3:13" ht="15" customHeight="1" x14ac:dyDescent="0.2">
      <c r="C185" s="483" t="s">
        <v>6314</v>
      </c>
      <c r="I185" s="506" t="s">
        <v>1152</v>
      </c>
      <c r="J185" s="512" t="str">
        <f>'[1]CADASTRO BASE ORÇ. DESPESA'!L185</f>
        <v xml:space="preserve">0,00% </v>
      </c>
      <c r="K185" s="512" t="str">
        <f>'[1]CADASTRO BASE ORÇ. DESPESA'!N185</f>
        <v xml:space="preserve">0,00% </v>
      </c>
      <c r="L185" s="512" t="str">
        <f>'[1]CADASTRO BASE ORÇ. DESPESA'!P185</f>
        <v xml:space="preserve">0,00% </v>
      </c>
      <c r="M185" s="495">
        <f>L185+K185+J185/3</f>
        <v>0</v>
      </c>
    </row>
    <row r="187" spans="3:13" ht="15" customHeight="1" x14ac:dyDescent="0.2">
      <c r="C187" s="483" t="s">
        <v>6312</v>
      </c>
      <c r="I187" s="506" t="s">
        <v>1258</v>
      </c>
      <c r="J187" s="512" t="str">
        <f>'[1]CADASTRO BASE ORÇ. DESPESA'!L187</f>
        <v xml:space="preserve">0,00% </v>
      </c>
      <c r="K187" s="512" t="str">
        <f>'[1]CADASTRO BASE ORÇ. DESPESA'!N187</f>
        <v xml:space="preserve">0,00% </v>
      </c>
      <c r="L187" s="512" t="str">
        <f>'[1]CADASTRO BASE ORÇ. DESPESA'!P187</f>
        <v xml:space="preserve">0,00% </v>
      </c>
      <c r="M187" s="495">
        <f>L187+K187+J187/3</f>
        <v>0</v>
      </c>
    </row>
    <row r="189" spans="3:13" s="492" customFormat="1" ht="15" customHeight="1" x14ac:dyDescent="0.25">
      <c r="C189" s="492" t="s">
        <v>6242</v>
      </c>
      <c r="I189" s="500" t="s">
        <v>1021</v>
      </c>
      <c r="J189" s="489" t="str">
        <f>'[1]CADASTRO BASE ORÇ. DESPESA'!L189</f>
        <v xml:space="preserve">0,00% </v>
      </c>
      <c r="K189" s="489" t="str">
        <f>'[1]CADASTRO BASE ORÇ. DESPESA'!N189</f>
        <v xml:space="preserve">0,00% </v>
      </c>
      <c r="L189" s="489" t="str">
        <f>'[1]CADASTRO BASE ORÇ. DESPESA'!P189</f>
        <v xml:space="preserve">0,00% </v>
      </c>
      <c r="M189" s="491">
        <f>L189+K189+J189/3</f>
        <v>0</v>
      </c>
    </row>
    <row r="191" spans="3:13" ht="15" customHeight="1" x14ac:dyDescent="0.2">
      <c r="C191" s="483" t="s">
        <v>6338</v>
      </c>
      <c r="I191" s="506" t="s">
        <v>1001</v>
      </c>
      <c r="J191" s="512" t="str">
        <f>'[1]CADASTRO BASE ORÇ. DESPESA'!L191</f>
        <v xml:space="preserve">0,00% </v>
      </c>
      <c r="K191" s="512" t="str">
        <f>'[1]CADASTRO BASE ORÇ. DESPESA'!N191</f>
        <v xml:space="preserve">0,00% </v>
      </c>
      <c r="L191" s="512" t="str">
        <f>'[1]CADASTRO BASE ORÇ. DESPESA'!P191</f>
        <v xml:space="preserve">0,00% </v>
      </c>
      <c r="M191" s="495">
        <f>L191+K191+J191/3</f>
        <v>0</v>
      </c>
    </row>
    <row r="193" spans="3:13" ht="15" customHeight="1" x14ac:dyDescent="0.2">
      <c r="C193" s="483" t="s">
        <v>6379</v>
      </c>
      <c r="I193" s="506" t="s">
        <v>5159</v>
      </c>
      <c r="J193" s="512" t="str">
        <f>'[1]CADASTRO BASE ORÇ. DESPESA'!L193</f>
        <v xml:space="preserve">0,00% </v>
      </c>
      <c r="K193" s="512" t="str">
        <f>'[1]CADASTRO BASE ORÇ. DESPESA'!N193</f>
        <v xml:space="preserve">0,00% </v>
      </c>
      <c r="L193" s="512" t="str">
        <f>'[1]CADASTRO BASE ORÇ. DESPESA'!P193</f>
        <v xml:space="preserve">0,00% </v>
      </c>
      <c r="M193" s="495">
        <f>L193+K193+J193/3</f>
        <v>0</v>
      </c>
    </row>
    <row r="195" spans="3:13" ht="15" customHeight="1" x14ac:dyDescent="0.2">
      <c r="C195" s="483" t="s">
        <v>6380</v>
      </c>
      <c r="I195" s="506" t="s">
        <v>1261</v>
      </c>
      <c r="J195" s="512" t="str">
        <f>'[1]CADASTRO BASE ORÇ. DESPESA'!L195</f>
        <v xml:space="preserve">0,00% </v>
      </c>
      <c r="K195" s="512" t="str">
        <f>'[1]CADASTRO BASE ORÇ. DESPESA'!N195</f>
        <v xml:space="preserve">0,00% </v>
      </c>
      <c r="L195" s="512" t="str">
        <f>'[1]CADASTRO BASE ORÇ. DESPESA'!P195</f>
        <v xml:space="preserve">0,00% </v>
      </c>
      <c r="M195" s="495">
        <f>L195+K195+J195/3</f>
        <v>0</v>
      </c>
    </row>
    <row r="197" spans="3:13" ht="15" customHeight="1" x14ac:dyDescent="0.2">
      <c r="C197" s="483" t="s">
        <v>6381</v>
      </c>
      <c r="I197" s="506" t="s">
        <v>2203</v>
      </c>
      <c r="J197" s="512" t="str">
        <f>'[1]CADASTRO BASE ORÇ. DESPESA'!L197</f>
        <v xml:space="preserve">0,00% </v>
      </c>
      <c r="K197" s="512" t="str">
        <f>'[1]CADASTRO BASE ORÇ. DESPESA'!N197</f>
        <v xml:space="preserve">0,00% </v>
      </c>
      <c r="L197" s="512" t="str">
        <f>'[1]CADASTRO BASE ORÇ. DESPESA'!P197</f>
        <v xml:space="preserve">0,00% </v>
      </c>
      <c r="M197" s="495">
        <f>L197+K197+J197/3</f>
        <v>0</v>
      </c>
    </row>
    <row r="199" spans="3:13" ht="15" customHeight="1" x14ac:dyDescent="0.2">
      <c r="C199" s="483" t="s">
        <v>6329</v>
      </c>
      <c r="I199" s="506" t="s">
        <v>5168</v>
      </c>
      <c r="J199" s="512" t="str">
        <f>'[1]CADASTRO BASE ORÇ. DESPESA'!L199</f>
        <v xml:space="preserve">0,00% </v>
      </c>
      <c r="K199" s="512" t="str">
        <f>'[1]CADASTRO BASE ORÇ. DESPESA'!N199</f>
        <v xml:space="preserve">0,00% </v>
      </c>
      <c r="L199" s="512" t="str">
        <f>'[1]CADASTRO BASE ORÇ. DESPESA'!P199</f>
        <v xml:space="preserve">0,00% </v>
      </c>
      <c r="M199" s="495">
        <f>L199+K199+J199/3</f>
        <v>0</v>
      </c>
    </row>
    <row r="201" spans="3:13" s="492" customFormat="1" ht="15" customHeight="1" x14ac:dyDescent="0.25">
      <c r="C201" s="492" t="s">
        <v>6243</v>
      </c>
      <c r="I201" s="500" t="s">
        <v>1044</v>
      </c>
      <c r="J201" s="489" t="str">
        <f>'[1]CADASTRO BASE ORÇ. DESPESA'!L201</f>
        <v xml:space="preserve">0,00% </v>
      </c>
      <c r="K201" s="489" t="str">
        <f>'[1]CADASTRO BASE ORÇ. DESPESA'!N201</f>
        <v xml:space="preserve">0,00% </v>
      </c>
      <c r="L201" s="489" t="str">
        <f>'[1]CADASTRO BASE ORÇ. DESPESA'!P201</f>
        <v xml:space="preserve">0,00% </v>
      </c>
      <c r="M201" s="491">
        <f>L201+K201+J201/3</f>
        <v>0</v>
      </c>
    </row>
    <row r="203" spans="3:13" ht="15" customHeight="1" x14ac:dyDescent="0.2">
      <c r="C203" s="483" t="s">
        <v>6306</v>
      </c>
      <c r="I203" s="506" t="s">
        <v>5170</v>
      </c>
      <c r="J203" s="512" t="str">
        <f>'[1]CADASTRO BASE ORÇ. DESPESA'!L203</f>
        <v xml:space="preserve">0,00% </v>
      </c>
      <c r="K203" s="512">
        <f>'[1]CADASTRO BASE ORÇ. DESPESA'!N203</f>
        <v>1</v>
      </c>
      <c r="L203" s="512" t="str">
        <f>'[1]CADASTRO BASE ORÇ. DESPESA'!P203</f>
        <v xml:space="preserve">0,00% </v>
      </c>
      <c r="M203" s="495">
        <f>L203+K203+J203/3</f>
        <v>1</v>
      </c>
    </row>
    <row r="205" spans="3:13" ht="15" customHeight="1" x14ac:dyDescent="0.2">
      <c r="C205" s="483" t="s">
        <v>6382</v>
      </c>
      <c r="I205" s="506" t="s">
        <v>1043</v>
      </c>
      <c r="J205" s="512" t="str">
        <f>'[1]CADASTRO BASE ORÇ. DESPESA'!L205</f>
        <v xml:space="preserve">0,00% </v>
      </c>
      <c r="K205" s="512" t="str">
        <f>'[1]CADASTRO BASE ORÇ. DESPESA'!N205</f>
        <v xml:space="preserve">0,00% </v>
      </c>
      <c r="L205" s="512" t="str">
        <f>'[1]CADASTRO BASE ORÇ. DESPESA'!P205</f>
        <v xml:space="preserve">0,00% </v>
      </c>
      <c r="M205" s="495">
        <f>L205+K205+J205/3</f>
        <v>0</v>
      </c>
    </row>
    <row r="207" spans="3:13" ht="15" customHeight="1" x14ac:dyDescent="0.2">
      <c r="C207" s="483" t="s">
        <v>6383</v>
      </c>
      <c r="I207" s="506" t="s">
        <v>5175</v>
      </c>
      <c r="J207" s="512" t="str">
        <f>'[1]CADASTRO BASE ORÇ. DESPESA'!L207</f>
        <v xml:space="preserve">0,00% </v>
      </c>
      <c r="K207" s="512" t="str">
        <f>'[1]CADASTRO BASE ORÇ. DESPESA'!N207</f>
        <v xml:space="preserve">0,00% </v>
      </c>
      <c r="L207" s="512" t="str">
        <f>'[1]CADASTRO BASE ORÇ. DESPESA'!P207</f>
        <v xml:space="preserve">0,00% </v>
      </c>
      <c r="M207" s="495">
        <f>L207+K207+J207/3</f>
        <v>0</v>
      </c>
    </row>
    <row r="209" spans="3:13" s="492" customFormat="1" ht="15" customHeight="1" x14ac:dyDescent="0.25">
      <c r="C209" s="492" t="s">
        <v>6254</v>
      </c>
      <c r="I209" s="500" t="s">
        <v>1260</v>
      </c>
      <c r="J209" s="489" t="str">
        <f>'[1]CADASTRO BASE ORÇ. DESPESA'!L209</f>
        <v xml:space="preserve">0,00% </v>
      </c>
      <c r="K209" s="489">
        <f>'[1]CADASTRO BASE ORÇ. DESPESA'!N209</f>
        <v>1</v>
      </c>
      <c r="L209" s="489" t="str">
        <f>'[1]CADASTRO BASE ORÇ. DESPESA'!P209</f>
        <v xml:space="preserve">0,00% </v>
      </c>
      <c r="M209" s="491">
        <f>L209+K209+J209/3</f>
        <v>1</v>
      </c>
    </row>
    <row r="211" spans="3:13" ht="15" customHeight="1" x14ac:dyDescent="0.2">
      <c r="C211" s="483" t="s">
        <v>6384</v>
      </c>
      <c r="I211" s="506" t="s">
        <v>1259</v>
      </c>
      <c r="J211" s="512" t="str">
        <f>'[1]CADASTRO BASE ORÇ. DESPESA'!L211</f>
        <v xml:space="preserve">0,00% </v>
      </c>
      <c r="K211" s="512" t="str">
        <f>'[1]CADASTRO BASE ORÇ. DESPESA'!N211</f>
        <v xml:space="preserve">0,00% </v>
      </c>
      <c r="L211" s="512" t="str">
        <f>'[1]CADASTRO BASE ORÇ. DESPESA'!P211</f>
        <v xml:space="preserve">0,00% </v>
      </c>
      <c r="M211" s="495">
        <f>L211+K211+J211/3</f>
        <v>0</v>
      </c>
    </row>
    <row r="213" spans="3:13" s="492" customFormat="1" ht="15" customHeight="1" x14ac:dyDescent="0.25">
      <c r="C213" s="492" t="s">
        <v>6244</v>
      </c>
      <c r="I213" s="500" t="s">
        <v>993</v>
      </c>
      <c r="J213" s="489" t="str">
        <f>'[1]CADASTRO BASE ORÇ. DESPESA'!L213</f>
        <v xml:space="preserve">0,00% </v>
      </c>
      <c r="K213" s="489" t="str">
        <f>'[1]CADASTRO BASE ORÇ. DESPESA'!N213</f>
        <v xml:space="preserve">0,00% </v>
      </c>
      <c r="L213" s="489" t="str">
        <f>'[1]CADASTRO BASE ORÇ. DESPESA'!P213</f>
        <v xml:space="preserve">0,00% </v>
      </c>
      <c r="M213" s="491">
        <f>L213+K213+J213/3</f>
        <v>0</v>
      </c>
    </row>
    <row r="215" spans="3:13" ht="15" customHeight="1" x14ac:dyDescent="0.2">
      <c r="C215" s="483" t="s">
        <v>6281</v>
      </c>
      <c r="I215" s="506" t="s">
        <v>1151</v>
      </c>
      <c r="J215" s="512">
        <f>'[1]CADASTRO BASE ORÇ. DESPESA'!L215</f>
        <v>9.4164456233421748E-2</v>
      </c>
      <c r="K215" s="512">
        <f>'[1]CADASTRO BASE ORÇ. DESPESA'!N215</f>
        <v>0.60704607046070458</v>
      </c>
      <c r="L215" s="512">
        <f>'[1]CADASTRO BASE ORÇ. DESPESA'!P215</f>
        <v>-1.5448275862068965</v>
      </c>
      <c r="M215" s="495">
        <f>L215+K215+J215/3</f>
        <v>-0.90639336366838474</v>
      </c>
    </row>
    <row r="217" spans="3:13" ht="15" customHeight="1" x14ac:dyDescent="0.2">
      <c r="C217" s="483" t="s">
        <v>6282</v>
      </c>
      <c r="I217" s="506" t="s">
        <v>1026</v>
      </c>
      <c r="J217" s="512" t="str">
        <f>'[1]CADASTRO BASE ORÇ. DESPESA'!L217</f>
        <v xml:space="preserve">0,00% </v>
      </c>
      <c r="K217" s="512" t="str">
        <f>'[1]CADASTRO BASE ORÇ. DESPESA'!N217</f>
        <v xml:space="preserve">0,00% </v>
      </c>
      <c r="L217" s="512" t="str">
        <f>'[1]CADASTRO BASE ORÇ. DESPESA'!P217</f>
        <v xml:space="preserve">0,00% </v>
      </c>
      <c r="M217" s="495">
        <f>L217+K217+J217/3</f>
        <v>0</v>
      </c>
    </row>
    <row r="218" spans="3:13" ht="15" customHeight="1" x14ac:dyDescent="0.25">
      <c r="I218" s="483" t="s">
        <v>903</v>
      </c>
    </row>
    <row r="219" spans="3:13" ht="15" customHeight="1" x14ac:dyDescent="0.2">
      <c r="C219" s="483" t="s">
        <v>6385</v>
      </c>
      <c r="I219" s="506" t="s">
        <v>5194</v>
      </c>
      <c r="J219" s="512" t="str">
        <f>'[1]CADASTRO BASE ORÇ. DESPESA'!L219</f>
        <v xml:space="preserve">0,00% </v>
      </c>
      <c r="K219" s="512" t="str">
        <f>'[1]CADASTRO BASE ORÇ. DESPESA'!N219</f>
        <v xml:space="preserve">0,00% </v>
      </c>
      <c r="L219" s="512" t="str">
        <f>'[1]CADASTRO BASE ORÇ. DESPESA'!P219</f>
        <v xml:space="preserve">0,00% </v>
      </c>
      <c r="M219" s="495">
        <f>L219+K219+J219/3</f>
        <v>0</v>
      </c>
    </row>
    <row r="221" spans="3:13" ht="15" customHeight="1" x14ac:dyDescent="0.2">
      <c r="C221" s="483" t="s">
        <v>6319</v>
      </c>
      <c r="I221" s="506" t="s">
        <v>6386</v>
      </c>
      <c r="J221" s="512" t="str">
        <f>'[1]CADASTRO BASE ORÇ. DESPESA'!L221</f>
        <v xml:space="preserve">0,00% </v>
      </c>
      <c r="K221" s="512" t="str">
        <f>'[1]CADASTRO BASE ORÇ. DESPESA'!N221</f>
        <v xml:space="preserve">0,00% </v>
      </c>
      <c r="L221" s="512" t="str">
        <f>'[1]CADASTRO BASE ORÇ. DESPESA'!P221</f>
        <v xml:space="preserve">0,00% </v>
      </c>
      <c r="M221" s="495">
        <f>L221+K221+J221/3</f>
        <v>0</v>
      </c>
    </row>
    <row r="223" spans="3:13" ht="15" customHeight="1" x14ac:dyDescent="0.2">
      <c r="C223" s="483" t="s">
        <v>6313</v>
      </c>
      <c r="I223" s="506" t="s">
        <v>5206</v>
      </c>
      <c r="J223" s="512" t="str">
        <f>'[1]CADASTRO BASE ORÇ. DESPESA'!L223</f>
        <v xml:space="preserve">0,00% </v>
      </c>
      <c r="K223" s="512" t="str">
        <f>'[1]CADASTRO BASE ORÇ. DESPESA'!N223</f>
        <v xml:space="preserve">0,00% </v>
      </c>
      <c r="L223" s="512" t="str">
        <f>'[1]CADASTRO BASE ORÇ. DESPESA'!P223</f>
        <v xml:space="preserve">0,00% </v>
      </c>
      <c r="M223" s="495">
        <f>L223+K223+J223/3</f>
        <v>0</v>
      </c>
    </row>
    <row r="225" spans="3:13" ht="15" customHeight="1" x14ac:dyDescent="0.2">
      <c r="C225" s="483" t="s">
        <v>6283</v>
      </c>
      <c r="I225" s="506" t="s">
        <v>2205</v>
      </c>
      <c r="J225" s="512" t="str">
        <f>'[1]CADASTRO BASE ORÇ. DESPESA'!L225</f>
        <v xml:space="preserve">0,00% </v>
      </c>
      <c r="K225" s="512" t="str">
        <f>'[1]CADASTRO BASE ORÇ. DESPESA'!N225</f>
        <v xml:space="preserve">0,00% </v>
      </c>
      <c r="L225" s="512" t="str">
        <f>'[1]CADASTRO BASE ORÇ. DESPESA'!P225</f>
        <v xml:space="preserve">0,00% </v>
      </c>
      <c r="M225" s="495">
        <f>L225+K225+J225/3</f>
        <v>0</v>
      </c>
    </row>
    <row r="227" spans="3:13" ht="15" customHeight="1" x14ac:dyDescent="0.2">
      <c r="C227" s="483" t="s">
        <v>6387</v>
      </c>
      <c r="I227" s="506" t="s">
        <v>1042</v>
      </c>
      <c r="J227" s="512" t="str">
        <f>'[1]CADASTRO BASE ORÇ. DESPESA'!L227</f>
        <v xml:space="preserve">0,00% </v>
      </c>
      <c r="K227" s="512" t="str">
        <f>'[1]CADASTRO BASE ORÇ. DESPESA'!N227</f>
        <v xml:space="preserve">0,00% </v>
      </c>
      <c r="L227" s="512" t="str">
        <f>'[1]CADASTRO BASE ORÇ. DESPESA'!P227</f>
        <v xml:space="preserve">0,00% </v>
      </c>
      <c r="M227" s="495">
        <f>L227+K227+J227/3</f>
        <v>0</v>
      </c>
    </row>
    <row r="229" spans="3:13" ht="15" customHeight="1" x14ac:dyDescent="0.2">
      <c r="C229" s="483" t="s">
        <v>6322</v>
      </c>
      <c r="I229" s="506" t="s">
        <v>5210</v>
      </c>
      <c r="J229" s="512" t="str">
        <f>'[1]CADASTRO BASE ORÇ. DESPESA'!L229</f>
        <v xml:space="preserve">0,00% </v>
      </c>
      <c r="K229" s="512" t="str">
        <f>'[1]CADASTRO BASE ORÇ. DESPESA'!N229</f>
        <v xml:space="preserve">0,00% </v>
      </c>
      <c r="L229" s="512" t="str">
        <f>'[1]CADASTRO BASE ORÇ. DESPESA'!P229</f>
        <v xml:space="preserve">0,00% </v>
      </c>
      <c r="M229" s="495">
        <f>L229+K229+J229/3</f>
        <v>0</v>
      </c>
    </row>
    <row r="230" spans="3:13" ht="15" customHeight="1" x14ac:dyDescent="0.25">
      <c r="I230" s="506"/>
    </row>
    <row r="231" spans="3:13" ht="15" customHeight="1" x14ac:dyDescent="0.2">
      <c r="C231" s="483" t="s">
        <v>6388</v>
      </c>
      <c r="I231" s="506" t="s">
        <v>1742</v>
      </c>
      <c r="J231" s="512" t="str">
        <f>'[1]CADASTRO BASE ORÇ. DESPESA'!L231</f>
        <v xml:space="preserve">0,00% </v>
      </c>
      <c r="K231" s="512" t="str">
        <f>'[1]CADASTRO BASE ORÇ. DESPESA'!N231</f>
        <v xml:space="preserve">0,00% </v>
      </c>
      <c r="L231" s="512" t="str">
        <f>'[1]CADASTRO BASE ORÇ. DESPESA'!P231</f>
        <v xml:space="preserve">0,00% </v>
      </c>
      <c r="M231" s="495">
        <f>L231+K231+J231/3</f>
        <v>0</v>
      </c>
    </row>
    <row r="233" spans="3:13" s="492" customFormat="1" ht="15" customHeight="1" x14ac:dyDescent="0.25">
      <c r="C233" s="492" t="s">
        <v>6245</v>
      </c>
      <c r="I233" s="500" t="s">
        <v>6307</v>
      </c>
      <c r="J233" s="489">
        <f>'[1]CADASTRO BASE ORÇ. DESPESA'!L233</f>
        <v>9.4164456233421748E-2</v>
      </c>
      <c r="K233" s="489">
        <f>'[1]CADASTRO BASE ORÇ. DESPESA'!N233</f>
        <v>0.60704607046070458</v>
      </c>
      <c r="L233" s="489">
        <f>'[1]CADASTRO BASE ORÇ. DESPESA'!P233</f>
        <v>-1.5448275862068965</v>
      </c>
      <c r="M233" s="491">
        <f>L233+K233+J233/3</f>
        <v>-0.90639336366838474</v>
      </c>
    </row>
    <row r="235" spans="3:13" ht="15" customHeight="1" x14ac:dyDescent="0.2">
      <c r="C235" s="483" t="s">
        <v>6284</v>
      </c>
      <c r="I235" s="506" t="s">
        <v>1054</v>
      </c>
      <c r="J235" s="512">
        <f>'[1]CADASTRO BASE ORÇ. DESPESA'!L235</f>
        <v>0.35806042065268667</v>
      </c>
      <c r="K235" s="512">
        <f>'[1]CADASTRO BASE ORÇ. DESPESA'!N235</f>
        <v>2.9422306204619775E-2</v>
      </c>
      <c r="L235" s="512">
        <f>'[1]CADASTRO BASE ORÇ. DESPESA'!P235</f>
        <v>-3.0314220481995401E-2</v>
      </c>
      <c r="M235" s="495">
        <f>L235+K235+J235/3</f>
        <v>0.11846155927351992</v>
      </c>
    </row>
    <row r="237" spans="3:13" ht="15" customHeight="1" x14ac:dyDescent="0.2">
      <c r="C237" s="483" t="s">
        <v>6285</v>
      </c>
      <c r="I237" s="506" t="s">
        <v>1151</v>
      </c>
      <c r="J237" s="512" t="str">
        <f>'[1]CADASTRO BASE ORÇ. DESPESA'!L237</f>
        <v xml:space="preserve">0,00% </v>
      </c>
      <c r="K237" s="512" t="str">
        <f>'[1]CADASTRO BASE ORÇ. DESPESA'!N237</f>
        <v xml:space="preserve">0,00% </v>
      </c>
      <c r="L237" s="512" t="str">
        <f>'[1]CADASTRO BASE ORÇ. DESPESA'!P237</f>
        <v xml:space="preserve">0,00% </v>
      </c>
      <c r="M237" s="495">
        <f>L237+K237+J237/3</f>
        <v>0</v>
      </c>
    </row>
    <row r="239" spans="3:13" ht="15" customHeight="1" x14ac:dyDescent="0.2">
      <c r="C239" s="483" t="s">
        <v>6389</v>
      </c>
      <c r="I239" s="506" t="s">
        <v>5230</v>
      </c>
      <c r="J239" s="512" t="str">
        <f>'[1]CADASTRO BASE ORÇ. DESPESA'!L239</f>
        <v xml:space="preserve">0,00% </v>
      </c>
      <c r="K239" s="512" t="str">
        <f>'[1]CADASTRO BASE ORÇ. DESPESA'!N239</f>
        <v xml:space="preserve">0,00% </v>
      </c>
      <c r="L239" s="512" t="str">
        <f>'[1]CADASTRO BASE ORÇ. DESPESA'!P239</f>
        <v xml:space="preserve">0,00% </v>
      </c>
      <c r="M239" s="495">
        <f>L239+K239+J239/3</f>
        <v>0</v>
      </c>
    </row>
    <row r="241" spans="3:13" ht="15" customHeight="1" x14ac:dyDescent="0.2">
      <c r="C241" s="483" t="s">
        <v>6298</v>
      </c>
      <c r="I241" s="506" t="s">
        <v>5241</v>
      </c>
      <c r="J241" s="512" t="str">
        <f>'[1]CADASTRO BASE ORÇ. DESPESA'!L241</f>
        <v xml:space="preserve">0,00% </v>
      </c>
      <c r="K241" s="512" t="str">
        <f>'[1]CADASTRO BASE ORÇ. DESPESA'!N241</f>
        <v xml:space="preserve">0,00% </v>
      </c>
      <c r="L241" s="512" t="str">
        <f>'[1]CADASTRO BASE ORÇ. DESPESA'!P241</f>
        <v xml:space="preserve">0,00% </v>
      </c>
      <c r="M241" s="495">
        <f>L241+K241+J241/3</f>
        <v>0</v>
      </c>
    </row>
    <row r="243" spans="3:13" ht="15" customHeight="1" x14ac:dyDescent="0.2">
      <c r="C243" s="483" t="s">
        <v>6339</v>
      </c>
      <c r="I243" s="506" t="s">
        <v>5242</v>
      </c>
      <c r="J243" s="512">
        <f>'[1]CADASTRO BASE ORÇ. DESPESA'!L243</f>
        <v>7.7350143773501495E-2</v>
      </c>
      <c r="K243" s="512" t="str">
        <f>'[1]CADASTRO BASE ORÇ. DESPESA'!N243</f>
        <v xml:space="preserve">0,00% </v>
      </c>
      <c r="L243" s="512">
        <f>'[1]CADASTRO BASE ORÇ. DESPESA'!P243</f>
        <v>1</v>
      </c>
      <c r="M243" s="495">
        <f>L243+K243+J243/3</f>
        <v>1.0257833812578339</v>
      </c>
    </row>
    <row r="245" spans="3:13" ht="15" customHeight="1" x14ac:dyDescent="0.2">
      <c r="C245" s="483" t="s">
        <v>6390</v>
      </c>
      <c r="I245" s="506" t="s">
        <v>6391</v>
      </c>
      <c r="J245" s="512" t="str">
        <f>'[1]CADASTRO BASE ORÇ. DESPESA'!L245</f>
        <v xml:space="preserve">0,00% </v>
      </c>
      <c r="K245" s="512" t="str">
        <f>'[1]CADASTRO BASE ORÇ. DESPESA'!N245</f>
        <v xml:space="preserve">0,00% </v>
      </c>
      <c r="L245" s="512" t="str">
        <f>'[1]CADASTRO BASE ORÇ. DESPESA'!P245</f>
        <v xml:space="preserve">0,00% </v>
      </c>
      <c r="M245" s="495">
        <f>L245+K245+J245/3</f>
        <v>0</v>
      </c>
    </row>
    <row r="247" spans="3:13" ht="15" customHeight="1" x14ac:dyDescent="0.2">
      <c r="C247" s="483" t="s">
        <v>6293</v>
      </c>
      <c r="I247" s="506" t="s">
        <v>6386</v>
      </c>
      <c r="J247" s="512" t="str">
        <f>'[1]CADASTRO BASE ORÇ. DESPESA'!L247</f>
        <v xml:space="preserve">0,00% </v>
      </c>
      <c r="K247" s="512" t="str">
        <f>'[1]CADASTRO BASE ORÇ. DESPESA'!N247</f>
        <v xml:space="preserve">0,00% </v>
      </c>
      <c r="L247" s="512" t="str">
        <f>'[1]CADASTRO BASE ORÇ. DESPESA'!P247</f>
        <v xml:space="preserve">0,00% </v>
      </c>
      <c r="M247" s="495">
        <f>L247+K247+J247/3</f>
        <v>0</v>
      </c>
    </row>
    <row r="249" spans="3:13" ht="15" customHeight="1" x14ac:dyDescent="0.2">
      <c r="C249" s="483" t="s">
        <v>6392</v>
      </c>
      <c r="I249" s="506" t="s">
        <v>6393</v>
      </c>
      <c r="J249" s="512" t="str">
        <f>'[1]CADASTRO BASE ORÇ. DESPESA'!L249</f>
        <v xml:space="preserve">0,00% </v>
      </c>
      <c r="K249" s="512" t="str">
        <f>'[1]CADASTRO BASE ORÇ. DESPESA'!N249</f>
        <v xml:space="preserve">0,00% </v>
      </c>
      <c r="L249" s="512" t="str">
        <f>'[1]CADASTRO BASE ORÇ. DESPESA'!P249</f>
        <v xml:space="preserve">0,00% </v>
      </c>
      <c r="M249" s="495">
        <f>L249+K249+J249/3</f>
        <v>0</v>
      </c>
    </row>
    <row r="251" spans="3:13" ht="15" customHeight="1" x14ac:dyDescent="0.2">
      <c r="C251" s="483" t="s">
        <v>6394</v>
      </c>
      <c r="I251" s="506" t="s">
        <v>5194</v>
      </c>
      <c r="J251" s="512" t="str">
        <f>'[1]CADASTRO BASE ORÇ. DESPESA'!L251</f>
        <v xml:space="preserve">0,00% </v>
      </c>
      <c r="K251" s="512" t="str">
        <f>'[1]CADASTRO BASE ORÇ. DESPESA'!N251</f>
        <v xml:space="preserve">0,00% </v>
      </c>
      <c r="L251" s="512" t="str">
        <f>'[1]CADASTRO BASE ORÇ. DESPESA'!P251</f>
        <v xml:space="preserve">0,00% </v>
      </c>
      <c r="M251" s="495">
        <f>L251+K251+J251/3</f>
        <v>0</v>
      </c>
    </row>
    <row r="253" spans="3:13" ht="15" customHeight="1" x14ac:dyDescent="0.2">
      <c r="C253" s="483" t="s">
        <v>6446</v>
      </c>
      <c r="I253" s="506" t="s">
        <v>6447</v>
      </c>
      <c r="J253" s="512" t="str">
        <f>'[1]CADASTRO BASE ORÇ. DESPESA'!L253</f>
        <v xml:space="preserve">0,00% </v>
      </c>
      <c r="K253" s="512" t="str">
        <f>'[1]CADASTRO BASE ORÇ. DESPESA'!N253</f>
        <v xml:space="preserve">0,00% </v>
      </c>
      <c r="L253" s="512" t="str">
        <f>'[1]CADASTRO BASE ORÇ. DESPESA'!P253</f>
        <v xml:space="preserve">0,00% </v>
      </c>
      <c r="M253" s="495">
        <f>L253+K253+J253/3</f>
        <v>0</v>
      </c>
    </row>
    <row r="255" spans="3:13" ht="15" customHeight="1" x14ac:dyDescent="0.2">
      <c r="C255" s="483" t="s">
        <v>6310</v>
      </c>
      <c r="I255" s="506" t="s">
        <v>5290</v>
      </c>
      <c r="J255" s="512" t="str">
        <f>'[1]CADASTRO BASE ORÇ. DESPESA'!L255</f>
        <v xml:space="preserve">0,00% </v>
      </c>
      <c r="K255" s="512" t="str">
        <f>'[1]CADASTRO BASE ORÇ. DESPESA'!N255</f>
        <v xml:space="preserve">0,00% </v>
      </c>
      <c r="L255" s="512" t="str">
        <f>'[1]CADASTRO BASE ORÇ. DESPESA'!P255</f>
        <v xml:space="preserve">0,00% </v>
      </c>
      <c r="M255" s="495">
        <f>L255+K255+J255/3</f>
        <v>0</v>
      </c>
    </row>
    <row r="257" spans="3:13" ht="15" customHeight="1" x14ac:dyDescent="0.2">
      <c r="C257" s="483" t="s">
        <v>6395</v>
      </c>
      <c r="I257" s="506" t="s">
        <v>5295</v>
      </c>
      <c r="J257" s="512" t="str">
        <f>'[1]CADASTRO BASE ORÇ. DESPESA'!L257</f>
        <v xml:space="preserve">0,00% </v>
      </c>
      <c r="K257" s="512" t="str">
        <f>'[1]CADASTRO BASE ORÇ. DESPESA'!N257</f>
        <v xml:space="preserve">0,00% </v>
      </c>
      <c r="L257" s="512" t="str">
        <f>'[1]CADASTRO BASE ORÇ. DESPESA'!P257</f>
        <v xml:space="preserve">0,00% </v>
      </c>
      <c r="M257" s="495">
        <f>L257+K257+J257/3</f>
        <v>0</v>
      </c>
    </row>
    <row r="259" spans="3:13" ht="15" customHeight="1" x14ac:dyDescent="0.2">
      <c r="C259" s="483" t="s">
        <v>6286</v>
      </c>
      <c r="I259" s="506" t="s">
        <v>1025</v>
      </c>
      <c r="J259" s="512" t="str">
        <f>'[1]CADASTRO BASE ORÇ. DESPESA'!L259</f>
        <v xml:space="preserve">0,00% </v>
      </c>
      <c r="K259" s="512" t="str">
        <f>'[1]CADASTRO BASE ORÇ. DESPESA'!N259</f>
        <v xml:space="preserve">0,00% </v>
      </c>
      <c r="L259" s="512" t="str">
        <f>'[1]CADASTRO BASE ORÇ. DESPESA'!P259</f>
        <v xml:space="preserve">0,00% </v>
      </c>
      <c r="M259" s="495">
        <f>L259+K259+J259/3</f>
        <v>0</v>
      </c>
    </row>
    <row r="261" spans="3:13" ht="15" customHeight="1" x14ac:dyDescent="0.2">
      <c r="C261" s="483" t="s">
        <v>6287</v>
      </c>
      <c r="I261" s="506" t="s">
        <v>1024</v>
      </c>
      <c r="J261" s="512">
        <f>'[1]CADASTRO BASE ORÇ. DESPESA'!L261</f>
        <v>0.15910537321574689</v>
      </c>
      <c r="K261" s="512">
        <f>'[1]CADASTRO BASE ORÇ. DESPESA'!N261</f>
        <v>0.15371848139110558</v>
      </c>
      <c r="L261" s="512">
        <f>'[1]CADASTRO BASE ORÇ. DESPESA'!P261</f>
        <v>-0.18163988934058944</v>
      </c>
      <c r="M261" s="495">
        <f>L261+K261+J261/3</f>
        <v>2.51137164557651E-2</v>
      </c>
    </row>
    <row r="263" spans="3:13" ht="15" customHeight="1" x14ac:dyDescent="0.2">
      <c r="C263" s="483" t="s">
        <v>6396</v>
      </c>
      <c r="I263" s="506" t="s">
        <v>5208</v>
      </c>
      <c r="J263" s="512">
        <f>'[1]CADASTRO BASE ORÇ. DESPESA'!L263</f>
        <v>0.37038784156989213</v>
      </c>
      <c r="K263" s="512">
        <f>'[1]CADASTRO BASE ORÇ. DESPESA'!N263</f>
        <v>-8.6700488441364789E-4</v>
      </c>
      <c r="L263" s="512">
        <f>'[1]CADASTRO BASE ORÇ. DESPESA'!P263</f>
        <v>8.6625383810486891E-4</v>
      </c>
      <c r="M263" s="495">
        <f>L263+K263+J263/3</f>
        <v>0.12346186281032193</v>
      </c>
    </row>
    <row r="265" spans="3:13" ht="15" customHeight="1" x14ac:dyDescent="0.2">
      <c r="C265" s="483" t="s">
        <v>6288</v>
      </c>
      <c r="I265" s="506" t="s">
        <v>1042</v>
      </c>
      <c r="J265" s="512" t="str">
        <f>'[1]CADASTRO BASE ORÇ. DESPESA'!L265</f>
        <v xml:space="preserve">0,00% </v>
      </c>
      <c r="K265" s="512" t="str">
        <f>'[1]CADASTRO BASE ORÇ. DESPESA'!N265</f>
        <v xml:space="preserve">0,00% </v>
      </c>
      <c r="L265" s="512" t="str">
        <f>'[1]CADASTRO BASE ORÇ. DESPESA'!P265</f>
        <v xml:space="preserve">0,00% </v>
      </c>
      <c r="M265" s="495">
        <f>L265+K265+J265/3</f>
        <v>0</v>
      </c>
    </row>
    <row r="267" spans="3:13" ht="15" customHeight="1" x14ac:dyDescent="0.2">
      <c r="C267" s="483" t="s">
        <v>6323</v>
      </c>
      <c r="I267" s="506" t="s">
        <v>6397</v>
      </c>
      <c r="J267" s="512">
        <f>'[1]CADASTRO BASE ORÇ. DESPESA'!L267</f>
        <v>1</v>
      </c>
      <c r="K267" s="512">
        <f>'[1]CADASTRO BASE ORÇ. DESPESA'!N267</f>
        <v>0.56000000000000005</v>
      </c>
      <c r="L267" s="512">
        <f>'[1]CADASTRO BASE ORÇ. DESPESA'!P267</f>
        <v>-1.2727272727272727</v>
      </c>
      <c r="M267" s="495">
        <f>L267+K267+J267/3</f>
        <v>-0.37939393939393934</v>
      </c>
    </row>
    <row r="269" spans="3:13" ht="15" customHeight="1" x14ac:dyDescent="0.2">
      <c r="C269" s="483" t="s">
        <v>6335</v>
      </c>
      <c r="I269" s="506" t="s">
        <v>5212</v>
      </c>
      <c r="J269" s="512" t="str">
        <f>'[1]CADASTRO BASE ORÇ. DESPESA'!L269</f>
        <v xml:space="preserve">0,00% </v>
      </c>
      <c r="K269" s="512" t="str">
        <f>'[1]CADASTRO BASE ORÇ. DESPESA'!N269</f>
        <v xml:space="preserve">0,00% </v>
      </c>
      <c r="L269" s="512" t="str">
        <f>'[1]CADASTRO BASE ORÇ. DESPESA'!P269</f>
        <v xml:space="preserve">0,00% </v>
      </c>
      <c r="M269" s="495">
        <f>L269+K269+J269/3</f>
        <v>0</v>
      </c>
    </row>
    <row r="271" spans="3:13" ht="15" customHeight="1" x14ac:dyDescent="0.2">
      <c r="C271" s="483" t="s">
        <v>6398</v>
      </c>
      <c r="I271" s="506" t="s">
        <v>6399</v>
      </c>
      <c r="J271" s="512" t="str">
        <f>'[1]CADASTRO BASE ORÇ. DESPESA'!L271</f>
        <v xml:space="preserve">0,00% </v>
      </c>
      <c r="K271" s="512" t="str">
        <f>'[1]CADASTRO BASE ORÇ. DESPESA'!N271</f>
        <v xml:space="preserve">0,00% </v>
      </c>
      <c r="L271" s="512" t="str">
        <f>'[1]CADASTRO BASE ORÇ. DESPESA'!P271</f>
        <v xml:space="preserve">0,00% </v>
      </c>
      <c r="M271" s="495">
        <f>L271+K271+J271/3</f>
        <v>0</v>
      </c>
    </row>
    <row r="273" spans="3:13" ht="15" customHeight="1" x14ac:dyDescent="0.2">
      <c r="C273" s="483" t="s">
        <v>6400</v>
      </c>
      <c r="I273" s="506" t="s">
        <v>5306</v>
      </c>
      <c r="J273" s="512" t="str">
        <f>'[1]CADASTRO BASE ORÇ. DESPESA'!L273</f>
        <v xml:space="preserve">0,00% </v>
      </c>
      <c r="K273" s="512">
        <f>'[1]CADASTRO BASE ORÇ. DESPESA'!N273</f>
        <v>1</v>
      </c>
      <c r="L273" s="512" t="str">
        <f>'[1]CADASTRO BASE ORÇ. DESPESA'!P273</f>
        <v xml:space="preserve">0,00% </v>
      </c>
      <c r="M273" s="495">
        <f>L273+K273+J273/3</f>
        <v>1</v>
      </c>
    </row>
    <row r="275" spans="3:13" ht="15" customHeight="1" x14ac:dyDescent="0.2">
      <c r="C275" s="483" t="s">
        <v>6289</v>
      </c>
      <c r="I275" s="506" t="s">
        <v>2188</v>
      </c>
      <c r="J275" s="512">
        <f>'[1]CADASTRO BASE ORÇ. DESPESA'!L275</f>
        <v>0.11209830766305379</v>
      </c>
      <c r="K275" s="512">
        <f>'[1]CADASTRO BASE ORÇ. DESPESA'!N275</f>
        <v>5.7731890548087354E-3</v>
      </c>
      <c r="L275" s="512">
        <f>'[1]CADASTRO BASE ORÇ. DESPESA'!P275</f>
        <v>-5.8067123027192172E-3</v>
      </c>
      <c r="M275" s="495">
        <f>L275+K275+J275/3</f>
        <v>3.733257930644078E-2</v>
      </c>
    </row>
    <row r="277" spans="3:13" ht="15" customHeight="1" x14ac:dyDescent="0.2">
      <c r="C277" s="483" t="s">
        <v>6401</v>
      </c>
      <c r="I277" s="506" t="s">
        <v>5315</v>
      </c>
      <c r="J277" s="512" t="str">
        <f>'[1]CADASTRO BASE ORÇ. DESPESA'!L277</f>
        <v xml:space="preserve">0,00% </v>
      </c>
      <c r="K277" s="512" t="str">
        <f>'[1]CADASTRO BASE ORÇ. DESPESA'!N277</f>
        <v xml:space="preserve">0,00% </v>
      </c>
      <c r="L277" s="512" t="str">
        <f>'[1]CADASTRO BASE ORÇ. DESPESA'!P277</f>
        <v xml:space="preserve">0,00% </v>
      </c>
      <c r="M277" s="495">
        <f>L277+K277+J277/3</f>
        <v>0</v>
      </c>
    </row>
    <row r="279" spans="3:13" ht="15" customHeight="1" x14ac:dyDescent="0.2">
      <c r="C279" s="483" t="s">
        <v>6402</v>
      </c>
      <c r="I279" s="506" t="s">
        <v>1196</v>
      </c>
      <c r="J279" s="512" t="str">
        <f>'[1]CADASTRO BASE ORÇ. DESPESA'!L279</f>
        <v xml:space="preserve">0,00% </v>
      </c>
      <c r="K279" s="512" t="str">
        <f>'[1]CADASTRO BASE ORÇ. DESPESA'!N279</f>
        <v xml:space="preserve">0,00% </v>
      </c>
      <c r="L279" s="512" t="str">
        <f>'[1]CADASTRO BASE ORÇ. DESPESA'!P279</f>
        <v xml:space="preserve">0,00% </v>
      </c>
      <c r="M279" s="495">
        <f>L279+K279+J279/3</f>
        <v>0</v>
      </c>
    </row>
    <row r="281" spans="3:13" ht="15" customHeight="1" x14ac:dyDescent="0.2">
      <c r="C281" s="483" t="s">
        <v>6261</v>
      </c>
      <c r="I281" s="506" t="s">
        <v>991</v>
      </c>
      <c r="J281" s="512" t="str">
        <f>'[1]CADASTRO BASE ORÇ. DESPESA'!L281</f>
        <v xml:space="preserve">0,00% </v>
      </c>
      <c r="K281" s="512" t="str">
        <f>'[1]CADASTRO BASE ORÇ. DESPESA'!N281</f>
        <v xml:space="preserve">0,00% </v>
      </c>
      <c r="L281" s="512" t="str">
        <f>'[1]CADASTRO BASE ORÇ. DESPESA'!P281</f>
        <v xml:space="preserve">0,00% </v>
      </c>
      <c r="M281" s="495">
        <f>L281+K281+J281/3</f>
        <v>0</v>
      </c>
    </row>
    <row r="283" spans="3:13" ht="15" customHeight="1" x14ac:dyDescent="0.2">
      <c r="C283" s="483" t="s">
        <v>6403</v>
      </c>
      <c r="I283" s="506" t="s">
        <v>1098</v>
      </c>
      <c r="J283" s="512">
        <f>'[1]CADASTRO BASE ORÇ. DESPESA'!L283</f>
        <v>-0.89037616546993892</v>
      </c>
      <c r="K283" s="512">
        <f>'[1]CADASTRO BASE ORÇ. DESPESA'!N283</f>
        <v>-1.7770833333333333</v>
      </c>
      <c r="L283" s="512">
        <f>'[1]CADASTRO BASE ORÇ. DESPESA'!P283</f>
        <v>0.63990997749437362</v>
      </c>
      <c r="M283" s="495">
        <f>L283+K283+J283/3</f>
        <v>-1.4339654109956061</v>
      </c>
    </row>
    <row r="285" spans="3:13" ht="15" customHeight="1" x14ac:dyDescent="0.2">
      <c r="C285" s="483" t="s">
        <v>6404</v>
      </c>
      <c r="I285" s="506" t="s">
        <v>1097</v>
      </c>
      <c r="J285" s="512">
        <f>'[1]CADASTRO BASE ORÇ. DESPESA'!L285</f>
        <v>0.3125</v>
      </c>
      <c r="K285" s="512" t="str">
        <f>'[1]CADASTRO BASE ORÇ. DESPESA'!N285</f>
        <v xml:space="preserve">0,00% </v>
      </c>
      <c r="L285" s="512">
        <f>'[1]CADASTRO BASE ORÇ. DESPESA'!P285</f>
        <v>1</v>
      </c>
      <c r="M285" s="495">
        <f>L285+K285+J285/3</f>
        <v>1.1041666666666667</v>
      </c>
    </row>
    <row r="287" spans="3:13" ht="15" customHeight="1" x14ac:dyDescent="0.2">
      <c r="C287" s="483" t="s">
        <v>6405</v>
      </c>
      <c r="I287" s="506" t="s">
        <v>1096</v>
      </c>
      <c r="J287" s="512">
        <f>'[1]CADASTRO BASE ORÇ. DESPESA'!L287</f>
        <v>1</v>
      </c>
      <c r="K287" s="512" t="str">
        <f>'[1]CADASTRO BASE ORÇ. DESPESA'!N287</f>
        <v xml:space="preserve">0,00% </v>
      </c>
      <c r="L287" s="512">
        <f>'[1]CADASTRO BASE ORÇ. DESPESA'!P287</f>
        <v>1</v>
      </c>
      <c r="M287" s="495">
        <f>L287+K287+J287/3</f>
        <v>1.3333333333333333</v>
      </c>
    </row>
    <row r="289" spans="3:13" ht="15" customHeight="1" x14ac:dyDescent="0.2">
      <c r="C289" s="483" t="s">
        <v>6290</v>
      </c>
      <c r="I289" s="506" t="s">
        <v>5334</v>
      </c>
      <c r="J289" s="512" t="str">
        <f>'[1]CADASTRO BASE ORÇ. DESPESA'!L289</f>
        <v xml:space="preserve">0,00% </v>
      </c>
      <c r="K289" s="512" t="str">
        <f>'[1]CADASTRO BASE ORÇ. DESPESA'!N289</f>
        <v xml:space="preserve">0,00% </v>
      </c>
      <c r="L289" s="512" t="str">
        <f>'[1]CADASTRO BASE ORÇ. DESPESA'!P289</f>
        <v xml:space="preserve">0,00% </v>
      </c>
      <c r="M289" s="495">
        <f>L289+K289+J289/3</f>
        <v>0</v>
      </c>
    </row>
    <row r="291" spans="3:13" ht="15" customHeight="1" x14ac:dyDescent="0.2">
      <c r="C291" s="483" t="s">
        <v>6406</v>
      </c>
      <c r="I291" s="506" t="s">
        <v>6307</v>
      </c>
      <c r="J291" s="512" t="str">
        <f>'[1]CADASTRO BASE ORÇ. DESPESA'!L291</f>
        <v xml:space="preserve">0,00% </v>
      </c>
      <c r="K291" s="512" t="str">
        <f>'[1]CADASTRO BASE ORÇ. DESPESA'!N291</f>
        <v xml:space="preserve">0,00% </v>
      </c>
      <c r="L291" s="512" t="str">
        <f>'[1]CADASTRO BASE ORÇ. DESPESA'!P291</f>
        <v xml:space="preserve">0,00% </v>
      </c>
      <c r="M291" s="495">
        <f>L291+K291+J291/3</f>
        <v>0</v>
      </c>
    </row>
    <row r="293" spans="3:13" s="492" customFormat="1" ht="15" customHeight="1" x14ac:dyDescent="0.25">
      <c r="C293" s="492" t="s">
        <v>6246</v>
      </c>
      <c r="I293" s="500" t="s">
        <v>6407</v>
      </c>
      <c r="J293" s="489">
        <f>'[1]CADASTRO BASE ORÇ. DESPESA'!L293</f>
        <v>0.53316567710023421</v>
      </c>
      <c r="K293" s="489">
        <f>'[1]CADASTRO BASE ORÇ. DESPESA'!N293</f>
        <v>-0.12341583519464172</v>
      </c>
      <c r="L293" s="489">
        <f>'[1]CADASTRO BASE ORÇ. DESPESA'!P293</f>
        <v>0.10985766029660676</v>
      </c>
      <c r="M293" s="491">
        <f>L293+K293+J293/3</f>
        <v>0.16416371746870978</v>
      </c>
    </row>
    <row r="295" spans="3:13" ht="15" customHeight="1" x14ac:dyDescent="0.2">
      <c r="C295" s="483" t="s">
        <v>6408</v>
      </c>
      <c r="I295" s="506" t="s">
        <v>6409</v>
      </c>
      <c r="J295" s="512" t="str">
        <f>'[1]CADASTRO BASE ORÇ. DESPESA'!L295</f>
        <v xml:space="preserve">0,00% </v>
      </c>
      <c r="K295" s="512" t="str">
        <f>'[1]CADASTRO BASE ORÇ. DESPESA'!N295</f>
        <v xml:space="preserve">0,00% </v>
      </c>
      <c r="L295" s="512" t="str">
        <f>'[1]CADASTRO BASE ORÇ. DESPESA'!P295</f>
        <v xml:space="preserve">0,00% </v>
      </c>
      <c r="M295" s="495">
        <f>L295+K295+J295/3</f>
        <v>0</v>
      </c>
    </row>
    <row r="297" spans="3:13" s="492" customFormat="1" ht="15" customHeight="1" x14ac:dyDescent="0.25">
      <c r="C297" s="492" t="s">
        <v>6231</v>
      </c>
      <c r="I297" s="500" t="s">
        <v>990</v>
      </c>
      <c r="J297" s="489" t="str">
        <f>'[1]CADASTRO BASE ORÇ. DESPESA'!L297</f>
        <v xml:space="preserve">0,00% </v>
      </c>
      <c r="K297" s="489" t="str">
        <f>'[1]CADASTRO BASE ORÇ. DESPESA'!N297</f>
        <v xml:space="preserve">0,00% </v>
      </c>
      <c r="L297" s="489" t="str">
        <f>'[1]CADASTRO BASE ORÇ. DESPESA'!P297</f>
        <v xml:space="preserve">0,00% </v>
      </c>
      <c r="M297" s="491">
        <f>L297+K297+J297/3</f>
        <v>0</v>
      </c>
    </row>
    <row r="299" spans="3:13" ht="15" customHeight="1" x14ac:dyDescent="0.2">
      <c r="C299" s="483" t="s">
        <v>6262</v>
      </c>
      <c r="I299" s="506" t="s">
        <v>6410</v>
      </c>
      <c r="J299" s="512">
        <f>'[1]CADASTRO BASE ORÇ. DESPESA'!L299</f>
        <v>9.4164456233421748E-2</v>
      </c>
      <c r="K299" s="512">
        <f>'[1]CADASTRO BASE ORÇ. DESPESA'!N299</f>
        <v>0.78449754201440491</v>
      </c>
      <c r="L299" s="512">
        <f>'[1]CADASTRO BASE ORÇ. DESPESA'!P299</f>
        <v>-3.6403183023872683</v>
      </c>
      <c r="M299" s="495">
        <f>L299+K299+J299/3</f>
        <v>-2.8244326082950559</v>
      </c>
    </row>
    <row r="300" spans="3:13" ht="15" customHeight="1" x14ac:dyDescent="0.25">
      <c r="I300" s="506"/>
    </row>
    <row r="301" spans="3:13" ht="15" customHeight="1" x14ac:dyDescent="0.2">
      <c r="C301" s="483" t="s">
        <v>6263</v>
      </c>
      <c r="I301" s="506" t="s">
        <v>1116</v>
      </c>
      <c r="J301" s="512" t="str">
        <f>'[1]CADASTRO BASE ORÇ. DESPESA'!L301</f>
        <v xml:space="preserve">0,00% </v>
      </c>
      <c r="K301" s="512" t="str">
        <f>'[1]CADASTRO BASE ORÇ. DESPESA'!N301</f>
        <v xml:space="preserve">0,00% </v>
      </c>
      <c r="L301" s="512" t="str">
        <f>'[1]CADASTRO BASE ORÇ. DESPESA'!P301</f>
        <v xml:space="preserve">0,00% </v>
      </c>
      <c r="M301" s="495">
        <f>L301+K301+J301/3</f>
        <v>0</v>
      </c>
    </row>
    <row r="303" spans="3:13" ht="15" customHeight="1" x14ac:dyDescent="0.2">
      <c r="C303" s="483" t="s">
        <v>6264</v>
      </c>
      <c r="I303" s="506" t="s">
        <v>1250</v>
      </c>
      <c r="J303" s="512" t="str">
        <f>'[1]CADASTRO BASE ORÇ. DESPESA'!L303</f>
        <v xml:space="preserve">0,00% </v>
      </c>
      <c r="K303" s="512" t="str">
        <f>'[1]CADASTRO BASE ORÇ. DESPESA'!N303</f>
        <v xml:space="preserve">0,00% </v>
      </c>
      <c r="L303" s="512" t="str">
        <f>'[1]CADASTRO BASE ORÇ. DESPESA'!P303</f>
        <v xml:space="preserve">0,00% </v>
      </c>
      <c r="M303" s="495">
        <f>L303+K303+J303/3</f>
        <v>0</v>
      </c>
    </row>
    <row r="305" spans="3:13" ht="15" customHeight="1" x14ac:dyDescent="0.2">
      <c r="C305" s="483" t="s">
        <v>6268</v>
      </c>
      <c r="I305" s="506" t="s">
        <v>6411</v>
      </c>
      <c r="J305" s="512" t="str">
        <f>'[1]CADASTRO BASE ORÇ. DESPESA'!L305</f>
        <v xml:space="preserve">0,00% </v>
      </c>
      <c r="K305" s="512" t="str">
        <f>'[1]CADASTRO BASE ORÇ. DESPESA'!N305</f>
        <v xml:space="preserve">0,00% </v>
      </c>
      <c r="L305" s="512" t="str">
        <f>'[1]CADASTRO BASE ORÇ. DESPESA'!P305</f>
        <v xml:space="preserve">0,00% </v>
      </c>
      <c r="M305" s="495">
        <f>L305+K305+J305/3</f>
        <v>0</v>
      </c>
    </row>
    <row r="307" spans="3:13" ht="15" customHeight="1" x14ac:dyDescent="0.2">
      <c r="C307" s="483" t="s">
        <v>6269</v>
      </c>
      <c r="I307" s="506" t="s">
        <v>6412</v>
      </c>
      <c r="J307" s="512">
        <f>'[1]CADASTRO BASE ORÇ. DESPESA'!L307</f>
        <v>1.3772754716526888E-3</v>
      </c>
      <c r="K307" s="512">
        <f>'[1]CADASTRO BASE ORÇ. DESPESA'!N307</f>
        <v>0.60704607046070458</v>
      </c>
      <c r="L307" s="512">
        <f>'[1]CADASTRO BASE ORÇ. DESPESA'!P307</f>
        <v>-1.5448275862068965</v>
      </c>
      <c r="M307" s="495">
        <f>L307+K307+J307/3</f>
        <v>-0.93732242392230769</v>
      </c>
    </row>
    <row r="309" spans="3:13" s="492" customFormat="1" ht="15" customHeight="1" x14ac:dyDescent="0.25">
      <c r="C309" s="492" t="s">
        <v>6247</v>
      </c>
      <c r="I309" s="500" t="s">
        <v>6042</v>
      </c>
      <c r="J309" s="489" t="str">
        <f>'[1]CADASTRO BASE ORÇ. DESPESA'!L309</f>
        <v xml:space="preserve">0,00% </v>
      </c>
      <c r="K309" s="489">
        <f>'[1]CADASTRO BASE ORÇ. DESPESA'!N309</f>
        <v>1</v>
      </c>
      <c r="L309" s="489" t="str">
        <f>'[1]CADASTRO BASE ORÇ. DESPESA'!P309</f>
        <v xml:space="preserve">0,00% </v>
      </c>
      <c r="M309" s="491">
        <f>L309+K309+J309/3</f>
        <v>1</v>
      </c>
    </row>
    <row r="311" spans="3:13" ht="15" customHeight="1" x14ac:dyDescent="0.2">
      <c r="C311" s="483" t="s">
        <v>6291</v>
      </c>
      <c r="I311" s="506" t="s">
        <v>6413</v>
      </c>
      <c r="J311" s="512" t="str">
        <f>'[1]CADASTRO BASE ORÇ. DESPESA'!L311</f>
        <v xml:space="preserve">0,00% </v>
      </c>
      <c r="K311" s="512" t="str">
        <f>'[1]CADASTRO BASE ORÇ. DESPESA'!N311</f>
        <v xml:space="preserve">0,00% </v>
      </c>
      <c r="L311" s="512" t="str">
        <f>'[1]CADASTRO BASE ORÇ. DESPESA'!P311</f>
        <v xml:space="preserve">0,00% </v>
      </c>
      <c r="M311" s="495">
        <f>L311+K311+J311/3</f>
        <v>0</v>
      </c>
    </row>
    <row r="313" spans="3:13" s="492" customFormat="1" ht="15" customHeight="1" x14ac:dyDescent="0.25">
      <c r="C313" s="492" t="s">
        <v>6448</v>
      </c>
      <c r="I313" s="500" t="s">
        <v>6449</v>
      </c>
      <c r="J313" s="489" t="str">
        <f>'[1]CADASTRO BASE ORÇ. DESPESA'!L313</f>
        <v xml:space="preserve">0,00% </v>
      </c>
      <c r="K313" s="489" t="str">
        <f>'[1]CADASTRO BASE ORÇ. DESPESA'!N313</f>
        <v xml:space="preserve">0,00% </v>
      </c>
      <c r="L313" s="489" t="str">
        <f>'[1]CADASTRO BASE ORÇ. DESPESA'!P313</f>
        <v xml:space="preserve">0,00% </v>
      </c>
      <c r="M313" s="491">
        <f>L313+K313+J313/3</f>
        <v>0</v>
      </c>
    </row>
    <row r="315" spans="3:13" ht="15" customHeight="1" x14ac:dyDescent="0.2">
      <c r="C315" s="483" t="s">
        <v>6448</v>
      </c>
      <c r="I315" s="506" t="s">
        <v>6449</v>
      </c>
      <c r="J315" s="512" t="str">
        <f>'[1]CADASTRO BASE ORÇ. DESPESA'!L315</f>
        <v xml:space="preserve">0,00% </v>
      </c>
      <c r="K315" s="512" t="str">
        <f>'[1]CADASTRO BASE ORÇ. DESPESA'!N315</f>
        <v xml:space="preserve">0,00% </v>
      </c>
      <c r="L315" s="512" t="str">
        <f>'[1]CADASTRO BASE ORÇ. DESPESA'!P315</f>
        <v xml:space="preserve">0,00% </v>
      </c>
      <c r="M315" s="495">
        <f>L315+K315+J315/3</f>
        <v>0</v>
      </c>
    </row>
    <row r="316" spans="3:13" ht="15" customHeight="1" x14ac:dyDescent="0.25">
      <c r="I316" s="506"/>
    </row>
    <row r="317" spans="3:13" s="492" customFormat="1" ht="15" customHeight="1" x14ac:dyDescent="0.25">
      <c r="C317" s="492" t="s">
        <v>6304</v>
      </c>
      <c r="I317" s="500" t="s">
        <v>1158</v>
      </c>
      <c r="J317" s="489" t="str">
        <f>'[1]CADASTRO BASE ORÇ. DESPESA'!L317</f>
        <v xml:space="preserve">0,00% </v>
      </c>
      <c r="K317" s="489" t="str">
        <f>'[1]CADASTRO BASE ORÇ. DESPESA'!N317</f>
        <v xml:space="preserve">0,00% </v>
      </c>
      <c r="L317" s="489" t="str">
        <f>'[1]CADASTRO BASE ORÇ. DESPESA'!P317</f>
        <v xml:space="preserve">0,00% </v>
      </c>
      <c r="M317" s="491">
        <f>L317+K317+J317/3</f>
        <v>0</v>
      </c>
    </row>
    <row r="319" spans="3:13" ht="15" customHeight="1" x14ac:dyDescent="0.2">
      <c r="C319" s="483" t="s">
        <v>6414</v>
      </c>
      <c r="I319" s="506" t="s">
        <v>1997</v>
      </c>
      <c r="J319" s="512" t="str">
        <f>'[1]CADASTRO BASE ORÇ. DESPESA'!L319</f>
        <v xml:space="preserve">0,00% </v>
      </c>
      <c r="K319" s="512" t="str">
        <f>'[1]CADASTRO BASE ORÇ. DESPESA'!N319</f>
        <v xml:space="preserve">0,00% </v>
      </c>
      <c r="L319" s="512" t="str">
        <f>'[1]CADASTRO BASE ORÇ. DESPESA'!P319</f>
        <v xml:space="preserve">0,00% </v>
      </c>
      <c r="M319" s="495">
        <f>L319+K319+J319/3</f>
        <v>0</v>
      </c>
    </row>
    <row r="321" spans="3:13" s="492" customFormat="1" ht="15" customHeight="1" x14ac:dyDescent="0.25">
      <c r="C321" s="492" t="s">
        <v>6248</v>
      </c>
      <c r="I321" s="500" t="s">
        <v>985</v>
      </c>
      <c r="J321" s="489" t="str">
        <f>'[1]CADASTRO BASE ORÇ. DESPESA'!L321</f>
        <v xml:space="preserve">0,00% </v>
      </c>
      <c r="K321" s="489" t="str">
        <f>'[1]CADASTRO BASE ORÇ. DESPESA'!N321</f>
        <v xml:space="preserve">0,00% </v>
      </c>
      <c r="L321" s="489" t="str">
        <f>'[1]CADASTRO BASE ORÇ. DESPESA'!P321</f>
        <v xml:space="preserve">0,00% </v>
      </c>
      <c r="M321" s="491">
        <f>L321+K321+J321/3</f>
        <v>0</v>
      </c>
    </row>
    <row r="323" spans="3:13" ht="15" customHeight="1" x14ac:dyDescent="0.2">
      <c r="C323" s="483" t="s">
        <v>6415</v>
      </c>
      <c r="I323" s="506" t="s">
        <v>1162</v>
      </c>
      <c r="J323" s="512">
        <f>'[1]CADASTRO BASE ORÇ. DESPESA'!L323</f>
        <v>-0.60976687283354858</v>
      </c>
      <c r="K323" s="512">
        <f>'[1]CADASTRO BASE ORÇ. DESPESA'!N323</f>
        <v>5.9932272698230121E-2</v>
      </c>
      <c r="L323" s="512">
        <f>'[1]CADASTRO BASE ORÇ. DESPESA'!P323</f>
        <v>-6.3753143478556346E-2</v>
      </c>
      <c r="M323" s="495">
        <f>L323+K323+J323/3</f>
        <v>-0.20707649505817574</v>
      </c>
    </row>
    <row r="325" spans="3:13" s="492" customFormat="1" ht="15" customHeight="1" x14ac:dyDescent="0.25">
      <c r="C325" s="492" t="s">
        <v>6416</v>
      </c>
      <c r="I325" s="500" t="s">
        <v>6417</v>
      </c>
      <c r="J325" s="489">
        <f>'[1]CADASTRO BASE ORÇ. DESPESA'!L325</f>
        <v>5.3750275900334241E-4</v>
      </c>
      <c r="K325" s="489">
        <f>'[1]CADASTRO BASE ORÇ. DESPESA'!N325</f>
        <v>5.439103053644027E-4</v>
      </c>
      <c r="L325" s="489">
        <f>'[1]CADASTRO BASE ORÇ. DESPESA'!P325</f>
        <v>3.4016858401746125E-4</v>
      </c>
      <c r="M325" s="491">
        <f>L325+K325+J325/3</f>
        <v>1.0632464757163113E-3</v>
      </c>
    </row>
    <row r="327" spans="3:13" s="492" customFormat="1" ht="15" customHeight="1" x14ac:dyDescent="0.25">
      <c r="C327" s="492" t="s">
        <v>6256</v>
      </c>
      <c r="I327" s="500" t="s">
        <v>996</v>
      </c>
      <c r="J327" s="489" t="str">
        <f>'[1]CADASTRO BASE ORÇ. DESPESA'!L327</f>
        <v xml:space="preserve">0,00% </v>
      </c>
      <c r="K327" s="489" t="str">
        <f>'[1]CADASTRO BASE ORÇ. DESPESA'!N327</f>
        <v xml:space="preserve">0,00% </v>
      </c>
      <c r="L327" s="489" t="str">
        <f>'[1]CADASTRO BASE ORÇ. DESPESA'!P327</f>
        <v xml:space="preserve">0,00% </v>
      </c>
      <c r="M327" s="491">
        <f>L327+K327+J327/3</f>
        <v>0</v>
      </c>
    </row>
    <row r="329" spans="3:13" ht="15" customHeight="1" x14ac:dyDescent="0.2">
      <c r="C329" s="483" t="s">
        <v>6324</v>
      </c>
      <c r="I329" s="506" t="s">
        <v>1023</v>
      </c>
      <c r="J329" s="512" t="str">
        <f>'[1]CADASTRO BASE ORÇ. DESPESA'!L329</f>
        <v xml:space="preserve">0,00% </v>
      </c>
      <c r="K329" s="512" t="str">
        <f>'[1]CADASTRO BASE ORÇ. DESPESA'!N329</f>
        <v xml:space="preserve">0,00% </v>
      </c>
      <c r="L329" s="512" t="str">
        <f>'[1]CADASTRO BASE ORÇ. DESPESA'!P329</f>
        <v xml:space="preserve">0,00% </v>
      </c>
      <c r="M329" s="495">
        <f>L329+K329+J329/3</f>
        <v>0</v>
      </c>
    </row>
    <row r="331" spans="3:13" ht="15" customHeight="1" x14ac:dyDescent="0.2">
      <c r="C331" s="483" t="s">
        <v>6292</v>
      </c>
      <c r="I331" s="506" t="s">
        <v>1003</v>
      </c>
      <c r="J331" s="512" t="str">
        <f>'[1]CADASTRO BASE ORÇ. DESPESA'!L331</f>
        <v xml:space="preserve">0,00% </v>
      </c>
      <c r="K331" s="512" t="str">
        <f>'[1]CADASTRO BASE ORÇ. DESPESA'!N331</f>
        <v xml:space="preserve">0,00% </v>
      </c>
      <c r="L331" s="512" t="str">
        <f>'[1]CADASTRO BASE ORÇ. DESPESA'!P331</f>
        <v xml:space="preserve">0,00% </v>
      </c>
      <c r="M331" s="495">
        <f>L331+K331+J331/3</f>
        <v>0</v>
      </c>
    </row>
    <row r="333" spans="3:13" ht="15" customHeight="1" x14ac:dyDescent="0.2">
      <c r="C333" s="483" t="s">
        <v>6418</v>
      </c>
      <c r="I333" s="506" t="s">
        <v>1100</v>
      </c>
      <c r="J333" s="512" t="str">
        <f>'[1]CADASTRO BASE ORÇ. DESPESA'!L333</f>
        <v xml:space="preserve">0,00% </v>
      </c>
      <c r="K333" s="512" t="str">
        <f>'[1]CADASTRO BASE ORÇ. DESPESA'!N333</f>
        <v xml:space="preserve">0,00% </v>
      </c>
      <c r="L333" s="512" t="str">
        <f>'[1]CADASTRO BASE ORÇ. DESPESA'!P333</f>
        <v xml:space="preserve">0,00% </v>
      </c>
      <c r="M333" s="495">
        <f>L333+K333+J333/3</f>
        <v>0</v>
      </c>
    </row>
    <row r="335" spans="3:13" s="492" customFormat="1" ht="15" customHeight="1" x14ac:dyDescent="0.25">
      <c r="C335" s="492" t="s">
        <v>6325</v>
      </c>
      <c r="I335" s="500" t="s">
        <v>6419</v>
      </c>
      <c r="J335" s="489" t="str">
        <f>'[1]CADASTRO BASE ORÇ. DESPESA'!L335</f>
        <v xml:space="preserve">0,00% </v>
      </c>
      <c r="K335" s="489" t="str">
        <f>'[1]CADASTRO BASE ORÇ. DESPESA'!N335</f>
        <v xml:space="preserve">0,00% </v>
      </c>
      <c r="L335" s="489" t="str">
        <f>'[1]CADASTRO BASE ORÇ. DESPESA'!P335</f>
        <v xml:space="preserve">0,00% </v>
      </c>
      <c r="M335" s="491">
        <f>L335+K335+J335/3</f>
        <v>0</v>
      </c>
    </row>
    <row r="337" spans="3:18" ht="15" customHeight="1" x14ac:dyDescent="0.2">
      <c r="C337" s="483" t="s">
        <v>6326</v>
      </c>
      <c r="I337" s="506" t="s">
        <v>6397</v>
      </c>
      <c r="J337" s="512" t="str">
        <f>'[1]CADASTRO BASE ORÇ. DESPESA'!L337</f>
        <v xml:space="preserve">0,00% </v>
      </c>
      <c r="K337" s="512" t="str">
        <f>'[1]CADASTRO BASE ORÇ. DESPESA'!N337</f>
        <v xml:space="preserve">0,00% </v>
      </c>
      <c r="L337" s="512" t="str">
        <f>'[1]CADASTRO BASE ORÇ. DESPESA'!P337</f>
        <v xml:space="preserve">0,00% </v>
      </c>
      <c r="M337" s="495">
        <f>L337+K337+J337/3</f>
        <v>0</v>
      </c>
    </row>
    <row r="340" spans="3:18" s="492" customFormat="1" ht="15" customHeight="1" x14ac:dyDescent="0.25">
      <c r="C340" s="492" t="s">
        <v>2112</v>
      </c>
      <c r="I340" s="500" t="s">
        <v>2113</v>
      </c>
      <c r="J340" s="489">
        <f>'[1]CADASTRO BASE ORÇ. DESPESA'!L342</f>
        <v>0.80549345995621624</v>
      </c>
      <c r="K340" s="489">
        <f>'[1]CADASTRO BASE ORÇ. DESPESA'!N342</f>
        <v>-11.830741710296687</v>
      </c>
      <c r="L340" s="489">
        <f>'[1]CADASTRO BASE ORÇ. DESPESA'!P342</f>
        <v>0.92206202393906422</v>
      </c>
      <c r="M340" s="491">
        <f>L340+K340+J340/3</f>
        <v>-10.640181866372217</v>
      </c>
      <c r="R340" s="502"/>
    </row>
    <row r="341" spans="3:18" s="492" customFormat="1" ht="15" customHeight="1" x14ac:dyDescent="0.25">
      <c r="J341" s="489"/>
      <c r="K341" s="489"/>
      <c r="L341" s="489"/>
      <c r="M341" s="491"/>
    </row>
    <row r="342" spans="3:18" s="492" customFormat="1" ht="15" customHeight="1" x14ac:dyDescent="0.25">
      <c r="C342" s="492" t="s">
        <v>2114</v>
      </c>
      <c r="I342" s="500" t="s">
        <v>95</v>
      </c>
      <c r="J342" s="489">
        <f>'[1]CADASTRO BASE ORÇ. DESPESA'!L344</f>
        <v>0.80549356951714202</v>
      </c>
      <c r="K342" s="489">
        <f>'[1]CADASTRO BASE ORÇ. DESPESA'!N344</f>
        <v>-11.830739965095988</v>
      </c>
      <c r="L342" s="489">
        <f>'[1]CADASTRO BASE ORÇ. DESPESA'!P344</f>
        <v>0.92206202393906422</v>
      </c>
      <c r="M342" s="491">
        <f>L342+K342+J342/3</f>
        <v>-10.64018008465121</v>
      </c>
      <c r="N342" s="502"/>
    </row>
    <row r="343" spans="3:18" s="492" customFormat="1" ht="15" customHeight="1" x14ac:dyDescent="0.25">
      <c r="J343" s="591"/>
      <c r="K343" s="591"/>
      <c r="L343" s="591"/>
      <c r="M343" s="591"/>
    </row>
    <row r="344" spans="3:18" s="492" customFormat="1" ht="15" customHeight="1" x14ac:dyDescent="0.25">
      <c r="C344" s="492" t="s">
        <v>2117</v>
      </c>
      <c r="I344" s="500" t="s">
        <v>2118</v>
      </c>
      <c r="J344" s="489" t="str">
        <f>'[1]CADASTRO BASE ORÇ. DESPESA'!L346</f>
        <v xml:space="preserve">0,00% </v>
      </c>
      <c r="K344" s="489" t="str">
        <f>'[1]CADASTRO BASE ORÇ. DESPESA'!N346</f>
        <v xml:space="preserve">0,00% </v>
      </c>
      <c r="L344" s="489" t="str">
        <f>'[1]CADASTRO BASE ORÇ. DESPESA'!P346</f>
        <v xml:space="preserve">0,00% </v>
      </c>
      <c r="M344" s="491">
        <f>L344+K344+J344/3</f>
        <v>0</v>
      </c>
    </row>
    <row r="345" spans="3:18" s="492" customFormat="1" ht="15" customHeight="1" x14ac:dyDescent="0.25">
      <c r="J345" s="591"/>
      <c r="K345" s="591"/>
      <c r="L345" s="591"/>
      <c r="M345" s="591"/>
    </row>
    <row r="346" spans="3:18" ht="15" customHeight="1" x14ac:dyDescent="0.2">
      <c r="C346" s="483" t="s">
        <v>6265</v>
      </c>
      <c r="I346" s="506" t="s">
        <v>985</v>
      </c>
      <c r="J346" s="512" t="str">
        <f>'[1]CADASTRO BASE ORÇ. DESPESA'!L348</f>
        <v xml:space="preserve">0,00% </v>
      </c>
      <c r="K346" s="512" t="str">
        <f>'[1]CADASTRO BASE ORÇ. DESPESA'!N348</f>
        <v xml:space="preserve">0,00% </v>
      </c>
      <c r="L346" s="512" t="str">
        <f>'[1]CADASTRO BASE ORÇ. DESPESA'!P348</f>
        <v xml:space="preserve">0,00% </v>
      </c>
      <c r="M346" s="495">
        <f>L346+K346+J346/3</f>
        <v>0</v>
      </c>
    </row>
    <row r="347" spans="3:18" s="492" customFormat="1" ht="15" customHeight="1" x14ac:dyDescent="0.25">
      <c r="J347" s="591"/>
      <c r="K347" s="591"/>
      <c r="L347" s="591"/>
      <c r="M347" s="591"/>
    </row>
    <row r="348" spans="3:18" s="492" customFormat="1" ht="15" customHeight="1" x14ac:dyDescent="0.25">
      <c r="C348" s="492" t="s">
        <v>2119</v>
      </c>
      <c r="I348" s="500" t="s">
        <v>2120</v>
      </c>
      <c r="J348" s="489" t="str">
        <f>'[1]CADASTRO BASE ORÇ. DESPESA'!L350</f>
        <v xml:space="preserve">0,00% </v>
      </c>
      <c r="K348" s="489" t="str">
        <f>'[1]CADASTRO BASE ORÇ. DESPESA'!N350</f>
        <v xml:space="preserve">0,00% </v>
      </c>
      <c r="L348" s="489" t="str">
        <f>'[1]CADASTRO BASE ORÇ. DESPESA'!P350</f>
        <v xml:space="preserve">0,00% </v>
      </c>
      <c r="M348" s="491">
        <f>L348+K348+J348/3</f>
        <v>0</v>
      </c>
    </row>
    <row r="350" spans="3:18" ht="15" customHeight="1" x14ac:dyDescent="0.2">
      <c r="C350" s="483" t="s">
        <v>6266</v>
      </c>
      <c r="I350" s="506" t="s">
        <v>985</v>
      </c>
      <c r="J350" s="512" t="str">
        <f>'[1]CADASTRO BASE ORÇ. DESPESA'!L352</f>
        <v xml:space="preserve">0,00% </v>
      </c>
      <c r="K350" s="512" t="str">
        <f>'[1]CADASTRO BASE ORÇ. DESPESA'!N352</f>
        <v xml:space="preserve">0,00% </v>
      </c>
      <c r="L350" s="512" t="str">
        <f>'[1]CADASTRO BASE ORÇ. DESPESA'!P352</f>
        <v xml:space="preserve">0,00% </v>
      </c>
      <c r="M350" s="495">
        <f>L350+K350+J350/3</f>
        <v>0</v>
      </c>
    </row>
    <row r="352" spans="3:18" s="492" customFormat="1" ht="15" customHeight="1" x14ac:dyDescent="0.25">
      <c r="C352" s="492" t="s">
        <v>2115</v>
      </c>
      <c r="I352" s="500" t="s">
        <v>2108</v>
      </c>
      <c r="J352" s="489">
        <f>'[1]CADASTRO BASE ORÇ. DESPESA'!L354</f>
        <v>0.80549356951714202</v>
      </c>
      <c r="K352" s="489">
        <f>'[1]CADASTRO BASE ORÇ. DESPESA'!N354</f>
        <v>-11.830739965095988</v>
      </c>
      <c r="L352" s="489">
        <f>'[1]CADASTRO BASE ORÇ. DESPESA'!P354</f>
        <v>0.92206202393906422</v>
      </c>
      <c r="M352" s="491">
        <f>L352+K352+J352/3</f>
        <v>-10.64018008465121</v>
      </c>
    </row>
    <row r="353" spans="3:13" s="492" customFormat="1" ht="15" customHeight="1" x14ac:dyDescent="0.25">
      <c r="J353" s="591"/>
      <c r="K353" s="591"/>
      <c r="L353" s="591"/>
      <c r="M353" s="591"/>
    </row>
    <row r="354" spans="3:13" s="492" customFormat="1" ht="15" customHeight="1" x14ac:dyDescent="0.25">
      <c r="C354" s="492" t="s">
        <v>6232</v>
      </c>
      <c r="I354" s="500" t="s">
        <v>996</v>
      </c>
      <c r="J354" s="489" t="str">
        <f>'[1]CADASTRO BASE ORÇ. DESPESA'!L356</f>
        <v xml:space="preserve">0,00% </v>
      </c>
      <c r="K354" s="489" t="str">
        <f>'[1]CADASTRO BASE ORÇ. DESPESA'!N356</f>
        <v xml:space="preserve">0,00% </v>
      </c>
      <c r="L354" s="489" t="str">
        <f>'[1]CADASTRO BASE ORÇ. DESPESA'!P356</f>
        <v xml:space="preserve">0,00% </v>
      </c>
      <c r="M354" s="491">
        <f>L354+K354+J354/3</f>
        <v>0</v>
      </c>
    </row>
    <row r="356" spans="3:13" ht="15" customHeight="1" x14ac:dyDescent="0.2">
      <c r="C356" s="483" t="s">
        <v>6420</v>
      </c>
      <c r="I356" s="506" t="s">
        <v>5428</v>
      </c>
      <c r="J356" s="512" t="str">
        <f>'[1]CADASTRO BASE ORÇ. DESPESA'!L358</f>
        <v xml:space="preserve">0,00% </v>
      </c>
      <c r="K356" s="512" t="str">
        <f>'[1]CADASTRO BASE ORÇ. DESPESA'!N358</f>
        <v xml:space="preserve">0,00% </v>
      </c>
      <c r="L356" s="512" t="str">
        <f>'[1]CADASTRO BASE ORÇ. DESPESA'!P358</f>
        <v xml:space="preserve">0,00% </v>
      </c>
      <c r="M356" s="495">
        <f>L356+K356+J356/3</f>
        <v>0</v>
      </c>
    </row>
    <row r="358" spans="3:13" ht="15" customHeight="1" x14ac:dyDescent="0.2">
      <c r="C358" s="483" t="s">
        <v>6315</v>
      </c>
      <c r="I358" s="506" t="s">
        <v>6373</v>
      </c>
      <c r="J358" s="512" t="str">
        <f>'[1]CADASTRO BASE ORÇ. DESPESA'!L360</f>
        <v xml:space="preserve">0,00% </v>
      </c>
      <c r="K358" s="512" t="str">
        <f>'[1]CADASTRO BASE ORÇ. DESPESA'!N360</f>
        <v xml:space="preserve">0,00% </v>
      </c>
      <c r="L358" s="512" t="str">
        <f>'[1]CADASTRO BASE ORÇ. DESPESA'!P360</f>
        <v xml:space="preserve">0,00% </v>
      </c>
      <c r="M358" s="495">
        <f>L358+K358+J358/3</f>
        <v>0</v>
      </c>
    </row>
    <row r="360" spans="3:13" ht="15" customHeight="1" x14ac:dyDescent="0.2">
      <c r="C360" s="483" t="s">
        <v>6330</v>
      </c>
      <c r="I360" s="506" t="s">
        <v>995</v>
      </c>
      <c r="J360" s="512" t="str">
        <f>'[1]CADASTRO BASE ORÇ. DESPESA'!L362</f>
        <v xml:space="preserve">0,00% </v>
      </c>
      <c r="K360" s="512" t="str">
        <f>'[1]CADASTRO BASE ORÇ. DESPESA'!N362</f>
        <v xml:space="preserve">0,00% </v>
      </c>
      <c r="L360" s="512" t="str">
        <f>'[1]CADASTRO BASE ORÇ. DESPESA'!P362</f>
        <v xml:space="preserve">0,00% </v>
      </c>
      <c r="M360" s="495">
        <f>L360+K360+J360/3</f>
        <v>0</v>
      </c>
    </row>
    <row r="362" spans="3:13" s="492" customFormat="1" ht="15" customHeight="1" x14ac:dyDescent="0.25">
      <c r="C362" s="492" t="s">
        <v>6233</v>
      </c>
      <c r="I362" s="500" t="s">
        <v>993</v>
      </c>
      <c r="J362" s="489">
        <f>'[1]CADASTRO BASE ORÇ. DESPESA'!L364</f>
        <v>0</v>
      </c>
      <c r="K362" s="489" t="str">
        <f>'[1]CADASTRO BASE ORÇ. DESPESA'!N364</f>
        <v xml:space="preserve">0,00% </v>
      </c>
      <c r="L362" s="489" t="str">
        <f>'[1]CADASTRO BASE ORÇ. DESPESA'!P364</f>
        <v xml:space="preserve">0,00% </v>
      </c>
      <c r="M362" s="491">
        <f>L362+K362+J362/3</f>
        <v>0</v>
      </c>
    </row>
    <row r="364" spans="3:13" ht="15" customHeight="1" x14ac:dyDescent="0.2">
      <c r="C364" s="483" t="s">
        <v>6421</v>
      </c>
      <c r="I364" s="506" t="s">
        <v>6422</v>
      </c>
      <c r="J364" s="512">
        <f>'[1]CADASTRO BASE ORÇ. DESPESA'!L366</f>
        <v>1.8266252939690833E-9</v>
      </c>
      <c r="K364" s="512" t="str">
        <f>'[1]CADASTRO BASE ORÇ. DESPESA'!N366</f>
        <v xml:space="preserve">0,00% </v>
      </c>
      <c r="L364" s="512" t="str">
        <f>'[1]CADASTRO BASE ORÇ. DESPESA'!P366</f>
        <v xml:space="preserve">0,00% </v>
      </c>
      <c r="M364" s="495">
        <f>L364+K364+J364/3</f>
        <v>6.0887509798969444E-10</v>
      </c>
    </row>
    <row r="366" spans="3:13" s="492" customFormat="1" ht="15" customHeight="1" x14ac:dyDescent="0.25">
      <c r="C366" s="492" t="s">
        <v>6234</v>
      </c>
      <c r="I366" s="500" t="s">
        <v>1053</v>
      </c>
      <c r="J366" s="489">
        <f>'[1]CADASTRO BASE ORÇ. DESPESA'!L368</f>
        <v>0</v>
      </c>
      <c r="K366" s="489" t="str">
        <f>'[1]CADASTRO BASE ORÇ. DESPESA'!N368</f>
        <v xml:space="preserve">0,00% </v>
      </c>
      <c r="L366" s="489" t="str">
        <f>'[1]CADASTRO BASE ORÇ. DESPESA'!P368</f>
        <v xml:space="preserve">0,00% </v>
      </c>
      <c r="M366" s="491">
        <f>L366+K366+J366/3</f>
        <v>0</v>
      </c>
    </row>
    <row r="368" spans="3:13" ht="15" customHeight="1" x14ac:dyDescent="0.2">
      <c r="C368" s="483" t="s">
        <v>6423</v>
      </c>
      <c r="I368" s="506" t="s">
        <v>1742</v>
      </c>
      <c r="J368" s="512">
        <f>'[1]CADASTRO BASE ORÇ. DESPESA'!L370</f>
        <v>1.8266252939690833E-9</v>
      </c>
      <c r="K368" s="512" t="str">
        <f>'[1]CADASTRO BASE ORÇ. DESPESA'!N370</f>
        <v xml:space="preserve">0,00% </v>
      </c>
      <c r="L368" s="512" t="str">
        <f>'[1]CADASTRO BASE ORÇ. DESPESA'!P370</f>
        <v xml:space="preserve">0,00% </v>
      </c>
      <c r="M368" s="495">
        <f>L368+K368+J368/3</f>
        <v>6.0887509798969444E-10</v>
      </c>
    </row>
    <row r="370" spans="3:13" s="492" customFormat="1" ht="15" customHeight="1" x14ac:dyDescent="0.25">
      <c r="C370" s="492" t="s">
        <v>6251</v>
      </c>
      <c r="I370" s="500" t="s">
        <v>1029</v>
      </c>
      <c r="J370" s="489">
        <f>'[1]CADASTRO BASE ORÇ. DESPESA'!L372</f>
        <v>0</v>
      </c>
      <c r="K370" s="489" t="str">
        <f>'[1]CADASTRO BASE ORÇ. DESPESA'!N372</f>
        <v xml:space="preserve">0,00% </v>
      </c>
      <c r="L370" s="489" t="str">
        <f>'[1]CADASTRO BASE ORÇ. DESPESA'!P372</f>
        <v xml:space="preserve">0,00% </v>
      </c>
      <c r="M370" s="491">
        <f>L370+K370+J370/3</f>
        <v>0</v>
      </c>
    </row>
    <row r="371" spans="3:13" ht="15" customHeight="1" x14ac:dyDescent="0.25">
      <c r="I371" s="506"/>
    </row>
    <row r="372" spans="3:13" ht="15" customHeight="1" x14ac:dyDescent="0.2">
      <c r="C372" s="483" t="s">
        <v>6299</v>
      </c>
      <c r="I372" s="506" t="s">
        <v>1028</v>
      </c>
      <c r="J372" s="512">
        <f>'[1]CADASTRO BASE ORÇ. DESPESA'!L374</f>
        <v>1.8266252939690833E-9</v>
      </c>
      <c r="K372" s="512" t="str">
        <f>'[1]CADASTRO BASE ORÇ. DESPESA'!N374</f>
        <v xml:space="preserve">0,00% </v>
      </c>
      <c r="L372" s="512" t="str">
        <f>'[1]CADASTRO BASE ORÇ. DESPESA'!P374</f>
        <v xml:space="preserve">0,00% </v>
      </c>
      <c r="M372" s="495">
        <f>L372+K372+J372/3</f>
        <v>6.0887509798969444E-10</v>
      </c>
    </row>
    <row r="374" spans="3:13" s="492" customFormat="1" ht="15" customHeight="1" x14ac:dyDescent="0.25">
      <c r="C374" s="492" t="s">
        <v>6235</v>
      </c>
      <c r="I374" s="500" t="s">
        <v>997</v>
      </c>
      <c r="J374" s="489">
        <f>'[1]CADASTRO BASE ORÇ. DESPESA'!L376</f>
        <v>0.80549400776114299</v>
      </c>
      <c r="K374" s="489">
        <f>'[1]CADASTRO BASE ORÇ. DESPESA'!N376</f>
        <v>-11.830732984293196</v>
      </c>
      <c r="L374" s="489">
        <f>'[1]CADASTRO BASE ORÇ. DESPESA'!P376</f>
        <v>0.92206202393906422</v>
      </c>
      <c r="M374" s="491">
        <f>L374+K374+J374/3</f>
        <v>-10.640172957767083</v>
      </c>
    </row>
    <row r="376" spans="3:13" ht="15" customHeight="1" x14ac:dyDescent="0.2">
      <c r="C376" s="483" t="s">
        <v>6424</v>
      </c>
      <c r="I376" s="506" t="s">
        <v>5522</v>
      </c>
      <c r="J376" s="512">
        <f>'[1]CADASTRO BASE ORÇ. DESPESA'!L378</f>
        <v>1.8266252939690833E-9</v>
      </c>
      <c r="K376" s="512" t="str">
        <f>'[1]CADASTRO BASE ORÇ. DESPESA'!N378</f>
        <v xml:space="preserve">0,00% </v>
      </c>
      <c r="L376" s="512" t="str">
        <f>'[1]CADASTRO BASE ORÇ. DESPESA'!P378</f>
        <v xml:space="preserve">0,00% </v>
      </c>
      <c r="M376" s="495">
        <f>L376+K376+J376/3</f>
        <v>6.0887509798969444E-10</v>
      </c>
    </row>
    <row r="378" spans="3:13" ht="15" customHeight="1" x14ac:dyDescent="0.2">
      <c r="C378" s="483" t="s">
        <v>6316</v>
      </c>
      <c r="I378" s="506" t="s">
        <v>1106</v>
      </c>
      <c r="J378" s="512">
        <f>'[1]CADASTRO BASE ORÇ. DESPESA'!L380</f>
        <v>1.8266252939690833E-9</v>
      </c>
      <c r="K378" s="512" t="str">
        <f>'[1]CADASTRO BASE ORÇ. DESPESA'!N380</f>
        <v xml:space="preserve">0,00% </v>
      </c>
      <c r="L378" s="512" t="str">
        <f>'[1]CADASTRO BASE ORÇ. DESPESA'!P380</f>
        <v xml:space="preserve">0,00% </v>
      </c>
      <c r="M378" s="495">
        <f>L378+K378+J378/3</f>
        <v>6.0887509798969444E-10</v>
      </c>
    </row>
    <row r="380" spans="3:13" ht="15" customHeight="1" x14ac:dyDescent="0.2">
      <c r="C380" s="483" t="s">
        <v>6270</v>
      </c>
      <c r="I380" s="506" t="s">
        <v>999</v>
      </c>
      <c r="J380" s="512">
        <f>'[1]CADASTRO BASE ORÇ. DESPESA'!L382</f>
        <v>1.8266252939690833E-9</v>
      </c>
      <c r="K380" s="512">
        <f>'[1]CADASTRO BASE ORÇ. DESPESA'!N382</f>
        <v>0.99999159663865544</v>
      </c>
      <c r="L380" s="512" t="str">
        <f>'[1]CADASTRO BASE ORÇ. DESPESA'!P382</f>
        <v xml:space="preserve">0,00% </v>
      </c>
      <c r="M380" s="495">
        <f>L380+K380+J380/3</f>
        <v>0.99999159724753051</v>
      </c>
    </row>
    <row r="382" spans="3:13" ht="15" customHeight="1" x14ac:dyDescent="0.2">
      <c r="C382" s="483" t="s">
        <v>6450</v>
      </c>
      <c r="I382" s="506" t="s">
        <v>6451</v>
      </c>
      <c r="J382" s="512">
        <f>'[1]CADASTRO BASE ORÇ. DESPESA'!L384</f>
        <v>1.8266252939690833E-9</v>
      </c>
      <c r="K382" s="512" t="str">
        <f>'[1]CADASTRO BASE ORÇ. DESPESA'!N384</f>
        <v xml:space="preserve">0,00% </v>
      </c>
      <c r="L382" s="512" t="str">
        <f>'[1]CADASTRO BASE ORÇ. DESPESA'!P384</f>
        <v xml:space="preserve">0,00% </v>
      </c>
      <c r="M382" s="495">
        <f>L382+K382+J382/3</f>
        <v>6.0887509798969444E-10</v>
      </c>
    </row>
    <row r="384" spans="3:13" ht="15" customHeight="1" x14ac:dyDescent="0.2">
      <c r="C384" s="483" t="s">
        <v>6331</v>
      </c>
      <c r="I384" s="506" t="s">
        <v>5531</v>
      </c>
      <c r="J384" s="512">
        <f>'[1]CADASTRO BASE ORÇ. DESPESA'!L386</f>
        <v>1.8266252939690833E-9</v>
      </c>
      <c r="K384" s="512" t="str">
        <f>'[1]CADASTRO BASE ORÇ. DESPESA'!N386</f>
        <v xml:space="preserve">0,00% </v>
      </c>
      <c r="L384" s="512" t="str">
        <f>'[1]CADASTRO BASE ORÇ. DESPESA'!P386</f>
        <v xml:space="preserve">0,00% </v>
      </c>
      <c r="M384" s="495">
        <f>L384+K384+J384/3</f>
        <v>6.0887509798969444E-10</v>
      </c>
    </row>
    <row r="386" spans="3:13" ht="15" customHeight="1" x14ac:dyDescent="0.2">
      <c r="C386" s="483" t="s">
        <v>6308</v>
      </c>
      <c r="I386" s="506" t="s">
        <v>6425</v>
      </c>
      <c r="J386" s="512">
        <f>'[1]CADASTRO BASE ORÇ. DESPESA'!L388</f>
        <v>1.3429349161260699E-2</v>
      </c>
      <c r="K386" s="512">
        <f>'[1]CADASTRO BASE ORÇ. DESPESA'!N388</f>
        <v>-42.502958579881657</v>
      </c>
      <c r="L386" s="512">
        <f>'[1]CADASTRO BASE ORÇ. DESPESA'!P388</f>
        <v>0.97701305767138191</v>
      </c>
      <c r="M386" s="495">
        <f>L386+K386+J386/3</f>
        <v>-41.52146907248985</v>
      </c>
    </row>
    <row r="388" spans="3:13" ht="15" customHeight="1" x14ac:dyDescent="0.2">
      <c r="C388" s="483" t="s">
        <v>6271</v>
      </c>
      <c r="I388" s="506" t="s">
        <v>998</v>
      </c>
      <c r="J388" s="512">
        <f>'[1]CADASTRO BASE ORÇ. DESPESA'!L390</f>
        <v>1.8266252939690833E-9</v>
      </c>
      <c r="K388" s="512">
        <f>'[1]CADASTRO BASE ORÇ. DESPESA'!N390</f>
        <v>0.99999649122807022</v>
      </c>
      <c r="L388" s="512" t="str">
        <f>'[1]CADASTRO BASE ORÇ. DESPESA'!P390</f>
        <v xml:space="preserve">0,00% </v>
      </c>
      <c r="M388" s="495">
        <f>L388+K388+J388/3</f>
        <v>0.99999649183694528</v>
      </c>
    </row>
    <row r="390" spans="3:13" ht="15" customHeight="1" x14ac:dyDescent="0.2">
      <c r="C390" s="483" t="s">
        <v>6426</v>
      </c>
      <c r="I390" s="506" t="s">
        <v>5532</v>
      </c>
      <c r="J390" s="512">
        <f>'[1]CADASTRO BASE ORÇ. DESPESA'!L392</f>
        <v>1.8266252939690833E-9</v>
      </c>
      <c r="K390" s="512" t="str">
        <f>'[1]CADASTRO BASE ORÇ. DESPESA'!N392</f>
        <v xml:space="preserve">0,00% </v>
      </c>
      <c r="L390" s="512" t="str">
        <f>'[1]CADASTRO BASE ORÇ. DESPESA'!P392</f>
        <v xml:space="preserve">0,00% </v>
      </c>
      <c r="M390" s="495">
        <f>L390+K390+J390/3</f>
        <v>6.0887509798969444E-10</v>
      </c>
    </row>
    <row r="392" spans="3:13" ht="15" customHeight="1" x14ac:dyDescent="0.2">
      <c r="C392" s="483" t="s">
        <v>6452</v>
      </c>
      <c r="I392" s="506" t="s">
        <v>6453</v>
      </c>
      <c r="J392" s="512">
        <f>'[1]CADASTRO BASE ORÇ. DESPESA'!L394</f>
        <v>1.8266252939690833E-9</v>
      </c>
      <c r="K392" s="512" t="str">
        <f>'[1]CADASTRO BASE ORÇ. DESPESA'!N394</f>
        <v xml:space="preserve">0,00% </v>
      </c>
      <c r="L392" s="512" t="str">
        <f>'[1]CADASTRO BASE ORÇ. DESPESA'!P394</f>
        <v xml:space="preserve">0,00% </v>
      </c>
      <c r="M392" s="495">
        <f>L392+K392+J392/3</f>
        <v>6.0887509798969444E-10</v>
      </c>
    </row>
    <row r="394" spans="3:13" ht="15" customHeight="1" x14ac:dyDescent="0.2">
      <c r="C394" s="483" t="s">
        <v>6272</v>
      </c>
      <c r="I394" s="506" t="s">
        <v>1000</v>
      </c>
      <c r="J394" s="512">
        <f>'[1]CADASTRO BASE ORÇ. DESPESA'!L396</f>
        <v>1.8266252939690833E-9</v>
      </c>
      <c r="K394" s="512" t="str">
        <f>'[1]CADASTRO BASE ORÇ. DESPESA'!N396</f>
        <v xml:space="preserve">0,00% </v>
      </c>
      <c r="L394" s="512" t="str">
        <f>'[1]CADASTRO BASE ORÇ. DESPESA'!P396</f>
        <v xml:space="preserve">0,00% </v>
      </c>
      <c r="M394" s="495">
        <f>L394+K394+J394/3</f>
        <v>6.0887509798969444E-10</v>
      </c>
    </row>
    <row r="396" spans="3:13" ht="15" customHeight="1" x14ac:dyDescent="0.2">
      <c r="C396" s="483" t="s">
        <v>6294</v>
      </c>
      <c r="I396" s="506" t="s">
        <v>1099</v>
      </c>
      <c r="J396" s="512">
        <f>'[1]CADASTRO BASE ORÇ. DESPESA'!L398</f>
        <v>1.8266252939690833E-9</v>
      </c>
      <c r="K396" s="512" t="str">
        <f>'[1]CADASTRO BASE ORÇ. DESPESA'!N398</f>
        <v xml:space="preserve">0,00% </v>
      </c>
      <c r="L396" s="512" t="str">
        <f>'[1]CADASTRO BASE ORÇ. DESPESA'!P398</f>
        <v xml:space="preserve">0,00% </v>
      </c>
      <c r="M396" s="495">
        <f>L396+K396+J396/3</f>
        <v>6.0887509798969444E-10</v>
      </c>
    </row>
    <row r="398" spans="3:13" s="492" customFormat="1" ht="15" customHeight="1" x14ac:dyDescent="0.25">
      <c r="C398" s="492" t="s">
        <v>6252</v>
      </c>
      <c r="I398" s="500" t="s">
        <v>1192</v>
      </c>
      <c r="J398" s="489">
        <f>'[1]CADASTRO BASE ORÇ. DESPESA'!L400</f>
        <v>0</v>
      </c>
      <c r="K398" s="489" t="str">
        <f>'[1]CADASTRO BASE ORÇ. DESPESA'!N400</f>
        <v xml:space="preserve">0,00% </v>
      </c>
      <c r="L398" s="489" t="str">
        <f>'[1]CADASTRO BASE ORÇ. DESPESA'!P400</f>
        <v xml:space="preserve">0,00% </v>
      </c>
      <c r="M398" s="491">
        <f>L398+K398+J398/3</f>
        <v>0</v>
      </c>
    </row>
    <row r="400" spans="3:13" ht="15" customHeight="1" x14ac:dyDescent="0.2">
      <c r="C400" s="483" t="s">
        <v>6427</v>
      </c>
      <c r="I400" s="506" t="s">
        <v>1191</v>
      </c>
      <c r="J400" s="512">
        <f>'[1]CADASTRO BASE ORÇ. DESPESA'!L402</f>
        <v>1.8266252939690833E-9</v>
      </c>
      <c r="K400" s="512" t="str">
        <f>'[1]CADASTRO BASE ORÇ. DESPESA'!N402</f>
        <v xml:space="preserve">0,00% </v>
      </c>
      <c r="L400" s="512" t="str">
        <f>'[1]CADASTRO BASE ORÇ. DESPESA'!P402</f>
        <v xml:space="preserve">0,00% </v>
      </c>
      <c r="M400" s="495">
        <f>L400+K400+J400/3</f>
        <v>6.0887509798969444E-10</v>
      </c>
    </row>
    <row r="402" spans="3:18" s="492" customFormat="1" ht="15" customHeight="1" x14ac:dyDescent="0.25">
      <c r="C402" s="492" t="s">
        <v>6428</v>
      </c>
      <c r="I402" s="500" t="s">
        <v>2079</v>
      </c>
      <c r="J402" s="489">
        <f>'[1]CADASTRO BASE ORÇ. DESPESA'!L404</f>
        <v>0</v>
      </c>
      <c r="K402" s="489" t="str">
        <f>'[1]CADASTRO BASE ORÇ. DESPESA'!N404</f>
        <v xml:space="preserve">0,00% </v>
      </c>
      <c r="L402" s="489" t="str">
        <f>'[1]CADASTRO BASE ORÇ. DESPESA'!P404</f>
        <v xml:space="preserve">0,00% </v>
      </c>
      <c r="M402" s="491">
        <f>L402+K402+J402/3</f>
        <v>0</v>
      </c>
      <c r="N402" s="502"/>
    </row>
    <row r="403" spans="3:18" s="492" customFormat="1" ht="15" customHeight="1" x14ac:dyDescent="0.25">
      <c r="J403" s="591"/>
      <c r="K403" s="591"/>
      <c r="L403" s="591"/>
      <c r="M403" s="591"/>
    </row>
    <row r="404" spans="3:18" s="492" customFormat="1" ht="15" customHeight="1" x14ac:dyDescent="0.25">
      <c r="C404" s="492" t="s">
        <v>6429</v>
      </c>
      <c r="I404" s="500" t="s">
        <v>2108</v>
      </c>
      <c r="J404" s="489">
        <f>'[1]CADASTRO BASE ORÇ. DESPESA'!L406</f>
        <v>0</v>
      </c>
      <c r="K404" s="489" t="str">
        <f>'[1]CADASTRO BASE ORÇ. DESPESA'!N406</f>
        <v xml:space="preserve">0,00% </v>
      </c>
      <c r="L404" s="489" t="str">
        <f>'[1]CADASTRO BASE ORÇ. DESPESA'!P406</f>
        <v xml:space="preserve">0,00% </v>
      </c>
      <c r="M404" s="491">
        <f>L404+K404+J404/3</f>
        <v>0</v>
      </c>
    </row>
    <row r="405" spans="3:18" s="492" customFormat="1" ht="15" customHeight="1" x14ac:dyDescent="0.25">
      <c r="I405" s="500"/>
      <c r="J405" s="591"/>
      <c r="K405" s="591"/>
      <c r="L405" s="591"/>
      <c r="M405" s="591"/>
    </row>
    <row r="406" spans="3:18" ht="15" customHeight="1" x14ac:dyDescent="0.2">
      <c r="C406" s="483" t="s">
        <v>6267</v>
      </c>
      <c r="I406" s="506" t="s">
        <v>6454</v>
      </c>
      <c r="J406" s="512">
        <f>'[1]CADASTRO BASE ORÇ. DESPESA'!L408</f>
        <v>1.8266252939690833E-9</v>
      </c>
      <c r="K406" s="512" t="str">
        <f>'[1]CADASTRO BASE ORÇ. DESPESA'!N408</f>
        <v xml:space="preserve">0,00% </v>
      </c>
      <c r="L406" s="512" t="str">
        <f>'[1]CADASTRO BASE ORÇ. DESPESA'!P408</f>
        <v xml:space="preserve">0,00% </v>
      </c>
      <c r="M406" s="495">
        <f>L406+K406+J406/3</f>
        <v>6.0887509798969444E-10</v>
      </c>
    </row>
    <row r="407" spans="3:18" ht="15" customHeight="1" x14ac:dyDescent="0.2">
      <c r="I407" s="506"/>
      <c r="J407" s="494"/>
      <c r="K407" s="494"/>
      <c r="L407" s="494"/>
      <c r="M407" s="495"/>
    </row>
    <row r="408" spans="3:18" ht="15" customHeight="1" x14ac:dyDescent="0.2">
      <c r="C408" s="483" t="s">
        <v>6455</v>
      </c>
      <c r="I408" s="506" t="s">
        <v>6457</v>
      </c>
      <c r="J408" s="512">
        <f>'[1]CADASTRO BASE ORÇ. DESPESA'!L410</f>
        <v>1.8266252939690833E-9</v>
      </c>
      <c r="K408" s="512" t="str">
        <f>'[1]CADASTRO BASE ORÇ. DESPESA'!N410</f>
        <v xml:space="preserve">0,00% </v>
      </c>
      <c r="L408" s="512" t="str">
        <f>'[1]CADASTRO BASE ORÇ. DESPESA'!P410</f>
        <v xml:space="preserve">0,00% </v>
      </c>
      <c r="M408" s="495">
        <f>L408+K408+J408/3</f>
        <v>6.0887509798969444E-10</v>
      </c>
    </row>
    <row r="409" spans="3:18" ht="15" customHeight="1" x14ac:dyDescent="0.25">
      <c r="I409" s="506"/>
    </row>
    <row r="410" spans="3:18" ht="15" customHeight="1" x14ac:dyDescent="0.2">
      <c r="C410" s="483" t="s">
        <v>6456</v>
      </c>
      <c r="I410" s="506" t="s">
        <v>6458</v>
      </c>
      <c r="J410" s="512">
        <f>'[1]CADASTRO BASE ORÇ. DESPESA'!L412</f>
        <v>1.8266252939690833E-9</v>
      </c>
      <c r="K410" s="512" t="str">
        <f>'[1]CADASTRO BASE ORÇ. DESPESA'!N412</f>
        <v xml:space="preserve">0,00% </v>
      </c>
      <c r="L410" s="512" t="str">
        <f>'[1]CADASTRO BASE ORÇ. DESPESA'!P412</f>
        <v xml:space="preserve">0,00% </v>
      </c>
      <c r="M410" s="495">
        <f>L410+K410+J410/3</f>
        <v>6.0887509798969444E-10</v>
      </c>
    </row>
    <row r="411" spans="3:18" ht="15" customHeight="1" x14ac:dyDescent="0.25">
      <c r="I411" s="506"/>
    </row>
    <row r="412" spans="3:18" s="492" customFormat="1" ht="15" customHeight="1" x14ac:dyDescent="0.25">
      <c r="C412" s="492" t="s">
        <v>6430</v>
      </c>
      <c r="I412" s="500" t="s">
        <v>988</v>
      </c>
      <c r="J412" s="489" t="str">
        <f>'[1]CADASTRO BASE ORÇ. DESPESA'!L414</f>
        <v xml:space="preserve">0,00% </v>
      </c>
      <c r="K412" s="489" t="str">
        <f>'[1]CADASTRO BASE ORÇ. DESPESA'!N414</f>
        <v xml:space="preserve">0,00% </v>
      </c>
      <c r="L412" s="489" t="str">
        <f>'[1]CADASTRO BASE ORÇ. DESPESA'!P414</f>
        <v xml:space="preserve">0,00% </v>
      </c>
      <c r="M412" s="491">
        <f>L412+K412+J412/3</f>
        <v>0</v>
      </c>
      <c r="R412" s="502"/>
    </row>
    <row r="413" spans="3:18" s="492" customFormat="1" ht="15" customHeight="1" x14ac:dyDescent="0.25">
      <c r="J413" s="493"/>
      <c r="K413" s="493"/>
      <c r="L413" s="493"/>
      <c r="M413" s="493"/>
    </row>
    <row r="414" spans="3:18" s="492" customFormat="1" ht="15" customHeight="1" x14ac:dyDescent="0.25">
      <c r="C414" s="492" t="s">
        <v>6431</v>
      </c>
      <c r="I414" s="500" t="s">
        <v>988</v>
      </c>
      <c r="J414" s="489" t="str">
        <f>'[1]CADASTRO BASE ORÇ. DESPESA'!L416</f>
        <v xml:space="preserve">0,00% </v>
      </c>
      <c r="K414" s="489" t="str">
        <f>'[1]CADASTRO BASE ORÇ. DESPESA'!N416</f>
        <v xml:space="preserve">0,00% </v>
      </c>
      <c r="L414" s="489" t="str">
        <f>'[1]CADASTRO BASE ORÇ. DESPESA'!P416</f>
        <v xml:space="preserve">0,00% </v>
      </c>
      <c r="M414" s="491">
        <f>L414+K414+J414/3</f>
        <v>0</v>
      </c>
      <c r="N414" s="502"/>
    </row>
    <row r="416" spans="3:18" ht="15" customHeight="1" x14ac:dyDescent="0.25">
      <c r="C416" s="483" t="s">
        <v>6432</v>
      </c>
      <c r="I416" s="506" t="s">
        <v>988</v>
      </c>
      <c r="J416" s="489">
        <f>'[1]CADASTRO BASE ORÇ. DESPESA'!L418</f>
        <v>1.8266252939690833E-9</v>
      </c>
      <c r="K416" s="489" t="str">
        <f>'[1]CADASTRO BASE ORÇ. DESPESA'!N418</f>
        <v xml:space="preserve">0,00% </v>
      </c>
      <c r="L416" s="489" t="str">
        <f>'[1]CADASTRO BASE ORÇ. DESPESA'!P418</f>
        <v xml:space="preserve">0,00% </v>
      </c>
      <c r="M416" s="491">
        <f>L416+K416+J416/3</f>
        <v>6.0887509798969444E-10</v>
      </c>
    </row>
    <row r="418" spans="9:18" ht="15" customHeight="1" x14ac:dyDescent="0.25">
      <c r="I418" s="508" t="s">
        <v>0</v>
      </c>
      <c r="J418" s="513">
        <f>'[1]CADASTRO BASE ORÇ. DESPESA'!L420</f>
        <v>0.31381868246960581</v>
      </c>
      <c r="K418" s="513">
        <f>'[1]CADASTRO BASE ORÇ. DESPESA'!N420</f>
        <v>4.8725767346719462E-2</v>
      </c>
      <c r="L418" s="513">
        <f>'[1]CADASTRO BASE ORÇ. DESPESA'!P420</f>
        <v>0.33471493922367934</v>
      </c>
      <c r="M418" s="511">
        <f>L418+K418+J418/3</f>
        <v>0.48804693406026739</v>
      </c>
    </row>
    <row r="419" spans="9:18" ht="15" customHeight="1" x14ac:dyDescent="0.25">
      <c r="J419" s="590"/>
      <c r="K419" s="590"/>
      <c r="Q419" s="502"/>
      <c r="R419" s="502"/>
    </row>
    <row r="420" spans="9:18" ht="15" customHeight="1" x14ac:dyDescent="0.25">
      <c r="J420" s="590"/>
      <c r="K420" s="590"/>
    </row>
    <row r="421" spans="9:18" ht="15" customHeight="1" x14ac:dyDescent="0.25">
      <c r="J421" s="590"/>
      <c r="K421" s="590"/>
    </row>
    <row r="422" spans="9:18" ht="15" customHeight="1" x14ac:dyDescent="0.25">
      <c r="J422" s="590"/>
      <c r="K422" s="590"/>
    </row>
    <row r="424" spans="9:18" ht="15" customHeight="1" x14ac:dyDescent="0.25">
      <c r="I424" s="1322" t="s">
        <v>2122</v>
      </c>
      <c r="J424" s="592"/>
      <c r="K424" s="592"/>
      <c r="L424" s="592"/>
      <c r="M424" s="488"/>
    </row>
    <row r="425" spans="9:18" ht="15" customHeight="1" x14ac:dyDescent="0.25">
      <c r="I425" s="1322"/>
      <c r="J425" s="593" t="s">
        <v>235</v>
      </c>
      <c r="K425" s="593" t="s">
        <v>235</v>
      </c>
      <c r="L425" s="593" t="s">
        <v>235</v>
      </c>
      <c r="M425" s="488" t="s">
        <v>235</v>
      </c>
    </row>
    <row r="426" spans="9:18" ht="15" customHeight="1" x14ac:dyDescent="0.25">
      <c r="I426" s="492" t="s">
        <v>2074</v>
      </c>
      <c r="J426" s="489">
        <f>'[1]CADASTRO BASE ORÇ. DESPESA'!L428</f>
        <v>0.30712591707059383</v>
      </c>
      <c r="K426" s="489">
        <f>'[1]CADASTRO BASE ORÇ. DESPESA'!N428</f>
        <v>6.0565432473692574E-2</v>
      </c>
      <c r="L426" s="489">
        <f>'[1]CADASTRO BASE ORÇ. DESPESA'!P428</f>
        <v>0.32968027934859012</v>
      </c>
      <c r="M426" s="491">
        <f>L426+K426+J426/3</f>
        <v>0.49262101751248061</v>
      </c>
      <c r="N426" s="502"/>
    </row>
    <row r="427" spans="9:18" ht="15" customHeight="1" x14ac:dyDescent="0.2">
      <c r="I427" s="483" t="s">
        <v>2123</v>
      </c>
      <c r="J427" s="512">
        <f>'[1]CADASTRO BASE ORÇ. DESPESA'!L429</f>
        <v>0.31526445323754321</v>
      </c>
      <c r="K427" s="512">
        <f>'[1]CADASTRO BASE ORÇ. DESPESA'!N429</f>
        <v>3.8419355846246235E-2</v>
      </c>
      <c r="L427" s="512">
        <f>'[1]CADASTRO BASE ORÇ. DESPESA'!P429</f>
        <v>0.36894683390030791</v>
      </c>
      <c r="M427" s="495">
        <f>L427+K427+J427/3</f>
        <v>0.51245434082573516</v>
      </c>
      <c r="N427" s="507"/>
    </row>
    <row r="428" spans="9:18" ht="15" customHeight="1" x14ac:dyDescent="0.2">
      <c r="I428" s="483" t="s">
        <v>175</v>
      </c>
      <c r="J428" s="512" t="str">
        <f>'[1]CADASTRO BASE ORÇ. DESPESA'!L430</f>
        <v xml:space="preserve">0,00% </v>
      </c>
      <c r="K428" s="512" t="str">
        <f>'[1]CADASTRO BASE ORÇ. DESPESA'!N430</f>
        <v xml:space="preserve">0,00% </v>
      </c>
      <c r="L428" s="512" t="str">
        <f>'[1]CADASTRO BASE ORÇ. DESPESA'!P430</f>
        <v xml:space="preserve">0,00% </v>
      </c>
      <c r="M428" s="495">
        <f>L428+K428+J428/3</f>
        <v>0</v>
      </c>
      <c r="N428" s="507"/>
    </row>
    <row r="429" spans="9:18" ht="15" customHeight="1" x14ac:dyDescent="0.2">
      <c r="I429" s="483" t="s">
        <v>94</v>
      </c>
      <c r="J429" s="512">
        <f>'[1]CADASTRO BASE ORÇ. DESPESA'!L431</f>
        <v>0.22731829879813217</v>
      </c>
      <c r="K429" s="512">
        <f>'[1]CADASTRO BASE ORÇ. DESPESA'!N431</f>
        <v>0.23364283215030118</v>
      </c>
      <c r="L429" s="512">
        <f>'[1]CADASTRO BASE ORÇ. DESPESA'!P431</f>
        <v>-0.30487459627457181</v>
      </c>
      <c r="M429" s="495">
        <f>L429+K429+J429/3</f>
        <v>4.5410021417734286E-3</v>
      </c>
      <c r="N429" s="507"/>
    </row>
    <row r="431" spans="9:18" ht="15" customHeight="1" x14ac:dyDescent="0.25">
      <c r="I431" s="492" t="s">
        <v>2077</v>
      </c>
      <c r="J431" s="489">
        <f>'[1]CADASTRO BASE ORÇ. DESPESA'!L433</f>
        <v>0.80549345995621624</v>
      </c>
      <c r="K431" s="489">
        <f>'[1]CADASTRO BASE ORÇ. DESPESA'!N433</f>
        <v>-11.830741710296687</v>
      </c>
      <c r="L431" s="489">
        <f>'[1]CADASTRO BASE ORÇ. DESPESA'!P433</f>
        <v>0.92206202393906422</v>
      </c>
      <c r="M431" s="491">
        <f>L431+K431+J431/3</f>
        <v>-10.640181866372217</v>
      </c>
      <c r="N431" s="502"/>
    </row>
    <row r="432" spans="9:18" ht="15" customHeight="1" x14ac:dyDescent="0.2">
      <c r="I432" s="483" t="s">
        <v>95</v>
      </c>
      <c r="J432" s="512">
        <f>'[1]CADASTRO BASE ORÇ. DESPESA'!L434</f>
        <v>0.80549356951714202</v>
      </c>
      <c r="K432" s="512">
        <f>'[1]CADASTRO BASE ORÇ. DESPESA'!N434</f>
        <v>-11.830739965095988</v>
      </c>
      <c r="L432" s="512">
        <f>'[1]CADASTRO BASE ORÇ. DESPESA'!P434</f>
        <v>0.92206202393906422</v>
      </c>
      <c r="M432" s="495">
        <f>L432+K432+J432/3</f>
        <v>-10.64018008465121</v>
      </c>
      <c r="N432" s="507"/>
    </row>
    <row r="433" spans="2:18" ht="15" customHeight="1" x14ac:dyDescent="0.2">
      <c r="I433" s="483" t="s">
        <v>176</v>
      </c>
      <c r="J433" s="512" t="str">
        <f>'[1]CADASTRO BASE ORÇ. DESPESA'!L435</f>
        <v xml:space="preserve">0,00% </v>
      </c>
      <c r="K433" s="512" t="str">
        <f>'[1]CADASTRO BASE ORÇ. DESPESA'!N435</f>
        <v xml:space="preserve">0,00% </v>
      </c>
      <c r="L433" s="512" t="str">
        <f>'[1]CADASTRO BASE ORÇ. DESPESA'!P435</f>
        <v xml:space="preserve">0,00% </v>
      </c>
      <c r="M433" s="495">
        <f>L433+K433+J433/3</f>
        <v>0</v>
      </c>
      <c r="N433" s="507"/>
    </row>
    <row r="434" spans="2:18" ht="15" customHeight="1" x14ac:dyDescent="0.2">
      <c r="I434" s="483" t="s">
        <v>96</v>
      </c>
      <c r="J434" s="512">
        <f>'[1]CADASTRO BASE ORÇ. DESPESA'!L436</f>
        <v>0</v>
      </c>
      <c r="K434" s="512" t="str">
        <f>'[1]CADASTRO BASE ORÇ. DESPESA'!N436</f>
        <v xml:space="preserve">0,00% </v>
      </c>
      <c r="L434" s="512" t="str">
        <f>'[1]CADASTRO BASE ORÇ. DESPESA'!P436</f>
        <v xml:space="preserve">0,00% </v>
      </c>
      <c r="M434" s="495">
        <f>L434+K434+J434/3</f>
        <v>0</v>
      </c>
      <c r="N434" s="507"/>
    </row>
    <row r="435" spans="2:18" ht="15" customHeight="1" x14ac:dyDescent="0.2">
      <c r="I435" s="483" t="s">
        <v>2080</v>
      </c>
      <c r="J435" s="512" t="str">
        <f>'[1]CADASTRO BASE ORÇ. DESPESA'!L437</f>
        <v xml:space="preserve">0,00% </v>
      </c>
      <c r="K435" s="512" t="str">
        <f>'[1]CADASTRO BASE ORÇ. DESPESA'!N437</f>
        <v xml:space="preserve">0,00% </v>
      </c>
      <c r="L435" s="512" t="str">
        <f>'[1]CADASTRO BASE ORÇ. DESPESA'!P437</f>
        <v xml:space="preserve">0,00% </v>
      </c>
      <c r="M435" s="495">
        <f>L435+K435+J435/3</f>
        <v>0</v>
      </c>
      <c r="N435" s="507"/>
    </row>
    <row r="437" spans="2:18" ht="15" customHeight="1" x14ac:dyDescent="0.25">
      <c r="I437" s="492" t="s">
        <v>2124</v>
      </c>
      <c r="J437" s="489" t="str">
        <f>'[1]CADASTRO BASE ORÇ. DESPESA'!L439</f>
        <v xml:space="preserve">0,00% </v>
      </c>
      <c r="K437" s="489" t="str">
        <f>'[1]CADASTRO BASE ORÇ. DESPESA'!N439</f>
        <v xml:space="preserve">0,00% </v>
      </c>
      <c r="L437" s="489" t="str">
        <f>'[1]CADASTRO BASE ORÇ. DESPESA'!P439</f>
        <v xml:space="preserve">0,00% </v>
      </c>
      <c r="M437" s="491">
        <f>L437+K437+J437/3</f>
        <v>0</v>
      </c>
      <c r="N437" s="502"/>
    </row>
    <row r="438" spans="2:18" ht="15" customHeight="1" x14ac:dyDescent="0.2">
      <c r="I438" s="483" t="s">
        <v>2123</v>
      </c>
      <c r="J438" s="512" t="str">
        <f>'[1]CADASTRO BASE ORÇ. DESPESA'!L440</f>
        <v xml:space="preserve">0,00% </v>
      </c>
      <c r="K438" s="512" t="str">
        <f>'[1]CADASTRO BASE ORÇ. DESPESA'!N440</f>
        <v xml:space="preserve">0,00% </v>
      </c>
      <c r="L438" s="512" t="str">
        <f>'[1]CADASTRO BASE ORÇ. DESPESA'!P440</f>
        <v xml:space="preserve">0,00% </v>
      </c>
      <c r="M438" s="495">
        <f>L438+K438+J438/3</f>
        <v>0</v>
      </c>
      <c r="N438" s="507"/>
    </row>
    <row r="440" spans="2:18" ht="15" customHeight="1" x14ac:dyDescent="0.25">
      <c r="I440" s="508" t="s">
        <v>0</v>
      </c>
      <c r="J440" s="513">
        <f>'[1]CADASTRO BASE ORÇ. DESPESA'!L442</f>
        <v>0.31381868246960581</v>
      </c>
      <c r="K440" s="513">
        <f>'[1]CADASTRO BASE ORÇ. DESPESA'!N442</f>
        <v>4.8725767346719462E-2</v>
      </c>
      <c r="L440" s="513">
        <f>'[1]CADASTRO BASE ORÇ. DESPESA'!P442</f>
        <v>0.33471493922367934</v>
      </c>
      <c r="M440" s="511">
        <f>L440+K440+J440/3</f>
        <v>0.48804693406026739</v>
      </c>
      <c r="N440" s="502"/>
    </row>
    <row r="443" spans="2:18" ht="15" customHeight="1" x14ac:dyDescent="0.25">
      <c r="B443" s="496"/>
      <c r="C443" s="496" t="s">
        <v>452</v>
      </c>
      <c r="D443" s="496"/>
      <c r="E443" s="496"/>
      <c r="F443" s="496"/>
      <c r="G443" s="496"/>
      <c r="H443" s="496"/>
      <c r="I443" s="496"/>
    </row>
    <row r="446" spans="2:18" ht="15" customHeight="1" x14ac:dyDescent="0.25">
      <c r="C446" s="1321" t="s">
        <v>2099</v>
      </c>
      <c r="D446" s="1321"/>
      <c r="E446" s="1321"/>
      <c r="F446" s="497"/>
      <c r="G446" s="497"/>
      <c r="H446" s="497"/>
      <c r="I446" s="1321" t="s">
        <v>2100</v>
      </c>
      <c r="J446" s="592"/>
      <c r="K446" s="592"/>
      <c r="L446" s="592"/>
      <c r="M446" s="488"/>
    </row>
    <row r="447" spans="2:18" ht="15" customHeight="1" x14ac:dyDescent="0.25">
      <c r="C447" s="1321"/>
      <c r="D447" s="1321"/>
      <c r="E447" s="1321"/>
      <c r="F447" s="497"/>
      <c r="G447" s="497"/>
      <c r="H447" s="497"/>
      <c r="I447" s="1321"/>
      <c r="J447" s="593" t="s">
        <v>235</v>
      </c>
      <c r="K447" s="593" t="s">
        <v>235</v>
      </c>
      <c r="L447" s="593" t="s">
        <v>235</v>
      </c>
      <c r="M447" s="488" t="s">
        <v>235</v>
      </c>
      <c r="N447" s="498"/>
      <c r="Q447" s="498"/>
      <c r="R447" s="498"/>
    </row>
    <row r="449" spans="3:18" s="492" customFormat="1" ht="15" customHeight="1" x14ac:dyDescent="0.25">
      <c r="C449" s="492" t="s">
        <v>2104</v>
      </c>
      <c r="I449" s="500" t="s">
        <v>2105</v>
      </c>
      <c r="J449" s="489">
        <f>'[1]CADASTRO BASE ORÇ. DESPESA'!L451</f>
        <v>0.16939687243993948</v>
      </c>
      <c r="K449" s="489">
        <f>'[1]CADASTRO BASE ORÇ. DESPESA'!N451</f>
        <v>1.073179511410087E-2</v>
      </c>
      <c r="L449" s="489">
        <f>'[1]CADASTRO BASE ORÇ. DESPESA'!P451</f>
        <v>-0.5067185454211971</v>
      </c>
      <c r="M449" s="491">
        <f>(L449+K449+J449)/3</f>
        <v>-0.10886329262238559</v>
      </c>
      <c r="R449" s="502"/>
    </row>
    <row r="450" spans="3:18" s="492" customFormat="1" ht="15" customHeight="1" x14ac:dyDescent="0.25">
      <c r="J450" s="493"/>
      <c r="K450" s="493"/>
      <c r="L450" s="493"/>
      <c r="M450" s="504"/>
    </row>
    <row r="451" spans="3:18" s="492" customFormat="1" ht="15" customHeight="1" x14ac:dyDescent="0.25">
      <c r="C451" s="492" t="s">
        <v>2106</v>
      </c>
      <c r="I451" s="500" t="s">
        <v>2075</v>
      </c>
      <c r="J451" s="489">
        <f>'[1]CADASTRO BASE ORÇ. DESPESA'!L453</f>
        <v>0.15565412094523473</v>
      </c>
      <c r="K451" s="489">
        <f>'[1]CADASTRO BASE ORÇ. DESPESA'!N453</f>
        <v>5.2641773163814534E-2</v>
      </c>
      <c r="L451" s="489">
        <f>'[1]CADASTRO BASE ORÇ. DESPESA'!P453</f>
        <v>-0.37437541563248877</v>
      </c>
      <c r="M451" s="491">
        <f>(L451+K451+J451)/3</f>
        <v>-5.5359840507813174E-2</v>
      </c>
      <c r="N451" s="502"/>
    </row>
    <row r="452" spans="3:18" s="492" customFormat="1" ht="15" customHeight="1" x14ac:dyDescent="0.25">
      <c r="J452" s="493"/>
      <c r="K452" s="493"/>
      <c r="L452" s="493"/>
      <c r="M452" s="493"/>
    </row>
    <row r="453" spans="3:18" s="492" customFormat="1" ht="15" customHeight="1" x14ac:dyDescent="0.25">
      <c r="C453" s="492" t="s">
        <v>6340</v>
      </c>
      <c r="I453" s="500" t="s">
        <v>6250</v>
      </c>
      <c r="J453" s="489" t="str">
        <f>'[1]CADASTRO BASE ORÇ. DESPESA'!L455</f>
        <v xml:space="preserve">0,00% </v>
      </c>
      <c r="K453" s="489" t="str">
        <f>'[1]CADASTRO BASE ORÇ. DESPESA'!N455</f>
        <v xml:space="preserve">0,00% </v>
      </c>
      <c r="L453" s="489">
        <f>'[1]CADASTRO BASE ORÇ. DESPESA'!P455</f>
        <v>1</v>
      </c>
      <c r="M453" s="491">
        <f>(L453+K453+J453)/3</f>
        <v>0.33333333333333331</v>
      </c>
    </row>
    <row r="455" spans="3:18" ht="15" customHeight="1" x14ac:dyDescent="0.2">
      <c r="C455" s="483" t="s">
        <v>6249</v>
      </c>
      <c r="I455" s="506" t="s">
        <v>6341</v>
      </c>
      <c r="J455" s="512" t="str">
        <f>'[1]CADASTRO BASE ORÇ. DESPESA'!L457</f>
        <v xml:space="preserve">0,00% </v>
      </c>
      <c r="K455" s="512" t="str">
        <f>'[1]CADASTRO BASE ORÇ. DESPESA'!N457</f>
        <v xml:space="preserve">0,00% </v>
      </c>
      <c r="L455" s="512" t="str">
        <f>'[1]CADASTRO BASE ORÇ. DESPESA'!P457</f>
        <v xml:space="preserve">0,00% </v>
      </c>
      <c r="M455" s="495">
        <f>(L455+K455+J455)/3</f>
        <v>0</v>
      </c>
    </row>
    <row r="457" spans="3:18" ht="15" customHeight="1" x14ac:dyDescent="0.2">
      <c r="C457" s="483" t="s">
        <v>6342</v>
      </c>
      <c r="I457" s="506" t="s">
        <v>6341</v>
      </c>
      <c r="J457" s="512" t="str">
        <f>'[1]CADASTRO BASE ORÇ. DESPESA'!L459</f>
        <v xml:space="preserve">0,00% </v>
      </c>
      <c r="K457" s="512" t="str">
        <f>'[1]CADASTRO BASE ORÇ. DESPESA'!N459</f>
        <v xml:space="preserve">0,00% </v>
      </c>
      <c r="L457" s="512">
        <f>'[1]CADASTRO BASE ORÇ. DESPESA'!P459</f>
        <v>1</v>
      </c>
      <c r="M457" s="495">
        <f>(L457+K457+J457)/3</f>
        <v>0.33333333333333331</v>
      </c>
    </row>
    <row r="459" spans="3:18" s="492" customFormat="1" ht="15" customHeight="1" x14ac:dyDescent="0.25">
      <c r="C459" s="492" t="s">
        <v>2107</v>
      </c>
      <c r="I459" s="500" t="s">
        <v>2108</v>
      </c>
      <c r="J459" s="489">
        <f>'[1]CADASTRO BASE ORÇ. DESPESA'!L461</f>
        <v>0.15565412094523473</v>
      </c>
      <c r="K459" s="489">
        <f>'[1]CADASTRO BASE ORÇ. DESPESA'!N461</f>
        <v>5.2641773163814534E-2</v>
      </c>
      <c r="L459" s="489">
        <f>'[1]CADASTRO BASE ORÇ. DESPESA'!P461</f>
        <v>-0.37534220600357832</v>
      </c>
      <c r="M459" s="491">
        <f>(L459+K459+J459)/3</f>
        <v>-5.5682103964843022E-2</v>
      </c>
    </row>
    <row r="460" spans="3:18" ht="15" customHeight="1" x14ac:dyDescent="0.25">
      <c r="J460" s="493"/>
      <c r="K460" s="493"/>
      <c r="L460" s="493"/>
      <c r="M460" s="493"/>
    </row>
    <row r="461" spans="3:18" s="492" customFormat="1" ht="15" customHeight="1" x14ac:dyDescent="0.25">
      <c r="C461" s="492" t="s">
        <v>6253</v>
      </c>
      <c r="I461" s="500" t="s">
        <v>1012</v>
      </c>
      <c r="J461" s="489">
        <f>'[1]CADASTRO BASE ORÇ. DESPESA'!L463</f>
        <v>0.60338608452812059</v>
      </c>
      <c r="K461" s="489">
        <f>'[1]CADASTRO BASE ORÇ. DESPESA'!N463</f>
        <v>7.1829601782818206E-2</v>
      </c>
      <c r="L461" s="489">
        <f>'[1]CADASTRO BASE ORÇ. DESPESA'!P463</f>
        <v>-1.0515189744607121</v>
      </c>
      <c r="M461" s="491">
        <f>(L461+K461+J461)/3</f>
        <v>-0.12543442938325777</v>
      </c>
    </row>
    <row r="463" spans="3:18" ht="15" customHeight="1" x14ac:dyDescent="0.2">
      <c r="C463" s="483" t="s">
        <v>6343</v>
      </c>
      <c r="I463" s="506" t="s">
        <v>6344</v>
      </c>
      <c r="J463" s="512">
        <f>'[1]CADASTRO BASE ORÇ. DESPESA'!L465</f>
        <v>0.70174705650512881</v>
      </c>
      <c r="K463" s="512">
        <f>'[1]CADASTRO BASE ORÇ. DESPESA'!N465</f>
        <v>0.27685185596815753</v>
      </c>
      <c r="L463" s="512">
        <f>'[1]CADASTRO BASE ORÇ. DESPESA'!P465</f>
        <v>-1.1358912372124477</v>
      </c>
      <c r="M463" s="495">
        <f>(L463+K463+J463)/3</f>
        <v>-5.2430774913053778E-2</v>
      </c>
    </row>
    <row r="465" spans="3:13" ht="15" customHeight="1" x14ac:dyDescent="0.2">
      <c r="C465" s="483" t="s">
        <v>6273</v>
      </c>
      <c r="I465" s="506" t="s">
        <v>1011</v>
      </c>
      <c r="J465" s="512">
        <f>'[1]CADASTRO BASE ORÇ. DESPESA'!L467</f>
        <v>0.45673469065910316</v>
      </c>
      <c r="K465" s="512">
        <f>'[1]CADASTRO BASE ORÇ. DESPESA'!N467</f>
        <v>0.11877067792459012</v>
      </c>
      <c r="L465" s="512">
        <f>'[1]CADASTRO BASE ORÇ. DESPESA'!P467</f>
        <v>-1.9052681089278056</v>
      </c>
      <c r="M465" s="495">
        <f>(L465+K465+J465)/3</f>
        <v>-0.44325424678137076</v>
      </c>
    </row>
    <row r="467" spans="3:13" ht="15" customHeight="1" x14ac:dyDescent="0.2">
      <c r="C467" s="483" t="s">
        <v>6305</v>
      </c>
      <c r="I467" s="506" t="s">
        <v>4819</v>
      </c>
      <c r="J467" s="512">
        <f>'[1]CADASTRO BASE ORÇ. DESPESA'!L469</f>
        <v>0.61140618585608308</v>
      </c>
      <c r="K467" s="512">
        <f>'[1]CADASTRO BASE ORÇ. DESPESA'!N469</f>
        <v>-4.2864399597325568E-2</v>
      </c>
      <c r="L467" s="512">
        <f>'[1]CADASTRO BASE ORÇ. DESPESA'!P469</f>
        <v>-0.83770111074469866</v>
      </c>
      <c r="M467" s="495">
        <f>(L467+K467+J467)/3</f>
        <v>-8.9719774828647056E-2</v>
      </c>
    </row>
    <row r="469" spans="3:13" s="492" customFormat="1" ht="15" customHeight="1" x14ac:dyDescent="0.25">
      <c r="C469" s="492" t="s">
        <v>6258</v>
      </c>
      <c r="I469" s="500" t="s">
        <v>1020</v>
      </c>
      <c r="J469" s="489">
        <f>'[1]CADASTRO BASE ORÇ. DESPESA'!L471</f>
        <v>-1.6058593128492074E-2</v>
      </c>
      <c r="K469" s="489">
        <f>'[1]CADASTRO BASE ORÇ. DESPESA'!N471</f>
        <v>5.9020257695109997E-2</v>
      </c>
      <c r="L469" s="489">
        <f>'[1]CADASTRO BASE ORÇ. DESPESA'!P471</f>
        <v>-0.40961607918398341</v>
      </c>
      <c r="M469" s="491">
        <f>(L469+K469+J469)/3</f>
        <v>-0.12221813820578849</v>
      </c>
    </row>
    <row r="471" spans="3:13" ht="15" customHeight="1" x14ac:dyDescent="0.2">
      <c r="C471" s="483" t="s">
        <v>6345</v>
      </c>
      <c r="I471" s="506" t="s">
        <v>1020</v>
      </c>
      <c r="J471" s="512">
        <f>'[1]CADASTRO BASE ORÇ. DESPESA'!L473</f>
        <v>-1.6058593128492074E-2</v>
      </c>
      <c r="K471" s="512">
        <f>'[1]CADASTRO BASE ORÇ. DESPESA'!N473</f>
        <v>5.9020257695109997E-2</v>
      </c>
      <c r="L471" s="512">
        <f>'[1]CADASTRO BASE ORÇ. DESPESA'!P473</f>
        <v>-0.40961607918398341</v>
      </c>
      <c r="M471" s="495">
        <f>(L471+K471+J471)/3</f>
        <v>-0.12221813820578849</v>
      </c>
    </row>
    <row r="473" spans="3:13" s="492" customFormat="1" ht="15" customHeight="1" x14ac:dyDescent="0.25">
      <c r="C473" s="492" t="s">
        <v>6236</v>
      </c>
      <c r="I473" s="500" t="s">
        <v>1009</v>
      </c>
      <c r="J473" s="489">
        <f>'[1]CADASTRO BASE ORÇ. DESPESA'!L475</f>
        <v>0.11101066718097914</v>
      </c>
      <c r="K473" s="489">
        <f>'[1]CADASTRO BASE ORÇ. DESPESA'!N475</f>
        <v>6.9822180308866652E-2</v>
      </c>
      <c r="L473" s="489">
        <f>'[1]CADASTRO BASE ORÇ. DESPESA'!P475</f>
        <v>-0.46621083605727792</v>
      </c>
      <c r="M473" s="491">
        <f>(L473+K473+J473)/3</f>
        <v>-9.5125996189144038E-2</v>
      </c>
    </row>
    <row r="475" spans="3:13" ht="15" customHeight="1" x14ac:dyDescent="0.2">
      <c r="C475" s="483" t="s">
        <v>6346</v>
      </c>
      <c r="I475" s="506" t="s">
        <v>4863</v>
      </c>
      <c r="J475" s="512">
        <f>'[1]CADASTRO BASE ORÇ. DESPESA'!L477</f>
        <v>5.939438299140571E-2</v>
      </c>
      <c r="K475" s="512">
        <f>'[1]CADASTRO BASE ORÇ. DESPESA'!N477</f>
        <v>8.0661467418571678E-2</v>
      </c>
      <c r="L475" s="512">
        <f>'[1]CADASTRO BASE ORÇ. DESPESA'!P477</f>
        <v>-0.41360761765600101</v>
      </c>
      <c r="M475" s="495">
        <f>(L475+K475+J475)/3</f>
        <v>-9.118392241534122E-2</v>
      </c>
    </row>
    <row r="477" spans="3:13" ht="15" customHeight="1" x14ac:dyDescent="0.2">
      <c r="C477" s="483" t="s">
        <v>6274</v>
      </c>
      <c r="I477" s="506" t="s">
        <v>1008</v>
      </c>
      <c r="J477" s="512">
        <f>'[1]CADASTRO BASE ORÇ. DESPESA'!L479</f>
        <v>-0.43835931329255584</v>
      </c>
      <c r="K477" s="512">
        <f>'[1]CADASTRO BASE ORÇ. DESPESA'!N479</f>
        <v>0.79002338247051429</v>
      </c>
      <c r="L477" s="512">
        <f>'[1]CADASTRO BASE ORÇ. DESPESA'!P479</f>
        <v>-0.5026320080315374</v>
      </c>
      <c r="M477" s="495">
        <f>(L477+K477+J477)/3</f>
        <v>-5.0322646284526318E-2</v>
      </c>
    </row>
    <row r="479" spans="3:13" ht="15" customHeight="1" x14ac:dyDescent="0.2">
      <c r="C479" s="483" t="s">
        <v>6317</v>
      </c>
      <c r="I479" s="506" t="s">
        <v>4872</v>
      </c>
      <c r="J479" s="512" t="str">
        <f>'[1]CADASTRO BASE ORÇ. DESPESA'!L481</f>
        <v xml:space="preserve">0,00% </v>
      </c>
      <c r="K479" s="512">
        <f>'[1]CADASTRO BASE ORÇ. DESPESA'!N481</f>
        <v>1</v>
      </c>
      <c r="L479" s="512">
        <f>'[1]CADASTRO BASE ORÇ. DESPESA'!P481</f>
        <v>0.30148092254507497</v>
      </c>
      <c r="M479" s="495">
        <f>(L479+K479+J479)/3</f>
        <v>0.43382697418169164</v>
      </c>
    </row>
    <row r="481" spans="3:13" ht="15" customHeight="1" x14ac:dyDescent="0.2">
      <c r="C481" s="483" t="s">
        <v>6347</v>
      </c>
      <c r="I481" s="506" t="s">
        <v>4878</v>
      </c>
      <c r="J481" s="512" t="str">
        <f>'[1]CADASTRO BASE ORÇ. DESPESA'!L483</f>
        <v xml:space="preserve">0,00% </v>
      </c>
      <c r="K481" s="512">
        <f>'[1]CADASTRO BASE ORÇ. DESPESA'!N483</f>
        <v>1</v>
      </c>
      <c r="L481" s="512" t="str">
        <f>'[1]CADASTRO BASE ORÇ. DESPESA'!P483</f>
        <v xml:space="preserve">0,00% </v>
      </c>
      <c r="M481" s="495">
        <f>(L481+K481+J481)/3</f>
        <v>0.33333333333333331</v>
      </c>
    </row>
    <row r="483" spans="3:13" ht="15" customHeight="1" x14ac:dyDescent="0.2">
      <c r="C483" s="483" t="s">
        <v>6275</v>
      </c>
      <c r="I483" s="506" t="s">
        <v>1049</v>
      </c>
      <c r="J483" s="512">
        <f>'[1]CADASTRO BASE ORÇ. DESPESA'!L485</f>
        <v>0.39762574356517749</v>
      </c>
      <c r="K483" s="512">
        <f>'[1]CADASTRO BASE ORÇ. DESPESA'!N485</f>
        <v>-0.23342153368559385</v>
      </c>
      <c r="L483" s="512">
        <f>'[1]CADASTRO BASE ORÇ. DESPESA'!P485</f>
        <v>-0.41066804789064332</v>
      </c>
      <c r="M483" s="495">
        <f>(L483+K483+J483)/3</f>
        <v>-8.2154612670353233E-2</v>
      </c>
    </row>
    <row r="485" spans="3:13" ht="15" customHeight="1" x14ac:dyDescent="0.2">
      <c r="C485" s="483" t="s">
        <v>6276</v>
      </c>
      <c r="I485" s="506" t="s">
        <v>1048</v>
      </c>
      <c r="J485" s="512">
        <f>'[1]CADASTRO BASE ORÇ. DESPESA'!L487</f>
        <v>0.16866854155103611</v>
      </c>
      <c r="K485" s="512">
        <f>'[1]CADASTRO BASE ORÇ. DESPESA'!N487</f>
        <v>0.21908603053344841</v>
      </c>
      <c r="L485" s="512">
        <f>'[1]CADASTRO BASE ORÇ. DESPESA'!P487</f>
        <v>-0.38875896650568831</v>
      </c>
      <c r="M485" s="495">
        <f>(L485+K485+J485)/3</f>
        <v>-3.3479814040126193E-4</v>
      </c>
    </row>
    <row r="487" spans="3:13" ht="15" customHeight="1" x14ac:dyDescent="0.2">
      <c r="C487" s="483" t="s">
        <v>6300</v>
      </c>
      <c r="I487" s="506" t="s">
        <v>1007</v>
      </c>
      <c r="J487" s="512">
        <f>'[1]CADASTRO BASE ORÇ. DESPESA'!L489</f>
        <v>-0.24881377510680627</v>
      </c>
      <c r="K487" s="512">
        <f>'[1]CADASTRO BASE ORÇ. DESPESA'!N489</f>
        <v>-0.84119085979008401</v>
      </c>
      <c r="L487" s="512">
        <f>'[1]CADASTRO BASE ORÇ. DESPESA'!P489</f>
        <v>-1.4943915367461267</v>
      </c>
      <c r="M487" s="495">
        <f>(L487+K487+J487)/3</f>
        <v>-0.86146539054767235</v>
      </c>
    </row>
    <row r="489" spans="3:13" ht="15" customHeight="1" x14ac:dyDescent="0.2">
      <c r="C489" s="483" t="s">
        <v>6301</v>
      </c>
      <c r="I489" s="506" t="s">
        <v>1006</v>
      </c>
      <c r="J489" s="512">
        <f>'[1]CADASTRO BASE ORÇ. DESPESA'!L491</f>
        <v>0.20269407269989217</v>
      </c>
      <c r="K489" s="512">
        <f>'[1]CADASTRO BASE ORÇ. DESPESA'!N491</f>
        <v>-5.0332866724845673E-2</v>
      </c>
      <c r="L489" s="512">
        <f>'[1]CADASTRO BASE ORÇ. DESPESA'!P491</f>
        <v>-1.0479573746928548</v>
      </c>
      <c r="M489" s="495">
        <f>(L489+K489+J489)/3</f>
        <v>-0.29853205623926943</v>
      </c>
    </row>
    <row r="491" spans="3:13" ht="15" customHeight="1" x14ac:dyDescent="0.2">
      <c r="C491" s="483" t="s">
        <v>6295</v>
      </c>
      <c r="I491" s="506" t="s">
        <v>1047</v>
      </c>
      <c r="J491" s="512">
        <f>'[1]CADASTRO BASE ORÇ. DESPESA'!L493</f>
        <v>-1.1694406150802967</v>
      </c>
      <c r="K491" s="512">
        <f>'[1]CADASTRO BASE ORÇ. DESPESA'!N493</f>
        <v>0.53730662335610746</v>
      </c>
      <c r="L491" s="512">
        <f>'[1]CADASTRO BASE ORÇ. DESPESA'!P493</f>
        <v>-8.2210231867534622E-2</v>
      </c>
      <c r="M491" s="495">
        <f>(L491+K491+J491)/3</f>
        <v>-0.2381147411972413</v>
      </c>
    </row>
    <row r="493" spans="3:13" ht="15" customHeight="1" x14ac:dyDescent="0.2">
      <c r="C493" s="483" t="s">
        <v>6318</v>
      </c>
      <c r="I493" s="506" t="s">
        <v>6348</v>
      </c>
      <c r="J493" s="512" t="str">
        <f>'[1]CADASTRO BASE ORÇ. DESPESA'!L495</f>
        <v xml:space="preserve">0,00% </v>
      </c>
      <c r="K493" s="512" t="str">
        <f>'[1]CADASTRO BASE ORÇ. DESPESA'!N495</f>
        <v xml:space="preserve">0,00% </v>
      </c>
      <c r="L493" s="512" t="str">
        <f>'[1]CADASTRO BASE ORÇ. DESPESA'!P495</f>
        <v xml:space="preserve">0,00% </v>
      </c>
      <c r="M493" s="495">
        <f>(L493+K493+J493)/3</f>
        <v>0</v>
      </c>
    </row>
    <row r="495" spans="3:13" ht="15" customHeight="1" x14ac:dyDescent="0.2">
      <c r="C495" s="483" t="s">
        <v>6349</v>
      </c>
      <c r="I495" s="506" t="s">
        <v>6435</v>
      </c>
      <c r="J495" s="512">
        <f>'[1]CADASTRO BASE ORÇ. DESPESA'!L497</f>
        <v>0.14810210637388321</v>
      </c>
      <c r="K495" s="512">
        <f>'[1]CADASTRO BASE ORÇ. DESPESA'!N497</f>
        <v>0.10772712666257483</v>
      </c>
      <c r="L495" s="512">
        <f>'[1]CADASTRO BASE ORÇ. DESPESA'!P497</f>
        <v>-0.32463083025577888</v>
      </c>
      <c r="M495" s="495">
        <f>(L495+K495+J495)/3</f>
        <v>-2.2933865739773612E-2</v>
      </c>
    </row>
    <row r="497" spans="3:13" ht="15" customHeight="1" x14ac:dyDescent="0.2">
      <c r="C497" s="483" t="s">
        <v>6350</v>
      </c>
      <c r="I497" s="506" t="s">
        <v>1052</v>
      </c>
      <c r="J497" s="512">
        <f>'[1]CADASTRO BASE ORÇ. DESPESA'!L499</f>
        <v>0.3603192836638261</v>
      </c>
      <c r="K497" s="512">
        <f>'[1]CADASTRO BASE ORÇ. DESPESA'!N499</f>
        <v>1.4314491676255109E-3</v>
      </c>
      <c r="L497" s="512">
        <f>'[1]CADASTRO BASE ORÇ. DESPESA'!P499</f>
        <v>-0.59312777233306446</v>
      </c>
      <c r="M497" s="495">
        <f>(L497+K497+J497)/3</f>
        <v>-7.7125679833870961E-2</v>
      </c>
    </row>
    <row r="499" spans="3:13" ht="15" customHeight="1" x14ac:dyDescent="0.2">
      <c r="C499" s="483" t="s">
        <v>6351</v>
      </c>
      <c r="I499" s="506" t="s">
        <v>4798</v>
      </c>
      <c r="J499" s="512" t="str">
        <f>'[1]CADASTRO BASE ORÇ. DESPESA'!L501</f>
        <v xml:space="preserve">0,00% </v>
      </c>
      <c r="K499" s="512">
        <f>'[1]CADASTRO BASE ORÇ. DESPESA'!N501</f>
        <v>1</v>
      </c>
      <c r="L499" s="512" t="str">
        <f>'[1]CADASTRO BASE ORÇ. DESPESA'!P501</f>
        <v xml:space="preserve">0,00% </v>
      </c>
      <c r="M499" s="495">
        <f>(L499+K499+J499)/3</f>
        <v>0.33333333333333331</v>
      </c>
    </row>
    <row r="501" spans="3:13" s="492" customFormat="1" ht="15" customHeight="1" x14ac:dyDescent="0.25">
      <c r="C501" s="492" t="s">
        <v>6237</v>
      </c>
      <c r="I501" s="500" t="s">
        <v>1011</v>
      </c>
      <c r="J501" s="489">
        <f>'[1]CADASTRO BASE ORÇ. DESPESA'!L503</f>
        <v>0.12744764030123526</v>
      </c>
      <c r="K501" s="489">
        <f>'[1]CADASTRO BASE ORÇ. DESPESA'!N503</f>
        <v>3.0889314615811906E-2</v>
      </c>
      <c r="L501" s="489">
        <f>'[1]CADASTRO BASE ORÇ. DESPESA'!P503</f>
        <v>7.5958911096315709E-2</v>
      </c>
      <c r="M501" s="491">
        <f>(L501+K501+J501)/3</f>
        <v>7.8098622004454291E-2</v>
      </c>
    </row>
    <row r="503" spans="3:13" ht="15" customHeight="1" x14ac:dyDescent="0.2">
      <c r="C503" s="483" t="s">
        <v>6352</v>
      </c>
      <c r="I503" s="506" t="s">
        <v>4800</v>
      </c>
      <c r="J503" s="512">
        <f>'[1]CADASTRO BASE ORÇ. DESPESA'!L505</f>
        <v>-6.9049505531590366E-2</v>
      </c>
      <c r="K503" s="512">
        <f>'[1]CADASTRO BASE ORÇ. DESPESA'!N505</f>
        <v>1.3271432156438816E-2</v>
      </c>
      <c r="L503" s="512">
        <f>'[1]CADASTRO BASE ORÇ. DESPESA'!P505</f>
        <v>-0.72812036094941035</v>
      </c>
      <c r="M503" s="495">
        <f>(L503+K503+J503)/3</f>
        <v>-0.26129947810818732</v>
      </c>
    </row>
    <row r="505" spans="3:13" ht="15" customHeight="1" x14ac:dyDescent="0.2">
      <c r="C505" s="483" t="s">
        <v>6353</v>
      </c>
      <c r="I505" s="506" t="s">
        <v>4803</v>
      </c>
      <c r="J505" s="512">
        <f>'[1]CADASTRO BASE ORÇ. DESPESA'!L507</f>
        <v>0.13900308884758233</v>
      </c>
      <c r="K505" s="512">
        <f>'[1]CADASTRO BASE ORÇ. DESPESA'!N507</f>
        <v>3.167657023674899E-2</v>
      </c>
      <c r="L505" s="512">
        <f>'[1]CADASTRO BASE ORÇ. DESPESA'!P507</f>
        <v>-0.81793763677118481</v>
      </c>
      <c r="M505" s="495">
        <f>(L505+K505+J505)/3</f>
        <v>-0.21575265922895115</v>
      </c>
    </row>
    <row r="507" spans="3:13" ht="15" customHeight="1" x14ac:dyDescent="0.2">
      <c r="C507" s="483" t="s">
        <v>6436</v>
      </c>
      <c r="I507" s="506" t="s">
        <v>1116</v>
      </c>
      <c r="J507" s="512">
        <f>'[1]CADASTRO BASE ORÇ. DESPESA'!L509</f>
        <v>-0.66875688282305423</v>
      </c>
      <c r="K507" s="512">
        <f>'[1]CADASTRO BASE ORÇ. DESPESA'!N509</f>
        <v>-0.65986700902273387</v>
      </c>
      <c r="L507" s="512">
        <f>'[1]CADASTRO BASE ORÇ. DESPESA'!P509</f>
        <v>0.98527691303080911</v>
      </c>
      <c r="M507" s="495">
        <f>(L507+K507+J507)/3</f>
        <v>-0.11444899293832633</v>
      </c>
    </row>
    <row r="509" spans="3:13" ht="15" customHeight="1" x14ac:dyDescent="0.2">
      <c r="C509" s="483" t="s">
        <v>6354</v>
      </c>
      <c r="I509" s="506" t="s">
        <v>1249</v>
      </c>
      <c r="J509" s="512">
        <f>'[1]CADASTRO BASE ORÇ. DESPESA'!L511</f>
        <v>9.0986216888272547E-2</v>
      </c>
      <c r="K509" s="512">
        <f>'[1]CADASTRO BASE ORÇ. DESPESA'!N511</f>
        <v>0.39076707873616479</v>
      </c>
      <c r="L509" s="512">
        <f>'[1]CADASTRO BASE ORÇ. DESPESA'!P511</f>
        <v>-1.3049436731430193</v>
      </c>
      <c r="M509" s="495">
        <f>(L509+K509+J509)/3</f>
        <v>-0.27439679250619398</v>
      </c>
    </row>
    <row r="511" spans="3:13" s="492" customFormat="1" ht="15" customHeight="1" x14ac:dyDescent="0.25">
      <c r="C511" s="492" t="s">
        <v>6238</v>
      </c>
      <c r="I511" s="500" t="s">
        <v>1005</v>
      </c>
      <c r="J511" s="489">
        <f>'[1]CADASTRO BASE ORÇ. DESPESA'!L513</f>
        <v>0.10409525637701557</v>
      </c>
      <c r="K511" s="489">
        <f>'[1]CADASTRO BASE ORÇ. DESPESA'!N513</f>
        <v>-0.22066211961608648</v>
      </c>
      <c r="L511" s="489">
        <f>'[1]CADASTRO BASE ORÇ. DESPESA'!P513</f>
        <v>-0.77509536518122157</v>
      </c>
      <c r="M511" s="491">
        <f>(L511+K511+J511)/3</f>
        <v>-0.29722074280676419</v>
      </c>
    </row>
    <row r="513" spans="3:14" ht="15" customHeight="1" x14ac:dyDescent="0.2">
      <c r="C513" s="483" t="s">
        <v>6277</v>
      </c>
      <c r="I513" s="506" t="s">
        <v>1004</v>
      </c>
      <c r="J513" s="512">
        <f>'[1]CADASTRO BASE ORÇ. DESPESA'!L515</f>
        <v>0.10409525637701557</v>
      </c>
      <c r="K513" s="512">
        <f>'[1]CADASTRO BASE ORÇ. DESPESA'!N515</f>
        <v>-0.22066211961608648</v>
      </c>
      <c r="L513" s="512">
        <f>'[1]CADASTRO BASE ORÇ. DESPESA'!P515</f>
        <v>-0.77509536518122157</v>
      </c>
      <c r="M513" s="495">
        <f>(L513+K513+J513)/3</f>
        <v>-0.29722074280676419</v>
      </c>
    </row>
    <row r="515" spans="3:14" s="492" customFormat="1" ht="15" customHeight="1" x14ac:dyDescent="0.25">
      <c r="C515" s="492" t="s">
        <v>6259</v>
      </c>
      <c r="I515" s="500" t="s">
        <v>1254</v>
      </c>
      <c r="J515" s="489">
        <f>'[1]CADASTRO BASE ORÇ. DESPESA'!L517</f>
        <v>1</v>
      </c>
      <c r="K515" s="489" t="str">
        <f>'[1]CADASTRO BASE ORÇ. DESPESA'!N517</f>
        <v xml:space="preserve">0,00% </v>
      </c>
      <c r="L515" s="489">
        <f>'[1]CADASTRO BASE ORÇ. DESPESA'!P517</f>
        <v>1</v>
      </c>
      <c r="M515" s="491">
        <f>(L515+K515+J515)/3</f>
        <v>0.66666666666666663</v>
      </c>
    </row>
    <row r="517" spans="3:14" ht="15" customHeight="1" x14ac:dyDescent="0.2">
      <c r="C517" s="483" t="s">
        <v>6260</v>
      </c>
      <c r="I517" s="506" t="s">
        <v>1255</v>
      </c>
      <c r="J517" s="512">
        <f>'[1]CADASTRO BASE ORÇ. DESPESA'!L519</f>
        <v>1</v>
      </c>
      <c r="K517" s="512" t="str">
        <f>'[1]CADASTRO BASE ORÇ. DESPESA'!N519</f>
        <v xml:space="preserve">0,00% </v>
      </c>
      <c r="L517" s="512">
        <f>'[1]CADASTRO BASE ORÇ. DESPESA'!P519</f>
        <v>1</v>
      </c>
      <c r="M517" s="495">
        <f>(L517+K517+J517)/3</f>
        <v>0.66666666666666663</v>
      </c>
    </row>
    <row r="518" spans="3:14" ht="15" customHeight="1" x14ac:dyDescent="0.25">
      <c r="I518" s="506"/>
    </row>
    <row r="519" spans="3:14" s="492" customFormat="1" ht="15" customHeight="1" x14ac:dyDescent="0.25">
      <c r="C519" s="492" t="s">
        <v>6355</v>
      </c>
      <c r="I519" s="500" t="s">
        <v>2076</v>
      </c>
      <c r="J519" s="489">
        <f>'[1]CADASTRO BASE ORÇ. DESPESA'!L521</f>
        <v>-3.7654480199050564</v>
      </c>
      <c r="K519" s="489">
        <f>'[1]CADASTRO BASE ORÇ. DESPESA'!N521</f>
        <v>-4.717448885449838</v>
      </c>
      <c r="L519" s="489">
        <f>'[1]CADASTRO BASE ORÇ. DESPESA'!P521</f>
        <v>0.96329764153403641</v>
      </c>
      <c r="M519" s="491">
        <f>(L519+K519+J519)/3</f>
        <v>-2.5065330879402858</v>
      </c>
      <c r="N519" s="502"/>
    </row>
    <row r="521" spans="3:14" s="492" customFormat="1" ht="15" customHeight="1" x14ac:dyDescent="0.25">
      <c r="C521" s="492" t="s">
        <v>6356</v>
      </c>
      <c r="I521" s="500" t="s">
        <v>2108</v>
      </c>
      <c r="J521" s="489">
        <f>'[1]CADASTRO BASE ORÇ. DESPESA'!L523</f>
        <v>-3.7654480199050564</v>
      </c>
      <c r="K521" s="489">
        <f>'[1]CADASTRO BASE ORÇ. DESPESA'!N523</f>
        <v>-4.717448885449838</v>
      </c>
      <c r="L521" s="489">
        <f>'[1]CADASTRO BASE ORÇ. DESPESA'!P523</f>
        <v>0.96329764153403641</v>
      </c>
      <c r="M521" s="491">
        <f>(L521+K521+J521)/3</f>
        <v>-2.5065330879402858</v>
      </c>
    </row>
    <row r="523" spans="3:14" ht="15" customHeight="1" x14ac:dyDescent="0.2">
      <c r="C523" s="483" t="s">
        <v>6460</v>
      </c>
      <c r="I523" s="506" t="s">
        <v>6462</v>
      </c>
      <c r="J523" s="512" t="str">
        <f>'[1]CADASTRO BASE ORÇ. DESPESA'!L525</f>
        <v xml:space="preserve">0,00% </v>
      </c>
      <c r="K523" s="512" t="str">
        <f>'[1]CADASTRO BASE ORÇ. DESPESA'!N525</f>
        <v xml:space="preserve">0,00% </v>
      </c>
      <c r="L523" s="512">
        <f>'[1]CADASTRO BASE ORÇ. DESPESA'!P525</f>
        <v>1</v>
      </c>
      <c r="M523" s="495">
        <f>(L523+K523+J523)/3</f>
        <v>0.33333333333333331</v>
      </c>
    </row>
    <row r="524" spans="3:14" ht="15" customHeight="1" x14ac:dyDescent="0.2">
      <c r="I524" s="506"/>
      <c r="J524" s="494"/>
      <c r="K524" s="494"/>
      <c r="L524" s="494"/>
      <c r="M524" s="495"/>
    </row>
    <row r="525" spans="3:14" ht="15" customHeight="1" x14ac:dyDescent="0.2">
      <c r="C525" s="483" t="s">
        <v>6461</v>
      </c>
      <c r="I525" s="506" t="s">
        <v>6463</v>
      </c>
      <c r="J525" s="512">
        <f>'[1]CADASTRO BASE ORÇ. DESPESA'!L527</f>
        <v>-1.0655294828016992</v>
      </c>
      <c r="K525" s="512">
        <f>'[1]CADASTRO BASE ORÇ. DESPESA'!N527</f>
        <v>-4.717448885449838</v>
      </c>
      <c r="L525" s="512">
        <f>'[1]CADASTRO BASE ORÇ. DESPESA'!P527</f>
        <v>0.91532283468535547</v>
      </c>
      <c r="M525" s="495">
        <f>(L525+K525+J525)/3</f>
        <v>-1.6225518445220608</v>
      </c>
    </row>
    <row r="526" spans="3:14" ht="15" customHeight="1" x14ac:dyDescent="0.2">
      <c r="I526" s="506"/>
      <c r="J526" s="494"/>
      <c r="K526" s="494"/>
      <c r="L526" s="494"/>
      <c r="M526" s="495"/>
    </row>
    <row r="527" spans="3:14" s="492" customFormat="1" ht="15" customHeight="1" x14ac:dyDescent="0.25">
      <c r="C527" s="492" t="s">
        <v>2109</v>
      </c>
      <c r="I527" s="500" t="s">
        <v>94</v>
      </c>
      <c r="J527" s="489">
        <f>'[1]CADASTRO BASE ORÇ. DESPESA'!L529</f>
        <v>0.19024297186149683</v>
      </c>
      <c r="K527" s="489">
        <f>'[1]CADASTRO BASE ORÇ. DESPESA'!N529</f>
        <v>-3.9571465281946654E-2</v>
      </c>
      <c r="L527" s="489">
        <f>'[1]CADASTRO BASE ORÇ. DESPESA'!P529</f>
        <v>-0.72871902763452978</v>
      </c>
      <c r="M527" s="491">
        <f>(L527+K527+J527)/3</f>
        <v>-0.19268250701832654</v>
      </c>
      <c r="N527" s="502"/>
    </row>
    <row r="529" spans="3:13" s="492" customFormat="1" ht="15" customHeight="1" x14ac:dyDescent="0.25">
      <c r="C529" s="492" t="s">
        <v>2127</v>
      </c>
      <c r="I529" s="500" t="s">
        <v>2128</v>
      </c>
      <c r="J529" s="489">
        <f>'[1]CADASTRO BASE ORÇ. DESPESA'!L531</f>
        <v>4.4439579684763572E-2</v>
      </c>
      <c r="K529" s="489">
        <f>'[1]CADASTRO BASE ORÇ. DESPESA'!N531</f>
        <v>0.28585351682819937</v>
      </c>
      <c r="L529" s="489">
        <f>'[1]CADASTRO BASE ORÇ. DESPESA'!P531</f>
        <v>-0.1258466941884282</v>
      </c>
      <c r="M529" s="491">
        <f>(L529+K529+J529)/3</f>
        <v>6.814880077484492E-2</v>
      </c>
    </row>
    <row r="531" spans="3:13" s="492" customFormat="1" ht="15" customHeight="1" x14ac:dyDescent="0.25">
      <c r="C531" s="492" t="s">
        <v>6334</v>
      </c>
      <c r="I531" s="500" t="s">
        <v>1057</v>
      </c>
      <c r="J531" s="489">
        <f>'[1]CADASTRO BASE ORÇ. DESPESA'!L533</f>
        <v>4.4439579684763572E-2</v>
      </c>
      <c r="K531" s="489">
        <f>'[1]CADASTRO BASE ORÇ. DESPESA'!N533</f>
        <v>0.14237924560505205</v>
      </c>
      <c r="L531" s="489">
        <f>'[1]CADASTRO BASE ORÇ. DESPESA'!P533</f>
        <v>6.25E-2</v>
      </c>
      <c r="M531" s="491">
        <f>(L531+K531+J531)/3</f>
        <v>8.3106275096605217E-2</v>
      </c>
    </row>
    <row r="533" spans="3:13" ht="15" customHeight="1" x14ac:dyDescent="0.2">
      <c r="C533" s="483" t="s">
        <v>6357</v>
      </c>
      <c r="I533" s="506" t="s">
        <v>1274</v>
      </c>
      <c r="J533" s="512">
        <f>'[1]CADASTRO BASE ORÇ. DESPESA'!L535</f>
        <v>4.4439579684763572E-2</v>
      </c>
      <c r="K533" s="512">
        <f>'[1]CADASTRO BASE ORÇ. DESPESA'!N535</f>
        <v>0.14237924560505205</v>
      </c>
      <c r="L533" s="512">
        <f>'[1]CADASTRO BASE ORÇ. DESPESA'!P535</f>
        <v>6.25E-2</v>
      </c>
      <c r="M533" s="495">
        <f>(L533+K533+J533)/3</f>
        <v>8.3106275096605217E-2</v>
      </c>
    </row>
    <row r="535" spans="3:13" s="492" customFormat="1" ht="15" customHeight="1" x14ac:dyDescent="0.25">
      <c r="C535" s="492" t="s">
        <v>6255</v>
      </c>
      <c r="I535" s="500" t="s">
        <v>985</v>
      </c>
      <c r="J535" s="489" t="str">
        <f>'[1]CADASTRO BASE ORÇ. DESPESA'!L537</f>
        <v xml:space="preserve">0,00% </v>
      </c>
      <c r="K535" s="489">
        <f>'[1]CADASTRO BASE ORÇ. DESPESA'!N537</f>
        <v>1</v>
      </c>
      <c r="L535" s="489" t="str">
        <f>'[1]CADASTRO BASE ORÇ. DESPESA'!P537</f>
        <v xml:space="preserve">0,00% </v>
      </c>
      <c r="M535" s="491">
        <f>(L535+K535+J535)/3</f>
        <v>0.33333333333333331</v>
      </c>
    </row>
    <row r="537" spans="3:13" s="492" customFormat="1" ht="15" customHeight="1" x14ac:dyDescent="0.2">
      <c r="C537" s="483" t="s">
        <v>6474</v>
      </c>
      <c r="D537" s="483"/>
      <c r="E537" s="483"/>
      <c r="F537" s="483"/>
      <c r="G537" s="483"/>
      <c r="H537" s="483"/>
      <c r="I537" s="506" t="s">
        <v>1274</v>
      </c>
      <c r="J537" s="512" t="str">
        <f>'[1]CADASTRO BASE ORÇ. DESPESA'!L539</f>
        <v xml:space="preserve">0,00% </v>
      </c>
      <c r="K537" s="512">
        <f>'[1]CADASTRO BASE ORÇ. DESPESA'!N539</f>
        <v>1</v>
      </c>
      <c r="L537" s="512" t="str">
        <f>'[1]CADASTRO BASE ORÇ. DESPESA'!P539</f>
        <v xml:space="preserve">0,00% </v>
      </c>
      <c r="M537" s="495">
        <f>(L537+K537+J537)/3</f>
        <v>0.33333333333333331</v>
      </c>
    </row>
    <row r="539" spans="3:13" s="492" customFormat="1" ht="15" customHeight="1" x14ac:dyDescent="0.25">
      <c r="C539" s="492" t="s">
        <v>2125</v>
      </c>
      <c r="I539" s="500" t="s">
        <v>2126</v>
      </c>
      <c r="J539" s="489">
        <f>'[1]CADASTRO BASE ORÇ. DESPESA'!L541</f>
        <v>0.11468491237248453</v>
      </c>
      <c r="K539" s="489">
        <f>'[1]CADASTRO BASE ORÇ. DESPESA'!N541</f>
        <v>0.29943136902623074</v>
      </c>
      <c r="L539" s="489">
        <f>'[1]CADASTRO BASE ORÇ. DESPESA'!P541</f>
        <v>-0.33691487956316873</v>
      </c>
      <c r="M539" s="491">
        <f>(L539+K539+J539)/3</f>
        <v>2.5733800611848847E-2</v>
      </c>
    </row>
    <row r="540" spans="3:13" s="492" customFormat="1" ht="15" customHeight="1" x14ac:dyDescent="0.25">
      <c r="J540" s="493"/>
      <c r="K540" s="493"/>
      <c r="L540" s="493"/>
      <c r="M540" s="493"/>
    </row>
    <row r="541" spans="3:13" s="492" customFormat="1" ht="15" customHeight="1" x14ac:dyDescent="0.25">
      <c r="C541" s="492" t="s">
        <v>6239</v>
      </c>
      <c r="I541" s="500" t="s">
        <v>1027</v>
      </c>
      <c r="J541" s="489">
        <f>'[1]CADASTRO BASE ORÇ. DESPESA'!L543</f>
        <v>0.11468491237248453</v>
      </c>
      <c r="K541" s="489">
        <f>'[1]CADASTRO BASE ORÇ. DESPESA'!N543</f>
        <v>0.29943136902623074</v>
      </c>
      <c r="L541" s="489">
        <f>'[1]CADASTRO BASE ORÇ. DESPESA'!P543</f>
        <v>-0.33691487956316873</v>
      </c>
      <c r="M541" s="491">
        <f>(L541+K541+J541)/3</f>
        <v>2.5733800611848847E-2</v>
      </c>
    </row>
    <row r="543" spans="3:13" ht="15" customHeight="1" x14ac:dyDescent="0.2">
      <c r="C543" s="483" t="s">
        <v>6336</v>
      </c>
      <c r="I543" s="506" t="s">
        <v>6358</v>
      </c>
      <c r="J543" s="512">
        <f>'[1]CADASTRO BASE ORÇ. DESPESA'!L545</f>
        <v>0.11468491237248453</v>
      </c>
      <c r="K543" s="512">
        <f>'[1]CADASTRO BASE ORÇ. DESPESA'!N545</f>
        <v>0.29943136902623074</v>
      </c>
      <c r="L543" s="512">
        <f>'[1]CADASTRO BASE ORÇ. DESPESA'!P545</f>
        <v>-0.33691487956316873</v>
      </c>
      <c r="M543" s="495">
        <f>(L543+K543+J543)/3</f>
        <v>2.5733800611848847E-2</v>
      </c>
    </row>
    <row r="545" spans="3:13" ht="15" customHeight="1" x14ac:dyDescent="0.2">
      <c r="C545" s="483" t="s">
        <v>6337</v>
      </c>
      <c r="I545" s="506" t="s">
        <v>1059</v>
      </c>
      <c r="J545" s="512" t="str">
        <f>'[1]CADASTRO BASE ORÇ. DESPESA'!L547</f>
        <v xml:space="preserve">0,00% </v>
      </c>
      <c r="K545" s="512" t="str">
        <f>'[1]CADASTRO BASE ORÇ. DESPESA'!N547</f>
        <v xml:space="preserve">0,00% </v>
      </c>
      <c r="L545" s="512" t="str">
        <f>'[1]CADASTRO BASE ORÇ. DESPESA'!P547</f>
        <v xml:space="preserve">0,00% </v>
      </c>
      <c r="M545" s="495">
        <f>(L545+K545+J545)/3</f>
        <v>0</v>
      </c>
    </row>
    <row r="547" spans="3:13" s="492" customFormat="1" ht="15" customHeight="1" x14ac:dyDescent="0.25">
      <c r="C547" s="492" t="s">
        <v>2129</v>
      </c>
      <c r="I547" s="500" t="s">
        <v>2130</v>
      </c>
      <c r="J547" s="489" t="str">
        <f>'[1]CADASTRO BASE ORÇ. DESPESA'!L549</f>
        <v xml:space="preserve">0,00% </v>
      </c>
      <c r="K547" s="489" t="str">
        <f>'[1]CADASTRO BASE ORÇ. DESPESA'!N549</f>
        <v xml:space="preserve">0,00% </v>
      </c>
      <c r="L547" s="489" t="str">
        <f>'[1]CADASTRO BASE ORÇ. DESPESA'!P549</f>
        <v xml:space="preserve">0,00% </v>
      </c>
      <c r="M547" s="491">
        <f>(L547+K547+J547)/3</f>
        <v>0</v>
      </c>
    </row>
    <row r="549" spans="3:13" ht="15" customHeight="1" x14ac:dyDescent="0.2">
      <c r="C549" s="483" t="s">
        <v>6332</v>
      </c>
      <c r="I549" s="506" t="s">
        <v>6359</v>
      </c>
      <c r="J549" s="512" t="str">
        <f>'[1]CADASTRO BASE ORÇ. DESPESA'!L551</f>
        <v xml:space="preserve">0,00% </v>
      </c>
      <c r="K549" s="512" t="str">
        <f>'[1]CADASTRO BASE ORÇ. DESPESA'!N551</f>
        <v xml:space="preserve">0,00% </v>
      </c>
      <c r="L549" s="512" t="str">
        <f>'[1]CADASTRO BASE ORÇ. DESPESA'!P551</f>
        <v xml:space="preserve">0,00% </v>
      </c>
      <c r="M549" s="495">
        <f>(L549+K549+J549)/3</f>
        <v>0</v>
      </c>
    </row>
    <row r="551" spans="3:13" s="492" customFormat="1" ht="15" customHeight="1" x14ac:dyDescent="0.25">
      <c r="C551" s="492" t="s">
        <v>2110</v>
      </c>
      <c r="I551" s="500" t="s">
        <v>6250</v>
      </c>
      <c r="J551" s="489">
        <f>'[1]CADASTRO BASE ORÇ. DESPESA'!L553</f>
        <v>0.89566586960113415</v>
      </c>
      <c r="K551" s="489">
        <f>'[1]CADASTRO BASE ORÇ. DESPESA'!N553</f>
        <v>-5.625415129957525</v>
      </c>
      <c r="L551" s="489" t="str">
        <f>'[1]CADASTRO BASE ORÇ. DESPESA'!P553</f>
        <v xml:space="preserve">0,00% </v>
      </c>
      <c r="M551" s="491">
        <f>(L551+K551+J551)/3</f>
        <v>-1.5765830867854635</v>
      </c>
    </row>
    <row r="552" spans="3:13" s="492" customFormat="1" ht="15" customHeight="1" x14ac:dyDescent="0.25">
      <c r="J552" s="591"/>
      <c r="K552" s="591"/>
      <c r="L552" s="591"/>
      <c r="M552" s="591"/>
    </row>
    <row r="553" spans="3:13" ht="15" customHeight="1" x14ac:dyDescent="0.2">
      <c r="C553" s="483" t="s">
        <v>6459</v>
      </c>
      <c r="I553" s="506" t="s">
        <v>6250</v>
      </c>
      <c r="J553" s="512">
        <f>'[1]CADASTRO BASE ORÇ. DESPESA'!L555</f>
        <v>0.89566586960113415</v>
      </c>
      <c r="K553" s="512">
        <f>'[1]CADASTRO BASE ORÇ. DESPESA'!N555</f>
        <v>-5.625415129957525</v>
      </c>
      <c r="L553" s="512" t="str">
        <f>'[1]CADASTRO BASE ORÇ. DESPESA'!P555</f>
        <v xml:space="preserve">0,00% </v>
      </c>
      <c r="M553" s="495">
        <f>(L553+K553+J553)/3</f>
        <v>-1.5765830867854635</v>
      </c>
    </row>
    <row r="554" spans="3:13" s="492" customFormat="1" ht="15" customHeight="1" x14ac:dyDescent="0.25">
      <c r="J554" s="493"/>
      <c r="K554" s="493"/>
      <c r="L554" s="493"/>
      <c r="M554" s="493"/>
    </row>
    <row r="555" spans="3:13" s="492" customFormat="1" ht="15" customHeight="1" x14ac:dyDescent="0.25">
      <c r="C555" s="492" t="s">
        <v>2111</v>
      </c>
      <c r="I555" s="500" t="s">
        <v>2108</v>
      </c>
      <c r="J555" s="489">
        <f>'[1]CADASTRO BASE ORÇ. DESPESA'!L557</f>
        <v>0.18932006785866901</v>
      </c>
      <c r="K555" s="489">
        <f>'[1]CADASTRO BASE ORÇ. DESPESA'!N557</f>
        <v>-4.5697095972208557E-2</v>
      </c>
      <c r="L555" s="489">
        <f>'[1]CADASTRO BASE ORÇ. DESPESA'!P557</f>
        <v>-0.76877125635287735</v>
      </c>
      <c r="M555" s="491">
        <f>(L555+K555+J555)/3</f>
        <v>-0.20838276148880563</v>
      </c>
    </row>
    <row r="556" spans="3:13" s="492" customFormat="1" ht="15" customHeight="1" x14ac:dyDescent="0.25">
      <c r="J556" s="493"/>
      <c r="K556" s="493"/>
      <c r="L556" s="493"/>
      <c r="M556" s="493"/>
    </row>
    <row r="557" spans="3:13" s="492" customFormat="1" ht="15" customHeight="1" x14ac:dyDescent="0.25">
      <c r="C557" s="492" t="s">
        <v>6437</v>
      </c>
      <c r="I557" s="500" t="s">
        <v>6438</v>
      </c>
      <c r="J557" s="489">
        <f>'[1]CADASTRO BASE ORÇ. DESPESA'!L559</f>
        <v>0.41666666666666669</v>
      </c>
      <c r="K557" s="489">
        <f>'[1]CADASTRO BASE ORÇ. DESPESA'!N559</f>
        <v>-0.7142857142857143</v>
      </c>
      <c r="L557" s="489">
        <f>'[1]CADASTRO BASE ORÇ. DESPESA'!P559</f>
        <v>0.98212872424621511</v>
      </c>
      <c r="M557" s="491">
        <f>(L557+K557+J557)/3</f>
        <v>0.22816989220905581</v>
      </c>
    </row>
    <row r="559" spans="3:13" ht="15" customHeight="1" x14ac:dyDescent="0.2">
      <c r="C559" s="483" t="s">
        <v>6439</v>
      </c>
      <c r="I559" s="506" t="s">
        <v>6440</v>
      </c>
      <c r="J559" s="512">
        <f>'[1]CADASTRO BASE ORÇ. DESPESA'!L561</f>
        <v>0.41666666666666669</v>
      </c>
      <c r="K559" s="512">
        <f>'[1]CADASTRO BASE ORÇ. DESPESA'!N561</f>
        <v>-0.7142857142857143</v>
      </c>
      <c r="L559" s="512">
        <f>'[1]CADASTRO BASE ORÇ. DESPESA'!P561</f>
        <v>0.98212872424621511</v>
      </c>
      <c r="M559" s="495">
        <f>(L559+K559+J559)/3</f>
        <v>0.22816989220905581</v>
      </c>
    </row>
    <row r="560" spans="3:13" s="492" customFormat="1" ht="15" customHeight="1" x14ac:dyDescent="0.25">
      <c r="J560" s="493"/>
      <c r="K560" s="493"/>
      <c r="L560" s="493"/>
      <c r="M560" s="493"/>
    </row>
    <row r="561" spans="3:13" s="492" customFormat="1" ht="15" customHeight="1" x14ac:dyDescent="0.25">
      <c r="C561" s="492" t="s">
        <v>6240</v>
      </c>
      <c r="I561" s="500" t="s">
        <v>1046</v>
      </c>
      <c r="J561" s="489">
        <f>'[1]CADASTRO BASE ORÇ. DESPESA'!L563</f>
        <v>9.8202229183187065E-2</v>
      </c>
      <c r="K561" s="489">
        <f>'[1]CADASTRO BASE ORÇ. DESPESA'!N563</f>
        <v>-0.19931904453364419</v>
      </c>
      <c r="L561" s="489">
        <f>'[1]CADASTRO BASE ORÇ. DESPESA'!P563</f>
        <v>-0.63177482504027704</v>
      </c>
      <c r="M561" s="491">
        <f>(L561+K561+J561)/3</f>
        <v>-0.24429721346357802</v>
      </c>
    </row>
    <row r="563" spans="3:13" ht="15" customHeight="1" x14ac:dyDescent="0.2">
      <c r="C563" s="483" t="s">
        <v>6360</v>
      </c>
      <c r="I563" s="506" t="s">
        <v>5050</v>
      </c>
      <c r="J563" s="512">
        <f>'[1]CADASTRO BASE ORÇ. DESPESA'!L565</f>
        <v>9.8202229183187065E-2</v>
      </c>
      <c r="K563" s="512">
        <f>'[1]CADASTRO BASE ORÇ. DESPESA'!N565</f>
        <v>-0.19931904453364419</v>
      </c>
      <c r="L563" s="512">
        <f>'[1]CADASTRO BASE ORÇ. DESPESA'!P565</f>
        <v>-0.7798210319385227</v>
      </c>
      <c r="M563" s="495">
        <f>(L563+K563+J563)/3</f>
        <v>-0.29364594909632663</v>
      </c>
    </row>
    <row r="565" spans="3:13" ht="15" customHeight="1" x14ac:dyDescent="0.2">
      <c r="C565" s="483" t="s">
        <v>6361</v>
      </c>
      <c r="I565" s="506" t="s">
        <v>5054</v>
      </c>
      <c r="J565" s="512" t="str">
        <f>'[1]CADASTRO BASE ORÇ. DESPESA'!L567</f>
        <v xml:space="preserve">0,00% </v>
      </c>
      <c r="K565" s="512" t="str">
        <f>'[1]CADASTRO BASE ORÇ. DESPESA'!N567</f>
        <v xml:space="preserve">0,00% </v>
      </c>
      <c r="L565" s="512">
        <f>'[1]CADASTRO BASE ORÇ. DESPESA'!P567</f>
        <v>1</v>
      </c>
      <c r="M565" s="495">
        <f>(L565+K565+J565)/3</f>
        <v>0.33333333333333331</v>
      </c>
    </row>
    <row r="567" spans="3:13" s="492" customFormat="1" ht="15" customHeight="1" x14ac:dyDescent="0.25">
      <c r="C567" s="492" t="s">
        <v>6241</v>
      </c>
      <c r="I567" s="500" t="s">
        <v>996</v>
      </c>
      <c r="J567" s="489">
        <f>'[1]CADASTRO BASE ORÇ. DESPESA'!L569</f>
        <v>0.13341476375720143</v>
      </c>
      <c r="K567" s="489">
        <f>'[1]CADASTRO BASE ORÇ. DESPESA'!N569</f>
        <v>-0.44976973105167278</v>
      </c>
      <c r="L567" s="489">
        <f>'[1]CADASTRO BASE ORÇ. DESPESA'!P569</f>
        <v>-0.62781403654943835</v>
      </c>
      <c r="M567" s="491">
        <f>(L567+K567+J567)/3</f>
        <v>-0.31472300128130321</v>
      </c>
    </row>
    <row r="569" spans="3:13" ht="15" customHeight="1" x14ac:dyDescent="0.2">
      <c r="C569" s="483" t="s">
        <v>6362</v>
      </c>
      <c r="I569" s="506" t="s">
        <v>6363</v>
      </c>
      <c r="J569" s="512">
        <f>'[1]CADASTRO BASE ORÇ. DESPESA'!L571</f>
        <v>0.12475464992645936</v>
      </c>
      <c r="K569" s="512">
        <f>'[1]CADASTRO BASE ORÇ. DESPESA'!N571</f>
        <v>-6.0859632595819963E-3</v>
      </c>
      <c r="L569" s="512">
        <f>'[1]CADASTRO BASE ORÇ. DESPESA'!P571</f>
        <v>-0.63539189851819222</v>
      </c>
      <c r="M569" s="495">
        <f>(L569+K569+J569)/3</f>
        <v>-0.17224107061710495</v>
      </c>
    </row>
    <row r="571" spans="3:13" ht="15" customHeight="1" x14ac:dyDescent="0.2">
      <c r="C571" s="483" t="s">
        <v>6364</v>
      </c>
      <c r="I571" s="506" t="s">
        <v>6365</v>
      </c>
      <c r="J571" s="512">
        <f>'[1]CADASTRO BASE ORÇ. DESPESA'!L573</f>
        <v>-63.555279701166171</v>
      </c>
      <c r="K571" s="512">
        <f>'[1]CADASTRO BASE ORÇ. DESPESA'!N573</f>
        <v>0.61094914443194004</v>
      </c>
      <c r="L571" s="512">
        <f>'[1]CADASTRO BASE ORÇ. DESPESA'!P573</f>
        <v>-0.26650056675981731</v>
      </c>
      <c r="M571" s="495">
        <f>(L571+K571+J571)/3</f>
        <v>-21.070277041164683</v>
      </c>
    </row>
    <row r="573" spans="3:13" ht="15" customHeight="1" x14ac:dyDescent="0.2">
      <c r="C573" s="483" t="s">
        <v>6302</v>
      </c>
      <c r="I573" s="506" t="s">
        <v>1090</v>
      </c>
      <c r="J573" s="512">
        <f>'[1]CADASTRO BASE ORÇ. DESPESA'!L575</f>
        <v>-0.4373121511378274</v>
      </c>
      <c r="K573" s="512">
        <f>'[1]CADASTRO BASE ORÇ. DESPESA'!N575</f>
        <v>0.56127401164952284</v>
      </c>
      <c r="L573" s="512">
        <f>'[1]CADASTRO BASE ORÇ. DESPESA'!P575</f>
        <v>-2.0976237091634995</v>
      </c>
      <c r="M573" s="495">
        <f>(L573+K573+J573)/3</f>
        <v>-0.65788728288393472</v>
      </c>
    </row>
    <row r="575" spans="3:13" ht="15" customHeight="1" x14ac:dyDescent="0.2">
      <c r="C575" s="483" t="s">
        <v>6278</v>
      </c>
      <c r="I575" s="506" t="s">
        <v>1161</v>
      </c>
      <c r="J575" s="512">
        <f>'[1]CADASTRO BASE ORÇ. DESPESA'!L577</f>
        <v>2.4889809895867837E-2</v>
      </c>
      <c r="K575" s="512">
        <f>'[1]CADASTRO BASE ORÇ. DESPESA'!N577</f>
        <v>0.39738275579354332</v>
      </c>
      <c r="L575" s="512">
        <f>'[1]CADASTRO BASE ORÇ. DESPESA'!P577</f>
        <v>-1.7092586923008151</v>
      </c>
      <c r="M575" s="495">
        <f>(L575+K575+J575)/3</f>
        <v>-0.42899537553713468</v>
      </c>
    </row>
    <row r="577" spans="3:13" ht="15" customHeight="1" x14ac:dyDescent="0.2">
      <c r="C577" s="483" t="s">
        <v>6320</v>
      </c>
      <c r="I577" s="506" t="s">
        <v>1105</v>
      </c>
      <c r="J577" s="512">
        <f>'[1]CADASTRO BASE ORÇ. DESPESA'!L579</f>
        <v>0.93146595629772599</v>
      </c>
      <c r="K577" s="512">
        <f>'[1]CADASTRO BASE ORÇ. DESPESA'!N579</f>
        <v>-0.62359451519387799</v>
      </c>
      <c r="L577" s="512">
        <f>'[1]CADASTRO BASE ORÇ. DESPESA'!P579</f>
        <v>-2.1115094890242059</v>
      </c>
      <c r="M577" s="495">
        <f>(L577+K577+J577)/3</f>
        <v>-0.60121268264011929</v>
      </c>
    </row>
    <row r="579" spans="3:13" ht="15" customHeight="1" x14ac:dyDescent="0.2">
      <c r="C579" s="483" t="s">
        <v>6442</v>
      </c>
      <c r="I579" s="506" t="s">
        <v>6443</v>
      </c>
      <c r="J579" s="512" t="str">
        <f>'[1]CADASTRO BASE ORÇ. DESPESA'!L581</f>
        <v xml:space="preserve">0,00% </v>
      </c>
      <c r="K579" s="512">
        <f>'[1]CADASTRO BASE ORÇ. DESPESA'!N581</f>
        <v>1</v>
      </c>
      <c r="L579" s="512">
        <f>'[1]CADASTRO BASE ORÇ. DESPESA'!P581</f>
        <v>0.94248047139190583</v>
      </c>
      <c r="M579" s="495">
        <f>(L579+K579+J579)/3</f>
        <v>0.64749349046396854</v>
      </c>
    </row>
    <row r="581" spans="3:13" ht="15" customHeight="1" x14ac:dyDescent="0.2">
      <c r="C581" s="483" t="s">
        <v>6303</v>
      </c>
      <c r="I581" s="506" t="s">
        <v>1016</v>
      </c>
      <c r="J581" s="512">
        <f>'[1]CADASTRO BASE ORÇ. DESPESA'!L583</f>
        <v>1</v>
      </c>
      <c r="K581" s="512">
        <f>'[1]CADASTRO BASE ORÇ. DESPESA'!N583</f>
        <v>0.77936527844255432</v>
      </c>
      <c r="L581" s="512">
        <f>'[1]CADASTRO BASE ORÇ. DESPESA'!P583</f>
        <v>-0.82987014507687096</v>
      </c>
      <c r="M581" s="495">
        <f>(L581+K581+J581)/3</f>
        <v>0.3164983777885611</v>
      </c>
    </row>
    <row r="583" spans="3:13" ht="15" customHeight="1" x14ac:dyDescent="0.2">
      <c r="C583" s="483" t="s">
        <v>6467</v>
      </c>
      <c r="I583" s="506" t="s">
        <v>6468</v>
      </c>
      <c r="J583" s="512" t="str">
        <f>'[1]CADASTRO BASE ORÇ. DESPESA'!L585</f>
        <v xml:space="preserve">0,00% </v>
      </c>
      <c r="K583" s="512">
        <f>'[1]CADASTRO BASE ORÇ. DESPESA'!N585</f>
        <v>1</v>
      </c>
      <c r="L583" s="512">
        <f>'[1]CADASTRO BASE ORÇ. DESPESA'!P585</f>
        <v>-0.55106963455616331</v>
      </c>
      <c r="M583" s="495">
        <f>(L583+K583+J583)/3</f>
        <v>0.14964345514794555</v>
      </c>
    </row>
    <row r="585" spans="3:13" ht="15" customHeight="1" x14ac:dyDescent="0.2">
      <c r="C585" s="483" t="s">
        <v>6296</v>
      </c>
      <c r="I585" s="506" t="s">
        <v>1003</v>
      </c>
      <c r="J585" s="512">
        <f>'[1]CADASTRO BASE ORÇ. DESPESA'!L587</f>
        <v>1</v>
      </c>
      <c r="K585" s="512">
        <f>'[1]CADASTRO BASE ORÇ. DESPESA'!N587</f>
        <v>-1.6783951302099662</v>
      </c>
      <c r="L585" s="512">
        <f>'[1]CADASTRO BASE ORÇ. DESPESA'!P587</f>
        <v>-0.17965936972246133</v>
      </c>
      <c r="M585" s="495">
        <f>(L585+K585+J585)/3</f>
        <v>-0.28601816664414254</v>
      </c>
    </row>
    <row r="587" spans="3:13" ht="15" customHeight="1" x14ac:dyDescent="0.2">
      <c r="C587" s="483" t="s">
        <v>6279</v>
      </c>
      <c r="I587" s="506" t="s">
        <v>5106</v>
      </c>
      <c r="J587" s="512" t="str">
        <f>'[1]CADASTRO BASE ORÇ. DESPESA'!L589</f>
        <v xml:space="preserve">0,00% </v>
      </c>
      <c r="K587" s="512">
        <f>'[1]CADASTRO BASE ORÇ. DESPESA'!N589</f>
        <v>1</v>
      </c>
      <c r="L587" s="512">
        <f>'[1]CADASTRO BASE ORÇ. DESPESA'!P589</f>
        <v>2.3168937242019068E-3</v>
      </c>
      <c r="M587" s="495">
        <f>(L587+K587+J587)/3</f>
        <v>0.33410563124140064</v>
      </c>
    </row>
    <row r="589" spans="3:13" ht="15" customHeight="1" x14ac:dyDescent="0.2">
      <c r="C589" s="483" t="s">
        <v>6327</v>
      </c>
      <c r="I589" s="506" t="s">
        <v>6366</v>
      </c>
      <c r="J589" s="512" t="str">
        <f>'[1]CADASTRO BASE ORÇ. DESPESA'!L591</f>
        <v xml:space="preserve">0,00% </v>
      </c>
      <c r="K589" s="512" t="str">
        <f>'[1]CADASTRO BASE ORÇ. DESPESA'!N591</f>
        <v xml:space="preserve">0,00% </v>
      </c>
      <c r="L589" s="512">
        <f>'[1]CADASTRO BASE ORÇ. DESPESA'!P591</f>
        <v>1</v>
      </c>
      <c r="M589" s="495">
        <f>(L589+K589+J589)/3</f>
        <v>0.33333333333333331</v>
      </c>
    </row>
    <row r="591" spans="3:13" ht="15" customHeight="1" x14ac:dyDescent="0.2">
      <c r="C591" s="483" t="s">
        <v>6321</v>
      </c>
      <c r="I591" s="506" t="s">
        <v>5111</v>
      </c>
      <c r="J591" s="512" t="str">
        <f>'[1]CADASTRO BASE ORÇ. DESPESA'!L593</f>
        <v xml:space="preserve">0,00% </v>
      </c>
      <c r="K591" s="512">
        <f>'[1]CADASTRO BASE ORÇ. DESPESA'!N593</f>
        <v>1</v>
      </c>
      <c r="L591" s="512">
        <f>'[1]CADASTRO BASE ORÇ. DESPESA'!P593</f>
        <v>-1.5451559934318555</v>
      </c>
      <c r="M591" s="495">
        <f>(L591+K591+J591)/3</f>
        <v>-0.18171866447728516</v>
      </c>
    </row>
    <row r="593" spans="3:13" ht="15" customHeight="1" x14ac:dyDescent="0.2">
      <c r="C593" s="483" t="s">
        <v>6367</v>
      </c>
      <c r="I593" s="506" t="s">
        <v>1002</v>
      </c>
      <c r="J593" s="512">
        <f>'[1]CADASTRO BASE ORÇ. DESPESA'!L595</f>
        <v>1</v>
      </c>
      <c r="K593" s="512">
        <f>'[1]CADASTRO BASE ORÇ. DESPESA'!N595</f>
        <v>-4.3685023129732752</v>
      </c>
      <c r="L593" s="512">
        <f>'[1]CADASTRO BASE ORÇ. DESPESA'!P595</f>
        <v>-48.186956521739134</v>
      </c>
      <c r="M593" s="495">
        <f>(L593+K593+J593)/3</f>
        <v>-17.185152944904136</v>
      </c>
    </row>
    <row r="595" spans="3:13" ht="15" customHeight="1" x14ac:dyDescent="0.2">
      <c r="C595" s="483" t="s">
        <v>6368</v>
      </c>
      <c r="I595" s="506" t="s">
        <v>6369</v>
      </c>
      <c r="J595" s="512">
        <f>'[1]CADASTRO BASE ORÇ. DESPESA'!L597</f>
        <v>0.99724361112841131</v>
      </c>
      <c r="K595" s="512">
        <f>'[1]CADASTRO BASE ORÇ. DESPESA'!N597</f>
        <v>-1.6728798669565319</v>
      </c>
      <c r="L595" s="512">
        <f>'[1]CADASTRO BASE ORÇ. DESPESA'!P597</f>
        <v>0.61891975581981817</v>
      </c>
      <c r="M595" s="495">
        <f>(L595+K595+J595)/3</f>
        <v>-1.8905500002767434E-2</v>
      </c>
    </row>
    <row r="597" spans="3:13" ht="15" customHeight="1" x14ac:dyDescent="0.2">
      <c r="C597" s="483" t="s">
        <v>6370</v>
      </c>
      <c r="I597" s="506" t="s">
        <v>1015</v>
      </c>
      <c r="J597" s="512">
        <f>'[1]CADASTRO BASE ORÇ. DESPESA'!L599</f>
        <v>1</v>
      </c>
      <c r="K597" s="512" t="str">
        <f>'[1]CADASTRO BASE ORÇ. DESPESA'!N599</f>
        <v xml:space="preserve">0,00% </v>
      </c>
      <c r="L597" s="512">
        <f>'[1]CADASTRO BASE ORÇ. DESPESA'!P599</f>
        <v>1</v>
      </c>
      <c r="M597" s="495">
        <f>(L597+K597+J597)/3</f>
        <v>0.66666666666666663</v>
      </c>
    </row>
    <row r="599" spans="3:13" ht="15" customHeight="1" x14ac:dyDescent="0.2">
      <c r="C599" s="483" t="s">
        <v>6297</v>
      </c>
      <c r="I599" s="506" t="s">
        <v>6371</v>
      </c>
      <c r="J599" s="512" t="str">
        <f>'[1]CADASTRO BASE ORÇ. DESPESA'!L601</f>
        <v xml:space="preserve">0,00% </v>
      </c>
      <c r="K599" s="512">
        <f>'[1]CADASTRO BASE ORÇ. DESPESA'!N601</f>
        <v>1</v>
      </c>
      <c r="L599" s="512">
        <f>'[1]CADASTRO BASE ORÇ. DESPESA'!P601</f>
        <v>0.55112154595773732</v>
      </c>
      <c r="M599" s="495">
        <f>(L599+K599+J599)/3</f>
        <v>0.51704051531924577</v>
      </c>
    </row>
    <row r="600" spans="3:13" ht="15" customHeight="1" x14ac:dyDescent="0.25">
      <c r="I600" s="506"/>
    </row>
    <row r="601" spans="3:13" ht="15" customHeight="1" x14ac:dyDescent="0.2">
      <c r="C601" s="483" t="s">
        <v>6372</v>
      </c>
      <c r="I601" s="506" t="s">
        <v>6373</v>
      </c>
      <c r="J601" s="512">
        <f>'[1]CADASTRO BASE ORÇ. DESPESA'!L603</f>
        <v>0.99777826018332128</v>
      </c>
      <c r="K601" s="512">
        <f>'[1]CADASTRO BASE ORÇ. DESPESA'!N603</f>
        <v>-0.33408894712597109</v>
      </c>
      <c r="L601" s="512">
        <f>'[1]CADASTRO BASE ORÇ. DESPESA'!P603</f>
        <v>-3.4473939324034486</v>
      </c>
      <c r="M601" s="495">
        <f>(L601+K601+J601)/3</f>
        <v>-0.92790153978203271</v>
      </c>
    </row>
    <row r="603" spans="3:13" ht="15" customHeight="1" x14ac:dyDescent="0.2">
      <c r="C603" s="483" t="s">
        <v>6374</v>
      </c>
      <c r="I603" s="506" t="s">
        <v>1045</v>
      </c>
      <c r="J603" s="512">
        <f>'[1]CADASTRO BASE ORÇ. DESPESA'!L605</f>
        <v>0.60754019380517987</v>
      </c>
      <c r="K603" s="512">
        <f>'[1]CADASTRO BASE ORÇ. DESPESA'!N605</f>
        <v>-5.2364234646564363</v>
      </c>
      <c r="L603" s="512">
        <f>'[1]CADASTRO BASE ORÇ. DESPESA'!P605</f>
        <v>0.92944553889560289</v>
      </c>
      <c r="M603" s="495">
        <f>(L603+K603+J603)/3</f>
        <v>-1.2331459106518843</v>
      </c>
    </row>
    <row r="605" spans="3:13" ht="15" customHeight="1" x14ac:dyDescent="0.2">
      <c r="C605" s="483" t="s">
        <v>6309</v>
      </c>
      <c r="I605" s="506" t="s">
        <v>5126</v>
      </c>
      <c r="J605" s="512" t="str">
        <f>'[1]CADASTRO BASE ORÇ. DESPESA'!L607</f>
        <v xml:space="preserve">0,00% </v>
      </c>
      <c r="K605" s="512">
        <f>'[1]CADASTRO BASE ORÇ. DESPESA'!N607</f>
        <v>1</v>
      </c>
      <c r="L605" s="512">
        <f>'[1]CADASTRO BASE ORÇ. DESPESA'!P607</f>
        <v>0.83904681582907503</v>
      </c>
      <c r="M605" s="495">
        <f>(L605+K605+J605)/3</f>
        <v>0.61301560527635834</v>
      </c>
    </row>
    <row r="607" spans="3:13" ht="15" customHeight="1" x14ac:dyDescent="0.2">
      <c r="C607" s="483" t="s">
        <v>6469</v>
      </c>
      <c r="I607" s="506" t="s">
        <v>6470</v>
      </c>
      <c r="J607" s="512" t="str">
        <f>'[1]CADASTRO BASE ORÇ. DESPESA'!L609</f>
        <v xml:space="preserve">0,00% </v>
      </c>
      <c r="K607" s="512">
        <f>'[1]CADASTRO BASE ORÇ. DESPESA'!N609</f>
        <v>1</v>
      </c>
      <c r="L607" s="512">
        <f>'[1]CADASTRO BASE ORÇ. DESPESA'!P609</f>
        <v>0.5206297233384598</v>
      </c>
      <c r="M607" s="495">
        <f>(L607+K607+J607)/3</f>
        <v>0.50687657444615331</v>
      </c>
    </row>
    <row r="609" spans="3:13" ht="15" customHeight="1" x14ac:dyDescent="0.2">
      <c r="C609" s="483" t="s">
        <v>6375</v>
      </c>
      <c r="I609" s="506" t="s">
        <v>1197</v>
      </c>
      <c r="J609" s="512" t="str">
        <f>'[1]CADASTRO BASE ORÇ. DESPESA'!L611</f>
        <v xml:space="preserve">0,00% </v>
      </c>
      <c r="K609" s="512">
        <f>'[1]CADASTRO BASE ORÇ. DESPESA'!N611</f>
        <v>1</v>
      </c>
      <c r="L609" s="512">
        <f>'[1]CADASTRO BASE ORÇ. DESPESA'!P611</f>
        <v>0.23200000000000004</v>
      </c>
      <c r="M609" s="495">
        <f>(L609+K609+J609)/3</f>
        <v>0.41066666666666668</v>
      </c>
    </row>
    <row r="611" spans="3:13" ht="15" customHeight="1" x14ac:dyDescent="0.2">
      <c r="C611" s="483" t="s">
        <v>6328</v>
      </c>
      <c r="I611" s="506" t="s">
        <v>1108</v>
      </c>
      <c r="J611" s="512">
        <f>'[1]CADASTRO BASE ORÇ. DESPESA'!L613</f>
        <v>-1.1845938079654958</v>
      </c>
      <c r="K611" s="512">
        <f>'[1]CADASTRO BASE ORÇ. DESPESA'!N613</f>
        <v>0.8738445756649077</v>
      </c>
      <c r="L611" s="512">
        <f>'[1]CADASTRO BASE ORÇ. DESPESA'!P613</f>
        <v>-6.0060846627843896</v>
      </c>
      <c r="M611" s="495">
        <f>(L611+K611+J611)/3</f>
        <v>-2.1056112983616591</v>
      </c>
    </row>
    <row r="613" spans="3:13" ht="15" customHeight="1" x14ac:dyDescent="0.2">
      <c r="C613" s="483" t="s">
        <v>6376</v>
      </c>
      <c r="I613" s="506" t="s">
        <v>6377</v>
      </c>
      <c r="J613" s="512">
        <f>'[1]CADASTRO BASE ORÇ. DESPESA'!L615</f>
        <v>0.11309608102136139</v>
      </c>
      <c r="K613" s="512">
        <f>'[1]CADASTRO BASE ORÇ. DESPESA'!N615</f>
        <v>-2.1998796835051166</v>
      </c>
      <c r="L613" s="512">
        <f>'[1]CADASTRO BASE ORÇ. DESPESA'!P615</f>
        <v>-0.2897095466146159</v>
      </c>
      <c r="M613" s="495">
        <f>(L613+K613+J613)/3</f>
        <v>-0.79216438303279046</v>
      </c>
    </row>
    <row r="615" spans="3:13" ht="15" customHeight="1" x14ac:dyDescent="0.2">
      <c r="C615" s="483" t="s">
        <v>6333</v>
      </c>
      <c r="I615" s="506" t="s">
        <v>1089</v>
      </c>
      <c r="J615" s="512">
        <f>'[1]CADASTRO BASE ORÇ. DESPESA'!L617</f>
        <v>0.68354430379746833</v>
      </c>
      <c r="K615" s="512">
        <f>'[1]CADASTRO BASE ORÇ. DESPESA'!N617</f>
        <v>0.64720027481964959</v>
      </c>
      <c r="L615" s="512">
        <f>'[1]CADASTRO BASE ORÇ. DESPESA'!P617</f>
        <v>-0.43046683046683049</v>
      </c>
      <c r="M615" s="495">
        <f>(L615+K615+J615)/3</f>
        <v>0.30009258271676248</v>
      </c>
    </row>
    <row r="617" spans="3:13" ht="15" customHeight="1" x14ac:dyDescent="0.2">
      <c r="C617" s="483" t="s">
        <v>6311</v>
      </c>
      <c r="I617" s="506" t="s">
        <v>1201</v>
      </c>
      <c r="J617" s="512" t="str">
        <f>'[1]CADASTRO BASE ORÇ. DESPESA'!L619</f>
        <v xml:space="preserve">0,00% </v>
      </c>
      <c r="K617" s="512" t="str">
        <f>'[1]CADASTRO BASE ORÇ. DESPESA'!N619</f>
        <v xml:space="preserve">0,00% </v>
      </c>
      <c r="L617" s="512">
        <f>'[1]CADASTRO BASE ORÇ. DESPESA'!P619</f>
        <v>1</v>
      </c>
      <c r="M617" s="495">
        <f>(L617+K617+J617)/3</f>
        <v>0.33333333333333331</v>
      </c>
    </row>
    <row r="619" spans="3:13" ht="15" customHeight="1" x14ac:dyDescent="0.2">
      <c r="C619" s="483" t="s">
        <v>6378</v>
      </c>
      <c r="I619" s="506" t="s">
        <v>5149</v>
      </c>
      <c r="J619" s="512" t="str">
        <f>'[1]CADASTRO BASE ORÇ. DESPESA'!L621</f>
        <v xml:space="preserve">0,00% </v>
      </c>
      <c r="K619" s="512">
        <f>'[1]CADASTRO BASE ORÇ. DESPESA'!N621</f>
        <v>1</v>
      </c>
      <c r="L619" s="512" t="str">
        <f>'[1]CADASTRO BASE ORÇ. DESPESA'!P621</f>
        <v xml:space="preserve">0,00% </v>
      </c>
      <c r="M619" s="495">
        <f>(L619+K619+J619)/3</f>
        <v>0.33333333333333331</v>
      </c>
    </row>
    <row r="621" spans="3:13" ht="15" customHeight="1" x14ac:dyDescent="0.2">
      <c r="C621" s="483" t="s">
        <v>6444</v>
      </c>
      <c r="I621" s="506" t="s">
        <v>6445</v>
      </c>
      <c r="J621" s="512">
        <f>'[1]CADASTRO BASE ORÇ. DESPESA'!L623</f>
        <v>0.8175968535958904</v>
      </c>
      <c r="K621" s="512" t="str">
        <f>'[1]CADASTRO BASE ORÇ. DESPESA'!N623</f>
        <v xml:space="preserve">0,00% </v>
      </c>
      <c r="L621" s="512">
        <f>'[1]CADASTRO BASE ORÇ. DESPESA'!P623</f>
        <v>1</v>
      </c>
      <c r="M621" s="495">
        <f>(L621+K621+J621)/3</f>
        <v>0.6058656178652968</v>
      </c>
    </row>
    <row r="623" spans="3:13" ht="15" customHeight="1" x14ac:dyDescent="0.2">
      <c r="C623" s="483" t="s">
        <v>6280</v>
      </c>
      <c r="I623" s="506" t="s">
        <v>4202</v>
      </c>
      <c r="J623" s="512">
        <f>'[1]CADASTRO BASE ORÇ. DESPESA'!L625</f>
        <v>-0.25993411976376191</v>
      </c>
      <c r="K623" s="512">
        <f>'[1]CADASTRO BASE ORÇ. DESPESA'!N625</f>
        <v>-3.3547776662919442</v>
      </c>
      <c r="L623" s="512">
        <f>'[1]CADASTRO BASE ORÇ. DESPESA'!P625</f>
        <v>-3.2816514425705363</v>
      </c>
      <c r="M623" s="495">
        <f>(L623+K623+J623)/3</f>
        <v>-2.298787742875414</v>
      </c>
    </row>
    <row r="625" spans="3:13" s="492" customFormat="1" ht="15" customHeight="1" x14ac:dyDescent="0.25">
      <c r="C625" s="492" t="s">
        <v>6257</v>
      </c>
      <c r="I625" s="500" t="s">
        <v>1153</v>
      </c>
      <c r="J625" s="489">
        <f>'[1]CADASTRO BASE ORÇ. DESPESA'!L627</f>
        <v>0.45594143315662311</v>
      </c>
      <c r="K625" s="489">
        <f>'[1]CADASTRO BASE ORÇ. DESPESA'!N627</f>
        <v>0.55065386838366759</v>
      </c>
      <c r="L625" s="489">
        <f>'[1]CADASTRO BASE ORÇ. DESPESA'!P627</f>
        <v>-0.41031325227778304</v>
      </c>
      <c r="M625" s="491">
        <f>(L625+K625+J625)/3</f>
        <v>0.19876068308750253</v>
      </c>
    </row>
    <row r="626" spans="3:13" s="492" customFormat="1" ht="15" customHeight="1" x14ac:dyDescent="0.25">
      <c r="I626" s="500"/>
      <c r="J626" s="591"/>
      <c r="K626" s="591"/>
      <c r="L626" s="591"/>
      <c r="M626" s="591"/>
    </row>
    <row r="627" spans="3:13" ht="15" customHeight="1" x14ac:dyDescent="0.2">
      <c r="C627" s="483" t="s">
        <v>6471</v>
      </c>
      <c r="I627" s="506" t="s">
        <v>5155</v>
      </c>
      <c r="J627" s="512" t="str">
        <f>'[1]CADASTRO BASE ORÇ. DESPESA'!L629</f>
        <v xml:space="preserve">0,00% </v>
      </c>
      <c r="K627" s="512">
        <f>'[1]CADASTRO BASE ORÇ. DESPESA'!N629</f>
        <v>1</v>
      </c>
      <c r="L627" s="512">
        <f>'[1]CADASTRO BASE ORÇ. DESPESA'!P629</f>
        <v>0.66984434749824961</v>
      </c>
      <c r="M627" s="495">
        <f>(L627+K627+J627)/3</f>
        <v>0.55661478249941654</v>
      </c>
    </row>
    <row r="629" spans="3:13" ht="15" customHeight="1" x14ac:dyDescent="0.2">
      <c r="C629" s="483" t="s">
        <v>6314</v>
      </c>
      <c r="I629" s="506" t="s">
        <v>1152</v>
      </c>
      <c r="J629" s="512">
        <f>'[1]CADASTRO BASE ORÇ. DESPESA'!L631</f>
        <v>0.45594143315662311</v>
      </c>
      <c r="K629" s="512">
        <f>'[1]CADASTRO BASE ORÇ. DESPESA'!N631</f>
        <v>0.20371593487063139</v>
      </c>
      <c r="L629" s="512">
        <f>'[1]CADASTRO BASE ORÇ. DESPESA'!P631</f>
        <v>-1.8132977863952173</v>
      </c>
      <c r="M629" s="495">
        <f>(L629+K629+J629)/3</f>
        <v>-0.38454680612265424</v>
      </c>
    </row>
    <row r="631" spans="3:13" ht="15" customHeight="1" x14ac:dyDescent="0.2">
      <c r="C631" s="483" t="s">
        <v>6312</v>
      </c>
      <c r="I631" s="506" t="s">
        <v>1258</v>
      </c>
      <c r="J631" s="512" t="str">
        <f>'[1]CADASTRO BASE ORÇ. DESPESA'!L633</f>
        <v xml:space="preserve">0,00% </v>
      </c>
      <c r="K631" s="512">
        <f>'[1]CADASTRO BASE ORÇ. DESPESA'!N633</f>
        <v>1</v>
      </c>
      <c r="L631" s="512">
        <f>'[1]CADASTRO BASE ORÇ. DESPESA'!P633</f>
        <v>-0.2</v>
      </c>
      <c r="M631" s="495">
        <f>(L631+K631+J631)/3</f>
        <v>0.26666666666666666</v>
      </c>
    </row>
    <row r="633" spans="3:13" s="492" customFormat="1" ht="15" customHeight="1" x14ac:dyDescent="0.25">
      <c r="C633" s="492" t="s">
        <v>6242</v>
      </c>
      <c r="I633" s="500" t="s">
        <v>1021</v>
      </c>
      <c r="J633" s="489">
        <f>'[1]CADASTRO BASE ORÇ. DESPESA'!L635</f>
        <v>-0.123633365586944</v>
      </c>
      <c r="K633" s="489">
        <f>'[1]CADASTRO BASE ORÇ. DESPESA'!N635</f>
        <v>-6.5962301063757764E-2</v>
      </c>
      <c r="L633" s="489">
        <f>'[1]CADASTRO BASE ORÇ. DESPESA'!P635</f>
        <v>-0.96082576334326242</v>
      </c>
      <c r="M633" s="491">
        <f>(L633+K633+J633)/3</f>
        <v>-0.38347380999798802</v>
      </c>
    </row>
    <row r="635" spans="3:13" ht="15" customHeight="1" x14ac:dyDescent="0.2">
      <c r="C635" s="483" t="s">
        <v>6338</v>
      </c>
      <c r="I635" s="506" t="s">
        <v>1001</v>
      </c>
      <c r="J635" s="512" t="str">
        <f>'[1]CADASTRO BASE ORÇ. DESPESA'!L637</f>
        <v xml:space="preserve">0,00% </v>
      </c>
      <c r="K635" s="512">
        <f>'[1]CADASTRO BASE ORÇ. DESPESA'!N637</f>
        <v>1</v>
      </c>
      <c r="L635" s="512">
        <f>'[1]CADASTRO BASE ORÇ. DESPESA'!P637</f>
        <v>-36.124551002615519</v>
      </c>
      <c r="M635" s="495">
        <f>(L635+K635+J635)/3</f>
        <v>-11.708183667538506</v>
      </c>
    </row>
    <row r="637" spans="3:13" ht="15" customHeight="1" x14ac:dyDescent="0.2">
      <c r="C637" s="483" t="s">
        <v>6379</v>
      </c>
      <c r="I637" s="506" t="s">
        <v>5159</v>
      </c>
      <c r="J637" s="512" t="str">
        <f>'[1]CADASTRO BASE ORÇ. DESPESA'!L639</f>
        <v xml:space="preserve">0,00% </v>
      </c>
      <c r="K637" s="512" t="str">
        <f>'[1]CADASTRO BASE ORÇ. DESPESA'!N639</f>
        <v xml:space="preserve">0,00% </v>
      </c>
      <c r="L637" s="512" t="str">
        <f>'[1]CADASTRO BASE ORÇ. DESPESA'!P639</f>
        <v xml:space="preserve">0,00% </v>
      </c>
      <c r="M637" s="495">
        <f>(L637+K637+J637)/3</f>
        <v>0</v>
      </c>
    </row>
    <row r="639" spans="3:13" ht="15" customHeight="1" x14ac:dyDescent="0.2">
      <c r="C639" s="483" t="s">
        <v>6380</v>
      </c>
      <c r="I639" s="506" t="s">
        <v>1261</v>
      </c>
      <c r="J639" s="512">
        <f>'[1]CADASTRO BASE ORÇ. DESPESA'!L641</f>
        <v>0.60481011336575408</v>
      </c>
      <c r="K639" s="512">
        <f>'[1]CADASTRO BASE ORÇ. DESPESA'!N641</f>
        <v>0.89076060087218856</v>
      </c>
      <c r="L639" s="512">
        <f>'[1]CADASTRO BASE ORÇ. DESPESA'!P641</f>
        <v>-0.14068905124099274</v>
      </c>
      <c r="M639" s="495">
        <f>(L639+K639+J639)/3</f>
        <v>0.45162722099898334</v>
      </c>
    </row>
    <row r="641" spans="3:13" ht="15" customHeight="1" x14ac:dyDescent="0.2">
      <c r="C641" s="483" t="s">
        <v>6381</v>
      </c>
      <c r="I641" s="506" t="s">
        <v>2203</v>
      </c>
      <c r="J641" s="512" t="str">
        <f>'[1]CADASTRO BASE ORÇ. DESPESA'!L643</f>
        <v xml:space="preserve">0,00% </v>
      </c>
      <c r="K641" s="512" t="str">
        <f>'[1]CADASTRO BASE ORÇ. DESPESA'!N643</f>
        <v xml:space="preserve">0,00% </v>
      </c>
      <c r="L641" s="512" t="str">
        <f>'[1]CADASTRO BASE ORÇ. DESPESA'!P643</f>
        <v xml:space="preserve">0,00% </v>
      </c>
      <c r="M641" s="495">
        <f>(L641+K641+J641)/3</f>
        <v>0</v>
      </c>
    </row>
    <row r="643" spans="3:13" ht="15" customHeight="1" x14ac:dyDescent="0.2">
      <c r="C643" s="483" t="s">
        <v>6329</v>
      </c>
      <c r="I643" s="506" t="s">
        <v>5168</v>
      </c>
      <c r="J643" s="512">
        <f>'[1]CADASTRO BASE ORÇ. DESPESA'!L645</f>
        <v>-0.13289400244974398</v>
      </c>
      <c r="K643" s="512">
        <f>'[1]CADASTRO BASE ORÇ. DESPESA'!N645</f>
        <v>-0.60054363428492352</v>
      </c>
      <c r="L643" s="512">
        <f>'[1]CADASTRO BASE ORÇ. DESPESA'!P645</f>
        <v>-0.87573073919510891</v>
      </c>
      <c r="M643" s="495">
        <f>(L643+K643+J643)/3</f>
        <v>-0.53638945864325882</v>
      </c>
    </row>
    <row r="645" spans="3:13" s="492" customFormat="1" ht="15" customHeight="1" x14ac:dyDescent="0.25">
      <c r="C645" s="492" t="s">
        <v>6243</v>
      </c>
      <c r="I645" s="500" t="s">
        <v>1044</v>
      </c>
      <c r="J645" s="489">
        <f>'[1]CADASTRO BASE ORÇ. DESPESA'!L647</f>
        <v>0.15554789755326831</v>
      </c>
      <c r="K645" s="489">
        <f>'[1]CADASTRO BASE ORÇ. DESPESA'!N647</f>
        <v>-3.1771663701671717</v>
      </c>
      <c r="L645" s="489">
        <f>'[1]CADASTRO BASE ORÇ. DESPESA'!P647</f>
        <v>0.55377572984031254</v>
      </c>
      <c r="M645" s="491">
        <f>(L645+K645+J645)/3</f>
        <v>-0.82261424759119695</v>
      </c>
    </row>
    <row r="647" spans="3:13" ht="15" customHeight="1" x14ac:dyDescent="0.2">
      <c r="C647" s="483" t="s">
        <v>6306</v>
      </c>
      <c r="I647" s="506" t="s">
        <v>5170</v>
      </c>
      <c r="J647" s="512" t="str">
        <f>'[1]CADASTRO BASE ORÇ. DESPESA'!L649</f>
        <v xml:space="preserve">0,00% </v>
      </c>
      <c r="K647" s="512" t="str">
        <f>'[1]CADASTRO BASE ORÇ. DESPESA'!N649</f>
        <v xml:space="preserve">0,00% </v>
      </c>
      <c r="L647" s="512">
        <f>'[1]CADASTRO BASE ORÇ. DESPESA'!P649</f>
        <v>1</v>
      </c>
      <c r="M647" s="495">
        <f>(L647+K647+J647)/3</f>
        <v>0.33333333333333331</v>
      </c>
    </row>
    <row r="649" spans="3:13" ht="15" customHeight="1" x14ac:dyDescent="0.2">
      <c r="C649" s="483" t="s">
        <v>6382</v>
      </c>
      <c r="I649" s="506" t="s">
        <v>1043</v>
      </c>
      <c r="J649" s="512">
        <f>'[1]CADASTRO BASE ORÇ. DESPESA'!L651</f>
        <v>0.15554789755326831</v>
      </c>
      <c r="K649" s="512" t="str">
        <f>'[1]CADASTRO BASE ORÇ. DESPESA'!N651</f>
        <v xml:space="preserve">0,00% </v>
      </c>
      <c r="L649" s="512" t="str">
        <f>'[1]CADASTRO BASE ORÇ. DESPESA'!P651</f>
        <v xml:space="preserve">0,00% </v>
      </c>
      <c r="M649" s="495">
        <f>(L649+K649+J649)/3</f>
        <v>5.184929918442277E-2</v>
      </c>
    </row>
    <row r="651" spans="3:13" ht="15" customHeight="1" x14ac:dyDescent="0.2">
      <c r="C651" s="483" t="s">
        <v>6383</v>
      </c>
      <c r="I651" s="506" t="s">
        <v>5175</v>
      </c>
      <c r="J651" s="512" t="str">
        <f>'[1]CADASTRO BASE ORÇ. DESPESA'!L653</f>
        <v xml:space="preserve">0,00% </v>
      </c>
      <c r="K651" s="512">
        <f>'[1]CADASTRO BASE ORÇ. DESPESA'!N653</f>
        <v>1</v>
      </c>
      <c r="L651" s="512">
        <f>'[1]CADASTRO BASE ORÇ. DESPESA'!P653</f>
        <v>0.53805783169413723</v>
      </c>
      <c r="M651" s="495">
        <f>(L651+K651+J651)/3</f>
        <v>0.51268594389804578</v>
      </c>
    </row>
    <row r="653" spans="3:13" s="492" customFormat="1" ht="15" customHeight="1" x14ac:dyDescent="0.25">
      <c r="C653" s="492" t="s">
        <v>6254</v>
      </c>
      <c r="I653" s="500" t="s">
        <v>1260</v>
      </c>
      <c r="J653" s="489">
        <f>'[1]CADASTRO BASE ORÇ. DESPESA'!L655</f>
        <v>0.13141941238059537</v>
      </c>
      <c r="K653" s="489">
        <f>'[1]CADASTRO BASE ORÇ. DESPESA'!N655</f>
        <v>5.4109900090826467E-2</v>
      </c>
      <c r="L653" s="489">
        <f>'[1]CADASTRO BASE ORÇ. DESPESA'!P655</f>
        <v>-0.31626703615373764</v>
      </c>
      <c r="M653" s="491">
        <f>(L653+K653+J653)/3</f>
        <v>-4.3579241227438607E-2</v>
      </c>
    </row>
    <row r="655" spans="3:13" ht="15" customHeight="1" x14ac:dyDescent="0.2">
      <c r="C655" s="483" t="s">
        <v>6384</v>
      </c>
      <c r="I655" s="506" t="s">
        <v>1259</v>
      </c>
      <c r="J655" s="512">
        <f>'[1]CADASTRO BASE ORÇ. DESPESA'!L657</f>
        <v>0.13141941238059537</v>
      </c>
      <c r="K655" s="512">
        <f>'[1]CADASTRO BASE ORÇ. DESPESA'!N657</f>
        <v>5.4109900090826467E-2</v>
      </c>
      <c r="L655" s="512">
        <f>'[1]CADASTRO BASE ORÇ. DESPESA'!P657</f>
        <v>-0.31626703615373764</v>
      </c>
      <c r="M655" s="495">
        <f>(L655+K655+J655)/3</f>
        <v>-4.3579241227438607E-2</v>
      </c>
    </row>
    <row r="657" spans="3:13" s="492" customFormat="1" ht="15" customHeight="1" x14ac:dyDescent="0.25">
      <c r="C657" s="492" t="s">
        <v>6244</v>
      </c>
      <c r="I657" s="500" t="s">
        <v>993</v>
      </c>
      <c r="J657" s="489">
        <f>'[1]CADASTRO BASE ORÇ. DESPESA'!L659</f>
        <v>-0.63674416250650545</v>
      </c>
      <c r="K657" s="489">
        <f>'[1]CADASTRO BASE ORÇ. DESPESA'!N659</f>
        <v>0.32321542251567426</v>
      </c>
      <c r="L657" s="489">
        <f>'[1]CADASTRO BASE ORÇ. DESPESA'!P659</f>
        <v>-0.76398435815919352</v>
      </c>
      <c r="M657" s="491">
        <f>(L657+K657+J657)/3</f>
        <v>-0.35917103271667489</v>
      </c>
    </row>
    <row r="659" spans="3:13" ht="15" customHeight="1" x14ac:dyDescent="0.2">
      <c r="C659" s="483" t="s">
        <v>6281</v>
      </c>
      <c r="I659" s="506" t="s">
        <v>1151</v>
      </c>
      <c r="J659" s="512" t="str">
        <f>'[1]CADASTRO BASE ORÇ. DESPESA'!L661</f>
        <v xml:space="preserve">0,00% </v>
      </c>
      <c r="K659" s="512">
        <f>'[1]CADASTRO BASE ORÇ. DESPESA'!N661</f>
        <v>1</v>
      </c>
      <c r="L659" s="512">
        <f>'[1]CADASTRO BASE ORÇ. DESPESA'!P661</f>
        <v>-5.6786181406456393</v>
      </c>
      <c r="M659" s="495">
        <f>(L659+K659+J659)/3</f>
        <v>-1.5595393802152131</v>
      </c>
    </row>
    <row r="661" spans="3:13" ht="15" customHeight="1" x14ac:dyDescent="0.2">
      <c r="C661" s="483" t="s">
        <v>6282</v>
      </c>
      <c r="I661" s="506" t="s">
        <v>1026</v>
      </c>
      <c r="J661" s="512">
        <f>'[1]CADASTRO BASE ORÇ. DESPESA'!L663</f>
        <v>0.11431924484220214</v>
      </c>
      <c r="K661" s="512">
        <f>'[1]CADASTRO BASE ORÇ. DESPESA'!N663</f>
        <v>-0.20904695520608169</v>
      </c>
      <c r="L661" s="512">
        <f>'[1]CADASTRO BASE ORÇ. DESPESA'!P663</f>
        <v>-0.21840795948595279</v>
      </c>
      <c r="M661" s="495">
        <f>(L661+K661+J661)/3</f>
        <v>-0.10437855661661077</v>
      </c>
    </row>
    <row r="662" spans="3:13" ht="15" customHeight="1" x14ac:dyDescent="0.25">
      <c r="I662" s="483" t="s">
        <v>903</v>
      </c>
    </row>
    <row r="663" spans="3:13" ht="15" customHeight="1" x14ac:dyDescent="0.2">
      <c r="C663" s="483" t="s">
        <v>6385</v>
      </c>
      <c r="I663" s="506" t="s">
        <v>5194</v>
      </c>
      <c r="J663" s="512" t="str">
        <f>'[1]CADASTRO BASE ORÇ. DESPESA'!L665</f>
        <v xml:space="preserve">0,00% </v>
      </c>
      <c r="K663" s="512" t="str">
        <f>'[1]CADASTRO BASE ORÇ. DESPESA'!N665</f>
        <v xml:space="preserve">0,00% </v>
      </c>
      <c r="L663" s="512">
        <f>'[1]CADASTRO BASE ORÇ. DESPESA'!P665</f>
        <v>1</v>
      </c>
      <c r="M663" s="495">
        <f>(L663+K663+J663)/3</f>
        <v>0.33333333333333331</v>
      </c>
    </row>
    <row r="665" spans="3:13" ht="15" customHeight="1" x14ac:dyDescent="0.2">
      <c r="C665" s="483" t="s">
        <v>6319</v>
      </c>
      <c r="I665" s="506" t="s">
        <v>6386</v>
      </c>
      <c r="J665" s="512" t="str">
        <f>'[1]CADASTRO BASE ORÇ. DESPESA'!L667</f>
        <v xml:space="preserve">0,00% </v>
      </c>
      <c r="K665" s="512" t="str">
        <f>'[1]CADASTRO BASE ORÇ. DESPESA'!N667</f>
        <v xml:space="preserve">0,00% </v>
      </c>
      <c r="L665" s="512">
        <f>'[1]CADASTRO BASE ORÇ. DESPESA'!P667</f>
        <v>1</v>
      </c>
      <c r="M665" s="495">
        <f>(L665+K665+J665)/3</f>
        <v>0.33333333333333331</v>
      </c>
    </row>
    <row r="667" spans="3:13" ht="15" customHeight="1" x14ac:dyDescent="0.2">
      <c r="C667" s="483" t="s">
        <v>6313</v>
      </c>
      <c r="I667" s="506" t="s">
        <v>5206</v>
      </c>
      <c r="J667" s="512" t="str">
        <f>'[1]CADASTRO BASE ORÇ. DESPESA'!L669</f>
        <v xml:space="preserve">0,00% </v>
      </c>
      <c r="K667" s="512">
        <f>'[1]CADASTRO BASE ORÇ. DESPESA'!N669</f>
        <v>1</v>
      </c>
      <c r="L667" s="512">
        <f>'[1]CADASTRO BASE ORÇ. DESPESA'!P669</f>
        <v>-8.476923076923077</v>
      </c>
      <c r="M667" s="495">
        <f>(L667+K667+J667)/3</f>
        <v>-2.4923076923076923</v>
      </c>
    </row>
    <row r="669" spans="3:13" ht="15" customHeight="1" x14ac:dyDescent="0.2">
      <c r="C669" s="483" t="s">
        <v>6283</v>
      </c>
      <c r="I669" s="506" t="s">
        <v>2205</v>
      </c>
      <c r="J669" s="512" t="str">
        <f>'[1]CADASTRO BASE ORÇ. DESPESA'!L671</f>
        <v xml:space="preserve">0,00% </v>
      </c>
      <c r="K669" s="512">
        <f>'[1]CADASTRO BASE ORÇ. DESPESA'!N671</f>
        <v>1</v>
      </c>
      <c r="L669" s="512">
        <f>'[1]CADASTRO BASE ORÇ. DESPESA'!P671</f>
        <v>0.25842696629213485</v>
      </c>
      <c r="M669" s="495">
        <f>(L669+K669+J669)/3</f>
        <v>0.41947565543071158</v>
      </c>
    </row>
    <row r="671" spans="3:13" ht="15" customHeight="1" x14ac:dyDescent="0.2">
      <c r="C671" s="483" t="s">
        <v>6387</v>
      </c>
      <c r="I671" s="506" t="s">
        <v>1042</v>
      </c>
      <c r="J671" s="512" t="str">
        <f>'[1]CADASTRO BASE ORÇ. DESPESA'!L673</f>
        <v xml:space="preserve">0,00% </v>
      </c>
      <c r="K671" s="512" t="str">
        <f>'[1]CADASTRO BASE ORÇ. DESPESA'!N673</f>
        <v xml:space="preserve">0,00% </v>
      </c>
      <c r="L671" s="512" t="str">
        <f>'[1]CADASTRO BASE ORÇ. DESPESA'!P673</f>
        <v xml:space="preserve">0,00% </v>
      </c>
      <c r="M671" s="495">
        <f>(L671+K671+J671)/3</f>
        <v>0</v>
      </c>
    </row>
    <row r="673" spans="3:13" ht="15" customHeight="1" x14ac:dyDescent="0.2">
      <c r="C673" s="483" t="s">
        <v>6322</v>
      </c>
      <c r="I673" s="506" t="s">
        <v>5210</v>
      </c>
      <c r="J673" s="512" t="str">
        <f>'[1]CADASTRO BASE ORÇ. DESPESA'!L675</f>
        <v xml:space="preserve">0,00% </v>
      </c>
      <c r="K673" s="512">
        <f>'[1]CADASTRO BASE ORÇ. DESPESA'!N675</f>
        <v>1</v>
      </c>
      <c r="L673" s="512">
        <f>'[1]CADASTRO BASE ORÇ. DESPESA'!P675</f>
        <v>0.66270809756895677</v>
      </c>
      <c r="M673" s="495">
        <f>(L673+K673+J673)/3</f>
        <v>0.55423603252298559</v>
      </c>
    </row>
    <row r="674" spans="3:13" ht="15" customHeight="1" x14ac:dyDescent="0.25">
      <c r="I674" s="506"/>
    </row>
    <row r="675" spans="3:13" ht="15" customHeight="1" x14ac:dyDescent="0.2">
      <c r="C675" s="483" t="s">
        <v>6388</v>
      </c>
      <c r="I675" s="506" t="s">
        <v>1742</v>
      </c>
      <c r="J675" s="512">
        <f>'[1]CADASTRO BASE ORÇ. DESPESA'!L677</f>
        <v>-1.3726320871357829</v>
      </c>
      <c r="K675" s="512">
        <f>'[1]CADASTRO BASE ORÇ. DESPESA'!N677</f>
        <v>-0.86237588333506898</v>
      </c>
      <c r="L675" s="512" t="str">
        <f>'[1]CADASTRO BASE ORÇ. DESPESA'!P677</f>
        <v xml:space="preserve">0,00% </v>
      </c>
      <c r="M675" s="495">
        <f>(L675+K675+J675)/3</f>
        <v>-0.74500265682361722</v>
      </c>
    </row>
    <row r="677" spans="3:13" s="492" customFormat="1" ht="15" customHeight="1" x14ac:dyDescent="0.25">
      <c r="C677" s="492" t="s">
        <v>6245</v>
      </c>
      <c r="I677" s="500" t="s">
        <v>6307</v>
      </c>
      <c r="J677" s="489">
        <f>'[1]CADASTRO BASE ORÇ. DESPESA'!L679</f>
        <v>0.28717355953300583</v>
      </c>
      <c r="K677" s="489">
        <f>'[1]CADASTRO BASE ORÇ. DESPESA'!N679</f>
        <v>3.0586489982759184E-2</v>
      </c>
      <c r="L677" s="489">
        <f>'[1]CADASTRO BASE ORÇ. DESPESA'!P679</f>
        <v>-0.94991942663159534</v>
      </c>
      <c r="M677" s="491">
        <f>(L677+K677+J677)/3</f>
        <v>-0.21071979237194347</v>
      </c>
    </row>
    <row r="679" spans="3:13" ht="15" customHeight="1" x14ac:dyDescent="0.2">
      <c r="C679" s="483" t="s">
        <v>6284</v>
      </c>
      <c r="I679" s="506" t="s">
        <v>1054</v>
      </c>
      <c r="J679" s="512">
        <f>'[1]CADASTRO BASE ORÇ. DESPESA'!L681</f>
        <v>0.1266092572658773</v>
      </c>
      <c r="K679" s="512">
        <f>'[1]CADASTRO BASE ORÇ. DESPESA'!N681</f>
        <v>0.57599269739844816</v>
      </c>
      <c r="L679" s="512">
        <f>'[1]CADASTRO BASE ORÇ. DESPESA'!P681</f>
        <v>-0.60630498533724342</v>
      </c>
      <c r="M679" s="495">
        <f>(L679+K679+J679)/3</f>
        <v>3.209898977569401E-2</v>
      </c>
    </row>
    <row r="681" spans="3:13" ht="15" customHeight="1" x14ac:dyDescent="0.2">
      <c r="C681" s="483" t="s">
        <v>6285</v>
      </c>
      <c r="I681" s="506" t="s">
        <v>1151</v>
      </c>
      <c r="J681" s="512">
        <f>'[1]CADASTRO BASE ORÇ. DESPESA'!L683</f>
        <v>0.1850370074014803</v>
      </c>
      <c r="K681" s="512">
        <f>'[1]CADASTRO BASE ORÇ. DESPESA'!N683</f>
        <v>0.88133183707684948</v>
      </c>
      <c r="L681" s="512">
        <f>'[1]CADASTRO BASE ORÇ. DESPESA'!P683</f>
        <v>-0.80635761809010187</v>
      </c>
      <c r="M681" s="495">
        <f>(L681+K681+J681)/3</f>
        <v>8.6670408796075973E-2</v>
      </c>
    </row>
    <row r="683" spans="3:13" ht="15" customHeight="1" x14ac:dyDescent="0.2">
      <c r="C683" s="483" t="s">
        <v>6389</v>
      </c>
      <c r="I683" s="506" t="s">
        <v>5230</v>
      </c>
      <c r="J683" s="512" t="str">
        <f>'[1]CADASTRO BASE ORÇ. DESPESA'!L685</f>
        <v xml:space="preserve">0,00% </v>
      </c>
      <c r="K683" s="512">
        <f>'[1]CADASTRO BASE ORÇ. DESPESA'!N685</f>
        <v>1</v>
      </c>
      <c r="L683" s="512" t="str">
        <f>'[1]CADASTRO BASE ORÇ. DESPESA'!P685</f>
        <v xml:space="preserve">0,00% </v>
      </c>
      <c r="M683" s="495">
        <f>(L683+K683+J683)/3</f>
        <v>0.33333333333333331</v>
      </c>
    </row>
    <row r="685" spans="3:13" ht="15" customHeight="1" x14ac:dyDescent="0.2">
      <c r="C685" s="483" t="s">
        <v>6298</v>
      </c>
      <c r="I685" s="506" t="s">
        <v>5241</v>
      </c>
      <c r="J685" s="512">
        <f>'[1]CADASTRO BASE ORÇ. DESPESA'!L687</f>
        <v>0.3039696397391583</v>
      </c>
      <c r="K685" s="512">
        <f>'[1]CADASTRO BASE ORÇ. DESPESA'!N687</f>
        <v>-0.2572141526751584</v>
      </c>
      <c r="L685" s="512">
        <f>'[1]CADASTRO BASE ORÇ. DESPESA'!P687</f>
        <v>-0.62497679548358231</v>
      </c>
      <c r="M685" s="495">
        <f>(L685+K685+J685)/3</f>
        <v>-0.1927404361398608</v>
      </c>
    </row>
    <row r="687" spans="3:13" ht="15" customHeight="1" x14ac:dyDescent="0.2">
      <c r="C687" s="483" t="s">
        <v>6339</v>
      </c>
      <c r="I687" s="506" t="s">
        <v>5242</v>
      </c>
      <c r="J687" s="512" t="str">
        <f>'[1]CADASTRO BASE ORÇ. DESPESA'!L689</f>
        <v xml:space="preserve">0,00% </v>
      </c>
      <c r="K687" s="512" t="str">
        <f>'[1]CADASTRO BASE ORÇ. DESPESA'!N689</f>
        <v xml:space="preserve">0,00% </v>
      </c>
      <c r="L687" s="512">
        <f>'[1]CADASTRO BASE ORÇ. DESPESA'!P689</f>
        <v>1</v>
      </c>
      <c r="M687" s="495">
        <f>(L687+K687+J687)/3</f>
        <v>0.33333333333333331</v>
      </c>
    </row>
    <row r="689" spans="3:13" ht="15" customHeight="1" x14ac:dyDescent="0.2">
      <c r="C689" s="483" t="s">
        <v>6390</v>
      </c>
      <c r="I689" s="506" t="s">
        <v>6391</v>
      </c>
      <c r="J689" s="512" t="str">
        <f>'[1]CADASTRO BASE ORÇ. DESPESA'!L691</f>
        <v xml:space="preserve">0,00% </v>
      </c>
      <c r="K689" s="512" t="str">
        <f>'[1]CADASTRO BASE ORÇ. DESPESA'!N691</f>
        <v xml:space="preserve">0,00% </v>
      </c>
      <c r="L689" s="512" t="str">
        <f>'[1]CADASTRO BASE ORÇ. DESPESA'!P691</f>
        <v xml:space="preserve">0,00% </v>
      </c>
      <c r="M689" s="495">
        <f>(L689+K689+J689)/3</f>
        <v>0</v>
      </c>
    </row>
    <row r="691" spans="3:13" ht="15" customHeight="1" x14ac:dyDescent="0.2">
      <c r="C691" s="483" t="s">
        <v>6293</v>
      </c>
      <c r="I691" s="506" t="s">
        <v>6386</v>
      </c>
      <c r="J691" s="512" t="str">
        <f>'[1]CADASTRO BASE ORÇ. DESPESA'!L693</f>
        <v xml:space="preserve">0,00% </v>
      </c>
      <c r="K691" s="512">
        <f>'[1]CADASTRO BASE ORÇ. DESPESA'!N693</f>
        <v>1</v>
      </c>
      <c r="L691" s="512">
        <f>'[1]CADASTRO BASE ORÇ. DESPESA'!P693</f>
        <v>-1.2479128205128207</v>
      </c>
      <c r="M691" s="495">
        <f>(L691+K691+J691)/3</f>
        <v>-8.2637606837606903E-2</v>
      </c>
    </row>
    <row r="693" spans="3:13" ht="15" customHeight="1" x14ac:dyDescent="0.2">
      <c r="C693" s="483" t="s">
        <v>6392</v>
      </c>
      <c r="I693" s="506" t="s">
        <v>6393</v>
      </c>
      <c r="J693" s="512">
        <f>'[1]CADASTRO BASE ORÇ. DESPESA'!L695</f>
        <v>-1.3349679957435869</v>
      </c>
      <c r="K693" s="512">
        <f>'[1]CADASTRO BASE ORÇ. DESPESA'!N695</f>
        <v>-0.89869462052220273</v>
      </c>
      <c r="L693" s="512">
        <f>'[1]CADASTRO BASE ORÇ. DESPESA'!P695</f>
        <v>0.14677475776431761</v>
      </c>
      <c r="M693" s="495">
        <f>(L693+K693+J693)/3</f>
        <v>-0.69562928616715736</v>
      </c>
    </row>
    <row r="695" spans="3:13" ht="15" customHeight="1" x14ac:dyDescent="0.2">
      <c r="C695" s="483" t="s">
        <v>6394</v>
      </c>
      <c r="I695" s="506" t="s">
        <v>5194</v>
      </c>
      <c r="J695" s="512">
        <f>'[1]CADASTRO BASE ORÇ. DESPESA'!L697</f>
        <v>0.35729775148622223</v>
      </c>
      <c r="K695" s="512">
        <f>'[1]CADASTRO BASE ORÇ. DESPESA'!N697</f>
        <v>-0.37489945746253139</v>
      </c>
      <c r="L695" s="512">
        <f>'[1]CADASTRO BASE ORÇ. DESPESA'!P697</f>
        <v>0.20099451242252581</v>
      </c>
      <c r="M695" s="495">
        <f>(L695+K695+J695)/3</f>
        <v>6.1130935482072213E-2</v>
      </c>
    </row>
    <row r="697" spans="3:13" ht="15" customHeight="1" x14ac:dyDescent="0.2">
      <c r="C697" s="483" t="s">
        <v>6446</v>
      </c>
      <c r="I697" s="506" t="s">
        <v>6447</v>
      </c>
      <c r="J697" s="512">
        <f>'[1]CADASTRO BASE ORÇ. DESPESA'!L699</f>
        <v>-0.37055837563451777</v>
      </c>
      <c r="K697" s="512">
        <f>'[1]CADASTRO BASE ORÇ. DESPESA'!N699</f>
        <v>-2.0307692307692307</v>
      </c>
      <c r="L697" s="512">
        <f>'[1]CADASTRO BASE ORÇ. DESPESA'!P699</f>
        <v>0.99864194732218126</v>
      </c>
      <c r="M697" s="495">
        <f>(L697+K697+J697)/3</f>
        <v>-0.46756188636052237</v>
      </c>
    </row>
    <row r="699" spans="3:13" ht="15" customHeight="1" x14ac:dyDescent="0.2">
      <c r="C699" s="483" t="s">
        <v>6310</v>
      </c>
      <c r="I699" s="506" t="s">
        <v>5290</v>
      </c>
      <c r="J699" s="512" t="str">
        <f>'[1]CADASTRO BASE ORÇ. DESPESA'!L701</f>
        <v xml:space="preserve">0,00% </v>
      </c>
      <c r="K699" s="512" t="str">
        <f>'[1]CADASTRO BASE ORÇ. DESPESA'!N701</f>
        <v xml:space="preserve">0,00% </v>
      </c>
      <c r="L699" s="512">
        <f>'[1]CADASTRO BASE ORÇ. DESPESA'!P701</f>
        <v>1</v>
      </c>
      <c r="M699" s="495">
        <f>(L699+K699+J699)/3</f>
        <v>0.33333333333333331</v>
      </c>
    </row>
    <row r="701" spans="3:13" ht="15" customHeight="1" x14ac:dyDescent="0.2">
      <c r="C701" s="483" t="s">
        <v>6395</v>
      </c>
      <c r="I701" s="506" t="s">
        <v>5295</v>
      </c>
      <c r="J701" s="512" t="str">
        <f>'[1]CADASTRO BASE ORÇ. DESPESA'!L703</f>
        <v xml:space="preserve">0,00% </v>
      </c>
      <c r="K701" s="512" t="str">
        <f>'[1]CADASTRO BASE ORÇ. DESPESA'!N703</f>
        <v xml:space="preserve">0,00% </v>
      </c>
      <c r="L701" s="512">
        <f>'[1]CADASTRO BASE ORÇ. DESPESA'!P703</f>
        <v>1</v>
      </c>
      <c r="M701" s="495">
        <f>(L701+K701+J701)/3</f>
        <v>0.33333333333333331</v>
      </c>
    </row>
    <row r="703" spans="3:13" ht="15" customHeight="1" x14ac:dyDescent="0.2">
      <c r="C703" s="483" t="s">
        <v>6286</v>
      </c>
      <c r="I703" s="506" t="s">
        <v>1025</v>
      </c>
      <c r="J703" s="512">
        <f>'[1]CADASTRO BASE ORÇ. DESPESA'!L705</f>
        <v>-0.13937008366058184</v>
      </c>
      <c r="K703" s="512">
        <f>'[1]CADASTRO BASE ORÇ. DESPESA'!N705</f>
        <v>0.21169415152156021</v>
      </c>
      <c r="L703" s="512">
        <f>'[1]CADASTRO BASE ORÇ. DESPESA'!P705</f>
        <v>-0.2848478977586813</v>
      </c>
      <c r="M703" s="495">
        <f>(L703+K703+J703)/3</f>
        <v>-7.0841276632567646E-2</v>
      </c>
    </row>
    <row r="705" spans="3:13" ht="15" customHeight="1" x14ac:dyDescent="0.2">
      <c r="C705" s="483" t="s">
        <v>6287</v>
      </c>
      <c r="I705" s="506" t="s">
        <v>1024</v>
      </c>
      <c r="J705" s="512">
        <f>'[1]CADASTRO BASE ORÇ. DESPESA'!L707</f>
        <v>0.10461556848905379</v>
      </c>
      <c r="K705" s="512">
        <f>'[1]CADASTRO BASE ORÇ. DESPESA'!N707</f>
        <v>2.2328041808018714E-2</v>
      </c>
      <c r="L705" s="512">
        <f>'[1]CADASTRO BASE ORÇ. DESPESA'!P707</f>
        <v>-0.31115616657252265</v>
      </c>
      <c r="M705" s="495">
        <f>(L705+K705+J705)/3</f>
        <v>-6.1404185425150047E-2</v>
      </c>
    </row>
    <row r="707" spans="3:13" ht="15" customHeight="1" x14ac:dyDescent="0.2">
      <c r="C707" s="483" t="s">
        <v>6396</v>
      </c>
      <c r="I707" s="506" t="s">
        <v>5208</v>
      </c>
      <c r="J707" s="512">
        <f>'[1]CADASTRO BASE ORÇ. DESPESA'!L709</f>
        <v>-1.0469530533183811</v>
      </c>
      <c r="K707" s="512">
        <f>'[1]CADASTRO BASE ORÇ. DESPESA'!N709</f>
        <v>0.73517639832882242</v>
      </c>
      <c r="L707" s="512">
        <f>'[1]CADASTRO BASE ORÇ. DESPESA'!P709</f>
        <v>-1.7516343510883288</v>
      </c>
      <c r="M707" s="495">
        <f>(L707+K707+J707)/3</f>
        <v>-0.6878036686926291</v>
      </c>
    </row>
    <row r="709" spans="3:13" ht="15" customHeight="1" x14ac:dyDescent="0.2">
      <c r="C709" s="483" t="s">
        <v>6288</v>
      </c>
      <c r="I709" s="506" t="s">
        <v>1042</v>
      </c>
      <c r="J709" s="512">
        <f>'[1]CADASTRO BASE ORÇ. DESPESA'!L711</f>
        <v>0.62378971424853513</v>
      </c>
      <c r="K709" s="512">
        <f>'[1]CADASTRO BASE ORÇ. DESPESA'!N711</f>
        <v>0.46677484317869089</v>
      </c>
      <c r="L709" s="512">
        <f>'[1]CADASTRO BASE ORÇ. DESPESA'!P711</f>
        <v>-1.7852366726322169</v>
      </c>
      <c r="M709" s="495">
        <f>(L709+K709+J709)/3</f>
        <v>-0.23155737173499694</v>
      </c>
    </row>
    <row r="711" spans="3:13" ht="15" customHeight="1" x14ac:dyDescent="0.2">
      <c r="C711" s="483" t="s">
        <v>6323</v>
      </c>
      <c r="I711" s="506" t="s">
        <v>6397</v>
      </c>
      <c r="J711" s="512">
        <f>'[1]CADASTRO BASE ORÇ. DESPESA'!L713</f>
        <v>0.44682360362720075</v>
      </c>
      <c r="K711" s="512">
        <f>'[1]CADASTRO BASE ORÇ. DESPESA'!N713</f>
        <v>-0.51573306344333469</v>
      </c>
      <c r="L711" s="512">
        <f>'[1]CADASTRO BASE ORÇ. DESPESA'!P713</f>
        <v>-0.56211135154725622</v>
      </c>
      <c r="M711" s="495">
        <f>(L711+K711+J711)/3</f>
        <v>-0.21034027045446343</v>
      </c>
    </row>
    <row r="713" spans="3:13" ht="15" customHeight="1" x14ac:dyDescent="0.2">
      <c r="C713" s="483" t="s">
        <v>6335</v>
      </c>
      <c r="I713" s="506" t="s">
        <v>5212</v>
      </c>
      <c r="J713" s="512" t="str">
        <f>'[1]CADASTRO BASE ORÇ. DESPESA'!L715</f>
        <v xml:space="preserve">0,00% </v>
      </c>
      <c r="K713" s="512">
        <f>'[1]CADASTRO BASE ORÇ. DESPESA'!N715</f>
        <v>1</v>
      </c>
      <c r="L713" s="512">
        <f>'[1]CADASTRO BASE ORÇ. DESPESA'!P715</f>
        <v>-7.7565217391304344</v>
      </c>
      <c r="M713" s="495">
        <f>(L713+K713+J713)/3</f>
        <v>-2.2521739130434781</v>
      </c>
    </row>
    <row r="715" spans="3:13" ht="15" customHeight="1" x14ac:dyDescent="0.2">
      <c r="C715" s="483" t="s">
        <v>6398</v>
      </c>
      <c r="I715" s="506" t="s">
        <v>6399</v>
      </c>
      <c r="J715" s="512" t="str">
        <f>'[1]CADASTRO BASE ORÇ. DESPESA'!L717</f>
        <v xml:space="preserve">0,00% </v>
      </c>
      <c r="K715" s="512">
        <f>'[1]CADASTRO BASE ORÇ. DESPESA'!N717</f>
        <v>1</v>
      </c>
      <c r="L715" s="512">
        <f>'[1]CADASTRO BASE ORÇ. DESPESA'!P717</f>
        <v>-7.955223880597015</v>
      </c>
      <c r="M715" s="495">
        <f>(L715+K715+J715)/3</f>
        <v>-2.3184079601990049</v>
      </c>
    </row>
    <row r="717" spans="3:13" ht="15" customHeight="1" x14ac:dyDescent="0.2">
      <c r="C717" s="483" t="s">
        <v>6400</v>
      </c>
      <c r="I717" s="506" t="s">
        <v>5306</v>
      </c>
      <c r="J717" s="512">
        <f>'[1]CADASTRO BASE ORÇ. DESPESA'!L719</f>
        <v>0.58491765745630453</v>
      </c>
      <c r="K717" s="512">
        <f>'[1]CADASTRO BASE ORÇ. DESPESA'!N719</f>
        <v>-3.2431043080754188E-2</v>
      </c>
      <c r="L717" s="512">
        <f>'[1]CADASTRO BASE ORÇ. DESPESA'!P719</f>
        <v>-0.54420870402369248</v>
      </c>
      <c r="M717" s="495">
        <f>(L717+K717+J717)/3</f>
        <v>2.7593034506192917E-3</v>
      </c>
    </row>
    <row r="719" spans="3:13" ht="15" customHeight="1" x14ac:dyDescent="0.2">
      <c r="C719" s="483" t="s">
        <v>6289</v>
      </c>
      <c r="I719" s="506" t="s">
        <v>2188</v>
      </c>
      <c r="J719" s="512" t="str">
        <f>'[1]CADASTRO BASE ORÇ. DESPESA'!L721</f>
        <v xml:space="preserve">0,00% </v>
      </c>
      <c r="K719" s="512">
        <f>'[1]CADASTRO BASE ORÇ. DESPESA'!N721</f>
        <v>1</v>
      </c>
      <c r="L719" s="512">
        <f>'[1]CADASTRO BASE ORÇ. DESPESA'!P721</f>
        <v>-0.72523499638467104</v>
      </c>
      <c r="M719" s="495">
        <f>(L719+K719+J719)/3</f>
        <v>9.1588334538442992E-2</v>
      </c>
    </row>
    <row r="721" spans="3:13" ht="15" customHeight="1" x14ac:dyDescent="0.2">
      <c r="C721" s="483" t="s">
        <v>6401</v>
      </c>
      <c r="I721" s="506" t="s">
        <v>5315</v>
      </c>
      <c r="J721" s="512">
        <f>'[1]CADASTRO BASE ORÇ. DESPESA'!L723</f>
        <v>0.42822603233917694</v>
      </c>
      <c r="K721" s="512">
        <f>'[1]CADASTRO BASE ORÇ. DESPESA'!N723</f>
        <v>-0.53151609499232078</v>
      </c>
      <c r="L721" s="512">
        <f>'[1]CADASTRO BASE ORÇ. DESPESA'!P723</f>
        <v>-0.23234346728549388</v>
      </c>
      <c r="M721" s="495">
        <f>(L721+K721+J721)/3</f>
        <v>-0.11187784331287921</v>
      </c>
    </row>
    <row r="723" spans="3:13" ht="15" customHeight="1" x14ac:dyDescent="0.2">
      <c r="C723" s="483" t="s">
        <v>6402</v>
      </c>
      <c r="I723" s="506" t="s">
        <v>1196</v>
      </c>
      <c r="J723" s="512" t="str">
        <f>'[1]CADASTRO BASE ORÇ. DESPESA'!L725</f>
        <v xml:space="preserve">0,00% </v>
      </c>
      <c r="K723" s="512">
        <f>'[1]CADASTRO BASE ORÇ. DESPESA'!N725</f>
        <v>1</v>
      </c>
      <c r="L723" s="512">
        <f>'[1]CADASTRO BASE ORÇ. DESPESA'!P725</f>
        <v>-30.55140994980421</v>
      </c>
      <c r="M723" s="495">
        <f>(L723+K723+J723)/3</f>
        <v>-9.85046998326807</v>
      </c>
    </row>
    <row r="725" spans="3:13" ht="15" customHeight="1" x14ac:dyDescent="0.2">
      <c r="C725" s="483" t="s">
        <v>6261</v>
      </c>
      <c r="I725" s="506" t="s">
        <v>991</v>
      </c>
      <c r="J725" s="512">
        <f>'[1]CADASTRO BASE ORÇ. DESPESA'!L727</f>
        <v>0.27327322320146447</v>
      </c>
      <c r="K725" s="512">
        <f>'[1]CADASTRO BASE ORÇ. DESPESA'!N727</f>
        <v>-0.25420212858202323</v>
      </c>
      <c r="L725" s="512">
        <f>'[1]CADASTRO BASE ORÇ. DESPESA'!P727</f>
        <v>-1.3934589137255382</v>
      </c>
      <c r="M725" s="495">
        <f>(L725+K725+J725)/3</f>
        <v>-0.45812927303536566</v>
      </c>
    </row>
    <row r="727" spans="3:13" ht="15" customHeight="1" x14ac:dyDescent="0.2">
      <c r="C727" s="483" t="s">
        <v>6403</v>
      </c>
      <c r="I727" s="506" t="s">
        <v>1098</v>
      </c>
      <c r="J727" s="512">
        <f>'[1]CADASTRO BASE ORÇ. DESPESA'!L729</f>
        <v>-0.56561368460481953</v>
      </c>
      <c r="K727" s="512">
        <f>'[1]CADASTRO BASE ORÇ. DESPESA'!N729</f>
        <v>0.561294916739702</v>
      </c>
      <c r="L727" s="512">
        <f>'[1]CADASTRO BASE ORÇ. DESPESA'!P729</f>
        <v>-2.2386020933120454</v>
      </c>
      <c r="M727" s="495">
        <f>(L727+K727+J727)/3</f>
        <v>-0.74764028705905428</v>
      </c>
    </row>
    <row r="729" spans="3:13" ht="15" customHeight="1" x14ac:dyDescent="0.2">
      <c r="C729" s="483" t="s">
        <v>6404</v>
      </c>
      <c r="I729" s="506" t="s">
        <v>1097</v>
      </c>
      <c r="J729" s="512">
        <f>'[1]CADASTRO BASE ORÇ. DESPESA'!L731</f>
        <v>1</v>
      </c>
      <c r="K729" s="512" t="str">
        <f>'[1]CADASTRO BASE ORÇ. DESPESA'!N731</f>
        <v xml:space="preserve">0,00% </v>
      </c>
      <c r="L729" s="512" t="str">
        <f>'[1]CADASTRO BASE ORÇ. DESPESA'!P731</f>
        <v xml:space="preserve">0,00% </v>
      </c>
      <c r="M729" s="495">
        <f>(L729+K729+J729)/3</f>
        <v>0.33333333333333331</v>
      </c>
    </row>
    <row r="731" spans="3:13" ht="15" customHeight="1" x14ac:dyDescent="0.2">
      <c r="C731" s="483" t="s">
        <v>6405</v>
      </c>
      <c r="I731" s="506" t="s">
        <v>1096</v>
      </c>
      <c r="J731" s="512">
        <f>'[1]CADASTRO BASE ORÇ. DESPESA'!L733</f>
        <v>1</v>
      </c>
      <c r="K731" s="512" t="str">
        <f>'[1]CADASTRO BASE ORÇ. DESPESA'!N733</f>
        <v xml:space="preserve">0,00% </v>
      </c>
      <c r="L731" s="512">
        <f>'[1]CADASTRO BASE ORÇ. DESPESA'!P733</f>
        <v>1</v>
      </c>
      <c r="M731" s="495">
        <f>(L731+K731+J731)/3</f>
        <v>0.66666666666666663</v>
      </c>
    </row>
    <row r="733" spans="3:13" ht="15" customHeight="1" x14ac:dyDescent="0.2">
      <c r="C733" s="483" t="s">
        <v>6290</v>
      </c>
      <c r="I733" s="506" t="s">
        <v>5334</v>
      </c>
      <c r="J733" s="512" t="str">
        <f>'[1]CADASTRO BASE ORÇ. DESPESA'!L735</f>
        <v xml:space="preserve">0,00% </v>
      </c>
      <c r="K733" s="512" t="str">
        <f>'[1]CADASTRO BASE ORÇ. DESPESA'!N735</f>
        <v xml:space="preserve">0,00% </v>
      </c>
      <c r="L733" s="512">
        <f>'[1]CADASTRO BASE ORÇ. DESPESA'!P735</f>
        <v>1</v>
      </c>
      <c r="M733" s="495">
        <f>(L733+K733+J733)/3</f>
        <v>0.33333333333333331</v>
      </c>
    </row>
    <row r="735" spans="3:13" ht="15" customHeight="1" x14ac:dyDescent="0.2">
      <c r="C735" s="483" t="s">
        <v>6406</v>
      </c>
      <c r="I735" s="506" t="s">
        <v>6307</v>
      </c>
      <c r="J735" s="512">
        <f>'[1]CADASTRO BASE ORÇ. DESPESA'!L737</f>
        <v>0.31649847050805824</v>
      </c>
      <c r="K735" s="512">
        <f>'[1]CADASTRO BASE ORÇ. DESPESA'!N737</f>
        <v>-5.3345390834797529E-2</v>
      </c>
      <c r="L735" s="512">
        <f>'[1]CADASTRO BASE ORÇ. DESPESA'!P737</f>
        <v>-1.3434424424759388</v>
      </c>
      <c r="M735" s="495">
        <f>(L735+K735+J735)/3</f>
        <v>-0.36009645426755937</v>
      </c>
    </row>
    <row r="737" spans="3:13" s="492" customFormat="1" ht="15" customHeight="1" x14ac:dyDescent="0.25">
      <c r="C737" s="492" t="s">
        <v>6246</v>
      </c>
      <c r="I737" s="500" t="s">
        <v>6407</v>
      </c>
      <c r="J737" s="489" t="str">
        <f>'[1]CADASTRO BASE ORÇ. DESPESA'!L739</f>
        <v xml:space="preserve">0,00% </v>
      </c>
      <c r="K737" s="489" t="str">
        <f>'[1]CADASTRO BASE ORÇ. DESPESA'!N739</f>
        <v xml:space="preserve">0,00% </v>
      </c>
      <c r="L737" s="489" t="str">
        <f>'[1]CADASTRO BASE ORÇ. DESPESA'!P739</f>
        <v xml:space="preserve">0,00% </v>
      </c>
      <c r="M737" s="491">
        <f>(L737+K737+J737)/3</f>
        <v>0</v>
      </c>
    </row>
    <row r="739" spans="3:13" ht="15" customHeight="1" x14ac:dyDescent="0.2">
      <c r="C739" s="483" t="s">
        <v>6408</v>
      </c>
      <c r="I739" s="506" t="s">
        <v>6409</v>
      </c>
      <c r="J739" s="512" t="str">
        <f>'[1]CADASTRO BASE ORÇ. DESPESA'!L741</f>
        <v xml:space="preserve">0,00% </v>
      </c>
      <c r="K739" s="512" t="str">
        <f>'[1]CADASTRO BASE ORÇ. DESPESA'!N741</f>
        <v xml:space="preserve">0,00% </v>
      </c>
      <c r="L739" s="512" t="str">
        <f>'[1]CADASTRO BASE ORÇ. DESPESA'!P741</f>
        <v xml:space="preserve">0,00% </v>
      </c>
      <c r="M739" s="495">
        <f>(L739+K739+J739)/3</f>
        <v>0</v>
      </c>
    </row>
    <row r="741" spans="3:13" s="492" customFormat="1" ht="15" customHeight="1" x14ac:dyDescent="0.25">
      <c r="C741" s="492" t="s">
        <v>6231</v>
      </c>
      <c r="I741" s="500" t="s">
        <v>990</v>
      </c>
      <c r="J741" s="489">
        <f>'[1]CADASTRO BASE ORÇ. DESPESA'!L743</f>
        <v>-9.1944735021694798E-2</v>
      </c>
      <c r="K741" s="489">
        <f>'[1]CADASTRO BASE ORÇ. DESPESA'!N743</f>
        <v>0.16625557173062736</v>
      </c>
      <c r="L741" s="489">
        <f>'[1]CADASTRO BASE ORÇ. DESPESA'!P743</f>
        <v>-0.61293520782352517</v>
      </c>
      <c r="M741" s="491">
        <f>(L741+K741+J741)/3</f>
        <v>-0.17954145703819754</v>
      </c>
    </row>
    <row r="743" spans="3:13" ht="15" customHeight="1" x14ac:dyDescent="0.2">
      <c r="C743" s="483" t="s">
        <v>6262</v>
      </c>
      <c r="I743" s="506" t="s">
        <v>6410</v>
      </c>
      <c r="J743" s="512">
        <f>'[1]CADASTRO BASE ORÇ. DESPESA'!L745</f>
        <v>6.5473994864951729E-2</v>
      </c>
      <c r="K743" s="512">
        <f>'[1]CADASTRO BASE ORÇ. DESPESA'!N745</f>
        <v>6.1376292265745411E-2</v>
      </c>
      <c r="L743" s="512">
        <f>'[1]CADASTRO BASE ORÇ. DESPESA'!P745</f>
        <v>-0.74368582572354791</v>
      </c>
      <c r="M743" s="495">
        <f>(L743+K743+J743)/3</f>
        <v>-0.20561184619761694</v>
      </c>
    </row>
    <row r="744" spans="3:13" ht="15" customHeight="1" x14ac:dyDescent="0.25">
      <c r="I744" s="506"/>
    </row>
    <row r="745" spans="3:13" ht="15" customHeight="1" x14ac:dyDescent="0.2">
      <c r="C745" s="483" t="s">
        <v>6263</v>
      </c>
      <c r="I745" s="506" t="s">
        <v>1116</v>
      </c>
      <c r="J745" s="512">
        <f>'[1]CADASTRO BASE ORÇ. DESPESA'!L747</f>
        <v>1</v>
      </c>
      <c r="K745" s="512">
        <f>'[1]CADASTRO BASE ORÇ. DESPESA'!N747</f>
        <v>1.9029215550954739E-2</v>
      </c>
      <c r="L745" s="512">
        <f>'[1]CADASTRO BASE ORÇ. DESPESA'!P747</f>
        <v>-2.6581055607917063</v>
      </c>
      <c r="M745" s="495">
        <f>(L745+K745+J745)/3</f>
        <v>-0.54635878174691721</v>
      </c>
    </row>
    <row r="747" spans="3:13" ht="15" customHeight="1" x14ac:dyDescent="0.2">
      <c r="C747" s="483" t="s">
        <v>6264</v>
      </c>
      <c r="I747" s="506" t="s">
        <v>1250</v>
      </c>
      <c r="J747" s="512">
        <f>'[1]CADASTRO BASE ORÇ. DESPESA'!L749</f>
        <v>1</v>
      </c>
      <c r="K747" s="512">
        <f>'[1]CADASTRO BASE ORÇ. DESPESA'!N749</f>
        <v>-0.79333028257636429</v>
      </c>
      <c r="L747" s="512" t="str">
        <f>'[1]CADASTRO BASE ORÇ. DESPESA'!P749</f>
        <v xml:space="preserve">0,00% </v>
      </c>
      <c r="M747" s="495">
        <f>(L747+K747+J747)/3</f>
        <v>6.8889905807878571E-2</v>
      </c>
    </row>
    <row r="749" spans="3:13" ht="15" customHeight="1" x14ac:dyDescent="0.2">
      <c r="C749" s="483" t="s">
        <v>6268</v>
      </c>
      <c r="I749" s="506" t="s">
        <v>6411</v>
      </c>
      <c r="J749" s="512">
        <f>'[1]CADASTRO BASE ORÇ. DESPESA'!L751</f>
        <v>-1.0314130969103428</v>
      </c>
      <c r="K749" s="512">
        <f>'[1]CADASTRO BASE ORÇ. DESPESA'!N751</f>
        <v>0.34228892217680718</v>
      </c>
      <c r="L749" s="512">
        <f>'[1]CADASTRO BASE ORÇ. DESPESA'!P751</f>
        <v>-0.39854299270731319</v>
      </c>
      <c r="M749" s="495">
        <f>(L749+K749+J749)/3</f>
        <v>-0.36255572248028295</v>
      </c>
    </row>
    <row r="751" spans="3:13" ht="15" customHeight="1" x14ac:dyDescent="0.2">
      <c r="C751" s="483" t="s">
        <v>6269</v>
      </c>
      <c r="I751" s="506" t="s">
        <v>6412</v>
      </c>
      <c r="J751" s="512" t="str">
        <f>'[1]CADASTRO BASE ORÇ. DESPESA'!L753</f>
        <v xml:space="preserve">0,00% </v>
      </c>
      <c r="K751" s="512">
        <f>'[1]CADASTRO BASE ORÇ. DESPESA'!N753</f>
        <v>1</v>
      </c>
      <c r="L751" s="512">
        <f>'[1]CADASTRO BASE ORÇ. DESPESA'!P753</f>
        <v>-3.6726153998526703E-2</v>
      </c>
      <c r="M751" s="495">
        <f>(L751+K751+J751)/3</f>
        <v>0.32109128200049109</v>
      </c>
    </row>
    <row r="753" spans="3:13" s="492" customFormat="1" ht="15" customHeight="1" x14ac:dyDescent="0.25">
      <c r="C753" s="492" t="s">
        <v>6247</v>
      </c>
      <c r="I753" s="500" t="s">
        <v>6042</v>
      </c>
      <c r="J753" s="489">
        <f>'[1]CADASTRO BASE ORÇ. DESPESA'!L755</f>
        <v>0.44387448056180123</v>
      </c>
      <c r="K753" s="489">
        <f>'[1]CADASTRO BASE ORÇ. DESPESA'!N755</f>
        <v>0.25179222292597642</v>
      </c>
      <c r="L753" s="489">
        <f>'[1]CADASTRO BASE ORÇ. DESPESA'!P755</f>
        <v>-0.54123978053735511</v>
      </c>
      <c r="M753" s="491">
        <f>(L753+K753+J753)/3</f>
        <v>5.147564098347418E-2</v>
      </c>
    </row>
    <row r="755" spans="3:13" ht="15" customHeight="1" x14ac:dyDescent="0.2">
      <c r="C755" s="483" t="s">
        <v>6291</v>
      </c>
      <c r="I755" s="506" t="s">
        <v>6413</v>
      </c>
      <c r="J755" s="512">
        <f>'[1]CADASTRO BASE ORÇ. DESPESA'!L757</f>
        <v>0.44387448056180123</v>
      </c>
      <c r="K755" s="512">
        <f>'[1]CADASTRO BASE ORÇ. DESPESA'!N757</f>
        <v>0.25179222292597642</v>
      </c>
      <c r="L755" s="512">
        <f>'[1]CADASTRO BASE ORÇ. DESPESA'!P757</f>
        <v>-0.54123978053735511</v>
      </c>
      <c r="M755" s="495">
        <f>(L755+K755+J755)/3</f>
        <v>5.147564098347418E-2</v>
      </c>
    </row>
    <row r="757" spans="3:13" s="492" customFormat="1" ht="15" customHeight="1" x14ac:dyDescent="0.25">
      <c r="C757" s="492" t="s">
        <v>6448</v>
      </c>
      <c r="I757" s="500" t="s">
        <v>6449</v>
      </c>
      <c r="J757" s="489" t="str">
        <f>'[1]CADASTRO BASE ORÇ. DESPESA'!L759</f>
        <v xml:space="preserve">0,00% </v>
      </c>
      <c r="K757" s="489" t="str">
        <f>'[1]CADASTRO BASE ORÇ. DESPESA'!N759</f>
        <v xml:space="preserve">0,00% </v>
      </c>
      <c r="L757" s="489">
        <f>'[1]CADASTRO BASE ORÇ. DESPESA'!P759</f>
        <v>1</v>
      </c>
      <c r="M757" s="491">
        <f>(L757+K757+J757)/3</f>
        <v>0.33333333333333331</v>
      </c>
    </row>
    <row r="759" spans="3:13" ht="15" customHeight="1" x14ac:dyDescent="0.2">
      <c r="C759" s="483" t="s">
        <v>6448</v>
      </c>
      <c r="I759" s="506" t="s">
        <v>6449</v>
      </c>
      <c r="J759" s="512" t="str">
        <f>'[1]CADASTRO BASE ORÇ. DESPESA'!L761</f>
        <v xml:space="preserve">0,00% </v>
      </c>
      <c r="K759" s="512" t="str">
        <f>'[1]CADASTRO BASE ORÇ. DESPESA'!N761</f>
        <v xml:space="preserve">0,00% </v>
      </c>
      <c r="L759" s="512">
        <f>'[1]CADASTRO BASE ORÇ. DESPESA'!P761</f>
        <v>1</v>
      </c>
      <c r="M759" s="495">
        <f>(L759+K759+J759)/3</f>
        <v>0.33333333333333331</v>
      </c>
    </row>
    <row r="760" spans="3:13" ht="15" customHeight="1" x14ac:dyDescent="0.2">
      <c r="I760" s="506"/>
      <c r="J760" s="494"/>
      <c r="K760" s="494"/>
      <c r="L760" s="494"/>
      <c r="M760" s="495"/>
    </row>
    <row r="761" spans="3:13" s="492" customFormat="1" ht="15" customHeight="1" x14ac:dyDescent="0.25">
      <c r="C761" s="492" t="s">
        <v>6304</v>
      </c>
      <c r="I761" s="500" t="s">
        <v>1158</v>
      </c>
      <c r="J761" s="489">
        <f>'[1]CADASTRO BASE ORÇ. DESPESA'!L763</f>
        <v>1</v>
      </c>
      <c r="K761" s="489" t="str">
        <f>'[1]CADASTRO BASE ORÇ. DESPESA'!N763</f>
        <v xml:space="preserve">0,00% </v>
      </c>
      <c r="L761" s="489">
        <f>'[1]CADASTRO BASE ORÇ. DESPESA'!P763</f>
        <v>1</v>
      </c>
      <c r="M761" s="491">
        <f>(L761+K761+J761)/3</f>
        <v>0.66666666666666663</v>
      </c>
    </row>
    <row r="763" spans="3:13" ht="15" customHeight="1" x14ac:dyDescent="0.2">
      <c r="C763" s="483" t="s">
        <v>6414</v>
      </c>
      <c r="I763" s="506" t="s">
        <v>1997</v>
      </c>
      <c r="J763" s="512">
        <f>'[1]CADASTRO BASE ORÇ. DESPESA'!L765</f>
        <v>1</v>
      </c>
      <c r="K763" s="512" t="str">
        <f>'[1]CADASTRO BASE ORÇ. DESPESA'!N765</f>
        <v xml:space="preserve">0,00% </v>
      </c>
      <c r="L763" s="512">
        <f>'[1]CADASTRO BASE ORÇ. DESPESA'!P765</f>
        <v>1</v>
      </c>
      <c r="M763" s="495">
        <f>(L763+K763+J763)/3</f>
        <v>0.66666666666666663</v>
      </c>
    </row>
    <row r="765" spans="3:13" s="492" customFormat="1" ht="15" customHeight="1" x14ac:dyDescent="0.25">
      <c r="C765" s="492" t="s">
        <v>6248</v>
      </c>
      <c r="I765" s="500" t="s">
        <v>985</v>
      </c>
      <c r="J765" s="489">
        <f>'[1]CADASTRO BASE ORÇ. DESPESA'!L767</f>
        <v>0.27793788159443705</v>
      </c>
      <c r="K765" s="489">
        <f>'[1]CADASTRO BASE ORÇ. DESPESA'!N767</f>
        <v>0.19440157721200593</v>
      </c>
      <c r="L765" s="489">
        <f>'[1]CADASTRO BASE ORÇ. DESPESA'!P767</f>
        <v>-0.7250801878771177</v>
      </c>
      <c r="M765" s="491">
        <f>(L765+K765+J765)/3</f>
        <v>-8.4246909690224914E-2</v>
      </c>
    </row>
    <row r="767" spans="3:13" ht="15" customHeight="1" x14ac:dyDescent="0.2">
      <c r="C767" s="483" t="s">
        <v>6415</v>
      </c>
      <c r="I767" s="506" t="s">
        <v>1162</v>
      </c>
      <c r="J767" s="512">
        <f>'[1]CADASTRO BASE ORÇ. DESPESA'!L769</f>
        <v>0.27793788159443705</v>
      </c>
      <c r="K767" s="512">
        <f>'[1]CADASTRO BASE ORÇ. DESPESA'!N769</f>
        <v>0.19440157721200593</v>
      </c>
      <c r="L767" s="512">
        <f>'[1]CADASTRO BASE ORÇ. DESPESA'!P769</f>
        <v>-0.7250801878771177</v>
      </c>
      <c r="M767" s="495">
        <f>(L767+K767+J767)/3</f>
        <v>-8.4246909690224914E-2</v>
      </c>
    </row>
    <row r="769" spans="3:18" s="492" customFormat="1" ht="15" customHeight="1" x14ac:dyDescent="0.25">
      <c r="C769" s="492" t="s">
        <v>6416</v>
      </c>
      <c r="I769" s="500" t="s">
        <v>6417</v>
      </c>
      <c r="J769" s="489" t="str">
        <f>'[1]CADASTRO BASE ORÇ. DESPESA'!L771</f>
        <v xml:space="preserve">0,00% </v>
      </c>
      <c r="K769" s="489" t="str">
        <f>'[1]CADASTRO BASE ORÇ. DESPESA'!N771</f>
        <v xml:space="preserve">0,00% </v>
      </c>
      <c r="L769" s="489">
        <f>'[1]CADASTRO BASE ORÇ. DESPESA'!P771</f>
        <v>1</v>
      </c>
      <c r="M769" s="491">
        <f>(L769+K769+J769)/3</f>
        <v>0.33333333333333331</v>
      </c>
    </row>
    <row r="771" spans="3:18" s="492" customFormat="1" ht="15" customHeight="1" x14ac:dyDescent="0.25">
      <c r="C771" s="492" t="s">
        <v>6256</v>
      </c>
      <c r="I771" s="500" t="s">
        <v>996</v>
      </c>
      <c r="J771" s="489" t="str">
        <f>'[1]CADASTRO BASE ORÇ. DESPESA'!L773</f>
        <v xml:space="preserve">0,00% </v>
      </c>
      <c r="K771" s="489" t="str">
        <f>'[1]CADASTRO BASE ORÇ. DESPESA'!N773</f>
        <v xml:space="preserve">0,00% </v>
      </c>
      <c r="L771" s="489">
        <f>'[1]CADASTRO BASE ORÇ. DESPESA'!P773</f>
        <v>1</v>
      </c>
      <c r="M771" s="491">
        <f>(L771+K771+J771)/3</f>
        <v>0.33333333333333331</v>
      </c>
    </row>
    <row r="773" spans="3:18" ht="15" customHeight="1" x14ac:dyDescent="0.2">
      <c r="C773" s="483" t="s">
        <v>6324</v>
      </c>
      <c r="I773" s="506" t="s">
        <v>1023</v>
      </c>
      <c r="J773" s="512" t="str">
        <f>'[1]CADASTRO BASE ORÇ. DESPESA'!L775</f>
        <v xml:space="preserve">0,00% </v>
      </c>
      <c r="K773" s="512" t="str">
        <f>'[1]CADASTRO BASE ORÇ. DESPESA'!N775</f>
        <v xml:space="preserve">0,00% </v>
      </c>
      <c r="L773" s="512">
        <f>'[1]CADASTRO BASE ORÇ. DESPESA'!P775</f>
        <v>1</v>
      </c>
      <c r="M773" s="495">
        <f>(L773+K773+J773)/3</f>
        <v>0.33333333333333331</v>
      </c>
    </row>
    <row r="775" spans="3:18" ht="15" customHeight="1" x14ac:dyDescent="0.2">
      <c r="C775" s="483" t="s">
        <v>6292</v>
      </c>
      <c r="I775" s="506" t="s">
        <v>1003</v>
      </c>
      <c r="J775" s="512" t="str">
        <f>'[1]CADASTRO BASE ORÇ. DESPESA'!L777</f>
        <v xml:space="preserve">0,00% </v>
      </c>
      <c r="K775" s="512" t="str">
        <f>'[1]CADASTRO BASE ORÇ. DESPESA'!N777</f>
        <v xml:space="preserve">0,00% </v>
      </c>
      <c r="L775" s="512" t="str">
        <f>'[1]CADASTRO BASE ORÇ. DESPESA'!P777</f>
        <v xml:space="preserve">0,00% </v>
      </c>
      <c r="M775" s="495">
        <f>(L775+K775+J775)/3</f>
        <v>0</v>
      </c>
    </row>
    <row r="777" spans="3:18" ht="15" customHeight="1" x14ac:dyDescent="0.2">
      <c r="C777" s="483" t="s">
        <v>6418</v>
      </c>
      <c r="I777" s="506" t="s">
        <v>1100</v>
      </c>
      <c r="J777" s="512" t="str">
        <f>'[1]CADASTRO BASE ORÇ. DESPESA'!L779</f>
        <v xml:space="preserve">0,00% </v>
      </c>
      <c r="K777" s="512" t="str">
        <f>'[1]CADASTRO BASE ORÇ. DESPESA'!N779</f>
        <v xml:space="preserve">0,00% </v>
      </c>
      <c r="L777" s="512" t="str">
        <f>'[1]CADASTRO BASE ORÇ. DESPESA'!P779</f>
        <v xml:space="preserve">0,00% </v>
      </c>
      <c r="M777" s="495">
        <f>(L777+K777+J777)/3</f>
        <v>0</v>
      </c>
    </row>
    <row r="779" spans="3:18" s="492" customFormat="1" ht="15" customHeight="1" x14ac:dyDescent="0.25">
      <c r="C779" s="492" t="s">
        <v>6325</v>
      </c>
      <c r="I779" s="500" t="s">
        <v>6419</v>
      </c>
      <c r="J779" s="489" t="str">
        <f>'[1]CADASTRO BASE ORÇ. DESPESA'!L781</f>
        <v xml:space="preserve">0,00% </v>
      </c>
      <c r="K779" s="489" t="str">
        <f>'[1]CADASTRO BASE ORÇ. DESPESA'!N781</f>
        <v xml:space="preserve">0,00% </v>
      </c>
      <c r="L779" s="489">
        <f>'[1]CADASTRO BASE ORÇ. DESPESA'!P781</f>
        <v>1</v>
      </c>
      <c r="M779" s="491">
        <f>(L779+K779+J779)/3</f>
        <v>0.33333333333333331</v>
      </c>
    </row>
    <row r="781" spans="3:18" ht="15" customHeight="1" x14ac:dyDescent="0.2">
      <c r="C781" s="483" t="s">
        <v>6326</v>
      </c>
      <c r="I781" s="506" t="s">
        <v>6397</v>
      </c>
      <c r="J781" s="512" t="str">
        <f>'[1]CADASTRO BASE ORÇ. DESPESA'!L783</f>
        <v xml:space="preserve">0,00% </v>
      </c>
      <c r="K781" s="512" t="str">
        <f>'[1]CADASTRO BASE ORÇ. DESPESA'!N783</f>
        <v xml:space="preserve">0,00% </v>
      </c>
      <c r="L781" s="512">
        <f>'[1]CADASTRO BASE ORÇ. DESPESA'!P783</f>
        <v>1</v>
      </c>
      <c r="M781" s="495">
        <f>(L781+K781+J781)/3</f>
        <v>0.33333333333333331</v>
      </c>
    </row>
    <row r="784" spans="3:18" s="492" customFormat="1" ht="15" customHeight="1" x14ac:dyDescent="0.25">
      <c r="C784" s="492" t="s">
        <v>2112</v>
      </c>
      <c r="I784" s="500" t="s">
        <v>2113</v>
      </c>
      <c r="J784" s="489">
        <f>'[1]CADASTRO BASE ORÇ. DESPESA'!L786</f>
        <v>-0.54579358372924891</v>
      </c>
      <c r="K784" s="489">
        <f>'[1]CADASTRO BASE ORÇ. DESPESA'!N786</f>
        <v>0.36425369757163933</v>
      </c>
      <c r="L784" s="489">
        <f>'[1]CADASTRO BASE ORÇ. DESPESA'!P786</f>
        <v>-0.73918016435958367</v>
      </c>
      <c r="M784" s="491">
        <f>(L784+K784+J784)/3</f>
        <v>-0.30690668350573108</v>
      </c>
      <c r="R784" s="502"/>
    </row>
    <row r="785" spans="3:14" s="492" customFormat="1" ht="15" customHeight="1" x14ac:dyDescent="0.25">
      <c r="J785" s="493"/>
      <c r="K785" s="493"/>
      <c r="L785" s="493"/>
      <c r="M785" s="493"/>
    </row>
    <row r="786" spans="3:14" s="492" customFormat="1" ht="15" customHeight="1" x14ac:dyDescent="0.25">
      <c r="C786" s="492" t="s">
        <v>2114</v>
      </c>
      <c r="I786" s="500" t="s">
        <v>95</v>
      </c>
      <c r="J786" s="489">
        <f>'[1]CADASTRO BASE ORÇ. DESPESA'!L788</f>
        <v>-0.61541108388411625</v>
      </c>
      <c r="K786" s="489">
        <f>'[1]CADASTRO BASE ORÇ. DESPESA'!N788</f>
        <v>0.41756728086429412</v>
      </c>
      <c r="L786" s="489">
        <f>'[1]CADASTRO BASE ORÇ. DESPESA'!P788</f>
        <v>-0.94945561096373654</v>
      </c>
      <c r="M786" s="491">
        <f>(L786+K786+J786)/3</f>
        <v>-0.38243313799451956</v>
      </c>
      <c r="N786" s="502"/>
    </row>
    <row r="787" spans="3:14" s="492" customFormat="1" ht="15" customHeight="1" x14ac:dyDescent="0.25">
      <c r="J787" s="493"/>
      <c r="K787" s="493"/>
      <c r="L787" s="493"/>
      <c r="M787" s="493"/>
    </row>
    <row r="788" spans="3:14" s="492" customFormat="1" ht="15" customHeight="1" x14ac:dyDescent="0.25">
      <c r="C788" s="492" t="s">
        <v>2117</v>
      </c>
      <c r="I788" s="500" t="s">
        <v>2118</v>
      </c>
      <c r="J788" s="489">
        <f>'[1]CADASTRO BASE ORÇ. DESPESA'!L790</f>
        <v>1</v>
      </c>
      <c r="K788" s="489">
        <f>'[1]CADASTRO BASE ORÇ. DESPESA'!N790</f>
        <v>0.19245249903789483</v>
      </c>
      <c r="L788" s="489" t="str">
        <f>'[1]CADASTRO BASE ORÇ. DESPESA'!P790</f>
        <v xml:space="preserve">0,00% </v>
      </c>
      <c r="M788" s="491">
        <f>(L788+K788+J788)/3</f>
        <v>0.39748416634596495</v>
      </c>
    </row>
    <row r="789" spans="3:14" s="492" customFormat="1" ht="15" customHeight="1" x14ac:dyDescent="0.25">
      <c r="J789" s="591"/>
      <c r="K789" s="591"/>
      <c r="L789" s="591"/>
      <c r="M789" s="591"/>
    </row>
    <row r="790" spans="3:14" ht="15" customHeight="1" x14ac:dyDescent="0.2">
      <c r="C790" s="483" t="s">
        <v>6265</v>
      </c>
      <c r="I790" s="506" t="s">
        <v>985</v>
      </c>
      <c r="J790" s="512">
        <f>'[1]CADASTRO BASE ORÇ. DESPESA'!L792</f>
        <v>1</v>
      </c>
      <c r="K790" s="512">
        <f>'[1]CADASTRO BASE ORÇ. DESPESA'!N792</f>
        <v>0.19245249903789483</v>
      </c>
      <c r="L790" s="512" t="str">
        <f>'[1]CADASTRO BASE ORÇ. DESPESA'!P792</f>
        <v xml:space="preserve">0,00% </v>
      </c>
      <c r="M790" s="495">
        <f>(L790+K790+J790)/3</f>
        <v>0.39748416634596495</v>
      </c>
    </row>
    <row r="791" spans="3:14" s="492" customFormat="1" ht="15" customHeight="1" x14ac:dyDescent="0.25">
      <c r="J791" s="493"/>
      <c r="K791" s="493"/>
      <c r="L791" s="493"/>
      <c r="M791" s="493"/>
    </row>
    <row r="792" spans="3:14" s="492" customFormat="1" ht="15" customHeight="1" x14ac:dyDescent="0.25">
      <c r="C792" s="492" t="s">
        <v>2119</v>
      </c>
      <c r="I792" s="500" t="s">
        <v>2120</v>
      </c>
      <c r="J792" s="489">
        <f>'[1]CADASTRO BASE ORÇ. DESPESA'!L794</f>
        <v>0.95849849833142786</v>
      </c>
      <c r="K792" s="489">
        <f>'[1]CADASTRO BASE ORÇ. DESPESA'!N794</f>
        <v>0.49919664690634763</v>
      </c>
      <c r="L792" s="489">
        <f>'[1]CADASTRO BASE ORÇ. DESPESA'!P794</f>
        <v>-0.57660981236396236</v>
      </c>
      <c r="M792" s="491">
        <f>(L792+K792+J792)/3</f>
        <v>0.29369511095793771</v>
      </c>
    </row>
    <row r="794" spans="3:14" ht="15" customHeight="1" x14ac:dyDescent="0.2">
      <c r="C794" s="483" t="s">
        <v>6266</v>
      </c>
      <c r="I794" s="506" t="s">
        <v>985</v>
      </c>
      <c r="J794" s="512">
        <f>'[1]CADASTRO BASE ORÇ. DESPESA'!L796</f>
        <v>0.95849849833142786</v>
      </c>
      <c r="K794" s="512">
        <f>'[1]CADASTRO BASE ORÇ. DESPESA'!N796</f>
        <v>0.49919664690634763</v>
      </c>
      <c r="L794" s="512">
        <f>'[1]CADASTRO BASE ORÇ. DESPESA'!P796</f>
        <v>-0.57660981236396236</v>
      </c>
      <c r="M794" s="495">
        <f>(L794+K794+J794)/3</f>
        <v>0.29369511095793771</v>
      </c>
    </row>
    <row r="796" spans="3:14" s="492" customFormat="1" ht="15" customHeight="1" x14ac:dyDescent="0.25">
      <c r="C796" s="492" t="s">
        <v>2115</v>
      </c>
      <c r="I796" s="500" t="s">
        <v>2108</v>
      </c>
      <c r="J796" s="489">
        <f>'[1]CADASTRO BASE ORÇ. DESPESA'!L798</f>
        <v>-0.86936596505847186</v>
      </c>
      <c r="K796" s="489">
        <f>'[1]CADASTRO BASE ORÇ. DESPESA'!N798</f>
        <v>0.43652214052637706</v>
      </c>
      <c r="L796" s="489">
        <f>'[1]CADASTRO BASE ORÇ. DESPESA'!P798</f>
        <v>-0.79255917021157196</v>
      </c>
      <c r="M796" s="491">
        <f>(L796+K796+J796)/3</f>
        <v>-0.40846766491455561</v>
      </c>
    </row>
    <row r="797" spans="3:14" s="492" customFormat="1" ht="15" customHeight="1" x14ac:dyDescent="0.25">
      <c r="J797" s="493"/>
      <c r="K797" s="493"/>
      <c r="L797" s="493"/>
      <c r="M797" s="493"/>
    </row>
    <row r="798" spans="3:14" s="492" customFormat="1" ht="15" customHeight="1" x14ac:dyDescent="0.25">
      <c r="C798" s="492" t="s">
        <v>6232</v>
      </c>
      <c r="I798" s="500" t="s">
        <v>996</v>
      </c>
      <c r="J798" s="489" t="str">
        <f>'[1]CADASTRO BASE ORÇ. DESPESA'!L800</f>
        <v xml:space="preserve">0,00% </v>
      </c>
      <c r="K798" s="489">
        <f>'[1]CADASTRO BASE ORÇ. DESPESA'!N800</f>
        <v>1</v>
      </c>
      <c r="L798" s="489">
        <f>'[1]CADASTRO BASE ORÇ. DESPESA'!P800</f>
        <v>-1.7876473355002211</v>
      </c>
      <c r="M798" s="491">
        <f>(L798+K798+J798)/3</f>
        <v>-0.26254911183340707</v>
      </c>
    </row>
    <row r="800" spans="3:14" ht="15" customHeight="1" x14ac:dyDescent="0.2">
      <c r="C800" s="483" t="s">
        <v>6420</v>
      </c>
      <c r="I800" s="506" t="s">
        <v>5428</v>
      </c>
      <c r="J800" s="512" t="str">
        <f>'[1]CADASTRO BASE ORÇ. DESPESA'!L802</f>
        <v xml:space="preserve">0,00% </v>
      </c>
      <c r="K800" s="512">
        <f>'[1]CADASTRO BASE ORÇ. DESPESA'!N802</f>
        <v>1</v>
      </c>
      <c r="L800" s="512">
        <f>'[1]CADASTRO BASE ORÇ. DESPESA'!P802</f>
        <v>-1.6309238076125494</v>
      </c>
      <c r="M800" s="495">
        <f>(L800+K800+J800)/3</f>
        <v>-0.21030793587084981</v>
      </c>
    </row>
    <row r="802" spans="3:13" ht="15" customHeight="1" x14ac:dyDescent="0.2">
      <c r="C802" s="483" t="s">
        <v>6315</v>
      </c>
      <c r="I802" s="506" t="s">
        <v>6373</v>
      </c>
      <c r="J802" s="512" t="str">
        <f>'[1]CADASTRO BASE ORÇ. DESPESA'!L804</f>
        <v xml:space="preserve">0,00% </v>
      </c>
      <c r="K802" s="512" t="str">
        <f>'[1]CADASTRO BASE ORÇ. DESPESA'!N804</f>
        <v xml:space="preserve">0,00% </v>
      </c>
      <c r="L802" s="512">
        <f>'[1]CADASTRO BASE ORÇ. DESPESA'!P804</f>
        <v>1</v>
      </c>
      <c r="M802" s="495">
        <f>(L802+K802+J802)/3</f>
        <v>0.33333333333333331</v>
      </c>
    </row>
    <row r="804" spans="3:13" ht="15" customHeight="1" x14ac:dyDescent="0.2">
      <c r="C804" s="483" t="s">
        <v>6330</v>
      </c>
      <c r="I804" s="506" t="s">
        <v>995</v>
      </c>
      <c r="J804" s="512" t="str">
        <f>'[1]CADASTRO BASE ORÇ. DESPESA'!L806</f>
        <v xml:space="preserve">0,00% </v>
      </c>
      <c r="K804" s="512">
        <f>'[1]CADASTRO BASE ORÇ. DESPESA'!N806</f>
        <v>1</v>
      </c>
      <c r="L804" s="512">
        <f>'[1]CADASTRO BASE ORÇ. DESPESA'!P806</f>
        <v>-2.3009687204141862</v>
      </c>
      <c r="M804" s="495">
        <f>(L804+K804+J804)/3</f>
        <v>-0.43365624013806209</v>
      </c>
    </row>
    <row r="806" spans="3:13" s="492" customFormat="1" ht="15" customHeight="1" x14ac:dyDescent="0.25">
      <c r="C806" s="492" t="s">
        <v>6233</v>
      </c>
      <c r="I806" s="500" t="s">
        <v>993</v>
      </c>
      <c r="J806" s="489" t="str">
        <f>'[1]CADASTRO BASE ORÇ. DESPESA'!L808</f>
        <v xml:space="preserve">0,00% </v>
      </c>
      <c r="K806" s="489" t="str">
        <f>'[1]CADASTRO BASE ORÇ. DESPESA'!N808</f>
        <v xml:space="preserve">0,00% </v>
      </c>
      <c r="L806" s="489">
        <f>'[1]CADASTRO BASE ORÇ. DESPESA'!P808</f>
        <v>1</v>
      </c>
      <c r="M806" s="491">
        <f>(L806+K806+J806)/3</f>
        <v>0.33333333333333331</v>
      </c>
    </row>
    <row r="808" spans="3:13" ht="15" customHeight="1" x14ac:dyDescent="0.2">
      <c r="C808" s="483" t="s">
        <v>6421</v>
      </c>
      <c r="I808" s="506" t="s">
        <v>6422</v>
      </c>
      <c r="J808" s="512" t="str">
        <f>'[1]CADASTRO BASE ORÇ. DESPESA'!L810</f>
        <v xml:space="preserve">0,00% </v>
      </c>
      <c r="K808" s="512" t="str">
        <f>'[1]CADASTRO BASE ORÇ. DESPESA'!N810</f>
        <v xml:space="preserve">0,00% </v>
      </c>
      <c r="L808" s="512">
        <f>'[1]CADASTRO BASE ORÇ. DESPESA'!P810</f>
        <v>1</v>
      </c>
      <c r="M808" s="495">
        <f>(L808+K808+J808)/3</f>
        <v>0.33333333333333331</v>
      </c>
    </row>
    <row r="810" spans="3:13" s="492" customFormat="1" ht="15" customHeight="1" x14ac:dyDescent="0.25">
      <c r="C810" s="492" t="s">
        <v>6234</v>
      </c>
      <c r="I810" s="500" t="s">
        <v>1053</v>
      </c>
      <c r="J810" s="489">
        <f>'[1]CADASTRO BASE ORÇ. DESPESA'!L812</f>
        <v>-2</v>
      </c>
      <c r="K810" s="489">
        <f>'[1]CADASTRO BASE ORÇ. DESPESA'!N812</f>
        <v>0.99965982047268431</v>
      </c>
      <c r="L810" s="489">
        <f>'[1]CADASTRO BASE ORÇ. DESPESA'!P812</f>
        <v>-1.7996421768707482</v>
      </c>
      <c r="M810" s="491">
        <f>(L810+K810+J810)/3</f>
        <v>-0.93332745213268797</v>
      </c>
    </row>
    <row r="812" spans="3:13" ht="15" customHeight="1" x14ac:dyDescent="0.2">
      <c r="C812" s="483" t="s">
        <v>6423</v>
      </c>
      <c r="I812" s="506" t="s">
        <v>1742</v>
      </c>
      <c r="J812" s="512">
        <f>'[1]CADASTRO BASE ORÇ. DESPESA'!L814</f>
        <v>-2</v>
      </c>
      <c r="K812" s="512">
        <f>'[1]CADASTRO BASE ORÇ. DESPESA'!N814</f>
        <v>0.99965982047268431</v>
      </c>
      <c r="L812" s="512">
        <f>'[1]CADASTRO BASE ORÇ. DESPESA'!P814</f>
        <v>-1.7996421768707482</v>
      </c>
      <c r="M812" s="495">
        <f>(L812+K812+J812)/3</f>
        <v>-0.93332745213268797</v>
      </c>
    </row>
    <row r="814" spans="3:13" s="492" customFormat="1" ht="15" customHeight="1" x14ac:dyDescent="0.25">
      <c r="C814" s="492" t="s">
        <v>6251</v>
      </c>
      <c r="I814" s="500" t="s">
        <v>1029</v>
      </c>
      <c r="J814" s="489">
        <f>'[1]CADASTRO BASE ORÇ. DESPESA'!L816</f>
        <v>-0.50678263350691344</v>
      </c>
      <c r="K814" s="489">
        <f>'[1]CADASTRO BASE ORÇ. DESPESA'!N816</f>
        <v>-2.3001566766138533</v>
      </c>
      <c r="L814" s="489">
        <f>'[1]CADASTRO BASE ORÇ. DESPESA'!P816</f>
        <v>-0.15519113928205683</v>
      </c>
      <c r="M814" s="491">
        <f>(L814+K814+J814)/3</f>
        <v>-0.98737681646760789</v>
      </c>
    </row>
    <row r="815" spans="3:13" ht="15" customHeight="1" x14ac:dyDescent="0.25">
      <c r="I815" s="506"/>
    </row>
    <row r="816" spans="3:13" ht="15" customHeight="1" x14ac:dyDescent="0.2">
      <c r="C816" s="483" t="s">
        <v>6299</v>
      </c>
      <c r="I816" s="506" t="s">
        <v>1028</v>
      </c>
      <c r="J816" s="512">
        <f>'[1]CADASTRO BASE ORÇ. DESPESA'!L818</f>
        <v>-0.50678263350691344</v>
      </c>
      <c r="K816" s="512">
        <f>'[1]CADASTRO BASE ORÇ. DESPESA'!N818</f>
        <v>-2.3001566766138533</v>
      </c>
      <c r="L816" s="512">
        <f>'[1]CADASTRO BASE ORÇ. DESPESA'!P818</f>
        <v>-0.15519113928205683</v>
      </c>
      <c r="M816" s="495">
        <f>(L816+K816+J816)/3</f>
        <v>-0.98737681646760789</v>
      </c>
    </row>
    <row r="818" spans="3:13" s="492" customFormat="1" ht="15" customHeight="1" x14ac:dyDescent="0.25">
      <c r="C818" s="492" t="s">
        <v>6235</v>
      </c>
      <c r="I818" s="500" t="s">
        <v>997</v>
      </c>
      <c r="J818" s="489">
        <f>'[1]CADASTRO BASE ORÇ. DESPESA'!L820</f>
        <v>-1.5097436794481307</v>
      </c>
      <c r="K818" s="489">
        <f>'[1]CADASTRO BASE ORÇ. DESPESA'!N820</f>
        <v>0.65743447242339692</v>
      </c>
      <c r="L818" s="489">
        <f>'[1]CADASTRO BASE ORÇ. DESPESA'!P820</f>
        <v>-1.5175173889791729</v>
      </c>
      <c r="M818" s="491">
        <f>(L818+K818+J818)/3</f>
        <v>-0.78994219866796878</v>
      </c>
    </row>
    <row r="820" spans="3:13" ht="15" customHeight="1" x14ac:dyDescent="0.2">
      <c r="C820" s="483" t="s">
        <v>6424</v>
      </c>
      <c r="I820" s="506" t="s">
        <v>5522</v>
      </c>
      <c r="J820" s="512" t="str">
        <f>'[1]CADASTRO BASE ORÇ. DESPESA'!L822</f>
        <v xml:space="preserve">0,00% </v>
      </c>
      <c r="K820" s="512" t="str">
        <f>'[1]CADASTRO BASE ORÇ. DESPESA'!N822</f>
        <v xml:space="preserve">0,00% </v>
      </c>
      <c r="L820" s="512">
        <f>'[1]CADASTRO BASE ORÇ. DESPESA'!P822</f>
        <v>1</v>
      </c>
      <c r="M820" s="495">
        <f>(L820+K820+J820)/3</f>
        <v>0.33333333333333331</v>
      </c>
    </row>
    <row r="822" spans="3:13" ht="15" customHeight="1" x14ac:dyDescent="0.2">
      <c r="C822" s="483" t="s">
        <v>6316</v>
      </c>
      <c r="I822" s="506" t="s">
        <v>1106</v>
      </c>
      <c r="J822" s="512" t="str">
        <f>'[1]CADASTRO BASE ORÇ. DESPESA'!L824</f>
        <v xml:space="preserve">0,00% </v>
      </c>
      <c r="K822" s="512">
        <f>'[1]CADASTRO BASE ORÇ. DESPESA'!N824</f>
        <v>1</v>
      </c>
      <c r="L822" s="512">
        <f>'[1]CADASTRO BASE ORÇ. DESPESA'!P824</f>
        <v>-3.6406738752114727</v>
      </c>
      <c r="M822" s="495">
        <f>(L822+K822+J822)/3</f>
        <v>-0.88022462507049093</v>
      </c>
    </row>
    <row r="824" spans="3:13" ht="15" customHeight="1" x14ac:dyDescent="0.2">
      <c r="C824" s="483" t="s">
        <v>6270</v>
      </c>
      <c r="I824" s="506" t="s">
        <v>999</v>
      </c>
      <c r="J824" s="512">
        <f>'[1]CADASTRO BASE ORÇ. DESPESA'!L826</f>
        <v>1</v>
      </c>
      <c r="K824" s="512">
        <f>'[1]CADASTRO BASE ORÇ. DESPESA'!N826</f>
        <v>0.73841223108155152</v>
      </c>
      <c r="L824" s="512">
        <f>'[1]CADASTRO BASE ORÇ. DESPESA'!P826</f>
        <v>-3.7657884443098513</v>
      </c>
      <c r="M824" s="495">
        <f>(L824+K824+J824)/3</f>
        <v>-0.67579207107609995</v>
      </c>
    </row>
    <row r="826" spans="3:13" ht="15" customHeight="1" x14ac:dyDescent="0.2">
      <c r="C826" s="483" t="s">
        <v>6472</v>
      </c>
      <c r="I826" s="506" t="s">
        <v>6473</v>
      </c>
      <c r="J826" s="512" t="str">
        <f>'[1]CADASTRO BASE ORÇ. DESPESA'!L828</f>
        <v xml:space="preserve">0,00% </v>
      </c>
      <c r="K826" s="512">
        <f>'[1]CADASTRO BASE ORÇ. DESPESA'!N828</f>
        <v>1</v>
      </c>
      <c r="L826" s="512">
        <f>'[1]CADASTRO BASE ORÇ. DESPESA'!P828</f>
        <v>-7.7189625367503245</v>
      </c>
      <c r="M826" s="495">
        <f>(L826+K826+J826)/3</f>
        <v>-2.239654178916775</v>
      </c>
    </row>
    <row r="828" spans="3:13" ht="15" customHeight="1" x14ac:dyDescent="0.2">
      <c r="C828" s="483" t="s">
        <v>6450</v>
      </c>
      <c r="I828" s="506" t="s">
        <v>6451</v>
      </c>
      <c r="J828" s="512">
        <f>'[1]CADASTRO BASE ORÇ. DESPESA'!L830</f>
        <v>0.8651151825407517</v>
      </c>
      <c r="K828" s="512">
        <f>'[1]CADASTRO BASE ORÇ. DESPESA'!N830</f>
        <v>0.2477324550291361</v>
      </c>
      <c r="L828" s="512">
        <f>'[1]CADASTRO BASE ORÇ. DESPESA'!P830</f>
        <v>-3.9803787964820629</v>
      </c>
      <c r="M828" s="495">
        <f>(L828+K828+J828)/3</f>
        <v>-0.95584371963739168</v>
      </c>
    </row>
    <row r="830" spans="3:13" ht="15" customHeight="1" x14ac:dyDescent="0.2">
      <c r="C830" s="483" t="s">
        <v>6331</v>
      </c>
      <c r="I830" s="506" t="s">
        <v>5531</v>
      </c>
      <c r="J830" s="512" t="str">
        <f>'[1]CADASTRO BASE ORÇ. DESPESA'!L832</f>
        <v xml:space="preserve">0,00% </v>
      </c>
      <c r="K830" s="512">
        <f>'[1]CADASTRO BASE ORÇ. DESPESA'!N832</f>
        <v>1</v>
      </c>
      <c r="L830" s="512">
        <f>'[1]CADASTRO BASE ORÇ. DESPESA'!P832</f>
        <v>-4.3357420789327403E-2</v>
      </c>
      <c r="M830" s="495">
        <f>(L830+K830+J830)/3</f>
        <v>0.3188808597368909</v>
      </c>
    </row>
    <row r="832" spans="3:13" ht="15" customHeight="1" x14ac:dyDescent="0.2">
      <c r="C832" s="483" t="s">
        <v>6308</v>
      </c>
      <c r="I832" s="506" t="s">
        <v>6425</v>
      </c>
      <c r="J832" s="512">
        <f>'[1]CADASTRO BASE ORÇ. DESPESA'!L834</f>
        <v>-0.25972358690421488</v>
      </c>
      <c r="K832" s="512">
        <f>'[1]CADASTRO BASE ORÇ. DESPESA'!N834</f>
        <v>-10.098137844406958</v>
      </c>
      <c r="L832" s="512">
        <f>'[1]CADASTRO BASE ORÇ. DESPESA'!P834</f>
        <v>0.82853657313402196</v>
      </c>
      <c r="M832" s="495">
        <f>(L832+K832+J832)/3</f>
        <v>-3.1764416193923837</v>
      </c>
    </row>
    <row r="834" spans="3:14" ht="15" customHeight="1" x14ac:dyDescent="0.2">
      <c r="C834" s="483" t="s">
        <v>6271</v>
      </c>
      <c r="I834" s="506" t="s">
        <v>998</v>
      </c>
      <c r="J834" s="512">
        <f>'[1]CADASTRO BASE ORÇ. DESPESA'!L836</f>
        <v>0.78875098460817916</v>
      </c>
      <c r="K834" s="512">
        <f>'[1]CADASTRO BASE ORÇ. DESPESA'!N836</f>
        <v>-1.2816715321730601</v>
      </c>
      <c r="L834" s="512">
        <f>'[1]CADASTRO BASE ORÇ. DESPESA'!P836</f>
        <v>-0.16462898597948966</v>
      </c>
      <c r="M834" s="495">
        <f>(L834+K834+J834)/3</f>
        <v>-0.21918317784812349</v>
      </c>
    </row>
    <row r="836" spans="3:14" ht="15" customHeight="1" x14ac:dyDescent="0.2">
      <c r="C836" s="483" t="s">
        <v>6426</v>
      </c>
      <c r="I836" s="506" t="s">
        <v>5532</v>
      </c>
      <c r="J836" s="512" t="str">
        <f>'[1]CADASTRO BASE ORÇ. DESPESA'!L838</f>
        <v xml:space="preserve">0,00% </v>
      </c>
      <c r="K836" s="512" t="str">
        <f>'[1]CADASTRO BASE ORÇ. DESPESA'!N838</f>
        <v xml:space="preserve">0,00% </v>
      </c>
      <c r="L836" s="512">
        <f>'[1]CADASTRO BASE ORÇ. DESPESA'!P838</f>
        <v>1</v>
      </c>
      <c r="M836" s="495">
        <f>(L836+K836+J836)/3</f>
        <v>0.33333333333333331</v>
      </c>
    </row>
    <row r="838" spans="3:14" ht="15" customHeight="1" x14ac:dyDescent="0.2">
      <c r="C838" s="483" t="s">
        <v>6452</v>
      </c>
      <c r="I838" s="506" t="s">
        <v>6453</v>
      </c>
      <c r="J838" s="512" t="str">
        <f>'[1]CADASTRO BASE ORÇ. DESPESA'!L840</f>
        <v xml:space="preserve">0,00% </v>
      </c>
      <c r="K838" s="512" t="str">
        <f>'[1]CADASTRO BASE ORÇ. DESPESA'!N840</f>
        <v xml:space="preserve">0,00% </v>
      </c>
      <c r="L838" s="512">
        <f>'[1]CADASTRO BASE ORÇ. DESPESA'!P840</f>
        <v>1</v>
      </c>
      <c r="M838" s="495">
        <f>(L838+K838+J838)/3</f>
        <v>0.33333333333333331</v>
      </c>
    </row>
    <row r="839" spans="3:14" ht="15" customHeight="1" x14ac:dyDescent="0.25">
      <c r="M839" s="495"/>
    </row>
    <row r="840" spans="3:14" ht="15" customHeight="1" x14ac:dyDescent="0.2">
      <c r="C840" s="483" t="s">
        <v>6272</v>
      </c>
      <c r="I840" s="506" t="s">
        <v>1000</v>
      </c>
      <c r="J840" s="512">
        <f>'[1]CADASTRO BASE ORÇ. DESPESA'!L842</f>
        <v>1</v>
      </c>
      <c r="K840" s="512">
        <f>'[1]CADASTRO BASE ORÇ. DESPESA'!N842</f>
        <v>0.29708898035863074</v>
      </c>
      <c r="L840" s="512">
        <f>'[1]CADASTRO BASE ORÇ. DESPESA'!P842</f>
        <v>-4.7595556218311961</v>
      </c>
      <c r="M840" s="495">
        <f>(L840+K840+J840)/3</f>
        <v>-1.1541555471575216</v>
      </c>
    </row>
    <row r="842" spans="3:14" ht="15" customHeight="1" x14ac:dyDescent="0.2">
      <c r="C842" s="483" t="s">
        <v>6294</v>
      </c>
      <c r="I842" s="506" t="s">
        <v>1099</v>
      </c>
      <c r="J842" s="512" t="str">
        <f>'[1]CADASTRO BASE ORÇ. DESPESA'!L844</f>
        <v xml:space="preserve">0,00% </v>
      </c>
      <c r="K842" s="512">
        <f>'[1]CADASTRO BASE ORÇ. DESPESA'!N844</f>
        <v>1</v>
      </c>
      <c r="L842" s="512">
        <f>'[1]CADASTRO BASE ORÇ. DESPESA'!P844</f>
        <v>-2.6623076923076923</v>
      </c>
      <c r="M842" s="495">
        <f>(L842+K842+J842)/3</f>
        <v>-0.55410256410256409</v>
      </c>
    </row>
    <row r="844" spans="3:14" s="492" customFormat="1" ht="15" customHeight="1" x14ac:dyDescent="0.25">
      <c r="C844" s="492" t="s">
        <v>6252</v>
      </c>
      <c r="I844" s="500" t="s">
        <v>1192</v>
      </c>
      <c r="J844" s="489" t="str">
        <f>'[1]CADASTRO BASE ORÇ. DESPESA'!L846</f>
        <v xml:space="preserve">0,00% </v>
      </c>
      <c r="K844" s="489">
        <f>'[1]CADASTRO BASE ORÇ. DESPESA'!N846</f>
        <v>1</v>
      </c>
      <c r="L844" s="489">
        <f>'[1]CADASTRO BASE ORÇ. DESPESA'!P846</f>
        <v>0</v>
      </c>
      <c r="M844" s="491">
        <f>(L844+K844+J844)/3</f>
        <v>0.33333333333333331</v>
      </c>
    </row>
    <row r="846" spans="3:14" ht="15" customHeight="1" x14ac:dyDescent="0.2">
      <c r="C846" s="483" t="s">
        <v>6427</v>
      </c>
      <c r="I846" s="506" t="s">
        <v>1191</v>
      </c>
      <c r="J846" s="512" t="str">
        <f>'[1]CADASTRO BASE ORÇ. DESPESA'!L848</f>
        <v xml:space="preserve">0,00% </v>
      </c>
      <c r="K846" s="512">
        <f>'[1]CADASTRO BASE ORÇ. DESPESA'!N848</f>
        <v>1</v>
      </c>
      <c r="L846" s="512">
        <f>'[1]CADASTRO BASE ORÇ. DESPESA'!P848</f>
        <v>0</v>
      </c>
      <c r="M846" s="495">
        <f>(L846+K846+J846)/3</f>
        <v>0.33333333333333331</v>
      </c>
    </row>
    <row r="848" spans="3:14" s="492" customFormat="1" ht="15" customHeight="1" x14ac:dyDescent="0.25">
      <c r="C848" s="492" t="s">
        <v>6428</v>
      </c>
      <c r="I848" s="500" t="s">
        <v>2079</v>
      </c>
      <c r="J848" s="489">
        <f>'[1]CADASTRO BASE ORÇ. DESPESA'!L850</f>
        <v>-6.7296682997556895E-2</v>
      </c>
      <c r="K848" s="489">
        <f>'[1]CADASTRO BASE ORÇ. DESPESA'!N850</f>
        <v>-0.71428571428571419</v>
      </c>
      <c r="L848" s="489">
        <f>'[1]CADASTRO BASE ORÇ. DESPESA'!P850</f>
        <v>0.45344781575165016</v>
      </c>
      <c r="M848" s="491">
        <f>(L848+K848+J848)/3</f>
        <v>-0.10937819384387364</v>
      </c>
      <c r="N848" s="502"/>
    </row>
    <row r="849" spans="3:18" s="492" customFormat="1" ht="15" customHeight="1" x14ac:dyDescent="0.25">
      <c r="J849" s="493"/>
      <c r="K849" s="493"/>
      <c r="L849" s="493"/>
      <c r="M849" s="493"/>
    </row>
    <row r="850" spans="3:18" s="492" customFormat="1" ht="15" customHeight="1" x14ac:dyDescent="0.25">
      <c r="C850" s="492" t="s">
        <v>6429</v>
      </c>
      <c r="I850" s="500" t="s">
        <v>2108</v>
      </c>
      <c r="J850" s="489">
        <f>'[1]CADASTRO BASE ORÇ. DESPESA'!L852</f>
        <v>-6.7296682997556895E-2</v>
      </c>
      <c r="K850" s="489">
        <f>'[1]CADASTRO BASE ORÇ. DESPESA'!N852</f>
        <v>-0.71428571428571419</v>
      </c>
      <c r="L850" s="489">
        <f>'[1]CADASTRO BASE ORÇ. DESPESA'!P852</f>
        <v>0.45344781575165016</v>
      </c>
      <c r="M850" s="491">
        <f>(L850+K850+J850)/3</f>
        <v>-0.10937819384387364</v>
      </c>
    </row>
    <row r="851" spans="3:18" s="492" customFormat="1" ht="15" customHeight="1" x14ac:dyDescent="0.25">
      <c r="I851" s="500"/>
      <c r="J851" s="591"/>
      <c r="K851" s="591"/>
      <c r="L851" s="591"/>
      <c r="M851" s="591"/>
    </row>
    <row r="852" spans="3:18" ht="15" customHeight="1" x14ac:dyDescent="0.2">
      <c r="C852" s="483" t="s">
        <v>6267</v>
      </c>
      <c r="I852" s="506" t="s">
        <v>6454</v>
      </c>
      <c r="J852" s="512">
        <f>'[1]CADASTRO BASE ORÇ. DESPESA'!L854</f>
        <v>-6.7296682997556895E-2</v>
      </c>
      <c r="K852" s="512">
        <f>'[1]CADASTRO BASE ORÇ. DESPESA'!N854</f>
        <v>-0.71428571428571419</v>
      </c>
      <c r="L852" s="512">
        <f>'[1]CADASTRO BASE ORÇ. DESPESA'!P854</f>
        <v>0.45344781575165016</v>
      </c>
      <c r="M852" s="495">
        <f>(L852+K852+J852)/3</f>
        <v>-0.10937819384387364</v>
      </c>
    </row>
    <row r="853" spans="3:18" ht="15" customHeight="1" x14ac:dyDescent="0.2">
      <c r="I853" s="506"/>
      <c r="J853" s="494"/>
      <c r="K853" s="494"/>
      <c r="L853" s="494"/>
      <c r="M853" s="495"/>
    </row>
    <row r="854" spans="3:18" ht="15" customHeight="1" x14ac:dyDescent="0.2">
      <c r="C854" s="483" t="s">
        <v>6455</v>
      </c>
      <c r="I854" s="506" t="s">
        <v>6457</v>
      </c>
      <c r="J854" s="512" t="str">
        <f>'[1]CADASTRO BASE ORÇ. DESPESA'!L856</f>
        <v xml:space="preserve">0,00% </v>
      </c>
      <c r="K854" s="512" t="str">
        <f>'[1]CADASTRO BASE ORÇ. DESPESA'!N856</f>
        <v xml:space="preserve">0,00% </v>
      </c>
      <c r="L854" s="512">
        <f>'[1]CADASTRO BASE ORÇ. DESPESA'!P856</f>
        <v>1</v>
      </c>
      <c r="M854" s="495">
        <f>(L854+K854+J854)/3</f>
        <v>0.33333333333333331</v>
      </c>
    </row>
    <row r="855" spans="3:18" ht="15" customHeight="1" x14ac:dyDescent="0.2">
      <c r="I855" s="506"/>
      <c r="J855" s="494"/>
      <c r="K855" s="494"/>
      <c r="L855" s="494"/>
      <c r="M855" s="495"/>
    </row>
    <row r="856" spans="3:18" ht="15" customHeight="1" x14ac:dyDescent="0.2">
      <c r="C856" s="483" t="s">
        <v>6456</v>
      </c>
      <c r="I856" s="506" t="s">
        <v>6458</v>
      </c>
      <c r="J856" s="512">
        <f>'[1]CADASTRO BASE ORÇ. DESPESA'!L858</f>
        <v>0</v>
      </c>
      <c r="K856" s="512">
        <f>'[1]CADASTRO BASE ORÇ. DESPESA'!N858</f>
        <v>-0.71428571428571419</v>
      </c>
      <c r="L856" s="512">
        <f>'[1]CADASTRO BASE ORÇ. DESPESA'!P858</f>
        <v>0.41666666666666663</v>
      </c>
      <c r="M856" s="495">
        <f>(L856+K856+J856)/3</f>
        <v>-9.9206349206349187E-2</v>
      </c>
    </row>
    <row r="857" spans="3:18" ht="15" customHeight="1" x14ac:dyDescent="0.2">
      <c r="I857" s="506"/>
      <c r="J857" s="494"/>
      <c r="K857" s="494"/>
      <c r="L857" s="494"/>
      <c r="M857" s="495"/>
    </row>
    <row r="858" spans="3:18" s="492" customFormat="1" ht="15" customHeight="1" x14ac:dyDescent="0.25">
      <c r="C858" s="492" t="s">
        <v>6430</v>
      </c>
      <c r="I858" s="500" t="s">
        <v>988</v>
      </c>
      <c r="J858" s="489" t="str">
        <f>'[1]CADASTRO BASE ORÇ. DESPESA'!L860</f>
        <v xml:space="preserve">0,00% </v>
      </c>
      <c r="K858" s="489" t="str">
        <f>'[1]CADASTRO BASE ORÇ. DESPESA'!N860</f>
        <v xml:space="preserve">0,00% </v>
      </c>
      <c r="L858" s="489" t="str">
        <f>'[1]CADASTRO BASE ORÇ. DESPESA'!P860</f>
        <v xml:space="preserve">0,00% </v>
      </c>
      <c r="M858" s="491">
        <f>(L858+K858+J858)/3</f>
        <v>0</v>
      </c>
      <c r="R858" s="502"/>
    </row>
    <row r="859" spans="3:18" s="492" customFormat="1" ht="15" customHeight="1" x14ac:dyDescent="0.25">
      <c r="J859" s="493"/>
      <c r="K859" s="493"/>
      <c r="L859" s="493"/>
      <c r="M859" s="493"/>
    </row>
    <row r="860" spans="3:18" s="492" customFormat="1" ht="15" customHeight="1" x14ac:dyDescent="0.25">
      <c r="C860" s="492" t="s">
        <v>6431</v>
      </c>
      <c r="I860" s="500" t="s">
        <v>988</v>
      </c>
      <c r="J860" s="489" t="str">
        <f>'[1]CADASTRO BASE ORÇ. DESPESA'!L862</f>
        <v xml:space="preserve">0,00% </v>
      </c>
      <c r="K860" s="489" t="str">
        <f>'[1]CADASTRO BASE ORÇ. DESPESA'!N862</f>
        <v xml:space="preserve">0,00% </v>
      </c>
      <c r="L860" s="489" t="str">
        <f>'[1]CADASTRO BASE ORÇ. DESPESA'!P862</f>
        <v xml:space="preserve">0,00% </v>
      </c>
      <c r="M860" s="491">
        <f>(L860+K860+J860)/3</f>
        <v>0</v>
      </c>
      <c r="N860" s="502"/>
    </row>
    <row r="862" spans="3:18" ht="15" customHeight="1" x14ac:dyDescent="0.2">
      <c r="C862" s="483" t="s">
        <v>6432</v>
      </c>
      <c r="I862" s="506" t="s">
        <v>988</v>
      </c>
      <c r="J862" s="512" t="str">
        <f>'[1]CADASTRO BASE ORÇ. DESPESA'!L864</f>
        <v xml:space="preserve">0,00% </v>
      </c>
      <c r="K862" s="512" t="str">
        <f>'[1]CADASTRO BASE ORÇ. DESPESA'!N864</f>
        <v xml:space="preserve">0,00% </v>
      </c>
      <c r="L862" s="512" t="str">
        <f>'[1]CADASTRO BASE ORÇ. DESPESA'!P864</f>
        <v xml:space="preserve">0,00% </v>
      </c>
      <c r="M862" s="495">
        <f>(L862+K862+J862)/3</f>
        <v>0</v>
      </c>
    </row>
    <row r="864" spans="3:18" ht="15" customHeight="1" x14ac:dyDescent="0.25">
      <c r="I864" s="508" t="s">
        <v>0</v>
      </c>
      <c r="J864" s="513">
        <f>'[1]CADASTRO BASE ORÇ. DESPESA'!L866</f>
        <v>0.13408443583790228</v>
      </c>
      <c r="K864" s="513">
        <f>'[1]CADASTRO BASE ORÇ. DESPESA'!N866</f>
        <v>3.7167399527248124E-2</v>
      </c>
      <c r="L864" s="513">
        <f>'[1]CADASTRO BASE ORÇ. DESPESA'!P866</f>
        <v>-0.52193012510355929</v>
      </c>
      <c r="M864" s="511">
        <f>(L864+K864+J864)/3</f>
        <v>-0.11689276324613629</v>
      </c>
    </row>
    <row r="865" spans="9:18" ht="15" customHeight="1" x14ac:dyDescent="0.25">
      <c r="J865" s="590"/>
      <c r="K865" s="590"/>
      <c r="Q865" s="502"/>
      <c r="R865" s="502"/>
    </row>
    <row r="866" spans="9:18" ht="15" customHeight="1" x14ac:dyDescent="0.25">
      <c r="J866" s="590"/>
      <c r="K866" s="590"/>
    </row>
    <row r="867" spans="9:18" ht="15" customHeight="1" x14ac:dyDescent="0.25">
      <c r="J867" s="590"/>
      <c r="K867" s="590"/>
    </row>
    <row r="868" spans="9:18" ht="15" customHeight="1" x14ac:dyDescent="0.25">
      <c r="J868" s="590"/>
      <c r="K868" s="590"/>
    </row>
    <row r="870" spans="9:18" ht="15" customHeight="1" x14ac:dyDescent="0.25">
      <c r="I870" s="946" t="s">
        <v>2122</v>
      </c>
      <c r="J870" s="592"/>
      <c r="K870" s="592"/>
      <c r="L870" s="592"/>
      <c r="M870" s="488"/>
    </row>
    <row r="871" spans="9:18" ht="15" customHeight="1" x14ac:dyDescent="0.25">
      <c r="I871" s="946"/>
      <c r="J871" s="593" t="s">
        <v>235</v>
      </c>
      <c r="K871" s="593" t="s">
        <v>235</v>
      </c>
      <c r="L871" s="593" t="s">
        <v>235</v>
      </c>
      <c r="M871" s="488" t="s">
        <v>235</v>
      </c>
    </row>
    <row r="872" spans="9:18" ht="15" customHeight="1" x14ac:dyDescent="0.25">
      <c r="I872" s="492" t="s">
        <v>2074</v>
      </c>
      <c r="J872" s="489">
        <f>'[1]CADASTRO BASE ORÇ. DESPESA'!L877</f>
        <v>0.16939687243993948</v>
      </c>
      <c r="K872" s="489">
        <f>'[1]CADASTRO BASE ORÇ. DESPESA'!N877</f>
        <v>1.073179511410087E-2</v>
      </c>
      <c r="L872" s="489">
        <f>'[1]CADASTRO BASE ORÇ. DESPESA'!P877</f>
        <v>-0.5067185454211971</v>
      </c>
      <c r="M872" s="491">
        <f>(L872+K872+J872)/3</f>
        <v>-0.10886329262238559</v>
      </c>
    </row>
    <row r="873" spans="9:18" ht="15" customHeight="1" x14ac:dyDescent="0.2">
      <c r="I873" s="483" t="s">
        <v>2123</v>
      </c>
      <c r="J873" s="512">
        <f>'[1]CADASTRO BASE ORÇ. DESPESA'!L878</f>
        <v>0.15565412094523473</v>
      </c>
      <c r="K873" s="512">
        <f>'[1]CADASTRO BASE ORÇ. DESPESA'!N878</f>
        <v>5.2641773163814534E-2</v>
      </c>
      <c r="L873" s="512">
        <f>'[1]CADASTRO BASE ORÇ. DESPESA'!P878</f>
        <v>-0.37437541563248877</v>
      </c>
      <c r="M873" s="495">
        <f>(L873+K873+J873)/3</f>
        <v>-5.5359840507813174E-2</v>
      </c>
    </row>
    <row r="874" spans="9:18" ht="15" customHeight="1" x14ac:dyDescent="0.2">
      <c r="I874" s="483" t="s">
        <v>175</v>
      </c>
      <c r="J874" s="512">
        <f>'[1]CADASTRO BASE ORÇ. DESPESA'!L878</f>
        <v>0.15565412094523473</v>
      </c>
      <c r="K874" s="512">
        <f>'[1]CADASTRO BASE ORÇ. DESPESA'!N878</f>
        <v>5.2641773163814534E-2</v>
      </c>
      <c r="L874" s="512">
        <f>'[1]CADASTRO BASE ORÇ. DESPESA'!P878</f>
        <v>-0.37437541563248877</v>
      </c>
      <c r="M874" s="495">
        <f>(L874+K874+J874)/3</f>
        <v>-5.5359840507813174E-2</v>
      </c>
    </row>
    <row r="875" spans="9:18" ht="15" customHeight="1" x14ac:dyDescent="0.2">
      <c r="I875" s="483" t="s">
        <v>94</v>
      </c>
      <c r="J875" s="512">
        <f>'[1]CADASTRO BASE ORÇ. DESPESA'!L879</f>
        <v>-3.7654480199050564</v>
      </c>
      <c r="K875" s="512">
        <f>'[1]CADASTRO BASE ORÇ. DESPESA'!N879</f>
        <v>-4.717448885449838</v>
      </c>
      <c r="L875" s="512">
        <f>'[1]CADASTRO BASE ORÇ. DESPESA'!P879</f>
        <v>0.96329764153403641</v>
      </c>
      <c r="M875" s="495">
        <f>(L875+K875+J875)/3</f>
        <v>-2.5065330879402858</v>
      </c>
      <c r="N875" s="502"/>
    </row>
    <row r="876" spans="9:18" ht="15" customHeight="1" x14ac:dyDescent="0.25">
      <c r="N876" s="507"/>
    </row>
    <row r="877" spans="9:18" ht="15" customHeight="1" x14ac:dyDescent="0.25">
      <c r="I877" s="492" t="s">
        <v>2077</v>
      </c>
      <c r="J877" s="489">
        <f>'[1]CADASTRO BASE ORÇ. DESPESA'!L882</f>
        <v>-0.54579358372924891</v>
      </c>
      <c r="K877" s="489">
        <f>'[1]CADASTRO BASE ORÇ. DESPESA'!N882</f>
        <v>0.36425369757163933</v>
      </c>
      <c r="L877" s="489">
        <f>'[1]CADASTRO BASE ORÇ. DESPESA'!P882</f>
        <v>-0.73918016435958367</v>
      </c>
      <c r="M877" s="491">
        <f>(L877+K877+J877)/3</f>
        <v>-0.30690668350573108</v>
      </c>
      <c r="N877" s="507"/>
    </row>
    <row r="878" spans="9:18" ht="15" customHeight="1" x14ac:dyDescent="0.2">
      <c r="I878" s="483" t="s">
        <v>95</v>
      </c>
      <c r="J878" s="512">
        <f>'[1]CADASTRO BASE ORÇ. DESPESA'!L883</f>
        <v>-0.61541108388411625</v>
      </c>
      <c r="K878" s="512">
        <f>'[1]CADASTRO BASE ORÇ. DESPESA'!N883</f>
        <v>0.41756728086429412</v>
      </c>
      <c r="L878" s="512">
        <f>'[1]CADASTRO BASE ORÇ. DESPESA'!P883</f>
        <v>-0.94945561096373654</v>
      </c>
      <c r="M878" s="495">
        <f>(L878+K878+J878)/3</f>
        <v>-0.38243313799451956</v>
      </c>
      <c r="N878" s="507"/>
    </row>
    <row r="879" spans="9:18" ht="15" customHeight="1" x14ac:dyDescent="0.2">
      <c r="I879" s="483" t="s">
        <v>176</v>
      </c>
      <c r="J879" s="512" t="str">
        <f>'[1]CADASTRO BASE ORÇ. DESPESA'!L884</f>
        <v xml:space="preserve">0,00% </v>
      </c>
      <c r="K879" s="512" t="str">
        <f>'[1]CADASTRO BASE ORÇ. DESPESA'!N884</f>
        <v xml:space="preserve">0,00% </v>
      </c>
      <c r="L879" s="512" t="str">
        <f>'[1]CADASTRO BASE ORÇ. DESPESA'!P884</f>
        <v xml:space="preserve">0,00% </v>
      </c>
      <c r="M879" s="495">
        <f>(L879+K879+J879)/3</f>
        <v>0</v>
      </c>
    </row>
    <row r="880" spans="9:18" ht="15" customHeight="1" x14ac:dyDescent="0.2">
      <c r="I880" s="483" t="s">
        <v>96</v>
      </c>
      <c r="J880" s="512">
        <f>'[1]CADASTRO BASE ORÇ. DESPESA'!L885</f>
        <v>-6.7296682997556895E-2</v>
      </c>
      <c r="K880" s="512">
        <f>'[1]CADASTRO BASE ORÇ. DESPESA'!N885</f>
        <v>-0.71428571428571419</v>
      </c>
      <c r="L880" s="512">
        <f>'[1]CADASTRO BASE ORÇ. DESPESA'!P885</f>
        <v>0.45344781575165016</v>
      </c>
      <c r="M880" s="495">
        <f>(L880+K880+J880)/3</f>
        <v>-0.10937819384387364</v>
      </c>
      <c r="N880" s="502"/>
    </row>
    <row r="881" spans="9:14" ht="15" customHeight="1" x14ac:dyDescent="0.2">
      <c r="I881" s="483" t="s">
        <v>2080</v>
      </c>
      <c r="J881" s="512" t="str">
        <f>'[1]CADASTRO BASE ORÇ. DESPESA'!L886</f>
        <v xml:space="preserve">0,00% </v>
      </c>
      <c r="K881" s="512" t="str">
        <f>'[1]CADASTRO BASE ORÇ. DESPESA'!N886</f>
        <v xml:space="preserve">0,00% </v>
      </c>
      <c r="L881" s="512" t="str">
        <f>'[1]CADASTRO BASE ORÇ. DESPESA'!P886</f>
        <v xml:space="preserve">0,00% </v>
      </c>
      <c r="M881" s="495">
        <f>(L881+K881+J881)/3</f>
        <v>0</v>
      </c>
      <c r="N881" s="507"/>
    </row>
    <row r="882" spans="9:14" ht="15" customHeight="1" x14ac:dyDescent="0.25">
      <c r="N882" s="507"/>
    </row>
    <row r="883" spans="9:14" ht="15" customHeight="1" x14ac:dyDescent="0.25">
      <c r="I883" s="492" t="s">
        <v>2124</v>
      </c>
      <c r="J883" s="489" t="str">
        <f>'[1]CADASTRO BASE ORÇ. DESPESA'!L888</f>
        <v xml:space="preserve">0,00% </v>
      </c>
      <c r="K883" s="489" t="str">
        <f>'[1]CADASTRO BASE ORÇ. DESPESA'!N888</f>
        <v xml:space="preserve">0,00% </v>
      </c>
      <c r="L883" s="489" t="str">
        <f>'[1]CADASTRO BASE ORÇ. DESPESA'!P888</f>
        <v xml:space="preserve">0,00% </v>
      </c>
      <c r="M883" s="491">
        <f>(L883+K883+J883)/3</f>
        <v>0</v>
      </c>
      <c r="N883" s="507"/>
    </row>
    <row r="884" spans="9:14" ht="15" customHeight="1" x14ac:dyDescent="0.2">
      <c r="I884" s="483" t="s">
        <v>2123</v>
      </c>
      <c r="J884" s="512" t="str">
        <f>'[1]CADASTRO BASE ORÇ. DESPESA'!L889</f>
        <v xml:space="preserve">0,00% </v>
      </c>
      <c r="K884" s="512" t="str">
        <f>'[1]CADASTRO BASE ORÇ. DESPESA'!N889</f>
        <v xml:space="preserve">0,00% </v>
      </c>
      <c r="L884" s="512" t="str">
        <f>'[1]CADASTRO BASE ORÇ. DESPESA'!P889</f>
        <v xml:space="preserve">0,00% </v>
      </c>
      <c r="M884" s="495">
        <f>(L884+K884+J884)/3</f>
        <v>0</v>
      </c>
      <c r="N884" s="507"/>
    </row>
    <row r="886" spans="9:14" ht="15" customHeight="1" x14ac:dyDescent="0.2">
      <c r="I886" s="508" t="s">
        <v>0</v>
      </c>
      <c r="J886" s="594">
        <f>'[1]CADASTRO BASE ORÇ. DESPESA'!L891</f>
        <v>0.13408443583790228</v>
      </c>
      <c r="K886" s="594">
        <f>'[1]CADASTRO BASE ORÇ. DESPESA'!N891</f>
        <v>3.7167399527248124E-2</v>
      </c>
      <c r="L886" s="594">
        <f>'[1]CADASTRO BASE ORÇ. DESPESA'!P891</f>
        <v>-0.52193012510355929</v>
      </c>
      <c r="M886" s="595">
        <f>(L886+K886+J886)/3</f>
        <v>-0.11689276324613629</v>
      </c>
      <c r="N886" s="502"/>
    </row>
    <row r="974" ht="11.25" customHeight="1" x14ac:dyDescent="0.25"/>
  </sheetData>
  <mergeCells count="5">
    <mergeCell ref="C446:E447"/>
    <mergeCell ref="I446:I447"/>
    <mergeCell ref="I424:I425"/>
    <mergeCell ref="C6:E7"/>
    <mergeCell ref="I6:I7"/>
  </mergeCells>
  <pageMargins left="0.511811024" right="0.511811024" top="0.78740157499999996" bottom="0.78740157499999996" header="0.31496062000000002" footer="0.31496062000000002"/>
  <pageSetup paperSize="9" scale="93" fitToHeight="0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view="pageLayout" topLeftCell="A10" workbookViewId="0">
      <selection sqref="A1:D27"/>
    </sheetView>
  </sheetViews>
  <sheetFormatPr defaultRowHeight="15" x14ac:dyDescent="0.25"/>
  <cols>
    <col min="1" max="1" width="15.5703125" customWidth="1"/>
    <col min="2" max="2" width="44.5703125" customWidth="1"/>
    <col min="3" max="3" width="11.7109375" customWidth="1"/>
    <col min="4" max="4" width="14.5703125" style="64" bestFit="1" customWidth="1"/>
  </cols>
  <sheetData>
    <row r="1" spans="1:4" ht="18" x14ac:dyDescent="0.25">
      <c r="A1" s="1329" t="str">
        <f>'CADASTRO BASE RECEITA '!A$1</f>
        <v>PROPOSTA ORÇAMENTÁRIA PARA 2016</v>
      </c>
      <c r="B1" s="1329"/>
      <c r="C1" s="1329"/>
      <c r="D1" s="1329"/>
    </row>
    <row r="4" spans="1:4" ht="15.75" x14ac:dyDescent="0.25">
      <c r="A4" s="1326" t="s">
        <v>185</v>
      </c>
      <c r="B4" s="1326"/>
      <c r="C4" s="1326"/>
      <c r="D4" s="1326"/>
    </row>
    <row r="5" spans="1:4" ht="16.5" thickBot="1" x14ac:dyDescent="0.3">
      <c r="A5" s="1327" t="s">
        <v>936</v>
      </c>
      <c r="B5" s="1328"/>
      <c r="C5" s="1328"/>
      <c r="D5" s="1328"/>
    </row>
    <row r="6" spans="1:4" ht="16.5" thickTop="1" x14ac:dyDescent="0.25">
      <c r="A6" s="67" t="s">
        <v>187</v>
      </c>
      <c r="B6" s="68" t="s">
        <v>186</v>
      </c>
      <c r="C6" s="68" t="s">
        <v>34</v>
      </c>
      <c r="D6" s="114" t="s">
        <v>235</v>
      </c>
    </row>
    <row r="7" spans="1:4" ht="15.75" x14ac:dyDescent="0.25">
      <c r="A7" s="99">
        <v>1997</v>
      </c>
      <c r="B7" s="66">
        <v>54</v>
      </c>
      <c r="C7" s="69">
        <v>130</v>
      </c>
      <c r="D7" s="65">
        <v>0</v>
      </c>
    </row>
    <row r="8" spans="1:4" ht="15.75" x14ac:dyDescent="0.25">
      <c r="A8" s="99">
        <v>1998</v>
      </c>
      <c r="B8" s="66">
        <v>99</v>
      </c>
      <c r="C8" s="69">
        <v>143</v>
      </c>
      <c r="D8" s="65">
        <v>0.1</v>
      </c>
    </row>
    <row r="9" spans="1:4" ht="15.75" x14ac:dyDescent="0.25">
      <c r="A9" s="99">
        <v>1999</v>
      </c>
      <c r="B9" s="66">
        <v>160</v>
      </c>
      <c r="C9" s="69">
        <v>155</v>
      </c>
      <c r="D9" s="65">
        <v>8.4000000000000005E-2</v>
      </c>
    </row>
    <row r="10" spans="1:4" ht="15.75" x14ac:dyDescent="0.25">
      <c r="A10" s="99">
        <v>2000</v>
      </c>
      <c r="B10" s="66">
        <v>190</v>
      </c>
      <c r="C10" s="69">
        <v>168</v>
      </c>
      <c r="D10" s="65">
        <v>8.3900000000000002E-2</v>
      </c>
    </row>
    <row r="11" spans="1:4" ht="15.75" x14ac:dyDescent="0.25">
      <c r="A11" s="99">
        <v>2001</v>
      </c>
      <c r="B11" s="66">
        <v>242</v>
      </c>
      <c r="C11" s="69">
        <v>181</v>
      </c>
      <c r="D11" s="65">
        <v>7.7399999999999997E-2</v>
      </c>
    </row>
    <row r="12" spans="1:4" ht="15.75" x14ac:dyDescent="0.25">
      <c r="A12" s="99">
        <v>2002</v>
      </c>
      <c r="B12" s="66">
        <v>284</v>
      </c>
      <c r="C12" s="69">
        <v>195</v>
      </c>
      <c r="D12" s="65">
        <v>7.7399999999999997E-2</v>
      </c>
    </row>
    <row r="13" spans="1:4" ht="15.75" x14ac:dyDescent="0.25">
      <c r="A13" s="99">
        <v>2003</v>
      </c>
      <c r="B13" s="66">
        <v>322</v>
      </c>
      <c r="C13" s="69">
        <v>225</v>
      </c>
      <c r="D13" s="65">
        <v>0.15384999999999999</v>
      </c>
    </row>
    <row r="14" spans="1:4" ht="15.75" x14ac:dyDescent="0.25">
      <c r="A14" s="99">
        <v>2004</v>
      </c>
      <c r="B14" s="66">
        <v>357</v>
      </c>
      <c r="C14" s="69">
        <v>250</v>
      </c>
      <c r="D14" s="65">
        <v>0.11115</v>
      </c>
    </row>
    <row r="15" spans="1:4" ht="15.75" x14ac:dyDescent="0.25">
      <c r="A15" s="99">
        <v>2005</v>
      </c>
      <c r="B15" s="66">
        <v>429</v>
      </c>
      <c r="C15" s="69">
        <v>275</v>
      </c>
      <c r="D15" s="65">
        <v>0.1</v>
      </c>
    </row>
    <row r="16" spans="1:4" ht="15.75" x14ac:dyDescent="0.25">
      <c r="A16" s="99">
        <v>2006</v>
      </c>
      <c r="B16" s="66">
        <v>518</v>
      </c>
      <c r="C16" s="69">
        <v>290.64999999999998</v>
      </c>
      <c r="D16" s="65">
        <v>5.6899999999999999E-2</v>
      </c>
    </row>
    <row r="17" spans="1:4" ht="15.75" x14ac:dyDescent="0.25">
      <c r="A17" s="99">
        <v>2007</v>
      </c>
      <c r="B17" s="66">
        <v>599</v>
      </c>
      <c r="C17" s="69">
        <v>301.77999999999997</v>
      </c>
      <c r="D17" s="65">
        <v>3.8300000000000001E-2</v>
      </c>
    </row>
    <row r="18" spans="1:4" ht="15.75" x14ac:dyDescent="0.25">
      <c r="A18" s="99">
        <v>2008</v>
      </c>
      <c r="B18" s="66">
        <v>677</v>
      </c>
      <c r="C18" s="69">
        <v>325.17</v>
      </c>
      <c r="D18" s="65">
        <v>7.7499999999999999E-2</v>
      </c>
    </row>
    <row r="19" spans="1:4" ht="15.75" x14ac:dyDescent="0.25">
      <c r="A19" s="99">
        <v>2009</v>
      </c>
      <c r="B19" s="66">
        <v>734</v>
      </c>
      <c r="C19" s="69">
        <v>342.23</v>
      </c>
      <c r="D19" s="65">
        <v>5.2465770000000002E-2</v>
      </c>
    </row>
    <row r="20" spans="1:4" ht="15.75" x14ac:dyDescent="0.25">
      <c r="A20" s="99">
        <v>2010</v>
      </c>
      <c r="B20" s="66">
        <v>771</v>
      </c>
      <c r="C20" s="69">
        <f>C19*(1+D20)</f>
        <v>361.83977899999996</v>
      </c>
      <c r="D20" s="65">
        <v>5.7299999999999997E-2</v>
      </c>
    </row>
    <row r="21" spans="1:4" ht="15.75" x14ac:dyDescent="0.25">
      <c r="A21" s="99">
        <v>2011</v>
      </c>
      <c r="B21" s="66">
        <v>836</v>
      </c>
      <c r="C21" s="69">
        <f>C20*(1+D21)-0.01</f>
        <v>390.77696132</v>
      </c>
      <c r="D21" s="65">
        <v>0.08</v>
      </c>
    </row>
    <row r="22" spans="1:4" ht="15.75" x14ac:dyDescent="0.25">
      <c r="A22" s="99">
        <v>2012</v>
      </c>
      <c r="B22" s="66">
        <v>868</v>
      </c>
      <c r="C22" s="69">
        <f>C21*(1+D22)-0.01+0.01</f>
        <v>421.88280744107203</v>
      </c>
      <c r="D22" s="65">
        <v>7.9600000000000004E-2</v>
      </c>
    </row>
    <row r="23" spans="1:4" ht="15.75" x14ac:dyDescent="0.25">
      <c r="A23" s="99">
        <v>2013</v>
      </c>
      <c r="B23" s="66">
        <v>902</v>
      </c>
      <c r="C23" s="69">
        <v>452.34</v>
      </c>
      <c r="D23" s="65">
        <v>7.22E-2</v>
      </c>
    </row>
    <row r="24" spans="1:4" s="273" customFormat="1" ht="15.75" x14ac:dyDescent="0.25">
      <c r="A24" s="385">
        <v>2014</v>
      </c>
      <c r="B24" s="386">
        <v>956</v>
      </c>
      <c r="C24" s="387">
        <v>477.53</v>
      </c>
      <c r="D24" s="65">
        <v>5.57E-2</v>
      </c>
    </row>
    <row r="25" spans="1:4" s="273" customFormat="1" ht="15.75" x14ac:dyDescent="0.25">
      <c r="A25" s="385">
        <v>2015</v>
      </c>
      <c r="B25" s="386">
        <v>997</v>
      </c>
      <c r="C25" s="387">
        <v>482.31</v>
      </c>
      <c r="D25" s="65">
        <v>0.01</v>
      </c>
    </row>
    <row r="26" spans="1:4" s="29" customFormat="1" ht="15.75" x14ac:dyDescent="0.25">
      <c r="A26" s="1323" t="s">
        <v>2240</v>
      </c>
      <c r="B26" s="1324"/>
      <c r="C26" s="1325"/>
      <c r="D26" s="73">
        <f>SUM(D7:D25)/19</f>
        <v>7.1982408947368445E-2</v>
      </c>
    </row>
    <row r="27" spans="1:4" s="29" customFormat="1" ht="16.5" thickBot="1" x14ac:dyDescent="0.3">
      <c r="A27" s="100">
        <v>2016</v>
      </c>
      <c r="B27" s="70" t="s">
        <v>459</v>
      </c>
      <c r="C27" s="71">
        <f>C25*(1+D27)</f>
        <v>517.02783565940524</v>
      </c>
      <c r="D27" s="72">
        <f>D26</f>
        <v>7.1982408947368445E-2</v>
      </c>
    </row>
    <row r="28" spans="1:4" ht="15.75" thickTop="1" x14ac:dyDescent="0.25"/>
    <row r="29" spans="1:4" x14ac:dyDescent="0.25">
      <c r="C29" s="19"/>
    </row>
  </sheetData>
  <mergeCells count="4">
    <mergeCell ref="A26:C26"/>
    <mergeCell ref="A4:D4"/>
    <mergeCell ref="A5:D5"/>
    <mergeCell ref="A1:D1"/>
  </mergeCells>
  <phoneticPr fontId="46" type="noConversion"/>
  <pageMargins left="0.51181102362204722" right="0.51181102362204722" top="1.3779527559055118" bottom="0.78740157480314965" header="0.31496062992125984" footer="0.31496062992125984"/>
  <pageSetup paperSize="9" orientation="portrait" verticalDpi="72" r:id="rId1"/>
  <headerFooter>
    <oddHeader>&amp;L                                     &amp;G&amp;C&amp;"Vivaldi,Regular"&amp;20Estado do Rio Grande do Sul&amp;11&amp;16Prefeitura Municipal de Chuvisca&amp;11&amp;14Secretaria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Layout" workbookViewId="0">
      <selection activeCell="F22" sqref="F22"/>
    </sheetView>
  </sheetViews>
  <sheetFormatPr defaultRowHeight="15" x14ac:dyDescent="0.25"/>
  <cols>
    <col min="3" max="3" width="11.85546875" customWidth="1"/>
    <col min="4" max="4" width="16.85546875" customWidth="1"/>
    <col min="6" max="6" width="16.140625" customWidth="1"/>
    <col min="7" max="7" width="10.42578125" customWidth="1"/>
    <col min="8" max="8" width="10.7109375" customWidth="1"/>
  </cols>
  <sheetData>
    <row r="1" spans="1:11" ht="18" x14ac:dyDescent="0.25">
      <c r="A1" s="1329" t="str">
        <f>'CADASTRO BASE RECEITA '!A$1</f>
        <v>PROPOSTA ORÇAMENTÁRIA PARA 2016</v>
      </c>
      <c r="B1" s="1329"/>
      <c r="C1" s="1329"/>
      <c r="D1" s="1329"/>
      <c r="E1" s="1329"/>
      <c r="F1" s="1329"/>
      <c r="G1" s="1329"/>
    </row>
    <row r="2" spans="1:11" x14ac:dyDescent="0.25">
      <c r="A2" s="35"/>
      <c r="B2" s="35"/>
      <c r="C2" s="35"/>
      <c r="D2" s="35"/>
      <c r="E2" s="35"/>
      <c r="F2" s="35"/>
    </row>
    <row r="4" spans="1:11" x14ac:dyDescent="0.25">
      <c r="A4" s="1332" t="s">
        <v>98</v>
      </c>
      <c r="B4" s="1332"/>
      <c r="C4" s="1332"/>
      <c r="D4" s="1121" t="s">
        <v>99</v>
      </c>
      <c r="E4" s="1332" t="s">
        <v>100</v>
      </c>
      <c r="F4" s="1332" t="s">
        <v>101</v>
      </c>
      <c r="G4" s="1332" t="s">
        <v>444</v>
      </c>
      <c r="H4" s="41"/>
      <c r="I4" s="41"/>
      <c r="J4" s="41"/>
      <c r="K4" s="41"/>
    </row>
    <row r="5" spans="1:11" x14ac:dyDescent="0.25">
      <c r="A5" s="1332" t="s">
        <v>11</v>
      </c>
      <c r="B5" s="1332"/>
      <c r="C5" s="1332"/>
      <c r="D5" s="1121" t="s">
        <v>2241</v>
      </c>
      <c r="E5" s="1332"/>
      <c r="F5" s="1332"/>
      <c r="G5" s="1332"/>
      <c r="H5" s="39"/>
      <c r="I5" s="39"/>
      <c r="J5" s="39"/>
    </row>
    <row r="6" spans="1:11" x14ac:dyDescent="0.25">
      <c r="A6" s="1337" t="s">
        <v>102</v>
      </c>
      <c r="B6" s="1337"/>
      <c r="C6" s="1337"/>
      <c r="D6" s="1128">
        <f>'ORCAMENTO RECEITA ANALITICO'!H444-D11-D16</f>
        <v>18176231.820298068</v>
      </c>
      <c r="E6" s="1129">
        <v>0.01</v>
      </c>
      <c r="F6" s="1130">
        <f>D6*$E6</f>
        <v>181762.31820298068</v>
      </c>
      <c r="G6" s="1333" t="s">
        <v>437</v>
      </c>
      <c r="H6" s="40"/>
      <c r="I6" s="40"/>
      <c r="J6" s="40"/>
    </row>
    <row r="7" spans="1:11" x14ac:dyDescent="0.25">
      <c r="A7" s="1338" t="s">
        <v>102</v>
      </c>
      <c r="B7" s="1338"/>
      <c r="C7" s="1338"/>
      <c r="D7" s="1338"/>
      <c r="E7" s="1338"/>
      <c r="F7" s="1131">
        <f>F6</f>
        <v>181762.31820298068</v>
      </c>
      <c r="G7" s="1333"/>
    </row>
    <row r="8" spans="1:11" x14ac:dyDescent="0.25">
      <c r="A8" s="1132"/>
      <c r="B8" s="1132"/>
      <c r="C8" s="1132"/>
      <c r="D8" s="1132"/>
      <c r="E8" s="1132"/>
      <c r="F8" s="1132"/>
      <c r="G8" s="1132"/>
    </row>
    <row r="9" spans="1:11" x14ac:dyDescent="0.25">
      <c r="A9" s="1342" t="s">
        <v>98</v>
      </c>
      <c r="B9" s="1342"/>
      <c r="C9" s="1342"/>
      <c r="D9" s="1122" t="s">
        <v>99</v>
      </c>
      <c r="E9" s="1334" t="s">
        <v>100</v>
      </c>
      <c r="F9" s="1334" t="s">
        <v>101</v>
      </c>
      <c r="G9" s="1334" t="s">
        <v>444</v>
      </c>
    </row>
    <row r="10" spans="1:11" x14ac:dyDescent="0.25">
      <c r="A10" s="1342" t="s">
        <v>11</v>
      </c>
      <c r="B10" s="1342"/>
      <c r="C10" s="1342"/>
      <c r="D10" s="1122" t="s">
        <v>2241</v>
      </c>
      <c r="E10" s="1334"/>
      <c r="F10" s="1334"/>
      <c r="G10" s="1334"/>
    </row>
    <row r="11" spans="1:11" x14ac:dyDescent="0.25">
      <c r="A11" s="1330" t="s">
        <v>103</v>
      </c>
      <c r="B11" s="1331"/>
      <c r="C11" s="1331"/>
      <c r="D11" s="388">
        <f>'ORCAMENTO RECEITA ANALITICO'!H162</f>
        <v>98759.99961723428</v>
      </c>
      <c r="E11" s="389">
        <v>0.01</v>
      </c>
      <c r="F11" s="390">
        <f>D11*$E11</f>
        <v>987.5999961723428</v>
      </c>
      <c r="G11" s="1336" t="s">
        <v>439</v>
      </c>
    </row>
    <row r="12" spans="1:11" x14ac:dyDescent="0.25">
      <c r="A12" s="1343" t="s">
        <v>104</v>
      </c>
      <c r="B12" s="1343"/>
      <c r="C12" s="1343"/>
      <c r="D12" s="1343"/>
      <c r="E12" s="1343"/>
      <c r="F12" s="391">
        <f>F11</f>
        <v>987.5999961723428</v>
      </c>
      <c r="G12" s="1336"/>
    </row>
    <row r="13" spans="1:11" x14ac:dyDescent="0.25">
      <c r="A13" s="1132"/>
      <c r="B13" s="1132"/>
      <c r="C13" s="1132"/>
      <c r="D13" s="1132"/>
      <c r="E13" s="1132"/>
      <c r="F13" s="1132"/>
      <c r="G13" s="1132"/>
    </row>
    <row r="14" spans="1:11" x14ac:dyDescent="0.25">
      <c r="A14" s="1339" t="s">
        <v>98</v>
      </c>
      <c r="B14" s="1339"/>
      <c r="C14" s="1339"/>
      <c r="D14" s="1123" t="s">
        <v>99</v>
      </c>
      <c r="E14" s="1335" t="s">
        <v>100</v>
      </c>
      <c r="F14" s="1335" t="s">
        <v>101</v>
      </c>
      <c r="G14" s="1335" t="s">
        <v>444</v>
      </c>
    </row>
    <row r="15" spans="1:11" x14ac:dyDescent="0.25">
      <c r="A15" s="1339" t="s">
        <v>11</v>
      </c>
      <c r="B15" s="1339"/>
      <c r="C15" s="1339"/>
      <c r="D15" s="1123" t="s">
        <v>2241</v>
      </c>
      <c r="E15" s="1335"/>
      <c r="F15" s="1335"/>
      <c r="G15" s="1335"/>
    </row>
    <row r="16" spans="1:11" x14ac:dyDescent="0.25">
      <c r="A16" s="1340" t="s">
        <v>105</v>
      </c>
      <c r="B16" s="1340"/>
      <c r="C16" s="1340"/>
      <c r="D16" s="392">
        <f>'ORCAMENTO RECEITA ANALITICO'!H207</f>
        <v>25008.184075868885</v>
      </c>
      <c r="E16" s="393">
        <v>0.01</v>
      </c>
      <c r="F16" s="394">
        <f>D16*$E16</f>
        <v>250.08184075868886</v>
      </c>
      <c r="G16" s="1336" t="s">
        <v>438</v>
      </c>
    </row>
    <row r="17" spans="1:7" x14ac:dyDescent="0.25">
      <c r="A17" s="1341" t="s">
        <v>105</v>
      </c>
      <c r="B17" s="1341"/>
      <c r="C17" s="1341"/>
      <c r="D17" s="1341"/>
      <c r="E17" s="1341"/>
      <c r="F17" s="395">
        <f>F16</f>
        <v>250.08184075868886</v>
      </c>
      <c r="G17" s="1336"/>
    </row>
    <row r="18" spans="1:7" x14ac:dyDescent="0.25">
      <c r="A18" s="1133"/>
      <c r="B18" s="1133"/>
      <c r="C18" s="1133"/>
      <c r="D18" s="1133"/>
      <c r="E18" s="1133"/>
      <c r="F18" s="1133"/>
      <c r="G18" s="1133"/>
    </row>
  </sheetData>
  <mergeCells count="25">
    <mergeCell ref="G14:G15"/>
    <mergeCell ref="G16:G17"/>
    <mergeCell ref="A6:C6"/>
    <mergeCell ref="A7:E7"/>
    <mergeCell ref="F14:F15"/>
    <mergeCell ref="A15:C15"/>
    <mergeCell ref="A16:C16"/>
    <mergeCell ref="A17:E17"/>
    <mergeCell ref="A9:C9"/>
    <mergeCell ref="E9:E10"/>
    <mergeCell ref="A12:E12"/>
    <mergeCell ref="A14:C14"/>
    <mergeCell ref="E14:E15"/>
    <mergeCell ref="G11:G12"/>
    <mergeCell ref="F9:F10"/>
    <mergeCell ref="A10:C10"/>
    <mergeCell ref="A11:C11"/>
    <mergeCell ref="A1:G1"/>
    <mergeCell ref="F4:F5"/>
    <mergeCell ref="A5:C5"/>
    <mergeCell ref="G6:G7"/>
    <mergeCell ref="G9:G10"/>
    <mergeCell ref="A4:C4"/>
    <mergeCell ref="E4:E5"/>
    <mergeCell ref="G4:G5"/>
  </mergeCells>
  <phoneticPr fontId="46" type="noConversion"/>
  <pageMargins left="0.51181102362204722" right="0.51181102362204722" top="1.3779527559055118" bottom="0.78740157480314965" header="0.31496062992125984" footer="0.31496062992125984"/>
  <pageSetup paperSize="9" orientation="portrait" verticalDpi="72" r:id="rId1"/>
  <headerFooter>
    <oddHeader>&amp;L            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view="pageLayout" zoomScale="80" zoomScalePageLayoutView="80" workbookViewId="0">
      <selection activeCell="A3" sqref="A3:E3"/>
    </sheetView>
  </sheetViews>
  <sheetFormatPr defaultRowHeight="15" customHeight="1" x14ac:dyDescent="0.25"/>
  <cols>
    <col min="1" max="1" width="54.5703125" customWidth="1"/>
    <col min="2" max="2" width="24" style="670" customWidth="1"/>
    <col min="3" max="3" width="15.85546875" customWidth="1"/>
    <col min="4" max="4" width="17.5703125" customWidth="1"/>
    <col min="5" max="5" width="16.28515625" customWidth="1"/>
  </cols>
  <sheetData>
    <row r="1" spans="1:5" ht="15" customHeight="1" x14ac:dyDescent="0.25">
      <c r="A1" s="1329"/>
      <c r="B1" s="1329"/>
      <c r="C1" s="1329"/>
      <c r="D1" s="1329"/>
      <c r="E1" s="1329"/>
    </row>
    <row r="2" spans="1:5" ht="15" customHeight="1" x14ac:dyDescent="0.25">
      <c r="A2" s="1326"/>
      <c r="B2" s="1326"/>
      <c r="C2" s="1326"/>
      <c r="D2" s="1326"/>
      <c r="E2" s="1326"/>
    </row>
    <row r="3" spans="1:5" ht="15" customHeight="1" x14ac:dyDescent="0.25">
      <c r="A3" s="1348" t="s">
        <v>2242</v>
      </c>
      <c r="B3" s="1348"/>
      <c r="C3" s="1348"/>
      <c r="D3" s="1348"/>
      <c r="E3" s="1348"/>
    </row>
    <row r="4" spans="1:5" ht="15" customHeight="1" x14ac:dyDescent="0.25">
      <c r="A4" s="1349" t="s">
        <v>742</v>
      </c>
      <c r="B4" s="1349"/>
      <c r="C4" s="1349"/>
      <c r="D4" s="1349"/>
      <c r="E4" s="1349"/>
    </row>
    <row r="5" spans="1:5" ht="15" customHeight="1" thickBot="1" x14ac:dyDescent="0.3">
      <c r="A5" s="38"/>
      <c r="B5" s="38"/>
    </row>
    <row r="6" spans="1:5" ht="27" customHeight="1" x14ac:dyDescent="0.25">
      <c r="A6" s="1350" t="s">
        <v>7509</v>
      </c>
      <c r="B6" s="1351"/>
      <c r="C6" s="1344" t="s">
        <v>6464</v>
      </c>
      <c r="D6" s="1344" t="s">
        <v>74</v>
      </c>
      <c r="E6" s="1346" t="s">
        <v>75</v>
      </c>
    </row>
    <row r="7" spans="1:5" ht="17.25" customHeight="1" x14ac:dyDescent="0.25">
      <c r="A7" s="1352"/>
      <c r="B7" s="1353"/>
      <c r="C7" s="1345"/>
      <c r="D7" s="1345"/>
      <c r="E7" s="1347"/>
    </row>
    <row r="8" spans="1:5" ht="28.35" customHeight="1" x14ac:dyDescent="0.25">
      <c r="A8" s="709" t="s">
        <v>251</v>
      </c>
      <c r="B8" s="710" t="s">
        <v>7510</v>
      </c>
      <c r="C8" s="711">
        <f>'CADASTRO BASE RECEITA '!E7</f>
        <v>287238.08</v>
      </c>
      <c r="D8" s="711">
        <f>(C8/8)*4</f>
        <v>143619.04</v>
      </c>
      <c r="E8" s="712">
        <f>C8+D8</f>
        <v>430857.12</v>
      </c>
    </row>
    <row r="9" spans="1:5" ht="28.35" customHeight="1" x14ac:dyDescent="0.25">
      <c r="A9" s="709" t="s">
        <v>7511</v>
      </c>
      <c r="B9" s="710" t="s">
        <v>7512</v>
      </c>
      <c r="C9" s="711">
        <v>0</v>
      </c>
      <c r="D9" s="711">
        <f>(C9/8)*4</f>
        <v>0</v>
      </c>
      <c r="E9" s="712">
        <f>C9+D9</f>
        <v>0</v>
      </c>
    </row>
    <row r="10" spans="1:5" ht="28.35" customHeight="1" x14ac:dyDescent="0.25">
      <c r="A10" s="709" t="s">
        <v>7513</v>
      </c>
      <c r="B10" s="710" t="s">
        <v>7514</v>
      </c>
      <c r="C10" s="711">
        <v>0</v>
      </c>
      <c r="D10" s="711">
        <f>(C10/8)*4</f>
        <v>0</v>
      </c>
      <c r="E10" s="712">
        <f>C10+D10</f>
        <v>0</v>
      </c>
    </row>
    <row r="11" spans="1:5" ht="28.35" customHeight="1" x14ac:dyDescent="0.25">
      <c r="A11" s="709" t="s">
        <v>7515</v>
      </c>
      <c r="B11" s="710" t="s">
        <v>7516</v>
      </c>
      <c r="C11" s="711">
        <f>'CADASTRO BASE RECEITA '!E35</f>
        <v>4389600.1399999997</v>
      </c>
      <c r="D11" s="711">
        <f>(C11/8)*4</f>
        <v>2194800.0699999998</v>
      </c>
      <c r="E11" s="712">
        <f>C11+D11</f>
        <v>6584400.209999999</v>
      </c>
    </row>
    <row r="12" spans="1:5" ht="28.35" customHeight="1" x14ac:dyDescent="0.25">
      <c r="A12" s="709" t="s">
        <v>7517</v>
      </c>
      <c r="B12" s="710" t="s">
        <v>7518</v>
      </c>
      <c r="C12" s="711">
        <v>0</v>
      </c>
      <c r="D12" s="711">
        <f>(C12/8)*4</f>
        <v>0</v>
      </c>
      <c r="E12" s="712">
        <f>C12+D12</f>
        <v>0</v>
      </c>
    </row>
    <row r="13" spans="1:5" ht="28.35" customHeight="1" x14ac:dyDescent="0.25">
      <c r="A13" s="709" t="s">
        <v>7519</v>
      </c>
      <c r="B13" s="710" t="s">
        <v>7520</v>
      </c>
      <c r="C13" s="711">
        <v>492.18</v>
      </c>
      <c r="D13" s="711">
        <f t="shared" ref="D13:D25" si="0">(C13/8)*4</f>
        <v>246.09</v>
      </c>
      <c r="E13" s="712">
        <f t="shared" ref="E13:E25" si="1">C13+D13</f>
        <v>738.27</v>
      </c>
    </row>
    <row r="14" spans="1:5" ht="39.75" customHeight="1" x14ac:dyDescent="0.25">
      <c r="A14" s="709" t="s">
        <v>7521</v>
      </c>
      <c r="B14" s="710" t="s">
        <v>7522</v>
      </c>
      <c r="C14" s="711">
        <v>0</v>
      </c>
      <c r="D14" s="711">
        <f t="shared" si="0"/>
        <v>0</v>
      </c>
      <c r="E14" s="712">
        <f t="shared" si="1"/>
        <v>0</v>
      </c>
    </row>
    <row r="15" spans="1:5" ht="28.35" customHeight="1" x14ac:dyDescent="0.25">
      <c r="A15" s="709" t="s">
        <v>7523</v>
      </c>
      <c r="B15" s="710" t="s">
        <v>7524</v>
      </c>
      <c r="C15" s="711">
        <v>15960.55</v>
      </c>
      <c r="D15" s="711">
        <f t="shared" si="0"/>
        <v>7980.2749999999996</v>
      </c>
      <c r="E15" s="712">
        <f t="shared" si="1"/>
        <v>23940.824999999997</v>
      </c>
    </row>
    <row r="16" spans="1:5" ht="28.35" customHeight="1" x14ac:dyDescent="0.25">
      <c r="A16" s="709" t="s">
        <v>7525</v>
      </c>
      <c r="B16" s="710" t="s">
        <v>7526</v>
      </c>
      <c r="C16" s="711">
        <v>2076840.67</v>
      </c>
      <c r="D16" s="711">
        <f t="shared" si="0"/>
        <v>1038420.335</v>
      </c>
      <c r="E16" s="712">
        <f t="shared" si="1"/>
        <v>3115261.0049999999</v>
      </c>
    </row>
    <row r="17" spans="1:5" ht="28.35" customHeight="1" x14ac:dyDescent="0.25">
      <c r="A17" s="709" t="s">
        <v>7527</v>
      </c>
      <c r="B17" s="710" t="s">
        <v>7528</v>
      </c>
      <c r="C17" s="711">
        <v>100374.22</v>
      </c>
      <c r="D17" s="711">
        <f t="shared" si="0"/>
        <v>50187.11</v>
      </c>
      <c r="E17" s="712">
        <f t="shared" si="1"/>
        <v>150561.33000000002</v>
      </c>
    </row>
    <row r="18" spans="1:5" ht="28.35" customHeight="1" x14ac:dyDescent="0.25">
      <c r="A18" s="709" t="s">
        <v>7529</v>
      </c>
      <c r="B18" s="710" t="s">
        <v>7530</v>
      </c>
      <c r="C18" s="711">
        <v>42532.32</v>
      </c>
      <c r="D18" s="711">
        <f t="shared" si="0"/>
        <v>21266.16</v>
      </c>
      <c r="E18" s="712">
        <f t="shared" si="1"/>
        <v>63798.479999999996</v>
      </c>
    </row>
    <row r="19" spans="1:5" ht="28.35" customHeight="1" x14ac:dyDescent="0.25">
      <c r="A19" s="709" t="s">
        <v>7531</v>
      </c>
      <c r="B19" s="710" t="s">
        <v>7532</v>
      </c>
      <c r="C19" s="711">
        <v>1299.8599999999999</v>
      </c>
      <c r="D19" s="711">
        <f t="shared" si="0"/>
        <v>649.92999999999995</v>
      </c>
      <c r="E19" s="712">
        <f t="shared" si="1"/>
        <v>1949.79</v>
      </c>
    </row>
    <row r="20" spans="1:5" ht="28.35" customHeight="1" x14ac:dyDescent="0.25">
      <c r="A20" s="709" t="s">
        <v>7548</v>
      </c>
      <c r="B20" s="710" t="s">
        <v>7533</v>
      </c>
      <c r="C20" s="711">
        <v>0</v>
      </c>
      <c r="D20" s="711">
        <f t="shared" si="0"/>
        <v>0</v>
      </c>
      <c r="E20" s="712">
        <f t="shared" si="1"/>
        <v>0</v>
      </c>
    </row>
    <row r="21" spans="1:5" ht="28.35" customHeight="1" x14ac:dyDescent="0.25">
      <c r="A21" s="709" t="s">
        <v>7534</v>
      </c>
      <c r="B21" s="710" t="s">
        <v>7535</v>
      </c>
      <c r="C21" s="711">
        <v>1869.86</v>
      </c>
      <c r="D21" s="711">
        <f t="shared" si="0"/>
        <v>934.93</v>
      </c>
      <c r="E21" s="712">
        <f t="shared" si="1"/>
        <v>2804.79</v>
      </c>
    </row>
    <row r="22" spans="1:5" ht="28.35" customHeight="1" x14ac:dyDescent="0.25">
      <c r="A22" s="709" t="s">
        <v>7536</v>
      </c>
      <c r="B22" s="710" t="s">
        <v>7537</v>
      </c>
      <c r="C22" s="711">
        <v>0</v>
      </c>
      <c r="D22" s="711">
        <f t="shared" si="0"/>
        <v>0</v>
      </c>
      <c r="E22" s="712">
        <f t="shared" si="1"/>
        <v>0</v>
      </c>
    </row>
    <row r="23" spans="1:5" ht="28.35" customHeight="1" x14ac:dyDescent="0.25">
      <c r="A23" s="709" t="s">
        <v>7538</v>
      </c>
      <c r="B23" s="710" t="s">
        <v>7539</v>
      </c>
      <c r="C23" s="711">
        <v>1140.53</v>
      </c>
      <c r="D23" s="711">
        <f t="shared" si="0"/>
        <v>570.26499999999999</v>
      </c>
      <c r="E23" s="712">
        <f t="shared" si="1"/>
        <v>1710.7950000000001</v>
      </c>
    </row>
    <row r="24" spans="1:5" ht="28.35" customHeight="1" x14ac:dyDescent="0.25">
      <c r="A24" s="709" t="s">
        <v>7540</v>
      </c>
      <c r="B24" s="710" t="s">
        <v>7541</v>
      </c>
      <c r="C24" s="711">
        <v>0</v>
      </c>
      <c r="D24" s="711">
        <f t="shared" si="0"/>
        <v>0</v>
      </c>
      <c r="E24" s="712">
        <f t="shared" si="1"/>
        <v>0</v>
      </c>
    </row>
    <row r="25" spans="1:5" ht="28.35" customHeight="1" x14ac:dyDescent="0.25">
      <c r="A25" s="709" t="s">
        <v>7542</v>
      </c>
      <c r="B25" s="710" t="s">
        <v>7543</v>
      </c>
      <c r="C25" s="711">
        <v>11126.7</v>
      </c>
      <c r="D25" s="711">
        <f t="shared" si="0"/>
        <v>5563.35</v>
      </c>
      <c r="E25" s="712">
        <f t="shared" si="1"/>
        <v>16690.050000000003</v>
      </c>
    </row>
    <row r="26" spans="1:5" s="670" customFormat="1" ht="28.35" customHeight="1" x14ac:dyDescent="0.25">
      <c r="A26" s="709" t="s">
        <v>7544</v>
      </c>
      <c r="B26" s="710" t="s">
        <v>7545</v>
      </c>
      <c r="C26" s="711">
        <v>0</v>
      </c>
      <c r="D26" s="711">
        <f>(C26/8)*4</f>
        <v>0</v>
      </c>
      <c r="E26" s="712">
        <f>C26+D26</f>
        <v>0</v>
      </c>
    </row>
    <row r="27" spans="1:5" s="670" customFormat="1" ht="28.35" customHeight="1" x14ac:dyDescent="0.25">
      <c r="A27" s="709" t="s">
        <v>7546</v>
      </c>
      <c r="B27" s="710" t="s">
        <v>7549</v>
      </c>
      <c r="C27" s="711">
        <v>1961.88</v>
      </c>
      <c r="D27" s="711">
        <f>(C27/8)*4</f>
        <v>980.94</v>
      </c>
      <c r="E27" s="712">
        <f>C27+D27</f>
        <v>2942.82</v>
      </c>
    </row>
    <row r="28" spans="1:5" s="670" customFormat="1" ht="28.35" customHeight="1" thickBot="1" x14ac:dyDescent="0.3">
      <c r="A28" s="1359" t="s">
        <v>7547</v>
      </c>
      <c r="B28" s="1360"/>
      <c r="C28" s="713">
        <f>SUM(C8:C11)-C12+SUM(C13:C26)-C27</f>
        <v>6926513.2299999995</v>
      </c>
      <c r="D28" s="713">
        <f>SUM(D8:D11)-D12+SUM(D13:D26)-D27</f>
        <v>3463256.6149999998</v>
      </c>
      <c r="E28" s="714">
        <f>SUM(E8:E11)-E12+SUM(E13:E26)-E27</f>
        <v>10389769.844999999</v>
      </c>
    </row>
    <row r="29" spans="1:5" s="670" customFormat="1" ht="15" customHeight="1" x14ac:dyDescent="0.25">
      <c r="A29" s="707"/>
      <c r="B29" s="707"/>
      <c r="C29" s="708"/>
      <c r="D29" s="708"/>
      <c r="E29" s="708"/>
    </row>
    <row r="31" spans="1:5" ht="15" customHeight="1" x14ac:dyDescent="0.25">
      <c r="A31" s="1348" t="s">
        <v>76</v>
      </c>
      <c r="B31" s="1348"/>
      <c r="C31" s="1348"/>
      <c r="D31" s="1348"/>
      <c r="E31" s="1348"/>
    </row>
    <row r="32" spans="1:5" ht="15" customHeight="1" thickBot="1" x14ac:dyDescent="0.3">
      <c r="A32" s="669"/>
      <c r="B32" s="669"/>
      <c r="C32" s="670"/>
    </row>
    <row r="33" spans="1:6" ht="15" customHeight="1" x14ac:dyDescent="0.25">
      <c r="A33" s="1361" t="s">
        <v>77</v>
      </c>
      <c r="B33" s="1362"/>
      <c r="C33" s="1362"/>
      <c r="D33" s="1362"/>
      <c r="E33" s="715">
        <f>E28</f>
        <v>10389769.844999999</v>
      </c>
    </row>
    <row r="34" spans="1:6" ht="15" customHeight="1" x14ac:dyDescent="0.25">
      <c r="A34" s="1363" t="s">
        <v>78</v>
      </c>
      <c r="B34" s="1364"/>
      <c r="C34" s="1364"/>
      <c r="D34" s="1364"/>
      <c r="E34" s="716">
        <f>Parâmetros!D116</f>
        <v>5264</v>
      </c>
    </row>
    <row r="35" spans="1:6" ht="15" customHeight="1" x14ac:dyDescent="0.25">
      <c r="A35" s="1363" t="s">
        <v>97</v>
      </c>
      <c r="B35" s="1364"/>
      <c r="C35" s="1364"/>
      <c r="D35" s="1364"/>
      <c r="E35" s="717">
        <v>7.0000000000000007E-2</v>
      </c>
    </row>
    <row r="36" spans="1:6" ht="15" customHeight="1" x14ac:dyDescent="0.25">
      <c r="A36" s="1354" t="s">
        <v>2244</v>
      </c>
      <c r="B36" s="1355"/>
      <c r="C36" s="1355"/>
      <c r="D36" s="1355"/>
      <c r="E36" s="718">
        <f>E33*E35</f>
        <v>727283.88914999994</v>
      </c>
    </row>
    <row r="37" spans="1:6" ht="15" customHeight="1" thickBot="1" x14ac:dyDescent="0.3">
      <c r="A37" s="1356" t="s">
        <v>2243</v>
      </c>
      <c r="B37" s="1357"/>
      <c r="C37" s="1357"/>
      <c r="D37" s="1357"/>
      <c r="E37" s="719">
        <f>E36*70%</f>
        <v>509098.72240499995</v>
      </c>
    </row>
    <row r="39" spans="1:6" ht="35.25" customHeight="1" x14ac:dyDescent="0.25">
      <c r="A39" s="1358" t="s">
        <v>7550</v>
      </c>
      <c r="B39" s="1358"/>
      <c r="C39" s="1358"/>
      <c r="D39" s="1358"/>
      <c r="E39" s="1358"/>
      <c r="F39" s="1117"/>
    </row>
  </sheetData>
  <mergeCells count="16">
    <mergeCell ref="A36:D36"/>
    <mergeCell ref="A37:D37"/>
    <mergeCell ref="A39:E39"/>
    <mergeCell ref="A31:E31"/>
    <mergeCell ref="A28:B28"/>
    <mergeCell ref="A33:D33"/>
    <mergeCell ref="A34:D34"/>
    <mergeCell ref="A35:D35"/>
    <mergeCell ref="A1:E1"/>
    <mergeCell ref="A2:E2"/>
    <mergeCell ref="C6:C7"/>
    <mergeCell ref="D6:D7"/>
    <mergeCell ref="E6:E7"/>
    <mergeCell ref="A3:E3"/>
    <mergeCell ref="A4:E4"/>
    <mergeCell ref="A6:B7"/>
  </mergeCells>
  <phoneticPr fontId="46" type="noConversion"/>
  <pageMargins left="0.11811023622047245" right="0.11811023622047245" top="1.1811023622047245" bottom="0.59055118110236227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4"/>
  <sheetViews>
    <sheetView topLeftCell="A112" workbookViewId="0">
      <selection activeCell="A128" sqref="A128"/>
    </sheetView>
  </sheetViews>
  <sheetFormatPr defaultRowHeight="20.100000000000001" customHeight="1" x14ac:dyDescent="0.2"/>
  <cols>
    <col min="1" max="1" width="89.42578125" style="681" customWidth="1"/>
    <col min="2" max="2" width="9.140625" style="605"/>
    <col min="3" max="3" width="8" style="606" customWidth="1"/>
    <col min="4" max="4" width="19.28515625" style="607" customWidth="1"/>
    <col min="5" max="5" width="30.85546875" style="606" customWidth="1"/>
    <col min="6" max="6" width="9.140625" style="606"/>
    <col min="7" max="7" width="9.140625" style="606" customWidth="1"/>
    <col min="8" max="16384" width="9.140625" style="606"/>
  </cols>
  <sheetData>
    <row r="1" spans="1:12" ht="20.100000000000001" customHeight="1" x14ac:dyDescent="0.2">
      <c r="A1" s="672" t="s">
        <v>746</v>
      </c>
      <c r="L1" s="673"/>
    </row>
    <row r="2" spans="1:12" s="605" customFormat="1" ht="20.100000000000001" customHeight="1" x14ac:dyDescent="0.2">
      <c r="A2" s="620" t="str">
        <f>CONCATENATE(B2,": ",C2)</f>
        <v>Orgão: Descrição da Orgão</v>
      </c>
      <c r="B2" s="608" t="s">
        <v>6222</v>
      </c>
      <c r="C2" s="1366" t="s">
        <v>6223</v>
      </c>
      <c r="D2" s="1366"/>
      <c r="E2" s="674"/>
      <c r="F2" s="674"/>
      <c r="G2" s="634"/>
    </row>
    <row r="3" spans="1:12" s="605" customFormat="1" ht="20.100000000000001" customHeight="1" x14ac:dyDescent="0.2">
      <c r="A3" s="620" t="str">
        <f>CONCATENATE(B3,": ",C3)</f>
        <v>Unidade: Descrição da Unidade</v>
      </c>
      <c r="B3" s="608" t="s">
        <v>6224</v>
      </c>
      <c r="C3" s="1366" t="s">
        <v>6221</v>
      </c>
      <c r="D3" s="1366"/>
      <c r="E3" s="674"/>
      <c r="F3" s="674"/>
      <c r="G3" s="634"/>
    </row>
    <row r="4" spans="1:12" s="605" customFormat="1" ht="20.100000000000001" customHeight="1" x14ac:dyDescent="0.2">
      <c r="A4" s="620" t="str">
        <f>CONCATENATE(B4," - ",C4)</f>
        <v>01 - CÂMARA MUNICIPAL DE VEREADORES</v>
      </c>
      <c r="B4" s="609" t="s">
        <v>6225</v>
      </c>
      <c r="C4" s="610" t="s">
        <v>1987</v>
      </c>
      <c r="D4" s="610"/>
      <c r="E4" s="610"/>
      <c r="F4" s="610"/>
      <c r="G4" s="610"/>
    </row>
    <row r="5" spans="1:12" ht="20.100000000000001" customHeight="1" x14ac:dyDescent="0.2">
      <c r="A5" s="675" t="str">
        <f>CONCATENATE(B5," - ",C5)</f>
        <v>01 - Câmara Municipal de Vereadores</v>
      </c>
      <c r="B5" s="611" t="s">
        <v>6225</v>
      </c>
      <c r="C5" s="612" t="s">
        <v>6885</v>
      </c>
      <c r="D5" s="612"/>
      <c r="E5" s="612"/>
      <c r="F5" s="612"/>
      <c r="G5" s="612"/>
    </row>
    <row r="6" spans="1:12" ht="20.100000000000001" customHeight="1" x14ac:dyDescent="0.2">
      <c r="A6" s="676"/>
      <c r="B6" s="613"/>
      <c r="C6" s="614"/>
      <c r="D6" s="614"/>
      <c r="E6" s="614"/>
      <c r="F6" s="614"/>
      <c r="G6" s="614"/>
    </row>
    <row r="7" spans="1:12" s="605" customFormat="1" ht="20.100000000000001" customHeight="1" x14ac:dyDescent="0.2">
      <c r="A7" s="620" t="str">
        <f t="shared" ref="A7:A19" si="0">CONCATENATE(B7," - ",C7)</f>
        <v>02 - PREFEITURA MUNICIPAL DE CHUVISCA</v>
      </c>
      <c r="B7" s="608" t="s">
        <v>6226</v>
      </c>
      <c r="C7" s="610" t="s">
        <v>6230</v>
      </c>
      <c r="D7" s="610"/>
      <c r="E7" s="677"/>
      <c r="F7" s="610"/>
      <c r="G7" s="610"/>
    </row>
    <row r="8" spans="1:12" ht="20.100000000000001" customHeight="1" x14ac:dyDescent="0.2">
      <c r="A8" s="675" t="str">
        <f t="shared" si="0"/>
        <v>01 - Gabinete do Prefeito</v>
      </c>
      <c r="B8" s="611" t="s">
        <v>6225</v>
      </c>
      <c r="C8" s="612" t="s">
        <v>6886</v>
      </c>
      <c r="D8" s="612"/>
      <c r="E8" s="678"/>
      <c r="F8" s="612"/>
      <c r="G8" s="612"/>
    </row>
    <row r="9" spans="1:12" ht="20.100000000000001" customHeight="1" x14ac:dyDescent="0.2">
      <c r="A9" s="675" t="str">
        <f t="shared" si="0"/>
        <v>02 - Secretaria Municipal de Administração</v>
      </c>
      <c r="B9" s="613" t="s">
        <v>6226</v>
      </c>
      <c r="C9" s="614" t="s">
        <v>6860</v>
      </c>
      <c r="D9" s="614"/>
      <c r="E9" s="678"/>
      <c r="F9" s="614"/>
      <c r="G9" s="614"/>
    </row>
    <row r="10" spans="1:12" ht="20.100000000000001" customHeight="1" x14ac:dyDescent="0.2">
      <c r="A10" s="675" t="str">
        <f t="shared" si="0"/>
        <v>03 - Secretaria  Municipal da Fazenda</v>
      </c>
      <c r="B10" s="613" t="s">
        <v>6227</v>
      </c>
      <c r="C10" s="614" t="s">
        <v>6861</v>
      </c>
      <c r="D10" s="614"/>
      <c r="E10" s="678"/>
      <c r="F10" s="614"/>
      <c r="G10" s="614"/>
    </row>
    <row r="11" spans="1:12" ht="20.100000000000001" customHeight="1" x14ac:dyDescent="0.2">
      <c r="A11" s="675" t="str">
        <f t="shared" si="0"/>
        <v>04 - Secretaria  Municipal de Obras, Viação e Serviços Urbanos</v>
      </c>
      <c r="B11" s="613" t="s">
        <v>6228</v>
      </c>
      <c r="C11" s="614" t="s">
        <v>6862</v>
      </c>
      <c r="D11" s="614"/>
      <c r="E11" s="678"/>
      <c r="F11" s="614"/>
      <c r="G11" s="614"/>
    </row>
    <row r="12" spans="1:12" ht="20.100000000000001" customHeight="1" x14ac:dyDescent="0.2">
      <c r="A12" s="675" t="str">
        <f t="shared" si="0"/>
        <v>05 - Secretaria Municipal de Agricultura e Meio ambiente</v>
      </c>
      <c r="B12" s="613" t="s">
        <v>434</v>
      </c>
      <c r="C12" s="614" t="s">
        <v>6863</v>
      </c>
      <c r="D12" s="614"/>
      <c r="E12" s="678"/>
      <c r="F12" s="614"/>
      <c r="G12" s="614"/>
    </row>
    <row r="13" spans="1:12" ht="20.100000000000001" customHeight="1" x14ac:dyDescent="0.2">
      <c r="A13" s="675" t="str">
        <f t="shared" si="0"/>
        <v>06 - Fundo Municipal da Agricultura</v>
      </c>
      <c r="B13" s="613" t="s">
        <v>436</v>
      </c>
      <c r="C13" s="614" t="s">
        <v>6864</v>
      </c>
      <c r="D13" s="614"/>
      <c r="E13" s="678"/>
      <c r="F13" s="614"/>
      <c r="G13" s="614"/>
    </row>
    <row r="14" spans="1:12" ht="20.100000000000001" customHeight="1" x14ac:dyDescent="0.2">
      <c r="A14" s="675" t="str">
        <f t="shared" si="0"/>
        <v>07 - Fundo Municipal do meio ambiente</v>
      </c>
      <c r="B14" s="613" t="s">
        <v>435</v>
      </c>
      <c r="C14" s="614" t="s">
        <v>6865</v>
      </c>
      <c r="D14" s="614"/>
      <c r="E14" s="678"/>
      <c r="F14" s="614"/>
      <c r="G14" s="614"/>
    </row>
    <row r="15" spans="1:12" ht="20.100000000000001" customHeight="1" x14ac:dyDescent="0.2">
      <c r="A15" s="675" t="str">
        <f t="shared" si="0"/>
        <v>08 - Fundo de Habitação e de Interesse Social</v>
      </c>
      <c r="B15" s="613" t="s">
        <v>138</v>
      </c>
      <c r="C15" s="614" t="s">
        <v>6866</v>
      </c>
      <c r="D15" s="614"/>
      <c r="E15" s="678"/>
      <c r="F15" s="614"/>
      <c r="G15" s="614"/>
    </row>
    <row r="16" spans="1:12" ht="20.100000000000001" customHeight="1" x14ac:dyDescent="0.2">
      <c r="A16" s="675" t="str">
        <f t="shared" si="0"/>
        <v>09 - Conselhos Municipais</v>
      </c>
      <c r="B16" s="613" t="s">
        <v>140</v>
      </c>
      <c r="C16" s="614" t="s">
        <v>6867</v>
      </c>
      <c r="D16" s="614"/>
      <c r="E16" s="678"/>
      <c r="F16" s="614"/>
      <c r="G16" s="614"/>
    </row>
    <row r="17" spans="1:7" ht="20.100000000000001" customHeight="1" x14ac:dyDescent="0.2">
      <c r="A17" s="675" t="str">
        <f t="shared" si="0"/>
        <v>10 - Encargos Especiais</v>
      </c>
      <c r="B17" s="613" t="s">
        <v>6229</v>
      </c>
      <c r="C17" s="614" t="s">
        <v>639</v>
      </c>
      <c r="D17" s="614"/>
      <c r="E17" s="678"/>
      <c r="F17" s="614"/>
      <c r="G17" s="614"/>
    </row>
    <row r="18" spans="1:7" ht="20.100000000000001" customHeight="1" x14ac:dyDescent="0.2">
      <c r="A18" s="675" t="str">
        <f t="shared" si="0"/>
        <v>11 - RESERVA DE CONTINGÊNCIA</v>
      </c>
      <c r="B18" s="613" t="s">
        <v>6970</v>
      </c>
      <c r="C18" s="614" t="s">
        <v>6971</v>
      </c>
      <c r="D18" s="614"/>
      <c r="E18" s="678"/>
      <c r="F18" s="614"/>
      <c r="G18" s="614"/>
    </row>
    <row r="19" spans="1:7" ht="20.100000000000001" customHeight="1" x14ac:dyDescent="0.2">
      <c r="A19" s="675" t="str">
        <f t="shared" si="0"/>
        <v>12 - GESTÃO E COORDENAÇÃO DE CONVENIOS UNIAO E ESTADO</v>
      </c>
      <c r="B19" s="613" t="s">
        <v>7026</v>
      </c>
      <c r="C19" s="614" t="s">
        <v>7898</v>
      </c>
      <c r="D19" s="614"/>
      <c r="E19" s="678"/>
      <c r="F19" s="614"/>
      <c r="G19" s="614"/>
    </row>
    <row r="20" spans="1:7" ht="20.100000000000001" customHeight="1" x14ac:dyDescent="0.2">
      <c r="A20" s="675"/>
      <c r="B20" s="613"/>
      <c r="C20" s="614"/>
      <c r="D20" s="614"/>
      <c r="E20" s="678"/>
      <c r="F20" s="614"/>
      <c r="G20" s="614"/>
    </row>
    <row r="21" spans="1:7" ht="20.100000000000001" customHeight="1" x14ac:dyDescent="0.2">
      <c r="A21" s="675"/>
      <c r="B21" s="613"/>
      <c r="C21" s="614"/>
      <c r="D21" s="614"/>
      <c r="E21" s="678"/>
      <c r="F21" s="614"/>
      <c r="G21" s="614"/>
    </row>
    <row r="22" spans="1:7" ht="20.100000000000001" customHeight="1" x14ac:dyDescent="0.2">
      <c r="A22" s="620" t="str">
        <f t="shared" ref="A22:A31" si="1">CONCATENATE(B22," - ",C22)</f>
        <v>03 - SECRETARIA MUNICIPAL DE EDUCAÇÃO, CULTURA E DESPORTO</v>
      </c>
      <c r="B22" s="608" t="s">
        <v>6227</v>
      </c>
      <c r="C22" s="610" t="s">
        <v>1</v>
      </c>
      <c r="D22" s="614"/>
      <c r="E22" s="679"/>
      <c r="F22" s="614"/>
      <c r="G22" s="614"/>
    </row>
    <row r="23" spans="1:7" ht="20.100000000000001" customHeight="1" x14ac:dyDescent="0.2">
      <c r="A23" s="675" t="str">
        <f t="shared" si="1"/>
        <v xml:space="preserve">01 - Gestão, Coordenação e Planejamento, Manutenção e Desenvolvimento do Ensino </v>
      </c>
      <c r="B23" s="611" t="s">
        <v>6225</v>
      </c>
      <c r="C23" s="612" t="s">
        <v>6868</v>
      </c>
      <c r="D23" s="614"/>
      <c r="E23" s="680"/>
      <c r="F23" s="614"/>
      <c r="G23" s="614"/>
    </row>
    <row r="24" spans="1:7" ht="20.100000000000001" customHeight="1" x14ac:dyDescent="0.2">
      <c r="A24" s="675" t="str">
        <f t="shared" si="1"/>
        <v>02 - Desenvolvimento do Ensino - FUNDEB</v>
      </c>
      <c r="B24" s="613" t="s">
        <v>6226</v>
      </c>
      <c r="C24" s="614" t="s">
        <v>6869</v>
      </c>
      <c r="D24" s="614"/>
      <c r="E24" s="680"/>
      <c r="F24" s="614"/>
      <c r="G24" s="614"/>
    </row>
    <row r="25" spans="1:7" ht="20.100000000000001" customHeight="1" x14ac:dyDescent="0.2">
      <c r="A25" s="675" t="str">
        <f t="shared" si="1"/>
        <v>03 - Desenvolvimento do Ensino - Programas Estaduais</v>
      </c>
      <c r="B25" s="613" t="s">
        <v>6227</v>
      </c>
      <c r="C25" s="614" t="s">
        <v>6870</v>
      </c>
      <c r="D25" s="614"/>
      <c r="E25" s="680"/>
      <c r="F25" s="614"/>
      <c r="G25" s="614"/>
    </row>
    <row r="26" spans="1:7" ht="20.100000000000001" customHeight="1" x14ac:dyDescent="0.2">
      <c r="A26" s="675" t="str">
        <f t="shared" si="1"/>
        <v>04 - Desenvolvimento do Ensino - Programas Federais</v>
      </c>
      <c r="B26" s="613" t="s">
        <v>6228</v>
      </c>
      <c r="C26" s="614" t="s">
        <v>6871</v>
      </c>
      <c r="D26" s="614"/>
      <c r="E26" s="680"/>
      <c r="F26" s="614"/>
      <c r="G26" s="614"/>
    </row>
    <row r="27" spans="1:7" ht="20.100000000000001" customHeight="1" x14ac:dyDescent="0.2">
      <c r="A27" s="675" t="str">
        <f t="shared" si="1"/>
        <v>05 - Desenvolvimento do Ensino – Recursos Livres</v>
      </c>
      <c r="B27" s="613" t="s">
        <v>434</v>
      </c>
      <c r="C27" s="614" t="s">
        <v>6872</v>
      </c>
      <c r="D27" s="614"/>
      <c r="E27" s="680"/>
      <c r="F27" s="614"/>
      <c r="G27" s="614"/>
    </row>
    <row r="28" spans="1:7" ht="20.100000000000001" customHeight="1" x14ac:dyDescent="0.2">
      <c r="A28" s="675" t="str">
        <f t="shared" si="1"/>
        <v>06 - Departamento e Alimentação e Nutrição Escolar</v>
      </c>
      <c r="B28" s="613" t="s">
        <v>436</v>
      </c>
      <c r="C28" s="614" t="s">
        <v>6873</v>
      </c>
      <c r="D28" s="614"/>
      <c r="E28" s="680"/>
      <c r="F28" s="614"/>
      <c r="G28" s="614"/>
    </row>
    <row r="29" spans="1:7" ht="20.100000000000001" customHeight="1" x14ac:dyDescent="0.2">
      <c r="A29" s="675" t="str">
        <f t="shared" si="1"/>
        <v>07 - Departamento de Cultura</v>
      </c>
      <c r="B29" s="613" t="s">
        <v>435</v>
      </c>
      <c r="C29" s="614" t="s">
        <v>6874</v>
      </c>
      <c r="D29" s="614"/>
      <c r="E29" s="678"/>
      <c r="F29" s="614"/>
      <c r="G29" s="614"/>
    </row>
    <row r="30" spans="1:7" ht="20.100000000000001" customHeight="1" x14ac:dyDescent="0.2">
      <c r="A30" s="675" t="str">
        <f t="shared" si="1"/>
        <v>08 - Departamento de Desporto</v>
      </c>
      <c r="B30" s="613" t="s">
        <v>138</v>
      </c>
      <c r="C30" s="614" t="s">
        <v>6875</v>
      </c>
      <c r="D30" s="614"/>
      <c r="E30" s="678"/>
      <c r="F30" s="614"/>
      <c r="G30" s="614"/>
    </row>
    <row r="31" spans="1:7" ht="20.100000000000001" customHeight="1" x14ac:dyDescent="0.2">
      <c r="A31" s="675" t="str">
        <f t="shared" si="1"/>
        <v>09 -  Departamento de Turismo</v>
      </c>
      <c r="B31" s="613" t="s">
        <v>140</v>
      </c>
      <c r="C31" s="614" t="s">
        <v>6876</v>
      </c>
      <c r="D31" s="614"/>
      <c r="E31" s="678"/>
      <c r="F31" s="614"/>
      <c r="G31" s="614"/>
    </row>
    <row r="32" spans="1:7" ht="20.100000000000001" customHeight="1" x14ac:dyDescent="0.2">
      <c r="A32" s="675"/>
      <c r="B32" s="613"/>
      <c r="C32" s="614"/>
      <c r="D32" s="614"/>
      <c r="E32" s="678"/>
      <c r="F32" s="614"/>
      <c r="G32" s="614"/>
    </row>
    <row r="33" spans="1:10" ht="20.100000000000001" customHeight="1" x14ac:dyDescent="0.2">
      <c r="A33" s="620" t="str">
        <f t="shared" ref="A33:A38" si="2">CONCATENATE(B33," - ",C33)</f>
        <v>04 - SECRETARIA MUNICIPAL DE SAÚDE</v>
      </c>
      <c r="B33" s="608" t="s">
        <v>6228</v>
      </c>
      <c r="C33" s="610" t="s">
        <v>919</v>
      </c>
      <c r="D33" s="614"/>
      <c r="E33" s="679"/>
      <c r="F33" s="614"/>
      <c r="G33" s="614"/>
    </row>
    <row r="34" spans="1:10" ht="20.100000000000001" customHeight="1" x14ac:dyDescent="0.2">
      <c r="A34" s="675" t="str">
        <f t="shared" si="2"/>
        <v>01 - Gestão, Coordenação e Planejamento Administrativo</v>
      </c>
      <c r="B34" s="611" t="s">
        <v>6225</v>
      </c>
      <c r="C34" s="612" t="s">
        <v>6877</v>
      </c>
      <c r="D34" s="614"/>
      <c r="E34" s="680"/>
      <c r="F34" s="614"/>
      <c r="G34" s="614"/>
    </row>
    <row r="35" spans="1:10" ht="20.100000000000001" customHeight="1" x14ac:dyDescent="0.2">
      <c r="A35" s="675" t="str">
        <f t="shared" si="2"/>
        <v>02 - Fundo Municipal de Saúde – Programas Municipais</v>
      </c>
      <c r="B35" s="613" t="s">
        <v>6226</v>
      </c>
      <c r="C35" s="614" t="s">
        <v>6878</v>
      </c>
      <c r="D35" s="614"/>
      <c r="E35" s="680"/>
      <c r="F35" s="614"/>
      <c r="G35" s="614"/>
    </row>
    <row r="36" spans="1:10" ht="20.100000000000001" customHeight="1" x14ac:dyDescent="0.2">
      <c r="A36" s="675" t="str">
        <f t="shared" si="2"/>
        <v>03 - Fundo Municipal de Saúde – Programas Estaduais</v>
      </c>
      <c r="B36" s="613" t="s">
        <v>6227</v>
      </c>
      <c r="C36" s="614" t="s">
        <v>6879</v>
      </c>
      <c r="D36" s="614"/>
      <c r="E36" s="680"/>
      <c r="F36" s="614"/>
      <c r="G36" s="614"/>
    </row>
    <row r="37" spans="1:10" ht="20.100000000000001" customHeight="1" x14ac:dyDescent="0.2">
      <c r="A37" s="675" t="str">
        <f t="shared" si="2"/>
        <v>04 -  Fundo Municipal de Saúde – Programas Federais</v>
      </c>
      <c r="B37" s="613" t="s">
        <v>6228</v>
      </c>
      <c r="C37" s="614" t="s">
        <v>6880</v>
      </c>
      <c r="D37" s="614"/>
      <c r="E37" s="680"/>
      <c r="F37" s="614"/>
      <c r="G37" s="614"/>
    </row>
    <row r="38" spans="1:10" ht="20.100000000000001" customHeight="1" x14ac:dyDescent="0.2">
      <c r="A38" s="675" t="str">
        <f t="shared" si="2"/>
        <v>05 - Gestão, Coordenação e Planej. do Conselho Mun. de Saúde</v>
      </c>
      <c r="B38" s="613" t="s">
        <v>434</v>
      </c>
      <c r="C38" s="614" t="s">
        <v>9150</v>
      </c>
      <c r="D38" s="614"/>
      <c r="E38" s="680"/>
      <c r="F38" s="614"/>
      <c r="G38" s="614"/>
    </row>
    <row r="39" spans="1:10" ht="20.100000000000001" customHeight="1" x14ac:dyDescent="0.2">
      <c r="A39" s="676"/>
      <c r="B39" s="613"/>
      <c r="C39" s="614"/>
      <c r="D39" s="614"/>
      <c r="E39" s="678"/>
      <c r="F39" s="614"/>
      <c r="G39" s="614"/>
    </row>
    <row r="40" spans="1:10" ht="20.100000000000001" customHeight="1" x14ac:dyDescent="0.2">
      <c r="A40" s="620" t="str">
        <f t="shared" ref="A40:A46" si="3">CONCATENATE(B40," - ",C40)</f>
        <v>05 - SECRETARIA MUNICIPAL DE ASSISTÊNCIA SOCIAL</v>
      </c>
      <c r="B40" s="608" t="s">
        <v>434</v>
      </c>
      <c r="C40" s="610" t="s">
        <v>920</v>
      </c>
      <c r="D40" s="614"/>
      <c r="E40" s="678"/>
      <c r="F40" s="614"/>
      <c r="G40" s="614"/>
    </row>
    <row r="41" spans="1:10" ht="20.100000000000001" customHeight="1" x14ac:dyDescent="0.2">
      <c r="A41" s="675" t="str">
        <f t="shared" si="3"/>
        <v>01 - Gestão, Coordenação e Planejamento Administrativo</v>
      </c>
      <c r="B41" s="611" t="s">
        <v>6225</v>
      </c>
      <c r="C41" s="612" t="s">
        <v>6877</v>
      </c>
      <c r="D41" s="614"/>
      <c r="E41" s="679"/>
      <c r="F41" s="614"/>
      <c r="G41" s="614"/>
    </row>
    <row r="42" spans="1:10" ht="20.100000000000001" customHeight="1" x14ac:dyDescent="0.2">
      <c r="A42" s="676" t="str">
        <f t="shared" si="3"/>
        <v>02 - Fundo Municipal Assistência Social – Programas Municipais</v>
      </c>
      <c r="B42" s="613" t="s">
        <v>6226</v>
      </c>
      <c r="C42" s="614" t="s">
        <v>6881</v>
      </c>
      <c r="D42" s="614"/>
      <c r="E42" s="680"/>
      <c r="F42" s="614"/>
      <c r="G42" s="614"/>
    </row>
    <row r="43" spans="1:10" ht="20.100000000000001" customHeight="1" x14ac:dyDescent="0.2">
      <c r="A43" s="676" t="str">
        <f t="shared" si="3"/>
        <v>03 - Fundo Municipal Assistência Social – Programas Estaduais</v>
      </c>
      <c r="B43" s="613" t="s">
        <v>6227</v>
      </c>
      <c r="C43" s="614" t="s">
        <v>6882</v>
      </c>
      <c r="D43" s="614"/>
      <c r="E43" s="680"/>
      <c r="F43" s="614"/>
      <c r="G43" s="614"/>
    </row>
    <row r="44" spans="1:10" ht="20.100000000000001" customHeight="1" x14ac:dyDescent="0.2">
      <c r="A44" s="676" t="str">
        <f t="shared" si="3"/>
        <v>04 - Fundo Municipal Assistência Social – Programas Federais</v>
      </c>
      <c r="B44" s="613" t="s">
        <v>6228</v>
      </c>
      <c r="C44" s="614" t="s">
        <v>6883</v>
      </c>
      <c r="D44" s="614"/>
      <c r="E44" s="680"/>
      <c r="F44" s="614"/>
      <c r="G44" s="614"/>
    </row>
    <row r="45" spans="1:10" ht="20.100000000000001" customHeight="1" x14ac:dyDescent="0.2">
      <c r="A45" s="676" t="str">
        <f t="shared" si="3"/>
        <v>05 -  Fundo Municipal da Criança e do Adolescente</v>
      </c>
      <c r="B45" s="613" t="s">
        <v>434</v>
      </c>
      <c r="C45" s="614" t="s">
        <v>6884</v>
      </c>
      <c r="D45" s="614"/>
      <c r="E45" s="680"/>
      <c r="F45" s="614"/>
      <c r="G45" s="614"/>
    </row>
    <row r="46" spans="1:10" ht="20.100000000000001" customHeight="1" x14ac:dyDescent="0.2">
      <c r="A46" s="676" t="str">
        <f t="shared" si="3"/>
        <v>06 - Gestão, Coordenação e Planej. do Conselho Mun. de Assistência Social</v>
      </c>
      <c r="B46" s="613" t="s">
        <v>436</v>
      </c>
      <c r="C46" s="614" t="s">
        <v>9968</v>
      </c>
      <c r="D46" s="614"/>
      <c r="E46" s="680"/>
      <c r="F46" s="614"/>
      <c r="G46" s="614"/>
    </row>
    <row r="47" spans="1:10" ht="20.100000000000001" customHeight="1" x14ac:dyDescent="0.2">
      <c r="J47" s="682"/>
    </row>
    <row r="48" spans="1:10" ht="20.100000000000001" customHeight="1" x14ac:dyDescent="0.2">
      <c r="A48" s="672" t="s">
        <v>747</v>
      </c>
      <c r="J48" s="682"/>
    </row>
    <row r="49" spans="1:10" ht="20.100000000000001" customHeight="1" x14ac:dyDescent="0.2">
      <c r="A49" s="676" t="s">
        <v>748</v>
      </c>
      <c r="J49" s="682"/>
    </row>
    <row r="50" spans="1:10" ht="20.100000000000001" customHeight="1" x14ac:dyDescent="0.2">
      <c r="A50" s="676" t="s">
        <v>749</v>
      </c>
      <c r="J50" s="682"/>
    </row>
    <row r="51" spans="1:10" ht="20.100000000000001" customHeight="1" x14ac:dyDescent="0.2">
      <c r="A51" s="676" t="s">
        <v>744</v>
      </c>
      <c r="J51" s="682"/>
    </row>
    <row r="52" spans="1:10" ht="20.100000000000001" customHeight="1" x14ac:dyDescent="0.2">
      <c r="A52" s="676" t="s">
        <v>750</v>
      </c>
      <c r="J52" s="682"/>
    </row>
    <row r="53" spans="1:10" ht="20.100000000000001" customHeight="1" x14ac:dyDescent="0.2">
      <c r="A53" s="676"/>
      <c r="J53" s="682"/>
    </row>
    <row r="54" spans="1:10" ht="20.100000000000001" customHeight="1" x14ac:dyDescent="0.2">
      <c r="A54" s="617" t="s">
        <v>2276</v>
      </c>
      <c r="J54" s="682"/>
    </row>
    <row r="55" spans="1:10" ht="20.100000000000001" customHeight="1" x14ac:dyDescent="0.2">
      <c r="A55" s="617" t="s">
        <v>2136</v>
      </c>
      <c r="J55" s="682"/>
    </row>
    <row r="56" spans="1:10" ht="20.100000000000001" customHeight="1" x14ac:dyDescent="0.2">
      <c r="A56" s="617" t="s">
        <v>2295</v>
      </c>
      <c r="J56" s="682"/>
    </row>
    <row r="57" spans="1:10" ht="20.100000000000001" customHeight="1" x14ac:dyDescent="0.2">
      <c r="A57" s="617" t="s">
        <v>5727</v>
      </c>
      <c r="J57" s="682"/>
    </row>
    <row r="58" spans="1:10" ht="20.100000000000001" customHeight="1" x14ac:dyDescent="0.2">
      <c r="A58" s="617" t="s">
        <v>5728</v>
      </c>
      <c r="J58" s="682"/>
    </row>
    <row r="59" spans="1:10" ht="20.100000000000001" customHeight="1" x14ac:dyDescent="0.2">
      <c r="A59" s="617" t="s">
        <v>5729</v>
      </c>
      <c r="J59" s="682"/>
    </row>
    <row r="60" spans="1:10" ht="20.100000000000001" customHeight="1" x14ac:dyDescent="0.2">
      <c r="A60" s="617" t="s">
        <v>5950</v>
      </c>
      <c r="J60" s="682"/>
    </row>
    <row r="61" spans="1:10" ht="20.100000000000001" customHeight="1" x14ac:dyDescent="0.2">
      <c r="A61" s="617" t="s">
        <v>6983</v>
      </c>
      <c r="J61" s="682"/>
    </row>
    <row r="62" spans="1:10" ht="20.100000000000001" customHeight="1" x14ac:dyDescent="0.2">
      <c r="A62" s="617" t="s">
        <v>6900</v>
      </c>
      <c r="J62" s="682"/>
    </row>
    <row r="63" spans="1:10" ht="20.100000000000001" customHeight="1" x14ac:dyDescent="0.2">
      <c r="A63" s="617" t="s">
        <v>6982</v>
      </c>
      <c r="J63" s="682"/>
    </row>
    <row r="64" spans="1:10" ht="20.100000000000001" customHeight="1" x14ac:dyDescent="0.2">
      <c r="A64" s="617" t="s">
        <v>7901</v>
      </c>
      <c r="J64" s="682"/>
    </row>
    <row r="65" spans="1:10" ht="20.100000000000001" customHeight="1" x14ac:dyDescent="0.2">
      <c r="A65" s="617" t="s">
        <v>7295</v>
      </c>
      <c r="J65" s="682"/>
    </row>
    <row r="66" spans="1:10" ht="20.100000000000001" customHeight="1" x14ac:dyDescent="0.2">
      <c r="A66" s="617" t="s">
        <v>7296</v>
      </c>
      <c r="J66" s="682"/>
    </row>
    <row r="67" spans="1:10" ht="20.100000000000001" customHeight="1" x14ac:dyDescent="0.2">
      <c r="A67" s="617" t="s">
        <v>7211</v>
      </c>
      <c r="J67" s="682"/>
    </row>
    <row r="68" spans="1:10" ht="20.100000000000001" customHeight="1" x14ac:dyDescent="0.2">
      <c r="A68" s="617" t="s">
        <v>7268</v>
      </c>
      <c r="J68" s="682"/>
    </row>
    <row r="69" spans="1:10" ht="20.100000000000001" customHeight="1" x14ac:dyDescent="0.2">
      <c r="A69" s="617" t="s">
        <v>7282</v>
      </c>
      <c r="J69" s="682"/>
    </row>
    <row r="70" spans="1:10" ht="20.100000000000001" customHeight="1" x14ac:dyDescent="0.2">
      <c r="A70" s="617" t="s">
        <v>7915</v>
      </c>
      <c r="J70" s="682"/>
    </row>
    <row r="71" spans="1:10" ht="20.100000000000001" customHeight="1" x14ac:dyDescent="0.2">
      <c r="A71" s="617" t="s">
        <v>7916</v>
      </c>
      <c r="J71" s="682"/>
    </row>
    <row r="72" spans="1:10" ht="20.100000000000001" customHeight="1" x14ac:dyDescent="0.2">
      <c r="A72" s="617" t="s">
        <v>7917</v>
      </c>
      <c r="J72" s="682"/>
    </row>
    <row r="73" spans="1:10" ht="20.100000000000001" customHeight="1" x14ac:dyDescent="0.2">
      <c r="A73" s="617" t="s">
        <v>7918</v>
      </c>
      <c r="J73" s="682"/>
    </row>
    <row r="74" spans="1:10" ht="20.100000000000001" customHeight="1" x14ac:dyDescent="0.2">
      <c r="A74" s="617" t="s">
        <v>8231</v>
      </c>
      <c r="J74" s="682"/>
    </row>
    <row r="75" spans="1:10" ht="20.100000000000001" customHeight="1" x14ac:dyDescent="0.2">
      <c r="A75" s="617" t="s">
        <v>7448</v>
      </c>
      <c r="J75" s="682"/>
    </row>
    <row r="76" spans="1:10" ht="20.100000000000001" customHeight="1" x14ac:dyDescent="0.2">
      <c r="A76" s="617" t="s">
        <v>7449</v>
      </c>
      <c r="J76" s="682"/>
    </row>
    <row r="77" spans="1:10" ht="20.100000000000001" customHeight="1" x14ac:dyDescent="0.2">
      <c r="A77" s="617" t="s">
        <v>7476</v>
      </c>
      <c r="J77" s="682"/>
    </row>
    <row r="78" spans="1:10" ht="20.100000000000001" customHeight="1" x14ac:dyDescent="0.2">
      <c r="A78" s="617" t="s">
        <v>7588</v>
      </c>
      <c r="J78" s="682"/>
    </row>
    <row r="79" spans="1:10" ht="20.100000000000001" customHeight="1" x14ac:dyDescent="0.2">
      <c r="A79" s="617" t="s">
        <v>7651</v>
      </c>
      <c r="J79" s="682"/>
    </row>
    <row r="80" spans="1:10" ht="20.100000000000001" customHeight="1" x14ac:dyDescent="0.2">
      <c r="A80" s="617" t="s">
        <v>7652</v>
      </c>
      <c r="J80" s="682"/>
    </row>
    <row r="81" spans="1:10" ht="20.100000000000001" customHeight="1" x14ac:dyDescent="0.2">
      <c r="A81" s="617" t="s">
        <v>8700</v>
      </c>
      <c r="J81" s="682"/>
    </row>
    <row r="82" spans="1:10" ht="20.100000000000001" customHeight="1" x14ac:dyDescent="0.2">
      <c r="A82" s="617" t="s">
        <v>8701</v>
      </c>
      <c r="J82" s="682"/>
    </row>
    <row r="83" spans="1:10" ht="20.100000000000001" customHeight="1" x14ac:dyDescent="0.2">
      <c r="A83" s="617" t="s">
        <v>8702</v>
      </c>
      <c r="J83" s="682"/>
    </row>
    <row r="84" spans="1:10" ht="20.100000000000001" customHeight="1" x14ac:dyDescent="0.2">
      <c r="A84" s="617" t="s">
        <v>8731</v>
      </c>
      <c r="J84" s="682"/>
    </row>
    <row r="85" spans="1:10" ht="20.100000000000001" customHeight="1" x14ac:dyDescent="0.2">
      <c r="A85" s="617" t="s">
        <v>9487</v>
      </c>
      <c r="J85" s="682"/>
    </row>
    <row r="86" spans="1:10" ht="20.100000000000001" customHeight="1" x14ac:dyDescent="0.2">
      <c r="A86" s="617" t="s">
        <v>9488</v>
      </c>
      <c r="J86" s="682"/>
    </row>
    <row r="87" spans="1:10" ht="20.100000000000001" customHeight="1" x14ac:dyDescent="0.2">
      <c r="A87" s="617"/>
      <c r="J87" s="682"/>
    </row>
    <row r="88" spans="1:10" ht="20.100000000000001" customHeight="1" x14ac:dyDescent="0.2">
      <c r="A88" s="617"/>
      <c r="J88" s="682"/>
    </row>
    <row r="89" spans="1:10" ht="20.100000000000001" customHeight="1" x14ac:dyDescent="0.2">
      <c r="A89" s="617" t="s">
        <v>2138</v>
      </c>
      <c r="J89" s="682"/>
    </row>
    <row r="90" spans="1:10" ht="20.100000000000001" customHeight="1" x14ac:dyDescent="0.2">
      <c r="A90" s="617" t="s">
        <v>5726</v>
      </c>
      <c r="J90" s="682"/>
    </row>
    <row r="91" spans="1:10" ht="20.100000000000001" customHeight="1" x14ac:dyDescent="0.2">
      <c r="A91" s="617" t="s">
        <v>5737</v>
      </c>
      <c r="J91" s="682"/>
    </row>
    <row r="92" spans="1:10" ht="20.100000000000001" customHeight="1" x14ac:dyDescent="0.2">
      <c r="A92" s="617" t="s">
        <v>5740</v>
      </c>
      <c r="J92" s="682"/>
    </row>
    <row r="93" spans="1:10" ht="20.100000000000001" customHeight="1" x14ac:dyDescent="0.2">
      <c r="A93" s="617" t="s">
        <v>5821</v>
      </c>
      <c r="J93" s="682"/>
    </row>
    <row r="94" spans="1:10" ht="20.100000000000001" customHeight="1" x14ac:dyDescent="0.2">
      <c r="A94" s="617" t="s">
        <v>5921</v>
      </c>
      <c r="J94" s="682"/>
    </row>
    <row r="95" spans="1:10" ht="20.100000000000001" customHeight="1" x14ac:dyDescent="0.2">
      <c r="A95" s="617" t="s">
        <v>5965</v>
      </c>
      <c r="J95" s="682"/>
    </row>
    <row r="96" spans="1:10" ht="20.100000000000001" customHeight="1" x14ac:dyDescent="0.2">
      <c r="A96" s="617" t="s">
        <v>7891</v>
      </c>
      <c r="J96" s="682"/>
    </row>
    <row r="97" spans="1:10" ht="20.100000000000001" customHeight="1" x14ac:dyDescent="0.2">
      <c r="A97" s="617" t="s">
        <v>7005</v>
      </c>
      <c r="J97" s="682"/>
    </row>
    <row r="98" spans="1:10" ht="20.100000000000001" customHeight="1" x14ac:dyDescent="0.2">
      <c r="A98" s="617" t="s">
        <v>6043</v>
      </c>
      <c r="J98" s="682"/>
    </row>
    <row r="99" spans="1:10" ht="20.100000000000001" customHeight="1" x14ac:dyDescent="0.2">
      <c r="A99" s="617" t="s">
        <v>7008</v>
      </c>
      <c r="J99" s="682"/>
    </row>
    <row r="100" spans="1:10" ht="20.100000000000001" customHeight="1" x14ac:dyDescent="0.2">
      <c r="A100" s="617" t="s">
        <v>7088</v>
      </c>
      <c r="J100" s="682"/>
    </row>
    <row r="101" spans="1:10" ht="20.100000000000001" customHeight="1" x14ac:dyDescent="0.2">
      <c r="A101" s="617" t="s">
        <v>6056</v>
      </c>
      <c r="J101" s="682"/>
    </row>
    <row r="102" spans="1:10" ht="20.100000000000001" customHeight="1" x14ac:dyDescent="0.2">
      <c r="A102" s="617" t="s">
        <v>6058</v>
      </c>
      <c r="J102" s="682"/>
    </row>
    <row r="103" spans="1:10" ht="20.100000000000001" customHeight="1" x14ac:dyDescent="0.2">
      <c r="A103" s="617" t="s">
        <v>7321</v>
      </c>
      <c r="J103" s="682"/>
    </row>
    <row r="104" spans="1:10" ht="20.100000000000001" customHeight="1" x14ac:dyDescent="0.2">
      <c r="A104" s="617" t="s">
        <v>7322</v>
      </c>
      <c r="J104" s="682"/>
    </row>
    <row r="105" spans="1:10" ht="20.100000000000001" customHeight="1" x14ac:dyDescent="0.2">
      <c r="A105" s="617" t="s">
        <v>7323</v>
      </c>
      <c r="J105" s="682"/>
    </row>
    <row r="106" spans="1:10" ht="20.100000000000001" customHeight="1" x14ac:dyDescent="0.2">
      <c r="A106" s="617" t="s">
        <v>7324</v>
      </c>
      <c r="J106" s="682"/>
    </row>
    <row r="107" spans="1:10" ht="20.100000000000001" customHeight="1" x14ac:dyDescent="0.2">
      <c r="A107" s="617" t="s">
        <v>7152</v>
      </c>
      <c r="J107" s="682"/>
    </row>
    <row r="108" spans="1:10" ht="20.100000000000001" customHeight="1" x14ac:dyDescent="0.2">
      <c r="A108" s="617" t="s">
        <v>7325</v>
      </c>
      <c r="J108" s="682"/>
    </row>
    <row r="109" spans="1:10" ht="20.100000000000001" customHeight="1" x14ac:dyDescent="0.2">
      <c r="A109" s="683" t="s">
        <v>7326</v>
      </c>
      <c r="J109" s="682"/>
    </row>
    <row r="110" spans="1:10" ht="20.100000000000001" customHeight="1" x14ac:dyDescent="0.2">
      <c r="A110" s="617" t="s">
        <v>7212</v>
      </c>
      <c r="J110" s="682"/>
    </row>
    <row r="111" spans="1:10" ht="20.100000000000001" customHeight="1" x14ac:dyDescent="0.2">
      <c r="A111" s="617" t="s">
        <v>7242</v>
      </c>
      <c r="J111" s="682"/>
    </row>
    <row r="112" spans="1:10" ht="20.100000000000001" customHeight="1" x14ac:dyDescent="0.2">
      <c r="A112" s="617" t="s">
        <v>7250</v>
      </c>
      <c r="J112" s="682"/>
    </row>
    <row r="113" spans="1:10" ht="20.100000000000001" customHeight="1" x14ac:dyDescent="0.2">
      <c r="A113" s="617" t="s">
        <v>7919</v>
      </c>
      <c r="J113" s="682"/>
    </row>
    <row r="114" spans="1:10" ht="20.100000000000001" customHeight="1" x14ac:dyDescent="0.2">
      <c r="A114" s="617" t="s">
        <v>8031</v>
      </c>
      <c r="J114" s="682"/>
    </row>
    <row r="115" spans="1:10" ht="20.100000000000001" customHeight="1" x14ac:dyDescent="0.2">
      <c r="A115" s="617" t="s">
        <v>8032</v>
      </c>
      <c r="J115" s="682"/>
    </row>
    <row r="116" spans="1:10" ht="20.100000000000001" customHeight="1" x14ac:dyDescent="0.2">
      <c r="A116" s="617" t="s">
        <v>8033</v>
      </c>
      <c r="J116" s="682"/>
    </row>
    <row r="117" spans="1:10" ht="20.100000000000001" customHeight="1" x14ac:dyDescent="0.2">
      <c r="A117" s="617" t="s">
        <v>8034</v>
      </c>
      <c r="J117" s="682"/>
    </row>
    <row r="118" spans="1:10" ht="20.100000000000001" customHeight="1" x14ac:dyDescent="0.2">
      <c r="A118" s="617" t="s">
        <v>8035</v>
      </c>
      <c r="J118" s="682"/>
    </row>
    <row r="119" spans="1:10" ht="20.100000000000001" customHeight="1" x14ac:dyDescent="0.2">
      <c r="A119" s="617" t="s">
        <v>8195</v>
      </c>
      <c r="J119" s="682"/>
    </row>
    <row r="120" spans="1:10" ht="20.100000000000001" customHeight="1" x14ac:dyDescent="0.2">
      <c r="A120" s="617" t="s">
        <v>8177</v>
      </c>
      <c r="J120" s="682"/>
    </row>
    <row r="121" spans="1:10" ht="20.100000000000001" customHeight="1" x14ac:dyDescent="0.2">
      <c r="A121" s="617" t="s">
        <v>8121</v>
      </c>
      <c r="J121" s="682"/>
    </row>
    <row r="122" spans="1:10" ht="20.100000000000001" customHeight="1" x14ac:dyDescent="0.2">
      <c r="A122" s="617" t="s">
        <v>8036</v>
      </c>
      <c r="J122" s="682"/>
    </row>
    <row r="123" spans="1:10" ht="20.100000000000001" customHeight="1" x14ac:dyDescent="0.2">
      <c r="A123" s="617" t="s">
        <v>8196</v>
      </c>
      <c r="J123" s="682"/>
    </row>
    <row r="124" spans="1:10" ht="20.100000000000001" customHeight="1" x14ac:dyDescent="0.2">
      <c r="A124" s="617" t="s">
        <v>7981</v>
      </c>
      <c r="J124" s="682"/>
    </row>
    <row r="125" spans="1:10" ht="20.100000000000001" customHeight="1" x14ac:dyDescent="0.2">
      <c r="A125" s="617" t="s">
        <v>11755</v>
      </c>
      <c r="J125" s="682"/>
    </row>
    <row r="126" spans="1:10" ht="20.100000000000001" customHeight="1" x14ac:dyDescent="0.2">
      <c r="A126" s="617" t="s">
        <v>8246</v>
      </c>
      <c r="J126" s="682"/>
    </row>
    <row r="127" spans="1:10" ht="20.100000000000001" customHeight="1" x14ac:dyDescent="0.2">
      <c r="A127" s="617" t="s">
        <v>8197</v>
      </c>
      <c r="D127" s="606"/>
      <c r="J127" s="682"/>
    </row>
    <row r="128" spans="1:10" ht="20.100000000000001" customHeight="1" x14ac:dyDescent="0.25">
      <c r="A128" s="617" t="s">
        <v>8244</v>
      </c>
      <c r="C128" s="753"/>
      <c r="D128" s="754"/>
      <c r="E128" s="753"/>
      <c r="J128" s="682"/>
    </row>
    <row r="129" spans="1:10" ht="20.100000000000001" customHeight="1" x14ac:dyDescent="0.25">
      <c r="A129" s="617" t="s">
        <v>8245</v>
      </c>
      <c r="C129" s="750"/>
      <c r="D129" s="755"/>
      <c r="E129" s="749"/>
      <c r="J129" s="682"/>
    </row>
    <row r="130" spans="1:10" ht="20.100000000000001" customHeight="1" x14ac:dyDescent="0.25">
      <c r="A130" s="617" t="s">
        <v>8338</v>
      </c>
      <c r="C130" s="750"/>
      <c r="D130" s="755"/>
      <c r="E130" s="749"/>
      <c r="J130" s="682"/>
    </row>
    <row r="131" spans="1:10" ht="20.100000000000001" customHeight="1" x14ac:dyDescent="0.25">
      <c r="A131" s="617" t="s">
        <v>8339</v>
      </c>
      <c r="C131" s="750"/>
      <c r="D131" s="755"/>
      <c r="E131" s="749"/>
      <c r="J131" s="682"/>
    </row>
    <row r="132" spans="1:10" ht="20.100000000000001" customHeight="1" x14ac:dyDescent="0.25">
      <c r="A132" s="617" t="s">
        <v>8340</v>
      </c>
      <c r="C132" s="750"/>
      <c r="D132" s="755"/>
      <c r="E132" s="749"/>
      <c r="J132" s="682"/>
    </row>
    <row r="133" spans="1:10" ht="20.100000000000001" customHeight="1" x14ac:dyDescent="0.25">
      <c r="A133" s="617" t="s">
        <v>8341</v>
      </c>
      <c r="C133" s="750"/>
      <c r="D133" s="755"/>
      <c r="E133" s="749"/>
      <c r="J133" s="682"/>
    </row>
    <row r="134" spans="1:10" ht="20.100000000000001" customHeight="1" x14ac:dyDescent="0.25">
      <c r="A134" s="617" t="s">
        <v>8342</v>
      </c>
      <c r="C134" s="750"/>
      <c r="D134" s="755"/>
      <c r="E134" s="749"/>
      <c r="J134" s="682"/>
    </row>
    <row r="135" spans="1:10" ht="20.100000000000001" customHeight="1" x14ac:dyDescent="0.25">
      <c r="A135" s="617" t="s">
        <v>8343</v>
      </c>
      <c r="C135" s="750"/>
      <c r="D135" s="755"/>
      <c r="E135" s="749"/>
      <c r="J135" s="682"/>
    </row>
    <row r="136" spans="1:10" ht="20.100000000000001" customHeight="1" x14ac:dyDescent="0.25">
      <c r="A136" s="617" t="s">
        <v>8344</v>
      </c>
      <c r="C136" s="750"/>
      <c r="D136" s="755"/>
      <c r="E136" s="749"/>
      <c r="J136" s="682"/>
    </row>
    <row r="137" spans="1:10" ht="20.100000000000001" customHeight="1" x14ac:dyDescent="0.25">
      <c r="A137" s="617" t="s">
        <v>8345</v>
      </c>
      <c r="C137" s="750"/>
      <c r="D137" s="755"/>
      <c r="E137" s="749"/>
      <c r="J137" s="682"/>
    </row>
    <row r="138" spans="1:10" ht="20.100000000000001" customHeight="1" x14ac:dyDescent="0.25">
      <c r="A138" s="617" t="s">
        <v>8346</v>
      </c>
      <c r="C138" s="750"/>
      <c r="D138" s="755"/>
      <c r="E138" s="749"/>
      <c r="J138" s="682"/>
    </row>
    <row r="139" spans="1:10" ht="20.100000000000001" customHeight="1" x14ac:dyDescent="0.25">
      <c r="A139" s="617" t="s">
        <v>8347</v>
      </c>
      <c r="C139" s="750"/>
      <c r="D139" s="755"/>
      <c r="E139" s="749"/>
      <c r="J139" s="682"/>
    </row>
    <row r="140" spans="1:10" ht="20.100000000000001" customHeight="1" x14ac:dyDescent="0.25">
      <c r="A140" s="617" t="s">
        <v>8348</v>
      </c>
      <c r="C140" s="750"/>
      <c r="D140" s="755"/>
      <c r="E140" s="749"/>
      <c r="J140" s="682"/>
    </row>
    <row r="141" spans="1:10" ht="20.100000000000001" customHeight="1" x14ac:dyDescent="0.25">
      <c r="A141" s="617" t="s">
        <v>8349</v>
      </c>
      <c r="C141" s="750"/>
      <c r="D141" s="755"/>
      <c r="E141" s="749"/>
      <c r="J141" s="682"/>
    </row>
    <row r="142" spans="1:10" ht="20.100000000000001" customHeight="1" x14ac:dyDescent="0.25">
      <c r="A142" s="617" t="s">
        <v>8350</v>
      </c>
      <c r="C142" s="750"/>
      <c r="D142" s="755"/>
      <c r="E142" s="749"/>
      <c r="J142" s="682"/>
    </row>
    <row r="143" spans="1:10" ht="20.100000000000001" customHeight="1" x14ac:dyDescent="0.25">
      <c r="A143" s="617" t="s">
        <v>8665</v>
      </c>
      <c r="C143" s="750"/>
      <c r="D143" s="755"/>
      <c r="E143" s="749"/>
      <c r="J143" s="682"/>
    </row>
    <row r="144" spans="1:10" ht="20.100000000000001" customHeight="1" x14ac:dyDescent="0.25">
      <c r="A144" s="617" t="s">
        <v>8680</v>
      </c>
      <c r="C144" s="750"/>
      <c r="D144" s="755"/>
      <c r="E144" s="749"/>
      <c r="J144" s="682"/>
    </row>
    <row r="145" spans="1:10" ht="20.100000000000001" customHeight="1" x14ac:dyDescent="0.25">
      <c r="A145" s="617" t="s">
        <v>8567</v>
      </c>
      <c r="C145" s="750"/>
      <c r="D145" s="755"/>
      <c r="E145" s="749"/>
      <c r="J145" s="682"/>
    </row>
    <row r="146" spans="1:10" ht="20.100000000000001" customHeight="1" x14ac:dyDescent="0.25">
      <c r="A146" s="617" t="s">
        <v>8649</v>
      </c>
      <c r="C146" s="750"/>
      <c r="D146" s="755"/>
      <c r="E146" s="749"/>
      <c r="J146" s="682"/>
    </row>
    <row r="147" spans="1:10" ht="20.100000000000001" customHeight="1" x14ac:dyDescent="0.25">
      <c r="A147" s="617" t="s">
        <v>8351</v>
      </c>
      <c r="C147" s="750"/>
      <c r="D147" s="755"/>
      <c r="E147" s="749"/>
      <c r="J147" s="682"/>
    </row>
    <row r="148" spans="1:10" ht="20.100000000000001" customHeight="1" x14ac:dyDescent="0.25">
      <c r="A148" s="617" t="s">
        <v>8352</v>
      </c>
      <c r="C148" s="750"/>
      <c r="D148" s="755"/>
      <c r="E148" s="749"/>
      <c r="J148" s="682"/>
    </row>
    <row r="149" spans="1:10" ht="20.100000000000001" customHeight="1" x14ac:dyDescent="0.25">
      <c r="A149" s="617" t="s">
        <v>8353</v>
      </c>
      <c r="C149" s="750"/>
      <c r="D149" s="755"/>
      <c r="E149" s="749"/>
      <c r="J149" s="682"/>
    </row>
    <row r="150" spans="1:10" ht="20.100000000000001" customHeight="1" x14ac:dyDescent="0.25">
      <c r="A150" s="617" t="s">
        <v>7482</v>
      </c>
      <c r="C150" s="753"/>
      <c r="D150" s="754"/>
      <c r="E150" s="753"/>
      <c r="J150" s="682"/>
    </row>
    <row r="151" spans="1:10" ht="20.100000000000001" customHeight="1" x14ac:dyDescent="0.25">
      <c r="A151" s="617" t="s">
        <v>7483</v>
      </c>
      <c r="C151" s="750"/>
      <c r="D151" s="755"/>
      <c r="E151" s="749"/>
      <c r="J151" s="682"/>
    </row>
    <row r="152" spans="1:10" ht="20.100000000000001" customHeight="1" x14ac:dyDescent="0.25">
      <c r="A152" s="617" t="s">
        <v>7551</v>
      </c>
      <c r="C152" s="753"/>
      <c r="D152" s="754"/>
      <c r="E152" s="753"/>
      <c r="J152" s="682"/>
    </row>
    <row r="153" spans="1:10" ht="20.100000000000001" customHeight="1" x14ac:dyDescent="0.25">
      <c r="A153" s="617" t="s">
        <v>7484</v>
      </c>
      <c r="C153" s="750"/>
      <c r="D153" s="755"/>
      <c r="E153" s="749"/>
      <c r="J153" s="682"/>
    </row>
    <row r="154" spans="1:10" ht="20.100000000000001" customHeight="1" x14ac:dyDescent="0.25">
      <c r="A154" s="617" t="s">
        <v>7485</v>
      </c>
      <c r="C154" s="753"/>
      <c r="D154" s="754"/>
      <c r="E154" s="753"/>
      <c r="J154" s="682"/>
    </row>
    <row r="155" spans="1:10" ht="20.100000000000001" customHeight="1" x14ac:dyDescent="0.2">
      <c r="A155" s="617" t="s">
        <v>7486</v>
      </c>
      <c r="J155" s="682"/>
    </row>
    <row r="156" spans="1:10" ht="20.100000000000001" customHeight="1" x14ac:dyDescent="0.2">
      <c r="A156" s="617" t="s">
        <v>10192</v>
      </c>
      <c r="J156" s="682"/>
    </row>
    <row r="157" spans="1:10" ht="20.100000000000001" customHeight="1" x14ac:dyDescent="0.2">
      <c r="A157" s="617" t="s">
        <v>7589</v>
      </c>
      <c r="J157" s="682"/>
    </row>
    <row r="158" spans="1:10" ht="20.100000000000001" customHeight="1" x14ac:dyDescent="0.2">
      <c r="A158" s="617" t="s">
        <v>7590</v>
      </c>
      <c r="J158" s="682"/>
    </row>
    <row r="159" spans="1:10" ht="20.100000000000001" customHeight="1" x14ac:dyDescent="0.2">
      <c r="A159" s="617" t="s">
        <v>7591</v>
      </c>
      <c r="J159" s="682"/>
    </row>
    <row r="160" spans="1:10" ht="20.100000000000001" customHeight="1" x14ac:dyDescent="0.2">
      <c r="A160" s="617" t="s">
        <v>7592</v>
      </c>
      <c r="J160" s="682"/>
    </row>
    <row r="161" spans="1:10" ht="20.100000000000001" customHeight="1" x14ac:dyDescent="0.2">
      <c r="A161" s="617" t="s">
        <v>7603</v>
      </c>
      <c r="J161" s="682"/>
    </row>
    <row r="162" spans="1:10" ht="20.100000000000001" customHeight="1" x14ac:dyDescent="0.2">
      <c r="A162" s="617" t="s">
        <v>7673</v>
      </c>
      <c r="J162" s="682"/>
    </row>
    <row r="163" spans="1:10" ht="20.100000000000001" customHeight="1" x14ac:dyDescent="0.2">
      <c r="A163" s="617" t="s">
        <v>7708</v>
      </c>
      <c r="J163" s="682"/>
    </row>
    <row r="164" spans="1:10" ht="20.100000000000001" customHeight="1" x14ac:dyDescent="0.2">
      <c r="A164" s="617" t="s">
        <v>7709</v>
      </c>
      <c r="J164" s="682"/>
    </row>
    <row r="165" spans="1:10" ht="20.100000000000001" customHeight="1" x14ac:dyDescent="0.2">
      <c r="A165" s="617" t="s">
        <v>7710</v>
      </c>
      <c r="J165" s="682"/>
    </row>
    <row r="166" spans="1:10" ht="20.100000000000001" customHeight="1" x14ac:dyDescent="0.2">
      <c r="A166" s="617" t="s">
        <v>7677</v>
      </c>
      <c r="J166" s="682"/>
    </row>
    <row r="167" spans="1:10" ht="20.100000000000001" customHeight="1" x14ac:dyDescent="0.2">
      <c r="A167" s="617" t="s">
        <v>9543</v>
      </c>
      <c r="J167" s="682"/>
    </row>
    <row r="168" spans="1:10" ht="20.100000000000001" customHeight="1" x14ac:dyDescent="0.2">
      <c r="A168" s="617" t="s">
        <v>9554</v>
      </c>
      <c r="J168" s="682"/>
    </row>
    <row r="169" spans="1:10" ht="20.100000000000001" customHeight="1" x14ac:dyDescent="0.2">
      <c r="A169" s="681" t="s">
        <v>9555</v>
      </c>
    </row>
    <row r="170" spans="1:10" ht="20.100000000000001" customHeight="1" x14ac:dyDescent="0.2">
      <c r="A170" s="681" t="s">
        <v>9690</v>
      </c>
    </row>
    <row r="171" spans="1:10" ht="20.100000000000001" customHeight="1" x14ac:dyDescent="0.2">
      <c r="A171" s="681" t="s">
        <v>9556</v>
      </c>
    </row>
    <row r="172" spans="1:10" ht="20.100000000000001" customHeight="1" x14ac:dyDescent="0.2">
      <c r="A172" s="617" t="s">
        <v>9551</v>
      </c>
      <c r="J172" s="682"/>
    </row>
    <row r="173" spans="1:10" ht="20.100000000000001" customHeight="1" x14ac:dyDescent="0.2">
      <c r="A173" s="617" t="s">
        <v>9552</v>
      </c>
      <c r="J173" s="682"/>
    </row>
    <row r="174" spans="1:10" ht="20.100000000000001" customHeight="1" x14ac:dyDescent="0.2">
      <c r="A174" s="617" t="s">
        <v>9553</v>
      </c>
      <c r="J174" s="682"/>
    </row>
    <row r="175" spans="1:10" ht="20.100000000000001" customHeight="1" x14ac:dyDescent="0.2">
      <c r="A175" s="617" t="s">
        <v>9549</v>
      </c>
      <c r="J175" s="682"/>
    </row>
    <row r="176" spans="1:10" ht="20.100000000000001" customHeight="1" x14ac:dyDescent="0.2">
      <c r="A176" s="617" t="s">
        <v>9548</v>
      </c>
      <c r="J176" s="682"/>
    </row>
    <row r="177" spans="1:10" ht="20.100000000000001" customHeight="1" x14ac:dyDescent="0.2">
      <c r="A177" s="617" t="s">
        <v>9550</v>
      </c>
      <c r="J177" s="682"/>
    </row>
    <row r="178" spans="1:10" ht="20.100000000000001" customHeight="1" x14ac:dyDescent="0.2">
      <c r="A178" s="617" t="s">
        <v>9601</v>
      </c>
      <c r="J178" s="682"/>
    </row>
    <row r="179" spans="1:10" ht="20.100000000000001" customHeight="1" x14ac:dyDescent="0.2">
      <c r="A179" s="617" t="s">
        <v>9494</v>
      </c>
      <c r="J179" s="682"/>
    </row>
    <row r="180" spans="1:10" ht="20.100000000000001" customHeight="1" x14ac:dyDescent="0.2">
      <c r="A180" s="617" t="s">
        <v>7823</v>
      </c>
      <c r="J180" s="682"/>
    </row>
    <row r="181" spans="1:10" ht="20.100000000000001" customHeight="1" x14ac:dyDescent="0.2">
      <c r="A181" s="617" t="s">
        <v>7730</v>
      </c>
      <c r="J181" s="682"/>
    </row>
    <row r="182" spans="1:10" ht="20.100000000000001" customHeight="1" x14ac:dyDescent="0.2">
      <c r="A182" s="617" t="s">
        <v>7731</v>
      </c>
      <c r="J182" s="682"/>
    </row>
    <row r="183" spans="1:10" ht="20.100000000000001" customHeight="1" x14ac:dyDescent="0.2">
      <c r="A183" s="617" t="s">
        <v>7732</v>
      </c>
      <c r="J183" s="682"/>
    </row>
    <row r="184" spans="1:10" ht="20.100000000000001" customHeight="1" x14ac:dyDescent="0.2">
      <c r="A184" s="617" t="s">
        <v>7733</v>
      </c>
      <c r="J184" s="682"/>
    </row>
    <row r="185" spans="1:10" ht="20.100000000000001" customHeight="1" x14ac:dyDescent="0.2">
      <c r="A185" s="617" t="s">
        <v>7771</v>
      </c>
      <c r="J185" s="682"/>
    </row>
    <row r="186" spans="1:10" ht="20.100000000000001" customHeight="1" x14ac:dyDescent="0.2">
      <c r="A186" s="617" t="s">
        <v>7772</v>
      </c>
      <c r="J186" s="682"/>
    </row>
    <row r="187" spans="1:10" ht="20.100000000000001" customHeight="1" x14ac:dyDescent="0.2">
      <c r="A187" s="617" t="s">
        <v>6060</v>
      </c>
      <c r="J187" s="682"/>
    </row>
    <row r="188" spans="1:10" ht="20.100000000000001" customHeight="1" x14ac:dyDescent="0.2">
      <c r="A188" s="617" t="s">
        <v>7996</v>
      </c>
      <c r="J188" s="682"/>
    </row>
    <row r="189" spans="1:10" ht="20.100000000000001" customHeight="1" x14ac:dyDescent="0.2">
      <c r="A189" s="617" t="s">
        <v>8134</v>
      </c>
      <c r="J189" s="682"/>
    </row>
    <row r="190" spans="1:10" ht="20.100000000000001" customHeight="1" x14ac:dyDescent="0.2">
      <c r="A190" s="617" t="s">
        <v>8135</v>
      </c>
      <c r="J190" s="682"/>
    </row>
    <row r="191" spans="1:10" ht="20.100000000000001" customHeight="1" x14ac:dyDescent="0.2">
      <c r="A191" s="617" t="s">
        <v>8136</v>
      </c>
      <c r="J191" s="682"/>
    </row>
    <row r="192" spans="1:10" ht="20.100000000000001" customHeight="1" x14ac:dyDescent="0.2">
      <c r="A192" s="617" t="s">
        <v>8137</v>
      </c>
      <c r="J192" s="682"/>
    </row>
    <row r="193" spans="1:10" ht="20.100000000000001" customHeight="1" x14ac:dyDescent="0.2">
      <c r="A193" s="617" t="s">
        <v>8138</v>
      </c>
      <c r="J193" s="682"/>
    </row>
    <row r="194" spans="1:10" ht="20.100000000000001" customHeight="1" x14ac:dyDescent="0.2">
      <c r="A194" s="617" t="s">
        <v>8139</v>
      </c>
      <c r="J194" s="682"/>
    </row>
    <row r="195" spans="1:10" ht="20.100000000000001" customHeight="1" x14ac:dyDescent="0.2">
      <c r="A195" s="617" t="s">
        <v>8140</v>
      </c>
      <c r="J195" s="682"/>
    </row>
    <row r="196" spans="1:10" ht="20.100000000000001" customHeight="1" x14ac:dyDescent="0.2">
      <c r="A196" s="617" t="s">
        <v>8141</v>
      </c>
      <c r="J196" s="682"/>
    </row>
    <row r="197" spans="1:10" ht="20.100000000000001" customHeight="1" x14ac:dyDescent="0.2">
      <c r="A197" s="617" t="s">
        <v>8142</v>
      </c>
      <c r="J197" s="682"/>
    </row>
    <row r="198" spans="1:10" ht="20.100000000000001" customHeight="1" x14ac:dyDescent="0.2">
      <c r="A198" s="617" t="s">
        <v>8143</v>
      </c>
      <c r="J198" s="682"/>
    </row>
    <row r="199" spans="1:10" ht="20.100000000000001" customHeight="1" x14ac:dyDescent="0.2">
      <c r="A199" s="617" t="s">
        <v>8703</v>
      </c>
      <c r="J199" s="682"/>
    </row>
    <row r="200" spans="1:10" ht="20.100000000000001" customHeight="1" x14ac:dyDescent="0.2">
      <c r="A200" s="617" t="s">
        <v>8825</v>
      </c>
      <c r="J200" s="682"/>
    </row>
    <row r="201" spans="1:10" ht="20.100000000000001" customHeight="1" x14ac:dyDescent="0.2">
      <c r="A201" s="617" t="s">
        <v>9170</v>
      </c>
      <c r="J201" s="682"/>
    </row>
    <row r="202" spans="1:10" ht="20.100000000000001" customHeight="1" x14ac:dyDescent="0.2">
      <c r="A202" s="617" t="s">
        <v>9151</v>
      </c>
      <c r="J202" s="682"/>
    </row>
    <row r="203" spans="1:10" ht="20.100000000000001" customHeight="1" x14ac:dyDescent="0.2">
      <c r="A203" s="617" t="s">
        <v>8924</v>
      </c>
      <c r="J203" s="682"/>
    </row>
    <row r="204" spans="1:10" ht="20.100000000000001" customHeight="1" x14ac:dyDescent="0.2">
      <c r="A204" s="617" t="s">
        <v>8704</v>
      </c>
      <c r="J204" s="682"/>
    </row>
    <row r="205" spans="1:10" ht="20.100000000000001" customHeight="1" x14ac:dyDescent="0.2">
      <c r="A205" s="617" t="s">
        <v>8961</v>
      </c>
      <c r="J205" s="682"/>
    </row>
    <row r="206" spans="1:10" ht="20.100000000000001" customHeight="1" x14ac:dyDescent="0.2">
      <c r="A206" s="617" t="s">
        <v>8962</v>
      </c>
      <c r="J206" s="682"/>
    </row>
    <row r="207" spans="1:10" ht="20.100000000000001" customHeight="1" x14ac:dyDescent="0.2">
      <c r="A207" s="617" t="s">
        <v>8963</v>
      </c>
      <c r="J207" s="682"/>
    </row>
    <row r="208" spans="1:10" ht="20.100000000000001" customHeight="1" x14ac:dyDescent="0.2">
      <c r="A208" s="617" t="s">
        <v>8950</v>
      </c>
      <c r="J208" s="682"/>
    </row>
    <row r="209" spans="1:10" ht="20.100000000000001" customHeight="1" x14ac:dyDescent="0.2">
      <c r="A209" s="617" t="s">
        <v>8949</v>
      </c>
      <c r="J209" s="682"/>
    </row>
    <row r="210" spans="1:10" ht="20.100000000000001" customHeight="1" x14ac:dyDescent="0.2">
      <c r="A210" s="617" t="s">
        <v>9215</v>
      </c>
      <c r="J210" s="682"/>
    </row>
    <row r="211" spans="1:10" ht="20.100000000000001" customHeight="1" x14ac:dyDescent="0.2">
      <c r="A211" s="617" t="s">
        <v>9546</v>
      </c>
      <c r="J211" s="682"/>
    </row>
    <row r="212" spans="1:10" ht="20.100000000000001" customHeight="1" x14ac:dyDescent="0.2">
      <c r="A212" s="617" t="s">
        <v>9547</v>
      </c>
      <c r="J212" s="682"/>
    </row>
    <row r="213" spans="1:10" ht="20.100000000000001" customHeight="1" x14ac:dyDescent="0.2">
      <c r="A213" s="617" t="s">
        <v>9557</v>
      </c>
      <c r="J213" s="682"/>
    </row>
    <row r="214" spans="1:10" ht="20.100000000000001" customHeight="1" x14ac:dyDescent="0.2">
      <c r="A214" s="617" t="s">
        <v>9558</v>
      </c>
      <c r="J214" s="682"/>
    </row>
    <row r="215" spans="1:10" ht="20.100000000000001" customHeight="1" x14ac:dyDescent="0.2">
      <c r="A215" s="617" t="s">
        <v>9691</v>
      </c>
      <c r="J215" s="682"/>
    </row>
    <row r="216" spans="1:10" ht="20.100000000000001" customHeight="1" x14ac:dyDescent="0.2">
      <c r="A216" s="617" t="s">
        <v>8706</v>
      </c>
      <c r="J216" s="682"/>
    </row>
    <row r="217" spans="1:10" ht="20.100000000000001" customHeight="1" x14ac:dyDescent="0.2">
      <c r="A217" s="617" t="s">
        <v>9692</v>
      </c>
      <c r="J217" s="682"/>
    </row>
    <row r="218" spans="1:10" ht="20.100000000000001" customHeight="1" x14ac:dyDescent="0.2">
      <c r="A218" s="617" t="s">
        <v>9694</v>
      </c>
      <c r="J218" s="682"/>
    </row>
    <row r="219" spans="1:10" ht="20.100000000000001" customHeight="1" x14ac:dyDescent="0.2">
      <c r="A219" s="617" t="s">
        <v>9693</v>
      </c>
      <c r="J219" s="682"/>
    </row>
    <row r="220" spans="1:10" ht="20.100000000000001" customHeight="1" x14ac:dyDescent="0.2">
      <c r="A220" s="617" t="s">
        <v>6061</v>
      </c>
      <c r="J220" s="682"/>
    </row>
    <row r="221" spans="1:10" ht="20.100000000000001" customHeight="1" x14ac:dyDescent="0.2">
      <c r="A221" s="617" t="s">
        <v>9983</v>
      </c>
      <c r="J221" s="682"/>
    </row>
    <row r="222" spans="1:10" ht="20.100000000000001" customHeight="1" x14ac:dyDescent="0.2">
      <c r="A222" s="617" t="s">
        <v>9945</v>
      </c>
      <c r="J222" s="682"/>
    </row>
    <row r="223" spans="1:10" ht="20.100000000000001" customHeight="1" x14ac:dyDescent="0.2">
      <c r="A223" s="683" t="s">
        <v>8998</v>
      </c>
    </row>
    <row r="224" spans="1:10" ht="20.100000000000001" customHeight="1" x14ac:dyDescent="0.2">
      <c r="A224" s="683" t="s">
        <v>8999</v>
      </c>
    </row>
    <row r="225" spans="1:1" ht="20.100000000000001" customHeight="1" x14ac:dyDescent="0.2">
      <c r="A225" s="683" t="s">
        <v>9042</v>
      </c>
    </row>
    <row r="226" spans="1:1" ht="20.100000000000001" customHeight="1" x14ac:dyDescent="0.2">
      <c r="A226" s="683" t="s">
        <v>9043</v>
      </c>
    </row>
    <row r="227" spans="1:1" ht="20.100000000000001" customHeight="1" x14ac:dyDescent="0.2">
      <c r="A227" s="683" t="s">
        <v>9370</v>
      </c>
    </row>
    <row r="228" spans="1:1" ht="20.100000000000001" customHeight="1" x14ac:dyDescent="0.2">
      <c r="A228" s="683" t="s">
        <v>9044</v>
      </c>
    </row>
    <row r="229" spans="1:1" ht="20.100000000000001" customHeight="1" x14ac:dyDescent="0.2">
      <c r="A229" s="683" t="s">
        <v>9393</v>
      </c>
    </row>
    <row r="230" spans="1:1" ht="20.100000000000001" customHeight="1" x14ac:dyDescent="0.2">
      <c r="A230" s="683" t="s">
        <v>9394</v>
      </c>
    </row>
    <row r="231" spans="1:1" ht="20.100000000000001" customHeight="1" x14ac:dyDescent="0.2">
      <c r="A231" s="683" t="s">
        <v>9395</v>
      </c>
    </row>
    <row r="232" spans="1:1" ht="20.100000000000001" customHeight="1" x14ac:dyDescent="0.2">
      <c r="A232" s="683" t="s">
        <v>9396</v>
      </c>
    </row>
    <row r="233" spans="1:1" ht="20.100000000000001" customHeight="1" x14ac:dyDescent="0.2">
      <c r="A233" s="683" t="s">
        <v>9397</v>
      </c>
    </row>
    <row r="234" spans="1:1" ht="20.100000000000001" customHeight="1" x14ac:dyDescent="0.2">
      <c r="A234" s="683" t="s">
        <v>9398</v>
      </c>
    </row>
    <row r="235" spans="1:1" ht="20.100000000000001" customHeight="1" x14ac:dyDescent="0.2">
      <c r="A235" s="683" t="s">
        <v>9453</v>
      </c>
    </row>
    <row r="236" spans="1:1" ht="20.100000000000001" customHeight="1" x14ac:dyDescent="0.2">
      <c r="A236" s="683" t="s">
        <v>9399</v>
      </c>
    </row>
    <row r="237" spans="1:1" ht="20.100000000000001" customHeight="1" x14ac:dyDescent="0.2">
      <c r="A237" s="683" t="s">
        <v>9235</v>
      </c>
    </row>
    <row r="238" spans="1:1" ht="20.100000000000001" customHeight="1" x14ac:dyDescent="0.2">
      <c r="A238" s="683" t="s">
        <v>9325</v>
      </c>
    </row>
    <row r="239" spans="1:1" ht="20.100000000000001" customHeight="1" x14ac:dyDescent="0.2">
      <c r="A239" s="683" t="s">
        <v>9493</v>
      </c>
    </row>
    <row r="240" spans="1:1" ht="20.100000000000001" customHeight="1" x14ac:dyDescent="0.2">
      <c r="A240" s="683" t="s">
        <v>9631</v>
      </c>
    </row>
    <row r="241" spans="1:10" ht="20.100000000000001" customHeight="1" x14ac:dyDescent="0.2">
      <c r="A241" s="683" t="s">
        <v>9632</v>
      </c>
    </row>
    <row r="242" spans="1:10" ht="20.100000000000001" customHeight="1" x14ac:dyDescent="0.2">
      <c r="A242" s="683" t="s">
        <v>9633</v>
      </c>
    </row>
    <row r="243" spans="1:10" ht="20.100000000000001" customHeight="1" x14ac:dyDescent="0.2">
      <c r="A243" s="683"/>
    </row>
    <row r="244" spans="1:10" ht="20.100000000000001" customHeight="1" x14ac:dyDescent="0.2">
      <c r="A244" s="683"/>
    </row>
    <row r="245" spans="1:10" ht="20.100000000000001" customHeight="1" x14ac:dyDescent="0.2">
      <c r="A245" s="683"/>
    </row>
    <row r="246" spans="1:10" ht="20.100000000000001" customHeight="1" x14ac:dyDescent="0.2">
      <c r="A246" s="683"/>
    </row>
    <row r="247" spans="1:10" ht="20.100000000000001" customHeight="1" x14ac:dyDescent="0.2">
      <c r="A247" s="617" t="s">
        <v>7858</v>
      </c>
      <c r="J247" s="682"/>
    </row>
    <row r="248" spans="1:10" ht="20.100000000000001" customHeight="1" x14ac:dyDescent="0.2">
      <c r="A248" s="617" t="s">
        <v>7888</v>
      </c>
      <c r="J248" s="682"/>
    </row>
    <row r="249" spans="1:10" ht="20.100000000000001" customHeight="1" x14ac:dyDescent="0.2">
      <c r="A249" s="617"/>
      <c r="J249" s="682"/>
    </row>
    <row r="250" spans="1:10" ht="20.100000000000001" customHeight="1" x14ac:dyDescent="0.2">
      <c r="A250" s="617"/>
      <c r="J250" s="682"/>
    </row>
    <row r="251" spans="1:10" ht="20.100000000000001" customHeight="1" x14ac:dyDescent="0.2">
      <c r="A251" s="617"/>
      <c r="J251" s="682"/>
    </row>
    <row r="252" spans="1:10" ht="20.100000000000001" customHeight="1" x14ac:dyDescent="0.2">
      <c r="A252" s="617"/>
      <c r="J252" s="682"/>
    </row>
    <row r="253" spans="1:10" ht="20.100000000000001" customHeight="1" x14ac:dyDescent="0.2">
      <c r="A253" s="617" t="s">
        <v>903</v>
      </c>
      <c r="J253" s="682"/>
    </row>
    <row r="254" spans="1:10" ht="20.100000000000001" customHeight="1" x14ac:dyDescent="0.2">
      <c r="A254" s="617"/>
      <c r="J254" s="682"/>
    </row>
    <row r="255" spans="1:10" ht="20.100000000000001" customHeight="1" x14ac:dyDescent="0.2">
      <c r="A255" s="676"/>
      <c r="J255" s="682"/>
    </row>
    <row r="256" spans="1:10" ht="20.100000000000001" customHeight="1" x14ac:dyDescent="0.2">
      <c r="A256" s="617" t="s">
        <v>2133</v>
      </c>
      <c r="J256" s="682"/>
    </row>
    <row r="257" spans="1:10" ht="20.100000000000001" customHeight="1" x14ac:dyDescent="0.2">
      <c r="A257" s="684" t="s">
        <v>2294</v>
      </c>
      <c r="J257" s="682"/>
    </row>
    <row r="258" spans="1:10" ht="20.100000000000001" customHeight="1" x14ac:dyDescent="0.2">
      <c r="A258" s="676" t="s">
        <v>5951</v>
      </c>
      <c r="J258" s="682"/>
    </row>
    <row r="259" spans="1:10" ht="20.100000000000001" customHeight="1" x14ac:dyDescent="0.2">
      <c r="A259" s="676" t="s">
        <v>6055</v>
      </c>
      <c r="J259" s="682"/>
    </row>
    <row r="260" spans="1:10" ht="20.100000000000001" customHeight="1" x14ac:dyDescent="0.2">
      <c r="A260" s="676" t="s">
        <v>7900</v>
      </c>
      <c r="J260" s="682"/>
    </row>
    <row r="261" spans="1:10" ht="20.100000000000001" customHeight="1" x14ac:dyDescent="0.2">
      <c r="A261" s="676" t="s">
        <v>7151</v>
      </c>
      <c r="J261" s="682"/>
    </row>
    <row r="262" spans="1:10" ht="20.100000000000001" customHeight="1" x14ac:dyDescent="0.2">
      <c r="A262" s="676" t="s">
        <v>7153</v>
      </c>
      <c r="J262" s="682"/>
    </row>
    <row r="263" spans="1:10" ht="20.100000000000001" customHeight="1" x14ac:dyDescent="0.2">
      <c r="A263" s="676" t="s">
        <v>7154</v>
      </c>
      <c r="J263" s="682"/>
    </row>
    <row r="264" spans="1:10" ht="20.100000000000001" customHeight="1" x14ac:dyDescent="0.2">
      <c r="A264" s="676" t="s">
        <v>7155</v>
      </c>
      <c r="J264" s="682"/>
    </row>
    <row r="265" spans="1:10" ht="20.100000000000001" customHeight="1" x14ac:dyDescent="0.2">
      <c r="A265" s="676" t="s">
        <v>7913</v>
      </c>
      <c r="J265" s="682"/>
    </row>
    <row r="266" spans="1:10" ht="20.100000000000001" customHeight="1" x14ac:dyDescent="0.2">
      <c r="A266" s="676" t="s">
        <v>8198</v>
      </c>
      <c r="J266" s="682"/>
    </row>
    <row r="267" spans="1:10" ht="20.100000000000001" customHeight="1" x14ac:dyDescent="0.2">
      <c r="A267" s="676" t="s">
        <v>8354</v>
      </c>
      <c r="J267" s="682"/>
    </row>
    <row r="268" spans="1:10" ht="20.100000000000001" customHeight="1" x14ac:dyDescent="0.2">
      <c r="A268" s="676" t="s">
        <v>8666</v>
      </c>
      <c r="J268" s="682"/>
    </row>
    <row r="269" spans="1:10" ht="20.100000000000001" customHeight="1" x14ac:dyDescent="0.2">
      <c r="A269" s="676" t="s">
        <v>8566</v>
      </c>
      <c r="J269" s="682"/>
    </row>
    <row r="270" spans="1:10" ht="20.100000000000001" customHeight="1" x14ac:dyDescent="0.2">
      <c r="A270" s="676" t="s">
        <v>7444</v>
      </c>
      <c r="J270" s="682"/>
    </row>
    <row r="271" spans="1:10" ht="20.100000000000001" customHeight="1" x14ac:dyDescent="0.2">
      <c r="A271" s="676" t="s">
        <v>7445</v>
      </c>
      <c r="J271" s="682"/>
    </row>
    <row r="272" spans="1:10" ht="20.100000000000001" customHeight="1" x14ac:dyDescent="0.2">
      <c r="A272" s="676" t="s">
        <v>7650</v>
      </c>
      <c r="J272" s="682"/>
    </row>
    <row r="273" spans="1:10" ht="20.100000000000001" customHeight="1" x14ac:dyDescent="0.2">
      <c r="A273" s="676" t="s">
        <v>7446</v>
      </c>
      <c r="J273" s="682"/>
    </row>
    <row r="274" spans="1:10" ht="20.100000000000001" customHeight="1" x14ac:dyDescent="0.2">
      <c r="A274" s="676" t="s">
        <v>7447</v>
      </c>
      <c r="J274" s="682"/>
    </row>
    <row r="275" spans="1:10" ht="20.100000000000001" customHeight="1" x14ac:dyDescent="0.2">
      <c r="A275" s="676" t="s">
        <v>9489</v>
      </c>
      <c r="J275" s="682"/>
    </row>
    <row r="276" spans="1:10" ht="20.100000000000001" customHeight="1" x14ac:dyDescent="0.2">
      <c r="A276" s="676" t="s">
        <v>7822</v>
      </c>
      <c r="J276" s="682"/>
    </row>
    <row r="277" spans="1:10" ht="20.100000000000001" customHeight="1" x14ac:dyDescent="0.2">
      <c r="A277" s="676" t="s">
        <v>7729</v>
      </c>
      <c r="J277" s="682"/>
    </row>
    <row r="278" spans="1:10" ht="20.100000000000001" customHeight="1" x14ac:dyDescent="0.2">
      <c r="A278" s="676" t="s">
        <v>6059</v>
      </c>
      <c r="J278" s="682"/>
    </row>
    <row r="279" spans="1:10" ht="20.100000000000001" customHeight="1" x14ac:dyDescent="0.2">
      <c r="A279" s="676" t="s">
        <v>7984</v>
      </c>
      <c r="J279" s="682"/>
    </row>
    <row r="280" spans="1:10" ht="20.100000000000001" customHeight="1" x14ac:dyDescent="0.2">
      <c r="A280" s="676" t="s">
        <v>7985</v>
      </c>
      <c r="J280" s="682"/>
    </row>
    <row r="281" spans="1:10" ht="20.100000000000001" customHeight="1" x14ac:dyDescent="0.2">
      <c r="A281" s="676" t="s">
        <v>7986</v>
      </c>
      <c r="J281" s="682"/>
    </row>
    <row r="282" spans="1:10" ht="20.100000000000001" customHeight="1" x14ac:dyDescent="0.2">
      <c r="A282" s="676" t="s">
        <v>7987</v>
      </c>
      <c r="J282" s="682"/>
    </row>
    <row r="283" spans="1:10" ht="20.100000000000001" customHeight="1" x14ac:dyDescent="0.2">
      <c r="A283" s="676" t="s">
        <v>7988</v>
      </c>
      <c r="J283" s="682"/>
    </row>
    <row r="284" spans="1:10" ht="20.100000000000001" customHeight="1" x14ac:dyDescent="0.2">
      <c r="A284" s="676" t="s">
        <v>7989</v>
      </c>
      <c r="J284" s="682"/>
    </row>
    <row r="285" spans="1:10" ht="20.100000000000001" customHeight="1" x14ac:dyDescent="0.2">
      <c r="A285" s="676" t="s">
        <v>7990</v>
      </c>
      <c r="J285" s="682"/>
    </row>
    <row r="286" spans="1:10" ht="20.100000000000001" customHeight="1" x14ac:dyDescent="0.2">
      <c r="A286" s="676" t="s">
        <v>7991</v>
      </c>
      <c r="J286" s="682"/>
    </row>
    <row r="287" spans="1:10" ht="20.100000000000001" customHeight="1" x14ac:dyDescent="0.2">
      <c r="A287" s="676" t="s">
        <v>7992</v>
      </c>
      <c r="J287" s="682"/>
    </row>
    <row r="288" spans="1:10" ht="20.100000000000001" customHeight="1" x14ac:dyDescent="0.2">
      <c r="A288" s="676" t="s">
        <v>7993</v>
      </c>
      <c r="J288" s="682"/>
    </row>
    <row r="289" spans="1:11" ht="20.100000000000001" customHeight="1" x14ac:dyDescent="0.2">
      <c r="A289" s="676" t="s">
        <v>7994</v>
      </c>
      <c r="J289" s="682"/>
    </row>
    <row r="290" spans="1:11" ht="20.100000000000001" customHeight="1" x14ac:dyDescent="0.2">
      <c r="A290" s="676"/>
      <c r="J290" s="682"/>
    </row>
    <row r="291" spans="1:11" ht="20.100000000000001" customHeight="1" x14ac:dyDescent="0.2">
      <c r="A291" s="676"/>
      <c r="J291" s="682"/>
    </row>
    <row r="292" spans="1:11" ht="20.100000000000001" customHeight="1" x14ac:dyDescent="0.2">
      <c r="A292" s="676" t="s">
        <v>7855</v>
      </c>
      <c r="J292" s="682"/>
    </row>
    <row r="293" spans="1:11" ht="20.100000000000001" customHeight="1" x14ac:dyDescent="0.2">
      <c r="A293" s="676"/>
      <c r="J293" s="682"/>
    </row>
    <row r="294" spans="1:11" ht="20.100000000000001" customHeight="1" x14ac:dyDescent="0.2">
      <c r="A294" s="676" t="s">
        <v>8698</v>
      </c>
      <c r="J294" s="682"/>
    </row>
    <row r="295" spans="1:11" ht="20.100000000000001" customHeight="1" x14ac:dyDescent="0.2">
      <c r="A295" s="676"/>
      <c r="J295" s="682"/>
    </row>
    <row r="296" spans="1:11" ht="20.100000000000001" customHeight="1" x14ac:dyDescent="0.2">
      <c r="A296" s="676"/>
      <c r="J296" s="682"/>
    </row>
    <row r="297" spans="1:11" ht="20.100000000000001" customHeight="1" x14ac:dyDescent="0.2">
      <c r="A297" s="676"/>
      <c r="J297" s="682"/>
    </row>
    <row r="298" spans="1:11" ht="20.100000000000001" customHeight="1" x14ac:dyDescent="0.2">
      <c r="A298" s="685" t="s">
        <v>751</v>
      </c>
      <c r="B298" s="615"/>
      <c r="C298" s="615"/>
      <c r="D298" s="616"/>
      <c r="E298" s="615"/>
      <c r="F298" s="615"/>
      <c r="G298" s="615"/>
      <c r="H298" s="615"/>
      <c r="I298" s="615"/>
      <c r="J298" s="615"/>
      <c r="K298" s="615"/>
    </row>
    <row r="299" spans="1:11" ht="20.100000000000001" customHeight="1" x14ac:dyDescent="0.2">
      <c r="A299" s="686" t="s">
        <v>748</v>
      </c>
      <c r="B299" s="617" t="s">
        <v>469</v>
      </c>
      <c r="C299" s="618"/>
      <c r="D299" s="619"/>
      <c r="E299" s="618"/>
      <c r="F299" s="618"/>
      <c r="G299" s="618"/>
      <c r="H299" s="618"/>
      <c r="I299" s="687"/>
      <c r="J299" s="688"/>
      <c r="K299" s="689"/>
    </row>
    <row r="300" spans="1:11" ht="20.100000000000001" customHeight="1" x14ac:dyDescent="0.2">
      <c r="A300" s="621" t="s">
        <v>2277</v>
      </c>
      <c r="C300" s="618"/>
      <c r="D300" s="619"/>
      <c r="E300" s="618"/>
      <c r="F300" s="618"/>
      <c r="G300" s="618"/>
      <c r="H300" s="618"/>
      <c r="I300" s="687"/>
      <c r="J300" s="688"/>
      <c r="K300" s="689"/>
    </row>
    <row r="301" spans="1:11" ht="20.100000000000001" customHeight="1" x14ac:dyDescent="0.2">
      <c r="A301" s="675" t="s">
        <v>2278</v>
      </c>
      <c r="C301" s="618"/>
      <c r="D301" s="619"/>
      <c r="E301" s="618"/>
      <c r="F301" s="618"/>
      <c r="G301" s="618"/>
      <c r="H301" s="618"/>
      <c r="I301" s="687"/>
      <c r="J301" s="688"/>
      <c r="K301" s="689"/>
    </row>
    <row r="302" spans="1:11" ht="20.100000000000001" customHeight="1" x14ac:dyDescent="0.2">
      <c r="A302" s="675" t="s">
        <v>2279</v>
      </c>
      <c r="C302" s="618"/>
      <c r="D302" s="619"/>
      <c r="E302" s="618"/>
      <c r="F302" s="618"/>
      <c r="G302" s="618"/>
      <c r="H302" s="618"/>
      <c r="I302" s="687"/>
      <c r="J302" s="688"/>
      <c r="K302" s="689"/>
    </row>
    <row r="303" spans="1:11" ht="20.100000000000001" customHeight="1" x14ac:dyDescent="0.2">
      <c r="A303" s="621" t="s">
        <v>2280</v>
      </c>
      <c r="C303" s="618"/>
      <c r="D303" s="619"/>
      <c r="E303" s="618"/>
      <c r="F303" s="618"/>
      <c r="G303" s="618"/>
      <c r="H303" s="618"/>
      <c r="I303" s="687"/>
      <c r="J303" s="688"/>
      <c r="K303" s="689"/>
    </row>
    <row r="304" spans="1:11" ht="20.100000000000001" customHeight="1" x14ac:dyDescent="0.2">
      <c r="A304" s="675" t="s">
        <v>2281</v>
      </c>
      <c r="C304" s="618"/>
      <c r="D304" s="619"/>
      <c r="E304" s="618"/>
      <c r="F304" s="618"/>
      <c r="G304" s="618"/>
      <c r="H304" s="618"/>
      <c r="I304" s="687"/>
      <c r="J304" s="688"/>
      <c r="K304" s="689"/>
    </row>
    <row r="305" spans="1:11" ht="20.100000000000001" customHeight="1" x14ac:dyDescent="0.2">
      <c r="A305" s="675" t="s">
        <v>2282</v>
      </c>
      <c r="C305" s="618"/>
      <c r="D305" s="619"/>
      <c r="E305" s="618"/>
      <c r="F305" s="618"/>
      <c r="G305" s="618"/>
      <c r="H305" s="618"/>
      <c r="I305" s="687"/>
      <c r="J305" s="688"/>
      <c r="K305" s="689"/>
    </row>
    <row r="306" spans="1:11" ht="20.100000000000001" customHeight="1" x14ac:dyDescent="0.2">
      <c r="A306" s="621" t="s">
        <v>2283</v>
      </c>
      <c r="C306" s="618"/>
      <c r="D306" s="619"/>
      <c r="E306" s="618"/>
      <c r="F306" s="618"/>
      <c r="G306" s="618"/>
      <c r="H306" s="618"/>
      <c r="I306" s="687"/>
      <c r="J306" s="688"/>
      <c r="K306" s="689"/>
    </row>
    <row r="307" spans="1:11" ht="20.100000000000001" customHeight="1" x14ac:dyDescent="0.2">
      <c r="A307" s="624" t="s">
        <v>2284</v>
      </c>
      <c r="B307" s="620"/>
      <c r="C307" s="618"/>
      <c r="D307" s="619"/>
      <c r="E307" s="618"/>
      <c r="F307" s="618"/>
      <c r="G307" s="618"/>
      <c r="H307" s="618"/>
      <c r="I307" s="687"/>
      <c r="J307" s="688"/>
      <c r="K307" s="689"/>
    </row>
    <row r="308" spans="1:11" ht="20.100000000000001" customHeight="1" x14ac:dyDescent="0.2">
      <c r="A308" s="624" t="s">
        <v>2285</v>
      </c>
      <c r="B308" s="620"/>
      <c r="C308" s="618"/>
      <c r="D308" s="619"/>
      <c r="E308" s="618"/>
      <c r="F308" s="618"/>
      <c r="G308" s="618"/>
      <c r="H308" s="618"/>
      <c r="I308" s="687"/>
      <c r="J308" s="688"/>
      <c r="K308" s="689"/>
    </row>
    <row r="309" spans="1:11" ht="20.100000000000001" customHeight="1" x14ac:dyDescent="0.2">
      <c r="A309" s="623" t="s">
        <v>2286</v>
      </c>
      <c r="B309" s="621"/>
      <c r="C309" s="618"/>
      <c r="D309" s="619"/>
      <c r="E309" s="618"/>
      <c r="F309" s="618"/>
      <c r="G309" s="618"/>
      <c r="H309" s="618"/>
      <c r="I309" s="687"/>
      <c r="J309" s="688"/>
      <c r="K309" s="689"/>
    </row>
    <row r="310" spans="1:11" ht="20.100000000000001" customHeight="1" x14ac:dyDescent="0.2">
      <c r="A310" s="622" t="s">
        <v>2287</v>
      </c>
      <c r="B310" s="620"/>
      <c r="C310" s="618"/>
      <c r="D310" s="619"/>
      <c r="E310" s="618"/>
      <c r="F310" s="618"/>
      <c r="G310" s="618"/>
      <c r="H310" s="618"/>
      <c r="I310" s="687"/>
      <c r="J310" s="688"/>
      <c r="K310" s="689"/>
    </row>
    <row r="311" spans="1:11" ht="20.100000000000001" customHeight="1" x14ac:dyDescent="0.2">
      <c r="A311" s="622" t="s">
        <v>2288</v>
      </c>
      <c r="B311" s="620"/>
      <c r="C311" s="618"/>
      <c r="D311" s="619"/>
      <c r="E311" s="618"/>
      <c r="F311" s="618"/>
      <c r="G311" s="618"/>
      <c r="H311" s="618"/>
      <c r="I311" s="687"/>
      <c r="J311" s="688"/>
      <c r="K311" s="689"/>
    </row>
    <row r="312" spans="1:11" ht="20.100000000000001" customHeight="1" x14ac:dyDescent="0.2">
      <c r="A312" s="622" t="s">
        <v>2289</v>
      </c>
      <c r="B312" s="620"/>
      <c r="C312" s="618"/>
      <c r="D312" s="619"/>
      <c r="E312" s="618"/>
      <c r="F312" s="618"/>
      <c r="G312" s="618"/>
      <c r="H312" s="618"/>
      <c r="I312" s="687"/>
      <c r="J312" s="688"/>
      <c r="K312" s="689"/>
    </row>
    <row r="313" spans="1:11" ht="20.100000000000001" customHeight="1" x14ac:dyDescent="0.2">
      <c r="A313" s="622" t="s">
        <v>2290</v>
      </c>
      <c r="B313" s="620"/>
      <c r="C313" s="618"/>
      <c r="D313" s="619"/>
      <c r="E313" s="618"/>
      <c r="F313" s="618"/>
      <c r="G313" s="618"/>
      <c r="H313" s="618"/>
      <c r="I313" s="687"/>
      <c r="J313" s="688"/>
      <c r="K313" s="689"/>
    </row>
    <row r="314" spans="1:11" ht="20.100000000000001" customHeight="1" x14ac:dyDescent="0.2">
      <c r="A314" s="622" t="s">
        <v>2291</v>
      </c>
      <c r="B314" s="620"/>
      <c r="C314" s="618"/>
      <c r="D314" s="619"/>
      <c r="E314" s="618"/>
      <c r="F314" s="618"/>
      <c r="G314" s="618"/>
      <c r="H314" s="618"/>
      <c r="I314" s="687"/>
      <c r="J314" s="688"/>
      <c r="K314" s="689"/>
    </row>
    <row r="315" spans="1:11" ht="20.100000000000001" customHeight="1" x14ac:dyDescent="0.2">
      <c r="A315" s="622" t="s">
        <v>2292</v>
      </c>
      <c r="B315" s="620"/>
      <c r="C315" s="618"/>
      <c r="D315" s="619"/>
      <c r="E315" s="618"/>
      <c r="F315" s="618"/>
      <c r="G315" s="618"/>
      <c r="H315" s="618"/>
      <c r="I315" s="687"/>
      <c r="J315" s="688"/>
      <c r="K315" s="689"/>
    </row>
    <row r="316" spans="1:11" ht="20.100000000000001" customHeight="1" x14ac:dyDescent="0.2">
      <c r="A316" s="681" t="str">
        <f>CONCATENATE(B316," ",C316)</f>
        <v>124 Controle Externo</v>
      </c>
      <c r="B316" s="622">
        <v>124</v>
      </c>
      <c r="C316" s="620" t="s">
        <v>640</v>
      </c>
      <c r="D316" s="619"/>
      <c r="E316" s="618"/>
      <c r="F316" s="618"/>
      <c r="G316" s="618"/>
      <c r="H316" s="618"/>
      <c r="I316" s="687"/>
      <c r="J316" s="688"/>
      <c r="K316" s="689"/>
    </row>
    <row r="317" spans="1:11" ht="20.100000000000001" customHeight="1" x14ac:dyDescent="0.2">
      <c r="A317" s="681" t="str">
        <f t="shared" ref="A317:A380" si="4">CONCATENATE(B317," ",C317)</f>
        <v>123 Administração Financeira</v>
      </c>
      <c r="B317" s="622">
        <v>123</v>
      </c>
      <c r="C317" s="620" t="s">
        <v>642</v>
      </c>
      <c r="D317" s="619"/>
      <c r="E317" s="618"/>
      <c r="F317" s="618"/>
      <c r="G317" s="618"/>
      <c r="H317" s="618"/>
      <c r="I317" s="687"/>
      <c r="J317" s="688"/>
      <c r="K317" s="689"/>
    </row>
    <row r="318" spans="1:11" ht="20.100000000000001" customHeight="1" x14ac:dyDescent="0.2">
      <c r="A318" s="681" t="str">
        <f t="shared" si="4"/>
        <v>131 Comunicação Social</v>
      </c>
      <c r="B318" s="622">
        <v>131</v>
      </c>
      <c r="C318" s="620" t="s">
        <v>643</v>
      </c>
      <c r="D318" s="619"/>
      <c r="E318" s="618"/>
      <c r="F318" s="618"/>
      <c r="G318" s="618"/>
      <c r="H318" s="618"/>
      <c r="I318" s="687"/>
      <c r="J318" s="688"/>
      <c r="K318" s="689"/>
    </row>
    <row r="319" spans="1:11" ht="20.100000000000001" customHeight="1" x14ac:dyDescent="0.2">
      <c r="A319" s="681" t="str">
        <f t="shared" si="4"/>
        <v>130 Administração de Concessões</v>
      </c>
      <c r="B319" s="622">
        <v>130</v>
      </c>
      <c r="C319" s="620" t="s">
        <v>644</v>
      </c>
      <c r="D319" s="619"/>
      <c r="E319" s="618"/>
      <c r="F319" s="618"/>
      <c r="G319" s="618"/>
      <c r="H319" s="618"/>
      <c r="I319" s="687"/>
      <c r="J319" s="688"/>
      <c r="K319" s="689"/>
    </row>
    <row r="320" spans="1:11" ht="20.100000000000001" customHeight="1" x14ac:dyDescent="0.2">
      <c r="A320" s="681" t="str">
        <f t="shared" si="4"/>
        <v>129 Administração de Receitas</v>
      </c>
      <c r="B320" s="622">
        <v>129</v>
      </c>
      <c r="C320" s="620" t="s">
        <v>645</v>
      </c>
      <c r="D320" s="619"/>
      <c r="E320" s="618"/>
      <c r="F320" s="618"/>
      <c r="G320" s="618"/>
      <c r="H320" s="618"/>
      <c r="I320" s="687"/>
      <c r="J320" s="688"/>
      <c r="K320" s="689"/>
    </row>
    <row r="321" spans="1:11" ht="20.100000000000001" customHeight="1" x14ac:dyDescent="0.2">
      <c r="A321" s="681" t="str">
        <f t="shared" si="4"/>
        <v>05 Defesa Nacional</v>
      </c>
      <c r="B321" s="623" t="s">
        <v>434</v>
      </c>
      <c r="C321" s="621" t="s">
        <v>616</v>
      </c>
      <c r="D321" s="619"/>
      <c r="E321" s="618"/>
      <c r="F321" s="618"/>
      <c r="G321" s="618"/>
      <c r="H321" s="618"/>
      <c r="I321" s="687"/>
      <c r="J321" s="688"/>
      <c r="K321" s="689"/>
    </row>
    <row r="322" spans="1:11" ht="20.100000000000001" customHeight="1" x14ac:dyDescent="0.2">
      <c r="A322" s="681" t="str">
        <f t="shared" si="4"/>
        <v>152 Defesa Naval</v>
      </c>
      <c r="B322" s="622">
        <v>152</v>
      </c>
      <c r="C322" s="620" t="s">
        <v>646</v>
      </c>
      <c r="D322" s="619"/>
      <c r="E322" s="618"/>
      <c r="F322" s="618"/>
      <c r="G322" s="618"/>
      <c r="H322" s="618"/>
      <c r="I322" s="687"/>
      <c r="J322" s="688"/>
      <c r="K322" s="689"/>
    </row>
    <row r="323" spans="1:11" ht="20.100000000000001" customHeight="1" x14ac:dyDescent="0.2">
      <c r="A323" s="681" t="str">
        <f t="shared" si="4"/>
        <v>153 Defesa Terrestre</v>
      </c>
      <c r="B323" s="622">
        <v>153</v>
      </c>
      <c r="C323" s="620" t="s">
        <v>647</v>
      </c>
      <c r="D323" s="619"/>
      <c r="E323" s="618"/>
      <c r="F323" s="618"/>
      <c r="G323" s="618"/>
      <c r="H323" s="618"/>
      <c r="I323" s="687"/>
      <c r="J323" s="688"/>
      <c r="K323" s="689"/>
    </row>
    <row r="324" spans="1:11" ht="20.100000000000001" customHeight="1" x14ac:dyDescent="0.2">
      <c r="A324" s="681" t="str">
        <f t="shared" si="4"/>
        <v>151 Defesa Área</v>
      </c>
      <c r="B324" s="622">
        <v>151</v>
      </c>
      <c r="C324" s="620" t="s">
        <v>648</v>
      </c>
      <c r="D324" s="619"/>
      <c r="E324" s="618"/>
      <c r="F324" s="618"/>
      <c r="G324" s="618"/>
      <c r="H324" s="618"/>
      <c r="I324" s="687"/>
      <c r="J324" s="688"/>
      <c r="K324" s="689"/>
    </row>
    <row r="325" spans="1:11" ht="20.100000000000001" customHeight="1" x14ac:dyDescent="0.2">
      <c r="A325" s="681" t="str">
        <f t="shared" si="4"/>
        <v>06 Segurança Pública</v>
      </c>
      <c r="B325" s="623" t="s">
        <v>436</v>
      </c>
      <c r="C325" s="621" t="s">
        <v>617</v>
      </c>
      <c r="D325" s="619"/>
      <c r="E325" s="618"/>
      <c r="F325" s="618"/>
      <c r="G325" s="618"/>
      <c r="H325" s="618"/>
      <c r="I325" s="687"/>
      <c r="J325" s="688"/>
      <c r="K325" s="689"/>
    </row>
    <row r="326" spans="1:11" ht="20.100000000000001" customHeight="1" x14ac:dyDescent="0.2">
      <c r="A326" s="681" t="str">
        <f t="shared" si="4"/>
        <v>183 Informação e Inteligência</v>
      </c>
      <c r="B326" s="622">
        <v>183</v>
      </c>
      <c r="C326" s="620" t="s">
        <v>649</v>
      </c>
      <c r="D326" s="619"/>
      <c r="E326" s="618"/>
      <c r="F326" s="618"/>
      <c r="G326" s="618"/>
      <c r="H326" s="618"/>
      <c r="I326" s="687"/>
      <c r="J326" s="688"/>
      <c r="K326" s="689"/>
    </row>
    <row r="327" spans="1:11" ht="20.100000000000001" customHeight="1" x14ac:dyDescent="0.2">
      <c r="A327" s="681" t="str">
        <f t="shared" si="4"/>
        <v>182 Defesa Civil</v>
      </c>
      <c r="B327" s="622">
        <v>182</v>
      </c>
      <c r="C327" s="620" t="s">
        <v>650</v>
      </c>
      <c r="D327" s="619"/>
      <c r="E327" s="618"/>
      <c r="F327" s="618"/>
      <c r="G327" s="618"/>
      <c r="H327" s="618"/>
      <c r="I327" s="687"/>
      <c r="J327" s="688"/>
      <c r="K327" s="689"/>
    </row>
    <row r="328" spans="1:11" ht="20.100000000000001" customHeight="1" x14ac:dyDescent="0.2">
      <c r="A328" s="681" t="str">
        <f t="shared" si="4"/>
        <v>181 Policiamento</v>
      </c>
      <c r="B328" s="622">
        <v>181</v>
      </c>
      <c r="C328" s="620" t="s">
        <v>651</v>
      </c>
      <c r="D328" s="619"/>
      <c r="E328" s="618"/>
      <c r="F328" s="618"/>
      <c r="G328" s="618"/>
      <c r="H328" s="618"/>
      <c r="I328" s="687"/>
      <c r="J328" s="688"/>
      <c r="K328" s="689"/>
    </row>
    <row r="329" spans="1:11" ht="20.100000000000001" customHeight="1" x14ac:dyDescent="0.2">
      <c r="A329" s="681" t="str">
        <f t="shared" si="4"/>
        <v>07 Relações Exteriores</v>
      </c>
      <c r="B329" s="623" t="s">
        <v>435</v>
      </c>
      <c r="C329" s="621" t="s">
        <v>618</v>
      </c>
      <c r="D329" s="619"/>
      <c r="E329" s="618"/>
      <c r="F329" s="618"/>
      <c r="G329" s="618"/>
      <c r="H329" s="618"/>
      <c r="I329" s="687"/>
      <c r="J329" s="688"/>
      <c r="K329" s="689"/>
    </row>
    <row r="330" spans="1:11" ht="20.100000000000001" customHeight="1" x14ac:dyDescent="0.2">
      <c r="A330" s="681" t="str">
        <f t="shared" si="4"/>
        <v>212 Cooperação Internacional</v>
      </c>
      <c r="B330" s="622">
        <v>212</v>
      </c>
      <c r="C330" s="620" t="s">
        <v>652</v>
      </c>
      <c r="D330" s="619"/>
      <c r="E330" s="618"/>
      <c r="F330" s="618"/>
      <c r="G330" s="618"/>
      <c r="H330" s="618"/>
      <c r="I330" s="687"/>
      <c r="J330" s="688"/>
      <c r="K330" s="689"/>
    </row>
    <row r="331" spans="1:11" ht="20.100000000000001" customHeight="1" x14ac:dyDescent="0.2">
      <c r="A331" s="681" t="str">
        <f t="shared" si="4"/>
        <v>211 Relações Diplomáticas</v>
      </c>
      <c r="B331" s="622">
        <v>211</v>
      </c>
      <c r="C331" s="620" t="s">
        <v>653</v>
      </c>
      <c r="D331" s="619"/>
      <c r="E331" s="618"/>
      <c r="F331" s="618"/>
      <c r="G331" s="618"/>
      <c r="H331" s="618"/>
      <c r="I331" s="687"/>
      <c r="J331" s="688"/>
      <c r="K331" s="689"/>
    </row>
    <row r="332" spans="1:11" ht="20.100000000000001" customHeight="1" x14ac:dyDescent="0.2">
      <c r="A332" s="681" t="str">
        <f t="shared" si="4"/>
        <v>08 Assistência Social</v>
      </c>
      <c r="B332" s="623" t="s">
        <v>138</v>
      </c>
      <c r="C332" s="621" t="s">
        <v>619</v>
      </c>
      <c r="D332" s="619"/>
      <c r="E332" s="618"/>
      <c r="F332" s="618"/>
      <c r="G332" s="618"/>
      <c r="H332" s="618"/>
      <c r="I332" s="687"/>
      <c r="J332" s="688"/>
      <c r="K332" s="689"/>
    </row>
    <row r="333" spans="1:11" ht="20.100000000000001" customHeight="1" x14ac:dyDescent="0.2">
      <c r="A333" s="681" t="str">
        <f t="shared" si="4"/>
        <v>243 Assistência à Criança e ao Adolescente</v>
      </c>
      <c r="B333" s="622">
        <v>243</v>
      </c>
      <c r="C333" s="620" t="s">
        <v>654</v>
      </c>
      <c r="D333" s="619"/>
      <c r="E333" s="618"/>
      <c r="F333" s="618"/>
      <c r="G333" s="618"/>
      <c r="H333" s="618"/>
      <c r="I333" s="687"/>
      <c r="J333" s="688"/>
      <c r="K333" s="689"/>
    </row>
    <row r="334" spans="1:11" ht="20.100000000000001" customHeight="1" x14ac:dyDescent="0.2">
      <c r="A334" s="681" t="str">
        <f t="shared" si="4"/>
        <v>244 Assistência Comunitária</v>
      </c>
      <c r="B334" s="622">
        <v>244</v>
      </c>
      <c r="C334" s="620" t="s">
        <v>655</v>
      </c>
      <c r="D334" s="619"/>
      <c r="E334" s="618"/>
      <c r="F334" s="618"/>
      <c r="G334" s="618"/>
      <c r="H334" s="618"/>
      <c r="I334" s="687"/>
      <c r="J334" s="688"/>
      <c r="K334" s="689"/>
    </row>
    <row r="335" spans="1:11" ht="20.100000000000001" customHeight="1" x14ac:dyDescent="0.2">
      <c r="A335" s="681" t="str">
        <f t="shared" si="4"/>
        <v>846 Outros Encargos Especiais</v>
      </c>
      <c r="B335" s="622">
        <v>846</v>
      </c>
      <c r="C335" s="620" t="s">
        <v>656</v>
      </c>
      <c r="D335" s="619"/>
      <c r="E335" s="618"/>
      <c r="F335" s="618"/>
      <c r="G335" s="618"/>
      <c r="H335" s="618"/>
      <c r="I335" s="687"/>
      <c r="J335" s="688"/>
      <c r="K335" s="689"/>
    </row>
    <row r="336" spans="1:11" ht="20.100000000000001" customHeight="1" x14ac:dyDescent="0.2">
      <c r="A336" s="681" t="str">
        <f t="shared" si="4"/>
        <v>242 Assistência ao Portador de Deficiência</v>
      </c>
      <c r="B336" s="622">
        <v>242</v>
      </c>
      <c r="C336" s="620" t="s">
        <v>657</v>
      </c>
      <c r="D336" s="619"/>
      <c r="E336" s="618"/>
      <c r="F336" s="618"/>
      <c r="G336" s="618"/>
      <c r="H336" s="618"/>
      <c r="I336" s="687"/>
      <c r="J336" s="688"/>
      <c r="K336" s="689"/>
    </row>
    <row r="337" spans="1:11" ht="20.100000000000001" customHeight="1" x14ac:dyDescent="0.2">
      <c r="A337" s="681" t="str">
        <f t="shared" si="4"/>
        <v>241 Assistência ao Idoso</v>
      </c>
      <c r="B337" s="622">
        <v>241</v>
      </c>
      <c r="C337" s="620" t="s">
        <v>658</v>
      </c>
      <c r="D337" s="619"/>
      <c r="E337" s="618"/>
      <c r="F337" s="618"/>
      <c r="G337" s="618"/>
      <c r="H337" s="618"/>
      <c r="I337" s="687"/>
      <c r="J337" s="688"/>
      <c r="K337" s="689"/>
    </row>
    <row r="338" spans="1:11" ht="20.100000000000001" customHeight="1" x14ac:dyDescent="0.2">
      <c r="A338" s="681" t="str">
        <f t="shared" si="4"/>
        <v>122 Administração Geral</v>
      </c>
      <c r="B338" s="622">
        <v>122</v>
      </c>
      <c r="C338" s="620" t="s">
        <v>641</v>
      </c>
      <c r="D338" s="619"/>
      <c r="E338" s="618"/>
      <c r="F338" s="618"/>
      <c r="G338" s="618"/>
      <c r="H338" s="618"/>
      <c r="I338" s="687"/>
      <c r="J338" s="688"/>
      <c r="K338" s="689"/>
    </row>
    <row r="339" spans="1:11" ht="20.100000000000001" customHeight="1" x14ac:dyDescent="0.2">
      <c r="A339" s="681" t="str">
        <f t="shared" si="4"/>
        <v>09 Previdência Social</v>
      </c>
      <c r="B339" s="623" t="s">
        <v>140</v>
      </c>
      <c r="C339" s="621" t="s">
        <v>620</v>
      </c>
      <c r="D339" s="619"/>
      <c r="E339" s="618"/>
      <c r="F339" s="618"/>
      <c r="G339" s="618"/>
      <c r="H339" s="618"/>
      <c r="I339" s="687"/>
      <c r="J339" s="688"/>
      <c r="K339" s="689"/>
    </row>
    <row r="340" spans="1:11" ht="20.100000000000001" customHeight="1" x14ac:dyDescent="0.2">
      <c r="A340" s="681" t="str">
        <f t="shared" si="4"/>
        <v>272 Previdência do Regime Estatutário</v>
      </c>
      <c r="B340" s="622">
        <v>272</v>
      </c>
      <c r="C340" s="620" t="s">
        <v>659</v>
      </c>
      <c r="D340" s="619"/>
      <c r="E340" s="618"/>
      <c r="F340" s="618"/>
      <c r="G340" s="618"/>
      <c r="H340" s="618"/>
      <c r="I340" s="687"/>
      <c r="J340" s="688"/>
      <c r="K340" s="689"/>
    </row>
    <row r="341" spans="1:11" ht="20.100000000000001" customHeight="1" x14ac:dyDescent="0.2">
      <c r="A341" s="681" t="str">
        <f t="shared" si="4"/>
        <v>271 Previdência Básica</v>
      </c>
      <c r="B341" s="622">
        <v>271</v>
      </c>
      <c r="C341" s="620" t="s">
        <v>660</v>
      </c>
      <c r="D341" s="619"/>
      <c r="E341" s="618"/>
      <c r="F341" s="618"/>
      <c r="G341" s="618"/>
      <c r="H341" s="618"/>
      <c r="I341" s="687"/>
      <c r="J341" s="688"/>
      <c r="K341" s="689"/>
    </row>
    <row r="342" spans="1:11" ht="20.100000000000001" customHeight="1" x14ac:dyDescent="0.2">
      <c r="A342" s="681" t="str">
        <f>CONCATENATE(B342," ",C342)</f>
        <v>273 Previdência Complementar</v>
      </c>
      <c r="B342" s="622">
        <v>273</v>
      </c>
      <c r="C342" s="620" t="s">
        <v>661</v>
      </c>
      <c r="D342" s="619"/>
      <c r="E342" s="618"/>
      <c r="F342" s="618"/>
      <c r="G342" s="618"/>
      <c r="H342" s="618"/>
      <c r="I342" s="687"/>
      <c r="J342" s="688"/>
      <c r="K342" s="689"/>
    </row>
    <row r="343" spans="1:11" ht="20.100000000000001" customHeight="1" x14ac:dyDescent="0.2">
      <c r="A343" s="681" t="str">
        <f t="shared" si="4"/>
        <v>274 Previdência Especial</v>
      </c>
      <c r="B343" s="622">
        <v>274</v>
      </c>
      <c r="C343" s="620" t="s">
        <v>662</v>
      </c>
      <c r="D343" s="619"/>
      <c r="E343" s="618"/>
      <c r="F343" s="618"/>
      <c r="G343" s="618"/>
      <c r="H343" s="618"/>
      <c r="I343" s="687"/>
      <c r="J343" s="688"/>
      <c r="K343" s="689"/>
    </row>
    <row r="344" spans="1:11" ht="20.100000000000001" customHeight="1" x14ac:dyDescent="0.2">
      <c r="A344" s="681" t="str">
        <f t="shared" si="4"/>
        <v>10 Saúde</v>
      </c>
      <c r="B344" s="623">
        <v>10</v>
      </c>
      <c r="C344" s="621" t="s">
        <v>621</v>
      </c>
      <c r="D344" s="619"/>
      <c r="E344" s="618"/>
      <c r="F344" s="618"/>
      <c r="G344" s="618"/>
      <c r="H344" s="618"/>
      <c r="I344" s="687"/>
      <c r="J344" s="688"/>
      <c r="K344" s="689"/>
    </row>
    <row r="345" spans="1:11" ht="20.100000000000001" customHeight="1" x14ac:dyDescent="0.2">
      <c r="A345" s="681" t="str">
        <f t="shared" si="4"/>
        <v>303 Suporte Profilático e Terapêutico</v>
      </c>
      <c r="B345" s="622">
        <v>303</v>
      </c>
      <c r="C345" s="620" t="s">
        <v>663</v>
      </c>
      <c r="D345" s="619"/>
      <c r="E345" s="618"/>
      <c r="F345" s="618"/>
      <c r="G345" s="618"/>
      <c r="H345" s="618"/>
      <c r="I345" s="687"/>
      <c r="J345" s="688"/>
      <c r="K345" s="689"/>
    </row>
    <row r="346" spans="1:11" ht="20.100000000000001" customHeight="1" x14ac:dyDescent="0.2">
      <c r="A346" s="681" t="str">
        <f t="shared" si="4"/>
        <v>304 Vigilância Sanitária</v>
      </c>
      <c r="B346" s="622">
        <v>304</v>
      </c>
      <c r="C346" s="620" t="s">
        <v>664</v>
      </c>
      <c r="D346" s="619"/>
      <c r="E346" s="618"/>
      <c r="F346" s="618"/>
      <c r="G346" s="618"/>
      <c r="H346" s="618"/>
      <c r="I346" s="687"/>
      <c r="J346" s="688"/>
      <c r="K346" s="689"/>
    </row>
    <row r="347" spans="1:11" ht="20.100000000000001" customHeight="1" x14ac:dyDescent="0.2">
      <c r="A347" s="681" t="str">
        <f t="shared" si="4"/>
        <v>305 Vigilância Epidemiológica</v>
      </c>
      <c r="B347" s="622">
        <v>305</v>
      </c>
      <c r="C347" s="620" t="s">
        <v>665</v>
      </c>
      <c r="D347" s="619"/>
      <c r="E347" s="618"/>
      <c r="F347" s="618"/>
      <c r="G347" s="618"/>
      <c r="H347" s="618"/>
      <c r="I347" s="687"/>
      <c r="J347" s="688"/>
      <c r="K347" s="689"/>
    </row>
    <row r="348" spans="1:11" ht="20.100000000000001" customHeight="1" x14ac:dyDescent="0.2">
      <c r="A348" s="681" t="str">
        <f t="shared" si="4"/>
        <v>244 Assistência Comunitária</v>
      </c>
      <c r="B348" s="622">
        <v>244</v>
      </c>
      <c r="C348" s="620" t="s">
        <v>655</v>
      </c>
      <c r="D348" s="619"/>
      <c r="E348" s="618"/>
      <c r="F348" s="618"/>
      <c r="G348" s="618"/>
      <c r="H348" s="618"/>
      <c r="I348" s="687"/>
      <c r="J348" s="688"/>
      <c r="K348" s="689"/>
    </row>
    <row r="349" spans="1:11" ht="20.100000000000001" customHeight="1" x14ac:dyDescent="0.2">
      <c r="A349" s="681" t="str">
        <f t="shared" si="4"/>
        <v>122 Administração Geral</v>
      </c>
      <c r="B349" s="622">
        <v>122</v>
      </c>
      <c r="C349" s="620" t="s">
        <v>641</v>
      </c>
      <c r="D349" s="619"/>
      <c r="E349" s="618"/>
      <c r="F349" s="618"/>
      <c r="G349" s="618"/>
      <c r="H349" s="618"/>
      <c r="I349" s="687"/>
      <c r="J349" s="688"/>
      <c r="K349" s="689"/>
    </row>
    <row r="350" spans="1:11" ht="20.100000000000001" customHeight="1" x14ac:dyDescent="0.2">
      <c r="A350" s="681" t="str">
        <f t="shared" si="4"/>
        <v>306 Alimentação e Nutrição</v>
      </c>
      <c r="B350" s="622">
        <v>306</v>
      </c>
      <c r="C350" s="620" t="s">
        <v>666</v>
      </c>
      <c r="D350" s="619"/>
      <c r="E350" s="618"/>
      <c r="F350" s="618"/>
      <c r="G350" s="618"/>
      <c r="H350" s="618"/>
      <c r="I350" s="687"/>
      <c r="J350" s="688"/>
      <c r="K350" s="689"/>
    </row>
    <row r="351" spans="1:11" ht="20.100000000000001" customHeight="1" x14ac:dyDescent="0.2">
      <c r="A351" s="681" t="str">
        <f t="shared" si="4"/>
        <v>301 Atenção Básica</v>
      </c>
      <c r="B351" s="622">
        <v>301</v>
      </c>
      <c r="C351" s="620" t="s">
        <v>667</v>
      </c>
      <c r="D351" s="619"/>
      <c r="E351" s="618"/>
      <c r="F351" s="618"/>
      <c r="G351" s="618"/>
      <c r="H351" s="618"/>
      <c r="I351" s="687"/>
      <c r="J351" s="688"/>
      <c r="K351" s="689"/>
    </row>
    <row r="352" spans="1:11" ht="20.100000000000001" customHeight="1" x14ac:dyDescent="0.2">
      <c r="A352" s="681" t="str">
        <f t="shared" si="4"/>
        <v>302 Assistência Hospitalar e Ambulatorial</v>
      </c>
      <c r="B352" s="622">
        <v>302</v>
      </c>
      <c r="C352" s="620" t="s">
        <v>668</v>
      </c>
      <c r="D352" s="619"/>
      <c r="E352" s="618"/>
      <c r="F352" s="618"/>
      <c r="G352" s="618"/>
      <c r="H352" s="618"/>
      <c r="I352" s="687"/>
      <c r="J352" s="688"/>
      <c r="K352" s="689"/>
    </row>
    <row r="353" spans="1:11" ht="20.100000000000001" customHeight="1" x14ac:dyDescent="0.2">
      <c r="A353" s="681" t="str">
        <f t="shared" si="4"/>
        <v>11 Trabalho</v>
      </c>
      <c r="B353" s="623">
        <v>11</v>
      </c>
      <c r="C353" s="621" t="s">
        <v>622</v>
      </c>
      <c r="D353" s="619"/>
      <c r="E353" s="618"/>
      <c r="F353" s="618"/>
      <c r="G353" s="618"/>
      <c r="H353" s="618"/>
      <c r="I353" s="687"/>
      <c r="J353" s="688"/>
      <c r="K353" s="689"/>
    </row>
    <row r="354" spans="1:11" ht="20.100000000000001" customHeight="1" x14ac:dyDescent="0.2">
      <c r="A354" s="681" t="str">
        <f t="shared" si="4"/>
        <v>332 Relação de Trabalho</v>
      </c>
      <c r="B354" s="622">
        <v>332</v>
      </c>
      <c r="C354" s="620" t="s">
        <v>669</v>
      </c>
      <c r="D354" s="619"/>
      <c r="E354" s="618"/>
      <c r="F354" s="618"/>
      <c r="G354" s="618"/>
      <c r="H354" s="618"/>
      <c r="I354" s="687"/>
      <c r="J354" s="688"/>
      <c r="K354" s="689"/>
    </row>
    <row r="355" spans="1:11" ht="20.100000000000001" customHeight="1" x14ac:dyDescent="0.2">
      <c r="A355" s="681" t="str">
        <f t="shared" si="4"/>
        <v>333 Empregabilidade</v>
      </c>
      <c r="B355" s="622">
        <v>333</v>
      </c>
      <c r="C355" s="620" t="s">
        <v>670</v>
      </c>
      <c r="D355" s="619"/>
      <c r="E355" s="618"/>
      <c r="F355" s="618"/>
      <c r="G355" s="618"/>
      <c r="H355" s="618"/>
      <c r="I355" s="687"/>
      <c r="J355" s="688"/>
      <c r="K355" s="689"/>
    </row>
    <row r="356" spans="1:11" ht="20.100000000000001" customHeight="1" x14ac:dyDescent="0.2">
      <c r="A356" s="681" t="str">
        <f t="shared" si="4"/>
        <v>331 Proteção e Benefícios ao Trabalhador</v>
      </c>
      <c r="B356" s="622">
        <v>331</v>
      </c>
      <c r="C356" s="620" t="s">
        <v>671</v>
      </c>
      <c r="D356" s="619"/>
      <c r="E356" s="618"/>
      <c r="F356" s="618"/>
      <c r="G356" s="618"/>
      <c r="H356" s="618"/>
      <c r="I356" s="687"/>
      <c r="J356" s="688"/>
      <c r="K356" s="689"/>
    </row>
    <row r="357" spans="1:11" ht="20.100000000000001" customHeight="1" x14ac:dyDescent="0.2">
      <c r="A357" s="681" t="str">
        <f t="shared" si="4"/>
        <v>334 Fomento ao Trabalho</v>
      </c>
      <c r="B357" s="622">
        <v>334</v>
      </c>
      <c r="C357" s="620" t="s">
        <v>672</v>
      </c>
      <c r="D357" s="619"/>
      <c r="E357" s="618"/>
      <c r="F357" s="618"/>
      <c r="G357" s="618"/>
      <c r="H357" s="618"/>
      <c r="I357" s="687"/>
      <c r="J357" s="688"/>
      <c r="K357" s="689"/>
    </row>
    <row r="358" spans="1:11" ht="20.100000000000001" customHeight="1" x14ac:dyDescent="0.2">
      <c r="A358" s="681" t="str">
        <f t="shared" si="4"/>
        <v>12 Educação</v>
      </c>
      <c r="B358" s="623">
        <v>12</v>
      </c>
      <c r="C358" s="621" t="s">
        <v>623</v>
      </c>
      <c r="D358" s="619"/>
      <c r="E358" s="618"/>
      <c r="F358" s="618"/>
      <c r="G358" s="618"/>
      <c r="H358" s="618"/>
      <c r="I358" s="687"/>
      <c r="J358" s="688"/>
      <c r="K358" s="689"/>
    </row>
    <row r="359" spans="1:11" ht="20.100000000000001" customHeight="1" x14ac:dyDescent="0.2">
      <c r="A359" s="681" t="str">
        <f t="shared" si="4"/>
        <v>365 Educação Infantil</v>
      </c>
      <c r="B359" s="622">
        <v>365</v>
      </c>
      <c r="C359" s="620" t="s">
        <v>673</v>
      </c>
      <c r="D359" s="619"/>
      <c r="E359" s="618"/>
      <c r="F359" s="618"/>
      <c r="G359" s="618"/>
      <c r="H359" s="618"/>
      <c r="I359" s="687"/>
      <c r="J359" s="688"/>
      <c r="K359" s="689"/>
    </row>
    <row r="360" spans="1:11" ht="20.100000000000001" customHeight="1" x14ac:dyDescent="0.2">
      <c r="A360" s="681" t="str">
        <f t="shared" si="4"/>
        <v>306 Alimentação e Nutrição</v>
      </c>
      <c r="B360" s="622">
        <v>306</v>
      </c>
      <c r="C360" s="620" t="s">
        <v>666</v>
      </c>
      <c r="D360" s="619"/>
      <c r="E360" s="618"/>
      <c r="F360" s="618"/>
      <c r="G360" s="618"/>
      <c r="H360" s="618"/>
      <c r="I360" s="687"/>
      <c r="J360" s="688"/>
      <c r="K360" s="689"/>
    </row>
    <row r="361" spans="1:11" ht="20.100000000000001" customHeight="1" x14ac:dyDescent="0.2">
      <c r="A361" s="681" t="str">
        <f t="shared" si="4"/>
        <v>122 Administração Geral</v>
      </c>
      <c r="B361" s="622">
        <v>122</v>
      </c>
      <c r="C361" s="620" t="s">
        <v>641</v>
      </c>
      <c r="D361" s="619"/>
      <c r="E361" s="618"/>
      <c r="F361" s="618"/>
      <c r="G361" s="618"/>
      <c r="H361" s="618"/>
      <c r="I361" s="687"/>
      <c r="J361" s="688"/>
      <c r="K361" s="689"/>
    </row>
    <row r="362" spans="1:11" ht="20.100000000000001" customHeight="1" x14ac:dyDescent="0.2">
      <c r="A362" s="681" t="str">
        <f t="shared" si="4"/>
        <v>366 Educação de Jovens e Adultos</v>
      </c>
      <c r="B362" s="622">
        <v>366</v>
      </c>
      <c r="C362" s="620" t="s">
        <v>674</v>
      </c>
      <c r="D362" s="619"/>
      <c r="E362" s="618"/>
      <c r="F362" s="618"/>
      <c r="G362" s="618"/>
      <c r="H362" s="618"/>
      <c r="I362" s="687"/>
      <c r="J362" s="688"/>
      <c r="K362" s="689"/>
    </row>
    <row r="363" spans="1:11" ht="20.100000000000001" customHeight="1" x14ac:dyDescent="0.2">
      <c r="A363" s="681" t="str">
        <f t="shared" si="4"/>
        <v>782 Transporte Rodoviário</v>
      </c>
      <c r="B363" s="622">
        <v>782</v>
      </c>
      <c r="C363" s="620" t="s">
        <v>675</v>
      </c>
      <c r="D363" s="619"/>
      <c r="E363" s="618"/>
      <c r="F363" s="618"/>
      <c r="G363" s="618"/>
      <c r="H363" s="618"/>
      <c r="I363" s="687"/>
      <c r="J363" s="688"/>
      <c r="K363" s="689"/>
    </row>
    <row r="364" spans="1:11" ht="20.100000000000001" customHeight="1" x14ac:dyDescent="0.2">
      <c r="A364" s="681" t="str">
        <f t="shared" si="4"/>
        <v>364 Ensino Superior</v>
      </c>
      <c r="B364" s="622">
        <v>364</v>
      </c>
      <c r="C364" s="620" t="s">
        <v>676</v>
      </c>
      <c r="D364" s="619"/>
      <c r="E364" s="618"/>
      <c r="F364" s="618"/>
      <c r="G364" s="618"/>
      <c r="H364" s="618"/>
      <c r="I364" s="687"/>
      <c r="J364" s="688"/>
      <c r="K364" s="689"/>
    </row>
    <row r="365" spans="1:11" ht="20.100000000000001" customHeight="1" x14ac:dyDescent="0.2">
      <c r="A365" s="681" t="str">
        <f t="shared" si="4"/>
        <v>367 Educação Especial</v>
      </c>
      <c r="B365" s="622">
        <v>367</v>
      </c>
      <c r="C365" s="620" t="s">
        <v>38</v>
      </c>
      <c r="D365" s="619"/>
      <c r="E365" s="618"/>
      <c r="F365" s="618"/>
      <c r="G365" s="618"/>
      <c r="H365" s="618"/>
      <c r="I365" s="687"/>
      <c r="J365" s="688"/>
      <c r="K365" s="689"/>
    </row>
    <row r="366" spans="1:11" ht="20.100000000000001" customHeight="1" x14ac:dyDescent="0.2">
      <c r="A366" s="681" t="str">
        <f t="shared" si="4"/>
        <v>361 Ensino Fundamental</v>
      </c>
      <c r="B366" s="622">
        <v>361</v>
      </c>
      <c r="C366" s="620" t="s">
        <v>677</v>
      </c>
      <c r="D366" s="619"/>
      <c r="E366" s="618"/>
      <c r="F366" s="618"/>
      <c r="G366" s="618"/>
      <c r="H366" s="618"/>
      <c r="I366" s="687"/>
      <c r="J366" s="688"/>
      <c r="K366" s="689"/>
    </row>
    <row r="367" spans="1:11" ht="20.100000000000001" customHeight="1" x14ac:dyDescent="0.2">
      <c r="A367" s="681" t="str">
        <f t="shared" si="4"/>
        <v>362 Ensino Médio</v>
      </c>
      <c r="B367" s="622">
        <v>362</v>
      </c>
      <c r="C367" s="620" t="s">
        <v>678</v>
      </c>
      <c r="D367" s="619"/>
      <c r="E367" s="618"/>
      <c r="F367" s="618"/>
      <c r="G367" s="618"/>
      <c r="H367" s="618"/>
      <c r="I367" s="687"/>
      <c r="J367" s="688"/>
      <c r="K367" s="689"/>
    </row>
    <row r="368" spans="1:11" ht="20.100000000000001" customHeight="1" x14ac:dyDescent="0.2">
      <c r="A368" s="681" t="str">
        <f t="shared" si="4"/>
        <v>363 Ensino Profissional</v>
      </c>
      <c r="B368" s="622">
        <v>363</v>
      </c>
      <c r="C368" s="620" t="s">
        <v>679</v>
      </c>
      <c r="D368" s="619"/>
      <c r="E368" s="618"/>
      <c r="F368" s="618"/>
      <c r="G368" s="618"/>
      <c r="H368" s="618"/>
      <c r="I368" s="687"/>
      <c r="J368" s="688"/>
      <c r="K368" s="689"/>
    </row>
    <row r="369" spans="1:11" ht="20.100000000000001" customHeight="1" x14ac:dyDescent="0.2">
      <c r="A369" s="681" t="str">
        <f t="shared" si="4"/>
        <v>13 Cultura</v>
      </c>
      <c r="B369" s="623">
        <v>13</v>
      </c>
      <c r="C369" s="621" t="s">
        <v>624</v>
      </c>
      <c r="D369" s="619"/>
      <c r="E369" s="618"/>
      <c r="F369" s="618"/>
      <c r="G369" s="618"/>
      <c r="H369" s="618"/>
      <c r="I369" s="687"/>
      <c r="J369" s="688"/>
      <c r="K369" s="689"/>
    </row>
    <row r="370" spans="1:11" ht="20.100000000000001" customHeight="1" x14ac:dyDescent="0.2">
      <c r="A370" s="681" t="str">
        <f t="shared" si="4"/>
        <v>122 Administração Geral</v>
      </c>
      <c r="B370" s="622">
        <v>122</v>
      </c>
      <c r="C370" s="620" t="s">
        <v>641</v>
      </c>
      <c r="D370" s="619"/>
      <c r="E370" s="618"/>
      <c r="F370" s="618"/>
      <c r="G370" s="618"/>
      <c r="H370" s="618"/>
      <c r="I370" s="687"/>
      <c r="J370" s="688"/>
      <c r="K370" s="689"/>
    </row>
    <row r="371" spans="1:11" ht="20.100000000000001" customHeight="1" x14ac:dyDescent="0.2">
      <c r="A371" s="681" t="str">
        <f t="shared" si="4"/>
        <v>392 Difusão Cultural</v>
      </c>
      <c r="B371" s="622">
        <v>392</v>
      </c>
      <c r="C371" s="620" t="s">
        <v>680</v>
      </c>
      <c r="D371" s="619"/>
      <c r="E371" s="618"/>
      <c r="F371" s="618"/>
      <c r="G371" s="618"/>
      <c r="H371" s="618"/>
      <c r="I371" s="687"/>
      <c r="J371" s="688"/>
      <c r="K371" s="689"/>
    </row>
    <row r="372" spans="1:11" ht="20.100000000000001" customHeight="1" x14ac:dyDescent="0.2">
      <c r="A372" s="681" t="str">
        <f t="shared" si="4"/>
        <v>391 Patrimônio Histórico, Artístico e Arqueológico</v>
      </c>
      <c r="B372" s="622">
        <v>391</v>
      </c>
      <c r="C372" s="620" t="s">
        <v>681</v>
      </c>
      <c r="D372" s="619"/>
      <c r="E372" s="618"/>
      <c r="F372" s="618"/>
      <c r="G372" s="618"/>
      <c r="H372" s="618"/>
      <c r="I372" s="687"/>
      <c r="J372" s="688"/>
      <c r="K372" s="689"/>
    </row>
    <row r="373" spans="1:11" ht="20.100000000000001" customHeight="1" x14ac:dyDescent="0.2">
      <c r="A373" s="681" t="str">
        <f t="shared" si="4"/>
        <v>14 Direitos da Cidadania</v>
      </c>
      <c r="B373" s="623">
        <v>14</v>
      </c>
      <c r="C373" s="621" t="s">
        <v>625</v>
      </c>
      <c r="D373" s="619"/>
      <c r="E373" s="618"/>
      <c r="F373" s="618"/>
      <c r="G373" s="618"/>
      <c r="H373" s="618"/>
      <c r="I373" s="687"/>
      <c r="J373" s="688"/>
      <c r="K373" s="689"/>
    </row>
    <row r="374" spans="1:11" ht="20.100000000000001" customHeight="1" x14ac:dyDescent="0.2">
      <c r="A374" s="681" t="str">
        <f t="shared" si="4"/>
        <v>422 Direitos Individuais, Coletivos e Difusos</v>
      </c>
      <c r="B374" s="622">
        <v>422</v>
      </c>
      <c r="C374" s="620" t="s">
        <v>682</v>
      </c>
      <c r="D374" s="619"/>
      <c r="E374" s="618"/>
      <c r="F374" s="618"/>
      <c r="G374" s="618"/>
      <c r="H374" s="618"/>
      <c r="I374" s="687"/>
      <c r="J374" s="688"/>
      <c r="K374" s="689"/>
    </row>
    <row r="375" spans="1:11" ht="20.100000000000001" customHeight="1" x14ac:dyDescent="0.2">
      <c r="A375" s="681" t="str">
        <f t="shared" si="4"/>
        <v>421 Custódia e Reintegração Social</v>
      </c>
      <c r="B375" s="622">
        <v>421</v>
      </c>
      <c r="C375" s="620" t="s">
        <v>683</v>
      </c>
      <c r="D375" s="619"/>
      <c r="E375" s="618"/>
      <c r="F375" s="618"/>
      <c r="G375" s="618"/>
      <c r="H375" s="618"/>
      <c r="I375" s="687"/>
      <c r="J375" s="688"/>
      <c r="K375" s="689"/>
    </row>
    <row r="376" spans="1:11" ht="20.100000000000001" customHeight="1" x14ac:dyDescent="0.2">
      <c r="A376" s="681" t="str">
        <f t="shared" si="4"/>
        <v>423 Assistência aos Povos Indígenas</v>
      </c>
      <c r="B376" s="622">
        <v>423</v>
      </c>
      <c r="C376" s="620" t="s">
        <v>684</v>
      </c>
      <c r="D376" s="619"/>
      <c r="E376" s="618"/>
      <c r="F376" s="618"/>
      <c r="G376" s="618"/>
      <c r="H376" s="618"/>
      <c r="I376" s="687"/>
      <c r="J376" s="688"/>
      <c r="K376" s="689"/>
    </row>
    <row r="377" spans="1:11" ht="20.100000000000001" customHeight="1" x14ac:dyDescent="0.2">
      <c r="A377" s="681" t="str">
        <f t="shared" si="4"/>
        <v>15 Urbanismo</v>
      </c>
      <c r="B377" s="623">
        <v>15</v>
      </c>
      <c r="C377" s="621" t="s">
        <v>626</v>
      </c>
      <c r="D377" s="619"/>
      <c r="E377" s="618"/>
      <c r="F377" s="618"/>
      <c r="G377" s="618"/>
      <c r="H377" s="618"/>
      <c r="I377" s="687"/>
      <c r="J377" s="688"/>
      <c r="K377" s="689"/>
    </row>
    <row r="378" spans="1:11" ht="20.100000000000001" customHeight="1" x14ac:dyDescent="0.2">
      <c r="A378" s="681" t="str">
        <f t="shared" si="4"/>
        <v>453 Transportes Coletivos Urbanos</v>
      </c>
      <c r="B378" s="622">
        <v>453</v>
      </c>
      <c r="C378" s="620" t="s">
        <v>685</v>
      </c>
      <c r="D378" s="619"/>
      <c r="E378" s="618"/>
      <c r="F378" s="618"/>
      <c r="G378" s="618"/>
      <c r="H378" s="618"/>
      <c r="I378" s="687"/>
      <c r="J378" s="688"/>
      <c r="K378" s="689"/>
    </row>
    <row r="379" spans="1:11" ht="20.100000000000001" customHeight="1" x14ac:dyDescent="0.2">
      <c r="A379" s="681" t="str">
        <f t="shared" si="4"/>
        <v>451 Infra-Estrutura Urbana</v>
      </c>
      <c r="B379" s="622">
        <v>451</v>
      </c>
      <c r="C379" s="620" t="s">
        <v>686</v>
      </c>
      <c r="D379" s="619"/>
      <c r="E379" s="618"/>
      <c r="F379" s="618"/>
      <c r="G379" s="618"/>
      <c r="H379" s="618"/>
      <c r="I379" s="687"/>
      <c r="J379" s="688"/>
      <c r="K379" s="689"/>
    </row>
    <row r="380" spans="1:11" ht="20.100000000000001" customHeight="1" x14ac:dyDescent="0.2">
      <c r="A380" s="681" t="str">
        <f t="shared" si="4"/>
        <v>452 Serviços Urbanos</v>
      </c>
      <c r="B380" s="622">
        <v>452</v>
      </c>
      <c r="C380" s="620" t="s">
        <v>687</v>
      </c>
      <c r="D380" s="619"/>
      <c r="E380" s="618"/>
      <c r="F380" s="618"/>
      <c r="G380" s="618"/>
      <c r="H380" s="618"/>
      <c r="I380" s="687"/>
      <c r="J380" s="688"/>
      <c r="K380" s="689"/>
    </row>
    <row r="381" spans="1:11" ht="20.100000000000001" customHeight="1" x14ac:dyDescent="0.2">
      <c r="A381" s="681" t="str">
        <f t="shared" ref="A381:A445" si="5">CONCATENATE(B381," ",C381)</f>
        <v>16 Habitação</v>
      </c>
      <c r="B381" s="623">
        <v>16</v>
      </c>
      <c r="C381" s="621" t="s">
        <v>627</v>
      </c>
      <c r="D381" s="619"/>
      <c r="E381" s="618"/>
      <c r="F381" s="618"/>
      <c r="G381" s="618"/>
      <c r="H381" s="618"/>
      <c r="I381" s="687"/>
      <c r="J381" s="688"/>
      <c r="K381" s="689"/>
    </row>
    <row r="382" spans="1:11" ht="20.100000000000001" customHeight="1" x14ac:dyDescent="0.2">
      <c r="A382" s="681" t="str">
        <f t="shared" si="5"/>
        <v>451 Infra-Estrutura Urbana</v>
      </c>
      <c r="B382" s="622">
        <v>451</v>
      </c>
      <c r="C382" s="620" t="s">
        <v>686</v>
      </c>
      <c r="D382" s="619"/>
      <c r="E382" s="618"/>
      <c r="F382" s="618"/>
      <c r="G382" s="618"/>
      <c r="H382" s="618"/>
      <c r="I382" s="687"/>
      <c r="J382" s="688"/>
      <c r="K382" s="689"/>
    </row>
    <row r="383" spans="1:11" ht="20.100000000000001" customHeight="1" x14ac:dyDescent="0.2">
      <c r="A383" s="681" t="str">
        <f t="shared" si="5"/>
        <v>481 Habitação Rural</v>
      </c>
      <c r="B383" s="622">
        <v>481</v>
      </c>
      <c r="C383" s="620" t="s">
        <v>688</v>
      </c>
      <c r="D383" s="619"/>
      <c r="E383" s="618"/>
      <c r="F383" s="618"/>
      <c r="G383" s="618"/>
      <c r="H383" s="618"/>
      <c r="I383" s="687"/>
      <c r="J383" s="688"/>
      <c r="K383" s="689"/>
    </row>
    <row r="384" spans="1:11" ht="20.100000000000001" customHeight="1" x14ac:dyDescent="0.2">
      <c r="A384" s="681" t="str">
        <f t="shared" si="5"/>
        <v>482 Habitação Urbana</v>
      </c>
      <c r="B384" s="622">
        <v>482</v>
      </c>
      <c r="C384" s="620" t="s">
        <v>689</v>
      </c>
      <c r="D384" s="619"/>
      <c r="E384" s="618"/>
      <c r="F384" s="618"/>
      <c r="G384" s="618"/>
      <c r="H384" s="618"/>
      <c r="I384" s="687"/>
      <c r="J384" s="688"/>
      <c r="K384" s="689"/>
    </row>
    <row r="385" spans="1:11" ht="20.100000000000001" customHeight="1" x14ac:dyDescent="0.2">
      <c r="A385" s="681" t="str">
        <f t="shared" si="5"/>
        <v>17 Saneamento</v>
      </c>
      <c r="B385" s="623">
        <v>17</v>
      </c>
      <c r="C385" s="621" t="s">
        <v>628</v>
      </c>
      <c r="D385" s="619"/>
      <c r="E385" s="618"/>
      <c r="F385" s="618"/>
      <c r="G385" s="618"/>
      <c r="H385" s="618"/>
      <c r="I385" s="687"/>
      <c r="J385" s="688"/>
      <c r="K385" s="689"/>
    </row>
    <row r="386" spans="1:11" ht="20.100000000000001" customHeight="1" x14ac:dyDescent="0.2">
      <c r="A386" s="681" t="str">
        <f t="shared" si="5"/>
        <v>512 Saneamento Básico Urbano</v>
      </c>
      <c r="B386" s="622">
        <v>512</v>
      </c>
      <c r="C386" s="620" t="s">
        <v>690</v>
      </c>
      <c r="D386" s="619"/>
      <c r="E386" s="618"/>
      <c r="F386" s="618"/>
      <c r="G386" s="618"/>
      <c r="H386" s="618"/>
      <c r="I386" s="687"/>
      <c r="J386" s="688"/>
      <c r="K386" s="689"/>
    </row>
    <row r="387" spans="1:11" ht="20.100000000000001" customHeight="1" x14ac:dyDescent="0.2">
      <c r="A387" s="681" t="str">
        <f t="shared" si="5"/>
        <v>511 Saneamento Básico Rural</v>
      </c>
      <c r="B387" s="622">
        <v>511</v>
      </c>
      <c r="C387" s="620" t="s">
        <v>691</v>
      </c>
      <c r="D387" s="619"/>
      <c r="E387" s="618"/>
      <c r="F387" s="618"/>
      <c r="G387" s="618"/>
      <c r="H387" s="618"/>
      <c r="I387" s="687"/>
      <c r="J387" s="688"/>
      <c r="K387" s="689"/>
    </row>
    <row r="388" spans="1:11" ht="20.100000000000001" customHeight="1" x14ac:dyDescent="0.2">
      <c r="A388" s="681" t="str">
        <f t="shared" si="5"/>
        <v>18 Gestão Ambiental</v>
      </c>
      <c r="B388" s="623">
        <v>18</v>
      </c>
      <c r="C388" s="621" t="s">
        <v>630</v>
      </c>
      <c r="D388" s="619"/>
      <c r="E388" s="618"/>
      <c r="F388" s="618"/>
      <c r="G388" s="618"/>
      <c r="H388" s="618"/>
      <c r="I388" s="687"/>
      <c r="J388" s="688"/>
      <c r="K388" s="689"/>
    </row>
    <row r="389" spans="1:11" ht="20.100000000000001" customHeight="1" x14ac:dyDescent="0.2">
      <c r="A389" s="681" t="str">
        <f t="shared" si="5"/>
        <v>544 Recursos Hídricos</v>
      </c>
      <c r="B389" s="622">
        <v>544</v>
      </c>
      <c r="C389" s="620" t="s">
        <v>692</v>
      </c>
      <c r="D389" s="619"/>
      <c r="E389" s="618"/>
      <c r="F389" s="618"/>
      <c r="G389" s="618"/>
      <c r="H389" s="618"/>
      <c r="I389" s="687"/>
      <c r="J389" s="688"/>
      <c r="K389" s="689"/>
    </row>
    <row r="390" spans="1:11" ht="20.100000000000001" customHeight="1" x14ac:dyDescent="0.2">
      <c r="A390" s="681" t="str">
        <f t="shared" si="5"/>
        <v>545 Meteorologia</v>
      </c>
      <c r="B390" s="622">
        <v>545</v>
      </c>
      <c r="C390" s="620" t="s">
        <v>693</v>
      </c>
      <c r="D390" s="619"/>
      <c r="E390" s="618"/>
      <c r="F390" s="618"/>
      <c r="G390" s="618"/>
      <c r="H390" s="618"/>
      <c r="I390" s="687"/>
      <c r="J390" s="688"/>
      <c r="K390" s="689"/>
    </row>
    <row r="391" spans="1:11" ht="20.100000000000001" customHeight="1" x14ac:dyDescent="0.2">
      <c r="A391" s="681" t="str">
        <f t="shared" si="5"/>
        <v>543 Recuperação de Áreas Degradadas</v>
      </c>
      <c r="B391" s="622">
        <v>543</v>
      </c>
      <c r="C391" s="620" t="s">
        <v>694</v>
      </c>
      <c r="D391" s="619"/>
      <c r="E391" s="618"/>
      <c r="F391" s="618"/>
      <c r="G391" s="618"/>
      <c r="H391" s="618"/>
      <c r="I391" s="687"/>
      <c r="J391" s="688"/>
      <c r="K391" s="689"/>
    </row>
    <row r="392" spans="1:11" ht="20.100000000000001" customHeight="1" x14ac:dyDescent="0.2">
      <c r="A392" s="681" t="str">
        <f t="shared" si="5"/>
        <v>542 Controle Ambiental</v>
      </c>
      <c r="B392" s="622">
        <v>542</v>
      </c>
      <c r="C392" s="620" t="s">
        <v>695</v>
      </c>
      <c r="D392" s="619"/>
      <c r="E392" s="618"/>
      <c r="F392" s="618"/>
      <c r="G392" s="618"/>
      <c r="H392" s="618"/>
      <c r="I392" s="687"/>
      <c r="J392" s="688"/>
      <c r="K392" s="689"/>
    </row>
    <row r="393" spans="1:11" ht="20.100000000000001" customHeight="1" x14ac:dyDescent="0.2">
      <c r="A393" s="681" t="str">
        <f t="shared" si="5"/>
        <v>541 Preservação e Conservação Ambiental</v>
      </c>
      <c r="B393" s="622">
        <v>541</v>
      </c>
      <c r="C393" s="620" t="s">
        <v>696</v>
      </c>
      <c r="D393" s="619"/>
      <c r="E393" s="618"/>
      <c r="F393" s="618"/>
      <c r="G393" s="618"/>
      <c r="H393" s="618"/>
      <c r="I393" s="687"/>
      <c r="J393" s="688"/>
      <c r="K393" s="689"/>
    </row>
    <row r="394" spans="1:11" ht="20.100000000000001" customHeight="1" x14ac:dyDescent="0.2">
      <c r="A394" s="681" t="str">
        <f t="shared" si="5"/>
        <v>122 Administração Geral</v>
      </c>
      <c r="B394" s="622">
        <v>122</v>
      </c>
      <c r="C394" s="620" t="s">
        <v>641</v>
      </c>
      <c r="D394" s="619"/>
      <c r="E394" s="618"/>
      <c r="F394" s="618"/>
      <c r="G394" s="618"/>
      <c r="H394" s="618"/>
      <c r="I394" s="687"/>
      <c r="J394" s="688"/>
      <c r="K394" s="689"/>
    </row>
    <row r="395" spans="1:11" ht="20.100000000000001" customHeight="1" x14ac:dyDescent="0.2">
      <c r="A395" s="681" t="str">
        <f t="shared" si="5"/>
        <v>19 Ciência e Tecnologia</v>
      </c>
      <c r="B395" s="623">
        <v>19</v>
      </c>
      <c r="C395" s="621" t="s">
        <v>629</v>
      </c>
      <c r="D395" s="619"/>
      <c r="E395" s="618"/>
      <c r="F395" s="618"/>
      <c r="G395" s="618"/>
      <c r="H395" s="618"/>
      <c r="I395" s="687"/>
      <c r="J395" s="688"/>
      <c r="K395" s="689"/>
    </row>
    <row r="396" spans="1:11" ht="20.100000000000001" customHeight="1" x14ac:dyDescent="0.2">
      <c r="A396" s="681" t="str">
        <f t="shared" si="5"/>
        <v>572 Desenvolvimento Tecnológico e Engenharia</v>
      </c>
      <c r="B396" s="622">
        <v>572</v>
      </c>
      <c r="C396" s="620" t="s">
        <v>697</v>
      </c>
      <c r="D396" s="619"/>
      <c r="E396" s="618"/>
      <c r="F396" s="618"/>
      <c r="G396" s="618"/>
      <c r="H396" s="618"/>
      <c r="I396" s="687"/>
      <c r="J396" s="688"/>
      <c r="K396" s="689"/>
    </row>
    <row r="397" spans="1:11" ht="20.100000000000001" customHeight="1" x14ac:dyDescent="0.2">
      <c r="A397" s="681" t="str">
        <f t="shared" si="5"/>
        <v>571 Desenvolvimento Científico</v>
      </c>
      <c r="B397" s="622">
        <v>571</v>
      </c>
      <c r="C397" s="620" t="s">
        <v>698</v>
      </c>
      <c r="D397" s="619"/>
      <c r="E397" s="618"/>
      <c r="F397" s="618"/>
      <c r="G397" s="618"/>
      <c r="H397" s="618"/>
      <c r="I397" s="687"/>
      <c r="J397" s="688"/>
      <c r="K397" s="689"/>
    </row>
    <row r="398" spans="1:11" ht="20.100000000000001" customHeight="1" x14ac:dyDescent="0.2">
      <c r="A398" s="681" t="str">
        <f t="shared" si="5"/>
        <v>573 Difusão do Conhecimento Científico e Tecnológico</v>
      </c>
      <c r="B398" s="622">
        <v>573</v>
      </c>
      <c r="C398" s="620" t="s">
        <v>699</v>
      </c>
      <c r="D398" s="619"/>
      <c r="E398" s="618"/>
      <c r="F398" s="618"/>
      <c r="G398" s="618"/>
      <c r="H398" s="618"/>
      <c r="I398" s="687"/>
      <c r="J398" s="688"/>
      <c r="K398" s="689"/>
    </row>
    <row r="399" spans="1:11" s="605" customFormat="1" ht="20.100000000000001" customHeight="1" x14ac:dyDescent="0.2">
      <c r="A399" s="683" t="str">
        <f t="shared" si="5"/>
        <v>20 Agricultura</v>
      </c>
      <c r="B399" s="623">
        <v>20</v>
      </c>
      <c r="C399" s="621" t="s">
        <v>631</v>
      </c>
      <c r="D399" s="702"/>
      <c r="E399" s="628"/>
      <c r="F399" s="628"/>
      <c r="G399" s="628"/>
      <c r="H399" s="628"/>
      <c r="I399" s="692"/>
      <c r="J399" s="703"/>
      <c r="K399" s="704"/>
    </row>
    <row r="400" spans="1:11" ht="20.100000000000001" customHeight="1" x14ac:dyDescent="0.2">
      <c r="A400" s="681" t="str">
        <f t="shared" si="5"/>
        <v>122 Administração Geral</v>
      </c>
      <c r="B400" s="622">
        <v>122</v>
      </c>
      <c r="C400" s="620" t="s">
        <v>641</v>
      </c>
      <c r="D400" s="619"/>
      <c r="E400" s="618"/>
      <c r="F400" s="618"/>
      <c r="G400" s="618"/>
      <c r="H400" s="618"/>
      <c r="I400" s="687"/>
      <c r="J400" s="688"/>
      <c r="K400" s="689"/>
    </row>
    <row r="401" spans="1:11" ht="20.100000000000001" customHeight="1" x14ac:dyDescent="0.2">
      <c r="A401" s="681" t="str">
        <f t="shared" si="5"/>
        <v>782 Transporte Rodoviário</v>
      </c>
      <c r="B401" s="622">
        <v>782</v>
      </c>
      <c r="C401" s="620" t="s">
        <v>675</v>
      </c>
      <c r="D401" s="619"/>
      <c r="E401" s="618"/>
      <c r="F401" s="618"/>
      <c r="G401" s="618"/>
      <c r="H401" s="618"/>
      <c r="I401" s="687"/>
      <c r="J401" s="688"/>
      <c r="K401" s="689"/>
    </row>
    <row r="402" spans="1:11" ht="20.100000000000001" customHeight="1" x14ac:dyDescent="0.2">
      <c r="A402" s="681" t="str">
        <f t="shared" si="5"/>
        <v>752 Energia Elétrica</v>
      </c>
      <c r="B402" s="622">
        <v>752</v>
      </c>
      <c r="C402" s="620" t="s">
        <v>700</v>
      </c>
      <c r="D402" s="619"/>
      <c r="E402" s="618"/>
      <c r="F402" s="618"/>
      <c r="G402" s="618"/>
      <c r="H402" s="618"/>
      <c r="I402" s="687"/>
      <c r="J402" s="688"/>
      <c r="K402" s="689"/>
    </row>
    <row r="403" spans="1:11" ht="20.100000000000001" customHeight="1" x14ac:dyDescent="0.2">
      <c r="A403" s="681" t="str">
        <f t="shared" si="5"/>
        <v>607 Irrigação</v>
      </c>
      <c r="B403" s="622">
        <v>607</v>
      </c>
      <c r="C403" s="620" t="s">
        <v>701</v>
      </c>
      <c r="D403" s="619"/>
      <c r="E403" s="618"/>
      <c r="F403" s="618"/>
      <c r="G403" s="618"/>
      <c r="H403" s="618"/>
      <c r="I403" s="687"/>
      <c r="J403" s="688"/>
      <c r="K403" s="689"/>
    </row>
    <row r="404" spans="1:11" ht="20.100000000000001" customHeight="1" x14ac:dyDescent="0.2">
      <c r="A404" s="681" t="str">
        <f t="shared" si="5"/>
        <v>608 Promoção da Produção Agropecuária</v>
      </c>
      <c r="B404" s="622" t="s">
        <v>7450</v>
      </c>
      <c r="C404" s="620" t="s">
        <v>7451</v>
      </c>
      <c r="D404" s="619"/>
      <c r="E404" s="618"/>
      <c r="F404" s="618"/>
      <c r="G404" s="618"/>
      <c r="H404" s="618"/>
      <c r="I404" s="687"/>
      <c r="J404" s="688"/>
      <c r="K404" s="689"/>
    </row>
    <row r="405" spans="1:11" ht="20.100000000000001" customHeight="1" x14ac:dyDescent="0.2">
      <c r="A405" s="681" t="str">
        <f t="shared" si="5"/>
        <v>511 Saneamento Básico Rural</v>
      </c>
      <c r="B405" s="622">
        <v>511</v>
      </c>
      <c r="C405" s="620" t="s">
        <v>691</v>
      </c>
      <c r="D405" s="619"/>
      <c r="E405" s="618"/>
      <c r="F405" s="618"/>
      <c r="G405" s="618"/>
      <c r="H405" s="618"/>
      <c r="I405" s="687"/>
      <c r="J405" s="688"/>
      <c r="K405" s="689"/>
    </row>
    <row r="406" spans="1:11" ht="20.100000000000001" customHeight="1" x14ac:dyDescent="0.2">
      <c r="A406" s="681" t="str">
        <f t="shared" si="5"/>
        <v>601 Promoção da Produção Vegetal</v>
      </c>
      <c r="B406" s="622">
        <v>601</v>
      </c>
      <c r="C406" s="620" t="s">
        <v>702</v>
      </c>
      <c r="D406" s="619"/>
      <c r="E406" s="618"/>
      <c r="F406" s="618"/>
      <c r="G406" s="618"/>
      <c r="H406" s="618"/>
      <c r="I406" s="687"/>
      <c r="J406" s="688"/>
      <c r="K406" s="689"/>
    </row>
    <row r="407" spans="1:11" ht="20.100000000000001" customHeight="1" x14ac:dyDescent="0.2">
      <c r="A407" s="681" t="str">
        <f t="shared" si="5"/>
        <v>602 Promoção da Produção Animal</v>
      </c>
      <c r="B407" s="622">
        <v>602</v>
      </c>
      <c r="C407" s="620" t="s">
        <v>703</v>
      </c>
      <c r="D407" s="619"/>
      <c r="E407" s="618"/>
      <c r="F407" s="618"/>
      <c r="G407" s="618"/>
      <c r="H407" s="618"/>
      <c r="I407" s="687"/>
      <c r="J407" s="688"/>
      <c r="K407" s="689"/>
    </row>
    <row r="408" spans="1:11" ht="20.100000000000001" customHeight="1" x14ac:dyDescent="0.2">
      <c r="A408" s="681" t="str">
        <f t="shared" si="5"/>
        <v>603 Defesa Sanitária Vegetal</v>
      </c>
      <c r="B408" s="622">
        <v>603</v>
      </c>
      <c r="C408" s="620" t="s">
        <v>704</v>
      </c>
      <c r="D408" s="619"/>
      <c r="E408" s="618"/>
      <c r="F408" s="618"/>
      <c r="G408" s="618"/>
      <c r="H408" s="618"/>
      <c r="I408" s="687"/>
      <c r="J408" s="688"/>
      <c r="K408" s="689"/>
    </row>
    <row r="409" spans="1:11" ht="20.100000000000001" customHeight="1" x14ac:dyDescent="0.2">
      <c r="A409" s="681" t="str">
        <f t="shared" si="5"/>
        <v>604 Defesa Sanitária Animal</v>
      </c>
      <c r="B409" s="622">
        <v>604</v>
      </c>
      <c r="C409" s="620" t="s">
        <v>705</v>
      </c>
      <c r="D409" s="619"/>
      <c r="E409" s="618"/>
      <c r="F409" s="618"/>
      <c r="G409" s="618"/>
      <c r="H409" s="618"/>
      <c r="I409" s="687"/>
      <c r="J409" s="688"/>
      <c r="K409" s="689"/>
    </row>
    <row r="410" spans="1:11" ht="20.100000000000001" customHeight="1" x14ac:dyDescent="0.2">
      <c r="A410" s="681" t="str">
        <f t="shared" si="5"/>
        <v>605 Abastecimento</v>
      </c>
      <c r="B410" s="622">
        <v>605</v>
      </c>
      <c r="C410" s="620" t="s">
        <v>706</v>
      </c>
      <c r="D410" s="619"/>
      <c r="E410" s="618"/>
      <c r="F410" s="618"/>
      <c r="G410" s="618"/>
      <c r="H410" s="618"/>
      <c r="I410" s="687"/>
      <c r="J410" s="688"/>
      <c r="K410" s="689"/>
    </row>
    <row r="411" spans="1:11" ht="20.100000000000001" customHeight="1" x14ac:dyDescent="0.2">
      <c r="A411" s="681" t="str">
        <f t="shared" si="5"/>
        <v>606 Extensão Rural</v>
      </c>
      <c r="B411" s="622">
        <v>606</v>
      </c>
      <c r="C411" s="620" t="s">
        <v>707</v>
      </c>
      <c r="D411" s="619"/>
      <c r="E411" s="618"/>
      <c r="F411" s="618"/>
      <c r="G411" s="618"/>
      <c r="H411" s="618"/>
      <c r="I411" s="687"/>
      <c r="J411" s="688"/>
      <c r="K411" s="689"/>
    </row>
    <row r="412" spans="1:11" ht="20.100000000000001" customHeight="1" x14ac:dyDescent="0.2">
      <c r="A412" s="681" t="str">
        <f t="shared" si="5"/>
        <v>21 Organização Agrária</v>
      </c>
      <c r="B412" s="623">
        <v>21</v>
      </c>
      <c r="C412" s="621" t="s">
        <v>632</v>
      </c>
      <c r="D412" s="619"/>
      <c r="E412" s="618"/>
      <c r="F412" s="618"/>
      <c r="G412" s="618"/>
      <c r="H412" s="618"/>
      <c r="I412" s="687"/>
      <c r="J412" s="688"/>
      <c r="K412" s="689"/>
    </row>
    <row r="413" spans="1:11" ht="20.100000000000001" customHeight="1" x14ac:dyDescent="0.2">
      <c r="A413" s="681" t="str">
        <f t="shared" si="5"/>
        <v>631 Reforma Agrária</v>
      </c>
      <c r="B413" s="622">
        <v>631</v>
      </c>
      <c r="C413" s="620" t="s">
        <v>708</v>
      </c>
      <c r="D413" s="619"/>
      <c r="E413" s="618"/>
      <c r="F413" s="618"/>
      <c r="G413" s="618"/>
      <c r="H413" s="618"/>
      <c r="I413" s="687"/>
      <c r="J413" s="688"/>
      <c r="K413" s="689"/>
    </row>
    <row r="414" spans="1:11" ht="20.100000000000001" customHeight="1" x14ac:dyDescent="0.2">
      <c r="A414" s="681" t="str">
        <f t="shared" si="5"/>
        <v>632 Colonização</v>
      </c>
      <c r="B414" s="622">
        <v>632</v>
      </c>
      <c r="C414" s="620" t="s">
        <v>709</v>
      </c>
      <c r="D414" s="619"/>
      <c r="E414" s="618"/>
      <c r="F414" s="618"/>
      <c r="G414" s="618"/>
      <c r="H414" s="618"/>
      <c r="I414" s="687"/>
      <c r="J414" s="688"/>
      <c r="K414" s="689"/>
    </row>
    <row r="415" spans="1:11" ht="20.100000000000001" customHeight="1" x14ac:dyDescent="0.2">
      <c r="A415" s="681" t="str">
        <f t="shared" si="5"/>
        <v>22 Indústria</v>
      </c>
      <c r="B415" s="623">
        <v>22</v>
      </c>
      <c r="C415" s="621" t="s">
        <v>633</v>
      </c>
      <c r="D415" s="619"/>
      <c r="E415" s="618"/>
      <c r="F415" s="618"/>
      <c r="G415" s="618"/>
      <c r="H415" s="618"/>
      <c r="I415" s="687"/>
      <c r="J415" s="688"/>
      <c r="K415" s="689"/>
    </row>
    <row r="416" spans="1:11" ht="20.100000000000001" customHeight="1" x14ac:dyDescent="0.2">
      <c r="A416" s="681" t="str">
        <f t="shared" si="5"/>
        <v>665 Normalização e Qualidade</v>
      </c>
      <c r="B416" s="622">
        <v>665</v>
      </c>
      <c r="C416" s="620" t="s">
        <v>710</v>
      </c>
      <c r="D416" s="619"/>
      <c r="E416" s="618"/>
      <c r="F416" s="618"/>
      <c r="G416" s="618"/>
      <c r="H416" s="618"/>
      <c r="I416" s="687"/>
      <c r="J416" s="688"/>
      <c r="K416" s="689"/>
    </row>
    <row r="417" spans="1:11" ht="20.100000000000001" customHeight="1" x14ac:dyDescent="0.2">
      <c r="A417" s="681" t="str">
        <f t="shared" si="5"/>
        <v>661 Promoção Industrial</v>
      </c>
      <c r="B417" s="622">
        <v>661</v>
      </c>
      <c r="C417" s="620" t="s">
        <v>711</v>
      </c>
      <c r="D417" s="619"/>
      <c r="E417" s="618"/>
      <c r="F417" s="618"/>
      <c r="G417" s="618"/>
      <c r="H417" s="618"/>
      <c r="I417" s="687"/>
      <c r="J417" s="688"/>
      <c r="K417" s="689"/>
    </row>
    <row r="418" spans="1:11" ht="20.100000000000001" customHeight="1" x14ac:dyDescent="0.2">
      <c r="A418" s="681" t="str">
        <f t="shared" si="5"/>
        <v>662 Produção Industrial</v>
      </c>
      <c r="B418" s="622">
        <v>662</v>
      </c>
      <c r="C418" s="620" t="s">
        <v>712</v>
      </c>
      <c r="D418" s="619"/>
      <c r="E418" s="618"/>
      <c r="F418" s="618"/>
      <c r="G418" s="618"/>
      <c r="H418" s="618"/>
      <c r="I418" s="687"/>
      <c r="J418" s="688"/>
      <c r="K418" s="689"/>
    </row>
    <row r="419" spans="1:11" ht="20.100000000000001" customHeight="1" x14ac:dyDescent="0.2">
      <c r="A419" s="681" t="str">
        <f t="shared" si="5"/>
        <v>663 Mineração</v>
      </c>
      <c r="B419" s="622">
        <v>663</v>
      </c>
      <c r="C419" s="620" t="s">
        <v>713</v>
      </c>
      <c r="D419" s="619"/>
      <c r="E419" s="618"/>
      <c r="F419" s="618"/>
      <c r="G419" s="618"/>
      <c r="H419" s="618"/>
      <c r="I419" s="687"/>
      <c r="J419" s="688"/>
      <c r="K419" s="689"/>
    </row>
    <row r="420" spans="1:11" ht="20.100000000000001" customHeight="1" x14ac:dyDescent="0.2">
      <c r="A420" s="681" t="str">
        <f t="shared" si="5"/>
        <v>664 Propriedade Industrial</v>
      </c>
      <c r="B420" s="622">
        <v>664</v>
      </c>
      <c r="C420" s="620" t="s">
        <v>714</v>
      </c>
      <c r="D420" s="619"/>
      <c r="E420" s="618"/>
      <c r="F420" s="618"/>
      <c r="G420" s="618"/>
      <c r="H420" s="618"/>
      <c r="I420" s="687"/>
      <c r="J420" s="688"/>
      <c r="K420" s="689"/>
    </row>
    <row r="421" spans="1:11" ht="20.100000000000001" customHeight="1" x14ac:dyDescent="0.2">
      <c r="A421" s="681" t="str">
        <f t="shared" si="5"/>
        <v>23 Comércio e Serviços</v>
      </c>
      <c r="B421" s="623">
        <v>23</v>
      </c>
      <c r="C421" s="621" t="s">
        <v>634</v>
      </c>
      <c r="D421" s="619"/>
      <c r="E421" s="618"/>
      <c r="F421" s="618"/>
      <c r="G421" s="618"/>
      <c r="H421" s="618"/>
      <c r="I421" s="687"/>
      <c r="J421" s="688"/>
      <c r="K421" s="689"/>
    </row>
    <row r="422" spans="1:11" ht="20.100000000000001" customHeight="1" x14ac:dyDescent="0.2">
      <c r="A422" s="681" t="str">
        <f t="shared" si="5"/>
        <v>691 Promoção Comercial</v>
      </c>
      <c r="B422" s="622">
        <v>691</v>
      </c>
      <c r="C422" s="620" t="s">
        <v>715</v>
      </c>
      <c r="D422" s="619"/>
      <c r="E422" s="618"/>
      <c r="F422" s="618"/>
      <c r="G422" s="618"/>
      <c r="H422" s="618"/>
      <c r="I422" s="687"/>
      <c r="J422" s="688"/>
      <c r="K422" s="689"/>
    </row>
    <row r="423" spans="1:11" ht="20.100000000000001" customHeight="1" x14ac:dyDescent="0.2">
      <c r="A423" s="681" t="str">
        <f t="shared" si="5"/>
        <v>692 Comercialização</v>
      </c>
      <c r="B423" s="622">
        <v>692</v>
      </c>
      <c r="C423" s="620" t="s">
        <v>716</v>
      </c>
      <c r="D423" s="619"/>
      <c r="E423" s="618"/>
      <c r="F423" s="618"/>
      <c r="G423" s="618"/>
      <c r="H423" s="618"/>
      <c r="I423" s="687"/>
      <c r="J423" s="688"/>
      <c r="K423" s="689"/>
    </row>
    <row r="424" spans="1:11" ht="20.100000000000001" customHeight="1" x14ac:dyDescent="0.2">
      <c r="A424" s="681" t="str">
        <f t="shared" si="5"/>
        <v>693 Comércio Exterior</v>
      </c>
      <c r="B424" s="622">
        <v>693</v>
      </c>
      <c r="C424" s="620" t="s">
        <v>717</v>
      </c>
      <c r="D424" s="619"/>
      <c r="E424" s="618"/>
      <c r="F424" s="618"/>
      <c r="G424" s="618"/>
      <c r="H424" s="618"/>
      <c r="I424" s="687"/>
      <c r="J424" s="688"/>
      <c r="K424" s="689"/>
    </row>
    <row r="425" spans="1:11" ht="20.100000000000001" customHeight="1" x14ac:dyDescent="0.2">
      <c r="A425" s="681" t="str">
        <f t="shared" si="5"/>
        <v>694 Serviços Financeiros</v>
      </c>
      <c r="B425" s="622">
        <v>694</v>
      </c>
      <c r="C425" s="620" t="s">
        <v>718</v>
      </c>
      <c r="D425" s="619"/>
      <c r="E425" s="618"/>
      <c r="F425" s="618"/>
      <c r="G425" s="618"/>
      <c r="H425" s="618"/>
      <c r="I425" s="687"/>
      <c r="J425" s="688"/>
      <c r="K425" s="689"/>
    </row>
    <row r="426" spans="1:11" ht="20.100000000000001" customHeight="1" x14ac:dyDescent="0.2">
      <c r="A426" s="681" t="str">
        <f t="shared" si="5"/>
        <v>695 Turismo</v>
      </c>
      <c r="B426" s="622">
        <v>695</v>
      </c>
      <c r="C426" s="620" t="s">
        <v>719</v>
      </c>
      <c r="D426" s="619"/>
      <c r="E426" s="618"/>
      <c r="F426" s="618"/>
      <c r="G426" s="618"/>
      <c r="H426" s="618"/>
      <c r="I426" s="687"/>
      <c r="J426" s="688"/>
      <c r="K426" s="689"/>
    </row>
    <row r="427" spans="1:11" ht="20.100000000000001" customHeight="1" x14ac:dyDescent="0.2">
      <c r="A427" s="681" t="str">
        <f t="shared" si="5"/>
        <v>24 Comunicações</v>
      </c>
      <c r="B427" s="623">
        <v>24</v>
      </c>
      <c r="C427" s="621" t="s">
        <v>635</v>
      </c>
      <c r="D427" s="619"/>
      <c r="E427" s="618"/>
      <c r="F427" s="618"/>
      <c r="G427" s="618"/>
      <c r="H427" s="618"/>
      <c r="I427" s="687"/>
      <c r="J427" s="688"/>
      <c r="K427" s="689"/>
    </row>
    <row r="428" spans="1:11" ht="20.100000000000001" customHeight="1" x14ac:dyDescent="0.2">
      <c r="A428" s="681" t="str">
        <f t="shared" si="5"/>
        <v>722 Telecomunicações</v>
      </c>
      <c r="B428" s="622">
        <v>722</v>
      </c>
      <c r="C428" s="620" t="s">
        <v>720</v>
      </c>
      <c r="D428" s="619"/>
      <c r="E428" s="618"/>
      <c r="F428" s="618"/>
      <c r="G428" s="618"/>
      <c r="H428" s="618"/>
      <c r="I428" s="687"/>
      <c r="J428" s="688"/>
      <c r="K428" s="689"/>
    </row>
    <row r="429" spans="1:11" ht="20.100000000000001" customHeight="1" x14ac:dyDescent="0.2">
      <c r="A429" s="681" t="str">
        <f t="shared" si="5"/>
        <v>721 Comunicações Postais</v>
      </c>
      <c r="B429" s="622">
        <v>721</v>
      </c>
      <c r="C429" s="620" t="s">
        <v>721</v>
      </c>
      <c r="D429" s="619"/>
      <c r="E429" s="618"/>
      <c r="F429" s="618"/>
      <c r="G429" s="618"/>
      <c r="H429" s="618"/>
      <c r="I429" s="687"/>
      <c r="J429" s="688"/>
      <c r="K429" s="689"/>
    </row>
    <row r="430" spans="1:11" ht="20.100000000000001" customHeight="1" x14ac:dyDescent="0.2">
      <c r="A430" s="681" t="str">
        <f t="shared" si="5"/>
        <v>25 Energia</v>
      </c>
      <c r="B430" s="623">
        <v>25</v>
      </c>
      <c r="C430" s="621" t="s">
        <v>636</v>
      </c>
      <c r="D430" s="619"/>
      <c r="E430" s="618"/>
      <c r="F430" s="618"/>
      <c r="G430" s="618"/>
      <c r="H430" s="618"/>
      <c r="I430" s="687"/>
      <c r="J430" s="688"/>
      <c r="K430" s="689"/>
    </row>
    <row r="431" spans="1:11" ht="20.100000000000001" customHeight="1" x14ac:dyDescent="0.2">
      <c r="A431" s="681" t="str">
        <f t="shared" si="5"/>
        <v>751 Conservação de Energia</v>
      </c>
      <c r="B431" s="622">
        <v>751</v>
      </c>
      <c r="C431" s="620" t="s">
        <v>722</v>
      </c>
      <c r="D431" s="619"/>
      <c r="E431" s="618"/>
      <c r="F431" s="618"/>
      <c r="G431" s="618"/>
      <c r="H431" s="618"/>
      <c r="I431" s="687"/>
      <c r="J431" s="688"/>
      <c r="K431" s="689"/>
    </row>
    <row r="432" spans="1:11" ht="20.100000000000001" customHeight="1" x14ac:dyDescent="0.2">
      <c r="A432" s="681" t="str">
        <f t="shared" si="5"/>
        <v>754 Álcool</v>
      </c>
      <c r="B432" s="622">
        <v>754</v>
      </c>
      <c r="C432" s="620" t="s">
        <v>723</v>
      </c>
      <c r="D432" s="619"/>
      <c r="E432" s="618"/>
      <c r="F432" s="618"/>
      <c r="G432" s="618"/>
      <c r="H432" s="618"/>
      <c r="I432" s="687"/>
      <c r="J432" s="688"/>
      <c r="K432" s="689"/>
    </row>
    <row r="433" spans="1:11" ht="20.100000000000001" customHeight="1" x14ac:dyDescent="0.2">
      <c r="A433" s="681" t="str">
        <f t="shared" si="5"/>
        <v>753 Petróleo</v>
      </c>
      <c r="B433" s="622">
        <v>753</v>
      </c>
      <c r="C433" s="620" t="s">
        <v>724</v>
      </c>
      <c r="D433" s="619"/>
      <c r="E433" s="618"/>
      <c r="F433" s="618"/>
      <c r="G433" s="618"/>
      <c r="H433" s="618"/>
      <c r="I433" s="687"/>
      <c r="J433" s="688"/>
      <c r="K433" s="689"/>
    </row>
    <row r="434" spans="1:11" ht="20.100000000000001" customHeight="1" x14ac:dyDescent="0.2">
      <c r="A434" s="681" t="str">
        <f t="shared" si="5"/>
        <v>752 Energia Elétrica</v>
      </c>
      <c r="B434" s="622">
        <v>752</v>
      </c>
      <c r="C434" s="620" t="s">
        <v>700</v>
      </c>
      <c r="D434" s="619"/>
      <c r="E434" s="618"/>
      <c r="F434" s="618"/>
      <c r="G434" s="618"/>
      <c r="H434" s="618"/>
      <c r="I434" s="687"/>
      <c r="J434" s="688"/>
      <c r="K434" s="689"/>
    </row>
    <row r="435" spans="1:11" ht="20.100000000000001" customHeight="1" x14ac:dyDescent="0.2">
      <c r="A435" s="681" t="str">
        <f t="shared" si="5"/>
        <v>26 Transporte</v>
      </c>
      <c r="B435" s="623">
        <v>26</v>
      </c>
      <c r="C435" s="621" t="s">
        <v>637</v>
      </c>
      <c r="D435" s="619"/>
      <c r="E435" s="618"/>
      <c r="F435" s="618"/>
      <c r="G435" s="618"/>
      <c r="H435" s="618"/>
      <c r="I435" s="687"/>
      <c r="J435" s="688"/>
      <c r="K435" s="689"/>
    </row>
    <row r="436" spans="1:11" ht="20.100000000000001" customHeight="1" x14ac:dyDescent="0.2">
      <c r="A436" s="681" t="str">
        <f t="shared" si="5"/>
        <v>781 Transporte Áéreo</v>
      </c>
      <c r="B436" s="622">
        <v>781</v>
      </c>
      <c r="C436" s="620" t="s">
        <v>725</v>
      </c>
      <c r="D436" s="619"/>
      <c r="E436" s="618"/>
      <c r="F436" s="618"/>
      <c r="G436" s="618"/>
      <c r="H436" s="618"/>
      <c r="I436" s="687"/>
      <c r="J436" s="688"/>
      <c r="K436" s="689"/>
    </row>
    <row r="437" spans="1:11" ht="20.100000000000001" customHeight="1" x14ac:dyDescent="0.2">
      <c r="A437" s="681" t="str">
        <f t="shared" si="5"/>
        <v>451 Infra-Estrutura Urbana</v>
      </c>
      <c r="B437" s="622">
        <v>451</v>
      </c>
      <c r="C437" s="620" t="s">
        <v>686</v>
      </c>
      <c r="D437" s="619"/>
      <c r="E437" s="618"/>
      <c r="F437" s="618"/>
      <c r="G437" s="618"/>
      <c r="H437" s="618"/>
      <c r="I437" s="687"/>
      <c r="J437" s="688"/>
      <c r="K437" s="689"/>
    </row>
    <row r="438" spans="1:11" ht="20.100000000000001" customHeight="1" x14ac:dyDescent="0.2">
      <c r="A438" s="681" t="str">
        <f t="shared" si="5"/>
        <v>452 Serviços Urbanos</v>
      </c>
      <c r="B438" s="622">
        <v>452</v>
      </c>
      <c r="C438" s="620" t="s">
        <v>687</v>
      </c>
      <c r="D438" s="619"/>
      <c r="E438" s="618"/>
      <c r="F438" s="618"/>
      <c r="G438" s="618"/>
      <c r="H438" s="618"/>
      <c r="I438" s="687"/>
      <c r="J438" s="688"/>
      <c r="K438" s="689"/>
    </row>
    <row r="439" spans="1:11" ht="20.100000000000001" customHeight="1" x14ac:dyDescent="0.2">
      <c r="A439" s="681" t="str">
        <f t="shared" si="5"/>
        <v>784 Transporte Hidroviário</v>
      </c>
      <c r="B439" s="622">
        <v>784</v>
      </c>
      <c r="C439" s="620" t="s">
        <v>726</v>
      </c>
      <c r="D439" s="619"/>
      <c r="E439" s="618"/>
      <c r="F439" s="618"/>
      <c r="G439" s="618"/>
      <c r="H439" s="618"/>
      <c r="I439" s="687"/>
      <c r="J439" s="688"/>
      <c r="K439" s="689"/>
    </row>
    <row r="440" spans="1:11" ht="20.100000000000001" customHeight="1" x14ac:dyDescent="0.2">
      <c r="A440" s="681" t="str">
        <f t="shared" si="5"/>
        <v>782 Transporte Rodoviário</v>
      </c>
      <c r="B440" s="622">
        <v>782</v>
      </c>
      <c r="C440" s="620" t="s">
        <v>675</v>
      </c>
      <c r="D440" s="619"/>
      <c r="E440" s="618"/>
      <c r="F440" s="618"/>
      <c r="G440" s="618"/>
      <c r="H440" s="618"/>
      <c r="I440" s="687"/>
      <c r="J440" s="688"/>
      <c r="K440" s="689"/>
    </row>
    <row r="441" spans="1:11" ht="20.100000000000001" customHeight="1" x14ac:dyDescent="0.2">
      <c r="A441" s="681" t="str">
        <f t="shared" si="5"/>
        <v>783 Transporte Ferroviário</v>
      </c>
      <c r="B441" s="622">
        <v>783</v>
      </c>
      <c r="C441" s="620" t="s">
        <v>727</v>
      </c>
      <c r="D441" s="619"/>
      <c r="E441" s="618"/>
      <c r="F441" s="618"/>
      <c r="G441" s="618"/>
      <c r="H441" s="618"/>
      <c r="I441" s="687"/>
      <c r="J441" s="688"/>
      <c r="K441" s="689"/>
    </row>
    <row r="442" spans="1:11" ht="20.100000000000001" customHeight="1" x14ac:dyDescent="0.2">
      <c r="A442" s="681" t="str">
        <f t="shared" si="5"/>
        <v>785 Transportes Especiais</v>
      </c>
      <c r="B442" s="622">
        <v>785</v>
      </c>
      <c r="C442" s="620" t="s">
        <v>728</v>
      </c>
      <c r="D442" s="619"/>
      <c r="E442" s="618"/>
      <c r="F442" s="618"/>
      <c r="G442" s="618"/>
      <c r="H442" s="618"/>
      <c r="I442" s="687"/>
      <c r="J442" s="688"/>
      <c r="K442" s="689"/>
    </row>
    <row r="443" spans="1:11" ht="20.100000000000001" customHeight="1" x14ac:dyDescent="0.2">
      <c r="A443" s="681" t="str">
        <f t="shared" si="5"/>
        <v>27 Desporto e Lazer</v>
      </c>
      <c r="B443" s="623">
        <v>27</v>
      </c>
      <c r="C443" s="621" t="s">
        <v>638</v>
      </c>
      <c r="D443" s="619"/>
      <c r="E443" s="618"/>
      <c r="F443" s="618"/>
      <c r="G443" s="618"/>
      <c r="H443" s="618"/>
      <c r="I443" s="687"/>
      <c r="J443" s="688"/>
      <c r="K443" s="689"/>
    </row>
    <row r="444" spans="1:11" ht="20.100000000000001" customHeight="1" x14ac:dyDescent="0.2">
      <c r="A444" s="681" t="str">
        <f t="shared" si="5"/>
        <v>122 Administração Geral</v>
      </c>
      <c r="B444" s="622">
        <v>122</v>
      </c>
      <c r="C444" s="620" t="s">
        <v>641</v>
      </c>
      <c r="D444" s="619"/>
      <c r="E444" s="618"/>
      <c r="F444" s="618"/>
      <c r="G444" s="618"/>
      <c r="H444" s="618"/>
      <c r="I444" s="687"/>
      <c r="J444" s="688"/>
      <c r="K444" s="689"/>
    </row>
    <row r="445" spans="1:11" ht="20.100000000000001" customHeight="1" x14ac:dyDescent="0.2">
      <c r="A445" s="681" t="str">
        <f t="shared" si="5"/>
        <v>811 Desporto de Rendimento</v>
      </c>
      <c r="B445" s="622">
        <v>811</v>
      </c>
      <c r="C445" s="620" t="s">
        <v>729</v>
      </c>
      <c r="D445" s="619"/>
      <c r="E445" s="618"/>
      <c r="F445" s="618"/>
      <c r="G445" s="618"/>
      <c r="H445" s="618"/>
      <c r="I445" s="687"/>
      <c r="J445" s="688"/>
      <c r="K445" s="689"/>
    </row>
    <row r="446" spans="1:11" ht="20.100000000000001" customHeight="1" x14ac:dyDescent="0.2">
      <c r="A446" s="681" t="str">
        <f t="shared" ref="A446:A456" si="6">CONCATENATE(B446," ",C446)</f>
        <v>812 Desporto Comunitário</v>
      </c>
      <c r="B446" s="622">
        <v>812</v>
      </c>
      <c r="C446" s="620" t="s">
        <v>730</v>
      </c>
      <c r="D446" s="619"/>
      <c r="E446" s="618"/>
      <c r="F446" s="618"/>
      <c r="G446" s="618"/>
      <c r="H446" s="618"/>
      <c r="I446" s="687"/>
      <c r="J446" s="688"/>
      <c r="K446" s="689"/>
    </row>
    <row r="447" spans="1:11" ht="20.100000000000001" customHeight="1" x14ac:dyDescent="0.2">
      <c r="A447" s="681" t="str">
        <f t="shared" si="6"/>
        <v>813 Lazer</v>
      </c>
      <c r="B447" s="622">
        <v>813</v>
      </c>
      <c r="C447" s="620" t="s">
        <v>731</v>
      </c>
      <c r="D447" s="619"/>
      <c r="E447" s="618"/>
      <c r="F447" s="618"/>
      <c r="G447" s="618"/>
      <c r="H447" s="618"/>
      <c r="I447" s="687"/>
      <c r="J447" s="688"/>
      <c r="K447" s="689"/>
    </row>
    <row r="448" spans="1:11" ht="20.100000000000001" customHeight="1" x14ac:dyDescent="0.2">
      <c r="A448" s="681" t="str">
        <f t="shared" si="6"/>
        <v>28 Encargos Especiais</v>
      </c>
      <c r="B448" s="623">
        <v>28</v>
      </c>
      <c r="C448" s="621" t="s">
        <v>639</v>
      </c>
      <c r="D448" s="619"/>
      <c r="E448" s="618"/>
      <c r="F448" s="618"/>
      <c r="G448" s="618"/>
      <c r="H448" s="618"/>
      <c r="I448" s="687"/>
      <c r="J448" s="688"/>
      <c r="K448" s="689"/>
    </row>
    <row r="449" spans="1:11" ht="20.100000000000001" customHeight="1" x14ac:dyDescent="0.2">
      <c r="A449" s="681" t="str">
        <f t="shared" si="6"/>
        <v>842 Refinanciamento da Dívida Externa</v>
      </c>
      <c r="B449" s="622">
        <v>842</v>
      </c>
      <c r="C449" s="620" t="s">
        <v>732</v>
      </c>
      <c r="D449" s="619"/>
      <c r="E449" s="618"/>
      <c r="F449" s="618"/>
      <c r="G449" s="618"/>
      <c r="H449" s="618"/>
      <c r="I449" s="687"/>
      <c r="J449" s="688"/>
      <c r="K449" s="689"/>
    </row>
    <row r="450" spans="1:11" ht="20.100000000000001" customHeight="1" x14ac:dyDescent="0.2">
      <c r="A450" s="681" t="str">
        <f t="shared" si="6"/>
        <v>843 Serviço da Dívida Interna</v>
      </c>
      <c r="B450" s="622">
        <v>843</v>
      </c>
      <c r="C450" s="620" t="s">
        <v>733</v>
      </c>
      <c r="D450" s="619"/>
      <c r="E450" s="618"/>
      <c r="F450" s="618"/>
      <c r="G450" s="618"/>
      <c r="H450" s="618"/>
      <c r="I450" s="687"/>
      <c r="J450" s="688"/>
      <c r="K450" s="689"/>
    </row>
    <row r="451" spans="1:11" ht="20.100000000000001" customHeight="1" x14ac:dyDescent="0.2">
      <c r="A451" s="681" t="str">
        <f t="shared" si="6"/>
        <v>844 Serviço da Dívida Externa</v>
      </c>
      <c r="B451" s="622">
        <v>844</v>
      </c>
      <c r="C451" s="620" t="s">
        <v>734</v>
      </c>
      <c r="D451" s="619"/>
      <c r="E451" s="618"/>
      <c r="F451" s="618"/>
      <c r="G451" s="618"/>
      <c r="H451" s="618"/>
      <c r="I451" s="687"/>
      <c r="J451" s="688"/>
      <c r="K451" s="689"/>
    </row>
    <row r="452" spans="1:11" ht="20.100000000000001" customHeight="1" x14ac:dyDescent="0.2">
      <c r="A452" s="681" t="str">
        <f t="shared" si="6"/>
        <v>845 Transferências</v>
      </c>
      <c r="B452" s="622">
        <v>845</v>
      </c>
      <c r="C452" s="620" t="s">
        <v>735</v>
      </c>
      <c r="D452" s="619"/>
      <c r="E452" s="618"/>
      <c r="F452" s="618"/>
      <c r="G452" s="618"/>
      <c r="H452" s="618"/>
      <c r="I452" s="687"/>
      <c r="J452" s="688"/>
      <c r="K452" s="689"/>
    </row>
    <row r="453" spans="1:11" ht="20.100000000000001" customHeight="1" x14ac:dyDescent="0.2">
      <c r="A453" s="681" t="str">
        <f t="shared" si="6"/>
        <v>846 Outros Encargos Especiais</v>
      </c>
      <c r="B453" s="622">
        <v>846</v>
      </c>
      <c r="C453" s="620" t="s">
        <v>656</v>
      </c>
      <c r="D453" s="619"/>
      <c r="E453" s="618"/>
      <c r="F453" s="618"/>
      <c r="G453" s="618"/>
      <c r="H453" s="618"/>
      <c r="I453" s="687"/>
      <c r="J453" s="688"/>
      <c r="K453" s="689"/>
    </row>
    <row r="454" spans="1:11" ht="20.100000000000001" customHeight="1" x14ac:dyDescent="0.2">
      <c r="A454" s="681" t="str">
        <f t="shared" si="6"/>
        <v>841 Refinanciamento da Dívida Interna</v>
      </c>
      <c r="B454" s="622">
        <v>841</v>
      </c>
      <c r="C454" s="620" t="s">
        <v>736</v>
      </c>
      <c r="D454" s="619"/>
      <c r="E454" s="618"/>
      <c r="F454" s="618"/>
      <c r="G454" s="618"/>
      <c r="H454" s="618"/>
      <c r="I454" s="687"/>
      <c r="J454" s="688"/>
      <c r="K454" s="689"/>
    </row>
    <row r="455" spans="1:11" ht="20.100000000000001" customHeight="1" x14ac:dyDescent="0.2">
      <c r="A455" s="681" t="str">
        <f t="shared" si="6"/>
        <v xml:space="preserve">99 Reserva de Contingência </v>
      </c>
      <c r="B455" s="623">
        <v>99</v>
      </c>
      <c r="C455" s="621" t="s">
        <v>737</v>
      </c>
      <c r="D455" s="619"/>
      <c r="E455" s="618"/>
      <c r="F455" s="618"/>
      <c r="G455" s="618"/>
      <c r="H455" s="618"/>
      <c r="I455" s="687"/>
      <c r="J455" s="688"/>
      <c r="K455" s="689"/>
    </row>
    <row r="456" spans="1:11" ht="20.100000000000001" customHeight="1" x14ac:dyDescent="0.2">
      <c r="A456" s="681" t="str">
        <f t="shared" si="6"/>
        <v xml:space="preserve">099 Reserva de Contingência </v>
      </c>
      <c r="B456" s="624" t="s">
        <v>752</v>
      </c>
      <c r="C456" s="621" t="s">
        <v>737</v>
      </c>
      <c r="D456" s="619"/>
      <c r="E456" s="618"/>
      <c r="F456" s="618"/>
      <c r="G456" s="618"/>
      <c r="H456" s="618"/>
      <c r="I456" s="687"/>
      <c r="J456" s="688"/>
      <c r="K456" s="689"/>
    </row>
    <row r="457" spans="1:11" ht="20.100000000000001" customHeight="1" x14ac:dyDescent="0.2">
      <c r="A457" s="690"/>
      <c r="B457" s="621"/>
      <c r="C457" s="618"/>
      <c r="D457" s="619"/>
      <c r="E457" s="618"/>
      <c r="F457" s="618"/>
      <c r="G457" s="618"/>
      <c r="H457" s="618"/>
      <c r="I457" s="687"/>
      <c r="J457" s="688"/>
      <c r="K457" s="689"/>
    </row>
    <row r="458" spans="1:11" s="691" customFormat="1" ht="20.100000000000001" customHeight="1" x14ac:dyDescent="0.2">
      <c r="A458" s="1368" t="s">
        <v>467</v>
      </c>
      <c r="B458" s="1368"/>
      <c r="C458" s="1368"/>
      <c r="D458" s="1368"/>
      <c r="E458" s="1368"/>
      <c r="F458" s="1368"/>
      <c r="G458" s="1368"/>
      <c r="H458" s="1368"/>
      <c r="I458" s="1368"/>
      <c r="J458" s="1368"/>
      <c r="K458" s="1368"/>
    </row>
    <row r="459" spans="1:11" s="691" customFormat="1" ht="20.100000000000001" customHeight="1" x14ac:dyDescent="0.2">
      <c r="A459" s="617" t="s">
        <v>468</v>
      </c>
      <c r="B459" s="617" t="s">
        <v>469</v>
      </c>
      <c r="C459" s="605"/>
      <c r="D459" s="625"/>
      <c r="E459" s="605"/>
      <c r="F459" s="617" t="s">
        <v>470</v>
      </c>
      <c r="G459" s="628"/>
      <c r="H459" s="628"/>
      <c r="I459" s="692"/>
      <c r="J459" s="688"/>
      <c r="K459" s="689"/>
    </row>
    <row r="460" spans="1:11" s="691" customFormat="1" ht="20.100000000000001" customHeight="1" x14ac:dyDescent="0.2">
      <c r="A460" s="671" t="s">
        <v>745</v>
      </c>
      <c r="B460" s="621"/>
      <c r="C460" s="606"/>
      <c r="D460" s="607"/>
      <c r="E460" s="606"/>
      <c r="F460" s="675" t="s">
        <v>471</v>
      </c>
      <c r="G460" s="618"/>
      <c r="H460" s="618"/>
      <c r="I460" s="687"/>
      <c r="J460" s="688"/>
      <c r="K460" s="689"/>
    </row>
    <row r="461" spans="1:11" s="691" customFormat="1" ht="20.100000000000001" customHeight="1" x14ac:dyDescent="0.2">
      <c r="A461" s="671" t="s">
        <v>753</v>
      </c>
      <c r="B461" s="620"/>
      <c r="C461" s="606"/>
      <c r="D461" s="607"/>
      <c r="E461" s="606"/>
      <c r="F461" s="675" t="s">
        <v>472</v>
      </c>
      <c r="G461" s="618"/>
      <c r="H461" s="618"/>
      <c r="I461" s="687"/>
      <c r="J461" s="688"/>
      <c r="K461" s="689"/>
    </row>
    <row r="462" spans="1:11" s="691" customFormat="1" ht="20.100000000000001" customHeight="1" x14ac:dyDescent="0.2">
      <c r="A462" s="671" t="s">
        <v>754</v>
      </c>
      <c r="B462" s="620"/>
      <c r="C462" s="606"/>
      <c r="D462" s="607"/>
      <c r="E462" s="606"/>
      <c r="F462" s="675" t="s">
        <v>473</v>
      </c>
      <c r="G462" s="618"/>
      <c r="H462" s="618"/>
      <c r="I462" s="687"/>
      <c r="J462" s="688"/>
      <c r="K462" s="689"/>
    </row>
    <row r="463" spans="1:11" s="691" customFormat="1" ht="20.100000000000001" customHeight="1" x14ac:dyDescent="0.2">
      <c r="A463" s="671" t="s">
        <v>755</v>
      </c>
      <c r="B463" s="620"/>
      <c r="C463" s="606"/>
      <c r="D463" s="607"/>
      <c r="E463" s="606"/>
      <c r="F463" s="675" t="s">
        <v>474</v>
      </c>
      <c r="G463" s="618"/>
      <c r="H463" s="618"/>
      <c r="I463" s="687"/>
      <c r="J463" s="688"/>
      <c r="K463" s="689"/>
    </row>
    <row r="464" spans="1:11" s="691" customFormat="1" ht="20.100000000000001" customHeight="1" x14ac:dyDescent="0.2">
      <c r="A464" s="671" t="s">
        <v>756</v>
      </c>
      <c r="B464" s="620"/>
      <c r="C464" s="606"/>
      <c r="D464" s="607"/>
      <c r="E464" s="606"/>
      <c r="F464" s="675" t="s">
        <v>475</v>
      </c>
      <c r="G464" s="618"/>
      <c r="H464" s="618"/>
      <c r="I464" s="687"/>
      <c r="J464" s="688"/>
      <c r="K464" s="689"/>
    </row>
    <row r="465" spans="1:11" s="691" customFormat="1" ht="20.100000000000001" customHeight="1" x14ac:dyDescent="0.2">
      <c r="A465" s="671" t="s">
        <v>757</v>
      </c>
      <c r="B465" s="620"/>
      <c r="C465" s="606"/>
      <c r="D465" s="607"/>
      <c r="E465" s="606"/>
      <c r="F465" s="675" t="s">
        <v>476</v>
      </c>
      <c r="G465" s="618"/>
      <c r="H465" s="618"/>
      <c r="I465" s="687"/>
      <c r="J465" s="688"/>
      <c r="K465" s="689"/>
    </row>
    <row r="466" spans="1:11" s="691" customFormat="1" ht="20.100000000000001" customHeight="1" x14ac:dyDescent="0.2">
      <c r="A466" s="671" t="s">
        <v>758</v>
      </c>
      <c r="B466" s="620"/>
      <c r="C466" s="606"/>
      <c r="D466" s="607"/>
      <c r="E466" s="606"/>
      <c r="F466" s="675" t="s">
        <v>477</v>
      </c>
      <c r="G466" s="618"/>
      <c r="H466" s="618"/>
      <c r="I466" s="687"/>
      <c r="J466" s="688"/>
      <c r="K466" s="689"/>
    </row>
    <row r="467" spans="1:11" s="691" customFormat="1" ht="20.100000000000001" customHeight="1" x14ac:dyDescent="0.2">
      <c r="A467" s="671" t="s">
        <v>759</v>
      </c>
      <c r="B467" s="620"/>
      <c r="C467" s="606"/>
      <c r="D467" s="607"/>
      <c r="E467" s="606"/>
      <c r="F467" s="675" t="s">
        <v>478</v>
      </c>
      <c r="G467" s="618"/>
      <c r="H467" s="618"/>
      <c r="I467" s="687"/>
      <c r="J467" s="688"/>
      <c r="K467" s="689"/>
    </row>
    <row r="468" spans="1:11" s="691" customFormat="1" ht="20.100000000000001" customHeight="1" x14ac:dyDescent="0.2">
      <c r="A468" s="671" t="s">
        <v>760</v>
      </c>
      <c r="B468" s="620"/>
      <c r="C468" s="606"/>
      <c r="D468" s="607"/>
      <c r="E468" s="606"/>
      <c r="F468" s="675" t="s">
        <v>479</v>
      </c>
      <c r="G468" s="618"/>
      <c r="H468" s="618"/>
      <c r="I468" s="687"/>
      <c r="J468" s="688"/>
      <c r="K468" s="689"/>
    </row>
    <row r="469" spans="1:11" s="691" customFormat="1" ht="20.100000000000001" customHeight="1" x14ac:dyDescent="0.2">
      <c r="A469" s="671" t="s">
        <v>761</v>
      </c>
      <c r="B469" s="620"/>
      <c r="C469" s="606"/>
      <c r="D469" s="607"/>
      <c r="E469" s="606"/>
      <c r="F469" s="675" t="s">
        <v>480</v>
      </c>
      <c r="G469" s="618"/>
      <c r="H469" s="618"/>
      <c r="I469" s="687"/>
      <c r="J469" s="688"/>
      <c r="K469" s="689"/>
    </row>
    <row r="470" spans="1:11" s="691" customFormat="1" ht="20.100000000000001" customHeight="1" x14ac:dyDescent="0.2">
      <c r="A470" s="671" t="s">
        <v>762</v>
      </c>
      <c r="B470" s="620"/>
      <c r="C470" s="606"/>
      <c r="D470" s="607"/>
      <c r="E470" s="606"/>
      <c r="F470" s="675" t="s">
        <v>481</v>
      </c>
      <c r="G470" s="618"/>
      <c r="H470" s="618"/>
      <c r="I470" s="687"/>
      <c r="J470" s="688"/>
      <c r="K470" s="689"/>
    </row>
    <row r="471" spans="1:11" s="691" customFormat="1" ht="20.100000000000001" customHeight="1" x14ac:dyDescent="0.2">
      <c r="A471" s="671" t="s">
        <v>763</v>
      </c>
      <c r="B471" s="620"/>
      <c r="C471" s="606"/>
      <c r="D471" s="607"/>
      <c r="E471" s="606"/>
      <c r="F471" s="675" t="s">
        <v>482</v>
      </c>
      <c r="G471" s="618"/>
      <c r="H471" s="618"/>
      <c r="I471" s="687"/>
      <c r="J471" s="688"/>
      <c r="K471" s="689"/>
    </row>
    <row r="472" spans="1:11" s="691" customFormat="1" ht="20.100000000000001" customHeight="1" x14ac:dyDescent="0.2">
      <c r="A472" s="671" t="s">
        <v>764</v>
      </c>
      <c r="B472" s="620"/>
      <c r="C472" s="606"/>
      <c r="D472" s="607"/>
      <c r="E472" s="606"/>
      <c r="F472" s="675" t="s">
        <v>483</v>
      </c>
      <c r="G472" s="618"/>
      <c r="H472" s="618"/>
      <c r="I472" s="687"/>
      <c r="J472" s="688"/>
      <c r="K472" s="689"/>
    </row>
    <row r="473" spans="1:11" s="691" customFormat="1" ht="20.100000000000001" customHeight="1" x14ac:dyDescent="0.2">
      <c r="A473" s="671" t="s">
        <v>917</v>
      </c>
      <c r="B473" s="620"/>
      <c r="C473" s="606"/>
      <c r="D473" s="607"/>
      <c r="E473" s="606"/>
      <c r="F473" s="675" t="s">
        <v>484</v>
      </c>
      <c r="G473" s="618"/>
      <c r="H473" s="618"/>
      <c r="I473" s="687"/>
      <c r="J473" s="688"/>
      <c r="K473" s="689"/>
    </row>
    <row r="474" spans="1:11" s="691" customFormat="1" ht="20.100000000000001" customHeight="1" x14ac:dyDescent="0.2">
      <c r="A474" s="671" t="s">
        <v>765</v>
      </c>
      <c r="B474" s="620"/>
      <c r="C474" s="606"/>
      <c r="D474" s="607"/>
      <c r="E474" s="606"/>
      <c r="F474" s="675" t="s">
        <v>485</v>
      </c>
      <c r="G474" s="618"/>
      <c r="H474" s="618"/>
      <c r="I474" s="687"/>
      <c r="J474" s="688"/>
      <c r="K474" s="689"/>
    </row>
    <row r="475" spans="1:11" s="691" customFormat="1" ht="20.100000000000001" customHeight="1" x14ac:dyDescent="0.2">
      <c r="A475" s="671" t="s">
        <v>766</v>
      </c>
      <c r="B475" s="620"/>
      <c r="C475" s="606"/>
      <c r="D475" s="607"/>
      <c r="E475" s="606"/>
      <c r="F475" s="675" t="s">
        <v>486</v>
      </c>
      <c r="G475" s="618"/>
      <c r="H475" s="618"/>
      <c r="I475" s="687"/>
      <c r="J475" s="688"/>
      <c r="K475" s="689"/>
    </row>
    <row r="476" spans="1:11" s="691" customFormat="1" ht="20.100000000000001" customHeight="1" x14ac:dyDescent="0.2">
      <c r="A476" s="671" t="s">
        <v>767</v>
      </c>
      <c r="B476" s="620"/>
      <c r="C476" s="606"/>
      <c r="D476" s="607"/>
      <c r="E476" s="606"/>
      <c r="F476" s="675" t="s">
        <v>487</v>
      </c>
      <c r="G476" s="618"/>
      <c r="H476" s="618"/>
      <c r="I476" s="687"/>
      <c r="J476" s="688"/>
      <c r="K476" s="689"/>
    </row>
    <row r="477" spans="1:11" s="691" customFormat="1" ht="20.100000000000001" customHeight="1" x14ac:dyDescent="0.2">
      <c r="A477" s="671" t="s">
        <v>768</v>
      </c>
      <c r="B477" s="620"/>
      <c r="C477" s="606"/>
      <c r="D477" s="607"/>
      <c r="E477" s="606"/>
      <c r="F477" s="675" t="s">
        <v>488</v>
      </c>
      <c r="G477" s="618"/>
      <c r="H477" s="618"/>
      <c r="I477" s="687"/>
      <c r="J477" s="688"/>
      <c r="K477" s="689"/>
    </row>
    <row r="478" spans="1:11" s="691" customFormat="1" ht="20.100000000000001" customHeight="1" x14ac:dyDescent="0.2">
      <c r="A478" s="671" t="s">
        <v>769</v>
      </c>
      <c r="B478" s="620"/>
      <c r="C478" s="606"/>
      <c r="D478" s="607"/>
      <c r="E478" s="606"/>
      <c r="F478" s="675" t="s">
        <v>489</v>
      </c>
      <c r="G478" s="618"/>
      <c r="H478" s="618"/>
      <c r="I478" s="687"/>
      <c r="J478" s="688"/>
      <c r="K478" s="689"/>
    </row>
    <row r="479" spans="1:11" s="691" customFormat="1" ht="20.100000000000001" customHeight="1" x14ac:dyDescent="0.2">
      <c r="A479" s="671" t="s">
        <v>770</v>
      </c>
      <c r="B479" s="620"/>
      <c r="C479" s="606"/>
      <c r="D479" s="607"/>
      <c r="E479" s="606"/>
      <c r="F479" s="675" t="s">
        <v>490</v>
      </c>
      <c r="G479" s="618"/>
      <c r="H479" s="618"/>
      <c r="I479" s="687"/>
      <c r="J479" s="688"/>
      <c r="K479" s="689"/>
    </row>
    <row r="480" spans="1:11" s="691" customFormat="1" ht="20.100000000000001" customHeight="1" x14ac:dyDescent="0.2">
      <c r="A480" s="671" t="s">
        <v>771</v>
      </c>
      <c r="B480" s="620"/>
      <c r="C480" s="606"/>
      <c r="D480" s="607"/>
      <c r="E480" s="606"/>
      <c r="F480" s="675" t="s">
        <v>491</v>
      </c>
      <c r="G480" s="618"/>
      <c r="H480" s="618"/>
      <c r="I480" s="687"/>
      <c r="J480" s="688"/>
      <c r="K480" s="689"/>
    </row>
    <row r="481" spans="1:11" s="691" customFormat="1" ht="20.100000000000001" customHeight="1" x14ac:dyDescent="0.2">
      <c r="A481" s="671" t="s">
        <v>772</v>
      </c>
      <c r="B481" s="620"/>
      <c r="C481" s="606"/>
      <c r="D481" s="607"/>
      <c r="E481" s="606"/>
      <c r="F481" s="675" t="s">
        <v>492</v>
      </c>
      <c r="G481" s="618"/>
      <c r="H481" s="618"/>
      <c r="I481" s="687"/>
      <c r="J481" s="688"/>
      <c r="K481" s="689"/>
    </row>
    <row r="482" spans="1:11" s="691" customFormat="1" ht="20.100000000000001" customHeight="1" x14ac:dyDescent="0.2">
      <c r="A482" s="671" t="s">
        <v>773</v>
      </c>
      <c r="B482" s="620"/>
      <c r="C482" s="606"/>
      <c r="D482" s="607"/>
      <c r="E482" s="606"/>
      <c r="F482" s="675" t="s">
        <v>493</v>
      </c>
      <c r="G482" s="618"/>
      <c r="H482" s="618"/>
      <c r="I482" s="687"/>
      <c r="J482" s="688"/>
      <c r="K482" s="689"/>
    </row>
    <row r="483" spans="1:11" s="691" customFormat="1" ht="20.100000000000001" customHeight="1" x14ac:dyDescent="0.2">
      <c r="A483" s="671" t="s">
        <v>774</v>
      </c>
      <c r="B483" s="620"/>
      <c r="C483" s="606"/>
      <c r="D483" s="607"/>
      <c r="E483" s="606"/>
      <c r="F483" s="675" t="s">
        <v>494</v>
      </c>
      <c r="G483" s="618"/>
      <c r="H483" s="618"/>
      <c r="I483" s="687"/>
      <c r="J483" s="688"/>
      <c r="K483" s="689"/>
    </row>
    <row r="484" spans="1:11" s="691" customFormat="1" ht="20.100000000000001" customHeight="1" x14ac:dyDescent="0.2">
      <c r="A484" s="671" t="s">
        <v>775</v>
      </c>
      <c r="B484" s="620"/>
      <c r="C484" s="606"/>
      <c r="D484" s="607"/>
      <c r="E484" s="606"/>
      <c r="F484" s="675" t="s">
        <v>495</v>
      </c>
      <c r="G484" s="618"/>
      <c r="H484" s="618"/>
      <c r="I484" s="687"/>
      <c r="J484" s="688"/>
      <c r="K484" s="689"/>
    </row>
    <row r="485" spans="1:11" s="691" customFormat="1" ht="20.100000000000001" customHeight="1" x14ac:dyDescent="0.2">
      <c r="A485" s="671" t="s">
        <v>776</v>
      </c>
      <c r="B485" s="620"/>
      <c r="C485" s="606"/>
      <c r="D485" s="607"/>
      <c r="E485" s="606"/>
      <c r="F485" s="675" t="s">
        <v>496</v>
      </c>
      <c r="G485" s="618"/>
      <c r="H485" s="618"/>
      <c r="I485" s="687"/>
      <c r="J485" s="688"/>
      <c r="K485" s="689"/>
    </row>
    <row r="486" spans="1:11" s="691" customFormat="1" ht="20.100000000000001" customHeight="1" x14ac:dyDescent="0.2">
      <c r="A486" s="671" t="s">
        <v>777</v>
      </c>
      <c r="B486" s="620"/>
      <c r="C486" s="606"/>
      <c r="D486" s="607"/>
      <c r="E486" s="606"/>
      <c r="F486" s="675" t="s">
        <v>497</v>
      </c>
      <c r="G486" s="618"/>
      <c r="H486" s="618"/>
      <c r="I486" s="687"/>
      <c r="J486" s="688"/>
      <c r="K486" s="689"/>
    </row>
    <row r="487" spans="1:11" s="691" customFormat="1" ht="20.100000000000001" customHeight="1" x14ac:dyDescent="0.2">
      <c r="A487" s="671" t="s">
        <v>778</v>
      </c>
      <c r="B487" s="620"/>
      <c r="C487" s="606"/>
      <c r="D487" s="607"/>
      <c r="E487" s="606"/>
      <c r="F487" s="675" t="s">
        <v>498</v>
      </c>
      <c r="G487" s="618"/>
      <c r="H487" s="618"/>
      <c r="I487" s="687"/>
      <c r="J487" s="688"/>
      <c r="K487" s="689"/>
    </row>
    <row r="488" spans="1:11" s="691" customFormat="1" ht="20.100000000000001" customHeight="1" x14ac:dyDescent="0.2">
      <c r="A488" s="671" t="s">
        <v>779</v>
      </c>
      <c r="B488" s="620"/>
      <c r="C488" s="606"/>
      <c r="D488" s="607"/>
      <c r="E488" s="606"/>
      <c r="F488" s="675" t="s">
        <v>499</v>
      </c>
      <c r="G488" s="618"/>
      <c r="H488" s="618"/>
      <c r="I488" s="687"/>
      <c r="J488" s="688"/>
      <c r="K488" s="689"/>
    </row>
    <row r="489" spans="1:11" s="691" customFormat="1" ht="20.100000000000001" customHeight="1" x14ac:dyDescent="0.2">
      <c r="A489" s="671" t="s">
        <v>780</v>
      </c>
      <c r="B489" s="620"/>
      <c r="C489" s="606"/>
      <c r="D489" s="607"/>
      <c r="E489" s="606"/>
      <c r="F489" s="675" t="s">
        <v>500</v>
      </c>
      <c r="G489" s="618"/>
      <c r="H489" s="618"/>
      <c r="I489" s="687"/>
      <c r="J489" s="688"/>
      <c r="K489" s="689"/>
    </row>
    <row r="490" spans="1:11" s="691" customFormat="1" ht="20.100000000000001" customHeight="1" x14ac:dyDescent="0.2">
      <c r="A490" s="671" t="s">
        <v>781</v>
      </c>
      <c r="B490" s="620"/>
      <c r="C490" s="606"/>
      <c r="D490" s="607"/>
      <c r="E490" s="606"/>
      <c r="F490" s="675" t="s">
        <v>501</v>
      </c>
      <c r="G490" s="618"/>
      <c r="H490" s="618"/>
      <c r="I490" s="687"/>
      <c r="J490" s="688"/>
      <c r="K490" s="689"/>
    </row>
    <row r="491" spans="1:11" s="691" customFormat="1" ht="20.100000000000001" customHeight="1" x14ac:dyDescent="0.2">
      <c r="A491" s="671" t="s">
        <v>782</v>
      </c>
      <c r="B491" s="620"/>
      <c r="C491" s="606"/>
      <c r="D491" s="607"/>
      <c r="E491" s="606"/>
      <c r="F491" s="675" t="s">
        <v>502</v>
      </c>
      <c r="G491" s="618"/>
      <c r="H491" s="618"/>
      <c r="I491" s="687"/>
      <c r="J491" s="688"/>
      <c r="K491" s="689"/>
    </row>
    <row r="492" spans="1:11" s="691" customFormat="1" ht="20.100000000000001" customHeight="1" x14ac:dyDescent="0.2">
      <c r="A492" s="671" t="s">
        <v>783</v>
      </c>
      <c r="B492" s="620"/>
      <c r="C492" s="606"/>
      <c r="D492" s="607"/>
      <c r="E492" s="606"/>
      <c r="F492" s="675" t="s">
        <v>503</v>
      </c>
      <c r="G492" s="618"/>
      <c r="H492" s="618"/>
      <c r="I492" s="687"/>
      <c r="J492" s="688"/>
      <c r="K492" s="689"/>
    </row>
    <row r="493" spans="1:11" s="691" customFormat="1" ht="20.100000000000001" customHeight="1" x14ac:dyDescent="0.2">
      <c r="A493" s="671" t="s">
        <v>784</v>
      </c>
      <c r="B493" s="620"/>
      <c r="C493" s="606"/>
      <c r="D493" s="607"/>
      <c r="E493" s="606"/>
      <c r="F493" s="675" t="s">
        <v>504</v>
      </c>
      <c r="G493" s="618"/>
      <c r="H493" s="618"/>
      <c r="I493" s="687"/>
      <c r="J493" s="688"/>
      <c r="K493" s="689"/>
    </row>
    <row r="494" spans="1:11" s="691" customFormat="1" ht="20.100000000000001" customHeight="1" x14ac:dyDescent="0.2">
      <c r="A494" s="671" t="s">
        <v>785</v>
      </c>
      <c r="B494" s="620"/>
      <c r="C494" s="606"/>
      <c r="D494" s="607"/>
      <c r="E494" s="606"/>
      <c r="F494" s="675" t="s">
        <v>505</v>
      </c>
      <c r="G494" s="618"/>
      <c r="H494" s="618"/>
      <c r="I494" s="687"/>
      <c r="J494" s="688"/>
      <c r="K494" s="689"/>
    </row>
    <row r="495" spans="1:11" s="691" customFormat="1" ht="20.100000000000001" customHeight="1" x14ac:dyDescent="0.2">
      <c r="A495" s="671" t="s">
        <v>786</v>
      </c>
      <c r="B495" s="620"/>
      <c r="C495" s="606"/>
      <c r="D495" s="607"/>
      <c r="E495" s="606"/>
      <c r="F495" s="675" t="s">
        <v>506</v>
      </c>
      <c r="G495" s="618"/>
      <c r="H495" s="618"/>
      <c r="I495" s="687"/>
      <c r="J495" s="688"/>
      <c r="K495" s="689"/>
    </row>
    <row r="496" spans="1:11" s="691" customFormat="1" ht="20.100000000000001" customHeight="1" x14ac:dyDescent="0.2">
      <c r="A496" s="671" t="s">
        <v>787</v>
      </c>
      <c r="B496" s="620"/>
      <c r="C496" s="606"/>
      <c r="D496" s="607"/>
      <c r="E496" s="606"/>
      <c r="F496" s="675" t="s">
        <v>507</v>
      </c>
      <c r="G496" s="618"/>
      <c r="H496" s="618"/>
      <c r="I496" s="687"/>
      <c r="J496" s="688"/>
      <c r="K496" s="689"/>
    </row>
    <row r="497" spans="1:11" s="691" customFormat="1" ht="20.100000000000001" customHeight="1" x14ac:dyDescent="0.2">
      <c r="A497" s="671" t="s">
        <v>788</v>
      </c>
      <c r="B497" s="620"/>
      <c r="C497" s="606"/>
      <c r="D497" s="607"/>
      <c r="E497" s="606"/>
      <c r="F497" s="675" t="s">
        <v>508</v>
      </c>
      <c r="G497" s="618"/>
      <c r="H497" s="618"/>
      <c r="I497" s="687"/>
      <c r="J497" s="688"/>
      <c r="K497" s="689"/>
    </row>
    <row r="498" spans="1:11" s="691" customFormat="1" ht="20.100000000000001" customHeight="1" x14ac:dyDescent="0.2">
      <c r="A498" s="671" t="s">
        <v>789</v>
      </c>
      <c r="B498" s="620"/>
      <c r="C498" s="606"/>
      <c r="D498" s="607"/>
      <c r="E498" s="606"/>
      <c r="F498" s="675" t="s">
        <v>509</v>
      </c>
      <c r="G498" s="618"/>
      <c r="H498" s="618"/>
      <c r="I498" s="687"/>
      <c r="J498" s="688"/>
      <c r="K498" s="689"/>
    </row>
    <row r="499" spans="1:11" s="691" customFormat="1" ht="20.100000000000001" customHeight="1" x14ac:dyDescent="0.2">
      <c r="A499" s="671" t="s">
        <v>790</v>
      </c>
      <c r="B499" s="620"/>
      <c r="C499" s="606"/>
      <c r="D499" s="607"/>
      <c r="E499" s="606"/>
      <c r="F499" s="675" t="s">
        <v>510</v>
      </c>
      <c r="G499" s="618"/>
      <c r="H499" s="618"/>
      <c r="I499" s="687"/>
      <c r="J499" s="688"/>
      <c r="K499" s="689"/>
    </row>
    <row r="500" spans="1:11" s="691" customFormat="1" ht="20.100000000000001" customHeight="1" x14ac:dyDescent="0.2">
      <c r="A500" s="671" t="s">
        <v>791</v>
      </c>
      <c r="B500" s="620"/>
      <c r="C500" s="606"/>
      <c r="D500" s="607"/>
      <c r="E500" s="606"/>
      <c r="F500" s="675" t="s">
        <v>511</v>
      </c>
      <c r="G500" s="618"/>
      <c r="H500" s="618"/>
      <c r="I500" s="687"/>
      <c r="J500" s="688"/>
      <c r="K500" s="689"/>
    </row>
    <row r="501" spans="1:11" s="691" customFormat="1" ht="20.100000000000001" customHeight="1" x14ac:dyDescent="0.2">
      <c r="A501" s="671" t="s">
        <v>792</v>
      </c>
      <c r="B501" s="620"/>
      <c r="C501" s="606"/>
      <c r="D501" s="607"/>
      <c r="E501" s="606"/>
      <c r="F501" s="675" t="s">
        <v>512</v>
      </c>
      <c r="G501" s="618"/>
      <c r="H501" s="618"/>
      <c r="I501" s="687"/>
      <c r="J501" s="688"/>
      <c r="K501" s="689"/>
    </row>
    <row r="502" spans="1:11" s="691" customFormat="1" ht="20.100000000000001" customHeight="1" x14ac:dyDescent="0.2">
      <c r="A502" s="671" t="s">
        <v>793</v>
      </c>
      <c r="B502" s="620"/>
      <c r="C502" s="606"/>
      <c r="D502" s="607"/>
      <c r="E502" s="606"/>
      <c r="F502" s="675" t="s">
        <v>513</v>
      </c>
      <c r="G502" s="618"/>
      <c r="H502" s="618"/>
      <c r="I502" s="687"/>
      <c r="J502" s="688"/>
      <c r="K502" s="689"/>
    </row>
    <row r="503" spans="1:11" s="691" customFormat="1" ht="20.100000000000001" customHeight="1" x14ac:dyDescent="0.2">
      <c r="A503" s="671" t="s">
        <v>794</v>
      </c>
      <c r="B503" s="620"/>
      <c r="C503" s="606"/>
      <c r="D503" s="607"/>
      <c r="E503" s="606"/>
      <c r="F503" s="675" t="s">
        <v>514</v>
      </c>
      <c r="G503" s="618"/>
      <c r="H503" s="618"/>
      <c r="I503" s="687"/>
      <c r="J503" s="688"/>
      <c r="K503" s="689"/>
    </row>
    <row r="504" spans="1:11" s="691" customFormat="1" ht="20.100000000000001" customHeight="1" x14ac:dyDescent="0.2">
      <c r="A504" s="671" t="s">
        <v>795</v>
      </c>
      <c r="B504" s="620"/>
      <c r="C504" s="606"/>
      <c r="D504" s="607"/>
      <c r="E504" s="606"/>
      <c r="F504" s="675" t="s">
        <v>515</v>
      </c>
      <c r="G504" s="618"/>
      <c r="H504" s="618"/>
      <c r="I504" s="687"/>
      <c r="J504" s="688"/>
      <c r="K504" s="689"/>
    </row>
    <row r="505" spans="1:11" s="691" customFormat="1" ht="20.100000000000001" customHeight="1" x14ac:dyDescent="0.2">
      <c r="A505" s="671" t="s">
        <v>796</v>
      </c>
      <c r="B505" s="620"/>
      <c r="C505" s="606"/>
      <c r="D505" s="607"/>
      <c r="E505" s="606"/>
      <c r="F505" s="675" t="s">
        <v>516</v>
      </c>
      <c r="G505" s="618"/>
      <c r="H505" s="618"/>
      <c r="I505" s="687"/>
      <c r="J505" s="688"/>
      <c r="K505" s="689"/>
    </row>
    <row r="506" spans="1:11" s="691" customFormat="1" ht="20.100000000000001" customHeight="1" x14ac:dyDescent="0.2">
      <c r="A506" s="671" t="s">
        <v>797</v>
      </c>
      <c r="B506" s="620"/>
      <c r="C506" s="606"/>
      <c r="D506" s="607"/>
      <c r="E506" s="606"/>
      <c r="F506" s="675" t="s">
        <v>517</v>
      </c>
      <c r="G506" s="618"/>
      <c r="H506" s="618"/>
      <c r="I506" s="687"/>
      <c r="J506" s="688"/>
      <c r="K506" s="689"/>
    </row>
    <row r="507" spans="1:11" s="691" customFormat="1" ht="20.100000000000001" customHeight="1" x14ac:dyDescent="0.2">
      <c r="A507" s="671" t="s">
        <v>798</v>
      </c>
      <c r="B507" s="620"/>
      <c r="C507" s="606"/>
      <c r="D507" s="607"/>
      <c r="E507" s="606"/>
      <c r="F507" s="675" t="s">
        <v>518</v>
      </c>
      <c r="G507" s="618"/>
      <c r="H507" s="618"/>
      <c r="I507" s="687"/>
      <c r="J507" s="688"/>
      <c r="K507" s="689"/>
    </row>
    <row r="508" spans="1:11" s="691" customFormat="1" ht="20.100000000000001" customHeight="1" x14ac:dyDescent="0.2">
      <c r="A508" s="671" t="s">
        <v>799</v>
      </c>
      <c r="B508" s="620"/>
      <c r="C508" s="606"/>
      <c r="D508" s="607"/>
      <c r="E508" s="606"/>
      <c r="F508" s="675" t="s">
        <v>519</v>
      </c>
      <c r="G508" s="618"/>
      <c r="H508" s="618"/>
      <c r="I508" s="687"/>
      <c r="J508" s="688"/>
      <c r="K508" s="689"/>
    </row>
    <row r="509" spans="1:11" s="691" customFormat="1" ht="20.100000000000001" customHeight="1" x14ac:dyDescent="0.2">
      <c r="A509" s="671" t="s">
        <v>800</v>
      </c>
      <c r="B509" s="620"/>
      <c r="C509" s="606"/>
      <c r="D509" s="607"/>
      <c r="E509" s="606"/>
      <c r="F509" s="675" t="s">
        <v>520</v>
      </c>
      <c r="G509" s="618"/>
      <c r="H509" s="618"/>
      <c r="I509" s="687"/>
      <c r="J509" s="688"/>
      <c r="K509" s="689"/>
    </row>
    <row r="510" spans="1:11" s="691" customFormat="1" ht="20.100000000000001" customHeight="1" x14ac:dyDescent="0.2">
      <c r="A510" s="671" t="s">
        <v>801</v>
      </c>
      <c r="B510" s="620"/>
      <c r="C510" s="606"/>
      <c r="D510" s="607"/>
      <c r="E510" s="606"/>
      <c r="F510" s="675" t="s">
        <v>521</v>
      </c>
      <c r="G510" s="618"/>
      <c r="H510" s="618"/>
      <c r="I510" s="687"/>
      <c r="J510" s="688"/>
      <c r="K510" s="689"/>
    </row>
    <row r="511" spans="1:11" s="691" customFormat="1" ht="20.100000000000001" customHeight="1" x14ac:dyDescent="0.2">
      <c r="A511" s="671" t="s">
        <v>802</v>
      </c>
      <c r="B511" s="620"/>
      <c r="C511" s="606"/>
      <c r="D511" s="607"/>
      <c r="E511" s="606"/>
      <c r="F511" s="675" t="s">
        <v>522</v>
      </c>
      <c r="G511" s="618"/>
      <c r="H511" s="618"/>
      <c r="I511" s="687"/>
      <c r="J511" s="688"/>
      <c r="K511" s="689"/>
    </row>
    <row r="512" spans="1:11" s="691" customFormat="1" ht="20.100000000000001" customHeight="1" x14ac:dyDescent="0.2">
      <c r="A512" s="671" t="s">
        <v>803</v>
      </c>
      <c r="B512" s="620"/>
      <c r="C512" s="606"/>
      <c r="D512" s="607"/>
      <c r="E512" s="606"/>
      <c r="F512" s="675" t="s">
        <v>523</v>
      </c>
      <c r="G512" s="618"/>
      <c r="H512" s="618"/>
      <c r="I512" s="687"/>
      <c r="J512" s="688"/>
      <c r="K512" s="689"/>
    </row>
    <row r="513" spans="1:11" s="691" customFormat="1" ht="20.100000000000001" customHeight="1" x14ac:dyDescent="0.2">
      <c r="A513" s="671" t="s">
        <v>804</v>
      </c>
      <c r="B513" s="620"/>
      <c r="C513" s="606"/>
      <c r="D513" s="607"/>
      <c r="E513" s="606"/>
      <c r="F513" s="675" t="s">
        <v>524</v>
      </c>
      <c r="G513" s="618"/>
      <c r="H513" s="618"/>
      <c r="I513" s="687"/>
      <c r="J513" s="688"/>
      <c r="K513" s="689"/>
    </row>
    <row r="514" spans="1:11" s="691" customFormat="1" ht="20.100000000000001" customHeight="1" x14ac:dyDescent="0.2">
      <c r="A514" s="671" t="s">
        <v>805</v>
      </c>
      <c r="B514" s="620"/>
      <c r="C514" s="606"/>
      <c r="D514" s="607"/>
      <c r="E514" s="606"/>
      <c r="F514" s="675" t="s">
        <v>525</v>
      </c>
      <c r="G514" s="618"/>
      <c r="H514" s="618"/>
      <c r="I514" s="687"/>
      <c r="J514" s="688"/>
      <c r="K514" s="689"/>
    </row>
    <row r="515" spans="1:11" s="691" customFormat="1" ht="20.100000000000001" customHeight="1" x14ac:dyDescent="0.2">
      <c r="A515" s="671" t="s">
        <v>806</v>
      </c>
      <c r="B515" s="620"/>
      <c r="C515" s="606"/>
      <c r="D515" s="607"/>
      <c r="E515" s="606"/>
      <c r="F515" s="675" t="s">
        <v>526</v>
      </c>
      <c r="G515" s="618"/>
      <c r="H515" s="618"/>
      <c r="I515" s="687"/>
      <c r="J515" s="688"/>
      <c r="K515" s="689"/>
    </row>
    <row r="516" spans="1:11" s="691" customFormat="1" ht="20.100000000000001" customHeight="1" x14ac:dyDescent="0.2">
      <c r="A516" s="671" t="s">
        <v>807</v>
      </c>
      <c r="B516" s="620"/>
      <c r="C516" s="606"/>
      <c r="D516" s="607"/>
      <c r="E516" s="606"/>
      <c r="F516" s="675" t="s">
        <v>527</v>
      </c>
      <c r="G516" s="618"/>
      <c r="H516" s="618"/>
      <c r="I516" s="687"/>
      <c r="J516" s="688"/>
      <c r="K516" s="689"/>
    </row>
    <row r="517" spans="1:11" s="691" customFormat="1" ht="20.100000000000001" customHeight="1" x14ac:dyDescent="0.2">
      <c r="A517" s="671" t="s">
        <v>808</v>
      </c>
      <c r="B517" s="620"/>
      <c r="C517" s="606"/>
      <c r="D517" s="607"/>
      <c r="E517" s="606"/>
      <c r="F517" s="675" t="s">
        <v>528</v>
      </c>
      <c r="G517" s="618"/>
      <c r="H517" s="618"/>
      <c r="I517" s="687"/>
      <c r="J517" s="688"/>
      <c r="K517" s="689"/>
    </row>
    <row r="518" spans="1:11" s="691" customFormat="1" ht="20.100000000000001" customHeight="1" x14ac:dyDescent="0.2">
      <c r="A518" s="671" t="s">
        <v>809</v>
      </c>
      <c r="B518" s="620"/>
      <c r="C518" s="606"/>
      <c r="D518" s="607"/>
      <c r="E518" s="606"/>
      <c r="F518" s="675" t="s">
        <v>529</v>
      </c>
      <c r="G518" s="618"/>
      <c r="H518" s="618"/>
      <c r="I518" s="687"/>
      <c r="J518" s="688"/>
      <c r="K518" s="689"/>
    </row>
    <row r="519" spans="1:11" s="691" customFormat="1" ht="20.100000000000001" customHeight="1" x14ac:dyDescent="0.2">
      <c r="A519" s="671" t="s">
        <v>810</v>
      </c>
      <c r="B519" s="620"/>
      <c r="C519" s="606"/>
      <c r="D519" s="607"/>
      <c r="E519" s="606"/>
      <c r="F519" s="675" t="s">
        <v>530</v>
      </c>
      <c r="G519" s="618"/>
      <c r="H519" s="618"/>
      <c r="I519" s="687"/>
      <c r="J519" s="688"/>
      <c r="K519" s="689"/>
    </row>
    <row r="520" spans="1:11" s="691" customFormat="1" ht="20.100000000000001" customHeight="1" x14ac:dyDescent="0.2">
      <c r="A520" s="671" t="s">
        <v>811</v>
      </c>
      <c r="B520" s="620"/>
      <c r="C520" s="606"/>
      <c r="D520" s="607"/>
      <c r="E520" s="606"/>
      <c r="F520" s="675" t="s">
        <v>531</v>
      </c>
      <c r="G520" s="618"/>
      <c r="H520" s="618"/>
      <c r="I520" s="687"/>
      <c r="J520" s="688"/>
      <c r="K520" s="689"/>
    </row>
    <row r="521" spans="1:11" s="691" customFormat="1" ht="20.100000000000001" customHeight="1" x14ac:dyDescent="0.2">
      <c r="A521" s="671" t="s">
        <v>812</v>
      </c>
      <c r="B521" s="620"/>
      <c r="C521" s="606"/>
      <c r="D521" s="607"/>
      <c r="E521" s="606"/>
      <c r="F521" s="675" t="s">
        <v>532</v>
      </c>
      <c r="G521" s="618"/>
      <c r="H521" s="618"/>
      <c r="I521" s="687"/>
      <c r="J521" s="688"/>
      <c r="K521" s="689"/>
    </row>
    <row r="522" spans="1:11" s="691" customFormat="1" ht="20.100000000000001" customHeight="1" x14ac:dyDescent="0.2">
      <c r="A522" s="671" t="s">
        <v>813</v>
      </c>
      <c r="B522" s="620"/>
      <c r="C522" s="606"/>
      <c r="D522" s="607"/>
      <c r="E522" s="606"/>
      <c r="F522" s="675" t="s">
        <v>533</v>
      </c>
      <c r="G522" s="618"/>
      <c r="H522" s="618"/>
      <c r="I522" s="687"/>
      <c r="J522" s="688"/>
      <c r="K522" s="689"/>
    </row>
    <row r="523" spans="1:11" s="691" customFormat="1" ht="20.100000000000001" customHeight="1" x14ac:dyDescent="0.2">
      <c r="A523" s="671" t="s">
        <v>814</v>
      </c>
      <c r="B523" s="620"/>
      <c r="C523" s="606"/>
      <c r="D523" s="607"/>
      <c r="E523" s="606"/>
      <c r="F523" s="675" t="s">
        <v>534</v>
      </c>
      <c r="G523" s="618"/>
      <c r="H523" s="618"/>
      <c r="I523" s="687"/>
      <c r="J523" s="688"/>
      <c r="K523" s="689"/>
    </row>
    <row r="524" spans="1:11" s="691" customFormat="1" ht="20.100000000000001" customHeight="1" x14ac:dyDescent="0.2">
      <c r="A524" s="671" t="s">
        <v>815</v>
      </c>
      <c r="B524" s="620"/>
      <c r="C524" s="606"/>
      <c r="D524" s="607"/>
      <c r="E524" s="606"/>
      <c r="F524" s="675" t="s">
        <v>535</v>
      </c>
      <c r="G524" s="618"/>
      <c r="H524" s="618"/>
      <c r="I524" s="687"/>
      <c r="J524" s="688"/>
      <c r="K524" s="689"/>
    </row>
    <row r="525" spans="1:11" s="691" customFormat="1" ht="20.100000000000001" customHeight="1" x14ac:dyDescent="0.2">
      <c r="A525" s="671" t="s">
        <v>816</v>
      </c>
      <c r="B525" s="620"/>
      <c r="C525" s="606"/>
      <c r="D525" s="607"/>
      <c r="E525" s="606"/>
      <c r="F525" s="675" t="s">
        <v>536</v>
      </c>
      <c r="G525" s="618"/>
      <c r="H525" s="618"/>
      <c r="I525" s="687"/>
      <c r="J525" s="688"/>
      <c r="K525" s="689"/>
    </row>
    <row r="526" spans="1:11" s="691" customFormat="1" ht="20.100000000000001" customHeight="1" x14ac:dyDescent="0.2">
      <c r="A526" s="671" t="s">
        <v>817</v>
      </c>
      <c r="B526" s="620"/>
      <c r="C526" s="606"/>
      <c r="D526" s="607"/>
      <c r="E526" s="606"/>
      <c r="F526" s="675" t="s">
        <v>537</v>
      </c>
      <c r="G526" s="618"/>
      <c r="H526" s="618"/>
      <c r="I526" s="687"/>
      <c r="J526" s="688"/>
      <c r="K526" s="689"/>
    </row>
    <row r="527" spans="1:11" s="691" customFormat="1" ht="20.100000000000001" customHeight="1" x14ac:dyDescent="0.2">
      <c r="A527" s="671" t="s">
        <v>818</v>
      </c>
      <c r="B527" s="620"/>
      <c r="C527" s="606"/>
      <c r="D527" s="607"/>
      <c r="E527" s="606"/>
      <c r="F527" s="675" t="s">
        <v>538</v>
      </c>
      <c r="G527" s="618"/>
      <c r="H527" s="618"/>
      <c r="I527" s="687"/>
      <c r="J527" s="688"/>
      <c r="K527" s="689"/>
    </row>
    <row r="528" spans="1:11" s="691" customFormat="1" ht="20.100000000000001" customHeight="1" x14ac:dyDescent="0.2">
      <c r="A528" s="671" t="s">
        <v>819</v>
      </c>
      <c r="B528" s="620"/>
      <c r="C528" s="606"/>
      <c r="D528" s="607"/>
      <c r="E528" s="606"/>
      <c r="F528" s="675" t="s">
        <v>539</v>
      </c>
      <c r="G528" s="618"/>
      <c r="H528" s="618"/>
      <c r="I528" s="687"/>
      <c r="J528" s="688"/>
      <c r="K528" s="689"/>
    </row>
    <row r="529" spans="1:11" s="691" customFormat="1" ht="20.100000000000001" customHeight="1" x14ac:dyDescent="0.2">
      <c r="A529" s="671" t="s">
        <v>820</v>
      </c>
      <c r="B529" s="620"/>
      <c r="C529" s="606"/>
      <c r="D529" s="607"/>
      <c r="E529" s="606"/>
      <c r="F529" s="675" t="s">
        <v>540</v>
      </c>
      <c r="G529" s="618"/>
      <c r="H529" s="618"/>
      <c r="I529" s="687"/>
      <c r="J529" s="688"/>
      <c r="K529" s="689"/>
    </row>
    <row r="530" spans="1:11" s="691" customFormat="1" ht="20.100000000000001" customHeight="1" x14ac:dyDescent="0.2">
      <c r="A530" s="671" t="s">
        <v>821</v>
      </c>
      <c r="B530" s="620"/>
      <c r="C530" s="606"/>
      <c r="D530" s="607"/>
      <c r="E530" s="606"/>
      <c r="F530" s="675" t="s">
        <v>541</v>
      </c>
      <c r="G530" s="618"/>
      <c r="H530" s="618"/>
      <c r="I530" s="687"/>
      <c r="J530" s="688"/>
      <c r="K530" s="689"/>
    </row>
    <row r="531" spans="1:11" s="691" customFormat="1" ht="20.100000000000001" customHeight="1" x14ac:dyDescent="0.2">
      <c r="A531" s="671" t="s">
        <v>822</v>
      </c>
      <c r="B531" s="620"/>
      <c r="C531" s="606"/>
      <c r="D531" s="607"/>
      <c r="E531" s="606"/>
      <c r="F531" s="675" t="s">
        <v>542</v>
      </c>
      <c r="G531" s="618"/>
      <c r="H531" s="618"/>
      <c r="I531" s="687"/>
      <c r="J531" s="688"/>
      <c r="K531" s="689"/>
    </row>
    <row r="532" spans="1:11" s="691" customFormat="1" ht="20.100000000000001" customHeight="1" x14ac:dyDescent="0.2">
      <c r="A532" s="671" t="s">
        <v>823</v>
      </c>
      <c r="B532" s="620"/>
      <c r="C532" s="606"/>
      <c r="D532" s="607"/>
      <c r="E532" s="606"/>
      <c r="F532" s="675" t="s">
        <v>543</v>
      </c>
      <c r="G532" s="618"/>
      <c r="H532" s="618"/>
      <c r="I532" s="687"/>
      <c r="J532" s="688"/>
      <c r="K532" s="689"/>
    </row>
    <row r="533" spans="1:11" s="691" customFormat="1" ht="20.100000000000001" customHeight="1" x14ac:dyDescent="0.2">
      <c r="A533" s="671" t="s">
        <v>824</v>
      </c>
      <c r="B533" s="620"/>
      <c r="C533" s="606"/>
      <c r="D533" s="607"/>
      <c r="E533" s="606"/>
      <c r="F533" s="675" t="s">
        <v>544</v>
      </c>
      <c r="G533" s="618"/>
      <c r="H533" s="618"/>
      <c r="I533" s="687"/>
      <c r="J533" s="688"/>
      <c r="K533" s="689"/>
    </row>
    <row r="534" spans="1:11" s="691" customFormat="1" ht="20.100000000000001" customHeight="1" x14ac:dyDescent="0.2">
      <c r="A534" s="671" t="s">
        <v>825</v>
      </c>
      <c r="B534" s="620"/>
      <c r="C534" s="606"/>
      <c r="D534" s="607"/>
      <c r="E534" s="606"/>
      <c r="F534" s="675" t="s">
        <v>545</v>
      </c>
      <c r="G534" s="618"/>
      <c r="H534" s="618"/>
      <c r="I534" s="687"/>
      <c r="J534" s="688"/>
      <c r="K534" s="689"/>
    </row>
    <row r="535" spans="1:11" s="691" customFormat="1" ht="20.100000000000001" customHeight="1" x14ac:dyDescent="0.2">
      <c r="A535" s="671" t="s">
        <v>826</v>
      </c>
      <c r="B535" s="620"/>
      <c r="C535" s="606"/>
      <c r="D535" s="607"/>
      <c r="E535" s="606"/>
      <c r="F535" s="675" t="s">
        <v>546</v>
      </c>
      <c r="G535" s="618"/>
      <c r="H535" s="618"/>
      <c r="I535" s="687"/>
      <c r="J535" s="688"/>
      <c r="K535" s="689"/>
    </row>
    <row r="536" spans="1:11" s="691" customFormat="1" ht="20.100000000000001" customHeight="1" x14ac:dyDescent="0.2">
      <c r="A536" s="671" t="s">
        <v>827</v>
      </c>
      <c r="B536" s="620"/>
      <c r="C536" s="606"/>
      <c r="D536" s="607"/>
      <c r="E536" s="606"/>
      <c r="F536" s="675" t="s">
        <v>547</v>
      </c>
      <c r="G536" s="618"/>
      <c r="H536" s="618"/>
      <c r="I536" s="687"/>
      <c r="J536" s="688"/>
      <c r="K536" s="689"/>
    </row>
    <row r="537" spans="1:11" s="691" customFormat="1" ht="20.100000000000001" customHeight="1" x14ac:dyDescent="0.2">
      <c r="A537" s="671" t="s">
        <v>828</v>
      </c>
      <c r="B537" s="620"/>
      <c r="C537" s="606"/>
      <c r="D537" s="607"/>
      <c r="E537" s="606"/>
      <c r="F537" s="675" t="s">
        <v>548</v>
      </c>
      <c r="G537" s="618"/>
      <c r="H537" s="618"/>
      <c r="I537" s="687"/>
      <c r="J537" s="688"/>
      <c r="K537" s="689"/>
    </row>
    <row r="538" spans="1:11" s="691" customFormat="1" ht="20.100000000000001" customHeight="1" x14ac:dyDescent="0.2">
      <c r="A538" s="671" t="s">
        <v>829</v>
      </c>
      <c r="B538" s="620"/>
      <c r="C538" s="606"/>
      <c r="D538" s="607"/>
      <c r="E538" s="606"/>
      <c r="F538" s="675" t="s">
        <v>549</v>
      </c>
      <c r="G538" s="618"/>
      <c r="H538" s="618"/>
      <c r="I538" s="687"/>
      <c r="J538" s="688"/>
      <c r="K538" s="689"/>
    </row>
    <row r="539" spans="1:11" s="691" customFormat="1" ht="20.100000000000001" customHeight="1" x14ac:dyDescent="0.2">
      <c r="A539" s="671" t="s">
        <v>830</v>
      </c>
      <c r="B539" s="620"/>
      <c r="C539" s="606"/>
      <c r="D539" s="607"/>
      <c r="E539" s="606"/>
      <c r="F539" s="675" t="s">
        <v>550</v>
      </c>
      <c r="G539" s="618"/>
      <c r="H539" s="618"/>
      <c r="I539" s="687"/>
      <c r="J539" s="688"/>
      <c r="K539" s="689"/>
    </row>
    <row r="540" spans="1:11" s="691" customFormat="1" ht="20.100000000000001" customHeight="1" x14ac:dyDescent="0.2">
      <c r="A540" s="671" t="s">
        <v>831</v>
      </c>
      <c r="B540" s="620"/>
      <c r="C540" s="606"/>
      <c r="D540" s="607"/>
      <c r="E540" s="606"/>
      <c r="F540" s="675" t="s">
        <v>551</v>
      </c>
      <c r="G540" s="618"/>
      <c r="H540" s="618"/>
      <c r="I540" s="687"/>
      <c r="J540" s="688"/>
      <c r="K540" s="689"/>
    </row>
    <row r="541" spans="1:11" s="691" customFormat="1" ht="20.100000000000001" customHeight="1" x14ac:dyDescent="0.2">
      <c r="A541" s="671" t="s">
        <v>832</v>
      </c>
      <c r="B541" s="620"/>
      <c r="C541" s="606"/>
      <c r="D541" s="607"/>
      <c r="E541" s="606"/>
      <c r="F541" s="675" t="s">
        <v>552</v>
      </c>
      <c r="G541" s="618"/>
      <c r="H541" s="618"/>
      <c r="I541" s="687"/>
      <c r="J541" s="688"/>
      <c r="K541" s="689"/>
    </row>
    <row r="542" spans="1:11" s="691" customFormat="1" ht="20.100000000000001" customHeight="1" x14ac:dyDescent="0.2">
      <c r="A542" s="671" t="s">
        <v>833</v>
      </c>
      <c r="B542" s="620"/>
      <c r="C542" s="606"/>
      <c r="D542" s="607"/>
      <c r="E542" s="606"/>
      <c r="F542" s="675" t="s">
        <v>553</v>
      </c>
      <c r="G542" s="618"/>
      <c r="H542" s="618"/>
      <c r="I542" s="687"/>
      <c r="J542" s="688"/>
      <c r="K542" s="689"/>
    </row>
    <row r="543" spans="1:11" s="691" customFormat="1" ht="20.100000000000001" customHeight="1" x14ac:dyDescent="0.2">
      <c r="A543" s="671" t="s">
        <v>834</v>
      </c>
      <c r="B543" s="620"/>
      <c r="C543" s="606"/>
      <c r="D543" s="607"/>
      <c r="E543" s="606"/>
      <c r="F543" s="675" t="s">
        <v>554</v>
      </c>
      <c r="G543" s="618"/>
      <c r="H543" s="618"/>
      <c r="I543" s="687"/>
      <c r="J543" s="688"/>
      <c r="K543" s="689"/>
    </row>
    <row r="544" spans="1:11" s="691" customFormat="1" ht="20.100000000000001" customHeight="1" x14ac:dyDescent="0.2">
      <c r="A544" s="671" t="s">
        <v>835</v>
      </c>
      <c r="B544" s="620"/>
      <c r="C544" s="606"/>
      <c r="D544" s="607"/>
      <c r="E544" s="606"/>
      <c r="F544" s="675" t="s">
        <v>555</v>
      </c>
      <c r="G544" s="618"/>
      <c r="H544" s="618"/>
      <c r="I544" s="687"/>
      <c r="J544" s="688"/>
      <c r="K544" s="689"/>
    </row>
    <row r="545" spans="1:11" s="691" customFormat="1" ht="20.100000000000001" customHeight="1" x14ac:dyDescent="0.2">
      <c r="A545" s="671" t="s">
        <v>836</v>
      </c>
      <c r="B545" s="620"/>
      <c r="C545" s="606"/>
      <c r="D545" s="607"/>
      <c r="E545" s="606"/>
      <c r="F545" s="675" t="s">
        <v>556</v>
      </c>
      <c r="G545" s="618"/>
      <c r="H545" s="618"/>
      <c r="I545" s="687"/>
      <c r="J545" s="688"/>
      <c r="K545" s="689"/>
    </row>
    <row r="546" spans="1:11" s="691" customFormat="1" ht="20.100000000000001" customHeight="1" x14ac:dyDescent="0.2">
      <c r="A546" s="671" t="s">
        <v>837</v>
      </c>
      <c r="B546" s="620"/>
      <c r="C546" s="606"/>
      <c r="D546" s="607"/>
      <c r="E546" s="606"/>
      <c r="F546" s="675" t="s">
        <v>557</v>
      </c>
      <c r="G546" s="618"/>
      <c r="H546" s="618"/>
      <c r="I546" s="687"/>
      <c r="J546" s="688"/>
      <c r="K546" s="689"/>
    </row>
    <row r="547" spans="1:11" s="691" customFormat="1" ht="20.100000000000001" customHeight="1" x14ac:dyDescent="0.2">
      <c r="A547" s="671" t="s">
        <v>838</v>
      </c>
      <c r="B547" s="620"/>
      <c r="C547" s="606"/>
      <c r="D547" s="607"/>
      <c r="E547" s="606"/>
      <c r="F547" s="675" t="s">
        <v>558</v>
      </c>
      <c r="G547" s="618"/>
      <c r="H547" s="618"/>
      <c r="I547" s="687"/>
      <c r="J547" s="688"/>
      <c r="K547" s="689"/>
    </row>
    <row r="548" spans="1:11" s="691" customFormat="1" ht="20.100000000000001" customHeight="1" x14ac:dyDescent="0.2">
      <c r="A548" s="671" t="s">
        <v>839</v>
      </c>
      <c r="B548" s="620"/>
      <c r="C548" s="606"/>
      <c r="D548" s="607"/>
      <c r="E548" s="606"/>
      <c r="F548" s="675" t="s">
        <v>559</v>
      </c>
      <c r="G548" s="618"/>
      <c r="H548" s="618"/>
      <c r="I548" s="687"/>
      <c r="J548" s="688"/>
      <c r="K548" s="689"/>
    </row>
    <row r="549" spans="1:11" s="691" customFormat="1" ht="20.100000000000001" customHeight="1" x14ac:dyDescent="0.2">
      <c r="A549" s="671" t="s">
        <v>840</v>
      </c>
      <c r="B549" s="620"/>
      <c r="C549" s="606"/>
      <c r="D549" s="607"/>
      <c r="E549" s="606"/>
      <c r="F549" s="675" t="s">
        <v>560</v>
      </c>
      <c r="G549" s="618"/>
      <c r="H549" s="618"/>
      <c r="I549" s="687"/>
      <c r="J549" s="688"/>
      <c r="K549" s="689"/>
    </row>
    <row r="550" spans="1:11" s="691" customFormat="1" ht="20.100000000000001" customHeight="1" x14ac:dyDescent="0.2">
      <c r="A550" s="671" t="s">
        <v>841</v>
      </c>
      <c r="B550" s="621"/>
      <c r="C550" s="606"/>
      <c r="D550" s="607"/>
      <c r="E550" s="606"/>
      <c r="F550" s="675" t="s">
        <v>561</v>
      </c>
      <c r="G550" s="618"/>
      <c r="H550" s="618"/>
      <c r="I550" s="687"/>
      <c r="J550" s="688"/>
      <c r="K550" s="689"/>
    </row>
    <row r="551" spans="1:11" s="691" customFormat="1" ht="20.100000000000001" customHeight="1" x14ac:dyDescent="0.2">
      <c r="A551" s="671" t="s">
        <v>842</v>
      </c>
      <c r="B551" s="620"/>
      <c r="C551" s="606"/>
      <c r="D551" s="607"/>
      <c r="E551" s="606"/>
      <c r="F551" s="675" t="s">
        <v>562</v>
      </c>
      <c r="G551" s="618"/>
      <c r="H551" s="618"/>
      <c r="I551" s="687"/>
      <c r="J551" s="688"/>
      <c r="K551" s="689"/>
    </row>
    <row r="552" spans="1:11" s="691" customFormat="1" ht="20.100000000000001" customHeight="1" x14ac:dyDescent="0.2">
      <c r="A552" s="671" t="s">
        <v>843</v>
      </c>
      <c r="B552" s="620"/>
      <c r="C552" s="606"/>
      <c r="D552" s="607"/>
      <c r="E552" s="606"/>
      <c r="F552" s="675" t="s">
        <v>563</v>
      </c>
      <c r="G552" s="618"/>
      <c r="H552" s="618"/>
      <c r="I552" s="687"/>
      <c r="J552" s="688"/>
      <c r="K552" s="689"/>
    </row>
    <row r="553" spans="1:11" s="691" customFormat="1" ht="20.100000000000001" customHeight="1" x14ac:dyDescent="0.2">
      <c r="A553" s="671" t="s">
        <v>844</v>
      </c>
      <c r="B553" s="620"/>
      <c r="C553" s="606"/>
      <c r="D553" s="607"/>
      <c r="E553" s="606"/>
      <c r="F553" s="675" t="s">
        <v>564</v>
      </c>
      <c r="G553" s="618"/>
      <c r="H553" s="618"/>
      <c r="I553" s="687"/>
      <c r="J553" s="688"/>
      <c r="K553" s="689"/>
    </row>
    <row r="554" spans="1:11" s="691" customFormat="1" ht="20.100000000000001" customHeight="1" x14ac:dyDescent="0.2">
      <c r="A554" s="671" t="s">
        <v>845</v>
      </c>
      <c r="B554" s="620"/>
      <c r="C554" s="606"/>
      <c r="D554" s="607"/>
      <c r="E554" s="606"/>
      <c r="F554" s="675" t="s">
        <v>565</v>
      </c>
      <c r="G554" s="618"/>
      <c r="H554" s="618"/>
      <c r="I554" s="687"/>
      <c r="J554" s="688"/>
      <c r="K554" s="689"/>
    </row>
    <row r="555" spans="1:11" s="691" customFormat="1" ht="20.100000000000001" customHeight="1" x14ac:dyDescent="0.2">
      <c r="A555" s="671" t="s">
        <v>846</v>
      </c>
      <c r="B555" s="620"/>
      <c r="C555" s="606"/>
      <c r="D555" s="607"/>
      <c r="E555" s="606"/>
      <c r="F555" s="675" t="s">
        <v>566</v>
      </c>
      <c r="G555" s="618"/>
      <c r="H555" s="618"/>
      <c r="I555" s="687"/>
      <c r="J555" s="688"/>
      <c r="K555" s="689"/>
    </row>
    <row r="556" spans="1:11" s="691" customFormat="1" ht="20.100000000000001" customHeight="1" x14ac:dyDescent="0.2">
      <c r="A556" s="671" t="s">
        <v>847</v>
      </c>
      <c r="B556" s="620"/>
      <c r="C556" s="606"/>
      <c r="D556" s="607"/>
      <c r="E556" s="606"/>
      <c r="F556" s="675" t="s">
        <v>567</v>
      </c>
      <c r="G556" s="618"/>
      <c r="H556" s="618"/>
      <c r="I556" s="687"/>
      <c r="J556" s="688"/>
      <c r="K556" s="689"/>
    </row>
    <row r="557" spans="1:11" s="691" customFormat="1" ht="20.100000000000001" customHeight="1" x14ac:dyDescent="0.2">
      <c r="A557" s="671" t="s">
        <v>848</v>
      </c>
      <c r="B557" s="620"/>
      <c r="C557" s="606"/>
      <c r="D557" s="607"/>
      <c r="E557" s="606"/>
      <c r="F557" s="675" t="s">
        <v>568</v>
      </c>
      <c r="G557" s="618"/>
      <c r="H557" s="618"/>
      <c r="I557" s="687"/>
      <c r="J557" s="688"/>
      <c r="K557" s="689"/>
    </row>
    <row r="558" spans="1:11" s="691" customFormat="1" ht="20.100000000000001" customHeight="1" x14ac:dyDescent="0.2">
      <c r="A558" s="671" t="s">
        <v>849</v>
      </c>
      <c r="B558" s="620"/>
      <c r="C558" s="606"/>
      <c r="D558" s="607"/>
      <c r="E558" s="606"/>
      <c r="F558" s="675" t="s">
        <v>569</v>
      </c>
      <c r="G558" s="618"/>
      <c r="H558" s="618"/>
      <c r="I558" s="687"/>
      <c r="J558" s="688"/>
      <c r="K558" s="689"/>
    </row>
    <row r="559" spans="1:11" s="691" customFormat="1" ht="20.100000000000001" customHeight="1" x14ac:dyDescent="0.2">
      <c r="A559" s="671" t="s">
        <v>850</v>
      </c>
      <c r="B559" s="620"/>
      <c r="C559" s="606"/>
      <c r="D559" s="607"/>
      <c r="E559" s="606"/>
      <c r="F559" s="675" t="s">
        <v>570</v>
      </c>
      <c r="G559" s="618"/>
      <c r="H559" s="618"/>
      <c r="I559" s="687"/>
      <c r="J559" s="688"/>
      <c r="K559" s="689"/>
    </row>
    <row r="560" spans="1:11" s="691" customFormat="1" ht="20.100000000000001" customHeight="1" x14ac:dyDescent="0.2">
      <c r="A560" s="671" t="s">
        <v>851</v>
      </c>
      <c r="B560" s="620"/>
      <c r="C560" s="606"/>
      <c r="D560" s="607"/>
      <c r="E560" s="606"/>
      <c r="F560" s="675" t="s">
        <v>571</v>
      </c>
      <c r="G560" s="618"/>
      <c r="H560" s="618"/>
      <c r="I560" s="687"/>
      <c r="J560" s="688"/>
      <c r="K560" s="689"/>
    </row>
    <row r="561" spans="1:11" s="691" customFormat="1" ht="20.100000000000001" customHeight="1" x14ac:dyDescent="0.2">
      <c r="A561" s="671" t="s">
        <v>852</v>
      </c>
      <c r="B561" s="620"/>
      <c r="C561" s="606"/>
      <c r="D561" s="607"/>
      <c r="E561" s="606"/>
      <c r="F561" s="675" t="s">
        <v>572</v>
      </c>
      <c r="G561" s="618"/>
      <c r="H561" s="618"/>
      <c r="I561" s="687"/>
      <c r="J561" s="688"/>
      <c r="K561" s="689"/>
    </row>
    <row r="562" spans="1:11" s="691" customFormat="1" ht="20.100000000000001" customHeight="1" x14ac:dyDescent="0.2">
      <c r="A562" s="671" t="s">
        <v>853</v>
      </c>
      <c r="B562" s="620"/>
      <c r="C562" s="606"/>
      <c r="D562" s="607"/>
      <c r="E562" s="606"/>
      <c r="F562" s="675" t="s">
        <v>573</v>
      </c>
      <c r="G562" s="618"/>
      <c r="H562" s="618"/>
      <c r="I562" s="687"/>
      <c r="J562" s="688"/>
      <c r="K562" s="689"/>
    </row>
    <row r="563" spans="1:11" s="691" customFormat="1" ht="20.100000000000001" customHeight="1" x14ac:dyDescent="0.2">
      <c r="A563" s="671" t="s">
        <v>918</v>
      </c>
      <c r="B563" s="621"/>
      <c r="C563" s="606"/>
      <c r="D563" s="607"/>
      <c r="E563" s="606"/>
      <c r="F563" s="675" t="s">
        <v>574</v>
      </c>
      <c r="G563" s="618"/>
      <c r="H563" s="618"/>
      <c r="I563" s="687"/>
      <c r="J563" s="688"/>
      <c r="K563" s="689"/>
    </row>
    <row r="564" spans="1:11" s="691" customFormat="1" ht="20.100000000000001" customHeight="1" x14ac:dyDescent="0.2">
      <c r="A564" s="671" t="s">
        <v>854</v>
      </c>
      <c r="B564" s="620"/>
      <c r="C564" s="606"/>
      <c r="D564" s="607"/>
      <c r="E564" s="606"/>
      <c r="F564" s="675" t="s">
        <v>575</v>
      </c>
      <c r="G564" s="618"/>
      <c r="H564" s="618"/>
      <c r="I564" s="687"/>
      <c r="J564" s="688"/>
      <c r="K564" s="689"/>
    </row>
    <row r="565" spans="1:11" s="691" customFormat="1" ht="20.100000000000001" customHeight="1" x14ac:dyDescent="0.2">
      <c r="A565" s="671" t="s">
        <v>855</v>
      </c>
      <c r="B565" s="620"/>
      <c r="C565" s="606"/>
      <c r="D565" s="607"/>
      <c r="E565" s="606"/>
      <c r="F565" s="675" t="s">
        <v>576</v>
      </c>
      <c r="G565" s="618"/>
      <c r="H565" s="618"/>
      <c r="I565" s="687"/>
      <c r="J565" s="688"/>
      <c r="K565" s="689"/>
    </row>
    <row r="566" spans="1:11" s="691" customFormat="1" ht="20.100000000000001" customHeight="1" x14ac:dyDescent="0.2">
      <c r="A566" s="671" t="s">
        <v>856</v>
      </c>
      <c r="B566" s="620"/>
      <c r="C566" s="606"/>
      <c r="D566" s="607"/>
      <c r="E566" s="606"/>
      <c r="F566" s="675" t="s">
        <v>577</v>
      </c>
      <c r="G566" s="618"/>
      <c r="H566" s="618"/>
      <c r="I566" s="687"/>
      <c r="J566" s="688"/>
      <c r="K566" s="689"/>
    </row>
    <row r="567" spans="1:11" s="691" customFormat="1" ht="20.100000000000001" customHeight="1" x14ac:dyDescent="0.2">
      <c r="A567" s="671" t="s">
        <v>857</v>
      </c>
      <c r="B567" s="620"/>
      <c r="C567" s="606"/>
      <c r="D567" s="607"/>
      <c r="E567" s="606"/>
      <c r="F567" s="675" t="s">
        <v>578</v>
      </c>
      <c r="G567" s="618"/>
      <c r="H567" s="618"/>
      <c r="I567" s="687"/>
      <c r="J567" s="688"/>
      <c r="K567" s="689"/>
    </row>
    <row r="568" spans="1:11" s="691" customFormat="1" ht="20.100000000000001" customHeight="1" x14ac:dyDescent="0.2">
      <c r="A568" s="671" t="s">
        <v>858</v>
      </c>
      <c r="B568" s="620"/>
      <c r="C568" s="606"/>
      <c r="D568" s="607"/>
      <c r="E568" s="606"/>
      <c r="F568" s="675" t="s">
        <v>579</v>
      </c>
      <c r="G568" s="618"/>
      <c r="H568" s="618"/>
      <c r="I568" s="687"/>
      <c r="J568" s="688"/>
      <c r="K568" s="689"/>
    </row>
    <row r="569" spans="1:11" s="691" customFormat="1" ht="20.100000000000001" customHeight="1" x14ac:dyDescent="0.2">
      <c r="A569" s="671" t="s">
        <v>859</v>
      </c>
      <c r="B569" s="620"/>
      <c r="C569" s="606"/>
      <c r="D569" s="607"/>
      <c r="E569" s="606"/>
      <c r="F569" s="675" t="s">
        <v>580</v>
      </c>
      <c r="G569" s="618"/>
      <c r="H569" s="618"/>
      <c r="I569" s="687"/>
      <c r="J569" s="688"/>
      <c r="K569" s="689"/>
    </row>
    <row r="570" spans="1:11" s="691" customFormat="1" ht="20.100000000000001" customHeight="1" x14ac:dyDescent="0.2">
      <c r="A570" s="671" t="s">
        <v>860</v>
      </c>
      <c r="B570" s="620"/>
      <c r="C570" s="606"/>
      <c r="D570" s="607"/>
      <c r="E570" s="606"/>
      <c r="F570" s="675" t="s">
        <v>582</v>
      </c>
      <c r="G570" s="618"/>
      <c r="H570" s="618"/>
      <c r="I570" s="687"/>
      <c r="J570" s="688"/>
      <c r="K570" s="689"/>
    </row>
    <row r="571" spans="1:11" s="691" customFormat="1" ht="20.100000000000001" customHeight="1" x14ac:dyDescent="0.2">
      <c r="A571" s="671" t="s">
        <v>861</v>
      </c>
      <c r="B571" s="620"/>
      <c r="C571" s="606"/>
      <c r="D571" s="607"/>
      <c r="E571" s="606"/>
      <c r="F571" s="675" t="s">
        <v>583</v>
      </c>
      <c r="G571" s="618"/>
      <c r="H571" s="618"/>
      <c r="I571" s="687"/>
      <c r="J571" s="688"/>
      <c r="K571" s="689"/>
    </row>
    <row r="572" spans="1:11" s="691" customFormat="1" ht="20.100000000000001" customHeight="1" x14ac:dyDescent="0.2">
      <c r="A572" s="671" t="s">
        <v>913</v>
      </c>
      <c r="B572" s="620"/>
      <c r="C572" s="606"/>
      <c r="D572" s="607"/>
      <c r="E572" s="606"/>
      <c r="F572" s="675" t="s">
        <v>583</v>
      </c>
      <c r="G572" s="618"/>
      <c r="H572" s="618"/>
      <c r="I572" s="687"/>
      <c r="J572" s="688"/>
      <c r="K572" s="689"/>
    </row>
    <row r="573" spans="1:11" s="691" customFormat="1" ht="20.100000000000001" customHeight="1" x14ac:dyDescent="0.2">
      <c r="A573" s="671" t="s">
        <v>912</v>
      </c>
      <c r="B573" s="620"/>
      <c r="C573" s="606"/>
      <c r="D573" s="607"/>
      <c r="E573" s="606"/>
      <c r="F573" s="675" t="s">
        <v>583</v>
      </c>
      <c r="G573" s="618"/>
      <c r="H573" s="618"/>
      <c r="I573" s="687"/>
      <c r="J573" s="688"/>
      <c r="K573" s="689"/>
    </row>
    <row r="574" spans="1:11" s="691" customFormat="1" ht="20.100000000000001" customHeight="1" x14ac:dyDescent="0.2">
      <c r="A574" s="671" t="s">
        <v>910</v>
      </c>
      <c r="B574" s="620"/>
      <c r="C574" s="606"/>
      <c r="D574" s="607"/>
      <c r="E574" s="606"/>
      <c r="F574" s="675" t="s">
        <v>911</v>
      </c>
      <c r="G574" s="618"/>
      <c r="H574" s="618"/>
      <c r="I574" s="687"/>
      <c r="J574" s="688"/>
      <c r="K574" s="689"/>
    </row>
    <row r="575" spans="1:11" s="691" customFormat="1" ht="20.100000000000001" customHeight="1" x14ac:dyDescent="0.2">
      <c r="A575" s="671" t="s">
        <v>908</v>
      </c>
      <c r="B575" s="620"/>
      <c r="C575" s="606"/>
      <c r="D575" s="607"/>
      <c r="E575" s="606"/>
      <c r="F575" s="675" t="s">
        <v>909</v>
      </c>
      <c r="G575" s="618"/>
      <c r="H575" s="618"/>
      <c r="I575" s="687"/>
      <c r="J575" s="688"/>
      <c r="K575" s="689"/>
    </row>
    <row r="576" spans="1:11" s="691" customFormat="1" ht="20.100000000000001" customHeight="1" x14ac:dyDescent="0.2">
      <c r="A576" s="671" t="s">
        <v>916</v>
      </c>
      <c r="B576" s="620"/>
      <c r="C576" s="606"/>
      <c r="D576" s="607"/>
      <c r="E576" s="606"/>
      <c r="F576" s="675" t="s">
        <v>907</v>
      </c>
      <c r="G576" s="618"/>
      <c r="H576" s="618"/>
      <c r="I576" s="687"/>
      <c r="J576" s="688"/>
      <c r="K576" s="689"/>
    </row>
    <row r="577" spans="1:11" s="691" customFormat="1" ht="20.100000000000001" customHeight="1" x14ac:dyDescent="0.2">
      <c r="A577" s="671" t="s">
        <v>964</v>
      </c>
      <c r="B577" s="620"/>
      <c r="C577" s="606"/>
      <c r="D577" s="607"/>
      <c r="E577" s="606"/>
      <c r="F577" s="675" t="s">
        <v>965</v>
      </c>
      <c r="G577" s="618"/>
      <c r="H577" s="618"/>
      <c r="I577" s="687"/>
      <c r="J577" s="688"/>
      <c r="K577" s="689"/>
    </row>
    <row r="578" spans="1:11" s="691" customFormat="1" ht="20.100000000000001" customHeight="1" x14ac:dyDescent="0.2">
      <c r="A578" s="671" t="s">
        <v>905</v>
      </c>
      <c r="B578" s="620"/>
      <c r="C578" s="606"/>
      <c r="D578" s="607"/>
      <c r="E578" s="606"/>
      <c r="F578" s="675" t="s">
        <v>906</v>
      </c>
      <c r="G578" s="618"/>
      <c r="H578" s="618"/>
      <c r="I578" s="687"/>
      <c r="J578" s="688"/>
      <c r="K578" s="689"/>
    </row>
    <row r="579" spans="1:11" s="691" customFormat="1" ht="20.100000000000001" customHeight="1" x14ac:dyDescent="0.2">
      <c r="A579" s="671" t="s">
        <v>956</v>
      </c>
      <c r="B579" s="620"/>
      <c r="C579" s="606"/>
      <c r="D579" s="607"/>
      <c r="E579" s="606"/>
      <c r="F579" s="675" t="s">
        <v>976</v>
      </c>
      <c r="G579" s="618"/>
      <c r="H579" s="618"/>
      <c r="I579" s="687"/>
      <c r="J579" s="688"/>
      <c r="K579" s="689"/>
    </row>
    <row r="580" spans="1:11" s="691" customFormat="1" ht="20.100000000000001" customHeight="1" x14ac:dyDescent="0.2">
      <c r="A580" s="671" t="s">
        <v>966</v>
      </c>
      <c r="B580" s="620"/>
      <c r="C580" s="606"/>
      <c r="D580" s="607"/>
      <c r="E580" s="606"/>
      <c r="F580" s="675" t="s">
        <v>968</v>
      </c>
      <c r="G580" s="618"/>
      <c r="H580" s="618"/>
      <c r="I580" s="687"/>
      <c r="J580" s="688"/>
      <c r="K580" s="689"/>
    </row>
    <row r="581" spans="1:11" s="691" customFormat="1" ht="20.100000000000001" customHeight="1" x14ac:dyDescent="0.2">
      <c r="A581" s="671" t="s">
        <v>967</v>
      </c>
      <c r="B581" s="620"/>
      <c r="C581" s="606"/>
      <c r="D581" s="607"/>
      <c r="E581" s="606"/>
      <c r="F581" s="675" t="s">
        <v>969</v>
      </c>
      <c r="G581" s="618"/>
      <c r="H581" s="618"/>
      <c r="I581" s="687"/>
      <c r="J581" s="688"/>
      <c r="K581" s="689"/>
    </row>
    <row r="582" spans="1:11" s="691" customFormat="1" ht="20.100000000000001" customHeight="1" x14ac:dyDescent="0.2">
      <c r="A582" s="671" t="s">
        <v>970</v>
      </c>
      <c r="B582" s="620"/>
      <c r="C582" s="606"/>
      <c r="D582" s="607"/>
      <c r="E582" s="606"/>
      <c r="F582" s="675" t="s">
        <v>962</v>
      </c>
      <c r="G582" s="618"/>
      <c r="H582" s="618"/>
      <c r="I582" s="687"/>
      <c r="J582" s="688"/>
      <c r="K582" s="689"/>
    </row>
    <row r="583" spans="1:11" s="691" customFormat="1" ht="20.100000000000001" customHeight="1" x14ac:dyDescent="0.2">
      <c r="A583" s="671" t="s">
        <v>961</v>
      </c>
      <c r="B583" s="620"/>
      <c r="C583" s="606"/>
      <c r="D583" s="607"/>
      <c r="E583" s="606"/>
      <c r="F583" s="675" t="s">
        <v>962</v>
      </c>
      <c r="G583" s="618"/>
      <c r="H583" s="618"/>
      <c r="I583" s="687"/>
      <c r="J583" s="688"/>
      <c r="K583" s="689"/>
    </row>
    <row r="584" spans="1:11" s="691" customFormat="1" ht="20.100000000000001" customHeight="1" x14ac:dyDescent="0.2">
      <c r="A584" s="671" t="s">
        <v>975</v>
      </c>
      <c r="B584" s="620"/>
      <c r="C584" s="606"/>
      <c r="D584" s="607"/>
      <c r="E584" s="606"/>
      <c r="F584" s="675" t="s">
        <v>962</v>
      </c>
      <c r="G584" s="618"/>
      <c r="H584" s="618"/>
      <c r="I584" s="687"/>
      <c r="J584" s="688"/>
      <c r="K584" s="689"/>
    </row>
    <row r="585" spans="1:11" s="691" customFormat="1" ht="20.100000000000001" customHeight="1" x14ac:dyDescent="0.2">
      <c r="A585" s="671" t="s">
        <v>974</v>
      </c>
      <c r="B585" s="620"/>
      <c r="C585" s="606"/>
      <c r="D585" s="607"/>
      <c r="E585" s="606"/>
      <c r="F585" s="675" t="s">
        <v>962</v>
      </c>
      <c r="G585" s="618"/>
      <c r="H585" s="618"/>
      <c r="I585" s="687"/>
      <c r="J585" s="688"/>
      <c r="K585" s="689"/>
    </row>
    <row r="586" spans="1:11" s="691" customFormat="1" ht="20.100000000000001" customHeight="1" x14ac:dyDescent="0.2">
      <c r="A586" s="671" t="s">
        <v>963</v>
      </c>
      <c r="B586" s="620"/>
      <c r="C586" s="606"/>
      <c r="D586" s="607"/>
      <c r="E586" s="606"/>
      <c r="F586" s="675" t="s">
        <v>962</v>
      </c>
      <c r="G586" s="618"/>
      <c r="H586" s="618"/>
      <c r="I586" s="687"/>
      <c r="J586" s="688"/>
      <c r="K586" s="689"/>
    </row>
    <row r="587" spans="1:11" s="691" customFormat="1" ht="20.100000000000001" customHeight="1" x14ac:dyDescent="0.2">
      <c r="A587" s="671" t="s">
        <v>971</v>
      </c>
      <c r="B587" s="620"/>
      <c r="C587" s="606"/>
      <c r="D587" s="607"/>
      <c r="E587" s="606"/>
      <c r="F587" s="675" t="s">
        <v>554</v>
      </c>
      <c r="G587" s="618"/>
      <c r="H587" s="618"/>
      <c r="I587" s="687"/>
      <c r="J587" s="688"/>
      <c r="K587" s="689"/>
    </row>
    <row r="588" spans="1:11" s="691" customFormat="1" ht="20.100000000000001" customHeight="1" x14ac:dyDescent="0.2">
      <c r="A588" s="671" t="s">
        <v>972</v>
      </c>
      <c r="B588" s="620"/>
      <c r="C588" s="606"/>
      <c r="D588" s="607"/>
      <c r="E588" s="606"/>
      <c r="F588" s="675" t="s">
        <v>973</v>
      </c>
      <c r="G588" s="618"/>
      <c r="H588" s="618"/>
      <c r="I588" s="687"/>
      <c r="J588" s="688"/>
      <c r="K588" s="689"/>
    </row>
    <row r="589" spans="1:11" s="691" customFormat="1" ht="20.100000000000001" customHeight="1" x14ac:dyDescent="0.2">
      <c r="A589" s="671" t="s">
        <v>862</v>
      </c>
      <c r="B589" s="620"/>
      <c r="C589" s="606"/>
      <c r="D589" s="607"/>
      <c r="E589" s="606"/>
      <c r="F589" s="675" t="s">
        <v>584</v>
      </c>
      <c r="G589" s="618"/>
      <c r="H589" s="618"/>
      <c r="I589" s="687"/>
      <c r="J589" s="688"/>
      <c r="K589" s="689"/>
    </row>
    <row r="590" spans="1:11" s="691" customFormat="1" ht="20.100000000000001" customHeight="1" x14ac:dyDescent="0.2">
      <c r="A590" s="671" t="s">
        <v>863</v>
      </c>
      <c r="B590" s="620"/>
      <c r="C590" s="606"/>
      <c r="D590" s="607"/>
      <c r="E590" s="606"/>
      <c r="F590" s="675" t="s">
        <v>585</v>
      </c>
      <c r="G590" s="618"/>
      <c r="H590" s="618"/>
      <c r="I590" s="687"/>
      <c r="J590" s="688"/>
      <c r="K590" s="689"/>
    </row>
    <row r="591" spans="1:11" s="691" customFormat="1" ht="20.100000000000001" customHeight="1" x14ac:dyDescent="0.2">
      <c r="A591" s="671" t="s">
        <v>864</v>
      </c>
      <c r="B591" s="620"/>
      <c r="C591" s="606"/>
      <c r="D591" s="607"/>
      <c r="E591" s="606"/>
      <c r="F591" s="675" t="s">
        <v>586</v>
      </c>
      <c r="G591" s="618"/>
      <c r="H591" s="618"/>
      <c r="I591" s="687"/>
      <c r="J591" s="688"/>
      <c r="K591" s="689"/>
    </row>
    <row r="592" spans="1:11" s="691" customFormat="1" ht="20.100000000000001" customHeight="1" x14ac:dyDescent="0.2">
      <c r="A592" s="671" t="s">
        <v>865</v>
      </c>
      <c r="B592" s="620"/>
      <c r="C592" s="606"/>
      <c r="D592" s="607"/>
      <c r="E592" s="606"/>
      <c r="F592" s="675" t="s">
        <v>587</v>
      </c>
      <c r="G592" s="618"/>
      <c r="H592" s="618"/>
      <c r="I592" s="687"/>
      <c r="J592" s="688"/>
      <c r="K592" s="689"/>
    </row>
    <row r="593" spans="1:11" s="691" customFormat="1" ht="20.100000000000001" customHeight="1" x14ac:dyDescent="0.2">
      <c r="A593" s="671" t="s">
        <v>866</v>
      </c>
      <c r="B593" s="620"/>
      <c r="C593" s="606"/>
      <c r="D593" s="607"/>
      <c r="E593" s="606"/>
      <c r="F593" s="675" t="s">
        <v>588</v>
      </c>
      <c r="G593" s="618"/>
      <c r="H593" s="618"/>
      <c r="I593" s="687"/>
      <c r="J593" s="688"/>
      <c r="K593" s="689"/>
    </row>
    <row r="594" spans="1:11" s="691" customFormat="1" ht="20.100000000000001" customHeight="1" x14ac:dyDescent="0.2">
      <c r="A594" s="671" t="s">
        <v>867</v>
      </c>
      <c r="B594" s="620"/>
      <c r="C594" s="606"/>
      <c r="D594" s="607"/>
      <c r="E594" s="606"/>
      <c r="F594" s="675" t="s">
        <v>589</v>
      </c>
      <c r="G594" s="618"/>
      <c r="H594" s="618"/>
      <c r="I594" s="687"/>
      <c r="J594" s="688"/>
      <c r="K594" s="689"/>
    </row>
    <row r="595" spans="1:11" s="691" customFormat="1" ht="20.100000000000001" customHeight="1" x14ac:dyDescent="0.2">
      <c r="A595" s="671" t="s">
        <v>868</v>
      </c>
      <c r="B595" s="620"/>
      <c r="C595" s="606"/>
      <c r="D595" s="607"/>
      <c r="E595" s="606"/>
      <c r="F595" s="675" t="s">
        <v>590</v>
      </c>
      <c r="G595" s="618"/>
      <c r="H595" s="618"/>
      <c r="I595" s="687"/>
      <c r="J595" s="688"/>
      <c r="K595" s="689"/>
    </row>
    <row r="596" spans="1:11" s="691" customFormat="1" ht="20.100000000000001" customHeight="1" x14ac:dyDescent="0.2">
      <c r="A596" s="671" t="s">
        <v>869</v>
      </c>
      <c r="B596" s="620"/>
      <c r="C596" s="606"/>
      <c r="D596" s="607"/>
      <c r="E596" s="606"/>
      <c r="F596" s="675" t="s">
        <v>591</v>
      </c>
      <c r="G596" s="618"/>
      <c r="H596" s="618"/>
      <c r="I596" s="687"/>
      <c r="J596" s="688"/>
      <c r="K596" s="689"/>
    </row>
    <row r="597" spans="1:11" s="691" customFormat="1" ht="20.100000000000001" customHeight="1" x14ac:dyDescent="0.2">
      <c r="A597" s="671" t="s">
        <v>870</v>
      </c>
      <c r="B597" s="620"/>
      <c r="C597" s="606"/>
      <c r="D597" s="607"/>
      <c r="E597" s="606"/>
      <c r="F597" s="675" t="s">
        <v>592</v>
      </c>
      <c r="G597" s="618"/>
      <c r="H597" s="618"/>
      <c r="I597" s="687"/>
      <c r="J597" s="688"/>
      <c r="K597" s="689"/>
    </row>
    <row r="598" spans="1:11" s="691" customFormat="1" ht="20.100000000000001" customHeight="1" x14ac:dyDescent="0.2">
      <c r="A598" s="671" t="s">
        <v>871</v>
      </c>
      <c r="B598" s="620"/>
      <c r="C598" s="606"/>
      <c r="D598" s="607"/>
      <c r="E598" s="606"/>
      <c r="F598" s="675" t="s">
        <v>593</v>
      </c>
      <c r="G598" s="618"/>
      <c r="H598" s="618"/>
      <c r="I598" s="687"/>
      <c r="J598" s="688"/>
      <c r="K598" s="689"/>
    </row>
    <row r="599" spans="1:11" s="691" customFormat="1" ht="20.100000000000001" customHeight="1" x14ac:dyDescent="0.2">
      <c r="A599" s="671" t="s">
        <v>872</v>
      </c>
      <c r="B599" s="620"/>
      <c r="C599" s="606"/>
      <c r="D599" s="607"/>
      <c r="E599" s="606"/>
      <c r="F599" s="675" t="s">
        <v>594</v>
      </c>
      <c r="G599" s="618"/>
      <c r="H599" s="618"/>
      <c r="I599" s="687"/>
      <c r="J599" s="688"/>
      <c r="K599" s="689"/>
    </row>
    <row r="600" spans="1:11" s="691" customFormat="1" ht="20.100000000000001" customHeight="1" x14ac:dyDescent="0.2">
      <c r="A600" s="671" t="s">
        <v>873</v>
      </c>
      <c r="B600" s="620"/>
      <c r="C600" s="606"/>
      <c r="D600" s="607"/>
      <c r="E600" s="606"/>
      <c r="F600" s="675" t="s">
        <v>595</v>
      </c>
      <c r="G600" s="618"/>
      <c r="H600" s="618"/>
      <c r="I600" s="687"/>
      <c r="J600" s="688"/>
      <c r="K600" s="689"/>
    </row>
    <row r="601" spans="1:11" s="691" customFormat="1" ht="20.100000000000001" customHeight="1" x14ac:dyDescent="0.2">
      <c r="A601" s="671" t="s">
        <v>874</v>
      </c>
      <c r="B601" s="620"/>
      <c r="C601" s="606"/>
      <c r="D601" s="607"/>
      <c r="E601" s="606"/>
      <c r="F601" s="675" t="s">
        <v>596</v>
      </c>
      <c r="G601" s="618"/>
      <c r="H601" s="618"/>
      <c r="I601" s="687"/>
      <c r="J601" s="688"/>
      <c r="K601" s="689"/>
    </row>
    <row r="602" spans="1:11" s="691" customFormat="1" ht="20.100000000000001" customHeight="1" x14ac:dyDescent="0.2">
      <c r="A602" s="671" t="s">
        <v>875</v>
      </c>
      <c r="B602" s="620"/>
      <c r="C602" s="606"/>
      <c r="D602" s="607"/>
      <c r="E602" s="606"/>
      <c r="F602" s="675" t="s">
        <v>597</v>
      </c>
      <c r="G602" s="618"/>
      <c r="H602" s="618"/>
      <c r="I602" s="687"/>
      <c r="J602" s="688"/>
      <c r="K602" s="689"/>
    </row>
    <row r="603" spans="1:11" s="691" customFormat="1" ht="20.100000000000001" customHeight="1" x14ac:dyDescent="0.2">
      <c r="A603" s="671" t="s">
        <v>876</v>
      </c>
      <c r="B603" s="620"/>
      <c r="C603" s="606"/>
      <c r="D603" s="607"/>
      <c r="E603" s="606"/>
      <c r="F603" s="675" t="s">
        <v>598</v>
      </c>
      <c r="G603" s="618"/>
      <c r="H603" s="618"/>
      <c r="I603" s="687"/>
      <c r="J603" s="688"/>
      <c r="K603" s="689"/>
    </row>
    <row r="604" spans="1:11" s="691" customFormat="1" ht="20.100000000000001" customHeight="1" x14ac:dyDescent="0.2">
      <c r="A604" s="671" t="s">
        <v>877</v>
      </c>
      <c r="B604" s="620"/>
      <c r="C604" s="606"/>
      <c r="D604" s="607"/>
      <c r="E604" s="606"/>
      <c r="F604" s="675" t="s">
        <v>599</v>
      </c>
      <c r="G604" s="618"/>
      <c r="H604" s="618"/>
      <c r="I604" s="687"/>
      <c r="J604" s="688"/>
      <c r="K604" s="689"/>
    </row>
    <row r="605" spans="1:11" s="691" customFormat="1" ht="20.100000000000001" customHeight="1" x14ac:dyDescent="0.2">
      <c r="A605" s="671" t="s">
        <v>878</v>
      </c>
      <c r="B605" s="620"/>
      <c r="C605" s="606"/>
      <c r="D605" s="607"/>
      <c r="E605" s="606"/>
      <c r="F605" s="675" t="s">
        <v>600</v>
      </c>
      <c r="G605" s="618"/>
      <c r="H605" s="618"/>
      <c r="I605" s="687"/>
      <c r="J605" s="688"/>
      <c r="K605" s="689"/>
    </row>
    <row r="606" spans="1:11" s="691" customFormat="1" ht="20.100000000000001" customHeight="1" x14ac:dyDescent="0.2">
      <c r="A606" s="671" t="s">
        <v>879</v>
      </c>
      <c r="B606" s="620"/>
      <c r="C606" s="606"/>
      <c r="D606" s="607"/>
      <c r="E606" s="606"/>
      <c r="F606" s="675" t="s">
        <v>601</v>
      </c>
      <c r="G606" s="618"/>
      <c r="H606" s="618"/>
      <c r="I606" s="687"/>
      <c r="J606" s="688"/>
      <c r="K606" s="689"/>
    </row>
    <row r="607" spans="1:11" s="691" customFormat="1" ht="20.100000000000001" customHeight="1" x14ac:dyDescent="0.2">
      <c r="A607" s="671" t="s">
        <v>880</v>
      </c>
      <c r="B607" s="620"/>
      <c r="C607" s="606"/>
      <c r="D607" s="607"/>
      <c r="E607" s="606"/>
      <c r="F607" s="675" t="s">
        <v>602</v>
      </c>
      <c r="G607" s="618"/>
      <c r="H607" s="618"/>
      <c r="I607" s="687"/>
      <c r="J607" s="688"/>
      <c r="K607" s="689"/>
    </row>
    <row r="608" spans="1:11" s="691" customFormat="1" ht="20.100000000000001" customHeight="1" x14ac:dyDescent="0.2">
      <c r="A608" s="671" t="s">
        <v>881</v>
      </c>
      <c r="B608" s="620"/>
      <c r="C608" s="606"/>
      <c r="D608" s="607"/>
      <c r="E608" s="606"/>
      <c r="F608" s="675" t="s">
        <v>603</v>
      </c>
      <c r="G608" s="618"/>
      <c r="H608" s="618"/>
      <c r="I608" s="687"/>
      <c r="J608" s="688"/>
      <c r="K608" s="689"/>
    </row>
    <row r="609" spans="1:11" s="691" customFormat="1" ht="20.100000000000001" customHeight="1" x14ac:dyDescent="0.2">
      <c r="A609" s="671" t="s">
        <v>882</v>
      </c>
      <c r="B609" s="620"/>
      <c r="C609" s="606"/>
      <c r="D609" s="607"/>
      <c r="E609" s="606"/>
      <c r="F609" s="675" t="s">
        <v>604</v>
      </c>
      <c r="G609" s="618"/>
      <c r="H609" s="618"/>
      <c r="I609" s="687"/>
      <c r="J609" s="688"/>
      <c r="K609" s="689"/>
    </row>
    <row r="610" spans="1:11" s="691" customFormat="1" ht="20.100000000000001" customHeight="1" x14ac:dyDescent="0.2">
      <c r="A610" s="671" t="s">
        <v>883</v>
      </c>
      <c r="B610" s="620"/>
      <c r="C610" s="606"/>
      <c r="D610" s="607"/>
      <c r="E610" s="606"/>
      <c r="F610" s="675" t="s">
        <v>605</v>
      </c>
      <c r="G610" s="618"/>
      <c r="H610" s="618"/>
      <c r="I610" s="687"/>
      <c r="J610" s="688"/>
      <c r="K610" s="689"/>
    </row>
    <row r="611" spans="1:11" s="691" customFormat="1" ht="20.100000000000001" customHeight="1" x14ac:dyDescent="0.2">
      <c r="A611" s="671" t="s">
        <v>884</v>
      </c>
      <c r="B611" s="620"/>
      <c r="C611" s="606"/>
      <c r="D611" s="607"/>
      <c r="E611" s="606"/>
      <c r="F611" s="675" t="s">
        <v>606</v>
      </c>
      <c r="G611" s="618"/>
      <c r="H611" s="618"/>
      <c r="I611" s="687"/>
      <c r="J611" s="688"/>
      <c r="K611" s="689"/>
    </row>
    <row r="612" spans="1:11" s="691" customFormat="1" ht="20.100000000000001" customHeight="1" x14ac:dyDescent="0.2">
      <c r="A612" s="671" t="s">
        <v>885</v>
      </c>
      <c r="B612" s="620"/>
      <c r="C612" s="606"/>
      <c r="D612" s="607"/>
      <c r="E612" s="606"/>
      <c r="F612" s="675" t="s">
        <v>607</v>
      </c>
      <c r="G612" s="618"/>
      <c r="H612" s="618"/>
      <c r="I612" s="687"/>
      <c r="J612" s="688"/>
      <c r="K612" s="689"/>
    </row>
    <row r="613" spans="1:11" s="691" customFormat="1" ht="20.100000000000001" customHeight="1" x14ac:dyDescent="0.2">
      <c r="A613" s="671" t="s">
        <v>886</v>
      </c>
      <c r="B613" s="620"/>
      <c r="C613" s="606"/>
      <c r="D613" s="607"/>
      <c r="E613" s="606"/>
      <c r="F613" s="675" t="s">
        <v>608</v>
      </c>
      <c r="G613" s="618"/>
      <c r="H613" s="618"/>
      <c r="I613" s="687"/>
      <c r="J613" s="688"/>
      <c r="K613" s="689"/>
    </row>
    <row r="614" spans="1:11" s="691" customFormat="1" ht="20.100000000000001" customHeight="1" x14ac:dyDescent="0.2">
      <c r="A614" s="671" t="s">
        <v>887</v>
      </c>
      <c r="B614" s="620"/>
      <c r="C614" s="606"/>
      <c r="D614" s="607"/>
      <c r="E614" s="606"/>
      <c r="F614" s="675" t="s">
        <v>609</v>
      </c>
      <c r="G614" s="618"/>
      <c r="H614" s="618"/>
      <c r="I614" s="687"/>
      <c r="J614" s="688"/>
      <c r="K614" s="689"/>
    </row>
    <row r="615" spans="1:11" s="691" customFormat="1" ht="20.100000000000001" customHeight="1" x14ac:dyDescent="0.2">
      <c r="A615" s="671" t="s">
        <v>888</v>
      </c>
      <c r="B615" s="620"/>
      <c r="C615" s="606"/>
      <c r="D615" s="607"/>
      <c r="E615" s="606"/>
      <c r="F615" s="675" t="s">
        <v>610</v>
      </c>
      <c r="G615" s="618"/>
      <c r="H615" s="618"/>
      <c r="I615" s="687"/>
      <c r="J615" s="688"/>
      <c r="K615" s="689"/>
    </row>
    <row r="616" spans="1:11" s="691" customFormat="1" ht="20.100000000000001" customHeight="1" x14ac:dyDescent="0.2">
      <c r="A616" s="671" t="s">
        <v>889</v>
      </c>
      <c r="B616" s="620"/>
      <c r="C616" s="606"/>
      <c r="D616" s="607"/>
      <c r="E616" s="606"/>
      <c r="F616" s="675" t="s">
        <v>611</v>
      </c>
      <c r="G616" s="618"/>
      <c r="H616" s="618"/>
      <c r="I616" s="687"/>
      <c r="J616" s="688"/>
      <c r="K616" s="689"/>
    </row>
    <row r="617" spans="1:11" s="691" customFormat="1" ht="20.100000000000001" customHeight="1" x14ac:dyDescent="0.2">
      <c r="A617" s="671" t="s">
        <v>890</v>
      </c>
      <c r="B617" s="620"/>
      <c r="C617" s="606"/>
      <c r="D617" s="607"/>
      <c r="E617" s="606"/>
      <c r="F617" s="675" t="s">
        <v>612</v>
      </c>
      <c r="G617" s="618"/>
      <c r="H617" s="618"/>
      <c r="I617" s="687"/>
      <c r="J617" s="688"/>
      <c r="K617" s="689"/>
    </row>
    <row r="618" spans="1:11" s="691" customFormat="1" ht="20.100000000000001" customHeight="1" x14ac:dyDescent="0.2">
      <c r="A618" s="671" t="s">
        <v>891</v>
      </c>
      <c r="B618" s="620"/>
      <c r="C618" s="606"/>
      <c r="D618" s="607"/>
      <c r="E618" s="606"/>
      <c r="F618" s="675" t="s">
        <v>613</v>
      </c>
      <c r="G618" s="618"/>
      <c r="H618" s="618"/>
      <c r="I618" s="687"/>
      <c r="J618" s="688"/>
      <c r="K618" s="689"/>
    </row>
    <row r="619" spans="1:11" s="691" customFormat="1" ht="20.100000000000001" customHeight="1" x14ac:dyDescent="0.2">
      <c r="A619" s="671" t="s">
        <v>892</v>
      </c>
      <c r="B619" s="620"/>
      <c r="C619" s="606"/>
      <c r="D619" s="607"/>
      <c r="E619" s="606"/>
      <c r="F619" s="675" t="s">
        <v>614</v>
      </c>
      <c r="G619" s="618"/>
      <c r="H619" s="618"/>
      <c r="I619" s="687"/>
      <c r="J619" s="688"/>
      <c r="K619" s="689"/>
    </row>
    <row r="620" spans="1:11" s="691" customFormat="1" ht="20.100000000000001" customHeight="1" x14ac:dyDescent="0.2">
      <c r="A620" s="671"/>
      <c r="B620" s="620"/>
      <c r="C620" s="606"/>
      <c r="D620" s="607"/>
      <c r="E620" s="606"/>
      <c r="F620" s="675"/>
      <c r="G620" s="618"/>
      <c r="H620" s="618"/>
      <c r="I620" s="687"/>
      <c r="J620" s="688"/>
      <c r="K620" s="689"/>
    </row>
    <row r="621" spans="1:11" s="691" customFormat="1" ht="20.100000000000001" customHeight="1" x14ac:dyDescent="0.2">
      <c r="A621" s="693" t="s">
        <v>893</v>
      </c>
      <c r="B621" s="626"/>
      <c r="C621" s="627"/>
      <c r="D621" s="619"/>
      <c r="E621" s="618"/>
      <c r="F621" s="618"/>
      <c r="G621" s="618"/>
      <c r="H621" s="618"/>
      <c r="I621" s="687"/>
      <c r="J621" s="688"/>
      <c r="K621" s="689"/>
    </row>
    <row r="622" spans="1:11" s="691" customFormat="1" ht="20.100000000000001" customHeight="1" x14ac:dyDescent="0.2">
      <c r="A622" s="694" t="s">
        <v>738</v>
      </c>
      <c r="B622" s="628"/>
      <c r="C622" s="629"/>
      <c r="D622" s="630" t="s">
        <v>2099</v>
      </c>
      <c r="E622" s="629" t="s">
        <v>5593</v>
      </c>
      <c r="F622" s="629" t="s">
        <v>5594</v>
      </c>
      <c r="G622" s="629" t="s">
        <v>5595</v>
      </c>
      <c r="I622" s="629"/>
      <c r="J622" s="688"/>
      <c r="K622" s="689"/>
    </row>
    <row r="623" spans="1:11" s="691" customFormat="1" ht="20.100000000000001" customHeight="1" x14ac:dyDescent="0.2">
      <c r="A623" s="695" t="str">
        <f>CONCATENATE(D623,"  ",E623,)</f>
        <v>300000000000000  Despesa</v>
      </c>
      <c r="B623" s="628"/>
      <c r="C623" s="631"/>
      <c r="D623" s="632">
        <v>300000000000000</v>
      </c>
      <c r="E623" s="696" t="s">
        <v>2135</v>
      </c>
      <c r="F623" s="696">
        <v>1</v>
      </c>
      <c r="G623" s="696" t="s">
        <v>5596</v>
      </c>
      <c r="I623" s="696"/>
      <c r="J623" s="688"/>
      <c r="K623" s="689"/>
    </row>
    <row r="624" spans="1:11" s="691" customFormat="1" ht="20.100000000000001" customHeight="1" x14ac:dyDescent="0.2">
      <c r="A624" s="695" t="str">
        <f>CONCATENATE(D624,"  ",E624,)</f>
        <v>330000000000000  Despesas Correntes</v>
      </c>
      <c r="B624" s="628"/>
      <c r="C624" s="631"/>
      <c r="D624" s="632">
        <v>330000000000000</v>
      </c>
      <c r="E624" s="696" t="s">
        <v>2105</v>
      </c>
      <c r="F624" s="696">
        <v>2</v>
      </c>
      <c r="G624" s="696" t="s">
        <v>5596</v>
      </c>
      <c r="I624" s="696"/>
      <c r="J624" s="688"/>
      <c r="K624" s="689"/>
    </row>
    <row r="625" spans="1:11" s="691" customFormat="1" ht="20.100000000000001" customHeight="1" x14ac:dyDescent="0.2">
      <c r="A625" s="695" t="str">
        <f t="shared" ref="A625:A688" si="7">CONCATENATE(D625,"  ",E625,)</f>
        <v>331000000000000  Pessoal E Encargos Sociais</v>
      </c>
      <c r="B625" s="628"/>
      <c r="C625" s="631"/>
      <c r="D625" s="632">
        <v>331000000000000</v>
      </c>
      <c r="E625" s="696" t="s">
        <v>2075</v>
      </c>
      <c r="F625" s="696">
        <v>3</v>
      </c>
      <c r="G625" s="696" t="s">
        <v>5596</v>
      </c>
      <c r="I625" s="696"/>
      <c r="J625" s="688"/>
      <c r="K625" s="689"/>
    </row>
    <row r="626" spans="1:11" s="691" customFormat="1" ht="20.100000000000001" customHeight="1" x14ac:dyDescent="0.2">
      <c r="A626" s="695" t="str">
        <f t="shared" si="7"/>
        <v>331300000000000  Transferencias A Estados E Ao Distrito Federal</v>
      </c>
      <c r="B626" s="628"/>
      <c r="C626" s="631"/>
      <c r="D626" s="632">
        <v>331300000000000</v>
      </c>
      <c r="E626" s="696" t="s">
        <v>2128</v>
      </c>
      <c r="F626" s="696">
        <v>4</v>
      </c>
      <c r="G626" s="696" t="s">
        <v>5596</v>
      </c>
      <c r="I626" s="696"/>
      <c r="J626" s="688"/>
      <c r="K626" s="689"/>
    </row>
    <row r="627" spans="1:11" s="691" customFormat="1" ht="20.100000000000001" customHeight="1" x14ac:dyDescent="0.2">
      <c r="A627" s="695" t="str">
        <f t="shared" si="7"/>
        <v>331301300000000  Obrigacoes Patronais</v>
      </c>
      <c r="B627" s="628"/>
      <c r="C627" s="631"/>
      <c r="D627" s="632">
        <v>331301300000000</v>
      </c>
      <c r="E627" s="696" t="s">
        <v>1011</v>
      </c>
      <c r="F627" s="696">
        <v>6</v>
      </c>
      <c r="G627" s="696" t="s">
        <v>5596</v>
      </c>
      <c r="I627" s="696"/>
      <c r="J627" s="688"/>
      <c r="K627" s="689"/>
    </row>
    <row r="628" spans="1:11" s="691" customFormat="1" ht="20.100000000000001" customHeight="1" x14ac:dyDescent="0.2">
      <c r="A628" s="695" t="str">
        <f t="shared" si="7"/>
        <v>331301340000000  Encargos De Pessoal Requisitados De Outros Entes</v>
      </c>
      <c r="B628" s="628"/>
      <c r="C628" s="631"/>
      <c r="D628" s="632">
        <v>331301340000000</v>
      </c>
      <c r="E628" s="696" t="s">
        <v>4793</v>
      </c>
      <c r="F628" s="696">
        <v>7</v>
      </c>
      <c r="G628" s="696" t="s">
        <v>5596</v>
      </c>
      <c r="I628" s="696"/>
      <c r="J628" s="688"/>
      <c r="K628" s="689"/>
    </row>
    <row r="629" spans="1:11" s="691" customFormat="1" ht="20.100000000000001" customHeight="1" x14ac:dyDescent="0.2">
      <c r="A629" s="695" t="str">
        <f t="shared" si="7"/>
        <v>331301340010000  Contribuição Patronal Para O Rpps Do Estado</v>
      </c>
      <c r="B629" s="628"/>
      <c r="C629" s="631"/>
      <c r="D629" s="632">
        <v>331301340010000</v>
      </c>
      <c r="E629" s="696" t="s">
        <v>4794</v>
      </c>
      <c r="F629" s="696">
        <v>8</v>
      </c>
      <c r="G629" s="696" t="s">
        <v>5597</v>
      </c>
      <c r="I629" s="696"/>
      <c r="J629" s="688"/>
      <c r="K629" s="689"/>
    </row>
    <row r="630" spans="1:11" s="691" customFormat="1" ht="20.100000000000001" customHeight="1" x14ac:dyDescent="0.2">
      <c r="A630" s="695" t="str">
        <f t="shared" si="7"/>
        <v>331400000000000  Transferencias A Municipios</v>
      </c>
      <c r="B630" s="628"/>
      <c r="C630" s="631"/>
      <c r="D630" s="632">
        <v>331400000000000</v>
      </c>
      <c r="E630" s="696" t="s">
        <v>4795</v>
      </c>
      <c r="F630" s="696">
        <v>4</v>
      </c>
      <c r="G630" s="696" t="s">
        <v>5596</v>
      </c>
      <c r="I630" s="696"/>
      <c r="J630" s="688"/>
      <c r="K630" s="689"/>
    </row>
    <row r="631" spans="1:11" s="691" customFormat="1" ht="20.100000000000001" customHeight="1" x14ac:dyDescent="0.2">
      <c r="A631" s="695" t="str">
        <f t="shared" si="7"/>
        <v>331401300000000  Obrigacoes Patronais</v>
      </c>
      <c r="B631" s="628"/>
      <c r="C631" s="631"/>
      <c r="D631" s="632">
        <v>331401300000000</v>
      </c>
      <c r="E631" s="696" t="s">
        <v>1011</v>
      </c>
      <c r="F631" s="696">
        <v>6</v>
      </c>
      <c r="G631" s="696" t="s">
        <v>5596</v>
      </c>
      <c r="I631" s="696"/>
      <c r="J631" s="688"/>
      <c r="K631" s="689"/>
    </row>
    <row r="632" spans="1:11" s="691" customFormat="1" ht="20.100000000000001" customHeight="1" x14ac:dyDescent="0.2">
      <c r="A632" s="695" t="str">
        <f t="shared" si="7"/>
        <v>331401340000000  Encargos De Pessoal Requisitado De Outros Entes</v>
      </c>
      <c r="B632" s="628"/>
      <c r="C632" s="631"/>
      <c r="D632" s="632">
        <v>331401340000000</v>
      </c>
      <c r="E632" s="696" t="s">
        <v>4796</v>
      </c>
      <c r="F632" s="696">
        <v>7</v>
      </c>
      <c r="G632" s="696" t="s">
        <v>5596</v>
      </c>
      <c r="I632" s="696"/>
      <c r="J632" s="688"/>
      <c r="K632" s="689"/>
    </row>
    <row r="633" spans="1:11" s="691" customFormat="1" ht="20.100000000000001" customHeight="1" x14ac:dyDescent="0.2">
      <c r="A633" s="695" t="str">
        <f t="shared" si="7"/>
        <v>331401340010000  Contribuição Patronal Para Rpps De Outro Municipio</v>
      </c>
      <c r="B633" s="628"/>
      <c r="C633" s="631"/>
      <c r="D633" s="632">
        <v>331401340010000</v>
      </c>
      <c r="E633" s="696" t="s">
        <v>4797</v>
      </c>
      <c r="F633" s="696">
        <v>8</v>
      </c>
      <c r="G633" s="696" t="s">
        <v>5597</v>
      </c>
      <c r="I633" s="696"/>
      <c r="J633" s="688"/>
      <c r="K633" s="689"/>
    </row>
    <row r="634" spans="1:11" s="691" customFormat="1" ht="20.100000000000001" customHeight="1" x14ac:dyDescent="0.2">
      <c r="A634" s="695" t="str">
        <f t="shared" si="7"/>
        <v>331500000000000  Transferencias  A Instituicoes  Privadas Sem Fins Lucrativos</v>
      </c>
      <c r="B634" s="628"/>
      <c r="C634" s="631"/>
      <c r="D634" s="632">
        <v>331500000000000</v>
      </c>
      <c r="E634" s="696" t="s">
        <v>5598</v>
      </c>
      <c r="F634" s="696">
        <v>4</v>
      </c>
      <c r="G634" s="696" t="s">
        <v>5596</v>
      </c>
      <c r="I634" s="696"/>
      <c r="J634" s="688"/>
      <c r="K634" s="689"/>
    </row>
    <row r="635" spans="1:11" s="691" customFormat="1" ht="20.100000000000001" customHeight="1" x14ac:dyDescent="0.2">
      <c r="A635" s="695" t="str">
        <f t="shared" si="7"/>
        <v>331501100000000  Vencimentos E Vantagens Fixas - Pessoal Civil</v>
      </c>
      <c r="B635" s="628"/>
      <c r="C635" s="631"/>
      <c r="D635" s="632">
        <v>331501100000000</v>
      </c>
      <c r="E635" s="696" t="s">
        <v>1009</v>
      </c>
      <c r="F635" s="696">
        <v>6</v>
      </c>
      <c r="G635" s="696" t="s">
        <v>5596</v>
      </c>
      <c r="I635" s="696"/>
      <c r="J635" s="688"/>
      <c r="K635" s="689"/>
    </row>
    <row r="636" spans="1:11" s="691" customFormat="1" ht="20.100000000000001" customHeight="1" x14ac:dyDescent="0.2">
      <c r="A636" s="695" t="str">
        <f t="shared" si="7"/>
        <v>331501199000000  Outras Despesas Fixas - Pessoal Civil</v>
      </c>
      <c r="B636" s="628"/>
      <c r="C636" s="631"/>
      <c r="D636" s="632">
        <v>331501199000000</v>
      </c>
      <c r="E636" s="696" t="s">
        <v>4798</v>
      </c>
      <c r="F636" s="696">
        <v>7</v>
      </c>
      <c r="G636" s="696" t="s">
        <v>5596</v>
      </c>
      <c r="I636" s="696"/>
      <c r="J636" s="688"/>
      <c r="K636" s="689"/>
    </row>
    <row r="637" spans="1:11" s="691" customFormat="1" ht="20.100000000000001" customHeight="1" x14ac:dyDescent="0.2">
      <c r="A637" s="695" t="str">
        <f t="shared" si="7"/>
        <v>331501199100000  Transferencias De Recursos Para Cobertura De Despesas Com Pessoal Cont</v>
      </c>
      <c r="B637" s="628"/>
      <c r="C637" s="631"/>
      <c r="D637" s="632">
        <v>331501199100000</v>
      </c>
      <c r="E637" s="696" t="s">
        <v>4799</v>
      </c>
      <c r="F637" s="696">
        <v>8</v>
      </c>
      <c r="G637" s="696" t="s">
        <v>5597</v>
      </c>
      <c r="I637" s="696"/>
      <c r="J637" s="688"/>
      <c r="K637" s="689"/>
    </row>
    <row r="638" spans="1:11" s="691" customFormat="1" ht="20.100000000000001" customHeight="1" x14ac:dyDescent="0.2">
      <c r="A638" s="695" t="str">
        <f t="shared" si="7"/>
        <v>331501300000000  Obrigações Patronais</v>
      </c>
      <c r="B638" s="628"/>
      <c r="C638" s="631"/>
      <c r="D638" s="632">
        <v>331501300000000</v>
      </c>
      <c r="E638" s="696" t="s">
        <v>2258</v>
      </c>
      <c r="F638" s="696">
        <v>6</v>
      </c>
      <c r="G638" s="696" t="s">
        <v>5596</v>
      </c>
      <c r="I638" s="696"/>
      <c r="J638" s="688"/>
      <c r="K638" s="689"/>
    </row>
    <row r="639" spans="1:11" s="691" customFormat="1" ht="20.100000000000001" customHeight="1" x14ac:dyDescent="0.2">
      <c r="A639" s="695" t="str">
        <f t="shared" si="7"/>
        <v>331501301000000  Fgts</v>
      </c>
      <c r="B639" s="628"/>
      <c r="C639" s="631"/>
      <c r="D639" s="632">
        <v>331501301000000</v>
      </c>
      <c r="E639" s="696" t="s">
        <v>4800</v>
      </c>
      <c r="F639" s="696">
        <v>7</v>
      </c>
      <c r="G639" s="696" t="s">
        <v>5597</v>
      </c>
      <c r="I639" s="696"/>
      <c r="J639" s="688"/>
      <c r="K639" s="689"/>
    </row>
    <row r="640" spans="1:11" s="691" customFormat="1" ht="20.100000000000001" customHeight="1" x14ac:dyDescent="0.2">
      <c r="A640" s="695" t="str">
        <f t="shared" si="7"/>
        <v>331501302000000  Inss</v>
      </c>
      <c r="B640" s="628"/>
      <c r="C640" s="631"/>
      <c r="D640" s="632">
        <v>331501302000000</v>
      </c>
      <c r="E640" s="696" t="s">
        <v>4801</v>
      </c>
      <c r="F640" s="696">
        <v>7</v>
      </c>
      <c r="G640" s="696" t="s">
        <v>5597</v>
      </c>
      <c r="I640" s="696"/>
      <c r="J640" s="688"/>
      <c r="K640" s="689"/>
    </row>
    <row r="641" spans="1:11" s="691" customFormat="1" ht="20.100000000000001" customHeight="1" x14ac:dyDescent="0.2">
      <c r="A641" s="695" t="str">
        <f t="shared" si="7"/>
        <v>331710000000000  Transferencias  A Consórcios Públicos</v>
      </c>
      <c r="B641" s="628"/>
      <c r="C641" s="631"/>
      <c r="D641" s="632">
        <v>331710000000000</v>
      </c>
      <c r="E641" s="696" t="s">
        <v>5599</v>
      </c>
      <c r="F641" s="696">
        <v>5</v>
      </c>
      <c r="G641" s="696" t="s">
        <v>5596</v>
      </c>
      <c r="I641" s="696"/>
      <c r="J641" s="688"/>
      <c r="K641" s="689"/>
    </row>
    <row r="642" spans="1:11" s="691" customFormat="1" ht="20.100000000000001" customHeight="1" x14ac:dyDescent="0.2">
      <c r="A642" s="695" t="str">
        <f t="shared" si="7"/>
        <v>331711100000000  Vencimentos E Vantagens Fixas - Pessoal Civil</v>
      </c>
      <c r="B642" s="628"/>
      <c r="C642" s="631"/>
      <c r="D642" s="632">
        <v>331711100000000</v>
      </c>
      <c r="E642" s="696" t="s">
        <v>1009</v>
      </c>
      <c r="F642" s="696">
        <v>6</v>
      </c>
      <c r="G642" s="696" t="s">
        <v>5596</v>
      </c>
      <c r="I642" s="696"/>
      <c r="J642" s="688"/>
      <c r="K642" s="689"/>
    </row>
    <row r="643" spans="1:11" s="691" customFormat="1" ht="20.100000000000001" customHeight="1" x14ac:dyDescent="0.2">
      <c r="A643" s="695" t="str">
        <f t="shared" si="7"/>
        <v>331711199000000  Outras Despesas Fixas - Pessoal Civil</v>
      </c>
      <c r="B643" s="628"/>
      <c r="C643" s="631"/>
      <c r="D643" s="632">
        <v>331711199000000</v>
      </c>
      <c r="E643" s="696" t="s">
        <v>4798</v>
      </c>
      <c r="F643" s="696">
        <v>7</v>
      </c>
      <c r="G643" s="696" t="s">
        <v>5596</v>
      </c>
      <c r="I643" s="696"/>
      <c r="J643" s="688"/>
      <c r="K643" s="689"/>
    </row>
    <row r="644" spans="1:11" s="691" customFormat="1" ht="20.100000000000001" customHeight="1" x14ac:dyDescent="0.2">
      <c r="A644" s="695" t="str">
        <f t="shared" si="7"/>
        <v>331711199100000  Transferencias De Recursos Para Cobertura De Despesas Com Pessoal De C</v>
      </c>
      <c r="B644" s="628"/>
      <c r="C644" s="631"/>
      <c r="D644" s="632">
        <v>331711199100000</v>
      </c>
      <c r="E644" s="696" t="s">
        <v>4802</v>
      </c>
      <c r="F644" s="696">
        <v>8</v>
      </c>
      <c r="G644" s="696" t="s">
        <v>5597</v>
      </c>
      <c r="I644" s="696"/>
      <c r="J644" s="688"/>
      <c r="K644" s="689"/>
    </row>
    <row r="645" spans="1:11" s="691" customFormat="1" ht="20.100000000000001" customHeight="1" x14ac:dyDescent="0.2">
      <c r="A645" s="695" t="str">
        <f t="shared" si="7"/>
        <v>331711300000000  Obrigações Patronais</v>
      </c>
      <c r="B645" s="628"/>
      <c r="C645" s="631"/>
      <c r="D645" s="632">
        <v>331711300000000</v>
      </c>
      <c r="E645" s="696" t="s">
        <v>2258</v>
      </c>
      <c r="F645" s="696">
        <v>6</v>
      </c>
      <c r="G645" s="696" t="s">
        <v>5596</v>
      </c>
      <c r="I645" s="696"/>
      <c r="J645" s="688"/>
      <c r="K645" s="689"/>
    </row>
    <row r="646" spans="1:11" s="691" customFormat="1" ht="20.100000000000001" customHeight="1" x14ac:dyDescent="0.2">
      <c r="A646" s="695" t="str">
        <f t="shared" si="7"/>
        <v>331711301000000  Fgts</v>
      </c>
      <c r="B646" s="628"/>
      <c r="C646" s="631"/>
      <c r="D646" s="632">
        <v>331711301000000</v>
      </c>
      <c r="E646" s="696" t="s">
        <v>4800</v>
      </c>
      <c r="F646" s="696">
        <v>8</v>
      </c>
      <c r="G646" s="696" t="s">
        <v>5596</v>
      </c>
      <c r="I646" s="696"/>
      <c r="J646" s="688"/>
      <c r="K646" s="689"/>
    </row>
    <row r="647" spans="1:11" s="691" customFormat="1" ht="20.100000000000001" customHeight="1" x14ac:dyDescent="0.2">
      <c r="A647" s="695" t="str">
        <f t="shared" si="7"/>
        <v>331711301010000  Fgts</v>
      </c>
      <c r="B647" s="628"/>
      <c r="C647" s="631"/>
      <c r="D647" s="632">
        <v>331711301010000</v>
      </c>
      <c r="E647" s="696" t="s">
        <v>4800</v>
      </c>
      <c r="F647" s="696">
        <v>8</v>
      </c>
      <c r="G647" s="696" t="s">
        <v>5597</v>
      </c>
      <c r="I647" s="696"/>
      <c r="J647" s="688"/>
      <c r="K647" s="689"/>
    </row>
    <row r="648" spans="1:11" s="691" customFormat="1" ht="20.100000000000001" customHeight="1" x14ac:dyDescent="0.2">
      <c r="A648" s="695" t="str">
        <f t="shared" si="7"/>
        <v>331711302000000  Contribuicoes Previdenciarias - Inss</v>
      </c>
      <c r="B648" s="628"/>
      <c r="C648" s="631"/>
      <c r="D648" s="632">
        <v>331711302000000</v>
      </c>
      <c r="E648" s="696" t="s">
        <v>4803</v>
      </c>
      <c r="F648" s="696">
        <v>7</v>
      </c>
      <c r="G648" s="696" t="s">
        <v>5596</v>
      </c>
      <c r="I648" s="696"/>
      <c r="J648" s="688"/>
      <c r="K648" s="689"/>
    </row>
    <row r="649" spans="1:11" s="691" customFormat="1" ht="20.100000000000001" customHeight="1" x14ac:dyDescent="0.2">
      <c r="A649" s="695" t="str">
        <f t="shared" si="7"/>
        <v>331711302010000  Contribuicoes Previdenciarias - Inss</v>
      </c>
      <c r="B649" s="628"/>
      <c r="C649" s="631"/>
      <c r="D649" s="632">
        <v>331711302010000</v>
      </c>
      <c r="E649" s="696" t="s">
        <v>4803</v>
      </c>
      <c r="F649" s="696">
        <v>8</v>
      </c>
      <c r="G649" s="696" t="s">
        <v>5597</v>
      </c>
      <c r="I649" s="696"/>
      <c r="J649" s="688"/>
      <c r="K649" s="689"/>
    </row>
    <row r="650" spans="1:11" s="691" customFormat="1" ht="20.100000000000001" customHeight="1" x14ac:dyDescent="0.2">
      <c r="A650" s="695" t="str">
        <f t="shared" si="7"/>
        <v>331717000000000  RATEIO PELA PARTICIPAÇÃO EM CONSÓRCIO PÚBLICO</v>
      </c>
      <c r="B650" s="628"/>
      <c r="C650" s="631"/>
      <c r="D650" s="632">
        <v>331717000000000</v>
      </c>
      <c r="E650" s="696" t="s">
        <v>4792</v>
      </c>
      <c r="F650" s="696">
        <v>6</v>
      </c>
      <c r="G650" s="696" t="s">
        <v>5596</v>
      </c>
      <c r="I650" s="696" t="s">
        <v>5600</v>
      </c>
      <c r="J650" s="688"/>
      <c r="K650" s="689"/>
    </row>
    <row r="651" spans="1:11" s="691" customFormat="1" ht="20.100000000000001" customHeight="1" x14ac:dyDescent="0.2">
      <c r="A651" s="695" t="str">
        <f t="shared" si="7"/>
        <v>331717001000000  RATEIO PELA PARTICIPAÇÃO EM CONSÓRCIO PÚBLICO</v>
      </c>
      <c r="B651" s="628"/>
      <c r="C651" s="631"/>
      <c r="D651" s="632">
        <v>331717001000000</v>
      </c>
      <c r="E651" s="696" t="s">
        <v>4792</v>
      </c>
      <c r="F651" s="696">
        <v>7</v>
      </c>
      <c r="G651" s="696" t="s">
        <v>5597</v>
      </c>
      <c r="I651" s="696" t="s">
        <v>5600</v>
      </c>
      <c r="J651" s="688"/>
      <c r="K651" s="689"/>
    </row>
    <row r="652" spans="1:11" s="691" customFormat="1" ht="20.100000000000001" customHeight="1" x14ac:dyDescent="0.2">
      <c r="A652" s="695" t="str">
        <f t="shared" si="7"/>
        <v>331900000000000  Aplicacoes Diretas</v>
      </c>
      <c r="B652" s="628"/>
      <c r="C652" s="631"/>
      <c r="D652" s="632">
        <v>331900000000000</v>
      </c>
      <c r="E652" s="696" t="s">
        <v>2108</v>
      </c>
      <c r="F652" s="696">
        <v>4</v>
      </c>
      <c r="G652" s="696" t="s">
        <v>5596</v>
      </c>
      <c r="I652" s="696"/>
      <c r="J652" s="688"/>
      <c r="K652" s="689"/>
    </row>
    <row r="653" spans="1:11" s="691" customFormat="1" ht="20.100000000000001" customHeight="1" x14ac:dyDescent="0.2">
      <c r="A653" s="695" t="str">
        <f t="shared" si="7"/>
        <v>331900100000000  Aposentadorias E Reformas</v>
      </c>
      <c r="B653" s="628"/>
      <c r="C653" s="631"/>
      <c r="D653" s="632">
        <v>331900100000000</v>
      </c>
      <c r="E653" s="696" t="s">
        <v>4804</v>
      </c>
      <c r="F653" s="696">
        <v>6</v>
      </c>
      <c r="G653" s="696" t="s">
        <v>5596</v>
      </c>
      <c r="I653" s="696"/>
      <c r="J653" s="688"/>
      <c r="K653" s="689"/>
    </row>
    <row r="654" spans="1:11" s="691" customFormat="1" ht="20.100000000000001" customHeight="1" x14ac:dyDescent="0.2">
      <c r="A654" s="695" t="str">
        <f t="shared" si="7"/>
        <v>331900101000000  Proventos - Pessoal Civil</v>
      </c>
      <c r="B654" s="628"/>
      <c r="C654" s="631"/>
      <c r="D654" s="632">
        <v>331900101000000</v>
      </c>
      <c r="E654" s="696" t="s">
        <v>4805</v>
      </c>
      <c r="F654" s="696">
        <v>7</v>
      </c>
      <c r="G654" s="696" t="s">
        <v>5597</v>
      </c>
      <c r="I654" s="696"/>
      <c r="J654" s="688"/>
      <c r="K654" s="689"/>
    </row>
    <row r="655" spans="1:11" s="691" customFormat="1" ht="20.100000000000001" customHeight="1" x14ac:dyDescent="0.2">
      <c r="A655" s="695" t="str">
        <f t="shared" si="7"/>
        <v>331900106000000  13 Salario - Pessoal Civil</v>
      </c>
      <c r="B655" s="628"/>
      <c r="C655" s="631"/>
      <c r="D655" s="632">
        <v>331900106000000</v>
      </c>
      <c r="E655" s="696" t="s">
        <v>4806</v>
      </c>
      <c r="F655" s="696">
        <v>7</v>
      </c>
      <c r="G655" s="696" t="s">
        <v>5597</v>
      </c>
      <c r="I655" s="696"/>
      <c r="J655" s="688"/>
      <c r="K655" s="689"/>
    </row>
    <row r="656" spans="1:11" s="691" customFormat="1" ht="20.100000000000001" customHeight="1" x14ac:dyDescent="0.2">
      <c r="A656" s="695" t="str">
        <f t="shared" si="7"/>
        <v>331900199000000  Outras Aposentadorias</v>
      </c>
      <c r="B656" s="628"/>
      <c r="C656" s="631"/>
      <c r="D656" s="632">
        <v>331900199000000</v>
      </c>
      <c r="E656" s="696" t="s">
        <v>4807</v>
      </c>
      <c r="F656" s="696">
        <v>7</v>
      </c>
      <c r="G656" s="696" t="s">
        <v>5597</v>
      </c>
      <c r="I656" s="696"/>
      <c r="J656" s="688"/>
      <c r="K656" s="689"/>
    </row>
    <row r="657" spans="1:11" s="691" customFormat="1" ht="20.100000000000001" customHeight="1" x14ac:dyDescent="0.2">
      <c r="A657" s="695" t="str">
        <f t="shared" si="7"/>
        <v>331900300000000  Pensoes</v>
      </c>
      <c r="B657" s="628"/>
      <c r="C657" s="631"/>
      <c r="D657" s="632">
        <v>331900300000000</v>
      </c>
      <c r="E657" s="696" t="s">
        <v>4808</v>
      </c>
      <c r="F657" s="696">
        <v>6</v>
      </c>
      <c r="G657" s="696" t="s">
        <v>5596</v>
      </c>
      <c r="I657" s="696"/>
      <c r="J657" s="688"/>
      <c r="K657" s="689"/>
    </row>
    <row r="658" spans="1:11" s="691" customFormat="1" ht="20.100000000000001" customHeight="1" x14ac:dyDescent="0.2">
      <c r="A658" s="695" t="str">
        <f t="shared" si="7"/>
        <v>331900301000000  Civis</v>
      </c>
      <c r="B658" s="628"/>
      <c r="C658" s="631"/>
      <c r="D658" s="632">
        <v>331900301000000</v>
      </c>
      <c r="E658" s="696" t="s">
        <v>4809</v>
      </c>
      <c r="F658" s="696">
        <v>7</v>
      </c>
      <c r="G658" s="696" t="s">
        <v>5597</v>
      </c>
      <c r="I658" s="696"/>
      <c r="J658" s="688"/>
      <c r="K658" s="689"/>
    </row>
    <row r="659" spans="1:11" s="691" customFormat="1" ht="20.100000000000001" customHeight="1" x14ac:dyDescent="0.2">
      <c r="A659" s="695" t="str">
        <f t="shared" si="7"/>
        <v>331900303000000  13 Salario - Pessoal Civil - Pensionistas</v>
      </c>
      <c r="B659" s="628"/>
      <c r="C659" s="631"/>
      <c r="D659" s="632">
        <v>331900303000000</v>
      </c>
      <c r="E659" s="696" t="s">
        <v>4810</v>
      </c>
      <c r="F659" s="696">
        <v>7</v>
      </c>
      <c r="G659" s="696" t="s">
        <v>5597</v>
      </c>
      <c r="I659" s="696"/>
      <c r="J659" s="688"/>
      <c r="K659" s="689"/>
    </row>
    <row r="660" spans="1:11" s="691" customFormat="1" ht="20.100000000000001" customHeight="1" x14ac:dyDescent="0.2">
      <c r="A660" s="695" t="str">
        <f t="shared" si="7"/>
        <v>331900399000000  Outras Pensoes</v>
      </c>
      <c r="B660" s="628"/>
      <c r="C660" s="631"/>
      <c r="D660" s="632">
        <v>331900399000000</v>
      </c>
      <c r="E660" s="696" t="s">
        <v>4811</v>
      </c>
      <c r="F660" s="696">
        <v>7</v>
      </c>
      <c r="G660" s="696" t="s">
        <v>5597</v>
      </c>
      <c r="I660" s="696"/>
      <c r="J660" s="688"/>
      <c r="K660" s="689"/>
    </row>
    <row r="661" spans="1:11" s="691" customFormat="1" ht="20.100000000000001" customHeight="1" x14ac:dyDescent="0.2">
      <c r="A661" s="695" t="str">
        <f t="shared" si="7"/>
        <v>331900400000000  Contratacao Por Tempo Determinado</v>
      </c>
      <c r="B661" s="628"/>
      <c r="C661" s="631"/>
      <c r="D661" s="632">
        <v>331900400000000</v>
      </c>
      <c r="E661" s="696" t="s">
        <v>1012</v>
      </c>
      <c r="F661" s="696">
        <v>6</v>
      </c>
      <c r="G661" s="696" t="s">
        <v>5596</v>
      </c>
      <c r="I661" s="696"/>
      <c r="J661" s="688"/>
      <c r="K661" s="689"/>
    </row>
    <row r="662" spans="1:11" s="691" customFormat="1" ht="20.100000000000001" customHeight="1" x14ac:dyDescent="0.2">
      <c r="A662" s="695" t="str">
        <f t="shared" si="7"/>
        <v>331900401000000  Professores Substitutos/visitantes</v>
      </c>
      <c r="B662" s="628"/>
      <c r="C662" s="631"/>
      <c r="D662" s="632">
        <v>331900401000000</v>
      </c>
      <c r="E662" s="696" t="s">
        <v>4812</v>
      </c>
      <c r="F662" s="696">
        <v>7</v>
      </c>
      <c r="G662" s="696" t="s">
        <v>5596</v>
      </c>
      <c r="I662" s="696"/>
      <c r="J662" s="688"/>
      <c r="K662" s="689"/>
    </row>
    <row r="663" spans="1:11" s="691" customFormat="1" ht="20.100000000000001" customHeight="1" x14ac:dyDescent="0.2">
      <c r="A663" s="695" t="str">
        <f t="shared" si="7"/>
        <v>331900401010000  Contratacao Por Tempo Determinado-professores No Efetivo Exercicio Do</v>
      </c>
      <c r="B663" s="628"/>
      <c r="C663" s="631"/>
      <c r="D663" s="632">
        <v>331900401010000</v>
      </c>
      <c r="E663" s="696" t="s">
        <v>4813</v>
      </c>
      <c r="F663" s="696">
        <v>8</v>
      </c>
      <c r="G663" s="696" t="s">
        <v>5597</v>
      </c>
      <c r="I663" s="696"/>
      <c r="J663" s="688"/>
      <c r="K663" s="689"/>
    </row>
    <row r="664" spans="1:11" s="691" customFormat="1" ht="20.100000000000001" customHeight="1" x14ac:dyDescent="0.2">
      <c r="A664" s="695" t="str">
        <f t="shared" si="7"/>
        <v>331900401020000  Contratacao Por Tempo Determinado De Professores</v>
      </c>
      <c r="B664" s="628"/>
      <c r="C664" s="631"/>
      <c r="D664" s="632">
        <v>331900401020000</v>
      </c>
      <c r="E664" s="696" t="s">
        <v>1164</v>
      </c>
      <c r="F664" s="696">
        <v>8</v>
      </c>
      <c r="G664" s="696" t="s">
        <v>5597</v>
      </c>
      <c r="I664" s="696"/>
      <c r="J664" s="688"/>
      <c r="K664" s="689"/>
    </row>
    <row r="665" spans="1:11" s="691" customFormat="1" ht="20.100000000000001" customHeight="1" x14ac:dyDescent="0.2">
      <c r="A665" s="695" t="str">
        <f t="shared" si="7"/>
        <v>331900415000000  Obrigacoes Patronais</v>
      </c>
      <c r="B665" s="628"/>
      <c r="C665" s="631"/>
      <c r="D665" s="632">
        <v>331900415000000</v>
      </c>
      <c r="E665" s="696" t="s">
        <v>1011</v>
      </c>
      <c r="F665" s="696">
        <v>7</v>
      </c>
      <c r="G665" s="696" t="s">
        <v>5597</v>
      </c>
      <c r="I665" s="696"/>
      <c r="J665" s="688"/>
      <c r="K665" s="689"/>
    </row>
    <row r="666" spans="1:11" s="691" customFormat="1" ht="20.100000000000001" customHeight="1" x14ac:dyDescent="0.2">
      <c r="A666" s="695" t="str">
        <f t="shared" si="7"/>
        <v>331900415010000  Obrigações Patronais - Camara de Vereadores</v>
      </c>
      <c r="B666" s="628"/>
      <c r="C666" s="631"/>
      <c r="D666" s="632">
        <v>331900415010000</v>
      </c>
      <c r="E666" s="696" t="s">
        <v>4814</v>
      </c>
      <c r="F666" s="696">
        <v>8</v>
      </c>
      <c r="G666" s="696" t="s">
        <v>5597</v>
      </c>
      <c r="I666" s="696" t="s">
        <v>5600</v>
      </c>
      <c r="J666" s="688"/>
      <c r="K666" s="689"/>
    </row>
    <row r="667" spans="1:11" s="691" customFormat="1" ht="20.100000000000001" customHeight="1" x14ac:dyDescent="0.2">
      <c r="A667" s="695" t="str">
        <f t="shared" si="7"/>
        <v>331900415020000  Obrigações Patronais - Poder Executivo</v>
      </c>
      <c r="B667" s="628"/>
      <c r="C667" s="631"/>
      <c r="D667" s="632">
        <v>331900415020000</v>
      </c>
      <c r="E667" s="696" t="s">
        <v>4815</v>
      </c>
      <c r="F667" s="696">
        <v>8</v>
      </c>
      <c r="G667" s="696" t="s">
        <v>5597</v>
      </c>
      <c r="I667" s="696" t="s">
        <v>5600</v>
      </c>
      <c r="J667" s="688"/>
      <c r="K667" s="689"/>
    </row>
    <row r="668" spans="1:11" s="691" customFormat="1" ht="20.100000000000001" customHeight="1" x14ac:dyDescent="0.2">
      <c r="A668" s="695" t="str">
        <f t="shared" si="7"/>
        <v>331900415020100  Obrigações patronais - Gab. Prefeito</v>
      </c>
      <c r="B668" s="628"/>
      <c r="C668" s="631"/>
      <c r="D668" s="632">
        <v>331900415020100</v>
      </c>
      <c r="E668" s="696" t="s">
        <v>4816</v>
      </c>
      <c r="F668" s="696">
        <v>9</v>
      </c>
      <c r="G668" s="696" t="s">
        <v>5597</v>
      </c>
      <c r="I668" s="696" t="s">
        <v>5600</v>
      </c>
      <c r="J668" s="688"/>
      <c r="K668" s="689"/>
    </row>
    <row r="669" spans="1:11" s="691" customFormat="1" ht="20.100000000000001" customHeight="1" x14ac:dyDescent="0.2">
      <c r="A669" s="695" t="str">
        <f t="shared" si="7"/>
        <v>331900415020200  Obrigações patronais - Sec. Administracao</v>
      </c>
      <c r="B669" s="628"/>
      <c r="C669" s="631"/>
      <c r="D669" s="632">
        <v>331900415020200</v>
      </c>
      <c r="E669" s="696" t="s">
        <v>4817</v>
      </c>
      <c r="F669" s="696">
        <v>9</v>
      </c>
      <c r="G669" s="696" t="s">
        <v>5597</v>
      </c>
      <c r="I669" s="696" t="s">
        <v>5600</v>
      </c>
      <c r="J669" s="688"/>
      <c r="K669" s="689"/>
    </row>
    <row r="670" spans="1:11" s="691" customFormat="1" ht="20.100000000000001" customHeight="1" x14ac:dyDescent="0.2">
      <c r="A670" s="695" t="str">
        <f t="shared" si="7"/>
        <v>331900415020300  Obrigações patronais - Sec. Fazenda</v>
      </c>
      <c r="B670" s="628"/>
      <c r="C670" s="631"/>
      <c r="D670" s="632">
        <v>331900415020300</v>
      </c>
      <c r="E670" s="696" t="s">
        <v>4818</v>
      </c>
      <c r="F670" s="696">
        <v>9</v>
      </c>
      <c r="G670" s="696" t="s">
        <v>5597</v>
      </c>
      <c r="I670" s="696" t="s">
        <v>5600</v>
      </c>
      <c r="J670" s="688"/>
      <c r="K670" s="689"/>
    </row>
    <row r="671" spans="1:11" s="691" customFormat="1" ht="20.100000000000001" customHeight="1" x14ac:dyDescent="0.2">
      <c r="A671" s="695" t="str">
        <f t="shared" si="7"/>
        <v>331900499000000  Outras Contratacoes Por Tempo Determinado</v>
      </c>
      <c r="B671" s="628"/>
      <c r="C671" s="631"/>
      <c r="D671" s="632">
        <v>331900499000000</v>
      </c>
      <c r="E671" s="696" t="s">
        <v>4819</v>
      </c>
      <c r="F671" s="696">
        <v>7</v>
      </c>
      <c r="G671" s="696" t="s">
        <v>5596</v>
      </c>
      <c r="I671" s="696"/>
      <c r="J671" s="688"/>
      <c r="K671" s="689"/>
    </row>
    <row r="672" spans="1:11" s="691" customFormat="1" ht="20.100000000000001" customHeight="1" x14ac:dyDescent="0.2">
      <c r="A672" s="695" t="str">
        <f t="shared" si="7"/>
        <v>331900499010000  Contratacao Por Tempo Determinado De Profissionais Da Saude</v>
      </c>
      <c r="B672" s="628"/>
      <c r="C672" s="631"/>
      <c r="D672" s="632">
        <v>331900499010000</v>
      </c>
      <c r="E672" s="696" t="s">
        <v>4820</v>
      </c>
      <c r="F672" s="696">
        <v>8</v>
      </c>
      <c r="G672" s="696" t="s">
        <v>5597</v>
      </c>
      <c r="I672" s="696"/>
      <c r="J672" s="688"/>
      <c r="K672" s="689"/>
    </row>
    <row r="673" spans="1:11" s="691" customFormat="1" ht="20.100000000000001" customHeight="1" x14ac:dyDescent="0.2">
      <c r="A673" s="695" t="str">
        <f t="shared" si="7"/>
        <v>331900499020000  Contrato Por Tempo Determinado - Executivo</v>
      </c>
      <c r="B673" s="628"/>
      <c r="C673" s="631"/>
      <c r="D673" s="632">
        <v>331900499020000</v>
      </c>
      <c r="E673" s="696" t="s">
        <v>1010</v>
      </c>
      <c r="F673" s="696">
        <v>8</v>
      </c>
      <c r="G673" s="696" t="s">
        <v>5597</v>
      </c>
      <c r="I673" s="696"/>
      <c r="J673" s="688"/>
      <c r="K673" s="689"/>
    </row>
    <row r="674" spans="1:11" s="691" customFormat="1" ht="20.100000000000001" customHeight="1" x14ac:dyDescent="0.2">
      <c r="A674" s="695" t="str">
        <f t="shared" si="7"/>
        <v>331900499030000  Contrato Por Tempo Determinado - Legislativo</v>
      </c>
      <c r="B674" s="628"/>
      <c r="C674" s="631"/>
      <c r="D674" s="632">
        <v>331900499030000</v>
      </c>
      <c r="E674" s="696" t="s">
        <v>4821</v>
      </c>
      <c r="F674" s="696">
        <v>8</v>
      </c>
      <c r="G674" s="696" t="s">
        <v>5597</v>
      </c>
      <c r="I674" s="696" t="s">
        <v>5600</v>
      </c>
      <c r="J674" s="688"/>
      <c r="K674" s="689"/>
    </row>
    <row r="675" spans="1:11" s="691" customFormat="1" ht="20.100000000000001" customHeight="1" x14ac:dyDescent="0.2">
      <c r="A675" s="695" t="str">
        <f t="shared" si="7"/>
        <v>331900499030100  Vencimentos Serv. Contratados - Legislativo</v>
      </c>
      <c r="B675" s="628"/>
      <c r="C675" s="631"/>
      <c r="D675" s="632">
        <v>331900499030100</v>
      </c>
      <c r="E675" s="696" t="s">
        <v>4822</v>
      </c>
      <c r="F675" s="696">
        <v>9</v>
      </c>
      <c r="G675" s="696" t="s">
        <v>5597</v>
      </c>
      <c r="I675" s="696" t="s">
        <v>5600</v>
      </c>
      <c r="J675" s="688"/>
      <c r="K675" s="689"/>
    </row>
    <row r="676" spans="1:11" s="691" customFormat="1" ht="20.100000000000001" customHeight="1" x14ac:dyDescent="0.2">
      <c r="A676" s="695" t="str">
        <f t="shared" si="7"/>
        <v>331900499030200  Férias Rescisão - Legislativo</v>
      </c>
      <c r="B676" s="628"/>
      <c r="C676" s="631"/>
      <c r="D676" s="632">
        <v>331900499030200</v>
      </c>
      <c r="E676" s="696" t="s">
        <v>4823</v>
      </c>
      <c r="F676" s="696">
        <v>9</v>
      </c>
      <c r="G676" s="696" t="s">
        <v>5597</v>
      </c>
      <c r="I676" s="696" t="s">
        <v>5600</v>
      </c>
      <c r="J676" s="688"/>
      <c r="K676" s="689"/>
    </row>
    <row r="677" spans="1:11" s="691" customFormat="1" ht="20.100000000000001" customHeight="1" x14ac:dyDescent="0.2">
      <c r="A677" s="695" t="str">
        <f t="shared" si="7"/>
        <v>331900499030300  13º Salário Rescisão - Legislativo</v>
      </c>
      <c r="B677" s="628"/>
      <c r="C677" s="631"/>
      <c r="D677" s="632">
        <v>331900499030300</v>
      </c>
      <c r="E677" s="696" t="s">
        <v>4824</v>
      </c>
      <c r="F677" s="696">
        <v>9</v>
      </c>
      <c r="G677" s="696" t="s">
        <v>5597</v>
      </c>
      <c r="I677" s="696" t="s">
        <v>5600</v>
      </c>
      <c r="J677" s="688"/>
      <c r="K677" s="689"/>
    </row>
    <row r="678" spans="1:11" s="691" customFormat="1" ht="20.100000000000001" customHeight="1" x14ac:dyDescent="0.2">
      <c r="A678" s="695" t="str">
        <f t="shared" si="7"/>
        <v>331900499040000  Salário Maternidade Patronal</v>
      </c>
      <c r="B678" s="628"/>
      <c r="C678" s="631"/>
      <c r="D678" s="632">
        <v>331900499040000</v>
      </c>
      <c r="E678" s="696" t="s">
        <v>4825</v>
      </c>
      <c r="F678" s="696">
        <v>8</v>
      </c>
      <c r="G678" s="696" t="s">
        <v>5597</v>
      </c>
      <c r="I678" s="696" t="s">
        <v>5600</v>
      </c>
      <c r="J678" s="688"/>
      <c r="K678" s="689"/>
    </row>
    <row r="679" spans="1:11" s="691" customFormat="1" ht="20.100000000000001" customHeight="1" x14ac:dyDescent="0.2">
      <c r="A679" s="695" t="str">
        <f t="shared" si="7"/>
        <v>331900500000000  Outros Beneficios Previdenciarios</v>
      </c>
      <c r="B679" s="628"/>
      <c r="C679" s="631"/>
      <c r="D679" s="632">
        <v>331900500000000</v>
      </c>
      <c r="E679" s="696" t="s">
        <v>4826</v>
      </c>
      <c r="F679" s="696">
        <v>6</v>
      </c>
      <c r="G679" s="696" t="s">
        <v>5596</v>
      </c>
      <c r="I679" s="696"/>
      <c r="J679" s="688"/>
      <c r="K679" s="689"/>
    </row>
    <row r="680" spans="1:11" s="691" customFormat="1" ht="20.100000000000001" customHeight="1" x14ac:dyDescent="0.2">
      <c r="A680" s="695" t="str">
        <f t="shared" si="7"/>
        <v>331900500010000  Outros Beneficios Previdenciarios - Pessoal Ativo</v>
      </c>
      <c r="B680" s="628"/>
      <c r="C680" s="631"/>
      <c r="D680" s="632">
        <v>331900500010000</v>
      </c>
      <c r="E680" s="696" t="s">
        <v>4827</v>
      </c>
      <c r="F680" s="696">
        <v>8</v>
      </c>
      <c r="G680" s="696" t="s">
        <v>5596</v>
      </c>
      <c r="I680" s="696"/>
      <c r="J680" s="688"/>
      <c r="K680" s="689"/>
    </row>
    <row r="681" spans="1:11" s="691" customFormat="1" ht="20.100000000000001" customHeight="1" x14ac:dyDescent="0.2">
      <c r="A681" s="695" t="str">
        <f t="shared" si="7"/>
        <v>331900500010100  Auxilio-doenca - Pessoal Ativo</v>
      </c>
      <c r="B681" s="628"/>
      <c r="C681" s="631"/>
      <c r="D681" s="632">
        <v>331900500010100</v>
      </c>
      <c r="E681" s="696" t="s">
        <v>4828</v>
      </c>
      <c r="F681" s="696">
        <v>9</v>
      </c>
      <c r="G681" s="696" t="s">
        <v>5597</v>
      </c>
      <c r="I681" s="696"/>
      <c r="J681" s="688"/>
      <c r="K681" s="689"/>
    </row>
    <row r="682" spans="1:11" s="691" customFormat="1" ht="20.100000000000001" customHeight="1" x14ac:dyDescent="0.2">
      <c r="A682" s="695" t="str">
        <f t="shared" si="7"/>
        <v>331900500010200  Auxilio-reclusao - Pessoal Ativo</v>
      </c>
      <c r="B682" s="628"/>
      <c r="C682" s="631"/>
      <c r="D682" s="632">
        <v>331900500010200</v>
      </c>
      <c r="E682" s="696" t="s">
        <v>4829</v>
      </c>
      <c r="F682" s="696">
        <v>9</v>
      </c>
      <c r="G682" s="696" t="s">
        <v>5597</v>
      </c>
      <c r="I682" s="696"/>
      <c r="J682" s="688"/>
      <c r="K682" s="689"/>
    </row>
    <row r="683" spans="1:11" s="691" customFormat="1" ht="20.100000000000001" customHeight="1" x14ac:dyDescent="0.2">
      <c r="A683" s="695" t="str">
        <f t="shared" si="7"/>
        <v>331900500010300  Salario Maternidade - Pessoal Ativo</v>
      </c>
      <c r="B683" s="628"/>
      <c r="C683" s="631"/>
      <c r="D683" s="632">
        <v>331900500010300</v>
      </c>
      <c r="E683" s="696" t="s">
        <v>4830</v>
      </c>
      <c r="F683" s="696">
        <v>9</v>
      </c>
      <c r="G683" s="696" t="s">
        <v>5597</v>
      </c>
      <c r="I683" s="696"/>
      <c r="J683" s="688"/>
      <c r="K683" s="689"/>
    </row>
    <row r="684" spans="1:11" s="691" customFormat="1" ht="20.100000000000001" customHeight="1" x14ac:dyDescent="0.2">
      <c r="A684" s="695" t="str">
        <f t="shared" si="7"/>
        <v>331900500010400  Auxilio-acidente</v>
      </c>
      <c r="B684" s="628"/>
      <c r="C684" s="631"/>
      <c r="D684" s="632">
        <v>331900500010400</v>
      </c>
      <c r="E684" s="696" t="s">
        <v>4831</v>
      </c>
      <c r="F684" s="696">
        <v>9</v>
      </c>
      <c r="G684" s="696" t="s">
        <v>5597</v>
      </c>
      <c r="I684" s="696"/>
      <c r="J684" s="688"/>
      <c r="K684" s="689"/>
    </row>
    <row r="685" spans="1:11" s="691" customFormat="1" ht="20.100000000000001" customHeight="1" x14ac:dyDescent="0.2">
      <c r="A685" s="695" t="str">
        <f t="shared" si="7"/>
        <v>331900500010500  Salario-familia De Segurados</v>
      </c>
      <c r="B685" s="628"/>
      <c r="C685" s="631"/>
      <c r="D685" s="632">
        <v>331900500010500</v>
      </c>
      <c r="E685" s="696" t="s">
        <v>4832</v>
      </c>
      <c r="F685" s="696">
        <v>9</v>
      </c>
      <c r="G685" s="696" t="s">
        <v>5597</v>
      </c>
      <c r="I685" s="696"/>
      <c r="J685" s="688"/>
      <c r="K685" s="689"/>
    </row>
    <row r="686" spans="1:11" s="691" customFormat="1" ht="20.100000000000001" customHeight="1" x14ac:dyDescent="0.2">
      <c r="A686" s="695" t="str">
        <f t="shared" si="7"/>
        <v>331900500010600  Abono Anual  13° Salario</v>
      </c>
      <c r="B686" s="628"/>
      <c r="C686" s="631"/>
      <c r="D686" s="632">
        <v>331900500010600</v>
      </c>
      <c r="E686" s="696" t="s">
        <v>4833</v>
      </c>
      <c r="F686" s="696">
        <v>9</v>
      </c>
      <c r="G686" s="696" t="s">
        <v>5597</v>
      </c>
      <c r="I686" s="696"/>
      <c r="J686" s="688"/>
      <c r="K686" s="689"/>
    </row>
    <row r="687" spans="1:11" s="691" customFormat="1" ht="20.100000000000001" customHeight="1" x14ac:dyDescent="0.2">
      <c r="A687" s="695" t="str">
        <f t="shared" si="7"/>
        <v>331900500019900  Outros Beneficios Previdenciarios</v>
      </c>
      <c r="B687" s="628"/>
      <c r="C687" s="631"/>
      <c r="D687" s="632">
        <v>331900500019900</v>
      </c>
      <c r="E687" s="696" t="s">
        <v>4826</v>
      </c>
      <c r="F687" s="696">
        <v>9</v>
      </c>
      <c r="G687" s="696" t="s">
        <v>5597</v>
      </c>
      <c r="I687" s="696"/>
      <c r="J687" s="688"/>
      <c r="K687" s="689"/>
    </row>
    <row r="688" spans="1:11" s="691" customFormat="1" ht="20.100000000000001" customHeight="1" x14ac:dyDescent="0.2">
      <c r="A688" s="695" t="str">
        <f t="shared" si="7"/>
        <v>331900500020000  Outros Beneficios Previdenciarios - Pessoal Inativo</v>
      </c>
      <c r="B688" s="628"/>
      <c r="C688" s="631"/>
      <c r="D688" s="632">
        <v>331900500020000</v>
      </c>
      <c r="E688" s="696" t="s">
        <v>4834</v>
      </c>
      <c r="F688" s="696">
        <v>8</v>
      </c>
      <c r="G688" s="696" t="s">
        <v>5596</v>
      </c>
      <c r="I688" s="696"/>
      <c r="J688" s="688"/>
      <c r="K688" s="689"/>
    </row>
    <row r="689" spans="1:11" s="691" customFormat="1" ht="20.100000000000001" customHeight="1" x14ac:dyDescent="0.2">
      <c r="A689" s="695" t="str">
        <f t="shared" ref="A689:A752" si="8">CONCATENATE(D689,"  ",E689,)</f>
        <v>331900500020100  Auxilio-doenca - Pessoal Inativo</v>
      </c>
      <c r="B689" s="628"/>
      <c r="C689" s="631"/>
      <c r="D689" s="632">
        <v>331900500020100</v>
      </c>
      <c r="E689" s="696" t="s">
        <v>4835</v>
      </c>
      <c r="F689" s="696">
        <v>9</v>
      </c>
      <c r="G689" s="696" t="s">
        <v>5597</v>
      </c>
      <c r="I689" s="696"/>
      <c r="J689" s="688"/>
      <c r="K689" s="689"/>
    </row>
    <row r="690" spans="1:11" s="691" customFormat="1" ht="20.100000000000001" customHeight="1" x14ac:dyDescent="0.2">
      <c r="A690" s="695" t="str">
        <f t="shared" si="8"/>
        <v>331900500020200  Auxilio-reclusao - Pessoal Inativo</v>
      </c>
      <c r="B690" s="628"/>
      <c r="C690" s="631"/>
      <c r="D690" s="632">
        <v>331900500020200</v>
      </c>
      <c r="E690" s="696" t="s">
        <v>4836</v>
      </c>
      <c r="F690" s="696">
        <v>9</v>
      </c>
      <c r="G690" s="696" t="s">
        <v>5597</v>
      </c>
      <c r="I690" s="696"/>
      <c r="J690" s="688"/>
      <c r="K690" s="689"/>
    </row>
    <row r="691" spans="1:11" s="691" customFormat="1" ht="20.100000000000001" customHeight="1" x14ac:dyDescent="0.2">
      <c r="A691" s="695" t="str">
        <f t="shared" si="8"/>
        <v>331900500020300  Salario Maternidade - Pessoal Inativo</v>
      </c>
      <c r="B691" s="628"/>
      <c r="C691" s="631"/>
      <c r="D691" s="632">
        <v>331900500020300</v>
      </c>
      <c r="E691" s="696" t="s">
        <v>4837</v>
      </c>
      <c r="F691" s="696">
        <v>9</v>
      </c>
      <c r="G691" s="696" t="s">
        <v>5597</v>
      </c>
      <c r="I691" s="696"/>
      <c r="J691" s="688"/>
      <c r="K691" s="689"/>
    </row>
    <row r="692" spans="1:11" s="691" customFormat="1" ht="20.100000000000001" customHeight="1" x14ac:dyDescent="0.2">
      <c r="A692" s="695" t="str">
        <f t="shared" si="8"/>
        <v>331900500020400  Auxilio-acidente</v>
      </c>
      <c r="B692" s="628"/>
      <c r="C692" s="631"/>
      <c r="D692" s="632">
        <v>331900500020400</v>
      </c>
      <c r="E692" s="696" t="s">
        <v>4831</v>
      </c>
      <c r="F692" s="696">
        <v>9</v>
      </c>
      <c r="G692" s="696" t="s">
        <v>5597</v>
      </c>
      <c r="I692" s="696"/>
      <c r="J692" s="688"/>
      <c r="K692" s="689"/>
    </row>
    <row r="693" spans="1:11" s="691" customFormat="1" ht="20.100000000000001" customHeight="1" x14ac:dyDescent="0.2">
      <c r="A693" s="695" t="str">
        <f t="shared" si="8"/>
        <v>331900500020500  Salario-familia De Segurados</v>
      </c>
      <c r="B693" s="628"/>
      <c r="C693" s="631"/>
      <c r="D693" s="632">
        <v>331900500020500</v>
      </c>
      <c r="E693" s="696" t="s">
        <v>4832</v>
      </c>
      <c r="F693" s="696">
        <v>9</v>
      </c>
      <c r="G693" s="696" t="s">
        <v>5597</v>
      </c>
      <c r="I693" s="696"/>
      <c r="J693" s="688"/>
      <c r="K693" s="689"/>
    </row>
    <row r="694" spans="1:11" s="691" customFormat="1" ht="20.100000000000001" customHeight="1" x14ac:dyDescent="0.2">
      <c r="A694" s="695" t="str">
        <f t="shared" si="8"/>
        <v>331900500020600  Abono Anual  13° Salario</v>
      </c>
      <c r="B694" s="628"/>
      <c r="C694" s="631"/>
      <c r="D694" s="632">
        <v>331900500020600</v>
      </c>
      <c r="E694" s="696" t="s">
        <v>4833</v>
      </c>
      <c r="F694" s="696">
        <v>9</v>
      </c>
      <c r="G694" s="696" t="s">
        <v>5597</v>
      </c>
      <c r="I694" s="696"/>
      <c r="J694" s="688"/>
      <c r="K694" s="689"/>
    </row>
    <row r="695" spans="1:11" s="691" customFormat="1" ht="20.100000000000001" customHeight="1" x14ac:dyDescent="0.2">
      <c r="A695" s="695" t="str">
        <f t="shared" si="8"/>
        <v>331900500029900  Outros Beneficios Previdenciarios</v>
      </c>
      <c r="B695" s="628"/>
      <c r="C695" s="631"/>
      <c r="D695" s="632">
        <v>331900500029900</v>
      </c>
      <c r="E695" s="696" t="s">
        <v>4826</v>
      </c>
      <c r="F695" s="696">
        <v>9</v>
      </c>
      <c r="G695" s="696" t="s">
        <v>5597</v>
      </c>
      <c r="I695" s="696"/>
      <c r="J695" s="688"/>
      <c r="K695" s="689"/>
    </row>
    <row r="696" spans="1:11" s="691" customFormat="1" ht="20.100000000000001" customHeight="1" x14ac:dyDescent="0.2">
      <c r="A696" s="695" t="str">
        <f t="shared" si="8"/>
        <v>331900500030000  Outros Beneficios Previdenciarios - Pensionistas</v>
      </c>
      <c r="B696" s="628"/>
      <c r="C696" s="631"/>
      <c r="D696" s="632">
        <v>331900500030000</v>
      </c>
      <c r="E696" s="696" t="s">
        <v>4838</v>
      </c>
      <c r="F696" s="696">
        <v>8</v>
      </c>
      <c r="G696" s="696" t="s">
        <v>5596</v>
      </c>
      <c r="I696" s="696"/>
      <c r="J696" s="688"/>
      <c r="K696" s="689"/>
    </row>
    <row r="697" spans="1:11" s="691" customFormat="1" ht="20.100000000000001" customHeight="1" x14ac:dyDescent="0.2">
      <c r="A697" s="695" t="str">
        <f t="shared" si="8"/>
        <v>331900500030100  Auxilio-doenca - Pensionistas</v>
      </c>
      <c r="B697" s="628"/>
      <c r="C697" s="631"/>
      <c r="D697" s="632">
        <v>331900500030100</v>
      </c>
      <c r="E697" s="696" t="s">
        <v>4839</v>
      </c>
      <c r="F697" s="696">
        <v>9</v>
      </c>
      <c r="G697" s="696" t="s">
        <v>5597</v>
      </c>
      <c r="I697" s="696"/>
      <c r="J697" s="688"/>
      <c r="K697" s="689"/>
    </row>
    <row r="698" spans="1:11" s="691" customFormat="1" ht="20.100000000000001" customHeight="1" x14ac:dyDescent="0.2">
      <c r="A698" s="695" t="str">
        <f t="shared" si="8"/>
        <v>331900500030200  Auxilio-reclusao - Pensionistas</v>
      </c>
      <c r="B698" s="628"/>
      <c r="C698" s="631"/>
      <c r="D698" s="632">
        <v>331900500030200</v>
      </c>
      <c r="E698" s="696" t="s">
        <v>4840</v>
      </c>
      <c r="F698" s="696">
        <v>9</v>
      </c>
      <c r="G698" s="696" t="s">
        <v>5597</v>
      </c>
      <c r="I698" s="696"/>
      <c r="J698" s="688"/>
      <c r="K698" s="689"/>
    </row>
    <row r="699" spans="1:11" s="691" customFormat="1" ht="20.100000000000001" customHeight="1" x14ac:dyDescent="0.2">
      <c r="A699" s="695" t="str">
        <f t="shared" si="8"/>
        <v>331900500030300  Salario Maternidade - Pensionistas</v>
      </c>
      <c r="B699" s="628"/>
      <c r="C699" s="631"/>
      <c r="D699" s="632">
        <v>331900500030300</v>
      </c>
      <c r="E699" s="696" t="s">
        <v>4841</v>
      </c>
      <c r="F699" s="696">
        <v>9</v>
      </c>
      <c r="G699" s="696" t="s">
        <v>5597</v>
      </c>
      <c r="I699" s="696"/>
      <c r="J699" s="688"/>
      <c r="K699" s="689"/>
    </row>
    <row r="700" spans="1:11" s="691" customFormat="1" ht="20.100000000000001" customHeight="1" x14ac:dyDescent="0.2">
      <c r="A700" s="695" t="str">
        <f t="shared" si="8"/>
        <v>331900500030400  Auxilio-acidente</v>
      </c>
      <c r="B700" s="628"/>
      <c r="C700" s="631"/>
      <c r="D700" s="632">
        <v>331900500030400</v>
      </c>
      <c r="E700" s="696" t="s">
        <v>4831</v>
      </c>
      <c r="F700" s="696">
        <v>9</v>
      </c>
      <c r="G700" s="696" t="s">
        <v>5597</v>
      </c>
      <c r="I700" s="696"/>
      <c r="J700" s="688"/>
      <c r="K700" s="689"/>
    </row>
    <row r="701" spans="1:11" s="691" customFormat="1" ht="20.100000000000001" customHeight="1" x14ac:dyDescent="0.2">
      <c r="A701" s="695" t="str">
        <f t="shared" si="8"/>
        <v>331900500030500  Salario-familia De Segurados</v>
      </c>
      <c r="B701" s="628"/>
      <c r="C701" s="631"/>
      <c r="D701" s="632">
        <v>331900500030500</v>
      </c>
      <c r="E701" s="696" t="s">
        <v>4832</v>
      </c>
      <c r="F701" s="696">
        <v>9</v>
      </c>
      <c r="G701" s="696" t="s">
        <v>5597</v>
      </c>
      <c r="I701" s="696"/>
      <c r="J701" s="688"/>
      <c r="K701" s="689"/>
    </row>
    <row r="702" spans="1:11" s="691" customFormat="1" ht="20.100000000000001" customHeight="1" x14ac:dyDescent="0.2">
      <c r="A702" s="695" t="str">
        <f t="shared" si="8"/>
        <v>331900500030600  Abono Anual  13° Salario</v>
      </c>
      <c r="B702" s="628"/>
      <c r="C702" s="631"/>
      <c r="D702" s="632">
        <v>331900500030600</v>
      </c>
      <c r="E702" s="696" t="s">
        <v>4833</v>
      </c>
      <c r="F702" s="696">
        <v>9</v>
      </c>
      <c r="G702" s="696" t="s">
        <v>5597</v>
      </c>
      <c r="I702" s="696"/>
      <c r="J702" s="688"/>
      <c r="K702" s="689"/>
    </row>
    <row r="703" spans="1:11" s="691" customFormat="1" ht="20.100000000000001" customHeight="1" x14ac:dyDescent="0.2">
      <c r="A703" s="695" t="str">
        <f t="shared" si="8"/>
        <v>331900500039900  Outros Beneficios Previdenciarios</v>
      </c>
      <c r="B703" s="628"/>
      <c r="C703" s="631"/>
      <c r="D703" s="632">
        <v>331900500039900</v>
      </c>
      <c r="E703" s="696" t="s">
        <v>4826</v>
      </c>
      <c r="F703" s="696">
        <v>9</v>
      </c>
      <c r="G703" s="696" t="s">
        <v>5597</v>
      </c>
      <c r="I703" s="696"/>
      <c r="J703" s="688"/>
      <c r="K703" s="689"/>
    </row>
    <row r="704" spans="1:11" s="691" customFormat="1" ht="20.100000000000001" customHeight="1" x14ac:dyDescent="0.2">
      <c r="A704" s="695" t="str">
        <f t="shared" si="8"/>
        <v>331900700000000  Contribuicao  A Entidades Fechadas De Previdencia</v>
      </c>
      <c r="B704" s="628"/>
      <c r="C704" s="631"/>
      <c r="D704" s="632">
        <v>331900700000000</v>
      </c>
      <c r="E704" s="696" t="s">
        <v>5601</v>
      </c>
      <c r="F704" s="696">
        <v>6</v>
      </c>
      <c r="G704" s="696" t="s">
        <v>5596</v>
      </c>
      <c r="I704" s="696"/>
      <c r="J704" s="688"/>
      <c r="K704" s="689"/>
    </row>
    <row r="705" spans="1:11" s="691" customFormat="1" ht="20.100000000000001" customHeight="1" x14ac:dyDescent="0.2">
      <c r="A705" s="695" t="str">
        <f t="shared" si="8"/>
        <v>331900701000000  Complementacao De Previdencia</v>
      </c>
      <c r="B705" s="628"/>
      <c r="C705" s="631"/>
      <c r="D705" s="632">
        <v>331900701000000</v>
      </c>
      <c r="E705" s="696" t="s">
        <v>4842</v>
      </c>
      <c r="F705" s="696">
        <v>7</v>
      </c>
      <c r="G705" s="696" t="s">
        <v>5597</v>
      </c>
      <c r="I705" s="696"/>
      <c r="J705" s="688"/>
      <c r="K705" s="689"/>
    </row>
    <row r="706" spans="1:11" s="691" customFormat="1" ht="20.100000000000001" customHeight="1" x14ac:dyDescent="0.2">
      <c r="A706" s="695" t="str">
        <f t="shared" si="8"/>
        <v>331900703000000  Contribuicao  Patronal Previdencia Privada</v>
      </c>
      <c r="B706" s="628"/>
      <c r="C706" s="631"/>
      <c r="D706" s="632">
        <v>331900703000000</v>
      </c>
      <c r="E706" s="696" t="s">
        <v>5602</v>
      </c>
      <c r="F706" s="696">
        <v>7</v>
      </c>
      <c r="G706" s="696" t="s">
        <v>5597</v>
      </c>
      <c r="I706" s="696"/>
      <c r="J706" s="688"/>
      <c r="K706" s="689"/>
    </row>
    <row r="707" spans="1:11" s="691" customFormat="1" ht="20.100000000000001" customHeight="1" x14ac:dyDescent="0.2">
      <c r="A707" s="695" t="str">
        <f t="shared" si="8"/>
        <v>331900799000000  Outras Contribuicoes</v>
      </c>
      <c r="B707" s="628"/>
      <c r="C707" s="631"/>
      <c r="D707" s="632">
        <v>331900799000000</v>
      </c>
      <c r="E707" s="696" t="s">
        <v>4843</v>
      </c>
      <c r="F707" s="696">
        <v>7</v>
      </c>
      <c r="G707" s="696" t="s">
        <v>5597</v>
      </c>
      <c r="I707" s="696"/>
      <c r="J707" s="688"/>
      <c r="K707" s="689"/>
    </row>
    <row r="708" spans="1:11" s="691" customFormat="1" ht="20.100000000000001" customHeight="1" x14ac:dyDescent="0.2">
      <c r="A708" s="695" t="str">
        <f t="shared" si="8"/>
        <v>331900800000000  Outros Beneficios Assistenciais</v>
      </c>
      <c r="B708" s="628"/>
      <c r="C708" s="631"/>
      <c r="D708" s="632">
        <v>331900800000000</v>
      </c>
      <c r="E708" s="696" t="s">
        <v>1020</v>
      </c>
      <c r="F708" s="696">
        <v>6</v>
      </c>
      <c r="G708" s="696" t="s">
        <v>5596</v>
      </c>
      <c r="I708" s="696"/>
      <c r="J708" s="688"/>
      <c r="K708" s="689"/>
    </row>
    <row r="709" spans="1:11" s="691" customFormat="1" ht="20.100000000000001" customHeight="1" x14ac:dyDescent="0.2">
      <c r="A709" s="695" t="str">
        <f t="shared" si="8"/>
        <v>331900801000000  Auxilio Funeral Ativo Civil</v>
      </c>
      <c r="B709" s="628"/>
      <c r="C709" s="631"/>
      <c r="D709" s="632">
        <v>331900801000000</v>
      </c>
      <c r="E709" s="696" t="s">
        <v>4844</v>
      </c>
      <c r="F709" s="696">
        <v>7</v>
      </c>
      <c r="G709" s="696" t="s">
        <v>5597</v>
      </c>
      <c r="I709" s="696"/>
      <c r="J709" s="688"/>
      <c r="K709" s="689"/>
    </row>
    <row r="710" spans="1:11" s="691" customFormat="1" ht="20.100000000000001" customHeight="1" x14ac:dyDescent="0.2">
      <c r="A710" s="695" t="str">
        <f t="shared" si="8"/>
        <v>331900803000000  Auxilio Funeral Inativo Civil</v>
      </c>
      <c r="B710" s="628"/>
      <c r="C710" s="631"/>
      <c r="D710" s="632">
        <v>331900803000000</v>
      </c>
      <c r="E710" s="696" t="s">
        <v>4845</v>
      </c>
      <c r="F710" s="696">
        <v>7</v>
      </c>
      <c r="G710" s="696" t="s">
        <v>5597</v>
      </c>
      <c r="I710" s="696"/>
      <c r="J710" s="688"/>
      <c r="K710" s="689"/>
    </row>
    <row r="711" spans="1:11" s="691" customFormat="1" ht="20.100000000000001" customHeight="1" x14ac:dyDescent="0.2">
      <c r="A711" s="695" t="str">
        <f t="shared" si="8"/>
        <v>331900805000000  Auxilio Natalidade Ativo Civil</v>
      </c>
      <c r="B711" s="628"/>
      <c r="C711" s="631"/>
      <c r="D711" s="632">
        <v>331900805000000</v>
      </c>
      <c r="E711" s="696" t="s">
        <v>4846</v>
      </c>
      <c r="F711" s="696">
        <v>7</v>
      </c>
      <c r="G711" s="696" t="s">
        <v>5597</v>
      </c>
      <c r="I711" s="696"/>
      <c r="J711" s="688"/>
      <c r="K711" s="689"/>
    </row>
    <row r="712" spans="1:11" s="691" customFormat="1" ht="20.100000000000001" customHeight="1" x14ac:dyDescent="0.2">
      <c r="A712" s="695" t="str">
        <f t="shared" si="8"/>
        <v>331900807000000  Auxilio Natalidade Inativo Civil</v>
      </c>
      <c r="B712" s="628"/>
      <c r="C712" s="631"/>
      <c r="D712" s="632">
        <v>331900807000000</v>
      </c>
      <c r="E712" s="696" t="s">
        <v>4847</v>
      </c>
      <c r="F712" s="696">
        <v>7</v>
      </c>
      <c r="G712" s="696" t="s">
        <v>5597</v>
      </c>
      <c r="I712" s="696"/>
      <c r="J712" s="688"/>
      <c r="K712" s="689"/>
    </row>
    <row r="713" spans="1:11" s="691" customFormat="1" ht="20.100000000000001" customHeight="1" x14ac:dyDescent="0.2">
      <c r="A713" s="695" t="str">
        <f t="shared" si="8"/>
        <v>331900809000000  Auxilio Reclusao Ativo Civil</v>
      </c>
      <c r="B713" s="628"/>
      <c r="C713" s="631"/>
      <c r="D713" s="632">
        <v>331900809000000</v>
      </c>
      <c r="E713" s="696" t="s">
        <v>4848</v>
      </c>
      <c r="F713" s="696">
        <v>7</v>
      </c>
      <c r="G713" s="696" t="s">
        <v>5597</v>
      </c>
      <c r="I713" s="696"/>
      <c r="J713" s="688"/>
      <c r="K713" s="689"/>
    </row>
    <row r="714" spans="1:11" s="691" customFormat="1" ht="20.100000000000001" customHeight="1" x14ac:dyDescent="0.2">
      <c r="A714" s="695" t="str">
        <f t="shared" si="8"/>
        <v>331900811000000  Auxilio Reclusao Inativo Civil</v>
      </c>
      <c r="B714" s="628"/>
      <c r="C714" s="631"/>
      <c r="D714" s="632">
        <v>331900811000000</v>
      </c>
      <c r="E714" s="696" t="s">
        <v>4849</v>
      </c>
      <c r="F714" s="696">
        <v>7</v>
      </c>
      <c r="G714" s="696" t="s">
        <v>5597</v>
      </c>
      <c r="I714" s="696"/>
      <c r="J714" s="688"/>
      <c r="K714" s="689"/>
    </row>
    <row r="715" spans="1:11" s="691" customFormat="1" ht="20.100000000000001" customHeight="1" x14ac:dyDescent="0.2">
      <c r="A715" s="695" t="str">
        <f t="shared" si="8"/>
        <v>331900813000000  Auxilio Funeral Pensionista Civil</v>
      </c>
      <c r="B715" s="628"/>
      <c r="C715" s="631"/>
      <c r="D715" s="632">
        <v>331900813000000</v>
      </c>
      <c r="E715" s="696" t="s">
        <v>4850</v>
      </c>
      <c r="F715" s="696">
        <v>7</v>
      </c>
      <c r="G715" s="696" t="s">
        <v>5597</v>
      </c>
      <c r="I715" s="696"/>
      <c r="J715" s="688"/>
      <c r="K715" s="689"/>
    </row>
    <row r="716" spans="1:11" s="691" customFormat="1" ht="20.100000000000001" customHeight="1" x14ac:dyDescent="0.2">
      <c r="A716" s="695" t="str">
        <f t="shared" si="8"/>
        <v>331900815000000  Auxilio Reclusao Pensionista Civil</v>
      </c>
      <c r="B716" s="628"/>
      <c r="C716" s="631"/>
      <c r="D716" s="632">
        <v>331900815000000</v>
      </c>
      <c r="E716" s="696" t="s">
        <v>4851</v>
      </c>
      <c r="F716" s="696">
        <v>7</v>
      </c>
      <c r="G716" s="696" t="s">
        <v>5597</v>
      </c>
      <c r="I716" s="696"/>
      <c r="J716" s="688"/>
      <c r="K716" s="689"/>
    </row>
    <row r="717" spans="1:11" s="691" customFormat="1" ht="20.100000000000001" customHeight="1" x14ac:dyDescent="0.2">
      <c r="A717" s="695" t="str">
        <f t="shared" si="8"/>
        <v>331900818000000  Auxilio Natalidade Pensionista Civil</v>
      </c>
      <c r="B717" s="628"/>
      <c r="C717" s="631"/>
      <c r="D717" s="632">
        <v>331900818000000</v>
      </c>
      <c r="E717" s="696" t="s">
        <v>4852</v>
      </c>
      <c r="F717" s="696">
        <v>7</v>
      </c>
      <c r="G717" s="696" t="s">
        <v>5597</v>
      </c>
      <c r="I717" s="696"/>
      <c r="J717" s="688"/>
      <c r="K717" s="689"/>
    </row>
    <row r="718" spans="1:11" s="691" customFormat="1" ht="20.100000000000001" customHeight="1" x14ac:dyDescent="0.2">
      <c r="A718" s="695" t="str">
        <f t="shared" si="8"/>
        <v>331900899000000  Outros Beneficios Assistenciais</v>
      </c>
      <c r="B718" s="628"/>
      <c r="C718" s="631"/>
      <c r="D718" s="632">
        <v>331900899000000</v>
      </c>
      <c r="E718" s="696" t="s">
        <v>1020</v>
      </c>
      <c r="F718" s="696">
        <v>7</v>
      </c>
      <c r="G718" s="696" t="s">
        <v>5596</v>
      </c>
      <c r="I718" s="696"/>
      <c r="J718" s="688"/>
      <c r="K718" s="689"/>
    </row>
    <row r="719" spans="1:11" s="691" customFormat="1" ht="20.100000000000001" customHeight="1" x14ac:dyDescent="0.2">
      <c r="A719" s="695" t="str">
        <f t="shared" si="8"/>
        <v>331900899010000  Auxilio Creche</v>
      </c>
      <c r="B719" s="628"/>
      <c r="C719" s="631"/>
      <c r="D719" s="632">
        <v>331900899010000</v>
      </c>
      <c r="E719" s="696" t="s">
        <v>4853</v>
      </c>
      <c r="F719" s="696">
        <v>8</v>
      </c>
      <c r="G719" s="696" t="s">
        <v>5597</v>
      </c>
      <c r="I719" s="696"/>
      <c r="J719" s="688"/>
      <c r="K719" s="689"/>
    </row>
    <row r="720" spans="1:11" s="691" customFormat="1" ht="20.100000000000001" customHeight="1" x14ac:dyDescent="0.2">
      <c r="A720" s="695" t="str">
        <f t="shared" si="8"/>
        <v>331900899020000  Assistencia Pre-escolar</v>
      </c>
      <c r="B720" s="628"/>
      <c r="C720" s="631"/>
      <c r="D720" s="632">
        <v>331900899020000</v>
      </c>
      <c r="E720" s="696" t="s">
        <v>4854</v>
      </c>
      <c r="F720" s="696">
        <v>8</v>
      </c>
      <c r="G720" s="696" t="s">
        <v>5597</v>
      </c>
      <c r="I720" s="696"/>
      <c r="J720" s="688"/>
      <c r="K720" s="689"/>
    </row>
    <row r="721" spans="1:11" s="691" customFormat="1" ht="20.100000000000001" customHeight="1" x14ac:dyDescent="0.2">
      <c r="A721" s="695" t="str">
        <f t="shared" si="8"/>
        <v>331900899030000  Auxilio Invalidez</v>
      </c>
      <c r="B721" s="628"/>
      <c r="C721" s="631"/>
      <c r="D721" s="632">
        <v>331900899030000</v>
      </c>
      <c r="E721" s="696" t="s">
        <v>4855</v>
      </c>
      <c r="F721" s="696">
        <v>8</v>
      </c>
      <c r="G721" s="696" t="s">
        <v>5597</v>
      </c>
      <c r="I721" s="696"/>
      <c r="J721" s="688"/>
      <c r="K721" s="689"/>
    </row>
    <row r="722" spans="1:11" s="691" customFormat="1" ht="20.100000000000001" customHeight="1" x14ac:dyDescent="0.2">
      <c r="A722" s="695" t="str">
        <f t="shared" si="8"/>
        <v>331900899040000  Contribuicao Da Entidade P/ O Atendimento A Saude Do Servidor</v>
      </c>
      <c r="B722" s="628"/>
      <c r="C722" s="631"/>
      <c r="D722" s="632">
        <v>331900899040000</v>
      </c>
      <c r="E722" s="696" t="s">
        <v>1257</v>
      </c>
      <c r="F722" s="696">
        <v>8</v>
      </c>
      <c r="G722" s="696" t="s">
        <v>5597</v>
      </c>
      <c r="I722" s="696"/>
      <c r="J722" s="688"/>
      <c r="K722" s="689"/>
    </row>
    <row r="723" spans="1:11" s="691" customFormat="1" ht="20.100000000000001" customHeight="1" x14ac:dyDescent="0.2">
      <c r="A723" s="695" t="str">
        <f t="shared" si="8"/>
        <v>331900899040100  Contribuicao P/ O Atendimento a Saude Do Servidor - Poder Legislativo</v>
      </c>
      <c r="B723" s="628"/>
      <c r="C723" s="631"/>
      <c r="D723" s="632">
        <v>331900899040100</v>
      </c>
      <c r="E723" s="696" t="s">
        <v>4856</v>
      </c>
      <c r="F723" s="696">
        <v>9</v>
      </c>
      <c r="G723" s="696" t="s">
        <v>5597</v>
      </c>
      <c r="I723" s="696" t="s">
        <v>5600</v>
      </c>
      <c r="J723" s="688"/>
      <c r="K723" s="689"/>
    </row>
    <row r="724" spans="1:11" s="691" customFormat="1" ht="20.100000000000001" customHeight="1" x14ac:dyDescent="0.2">
      <c r="A724" s="695" t="str">
        <f t="shared" si="8"/>
        <v>331900900000000  Salario-familia</v>
      </c>
      <c r="B724" s="628"/>
      <c r="C724" s="631"/>
      <c r="D724" s="632">
        <v>331900900000000</v>
      </c>
      <c r="E724" s="696" t="s">
        <v>4857</v>
      </c>
      <c r="F724" s="696">
        <v>6</v>
      </c>
      <c r="G724" s="696" t="s">
        <v>5596</v>
      </c>
      <c r="I724" s="696"/>
      <c r="J724" s="688"/>
      <c r="K724" s="689"/>
    </row>
    <row r="725" spans="1:11" s="691" customFormat="1" ht="20.100000000000001" customHeight="1" x14ac:dyDescent="0.2">
      <c r="A725" s="695" t="str">
        <f t="shared" si="8"/>
        <v>331900901000000  Salario Familia - Ativo Pessoal Civil</v>
      </c>
      <c r="B725" s="628"/>
      <c r="C725" s="631"/>
      <c r="D725" s="632">
        <v>331900901000000</v>
      </c>
      <c r="E725" s="696" t="s">
        <v>4858</v>
      </c>
      <c r="F725" s="696">
        <v>7</v>
      </c>
      <c r="G725" s="696" t="s">
        <v>5596</v>
      </c>
      <c r="I725" s="696"/>
      <c r="J725" s="688"/>
      <c r="K725" s="689"/>
    </row>
    <row r="726" spans="1:11" s="691" customFormat="1" ht="20.100000000000001" customHeight="1" x14ac:dyDescent="0.2">
      <c r="A726" s="695" t="str">
        <f t="shared" si="8"/>
        <v>331900901010000  Salario-familia Dos Servidores</v>
      </c>
      <c r="B726" s="628"/>
      <c r="C726" s="631"/>
      <c r="D726" s="632">
        <v>331900901010000</v>
      </c>
      <c r="E726" s="696" t="s">
        <v>4859</v>
      </c>
      <c r="F726" s="696">
        <v>8</v>
      </c>
      <c r="G726" s="696" t="s">
        <v>5597</v>
      </c>
      <c r="I726" s="696"/>
      <c r="J726" s="688"/>
      <c r="K726" s="689"/>
    </row>
    <row r="727" spans="1:11" s="691" customFormat="1" ht="20.100000000000001" customHeight="1" x14ac:dyDescent="0.2">
      <c r="A727" s="695" t="str">
        <f t="shared" si="8"/>
        <v>331900901020000  Salario-familia-profesores No Efetivo Exercicio  Do Magisterio (60% Fu</v>
      </c>
      <c r="B727" s="628"/>
      <c r="C727" s="631"/>
      <c r="D727" s="632">
        <v>331900901020000</v>
      </c>
      <c r="E727" s="696" t="s">
        <v>5603</v>
      </c>
      <c r="F727" s="696">
        <v>8</v>
      </c>
      <c r="G727" s="696" t="s">
        <v>5597</v>
      </c>
      <c r="I727" s="696"/>
      <c r="J727" s="688"/>
      <c r="K727" s="689"/>
    </row>
    <row r="728" spans="1:11" s="691" customFormat="1" ht="20.100000000000001" customHeight="1" x14ac:dyDescent="0.2">
      <c r="A728" s="695" t="str">
        <f t="shared" si="8"/>
        <v>331900902000000  Salario Familia-inativo Pessoal Civil</v>
      </c>
      <c r="B728" s="628"/>
      <c r="C728" s="631"/>
      <c r="D728" s="632">
        <v>331900902000000</v>
      </c>
      <c r="E728" s="696" t="s">
        <v>4860</v>
      </c>
      <c r="F728" s="696">
        <v>7</v>
      </c>
      <c r="G728" s="696" t="s">
        <v>5597</v>
      </c>
      <c r="I728" s="696"/>
      <c r="J728" s="688"/>
      <c r="K728" s="689"/>
    </row>
    <row r="729" spans="1:11" s="691" customFormat="1" ht="20.100000000000001" customHeight="1" x14ac:dyDescent="0.2">
      <c r="A729" s="695" t="str">
        <f t="shared" si="8"/>
        <v>331900905000000  Salario Familia-pensionista Pessoal Civil</v>
      </c>
      <c r="B729" s="628"/>
      <c r="C729" s="631"/>
      <c r="D729" s="632">
        <v>331900905000000</v>
      </c>
      <c r="E729" s="696" t="s">
        <v>4861</v>
      </c>
      <c r="F729" s="696">
        <v>7</v>
      </c>
      <c r="G729" s="696" t="s">
        <v>5597</v>
      </c>
      <c r="I729" s="696"/>
      <c r="J729" s="688"/>
      <c r="K729" s="689"/>
    </row>
    <row r="730" spans="1:11" s="691" customFormat="1" ht="20.100000000000001" customHeight="1" x14ac:dyDescent="0.2">
      <c r="A730" s="695" t="str">
        <f t="shared" si="8"/>
        <v>331900999000000  Outros Salarios-familia</v>
      </c>
      <c r="B730" s="628"/>
      <c r="C730" s="631"/>
      <c r="D730" s="632">
        <v>331900999000000</v>
      </c>
      <c r="E730" s="696" t="s">
        <v>4862</v>
      </c>
      <c r="F730" s="696">
        <v>7</v>
      </c>
      <c r="G730" s="696" t="s">
        <v>5597</v>
      </c>
      <c r="I730" s="696"/>
      <c r="J730" s="688"/>
      <c r="K730" s="689"/>
    </row>
    <row r="731" spans="1:11" s="691" customFormat="1" ht="20.100000000000001" customHeight="1" x14ac:dyDescent="0.2">
      <c r="A731" s="695" t="str">
        <f t="shared" si="8"/>
        <v>331901100000000  Vencimentos E Vantagens Fixas - Pessoal Civil</v>
      </c>
      <c r="B731" s="628"/>
      <c r="C731" s="631"/>
      <c r="D731" s="632">
        <v>331901100000000</v>
      </c>
      <c r="E731" s="696" t="s">
        <v>1009</v>
      </c>
      <c r="F731" s="696">
        <v>6</v>
      </c>
      <c r="G731" s="696" t="s">
        <v>5596</v>
      </c>
      <c r="I731" s="696"/>
      <c r="J731" s="688"/>
      <c r="K731" s="689"/>
    </row>
    <row r="732" spans="1:11" s="691" customFormat="1" ht="20.100000000000001" customHeight="1" x14ac:dyDescent="0.2">
      <c r="A732" s="695" t="str">
        <f t="shared" si="8"/>
        <v>331901101000000  Vencimentos E Salarios</v>
      </c>
      <c r="B732" s="628"/>
      <c r="C732" s="631"/>
      <c r="D732" s="632">
        <v>331901101000000</v>
      </c>
      <c r="E732" s="696" t="s">
        <v>4863</v>
      </c>
      <c r="F732" s="696">
        <v>7</v>
      </c>
      <c r="G732" s="696" t="s">
        <v>5596</v>
      </c>
      <c r="I732" s="696"/>
      <c r="J732" s="688"/>
      <c r="K732" s="689"/>
    </row>
    <row r="733" spans="1:11" s="691" customFormat="1" ht="20.100000000000001" customHeight="1" x14ac:dyDescent="0.2">
      <c r="A733" s="695" t="str">
        <f t="shared" si="8"/>
        <v>331901101010000  Vencimentos E Vantagens Fixas - Servidores</v>
      </c>
      <c r="B733" s="628"/>
      <c r="C733" s="631"/>
      <c r="D733" s="632">
        <v>331901101010000</v>
      </c>
      <c r="E733" s="696" t="s">
        <v>1050</v>
      </c>
      <c r="F733" s="696">
        <v>8</v>
      </c>
      <c r="G733" s="696" t="s">
        <v>5597</v>
      </c>
      <c r="I733" s="696"/>
      <c r="J733" s="688"/>
      <c r="K733" s="689"/>
    </row>
    <row r="734" spans="1:11" s="691" customFormat="1" ht="20.100000000000001" customHeight="1" x14ac:dyDescent="0.2">
      <c r="A734" s="695" t="str">
        <f t="shared" si="8"/>
        <v>331901101010100  Vencimentos E Vantagens Fixas - Poder Legislativo</v>
      </c>
      <c r="B734" s="628"/>
      <c r="C734" s="631"/>
      <c r="D734" s="632">
        <v>331901101010100</v>
      </c>
      <c r="E734" s="696" t="s">
        <v>4864</v>
      </c>
      <c r="F734" s="696">
        <v>9</v>
      </c>
      <c r="G734" s="696" t="s">
        <v>5597</v>
      </c>
      <c r="I734" s="696" t="s">
        <v>5600</v>
      </c>
      <c r="J734" s="688"/>
      <c r="K734" s="689"/>
    </row>
    <row r="735" spans="1:11" s="691" customFormat="1" ht="20.100000000000001" customHeight="1" x14ac:dyDescent="0.2">
      <c r="A735" s="695" t="str">
        <f t="shared" si="8"/>
        <v>331901101010101  Vencimentos e Vantagens Fixas - Servidores Efetivos</v>
      </c>
      <c r="B735" s="628"/>
      <c r="C735" s="631"/>
      <c r="D735" s="632">
        <v>331901101010101</v>
      </c>
      <c r="E735" s="696" t="s">
        <v>4865</v>
      </c>
      <c r="F735" s="696">
        <v>9</v>
      </c>
      <c r="G735" s="696" t="s">
        <v>5597</v>
      </c>
      <c r="I735" s="696" t="s">
        <v>5600</v>
      </c>
      <c r="J735" s="688"/>
      <c r="K735" s="689"/>
    </row>
    <row r="736" spans="1:11" s="691" customFormat="1" ht="20.100000000000001" customHeight="1" x14ac:dyDescent="0.2">
      <c r="A736" s="695" t="str">
        <f t="shared" si="8"/>
        <v>331901101010102  Vencimentos e Vantagens Fixas - Servidores C.C.</v>
      </c>
      <c r="B736" s="628"/>
      <c r="C736" s="631"/>
      <c r="D736" s="632">
        <v>331901101010102</v>
      </c>
      <c r="E736" s="696" t="s">
        <v>4866</v>
      </c>
      <c r="F736" s="696">
        <v>9</v>
      </c>
      <c r="G736" s="696" t="s">
        <v>5597</v>
      </c>
      <c r="I736" s="696" t="s">
        <v>5600</v>
      </c>
      <c r="J736" s="688"/>
      <c r="K736" s="689"/>
    </row>
    <row r="737" spans="1:11" s="691" customFormat="1" ht="20.100000000000001" customHeight="1" x14ac:dyDescent="0.2">
      <c r="A737" s="695" t="str">
        <f t="shared" si="8"/>
        <v>331901101010200  Vencimentos e Vantagens Fixas - Servidores Efetivos do Poder Executivo</v>
      </c>
      <c r="B737" s="628"/>
      <c r="C737" s="631"/>
      <c r="D737" s="632">
        <v>331901101010200</v>
      </c>
      <c r="E737" s="696" t="s">
        <v>4867</v>
      </c>
      <c r="F737" s="696">
        <v>9</v>
      </c>
      <c r="G737" s="696" t="s">
        <v>5597</v>
      </c>
      <c r="I737" s="696" t="s">
        <v>5600</v>
      </c>
      <c r="J737" s="688"/>
      <c r="K737" s="689"/>
    </row>
    <row r="738" spans="1:11" s="691" customFormat="1" ht="20.100000000000001" customHeight="1" x14ac:dyDescent="0.2">
      <c r="A738" s="695" t="str">
        <f t="shared" si="8"/>
        <v>331901101010201  Servidores Efetivos</v>
      </c>
      <c r="B738" s="628"/>
      <c r="C738" s="631"/>
      <c r="D738" s="632">
        <v>331901101010201</v>
      </c>
      <c r="E738" s="696" t="s">
        <v>2141</v>
      </c>
      <c r="F738" s="696">
        <v>9</v>
      </c>
      <c r="G738" s="696" t="s">
        <v>5597</v>
      </c>
      <c r="I738" s="696" t="s">
        <v>5600</v>
      </c>
      <c r="J738" s="688"/>
      <c r="K738" s="689"/>
    </row>
    <row r="739" spans="1:11" s="691" customFormat="1" ht="20.100000000000001" customHeight="1" x14ac:dyDescent="0.2">
      <c r="A739" s="695" t="str">
        <f t="shared" si="8"/>
        <v>331901101010202  Servidores C.C.</v>
      </c>
      <c r="B739" s="628"/>
      <c r="C739" s="631"/>
      <c r="D739" s="632">
        <v>331901101010202</v>
      </c>
      <c r="E739" s="696" t="s">
        <v>2142</v>
      </c>
      <c r="F739" s="696">
        <v>9</v>
      </c>
      <c r="G739" s="696" t="s">
        <v>5597</v>
      </c>
      <c r="I739" s="696" t="s">
        <v>5600</v>
      </c>
      <c r="J739" s="688"/>
      <c r="K739" s="689"/>
    </row>
    <row r="740" spans="1:11" s="691" customFormat="1" ht="20.100000000000001" customHeight="1" x14ac:dyDescent="0.2">
      <c r="A740" s="695" t="str">
        <f t="shared" si="8"/>
        <v>331901101010203  Vencimentos Sec. Mun. Fazenda</v>
      </c>
      <c r="B740" s="628"/>
      <c r="C740" s="631"/>
      <c r="D740" s="632">
        <v>331901101010203</v>
      </c>
      <c r="E740" s="696" t="s">
        <v>4868</v>
      </c>
      <c r="F740" s="696">
        <v>9</v>
      </c>
      <c r="G740" s="696" t="s">
        <v>5597</v>
      </c>
      <c r="I740" s="696" t="s">
        <v>5600</v>
      </c>
      <c r="J740" s="688"/>
      <c r="K740" s="689"/>
    </row>
    <row r="741" spans="1:11" s="691" customFormat="1" ht="20.100000000000001" customHeight="1" x14ac:dyDescent="0.2">
      <c r="A741" s="695" t="str">
        <f t="shared" si="8"/>
        <v>331901101010300  Vencimentos e Vantagens Fixas - Servidores C.C. do Poder Executivo</v>
      </c>
      <c r="B741" s="628"/>
      <c r="C741" s="631"/>
      <c r="D741" s="632">
        <v>331901101010300</v>
      </c>
      <c r="E741" s="696" t="s">
        <v>4869</v>
      </c>
      <c r="F741" s="696">
        <v>9</v>
      </c>
      <c r="G741" s="696" t="s">
        <v>5597</v>
      </c>
      <c r="I741" s="696" t="s">
        <v>5600</v>
      </c>
      <c r="J741" s="688"/>
      <c r="K741" s="689"/>
    </row>
    <row r="742" spans="1:11" s="691" customFormat="1" ht="20.100000000000001" customHeight="1" x14ac:dyDescent="0.2">
      <c r="A742" s="695" t="str">
        <f t="shared" si="8"/>
        <v>331901101020000  Vencimentos E Vantagens Fixas-professores No Efetivo Exercicio Do Magi</v>
      </c>
      <c r="B742" s="628"/>
      <c r="C742" s="631"/>
      <c r="D742" s="632">
        <v>331901101020000</v>
      </c>
      <c r="E742" s="696" t="s">
        <v>1166</v>
      </c>
      <c r="F742" s="696">
        <v>8</v>
      </c>
      <c r="G742" s="696" t="s">
        <v>5597</v>
      </c>
      <c r="I742" s="696"/>
      <c r="J742" s="688"/>
      <c r="K742" s="689"/>
    </row>
    <row r="743" spans="1:11" s="691" customFormat="1" ht="20.100000000000001" customHeight="1" x14ac:dyDescent="0.2">
      <c r="A743" s="695" t="str">
        <f t="shared" si="8"/>
        <v>331901101030000  Vencimentos E Vantagens Fixas-professores - Abono - Fundeb</v>
      </c>
      <c r="B743" s="628"/>
      <c r="C743" s="631"/>
      <c r="D743" s="632">
        <v>331901101030000</v>
      </c>
      <c r="E743" s="696" t="s">
        <v>4870</v>
      </c>
      <c r="F743" s="696">
        <v>8</v>
      </c>
      <c r="G743" s="696" t="s">
        <v>5597</v>
      </c>
      <c r="I743" s="696" t="s">
        <v>5604</v>
      </c>
      <c r="J743" s="688"/>
      <c r="K743" s="689"/>
    </row>
    <row r="744" spans="1:11" s="691" customFormat="1" ht="20.100000000000001" customHeight="1" x14ac:dyDescent="0.2">
      <c r="A744" s="695" t="str">
        <f t="shared" si="8"/>
        <v>331901101040000  Venc. e Vant. Fixas Servidores C.C.</v>
      </c>
      <c r="B744" s="628"/>
      <c r="C744" s="631"/>
      <c r="D744" s="632">
        <v>331901101040000</v>
      </c>
      <c r="E744" s="696" t="s">
        <v>2256</v>
      </c>
      <c r="F744" s="696">
        <v>8</v>
      </c>
      <c r="G744" s="696" t="s">
        <v>5597</v>
      </c>
      <c r="I744" s="696" t="s">
        <v>5600</v>
      </c>
      <c r="J744" s="688"/>
      <c r="K744" s="689"/>
    </row>
    <row r="745" spans="1:11" s="691" customFormat="1" ht="20.100000000000001" customHeight="1" x14ac:dyDescent="0.2">
      <c r="A745" s="695" t="str">
        <f t="shared" si="8"/>
        <v>331901104000000  Adicional Noturno</v>
      </c>
      <c r="B745" s="628"/>
      <c r="C745" s="631"/>
      <c r="D745" s="632">
        <v>331901104000000</v>
      </c>
      <c r="E745" s="696" t="s">
        <v>1008</v>
      </c>
      <c r="F745" s="696">
        <v>7</v>
      </c>
      <c r="G745" s="696" t="s">
        <v>5597</v>
      </c>
      <c r="I745" s="696"/>
      <c r="J745" s="688"/>
      <c r="K745" s="689"/>
    </row>
    <row r="746" spans="1:11" s="691" customFormat="1" ht="20.100000000000001" customHeight="1" x14ac:dyDescent="0.2">
      <c r="A746" s="695" t="str">
        <f t="shared" si="8"/>
        <v>331901105000000  Incorporacoes</v>
      </c>
      <c r="B746" s="628"/>
      <c r="C746" s="631"/>
      <c r="D746" s="632">
        <v>331901105000000</v>
      </c>
      <c r="E746" s="696" t="s">
        <v>4871</v>
      </c>
      <c r="F746" s="696">
        <v>7</v>
      </c>
      <c r="G746" s="696" t="s">
        <v>5597</v>
      </c>
      <c r="I746" s="696"/>
      <c r="J746" s="688"/>
      <c r="K746" s="689"/>
    </row>
    <row r="747" spans="1:11" s="691" customFormat="1" ht="20.100000000000001" customHeight="1" x14ac:dyDescent="0.2">
      <c r="A747" s="695" t="str">
        <f t="shared" si="8"/>
        <v>331901107000000  Abono De Permanencia</v>
      </c>
      <c r="B747" s="628"/>
      <c r="C747" s="631"/>
      <c r="D747" s="632">
        <v>331901107000000</v>
      </c>
      <c r="E747" s="696" t="s">
        <v>4872</v>
      </c>
      <c r="F747" s="696">
        <v>7</v>
      </c>
      <c r="G747" s="696" t="s">
        <v>5597</v>
      </c>
      <c r="I747" s="696"/>
      <c r="J747" s="688"/>
      <c r="K747" s="689"/>
    </row>
    <row r="748" spans="1:11" s="691" customFormat="1" ht="20.100000000000001" customHeight="1" x14ac:dyDescent="0.2">
      <c r="A748" s="695" t="str">
        <f t="shared" si="8"/>
        <v>331901108000000  Adiantamento Pecuniario</v>
      </c>
      <c r="B748" s="628"/>
      <c r="C748" s="631"/>
      <c r="D748" s="632">
        <v>331901108000000</v>
      </c>
      <c r="E748" s="696" t="s">
        <v>4873</v>
      </c>
      <c r="F748" s="696">
        <v>7</v>
      </c>
      <c r="G748" s="696" t="s">
        <v>5597</v>
      </c>
      <c r="I748" s="696"/>
      <c r="J748" s="688"/>
      <c r="K748" s="689"/>
    </row>
    <row r="749" spans="1:11" s="691" customFormat="1" ht="20.100000000000001" customHeight="1" x14ac:dyDescent="0.2">
      <c r="A749" s="695" t="str">
        <f t="shared" si="8"/>
        <v>331901109000000  Adicional De Periculosidade</v>
      </c>
      <c r="B749" s="628"/>
      <c r="C749" s="631"/>
      <c r="D749" s="632">
        <v>331901109000000</v>
      </c>
      <c r="E749" s="696" t="s">
        <v>4874</v>
      </c>
      <c r="F749" s="696">
        <v>7</v>
      </c>
      <c r="G749" s="696" t="s">
        <v>5597</v>
      </c>
      <c r="I749" s="696"/>
      <c r="J749" s="688"/>
      <c r="K749" s="689"/>
    </row>
    <row r="750" spans="1:11" s="691" customFormat="1" ht="20.100000000000001" customHeight="1" x14ac:dyDescent="0.2">
      <c r="A750" s="695" t="str">
        <f t="shared" si="8"/>
        <v>331901110000000  Adicional De Insalubridade</v>
      </c>
      <c r="B750" s="628"/>
      <c r="C750" s="631"/>
      <c r="D750" s="632">
        <v>331901110000000</v>
      </c>
      <c r="E750" s="696" t="s">
        <v>4875</v>
      </c>
      <c r="F750" s="696">
        <v>7</v>
      </c>
      <c r="G750" s="696" t="s">
        <v>5597</v>
      </c>
      <c r="I750" s="696"/>
      <c r="J750" s="688"/>
      <c r="K750" s="689"/>
    </row>
    <row r="751" spans="1:11" s="691" customFormat="1" ht="20.100000000000001" customHeight="1" x14ac:dyDescent="0.2">
      <c r="A751" s="695" t="str">
        <f t="shared" si="8"/>
        <v>331901111000000  Adicional De Atividades Penosas</v>
      </c>
      <c r="B751" s="628"/>
      <c r="C751" s="631"/>
      <c r="D751" s="632">
        <v>331901111000000</v>
      </c>
      <c r="E751" s="696" t="s">
        <v>4876</v>
      </c>
      <c r="F751" s="696">
        <v>7</v>
      </c>
      <c r="G751" s="696" t="s">
        <v>5597</v>
      </c>
      <c r="I751" s="696"/>
      <c r="J751" s="688"/>
      <c r="K751" s="689"/>
    </row>
    <row r="752" spans="1:11" s="691" customFormat="1" ht="20.100000000000001" customHeight="1" x14ac:dyDescent="0.2">
      <c r="A752" s="695" t="str">
        <f t="shared" si="8"/>
        <v>331901130000000  Abono Provisorio - Pessoal Civil</v>
      </c>
      <c r="B752" s="628"/>
      <c r="C752" s="631"/>
      <c r="D752" s="632">
        <v>331901130000000</v>
      </c>
      <c r="E752" s="696" t="s">
        <v>4877</v>
      </c>
      <c r="F752" s="696">
        <v>7</v>
      </c>
      <c r="G752" s="696" t="s">
        <v>5597</v>
      </c>
      <c r="I752" s="696"/>
      <c r="J752" s="688"/>
      <c r="K752" s="689"/>
    </row>
    <row r="753" spans="1:11" s="691" customFormat="1" ht="20.100000000000001" customHeight="1" x14ac:dyDescent="0.2">
      <c r="A753" s="695" t="str">
        <f t="shared" ref="A753:A816" si="9">CONCATENATE(D753,"  ",E753,)</f>
        <v>331901131000000  Gratificacao Por Exercicio De Cargos</v>
      </c>
      <c r="B753" s="628"/>
      <c r="C753" s="631"/>
      <c r="D753" s="632">
        <v>331901131000000</v>
      </c>
      <c r="E753" s="696" t="s">
        <v>4878</v>
      </c>
      <c r="F753" s="696">
        <v>7</v>
      </c>
      <c r="G753" s="696" t="s">
        <v>5597</v>
      </c>
      <c r="I753" s="696"/>
      <c r="J753" s="688"/>
      <c r="K753" s="689"/>
    </row>
    <row r="754" spans="1:11" s="691" customFormat="1" ht="20.100000000000001" customHeight="1" x14ac:dyDescent="0.2">
      <c r="A754" s="695" t="str">
        <f t="shared" si="9"/>
        <v>331901133000000  Gratificacao Por Exercicio De Funcoes</v>
      </c>
      <c r="B754" s="628"/>
      <c r="C754" s="631"/>
      <c r="D754" s="632">
        <v>331901133000000</v>
      </c>
      <c r="E754" s="696" t="s">
        <v>1049</v>
      </c>
      <c r="F754" s="696">
        <v>7</v>
      </c>
      <c r="G754" s="696" t="s">
        <v>5597</v>
      </c>
      <c r="I754" s="696"/>
      <c r="J754" s="688"/>
      <c r="K754" s="689"/>
    </row>
    <row r="755" spans="1:11" s="691" customFormat="1" ht="20.100000000000001" customHeight="1" x14ac:dyDescent="0.2">
      <c r="A755" s="695" t="str">
        <f t="shared" si="9"/>
        <v>331901137000000  Gratificacao De Tempo De Servico</v>
      </c>
      <c r="B755" s="628"/>
      <c r="C755" s="631"/>
      <c r="D755" s="632">
        <v>331901137000000</v>
      </c>
      <c r="E755" s="696" t="s">
        <v>1048</v>
      </c>
      <c r="F755" s="696">
        <v>7</v>
      </c>
      <c r="G755" s="696" t="s">
        <v>5597</v>
      </c>
      <c r="I755" s="696"/>
      <c r="J755" s="688"/>
      <c r="K755" s="689"/>
    </row>
    <row r="756" spans="1:11" s="691" customFormat="1" ht="20.100000000000001" customHeight="1" x14ac:dyDescent="0.2">
      <c r="A756" s="695" t="str">
        <f t="shared" si="9"/>
        <v>331901140000000  Gratificacoes Especiais</v>
      </c>
      <c r="B756" s="628"/>
      <c r="C756" s="631"/>
      <c r="D756" s="632">
        <v>331901140000000</v>
      </c>
      <c r="E756" s="696" t="s">
        <v>4879</v>
      </c>
      <c r="F756" s="696">
        <v>7</v>
      </c>
      <c r="G756" s="696" t="s">
        <v>5597</v>
      </c>
      <c r="I756" s="696"/>
      <c r="J756" s="688"/>
      <c r="K756" s="689"/>
    </row>
    <row r="757" spans="1:11" s="691" customFormat="1" ht="20.100000000000001" customHeight="1" x14ac:dyDescent="0.2">
      <c r="A757" s="695" t="str">
        <f t="shared" si="9"/>
        <v>331901142000000  Ferias Indenizadas</v>
      </c>
      <c r="B757" s="628"/>
      <c r="C757" s="631"/>
      <c r="D757" s="632">
        <v>331901142000000</v>
      </c>
      <c r="E757" s="696" t="s">
        <v>1007</v>
      </c>
      <c r="F757" s="696">
        <v>7</v>
      </c>
      <c r="G757" s="696" t="s">
        <v>5597</v>
      </c>
      <c r="I757" s="696"/>
      <c r="J757" s="688"/>
      <c r="K757" s="689"/>
    </row>
    <row r="758" spans="1:11" s="691" customFormat="1" ht="20.100000000000001" customHeight="1" x14ac:dyDescent="0.2">
      <c r="A758" s="695" t="str">
        <f t="shared" si="9"/>
        <v>331901142010000  Ferias Indenizadas Servidores Efetivos</v>
      </c>
      <c r="B758" s="628"/>
      <c r="C758" s="631"/>
      <c r="D758" s="632">
        <v>331901142010000</v>
      </c>
      <c r="E758" s="696" t="s">
        <v>2144</v>
      </c>
      <c r="F758" s="696">
        <v>8</v>
      </c>
      <c r="G758" s="696" t="s">
        <v>5597</v>
      </c>
      <c r="I758" s="696" t="s">
        <v>5600</v>
      </c>
      <c r="J758" s="688"/>
      <c r="K758" s="689"/>
    </row>
    <row r="759" spans="1:11" s="691" customFormat="1" ht="20.100000000000001" customHeight="1" x14ac:dyDescent="0.2">
      <c r="A759" s="695" t="str">
        <f t="shared" si="9"/>
        <v>331901142010100  Ferias Indenizadas Servidores Efetivos</v>
      </c>
      <c r="B759" s="628"/>
      <c r="C759" s="631"/>
      <c r="D759" s="632">
        <v>331901142010100</v>
      </c>
      <c r="E759" s="696" t="s">
        <v>2144</v>
      </c>
      <c r="F759" s="696">
        <v>9</v>
      </c>
      <c r="G759" s="696" t="s">
        <v>5597</v>
      </c>
      <c r="I759" s="696" t="s">
        <v>5600</v>
      </c>
      <c r="J759" s="688"/>
      <c r="K759" s="689"/>
    </row>
    <row r="760" spans="1:11" s="691" customFormat="1" ht="20.100000000000001" customHeight="1" x14ac:dyDescent="0.2">
      <c r="A760" s="695" t="str">
        <f t="shared" si="9"/>
        <v>331901142010200  Ferias Indenizadas Servidores C.C.</v>
      </c>
      <c r="B760" s="628"/>
      <c r="C760" s="631"/>
      <c r="D760" s="632">
        <v>331901142010200</v>
      </c>
      <c r="E760" s="696" t="s">
        <v>2143</v>
      </c>
      <c r="F760" s="696">
        <v>9</v>
      </c>
      <c r="G760" s="696" t="s">
        <v>5597</v>
      </c>
      <c r="I760" s="696" t="s">
        <v>5600</v>
      </c>
      <c r="J760" s="688"/>
      <c r="K760" s="689"/>
    </row>
    <row r="761" spans="1:11" s="691" customFormat="1" ht="20.100000000000001" customHeight="1" x14ac:dyDescent="0.2">
      <c r="A761" s="695" t="str">
        <f t="shared" si="9"/>
        <v>331901142020000  Ferias Indenizadas Servidores C.C.</v>
      </c>
      <c r="B761" s="628"/>
      <c r="C761" s="631"/>
      <c r="D761" s="632">
        <v>331901142020000</v>
      </c>
      <c r="E761" s="696" t="s">
        <v>2143</v>
      </c>
      <c r="F761" s="696">
        <v>8</v>
      </c>
      <c r="G761" s="696" t="s">
        <v>5597</v>
      </c>
      <c r="I761" s="696" t="s">
        <v>5600</v>
      </c>
      <c r="J761" s="688"/>
      <c r="K761" s="689"/>
    </row>
    <row r="762" spans="1:11" s="691" customFormat="1" ht="20.100000000000001" customHeight="1" x14ac:dyDescent="0.2">
      <c r="A762" s="695" t="str">
        <f t="shared" si="9"/>
        <v>331901142030000  Ferias Indenizadas Agente Politico</v>
      </c>
      <c r="B762" s="628"/>
      <c r="C762" s="631"/>
      <c r="D762" s="632">
        <v>331901142030000</v>
      </c>
      <c r="E762" s="696" t="s">
        <v>4880</v>
      </c>
      <c r="F762" s="696">
        <v>8</v>
      </c>
      <c r="G762" s="696" t="s">
        <v>5597</v>
      </c>
      <c r="I762" s="696" t="s">
        <v>5600</v>
      </c>
      <c r="J762" s="688"/>
      <c r="K762" s="689"/>
    </row>
    <row r="763" spans="1:11" s="691" customFormat="1" ht="20.100000000000001" customHeight="1" x14ac:dyDescent="0.2">
      <c r="A763" s="695" t="str">
        <f t="shared" si="9"/>
        <v>331901142040000  Ferias Indenizadas CLT</v>
      </c>
      <c r="B763" s="628"/>
      <c r="C763" s="631"/>
      <c r="D763" s="632">
        <v>331901142040000</v>
      </c>
      <c r="E763" s="696" t="s">
        <v>4881</v>
      </c>
      <c r="F763" s="696">
        <v>8</v>
      </c>
      <c r="G763" s="696" t="s">
        <v>5597</v>
      </c>
      <c r="I763" s="696" t="s">
        <v>5600</v>
      </c>
      <c r="J763" s="688"/>
      <c r="K763" s="689"/>
    </row>
    <row r="764" spans="1:11" s="691" customFormat="1" ht="20.100000000000001" customHeight="1" x14ac:dyDescent="0.2">
      <c r="A764" s="695" t="str">
        <f t="shared" si="9"/>
        <v>331901143000000  13 Salario</v>
      </c>
      <c r="B764" s="628"/>
      <c r="C764" s="631"/>
      <c r="D764" s="632">
        <v>331901143000000</v>
      </c>
      <c r="E764" s="696" t="s">
        <v>1006</v>
      </c>
      <c r="F764" s="696">
        <v>7</v>
      </c>
      <c r="G764" s="696" t="s">
        <v>5597</v>
      </c>
      <c r="I764" s="696"/>
      <c r="J764" s="688"/>
      <c r="K764" s="689"/>
    </row>
    <row r="765" spans="1:11" s="691" customFormat="1" ht="20.100000000000001" customHeight="1" x14ac:dyDescent="0.2">
      <c r="A765" s="695" t="str">
        <f t="shared" si="9"/>
        <v>331901143010000  13 Salario Servidores Efetivos</v>
      </c>
      <c r="B765" s="628"/>
      <c r="C765" s="631"/>
      <c r="D765" s="632">
        <v>331901143010000</v>
      </c>
      <c r="E765" s="696" t="s">
        <v>2254</v>
      </c>
      <c r="F765" s="696">
        <v>8</v>
      </c>
      <c r="G765" s="696" t="s">
        <v>5597</v>
      </c>
      <c r="I765" s="696" t="s">
        <v>5600</v>
      </c>
      <c r="J765" s="688"/>
      <c r="K765" s="689"/>
    </row>
    <row r="766" spans="1:11" s="691" customFormat="1" ht="20.100000000000001" customHeight="1" x14ac:dyDescent="0.2">
      <c r="A766" s="695" t="str">
        <f t="shared" si="9"/>
        <v>331901143010100  13 Salario Servidores Efetivos</v>
      </c>
      <c r="B766" s="628"/>
      <c r="C766" s="631"/>
      <c r="D766" s="632">
        <v>331901143010100</v>
      </c>
      <c r="E766" s="696" t="s">
        <v>2254</v>
      </c>
      <c r="F766" s="696">
        <v>9</v>
      </c>
      <c r="G766" s="696" t="s">
        <v>5597</v>
      </c>
      <c r="I766" s="696" t="s">
        <v>5600</v>
      </c>
      <c r="J766" s="688"/>
      <c r="K766" s="689"/>
    </row>
    <row r="767" spans="1:11" s="691" customFormat="1" ht="20.100000000000001" customHeight="1" x14ac:dyDescent="0.2">
      <c r="A767" s="695" t="str">
        <f t="shared" si="9"/>
        <v>331901143010200  13 Salario Servidores C.C.</v>
      </c>
      <c r="B767" s="628"/>
      <c r="C767" s="631"/>
      <c r="D767" s="632">
        <v>331901143010200</v>
      </c>
      <c r="E767" s="696" t="s">
        <v>2255</v>
      </c>
      <c r="F767" s="696">
        <v>9</v>
      </c>
      <c r="G767" s="696" t="s">
        <v>5597</v>
      </c>
      <c r="I767" s="696" t="s">
        <v>5600</v>
      </c>
      <c r="J767" s="688"/>
      <c r="K767" s="689"/>
    </row>
    <row r="768" spans="1:11" s="691" customFormat="1" ht="20.100000000000001" customHeight="1" x14ac:dyDescent="0.2">
      <c r="A768" s="695" t="str">
        <f t="shared" si="9"/>
        <v>331901143010300  13 Salario Vereadores</v>
      </c>
      <c r="B768" s="628"/>
      <c r="C768" s="631"/>
      <c r="D768" s="632">
        <v>331901143010300</v>
      </c>
      <c r="E768" s="696" t="s">
        <v>4882</v>
      </c>
      <c r="F768" s="696">
        <v>9</v>
      </c>
      <c r="G768" s="696" t="s">
        <v>5597</v>
      </c>
      <c r="I768" s="696" t="s">
        <v>5600</v>
      </c>
      <c r="J768" s="688"/>
      <c r="K768" s="689"/>
    </row>
    <row r="769" spans="1:11" s="691" customFormat="1" ht="20.100000000000001" customHeight="1" x14ac:dyDescent="0.2">
      <c r="A769" s="695" t="str">
        <f t="shared" si="9"/>
        <v>331901143020000  13º Salario Servidores C.C.</v>
      </c>
      <c r="B769" s="628"/>
      <c r="C769" s="631"/>
      <c r="D769" s="632">
        <v>331901143020000</v>
      </c>
      <c r="E769" s="696" t="s">
        <v>2145</v>
      </c>
      <c r="F769" s="696">
        <v>8</v>
      </c>
      <c r="G769" s="696" t="s">
        <v>5597</v>
      </c>
      <c r="I769" s="696" t="s">
        <v>5600</v>
      </c>
      <c r="J769" s="688"/>
      <c r="K769" s="689"/>
    </row>
    <row r="770" spans="1:11" s="691" customFormat="1" ht="20.100000000000001" customHeight="1" x14ac:dyDescent="0.2">
      <c r="A770" s="695" t="str">
        <f t="shared" si="9"/>
        <v>331901143030000  13º Salario Agente Politico</v>
      </c>
      <c r="B770" s="628"/>
      <c r="C770" s="631"/>
      <c r="D770" s="632">
        <v>331901143030000</v>
      </c>
      <c r="E770" s="696" t="s">
        <v>4883</v>
      </c>
      <c r="F770" s="696">
        <v>8</v>
      </c>
      <c r="G770" s="696" t="s">
        <v>5597</v>
      </c>
      <c r="I770" s="696" t="s">
        <v>5600</v>
      </c>
      <c r="J770" s="688"/>
      <c r="K770" s="689"/>
    </row>
    <row r="771" spans="1:11" s="691" customFormat="1" ht="20.100000000000001" customHeight="1" x14ac:dyDescent="0.2">
      <c r="A771" s="695" t="str">
        <f t="shared" si="9"/>
        <v>331901143040000  13º Salario Vice-Prefeito Municipal</v>
      </c>
      <c r="B771" s="628"/>
      <c r="C771" s="631"/>
      <c r="D771" s="632">
        <v>331901143040000</v>
      </c>
      <c r="E771" s="696" t="s">
        <v>2215</v>
      </c>
      <c r="F771" s="696">
        <v>8</v>
      </c>
      <c r="G771" s="696" t="s">
        <v>5597</v>
      </c>
      <c r="I771" s="696" t="s">
        <v>5600</v>
      </c>
      <c r="J771" s="688"/>
      <c r="K771" s="689"/>
    </row>
    <row r="772" spans="1:11" s="691" customFormat="1" ht="20.100000000000001" customHeight="1" x14ac:dyDescent="0.2">
      <c r="A772" s="695" t="str">
        <f t="shared" si="9"/>
        <v>331901143050000  13º Salario Servidores CLT</v>
      </c>
      <c r="B772" s="628"/>
      <c r="C772" s="631"/>
      <c r="D772" s="632">
        <v>331901143050000</v>
      </c>
      <c r="E772" s="696" t="s">
        <v>4884</v>
      </c>
      <c r="F772" s="696">
        <v>8</v>
      </c>
      <c r="G772" s="696" t="s">
        <v>5597</v>
      </c>
      <c r="I772" s="696" t="s">
        <v>5600</v>
      </c>
      <c r="J772" s="688"/>
      <c r="K772" s="689"/>
    </row>
    <row r="773" spans="1:11" s="691" customFormat="1" ht="20.100000000000001" customHeight="1" x14ac:dyDescent="0.2">
      <c r="A773" s="695" t="str">
        <f t="shared" si="9"/>
        <v>331901144000000  Ferias - Abono Pecuniario</v>
      </c>
      <c r="B773" s="628"/>
      <c r="C773" s="631"/>
      <c r="D773" s="632">
        <v>331901144000000</v>
      </c>
      <c r="E773" s="696" t="s">
        <v>4885</v>
      </c>
      <c r="F773" s="696">
        <v>7</v>
      </c>
      <c r="G773" s="696" t="s">
        <v>5597</v>
      </c>
      <c r="I773" s="696"/>
      <c r="J773" s="688"/>
      <c r="K773" s="689"/>
    </row>
    <row r="774" spans="1:11" s="691" customFormat="1" ht="20.100000000000001" customHeight="1" x14ac:dyDescent="0.2">
      <c r="A774" s="695" t="str">
        <f t="shared" si="9"/>
        <v>331901145000000  Ferias - Abono Constitucional</v>
      </c>
      <c r="B774" s="628"/>
      <c r="C774" s="631"/>
      <c r="D774" s="632">
        <v>331901145000000</v>
      </c>
      <c r="E774" s="696" t="s">
        <v>1047</v>
      </c>
      <c r="F774" s="696">
        <v>7</v>
      </c>
      <c r="G774" s="696" t="s">
        <v>5597</v>
      </c>
      <c r="I774" s="696"/>
      <c r="J774" s="688"/>
      <c r="K774" s="689"/>
    </row>
    <row r="775" spans="1:11" s="691" customFormat="1" ht="20.100000000000001" customHeight="1" x14ac:dyDescent="0.2">
      <c r="A775" s="695" t="str">
        <f t="shared" si="9"/>
        <v>331901145010000  Ferias Servidores Efetivos</v>
      </c>
      <c r="B775" s="628"/>
      <c r="C775" s="631"/>
      <c r="D775" s="632">
        <v>331901145010000</v>
      </c>
      <c r="E775" s="696" t="s">
        <v>2257</v>
      </c>
      <c r="F775" s="696">
        <v>8</v>
      </c>
      <c r="G775" s="696" t="s">
        <v>5597</v>
      </c>
      <c r="I775" s="696" t="s">
        <v>5600</v>
      </c>
      <c r="J775" s="688"/>
      <c r="K775" s="689"/>
    </row>
    <row r="776" spans="1:11" s="691" customFormat="1" ht="20.100000000000001" customHeight="1" x14ac:dyDescent="0.2">
      <c r="A776" s="695" t="str">
        <f t="shared" si="9"/>
        <v>331901145010100  Ferias Servidores Efetivos</v>
      </c>
      <c r="B776" s="628"/>
      <c r="C776" s="631"/>
      <c r="D776" s="632">
        <v>331901145010100</v>
      </c>
      <c r="E776" s="696" t="s">
        <v>2257</v>
      </c>
      <c r="F776" s="696">
        <v>9</v>
      </c>
      <c r="G776" s="696" t="s">
        <v>5596</v>
      </c>
      <c r="I776" s="696" t="s">
        <v>5600</v>
      </c>
      <c r="J776" s="688"/>
      <c r="K776" s="689"/>
    </row>
    <row r="777" spans="1:11" s="691" customFormat="1" ht="20.100000000000001" customHeight="1" x14ac:dyDescent="0.2">
      <c r="A777" s="695" t="str">
        <f t="shared" si="9"/>
        <v>331901145010200  Ferias Servidores C.C.</v>
      </c>
      <c r="B777" s="628"/>
      <c r="C777" s="631"/>
      <c r="D777" s="632">
        <v>331901145010200</v>
      </c>
      <c r="E777" s="696" t="s">
        <v>2147</v>
      </c>
      <c r="F777" s="696">
        <v>9</v>
      </c>
      <c r="G777" s="696" t="s">
        <v>5597</v>
      </c>
      <c r="I777" s="696" t="s">
        <v>5600</v>
      </c>
      <c r="J777" s="688"/>
      <c r="K777" s="689"/>
    </row>
    <row r="778" spans="1:11" s="691" customFormat="1" ht="20.100000000000001" customHeight="1" x14ac:dyDescent="0.2">
      <c r="A778" s="695" t="str">
        <f t="shared" si="9"/>
        <v>331901145020000  Ferias Servidores C.C.</v>
      </c>
      <c r="B778" s="628"/>
      <c r="C778" s="631"/>
      <c r="D778" s="632">
        <v>331901145020000</v>
      </c>
      <c r="E778" s="696" t="s">
        <v>2147</v>
      </c>
      <c r="F778" s="696">
        <v>8</v>
      </c>
      <c r="G778" s="696" t="s">
        <v>5597</v>
      </c>
      <c r="I778" s="696" t="s">
        <v>5600</v>
      </c>
      <c r="J778" s="688"/>
      <c r="K778" s="689"/>
    </row>
    <row r="779" spans="1:11" s="691" customFormat="1" ht="20.100000000000001" customHeight="1" x14ac:dyDescent="0.2">
      <c r="A779" s="695" t="str">
        <f t="shared" si="9"/>
        <v>331901145030000  Ferias Agente Politico</v>
      </c>
      <c r="B779" s="628"/>
      <c r="C779" s="631"/>
      <c r="D779" s="632">
        <v>331901145030000</v>
      </c>
      <c r="E779" s="696" t="s">
        <v>4886</v>
      </c>
      <c r="F779" s="696">
        <v>8</v>
      </c>
      <c r="G779" s="696" t="s">
        <v>5597</v>
      </c>
      <c r="I779" s="696" t="s">
        <v>5600</v>
      </c>
      <c r="J779" s="688"/>
      <c r="K779" s="689"/>
    </row>
    <row r="780" spans="1:11" s="691" customFormat="1" ht="20.100000000000001" customHeight="1" x14ac:dyDescent="0.2">
      <c r="A780" s="695" t="str">
        <f t="shared" si="9"/>
        <v>331901145040000  Ferias Vice-Prefeito Municipal</v>
      </c>
      <c r="B780" s="628"/>
      <c r="C780" s="631"/>
      <c r="D780" s="632">
        <v>331901145040000</v>
      </c>
      <c r="E780" s="696" t="s">
        <v>2216</v>
      </c>
      <c r="F780" s="696">
        <v>8</v>
      </c>
      <c r="G780" s="696" t="s">
        <v>5597</v>
      </c>
      <c r="I780" s="696" t="s">
        <v>5600</v>
      </c>
      <c r="J780" s="688"/>
      <c r="K780" s="689"/>
    </row>
    <row r="781" spans="1:11" s="691" customFormat="1" ht="20.100000000000001" customHeight="1" x14ac:dyDescent="0.2">
      <c r="A781" s="695" t="str">
        <f t="shared" si="9"/>
        <v>331901145050000  Ferias Serv. CLT</v>
      </c>
      <c r="B781" s="628"/>
      <c r="C781" s="631"/>
      <c r="D781" s="632">
        <v>331901145050000</v>
      </c>
      <c r="E781" s="696" t="s">
        <v>4887</v>
      </c>
      <c r="F781" s="696">
        <v>8</v>
      </c>
      <c r="G781" s="696" t="s">
        <v>5597</v>
      </c>
      <c r="I781" s="696" t="s">
        <v>5600</v>
      </c>
      <c r="J781" s="688"/>
      <c r="K781" s="689"/>
    </row>
    <row r="782" spans="1:11" s="691" customFormat="1" ht="20.100000000000001" customHeight="1" x14ac:dyDescent="0.2">
      <c r="A782" s="695" t="str">
        <f t="shared" si="9"/>
        <v>331901146000000  Ferias - Pagamento Antecipado</v>
      </c>
      <c r="B782" s="628"/>
      <c r="C782" s="631"/>
      <c r="D782" s="632">
        <v>331901146000000</v>
      </c>
      <c r="E782" s="696" t="s">
        <v>4888</v>
      </c>
      <c r="F782" s="696">
        <v>7</v>
      </c>
      <c r="G782" s="696" t="s">
        <v>5597</v>
      </c>
      <c r="I782" s="696"/>
      <c r="J782" s="688"/>
      <c r="K782" s="689"/>
    </row>
    <row r="783" spans="1:11" s="691" customFormat="1" ht="20.100000000000001" customHeight="1" x14ac:dyDescent="0.2">
      <c r="A783" s="695" t="str">
        <f t="shared" si="9"/>
        <v>331901147000000  Licenca-premio</v>
      </c>
      <c r="B783" s="628"/>
      <c r="C783" s="631"/>
      <c r="D783" s="632">
        <v>331901147000000</v>
      </c>
      <c r="E783" s="696" t="s">
        <v>4889</v>
      </c>
      <c r="F783" s="696">
        <v>7</v>
      </c>
      <c r="G783" s="696" t="s">
        <v>5597</v>
      </c>
      <c r="I783" s="696"/>
      <c r="J783" s="688"/>
      <c r="K783" s="689"/>
    </row>
    <row r="784" spans="1:11" s="691" customFormat="1" ht="20.100000000000001" customHeight="1" x14ac:dyDescent="0.2">
      <c r="A784" s="695" t="str">
        <f t="shared" si="9"/>
        <v>331901148000000  Licença Prêmio Indenizada (deduz da despesa com pessoal)</v>
      </c>
      <c r="B784" s="628"/>
      <c r="C784" s="631"/>
      <c r="D784" s="632">
        <v>331901148000000</v>
      </c>
      <c r="E784" s="696" t="s">
        <v>4890</v>
      </c>
      <c r="F784" s="696">
        <v>8</v>
      </c>
      <c r="G784" s="696" t="s">
        <v>5597</v>
      </c>
      <c r="I784" s="696" t="s">
        <v>5605</v>
      </c>
      <c r="J784" s="688"/>
      <c r="K784" s="689"/>
    </row>
    <row r="785" spans="1:11" s="691" customFormat="1" ht="20.100000000000001" customHeight="1" x14ac:dyDescent="0.2">
      <c r="A785" s="695" t="str">
        <f t="shared" si="9"/>
        <v>331901149000000  Licenca Capacitacao</v>
      </c>
      <c r="B785" s="628"/>
      <c r="C785" s="631"/>
      <c r="D785" s="632">
        <v>331901149000000</v>
      </c>
      <c r="E785" s="696" t="s">
        <v>4891</v>
      </c>
      <c r="F785" s="696">
        <v>7</v>
      </c>
      <c r="G785" s="696" t="s">
        <v>5597</v>
      </c>
      <c r="I785" s="696"/>
      <c r="J785" s="688"/>
      <c r="K785" s="689"/>
    </row>
    <row r="786" spans="1:11" s="691" customFormat="1" ht="20.100000000000001" customHeight="1" x14ac:dyDescent="0.2">
      <c r="A786" s="695" t="str">
        <f t="shared" si="9"/>
        <v>331901173000000  Remuneração Pela  Participacao Em  Orgaos De  Deliberacao Coletiva</v>
      </c>
      <c r="B786" s="628"/>
      <c r="C786" s="631"/>
      <c r="D786" s="632">
        <v>331901173000000</v>
      </c>
      <c r="E786" s="696" t="s">
        <v>5606</v>
      </c>
      <c r="F786" s="696">
        <v>7</v>
      </c>
      <c r="G786" s="696" t="s">
        <v>5596</v>
      </c>
      <c r="I786" s="696"/>
      <c r="J786" s="688"/>
      <c r="K786" s="689"/>
    </row>
    <row r="787" spans="1:11" s="691" customFormat="1" ht="20.100000000000001" customHeight="1" x14ac:dyDescent="0.2">
      <c r="A787" s="695" t="str">
        <f t="shared" si="9"/>
        <v>331901173010000  Remuneracao Dos Conselheiros Tutelares</v>
      </c>
      <c r="B787" s="628"/>
      <c r="C787" s="631"/>
      <c r="D787" s="632">
        <v>331901173010000</v>
      </c>
      <c r="E787" s="696" t="s">
        <v>1267</v>
      </c>
      <c r="F787" s="696">
        <v>8</v>
      </c>
      <c r="G787" s="696" t="s">
        <v>5597</v>
      </c>
      <c r="I787" s="696"/>
      <c r="J787" s="688"/>
      <c r="K787" s="689"/>
    </row>
    <row r="788" spans="1:11" s="691" customFormat="1" ht="20.100000000000001" customHeight="1" x14ac:dyDescent="0.2">
      <c r="A788" s="695" t="str">
        <f t="shared" si="9"/>
        <v>331901173020000  Remuneracao Dos Integrantes Das Jaris</v>
      </c>
      <c r="B788" s="628"/>
      <c r="C788" s="631"/>
      <c r="D788" s="632">
        <v>331901173020000</v>
      </c>
      <c r="E788" s="696" t="s">
        <v>4892</v>
      </c>
      <c r="F788" s="696">
        <v>8</v>
      </c>
      <c r="G788" s="696" t="s">
        <v>5597</v>
      </c>
      <c r="I788" s="696"/>
      <c r="J788" s="688"/>
      <c r="K788" s="689"/>
    </row>
    <row r="789" spans="1:11" s="691" customFormat="1" ht="20.100000000000001" customHeight="1" x14ac:dyDescent="0.2">
      <c r="A789" s="695" t="str">
        <f t="shared" si="9"/>
        <v>331901174000000  Subsidios</v>
      </c>
      <c r="B789" s="628"/>
      <c r="C789" s="631"/>
      <c r="D789" s="632">
        <v>331901174000000</v>
      </c>
      <c r="E789" s="696" t="s">
        <v>1052</v>
      </c>
      <c r="F789" s="696">
        <v>7</v>
      </c>
      <c r="G789" s="696" t="s">
        <v>5597</v>
      </c>
      <c r="I789" s="696"/>
      <c r="J789" s="688"/>
      <c r="K789" s="689"/>
    </row>
    <row r="790" spans="1:11" s="691" customFormat="1" ht="20.100000000000001" customHeight="1" x14ac:dyDescent="0.2">
      <c r="A790" s="695" t="str">
        <f t="shared" si="9"/>
        <v>331901174010000  Subsidios Poder Legislativo</v>
      </c>
      <c r="B790" s="628"/>
      <c r="C790" s="631"/>
      <c r="D790" s="632">
        <v>331901174010000</v>
      </c>
      <c r="E790" s="696" t="s">
        <v>4893</v>
      </c>
      <c r="F790" s="696">
        <v>8</v>
      </c>
      <c r="G790" s="696" t="s">
        <v>5597</v>
      </c>
      <c r="I790" s="696" t="s">
        <v>5600</v>
      </c>
      <c r="J790" s="688"/>
      <c r="K790" s="689"/>
    </row>
    <row r="791" spans="1:11" s="691" customFormat="1" ht="20.100000000000001" customHeight="1" x14ac:dyDescent="0.2">
      <c r="A791" s="695" t="str">
        <f t="shared" si="9"/>
        <v>331901174010100  Subsidio Presidente da Camara</v>
      </c>
      <c r="B791" s="628"/>
      <c r="C791" s="631"/>
      <c r="D791" s="632">
        <v>331901174010100</v>
      </c>
      <c r="E791" s="696" t="s">
        <v>2148</v>
      </c>
      <c r="F791" s="696">
        <v>9</v>
      </c>
      <c r="G791" s="696" t="s">
        <v>5597</v>
      </c>
      <c r="I791" s="696" t="s">
        <v>5600</v>
      </c>
      <c r="J791" s="688"/>
      <c r="K791" s="689"/>
    </row>
    <row r="792" spans="1:11" s="691" customFormat="1" ht="20.100000000000001" customHeight="1" x14ac:dyDescent="0.2">
      <c r="A792" s="695" t="str">
        <f t="shared" si="9"/>
        <v>331901174010200  Subsidio Vereadores</v>
      </c>
      <c r="B792" s="628"/>
      <c r="C792" s="631"/>
      <c r="D792" s="632">
        <v>331901174010200</v>
      </c>
      <c r="E792" s="696" t="s">
        <v>2149</v>
      </c>
      <c r="F792" s="696">
        <v>9</v>
      </c>
      <c r="G792" s="696" t="s">
        <v>5597</v>
      </c>
      <c r="I792" s="696" t="s">
        <v>5600</v>
      </c>
      <c r="J792" s="688"/>
      <c r="K792" s="689"/>
    </row>
    <row r="793" spans="1:11" s="691" customFormat="1" ht="20.100000000000001" customHeight="1" x14ac:dyDescent="0.2">
      <c r="A793" s="695" t="str">
        <f t="shared" si="9"/>
        <v>331901174020000  Subsidio Vereadores</v>
      </c>
      <c r="B793" s="628"/>
      <c r="C793" s="631"/>
      <c r="D793" s="632">
        <v>331901174020000</v>
      </c>
      <c r="E793" s="696" t="s">
        <v>2149</v>
      </c>
      <c r="F793" s="696">
        <v>8</v>
      </c>
      <c r="G793" s="696" t="s">
        <v>5597</v>
      </c>
      <c r="I793" s="696" t="s">
        <v>5600</v>
      </c>
      <c r="J793" s="688"/>
      <c r="K793" s="689"/>
    </row>
    <row r="794" spans="1:11" s="691" customFormat="1" ht="20.100000000000001" customHeight="1" x14ac:dyDescent="0.2">
      <c r="A794" s="695" t="str">
        <f t="shared" si="9"/>
        <v>331901174030000  Subsidios Prefeito e Vice Prefeito</v>
      </c>
      <c r="B794" s="628"/>
      <c r="C794" s="631"/>
      <c r="D794" s="632">
        <v>331901174030000</v>
      </c>
      <c r="E794" s="696" t="s">
        <v>4894</v>
      </c>
      <c r="F794" s="696">
        <v>8</v>
      </c>
      <c r="G794" s="696" t="s">
        <v>5597</v>
      </c>
      <c r="I794" s="696" t="s">
        <v>5600</v>
      </c>
      <c r="J794" s="688"/>
      <c r="K794" s="689"/>
    </row>
    <row r="795" spans="1:11" s="691" customFormat="1" ht="20.100000000000001" customHeight="1" x14ac:dyDescent="0.2">
      <c r="A795" s="695" t="str">
        <f t="shared" si="9"/>
        <v>331901174040000  Subsidio S.M.A.M.A.</v>
      </c>
      <c r="B795" s="628"/>
      <c r="C795" s="631"/>
      <c r="D795" s="632">
        <v>331901174040000</v>
      </c>
      <c r="E795" s="696" t="s">
        <v>4895</v>
      </c>
      <c r="F795" s="696">
        <v>8</v>
      </c>
      <c r="G795" s="696" t="s">
        <v>5597</v>
      </c>
      <c r="I795" s="696" t="s">
        <v>5600</v>
      </c>
      <c r="J795" s="688"/>
      <c r="K795" s="689"/>
    </row>
    <row r="796" spans="1:11" s="691" customFormat="1" ht="20.100000000000001" customHeight="1" x14ac:dyDescent="0.2">
      <c r="A796" s="695" t="str">
        <f t="shared" si="9"/>
        <v>331901174050000  Subsidio Sec. Administração</v>
      </c>
      <c r="B796" s="628"/>
      <c r="C796" s="631"/>
      <c r="D796" s="632">
        <v>331901174050000</v>
      </c>
      <c r="E796" s="696" t="s">
        <v>4896</v>
      </c>
      <c r="F796" s="696">
        <v>8</v>
      </c>
      <c r="G796" s="696" t="s">
        <v>5597</v>
      </c>
      <c r="I796" s="696" t="s">
        <v>5600</v>
      </c>
      <c r="J796" s="688"/>
      <c r="K796" s="689"/>
    </row>
    <row r="797" spans="1:11" s="691" customFormat="1" ht="20.100000000000001" customHeight="1" x14ac:dyDescent="0.2">
      <c r="A797" s="695" t="str">
        <f t="shared" si="9"/>
        <v>331901174060000  Subsidio Sec. Fazenda</v>
      </c>
      <c r="B797" s="628"/>
      <c r="C797" s="631"/>
      <c r="D797" s="632">
        <v>331901174060000</v>
      </c>
      <c r="E797" s="696" t="s">
        <v>4897</v>
      </c>
      <c r="F797" s="696">
        <v>8</v>
      </c>
      <c r="G797" s="696" t="s">
        <v>5597</v>
      </c>
      <c r="I797" s="696" t="s">
        <v>5600</v>
      </c>
      <c r="J797" s="688"/>
      <c r="K797" s="689"/>
    </row>
    <row r="798" spans="1:11" s="691" customFormat="1" ht="20.100000000000001" customHeight="1" x14ac:dyDescent="0.2">
      <c r="A798" s="695" t="str">
        <f t="shared" si="9"/>
        <v>331901174070000  Subsidio S.M.O.V.S.U.</v>
      </c>
      <c r="B798" s="628"/>
      <c r="C798" s="631"/>
      <c r="D798" s="632">
        <v>331901174070000</v>
      </c>
      <c r="E798" s="696" t="s">
        <v>4898</v>
      </c>
      <c r="F798" s="696">
        <v>8</v>
      </c>
      <c r="G798" s="696" t="s">
        <v>5597</v>
      </c>
      <c r="I798" s="696" t="s">
        <v>5600</v>
      </c>
      <c r="J798" s="688"/>
      <c r="K798" s="689"/>
    </row>
    <row r="799" spans="1:11" s="691" customFormat="1" ht="20.100000000000001" customHeight="1" x14ac:dyDescent="0.2">
      <c r="A799" s="695" t="str">
        <f t="shared" si="9"/>
        <v>331901174080000  Subsidio S.M.E.C.D.</v>
      </c>
      <c r="B799" s="628"/>
      <c r="C799" s="631"/>
      <c r="D799" s="632">
        <v>331901174080000</v>
      </c>
      <c r="E799" s="696" t="s">
        <v>4899</v>
      </c>
      <c r="F799" s="696">
        <v>8</v>
      </c>
      <c r="G799" s="696" t="s">
        <v>5597</v>
      </c>
      <c r="I799" s="696" t="s">
        <v>5600</v>
      </c>
      <c r="J799" s="688"/>
      <c r="K799" s="689"/>
    </row>
    <row r="800" spans="1:11" s="691" customFormat="1" ht="20.100000000000001" customHeight="1" x14ac:dyDescent="0.2">
      <c r="A800" s="695" t="str">
        <f t="shared" si="9"/>
        <v>331901174090000  Subsidio S.M.S.</v>
      </c>
      <c r="B800" s="628"/>
      <c r="C800" s="631"/>
      <c r="D800" s="632">
        <v>331901174090000</v>
      </c>
      <c r="E800" s="696" t="s">
        <v>4900</v>
      </c>
      <c r="F800" s="696">
        <v>8</v>
      </c>
      <c r="G800" s="696" t="s">
        <v>5597</v>
      </c>
      <c r="I800" s="696" t="s">
        <v>5600</v>
      </c>
      <c r="J800" s="688"/>
      <c r="K800" s="689"/>
    </row>
    <row r="801" spans="1:11" s="691" customFormat="1" ht="20.100000000000001" customHeight="1" x14ac:dyDescent="0.2">
      <c r="A801" s="695" t="str">
        <f t="shared" si="9"/>
        <v>331901174100000  Subsidio S.M.A.S.</v>
      </c>
      <c r="B801" s="628"/>
      <c r="C801" s="631"/>
      <c r="D801" s="632">
        <v>331901174100000</v>
      </c>
      <c r="E801" s="696" t="s">
        <v>4901</v>
      </c>
      <c r="F801" s="696">
        <v>8</v>
      </c>
      <c r="G801" s="696" t="s">
        <v>5597</v>
      </c>
      <c r="I801" s="696" t="s">
        <v>5600</v>
      </c>
      <c r="J801" s="688"/>
      <c r="K801" s="689"/>
    </row>
    <row r="802" spans="1:11" s="691" customFormat="1" ht="20.100000000000001" customHeight="1" x14ac:dyDescent="0.2">
      <c r="A802" s="695" t="str">
        <f t="shared" si="9"/>
        <v>331901175000000  Representacao Mensal</v>
      </c>
      <c r="B802" s="628"/>
      <c r="C802" s="631"/>
      <c r="D802" s="632">
        <v>331901175000000</v>
      </c>
      <c r="E802" s="696" t="s">
        <v>4902</v>
      </c>
      <c r="F802" s="696">
        <v>7</v>
      </c>
      <c r="G802" s="696" t="s">
        <v>5597</v>
      </c>
      <c r="I802" s="696"/>
      <c r="J802" s="688"/>
      <c r="K802" s="689"/>
    </row>
    <row r="803" spans="1:11" s="691" customFormat="1" ht="20.100000000000001" customHeight="1" x14ac:dyDescent="0.2">
      <c r="A803" s="695" t="str">
        <f t="shared" si="9"/>
        <v>331901199000000  Outras Despesas Fixas - Pessoal Civil</v>
      </c>
      <c r="B803" s="628"/>
      <c r="C803" s="631"/>
      <c r="D803" s="632">
        <v>331901199000000</v>
      </c>
      <c r="E803" s="696" t="s">
        <v>4798</v>
      </c>
      <c r="F803" s="696">
        <v>7</v>
      </c>
      <c r="G803" s="696" t="s">
        <v>5597</v>
      </c>
      <c r="I803" s="696"/>
      <c r="J803" s="688"/>
      <c r="K803" s="689"/>
    </row>
    <row r="804" spans="1:11" s="691" customFormat="1" ht="20.100000000000001" customHeight="1" x14ac:dyDescent="0.2">
      <c r="A804" s="695" t="str">
        <f t="shared" si="9"/>
        <v>331901300000000  Obrigacoes Patronais</v>
      </c>
      <c r="B804" s="628"/>
      <c r="C804" s="631"/>
      <c r="D804" s="632">
        <v>331901300000000</v>
      </c>
      <c r="E804" s="696" t="s">
        <v>1011</v>
      </c>
      <c r="F804" s="696">
        <v>6</v>
      </c>
      <c r="G804" s="696" t="s">
        <v>5596</v>
      </c>
      <c r="I804" s="696"/>
      <c r="J804" s="688"/>
      <c r="K804" s="689"/>
    </row>
    <row r="805" spans="1:11" s="691" customFormat="1" ht="20.100000000000001" customHeight="1" x14ac:dyDescent="0.2">
      <c r="A805" s="695" t="str">
        <f t="shared" si="9"/>
        <v>331901301000000  Fgts</v>
      </c>
      <c r="B805" s="628"/>
      <c r="C805" s="631"/>
      <c r="D805" s="632">
        <v>331901301000000</v>
      </c>
      <c r="E805" s="696" t="s">
        <v>4800</v>
      </c>
      <c r="F805" s="696">
        <v>7</v>
      </c>
      <c r="G805" s="696" t="s">
        <v>5596</v>
      </c>
      <c r="I805" s="696"/>
      <c r="J805" s="688"/>
      <c r="K805" s="689"/>
    </row>
    <row r="806" spans="1:11" s="691" customFormat="1" ht="20.100000000000001" customHeight="1" x14ac:dyDescent="0.2">
      <c r="A806" s="695" t="str">
        <f t="shared" si="9"/>
        <v>331901301010000  Fgts - Servidores</v>
      </c>
      <c r="B806" s="628"/>
      <c r="C806" s="631"/>
      <c r="D806" s="632">
        <v>331901301010000</v>
      </c>
      <c r="E806" s="696" t="s">
        <v>1190</v>
      </c>
      <c r="F806" s="696">
        <v>8</v>
      </c>
      <c r="G806" s="696" t="s">
        <v>5597</v>
      </c>
      <c r="I806" s="696"/>
      <c r="J806" s="688"/>
      <c r="K806" s="689"/>
    </row>
    <row r="807" spans="1:11" s="691" customFormat="1" ht="20.100000000000001" customHeight="1" x14ac:dyDescent="0.2">
      <c r="A807" s="695" t="str">
        <f t="shared" si="9"/>
        <v>331901301020000  Fgts - Professores No Efetivo Exercicio Do Magisterio (60% Fundef)</v>
      </c>
      <c r="B807" s="628"/>
      <c r="C807" s="631"/>
      <c r="D807" s="632">
        <v>331901301020000</v>
      </c>
      <c r="E807" s="696" t="s">
        <v>4903</v>
      </c>
      <c r="F807" s="696">
        <v>8</v>
      </c>
      <c r="G807" s="696" t="s">
        <v>5597</v>
      </c>
      <c r="I807" s="696"/>
      <c r="J807" s="688"/>
      <c r="K807" s="689"/>
    </row>
    <row r="808" spans="1:11" s="691" customFormat="1" ht="20.100000000000001" customHeight="1" x14ac:dyDescent="0.2">
      <c r="A808" s="695" t="str">
        <f t="shared" si="9"/>
        <v>331901302000000  Contribuicoes Previdenciarias - Inss</v>
      </c>
      <c r="B808" s="628"/>
      <c r="C808" s="631"/>
      <c r="D808" s="632">
        <v>331901302000000</v>
      </c>
      <c r="E808" s="696" t="s">
        <v>4803</v>
      </c>
      <c r="F808" s="696">
        <v>7</v>
      </c>
      <c r="G808" s="696" t="s">
        <v>5596</v>
      </c>
      <c r="I808" s="696"/>
      <c r="J808" s="688"/>
      <c r="K808" s="689"/>
    </row>
    <row r="809" spans="1:11" s="691" customFormat="1" ht="20.100000000000001" customHeight="1" x14ac:dyDescent="0.2">
      <c r="A809" s="695" t="str">
        <f t="shared" si="9"/>
        <v>331901302010000  INSS - Servidores</v>
      </c>
      <c r="B809" s="628"/>
      <c r="C809" s="631"/>
      <c r="D809" s="632">
        <v>331901302010000</v>
      </c>
      <c r="E809" s="696" t="s">
        <v>4904</v>
      </c>
      <c r="F809" s="696">
        <v>8</v>
      </c>
      <c r="G809" s="696" t="s">
        <v>5597</v>
      </c>
      <c r="I809" s="696" t="s">
        <v>5600</v>
      </c>
      <c r="J809" s="688"/>
      <c r="K809" s="689"/>
    </row>
    <row r="810" spans="1:11" s="691" customFormat="1" ht="20.100000000000001" customHeight="1" x14ac:dyDescent="0.2">
      <c r="A810" s="695" t="str">
        <f t="shared" si="9"/>
        <v>331901302010100  Poder Legislativo</v>
      </c>
      <c r="B810" s="628"/>
      <c r="C810" s="631"/>
      <c r="D810" s="632">
        <v>331901302010100</v>
      </c>
      <c r="E810" s="696" t="s">
        <v>4905</v>
      </c>
      <c r="F810" s="696">
        <v>9</v>
      </c>
      <c r="G810" s="696" t="s">
        <v>5597</v>
      </c>
      <c r="I810" s="696" t="s">
        <v>5600</v>
      </c>
      <c r="J810" s="688"/>
      <c r="K810" s="689"/>
    </row>
    <row r="811" spans="1:11" s="691" customFormat="1" ht="20.100000000000001" customHeight="1" x14ac:dyDescent="0.2">
      <c r="A811" s="695" t="str">
        <f t="shared" si="9"/>
        <v>331901302010101  INSS Patronal Servidores Efetivos</v>
      </c>
      <c r="B811" s="628"/>
      <c r="C811" s="631"/>
      <c r="D811" s="632">
        <v>331901302010101</v>
      </c>
      <c r="E811" s="696" t="s">
        <v>2152</v>
      </c>
      <c r="F811" s="696">
        <v>9</v>
      </c>
      <c r="G811" s="696" t="s">
        <v>5597</v>
      </c>
      <c r="I811" s="696" t="s">
        <v>5600</v>
      </c>
      <c r="J811" s="688"/>
      <c r="K811" s="689"/>
    </row>
    <row r="812" spans="1:11" s="691" customFormat="1" ht="20.100000000000001" customHeight="1" x14ac:dyDescent="0.2">
      <c r="A812" s="695" t="str">
        <f t="shared" si="9"/>
        <v>331901302010102  INSS Patronal Servidores C.C.</v>
      </c>
      <c r="B812" s="628"/>
      <c r="C812" s="631"/>
      <c r="D812" s="632">
        <v>331901302010102</v>
      </c>
      <c r="E812" s="696" t="s">
        <v>2153</v>
      </c>
      <c r="F812" s="696">
        <v>9</v>
      </c>
      <c r="G812" s="696" t="s">
        <v>5597</v>
      </c>
      <c r="I812" s="696" t="s">
        <v>5600</v>
      </c>
      <c r="J812" s="688"/>
      <c r="K812" s="689"/>
    </row>
    <row r="813" spans="1:11" s="691" customFormat="1" ht="20.100000000000001" customHeight="1" x14ac:dyDescent="0.2">
      <c r="A813" s="695" t="str">
        <f t="shared" si="9"/>
        <v>331901302010103  INSS Patronal Sessão Extraordinaria</v>
      </c>
      <c r="B813" s="628"/>
      <c r="C813" s="631"/>
      <c r="D813" s="632">
        <v>331901302010103</v>
      </c>
      <c r="E813" s="696" t="s">
        <v>4906</v>
      </c>
      <c r="F813" s="696">
        <v>9</v>
      </c>
      <c r="G813" s="696" t="s">
        <v>5597</v>
      </c>
      <c r="I813" s="696" t="s">
        <v>5600</v>
      </c>
      <c r="J813" s="688"/>
      <c r="K813" s="689"/>
    </row>
    <row r="814" spans="1:11" s="691" customFormat="1" ht="20.100000000000001" customHeight="1" x14ac:dyDescent="0.2">
      <c r="A814" s="695" t="str">
        <f t="shared" si="9"/>
        <v>331901302010200  INSS - Servidores C.C.</v>
      </c>
      <c r="B814" s="628"/>
      <c r="C814" s="631"/>
      <c r="D814" s="632">
        <v>331901302010200</v>
      </c>
      <c r="E814" s="696" t="s">
        <v>2259</v>
      </c>
      <c r="F814" s="696">
        <v>9</v>
      </c>
      <c r="G814" s="696" t="s">
        <v>5597</v>
      </c>
      <c r="I814" s="696" t="s">
        <v>5600</v>
      </c>
      <c r="J814" s="688"/>
      <c r="K814" s="689"/>
    </row>
    <row r="815" spans="1:11" s="691" customFormat="1" ht="20.100000000000001" customHeight="1" x14ac:dyDescent="0.2">
      <c r="A815" s="695" t="str">
        <f t="shared" si="9"/>
        <v>331901302020000  Inss - Professores No Efetivo Exercicio Do Magisterio (60% Fundeb)</v>
      </c>
      <c r="B815" s="628"/>
      <c r="C815" s="631"/>
      <c r="D815" s="632">
        <v>331901302020000</v>
      </c>
      <c r="E815" s="696" t="s">
        <v>1165</v>
      </c>
      <c r="F815" s="696">
        <v>8</v>
      </c>
      <c r="G815" s="696" t="s">
        <v>5597</v>
      </c>
      <c r="I815" s="696"/>
      <c r="J815" s="688"/>
      <c r="K815" s="689"/>
    </row>
    <row r="816" spans="1:11" s="691" customFormat="1" ht="20.100000000000001" customHeight="1" x14ac:dyDescent="0.2">
      <c r="A816" s="695" t="str">
        <f t="shared" si="9"/>
        <v>331901302030000  Inss - Agentes Politicos</v>
      </c>
      <c r="B816" s="628"/>
      <c r="C816" s="631"/>
      <c r="D816" s="632">
        <v>331901302030000</v>
      </c>
      <c r="E816" s="696" t="s">
        <v>1051</v>
      </c>
      <c r="F816" s="696">
        <v>8</v>
      </c>
      <c r="G816" s="696" t="s">
        <v>5597</v>
      </c>
      <c r="I816" s="696"/>
      <c r="J816" s="688"/>
      <c r="K816" s="689"/>
    </row>
    <row r="817" spans="1:11" s="691" customFormat="1" ht="20.100000000000001" customHeight="1" x14ac:dyDescent="0.2">
      <c r="A817" s="695" t="str">
        <f t="shared" ref="A817:A880" si="10">CONCATENATE(D817,"  ",E817,)</f>
        <v>331901302030100  Poder Legislativo</v>
      </c>
      <c r="B817" s="628"/>
      <c r="C817" s="631"/>
      <c r="D817" s="632">
        <v>331901302030100</v>
      </c>
      <c r="E817" s="696" t="s">
        <v>4905</v>
      </c>
      <c r="F817" s="696">
        <v>9</v>
      </c>
      <c r="G817" s="696" t="s">
        <v>5597</v>
      </c>
      <c r="I817" s="696" t="s">
        <v>5600</v>
      </c>
      <c r="J817" s="688"/>
      <c r="K817" s="689"/>
    </row>
    <row r="818" spans="1:11" s="691" customFormat="1" ht="20.100000000000001" customHeight="1" x14ac:dyDescent="0.2">
      <c r="A818" s="695" t="str">
        <f t="shared" si="10"/>
        <v>331901302030101  INSS Patronal - Presidente Camara</v>
      </c>
      <c r="B818" s="628"/>
      <c r="C818" s="631"/>
      <c r="D818" s="632">
        <v>331901302030101</v>
      </c>
      <c r="E818" s="696" t="s">
        <v>2151</v>
      </c>
      <c r="F818" s="696">
        <v>9</v>
      </c>
      <c r="G818" s="696" t="s">
        <v>5597</v>
      </c>
      <c r="I818" s="696" t="s">
        <v>5600</v>
      </c>
      <c r="J818" s="688"/>
      <c r="K818" s="689"/>
    </row>
    <row r="819" spans="1:11" s="691" customFormat="1" ht="20.100000000000001" customHeight="1" x14ac:dyDescent="0.2">
      <c r="A819" s="695" t="str">
        <f t="shared" si="10"/>
        <v>331901302030102  INSS Patronal - Vereadores</v>
      </c>
      <c r="B819" s="628"/>
      <c r="C819" s="631"/>
      <c r="D819" s="632">
        <v>331901302030102</v>
      </c>
      <c r="E819" s="696" t="s">
        <v>2154</v>
      </c>
      <c r="F819" s="696">
        <v>9</v>
      </c>
      <c r="G819" s="696" t="s">
        <v>5597</v>
      </c>
      <c r="I819" s="696" t="s">
        <v>5600</v>
      </c>
      <c r="J819" s="688"/>
      <c r="K819" s="689"/>
    </row>
    <row r="820" spans="1:11" s="691" customFormat="1" ht="20.100000000000001" customHeight="1" x14ac:dyDescent="0.2">
      <c r="A820" s="695" t="str">
        <f t="shared" si="10"/>
        <v>331901302030200  INSS - Vereadores</v>
      </c>
      <c r="B820" s="628"/>
      <c r="C820" s="631"/>
      <c r="D820" s="632">
        <v>331901302030200</v>
      </c>
      <c r="E820" s="696" t="s">
        <v>4907</v>
      </c>
      <c r="F820" s="696">
        <v>9</v>
      </c>
      <c r="G820" s="696" t="s">
        <v>5597</v>
      </c>
      <c r="I820" s="696" t="s">
        <v>5600</v>
      </c>
      <c r="J820" s="688"/>
      <c r="K820" s="689"/>
    </row>
    <row r="821" spans="1:11" s="691" customFormat="1" ht="20.100000000000001" customHeight="1" x14ac:dyDescent="0.2">
      <c r="A821" s="695" t="str">
        <f t="shared" si="10"/>
        <v>331901302030300  INSS - Prefeito Municipal e Vice Prefeito</v>
      </c>
      <c r="B821" s="628"/>
      <c r="C821" s="631"/>
      <c r="D821" s="632">
        <v>331901302030300</v>
      </c>
      <c r="E821" s="696" t="s">
        <v>4908</v>
      </c>
      <c r="F821" s="696">
        <v>9</v>
      </c>
      <c r="G821" s="696" t="s">
        <v>5597</v>
      </c>
      <c r="I821" s="696" t="s">
        <v>5600</v>
      </c>
      <c r="J821" s="688"/>
      <c r="K821" s="689"/>
    </row>
    <row r="822" spans="1:11" s="691" customFormat="1" ht="20.100000000000001" customHeight="1" x14ac:dyDescent="0.2">
      <c r="A822" s="695" t="str">
        <f t="shared" si="10"/>
        <v>331901302030400  INSS - Vice Prefeito Municipal</v>
      </c>
      <c r="B822" s="628"/>
      <c r="C822" s="631"/>
      <c r="D822" s="632">
        <v>331901302030400</v>
      </c>
      <c r="E822" s="696" t="s">
        <v>4909</v>
      </c>
      <c r="F822" s="696">
        <v>9</v>
      </c>
      <c r="G822" s="696" t="s">
        <v>5597</v>
      </c>
      <c r="I822" s="696" t="s">
        <v>5600</v>
      </c>
      <c r="J822" s="688"/>
      <c r="K822" s="689"/>
    </row>
    <row r="823" spans="1:11" s="691" customFormat="1" ht="20.100000000000001" customHeight="1" x14ac:dyDescent="0.2">
      <c r="A823" s="695" t="str">
        <f t="shared" si="10"/>
        <v>331901302030500  INSS - Sec. Municipal Administração</v>
      </c>
      <c r="B823" s="628"/>
      <c r="C823" s="631"/>
      <c r="D823" s="632">
        <v>331901302030500</v>
      </c>
      <c r="E823" s="696" t="s">
        <v>4910</v>
      </c>
      <c r="F823" s="696">
        <v>9</v>
      </c>
      <c r="G823" s="696" t="s">
        <v>5597</v>
      </c>
      <c r="I823" s="696" t="s">
        <v>5600</v>
      </c>
      <c r="J823" s="688"/>
      <c r="K823" s="689"/>
    </row>
    <row r="824" spans="1:11" s="691" customFormat="1" ht="20.100000000000001" customHeight="1" x14ac:dyDescent="0.2">
      <c r="A824" s="695" t="str">
        <f t="shared" si="10"/>
        <v>331901302030600  INSS - Sec. Municipal da Fazenda</v>
      </c>
      <c r="B824" s="628"/>
      <c r="C824" s="631"/>
      <c r="D824" s="632">
        <v>331901302030600</v>
      </c>
      <c r="E824" s="696" t="s">
        <v>4911</v>
      </c>
      <c r="F824" s="696">
        <v>9</v>
      </c>
      <c r="G824" s="696" t="s">
        <v>5597</v>
      </c>
      <c r="I824" s="696" t="s">
        <v>5600</v>
      </c>
      <c r="J824" s="688"/>
      <c r="K824" s="689"/>
    </row>
    <row r="825" spans="1:11" s="691" customFormat="1" ht="20.100000000000001" customHeight="1" x14ac:dyDescent="0.2">
      <c r="A825" s="695" t="str">
        <f t="shared" si="10"/>
        <v>331901302030700  INSS - Sec. Municipal de Obras, Viação e Serv. Urbanos</v>
      </c>
      <c r="B825" s="628"/>
      <c r="C825" s="631"/>
      <c r="D825" s="632">
        <v>331901302030700</v>
      </c>
      <c r="E825" s="696" t="s">
        <v>4912</v>
      </c>
      <c r="F825" s="696">
        <v>9</v>
      </c>
      <c r="G825" s="696" t="s">
        <v>5597</v>
      </c>
      <c r="I825" s="696" t="s">
        <v>5600</v>
      </c>
      <c r="J825" s="688"/>
      <c r="K825" s="689"/>
    </row>
    <row r="826" spans="1:11" s="691" customFormat="1" ht="20.100000000000001" customHeight="1" x14ac:dyDescent="0.2">
      <c r="A826" s="695" t="str">
        <f t="shared" si="10"/>
        <v>331901302030800  INSS - Sec. Municipal Educ., Cult. e Desporto</v>
      </c>
      <c r="B826" s="628"/>
      <c r="C826" s="631"/>
      <c r="D826" s="632">
        <v>331901302030800</v>
      </c>
      <c r="E826" s="696" t="s">
        <v>4913</v>
      </c>
      <c r="F826" s="696">
        <v>9</v>
      </c>
      <c r="G826" s="696" t="s">
        <v>5597</v>
      </c>
      <c r="I826" s="696" t="s">
        <v>5600</v>
      </c>
      <c r="J826" s="688"/>
      <c r="K826" s="689"/>
    </row>
    <row r="827" spans="1:11" s="691" customFormat="1" ht="20.100000000000001" customHeight="1" x14ac:dyDescent="0.2">
      <c r="A827" s="695" t="str">
        <f t="shared" si="10"/>
        <v>331901302030900  INSS - Sec. Municipal da Saúde</v>
      </c>
      <c r="B827" s="628"/>
      <c r="C827" s="631"/>
      <c r="D827" s="632">
        <v>331901302030900</v>
      </c>
      <c r="E827" s="696" t="s">
        <v>4914</v>
      </c>
      <c r="F827" s="696">
        <v>9</v>
      </c>
      <c r="G827" s="696" t="s">
        <v>5597</v>
      </c>
      <c r="I827" s="696" t="s">
        <v>5600</v>
      </c>
      <c r="J827" s="688"/>
      <c r="K827" s="689"/>
    </row>
    <row r="828" spans="1:11" s="691" customFormat="1" ht="20.100000000000001" customHeight="1" x14ac:dyDescent="0.2">
      <c r="A828" s="695" t="str">
        <f t="shared" si="10"/>
        <v>331901302031000  INSS - Sec. Municipal da Agric. e Meio Ambiente</v>
      </c>
      <c r="B828" s="628"/>
      <c r="C828" s="631"/>
      <c r="D828" s="632">
        <v>331901302031000</v>
      </c>
      <c r="E828" s="696" t="s">
        <v>4915</v>
      </c>
      <c r="F828" s="696">
        <v>9</v>
      </c>
      <c r="G828" s="696" t="s">
        <v>5597</v>
      </c>
      <c r="I828" s="696" t="s">
        <v>5600</v>
      </c>
      <c r="J828" s="688"/>
      <c r="K828" s="689"/>
    </row>
    <row r="829" spans="1:11" s="691" customFormat="1" ht="20.100000000000001" customHeight="1" x14ac:dyDescent="0.2">
      <c r="A829" s="695" t="str">
        <f t="shared" si="10"/>
        <v>331901302031100  INSS - Sec. Municipal da Assist. Social</v>
      </c>
      <c r="B829" s="628"/>
      <c r="C829" s="631"/>
      <c r="D829" s="632">
        <v>331901302031100</v>
      </c>
      <c r="E829" s="696" t="s">
        <v>4916</v>
      </c>
      <c r="F829" s="696">
        <v>9</v>
      </c>
      <c r="G829" s="696" t="s">
        <v>5597</v>
      </c>
      <c r="I829" s="696" t="s">
        <v>5600</v>
      </c>
      <c r="J829" s="688"/>
      <c r="K829" s="689"/>
    </row>
    <row r="830" spans="1:11" s="691" customFormat="1" ht="20.100000000000001" customHeight="1" x14ac:dyDescent="0.2">
      <c r="A830" s="695" t="str">
        <f t="shared" si="10"/>
        <v>331901302040000  Inss Sobre Sessao Extraordinaria - Agentes Politicos</v>
      </c>
      <c r="B830" s="628"/>
      <c r="C830" s="631"/>
      <c r="D830" s="632">
        <v>331901302040000</v>
      </c>
      <c r="E830" s="696" t="s">
        <v>4917</v>
      </c>
      <c r="F830" s="696">
        <v>8</v>
      </c>
      <c r="G830" s="696" t="s">
        <v>5597</v>
      </c>
      <c r="I830" s="696"/>
      <c r="J830" s="688"/>
      <c r="K830" s="689"/>
    </row>
    <row r="831" spans="1:11" s="691" customFormat="1" ht="20.100000000000001" customHeight="1" x14ac:dyDescent="0.2">
      <c r="A831" s="695" t="str">
        <f t="shared" si="10"/>
        <v>331901302050000  Inss Sobre Convocacao Extraordinaria - Agentes Politicos</v>
      </c>
      <c r="B831" s="628"/>
      <c r="C831" s="631"/>
      <c r="D831" s="632">
        <v>331901302050000</v>
      </c>
      <c r="E831" s="696" t="s">
        <v>4918</v>
      </c>
      <c r="F831" s="696">
        <v>8</v>
      </c>
      <c r="G831" s="696" t="s">
        <v>5597</v>
      </c>
      <c r="I831" s="696"/>
      <c r="J831" s="688"/>
      <c r="K831" s="689"/>
    </row>
    <row r="832" spans="1:11" s="691" customFormat="1" ht="20.100000000000001" customHeight="1" x14ac:dyDescent="0.2">
      <c r="A832" s="695" t="str">
        <f t="shared" si="10"/>
        <v>331901302060000  Inss - Abono FUNDEB</v>
      </c>
      <c r="B832" s="628"/>
      <c r="C832" s="631"/>
      <c r="D832" s="632">
        <v>331901302060000</v>
      </c>
      <c r="E832" s="696" t="s">
        <v>4919</v>
      </c>
      <c r="F832" s="696">
        <v>8</v>
      </c>
      <c r="G832" s="696" t="s">
        <v>5597</v>
      </c>
      <c r="I832" s="696" t="s">
        <v>5604</v>
      </c>
      <c r="J832" s="688"/>
      <c r="K832" s="689"/>
    </row>
    <row r="833" spans="1:11" s="691" customFormat="1" ht="20.100000000000001" customHeight="1" x14ac:dyDescent="0.2">
      <c r="A833" s="695" t="str">
        <f t="shared" si="10"/>
        <v>331901315000000  Multas</v>
      </c>
      <c r="B833" s="628"/>
      <c r="C833" s="631"/>
      <c r="D833" s="632">
        <v>331901315000000</v>
      </c>
      <c r="E833" s="696" t="s">
        <v>1116</v>
      </c>
      <c r="F833" s="696">
        <v>7</v>
      </c>
      <c r="G833" s="696" t="s">
        <v>5597</v>
      </c>
      <c r="I833" s="696"/>
      <c r="J833" s="688"/>
      <c r="K833" s="689"/>
    </row>
    <row r="834" spans="1:11" s="691" customFormat="1" ht="20.100000000000001" customHeight="1" x14ac:dyDescent="0.2">
      <c r="A834" s="695" t="str">
        <f t="shared" si="10"/>
        <v>331901340000000  Encargos De Pessoal Requisitado De Outros Entes</v>
      </c>
      <c r="B834" s="628"/>
      <c r="C834" s="631"/>
      <c r="D834" s="632">
        <v>331901340000000</v>
      </c>
      <c r="E834" s="696" t="s">
        <v>4796</v>
      </c>
      <c r="F834" s="696">
        <v>7</v>
      </c>
      <c r="G834" s="696" t="s">
        <v>5597</v>
      </c>
      <c r="I834" s="696"/>
      <c r="J834" s="688"/>
      <c r="K834" s="689"/>
    </row>
    <row r="835" spans="1:11" s="691" customFormat="1" ht="20.100000000000001" customHeight="1" x14ac:dyDescent="0.2">
      <c r="A835" s="695" t="str">
        <f t="shared" si="10"/>
        <v>331901399000000  Outras Obrigacoes Patronais</v>
      </c>
      <c r="B835" s="628"/>
      <c r="C835" s="631"/>
      <c r="D835" s="632">
        <v>331901399000000</v>
      </c>
      <c r="E835" s="696" t="s">
        <v>1249</v>
      </c>
      <c r="F835" s="696">
        <v>7</v>
      </c>
      <c r="G835" s="696" t="s">
        <v>5597</v>
      </c>
      <c r="I835" s="696"/>
      <c r="J835" s="688"/>
      <c r="K835" s="689"/>
    </row>
    <row r="836" spans="1:11" s="691" customFormat="1" ht="20.100000000000001" customHeight="1" x14ac:dyDescent="0.2">
      <c r="A836" s="695" t="str">
        <f t="shared" si="10"/>
        <v>331901600000000  Outras Despesas Variaveis - Pessoal Civil</v>
      </c>
      <c r="B836" s="628"/>
      <c r="C836" s="631"/>
      <c r="D836" s="632">
        <v>331901600000000</v>
      </c>
      <c r="E836" s="696" t="s">
        <v>1005</v>
      </c>
      <c r="F836" s="696">
        <v>6</v>
      </c>
      <c r="G836" s="696" t="s">
        <v>5596</v>
      </c>
      <c r="I836" s="696"/>
      <c r="J836" s="688"/>
      <c r="K836" s="689"/>
    </row>
    <row r="837" spans="1:11" s="691" customFormat="1" ht="20.100000000000001" customHeight="1" x14ac:dyDescent="0.2">
      <c r="A837" s="695" t="str">
        <f t="shared" si="10"/>
        <v>331901601000000  Poder Legislativo</v>
      </c>
      <c r="B837" s="628"/>
      <c r="C837" s="631"/>
      <c r="D837" s="632">
        <v>331901601000000</v>
      </c>
      <c r="E837" s="696" t="s">
        <v>4905</v>
      </c>
      <c r="F837" s="696">
        <v>7</v>
      </c>
      <c r="G837" s="696" t="s">
        <v>5597</v>
      </c>
      <c r="I837" s="696" t="s">
        <v>5600</v>
      </c>
      <c r="J837" s="688"/>
      <c r="K837" s="689"/>
    </row>
    <row r="838" spans="1:11" s="691" customFormat="1" ht="20.100000000000001" customHeight="1" x14ac:dyDescent="0.2">
      <c r="A838" s="695" t="str">
        <f t="shared" si="10"/>
        <v>331901601010000  Hora Extra Servidores Contratados</v>
      </c>
      <c r="B838" s="628"/>
      <c r="C838" s="631"/>
      <c r="D838" s="632">
        <v>331901601010000</v>
      </c>
      <c r="E838" s="696" t="s">
        <v>3882</v>
      </c>
      <c r="F838" s="696">
        <v>8</v>
      </c>
      <c r="G838" s="696" t="s">
        <v>5597</v>
      </c>
      <c r="I838" s="696" t="s">
        <v>5600</v>
      </c>
      <c r="J838" s="688"/>
      <c r="K838" s="689"/>
    </row>
    <row r="839" spans="1:11" s="691" customFormat="1" ht="20.100000000000001" customHeight="1" x14ac:dyDescent="0.2">
      <c r="A839" s="695" t="str">
        <f t="shared" si="10"/>
        <v>331901601020000  Hora Extra Servidores Efetivos</v>
      </c>
      <c r="B839" s="628"/>
      <c r="C839" s="631"/>
      <c r="D839" s="632">
        <v>331901601020000</v>
      </c>
      <c r="E839" s="696" t="s">
        <v>3880</v>
      </c>
      <c r="F839" s="696">
        <v>8</v>
      </c>
      <c r="G839" s="696" t="s">
        <v>5597</v>
      </c>
      <c r="I839" s="696" t="s">
        <v>5600</v>
      </c>
      <c r="J839" s="688"/>
      <c r="K839" s="689"/>
    </row>
    <row r="840" spans="1:11" s="691" customFormat="1" ht="20.100000000000001" customHeight="1" x14ac:dyDescent="0.2">
      <c r="A840" s="695" t="str">
        <f t="shared" si="10"/>
        <v>331901604000000  Convocacao Extraordinaria</v>
      </c>
      <c r="B840" s="628"/>
      <c r="C840" s="631"/>
      <c r="D840" s="632">
        <v>331901604000000</v>
      </c>
      <c r="E840" s="696" t="s">
        <v>2170</v>
      </c>
      <c r="F840" s="696">
        <v>7</v>
      </c>
      <c r="G840" s="696" t="s">
        <v>5597</v>
      </c>
      <c r="I840" s="696"/>
      <c r="J840" s="688"/>
      <c r="K840" s="689"/>
    </row>
    <row r="841" spans="1:11" s="691" customFormat="1" ht="20.100000000000001" customHeight="1" x14ac:dyDescent="0.2">
      <c r="A841" s="695" t="str">
        <f t="shared" si="10"/>
        <v>331901632000000  Substituicoes</v>
      </c>
      <c r="B841" s="628"/>
      <c r="C841" s="631"/>
      <c r="D841" s="632">
        <v>331901632000000</v>
      </c>
      <c r="E841" s="696" t="s">
        <v>4920</v>
      </c>
      <c r="F841" s="696">
        <v>7</v>
      </c>
      <c r="G841" s="696" t="s">
        <v>5597</v>
      </c>
      <c r="I841" s="696"/>
      <c r="J841" s="688"/>
      <c r="K841" s="689"/>
    </row>
    <row r="842" spans="1:11" s="691" customFormat="1" ht="20.100000000000001" customHeight="1" x14ac:dyDescent="0.2">
      <c r="A842" s="695" t="str">
        <f t="shared" si="10"/>
        <v>331901644000000  Servicos Extraordinarios</v>
      </c>
      <c r="B842" s="628"/>
      <c r="C842" s="631"/>
      <c r="D842" s="632">
        <v>331901644000000</v>
      </c>
      <c r="E842" s="696" t="s">
        <v>1004</v>
      </c>
      <c r="F842" s="696">
        <v>7</v>
      </c>
      <c r="G842" s="696" t="s">
        <v>5597</v>
      </c>
      <c r="I842" s="696"/>
      <c r="J842" s="688"/>
      <c r="K842" s="689"/>
    </row>
    <row r="843" spans="1:11" s="691" customFormat="1" ht="20.100000000000001" customHeight="1" x14ac:dyDescent="0.2">
      <c r="A843" s="695" t="str">
        <f t="shared" si="10"/>
        <v>331901644010000  Servicos Extraordinarios - Legislativo</v>
      </c>
      <c r="B843" s="628"/>
      <c r="C843" s="631"/>
      <c r="D843" s="632">
        <v>331901644010000</v>
      </c>
      <c r="E843" s="696" t="s">
        <v>4921</v>
      </c>
      <c r="F843" s="696">
        <v>8</v>
      </c>
      <c r="G843" s="696" t="s">
        <v>5597</v>
      </c>
      <c r="I843" s="696" t="s">
        <v>5600</v>
      </c>
      <c r="J843" s="688"/>
      <c r="K843" s="689"/>
    </row>
    <row r="844" spans="1:11" s="691" customFormat="1" ht="20.100000000000001" customHeight="1" x14ac:dyDescent="0.2">
      <c r="A844" s="695" t="str">
        <f t="shared" si="10"/>
        <v>331901644010100  Servicos Extraordinarios - Serv. Contratados</v>
      </c>
      <c r="B844" s="628"/>
      <c r="C844" s="631"/>
      <c r="D844" s="632">
        <v>331901644010100</v>
      </c>
      <c r="E844" s="696" t="s">
        <v>4922</v>
      </c>
      <c r="F844" s="696">
        <v>9</v>
      </c>
      <c r="G844" s="696" t="s">
        <v>5597</v>
      </c>
      <c r="I844" s="696" t="s">
        <v>5600</v>
      </c>
      <c r="J844" s="688"/>
      <c r="K844" s="689"/>
    </row>
    <row r="845" spans="1:11" s="691" customFormat="1" ht="20.100000000000001" customHeight="1" x14ac:dyDescent="0.2">
      <c r="A845" s="695" t="str">
        <f t="shared" si="10"/>
        <v>331901644010200  Servicos Extraordinarios - Serv. Efetivos</v>
      </c>
      <c r="B845" s="628"/>
      <c r="C845" s="631"/>
      <c r="D845" s="632">
        <v>331901644010200</v>
      </c>
      <c r="E845" s="696" t="s">
        <v>4923</v>
      </c>
      <c r="F845" s="696">
        <v>9</v>
      </c>
      <c r="G845" s="696" t="s">
        <v>5597</v>
      </c>
      <c r="I845" s="696" t="s">
        <v>5600</v>
      </c>
      <c r="J845" s="688"/>
      <c r="K845" s="689"/>
    </row>
    <row r="846" spans="1:11" s="691" customFormat="1" ht="20.100000000000001" customHeight="1" x14ac:dyDescent="0.2">
      <c r="A846" s="695" t="str">
        <f t="shared" si="10"/>
        <v>331901644020000  Servicos Extraordinarios - Serv. Efetivos</v>
      </c>
      <c r="B846" s="628"/>
      <c r="C846" s="631"/>
      <c r="D846" s="632">
        <v>331901644020000</v>
      </c>
      <c r="E846" s="696" t="s">
        <v>4923</v>
      </c>
      <c r="F846" s="696">
        <v>8</v>
      </c>
      <c r="G846" s="696" t="s">
        <v>5597</v>
      </c>
      <c r="I846" s="696" t="s">
        <v>5600</v>
      </c>
      <c r="J846" s="688"/>
      <c r="K846" s="689"/>
    </row>
    <row r="847" spans="1:11" s="691" customFormat="1" ht="20.100000000000001" customHeight="1" x14ac:dyDescent="0.2">
      <c r="A847" s="695" t="str">
        <f t="shared" si="10"/>
        <v>331901644030000  Hora Extra Serv. CLT</v>
      </c>
      <c r="B847" s="628"/>
      <c r="C847" s="631"/>
      <c r="D847" s="632">
        <v>331901644030000</v>
      </c>
      <c r="E847" s="696" t="s">
        <v>4924</v>
      </c>
      <c r="F847" s="696">
        <v>8</v>
      </c>
      <c r="G847" s="696" t="s">
        <v>5597</v>
      </c>
      <c r="I847" s="696" t="s">
        <v>5600</v>
      </c>
      <c r="J847" s="688"/>
      <c r="K847" s="689"/>
    </row>
    <row r="848" spans="1:11" s="691" customFormat="1" ht="20.100000000000001" customHeight="1" x14ac:dyDescent="0.2">
      <c r="A848" s="695" t="str">
        <f t="shared" si="10"/>
        <v>331901644040000  Hora Extra Serv. Contratados</v>
      </c>
      <c r="B848" s="628"/>
      <c r="C848" s="631"/>
      <c r="D848" s="632">
        <v>331901644040000</v>
      </c>
      <c r="E848" s="696" t="s">
        <v>4925</v>
      </c>
      <c r="F848" s="696">
        <v>8</v>
      </c>
      <c r="G848" s="696" t="s">
        <v>5597</v>
      </c>
      <c r="I848" s="696" t="s">
        <v>5600</v>
      </c>
      <c r="J848" s="688"/>
      <c r="K848" s="689"/>
    </row>
    <row r="849" spans="1:11" s="691" customFormat="1" ht="20.100000000000001" customHeight="1" x14ac:dyDescent="0.2">
      <c r="A849" s="695" t="str">
        <f t="shared" si="10"/>
        <v>331901699000000  Outras Despesas Variaveis - Pessoal Civil</v>
      </c>
      <c r="B849" s="628"/>
      <c r="C849" s="631"/>
      <c r="D849" s="632">
        <v>331901699000000</v>
      </c>
      <c r="E849" s="696" t="s">
        <v>1005</v>
      </c>
      <c r="F849" s="696">
        <v>7</v>
      </c>
      <c r="G849" s="696" t="s">
        <v>5596</v>
      </c>
      <c r="I849" s="696"/>
      <c r="J849" s="688"/>
      <c r="K849" s="689"/>
    </row>
    <row r="850" spans="1:11" s="691" customFormat="1" ht="20.100000000000001" customHeight="1" x14ac:dyDescent="0.2">
      <c r="A850" s="695" t="str">
        <f t="shared" si="10"/>
        <v>331901699010000  Ajuda De Custo</v>
      </c>
      <c r="B850" s="628"/>
      <c r="C850" s="631"/>
      <c r="D850" s="632">
        <v>331901699010000</v>
      </c>
      <c r="E850" s="696" t="s">
        <v>4926</v>
      </c>
      <c r="F850" s="696">
        <v>8</v>
      </c>
      <c r="G850" s="696" t="s">
        <v>5597</v>
      </c>
      <c r="I850" s="696"/>
      <c r="J850" s="688"/>
      <c r="K850" s="689"/>
    </row>
    <row r="851" spans="1:11" s="691" customFormat="1" ht="20.100000000000001" customHeight="1" x14ac:dyDescent="0.2">
      <c r="A851" s="695" t="str">
        <f t="shared" si="10"/>
        <v>331901699020000  Remocoes</v>
      </c>
      <c r="B851" s="628"/>
      <c r="C851" s="631"/>
      <c r="D851" s="632">
        <v>331901699020000</v>
      </c>
      <c r="E851" s="696" t="s">
        <v>4927</v>
      </c>
      <c r="F851" s="696">
        <v>8</v>
      </c>
      <c r="G851" s="696" t="s">
        <v>5597</v>
      </c>
      <c r="I851" s="696"/>
      <c r="J851" s="688"/>
      <c r="K851" s="689"/>
    </row>
    <row r="852" spans="1:11" s="691" customFormat="1" ht="20.100000000000001" customHeight="1" x14ac:dyDescent="0.2">
      <c r="A852" s="695" t="str">
        <f t="shared" si="10"/>
        <v>331901699030000  Sessoes Extraordinarias</v>
      </c>
      <c r="B852" s="628"/>
      <c r="C852" s="631"/>
      <c r="D852" s="632">
        <v>331901699030000</v>
      </c>
      <c r="E852" s="696" t="s">
        <v>2171</v>
      </c>
      <c r="F852" s="696">
        <v>8</v>
      </c>
      <c r="G852" s="696" t="s">
        <v>5597</v>
      </c>
      <c r="I852" s="696"/>
      <c r="J852" s="688"/>
      <c r="K852" s="689"/>
    </row>
    <row r="853" spans="1:11" s="691" customFormat="1" ht="20.100000000000001" customHeight="1" x14ac:dyDescent="0.2">
      <c r="A853" s="695" t="str">
        <f t="shared" si="10"/>
        <v>331903400000000  Outras Despesas De Pessoal Decorrentes De  Contratos De Terceirizacao</v>
      </c>
      <c r="B853" s="628"/>
      <c r="C853" s="631"/>
      <c r="D853" s="632">
        <v>331903400000000</v>
      </c>
      <c r="E853" s="696" t="s">
        <v>5607</v>
      </c>
      <c r="F853" s="696">
        <v>6</v>
      </c>
      <c r="G853" s="696" t="s">
        <v>5596</v>
      </c>
      <c r="I853" s="696"/>
      <c r="J853" s="688"/>
      <c r="K853" s="689"/>
    </row>
    <row r="854" spans="1:11" s="691" customFormat="1" ht="20.100000000000001" customHeight="1" x14ac:dyDescent="0.2">
      <c r="A854" s="695" t="str">
        <f t="shared" si="10"/>
        <v>331903401000000  Substituicao  De Mao-de-obra  (art18 Par1 Lc 101)</v>
      </c>
      <c r="B854" s="628"/>
      <c r="C854" s="631"/>
      <c r="D854" s="632">
        <v>331903401000000</v>
      </c>
      <c r="E854" s="696" t="s">
        <v>5608</v>
      </c>
      <c r="F854" s="696">
        <v>7</v>
      </c>
      <c r="G854" s="696" t="s">
        <v>5597</v>
      </c>
      <c r="I854" s="696"/>
      <c r="J854" s="688"/>
      <c r="K854" s="689"/>
    </row>
    <row r="855" spans="1:11" s="691" customFormat="1" ht="20.100000000000001" customHeight="1" x14ac:dyDescent="0.2">
      <c r="A855" s="695" t="str">
        <f t="shared" si="10"/>
        <v>331903600000000  Outros Servicos De Terceiros - Pessoa Fisica</v>
      </c>
      <c r="B855" s="628"/>
      <c r="C855" s="631"/>
      <c r="D855" s="632">
        <v>331903600000000</v>
      </c>
      <c r="E855" s="696" t="s">
        <v>993</v>
      </c>
      <c r="F855" s="696">
        <v>6</v>
      </c>
      <c r="G855" s="696" t="s">
        <v>5596</v>
      </c>
      <c r="I855" s="696"/>
      <c r="J855" s="688"/>
      <c r="K855" s="689"/>
    </row>
    <row r="856" spans="1:11" s="691" customFormat="1" ht="20.100000000000001" customHeight="1" x14ac:dyDescent="0.2">
      <c r="A856" s="695" t="str">
        <f t="shared" si="10"/>
        <v>331904600000000  Auxilio-alimentacao</v>
      </c>
      <c r="B856" s="628"/>
      <c r="C856" s="631"/>
      <c r="D856" s="632">
        <v>331904600000000</v>
      </c>
      <c r="E856" s="696" t="s">
        <v>2209</v>
      </c>
      <c r="F856" s="696">
        <v>6</v>
      </c>
      <c r="G856" s="696" t="s">
        <v>5596</v>
      </c>
      <c r="I856" s="696"/>
      <c r="J856" s="688"/>
      <c r="K856" s="689"/>
    </row>
    <row r="857" spans="1:11" s="691" customFormat="1" ht="20.100000000000001" customHeight="1" x14ac:dyDescent="0.2">
      <c r="A857" s="695" t="str">
        <f t="shared" si="10"/>
        <v>331904600010000  Auxilio-alimentacao - Professores No Efetivo Exercicio Do Magisterio (</v>
      </c>
      <c r="B857" s="628"/>
      <c r="C857" s="631"/>
      <c r="D857" s="632">
        <v>331904600010000</v>
      </c>
      <c r="E857" s="696" t="s">
        <v>4928</v>
      </c>
      <c r="F857" s="696">
        <v>8</v>
      </c>
      <c r="G857" s="696" t="s">
        <v>5597</v>
      </c>
      <c r="I857" s="696"/>
      <c r="J857" s="688"/>
      <c r="K857" s="689"/>
    </row>
    <row r="858" spans="1:11" s="691" customFormat="1" ht="20.100000000000001" customHeight="1" x14ac:dyDescent="0.2">
      <c r="A858" s="695" t="str">
        <f t="shared" si="10"/>
        <v>331904600020000  Auxilio-alimentacao - Servidores</v>
      </c>
      <c r="B858" s="628"/>
      <c r="C858" s="631"/>
      <c r="D858" s="632">
        <v>331904600020000</v>
      </c>
      <c r="E858" s="696" t="s">
        <v>4929</v>
      </c>
      <c r="F858" s="696">
        <v>8</v>
      </c>
      <c r="G858" s="696" t="s">
        <v>5597</v>
      </c>
      <c r="I858" s="696"/>
      <c r="J858" s="688"/>
      <c r="K858" s="689"/>
    </row>
    <row r="859" spans="1:11" s="691" customFormat="1" ht="20.100000000000001" customHeight="1" x14ac:dyDescent="0.2">
      <c r="A859" s="695" t="str">
        <f t="shared" si="10"/>
        <v>331904700000000  Obrigacoes Tributarias E Contributivas</v>
      </c>
      <c r="B859" s="628"/>
      <c r="C859" s="631"/>
      <c r="D859" s="632">
        <v>331904700000000</v>
      </c>
      <c r="E859" s="696" t="s">
        <v>990</v>
      </c>
      <c r="F859" s="696">
        <v>6</v>
      </c>
      <c r="G859" s="696" t="s">
        <v>5596</v>
      </c>
      <c r="I859" s="696"/>
      <c r="J859" s="688"/>
      <c r="K859" s="689"/>
    </row>
    <row r="860" spans="1:11" s="691" customFormat="1" ht="20.100000000000001" customHeight="1" x14ac:dyDescent="0.2">
      <c r="A860" s="695" t="str">
        <f t="shared" si="10"/>
        <v>331904700010000  Contribuicao P/ O Pasep</v>
      </c>
      <c r="B860" s="628"/>
      <c r="C860" s="631"/>
      <c r="D860" s="632">
        <v>331904700010000</v>
      </c>
      <c r="E860" s="696" t="s">
        <v>4930</v>
      </c>
      <c r="F860" s="696">
        <v>8</v>
      </c>
      <c r="G860" s="696" t="s">
        <v>5596</v>
      </c>
      <c r="I860" s="696"/>
      <c r="J860" s="688"/>
      <c r="K860" s="689"/>
    </row>
    <row r="861" spans="1:11" s="691" customFormat="1" ht="20.100000000000001" customHeight="1" x14ac:dyDescent="0.2">
      <c r="A861" s="695" t="str">
        <f t="shared" si="10"/>
        <v>331904700010100  Pasep-servidores</v>
      </c>
      <c r="B861" s="628"/>
      <c r="C861" s="631"/>
      <c r="D861" s="632">
        <v>331904700010100</v>
      </c>
      <c r="E861" s="696" t="s">
        <v>4931</v>
      </c>
      <c r="F861" s="696">
        <v>9</v>
      </c>
      <c r="G861" s="696" t="s">
        <v>5597</v>
      </c>
      <c r="I861" s="696"/>
      <c r="J861" s="688"/>
      <c r="K861" s="689"/>
    </row>
    <row r="862" spans="1:11" s="691" customFormat="1" ht="20.100000000000001" customHeight="1" x14ac:dyDescent="0.2">
      <c r="A862" s="695" t="str">
        <f t="shared" si="10"/>
        <v>331904700010200  Pasep- Professores No Efetivo Exercicio Do Magisterio (60% Fundef)</v>
      </c>
      <c r="B862" s="628"/>
      <c r="C862" s="631"/>
      <c r="D862" s="632">
        <v>331904700010200</v>
      </c>
      <c r="E862" s="696" t="s">
        <v>4932</v>
      </c>
      <c r="F862" s="696">
        <v>9</v>
      </c>
      <c r="G862" s="696" t="s">
        <v>5597</v>
      </c>
      <c r="I862" s="696"/>
      <c r="J862" s="688"/>
      <c r="K862" s="689"/>
    </row>
    <row r="863" spans="1:11" s="691" customFormat="1" ht="20.100000000000001" customHeight="1" x14ac:dyDescent="0.2">
      <c r="A863" s="695" t="str">
        <f t="shared" si="10"/>
        <v>331904700020000  Contribuicao Suplementar Ao Fgts</v>
      </c>
      <c r="B863" s="628"/>
      <c r="C863" s="631"/>
      <c r="D863" s="632">
        <v>331904700020000</v>
      </c>
      <c r="E863" s="696" t="s">
        <v>4933</v>
      </c>
      <c r="F863" s="696">
        <v>8</v>
      </c>
      <c r="G863" s="696" t="s">
        <v>5597</v>
      </c>
      <c r="I863" s="696"/>
      <c r="J863" s="688"/>
      <c r="K863" s="689"/>
    </row>
    <row r="864" spans="1:11" s="691" customFormat="1" ht="20.100000000000001" customHeight="1" x14ac:dyDescent="0.2">
      <c r="A864" s="695" t="str">
        <f t="shared" si="10"/>
        <v>331904700030000  Pagamento De Parcelamento De Dividas Com Encargos Sociais</v>
      </c>
      <c r="B864" s="628"/>
      <c r="C864" s="631"/>
      <c r="D864" s="632">
        <v>331904700030000</v>
      </c>
      <c r="E864" s="696" t="s">
        <v>4934</v>
      </c>
      <c r="F864" s="696">
        <v>8</v>
      </c>
      <c r="G864" s="696" t="s">
        <v>5597</v>
      </c>
      <c r="I864" s="696"/>
      <c r="J864" s="688"/>
      <c r="K864" s="689"/>
    </row>
    <row r="865" spans="1:11" s="691" customFormat="1" ht="20.100000000000001" customHeight="1" x14ac:dyDescent="0.2">
      <c r="A865" s="695" t="str">
        <f t="shared" si="10"/>
        <v>331906700000000  Depositos Compulsorios</v>
      </c>
      <c r="B865" s="628"/>
      <c r="C865" s="631"/>
      <c r="D865" s="632">
        <v>331906700000000</v>
      </c>
      <c r="E865" s="696" t="s">
        <v>4935</v>
      </c>
      <c r="F865" s="696">
        <v>6</v>
      </c>
      <c r="G865" s="696" t="s">
        <v>5596</v>
      </c>
      <c r="I865" s="696"/>
      <c r="J865" s="688"/>
      <c r="K865" s="689"/>
    </row>
    <row r="866" spans="1:11" s="691" customFormat="1" ht="20.100000000000001" customHeight="1" x14ac:dyDescent="0.2">
      <c r="A866" s="695" t="str">
        <f t="shared" si="10"/>
        <v>331906702000000  Depositos Judiciais</v>
      </c>
      <c r="B866" s="628"/>
      <c r="C866" s="631"/>
      <c r="D866" s="632">
        <v>331906702000000</v>
      </c>
      <c r="E866" s="696" t="s">
        <v>4936</v>
      </c>
      <c r="F866" s="696">
        <v>7</v>
      </c>
      <c r="G866" s="696" t="s">
        <v>5597</v>
      </c>
      <c r="I866" s="696"/>
      <c r="J866" s="688"/>
      <c r="K866" s="689"/>
    </row>
    <row r="867" spans="1:11" s="691" customFormat="1" ht="20.100000000000001" customHeight="1" x14ac:dyDescent="0.2">
      <c r="A867" s="695" t="str">
        <f t="shared" si="10"/>
        <v>331906703000000  Depositos P/ Recursos</v>
      </c>
      <c r="B867" s="628"/>
      <c r="C867" s="631"/>
      <c r="D867" s="632">
        <v>331906703000000</v>
      </c>
      <c r="E867" s="696" t="s">
        <v>4937</v>
      </c>
      <c r="F867" s="696">
        <v>7</v>
      </c>
      <c r="G867" s="696" t="s">
        <v>5597</v>
      </c>
      <c r="I867" s="696"/>
      <c r="J867" s="688"/>
      <c r="K867" s="689"/>
    </row>
    <row r="868" spans="1:11" s="691" customFormat="1" ht="20.100000000000001" customHeight="1" x14ac:dyDescent="0.2">
      <c r="A868" s="695" t="str">
        <f t="shared" si="10"/>
        <v>331906799000000  Outros Depositos Compulsorios</v>
      </c>
      <c r="B868" s="628"/>
      <c r="C868" s="631"/>
      <c r="D868" s="632">
        <v>331906799000000</v>
      </c>
      <c r="E868" s="696" t="s">
        <v>4938</v>
      </c>
      <c r="F868" s="696">
        <v>7</v>
      </c>
      <c r="G868" s="696" t="s">
        <v>5597</v>
      </c>
      <c r="I868" s="696"/>
      <c r="J868" s="688"/>
      <c r="K868" s="689"/>
    </row>
    <row r="869" spans="1:11" s="691" customFormat="1" ht="20.100000000000001" customHeight="1" x14ac:dyDescent="0.2">
      <c r="A869" s="695" t="str">
        <f t="shared" si="10"/>
        <v>331909100000000  Sentencas Judiciais</v>
      </c>
      <c r="B869" s="628"/>
      <c r="C869" s="631"/>
      <c r="D869" s="632">
        <v>331909100000000</v>
      </c>
      <c r="E869" s="696" t="s">
        <v>1254</v>
      </c>
      <c r="F869" s="696">
        <v>6</v>
      </c>
      <c r="G869" s="696" t="s">
        <v>5596</v>
      </c>
      <c r="I869" s="696"/>
      <c r="J869" s="688"/>
      <c r="K869" s="689"/>
    </row>
    <row r="870" spans="1:11" s="691" customFormat="1" ht="20.100000000000001" customHeight="1" x14ac:dyDescent="0.2">
      <c r="A870" s="695" t="str">
        <f t="shared" si="10"/>
        <v>331909101000000  Precatorios - Ativo Civil</v>
      </c>
      <c r="B870" s="628"/>
      <c r="C870" s="631"/>
      <c r="D870" s="632">
        <v>331909101000000</v>
      </c>
      <c r="E870" s="696" t="s">
        <v>1256</v>
      </c>
      <c r="F870" s="696">
        <v>7</v>
      </c>
      <c r="G870" s="696" t="s">
        <v>5597</v>
      </c>
      <c r="I870" s="696"/>
      <c r="J870" s="688"/>
      <c r="K870" s="689"/>
    </row>
    <row r="871" spans="1:11" s="691" customFormat="1" ht="20.100000000000001" customHeight="1" x14ac:dyDescent="0.2">
      <c r="A871" s="695" t="str">
        <f t="shared" si="10"/>
        <v>331909106000000  Sentencas Judiciais De Pequeno Valor</v>
      </c>
      <c r="B871" s="628"/>
      <c r="C871" s="631"/>
      <c r="D871" s="632">
        <v>331909106000000</v>
      </c>
      <c r="E871" s="696" t="s">
        <v>1255</v>
      </c>
      <c r="F871" s="696">
        <v>7</v>
      </c>
      <c r="G871" s="696" t="s">
        <v>5597</v>
      </c>
      <c r="I871" s="696"/>
      <c r="J871" s="688"/>
      <c r="K871" s="689"/>
    </row>
    <row r="872" spans="1:11" s="691" customFormat="1" ht="20.100000000000001" customHeight="1" x14ac:dyDescent="0.2">
      <c r="A872" s="695" t="str">
        <f t="shared" si="10"/>
        <v>331909123000000  Precatorios - Inativo Civil</v>
      </c>
      <c r="B872" s="628"/>
      <c r="C872" s="631"/>
      <c r="D872" s="632">
        <v>331909123000000</v>
      </c>
      <c r="E872" s="696" t="s">
        <v>4939</v>
      </c>
      <c r="F872" s="696">
        <v>7</v>
      </c>
      <c r="G872" s="696" t="s">
        <v>5597</v>
      </c>
      <c r="I872" s="696"/>
      <c r="J872" s="688"/>
      <c r="K872" s="689"/>
    </row>
    <row r="873" spans="1:11" s="691" customFormat="1" ht="20.100000000000001" customHeight="1" x14ac:dyDescent="0.2">
      <c r="A873" s="695" t="str">
        <f t="shared" si="10"/>
        <v>331909136000000  Precatorios - Pensionista Civil</v>
      </c>
      <c r="B873" s="628"/>
      <c r="C873" s="631"/>
      <c r="D873" s="632">
        <v>331909136000000</v>
      </c>
      <c r="E873" s="696" t="s">
        <v>4940</v>
      </c>
      <c r="F873" s="696">
        <v>7</v>
      </c>
      <c r="G873" s="696" t="s">
        <v>5597</v>
      </c>
      <c r="I873" s="696"/>
      <c r="J873" s="688"/>
      <c r="K873" s="689"/>
    </row>
    <row r="874" spans="1:11" s="691" customFormat="1" ht="20.100000000000001" customHeight="1" x14ac:dyDescent="0.2">
      <c r="A874" s="695" t="str">
        <f t="shared" si="10"/>
        <v>331909199000000  Outras Sentencas Judiciais</v>
      </c>
      <c r="B874" s="628"/>
      <c r="C874" s="631"/>
      <c r="D874" s="632">
        <v>331909199000000</v>
      </c>
      <c r="E874" s="696" t="s">
        <v>4941</v>
      </c>
      <c r="F874" s="696">
        <v>7</v>
      </c>
      <c r="G874" s="696" t="s">
        <v>5597</v>
      </c>
      <c r="I874" s="696"/>
      <c r="J874" s="688"/>
      <c r="K874" s="689"/>
    </row>
    <row r="875" spans="1:11" s="691" customFormat="1" ht="20.100000000000001" customHeight="1" x14ac:dyDescent="0.2">
      <c r="A875" s="695" t="str">
        <f t="shared" si="10"/>
        <v>331909200000000  Despesas De Exercicios Anteriores</v>
      </c>
      <c r="B875" s="628"/>
      <c r="C875" s="631"/>
      <c r="D875" s="632">
        <v>331909200000000</v>
      </c>
      <c r="E875" s="696" t="s">
        <v>1158</v>
      </c>
      <c r="F875" s="696">
        <v>6</v>
      </c>
      <c r="G875" s="696" t="s">
        <v>5596</v>
      </c>
      <c r="I875" s="696"/>
      <c r="J875" s="688"/>
      <c r="K875" s="689"/>
    </row>
    <row r="876" spans="1:11" s="691" customFormat="1" ht="20.100000000000001" customHeight="1" x14ac:dyDescent="0.2">
      <c r="A876" s="695" t="str">
        <f t="shared" si="10"/>
        <v>331909201000000  Ativo Civil</v>
      </c>
      <c r="B876" s="628"/>
      <c r="C876" s="631"/>
      <c r="D876" s="632">
        <v>331909201000000</v>
      </c>
      <c r="E876" s="696" t="s">
        <v>4942</v>
      </c>
      <c r="F876" s="696">
        <v>7</v>
      </c>
      <c r="G876" s="696" t="s">
        <v>5597</v>
      </c>
      <c r="I876" s="696"/>
      <c r="J876" s="688"/>
      <c r="K876" s="689"/>
    </row>
    <row r="877" spans="1:11" s="691" customFormat="1" ht="20.100000000000001" customHeight="1" x14ac:dyDescent="0.2">
      <c r="A877" s="695" t="str">
        <f t="shared" si="10"/>
        <v>331909202000000  Inativo Civil</v>
      </c>
      <c r="B877" s="628"/>
      <c r="C877" s="631"/>
      <c r="D877" s="632">
        <v>331909202000000</v>
      </c>
      <c r="E877" s="696" t="s">
        <v>4943</v>
      </c>
      <c r="F877" s="696">
        <v>7</v>
      </c>
      <c r="G877" s="696" t="s">
        <v>5597</v>
      </c>
      <c r="I877" s="696"/>
      <c r="J877" s="688"/>
      <c r="K877" s="689"/>
    </row>
    <row r="878" spans="1:11" s="691" customFormat="1" ht="20.100000000000001" customHeight="1" x14ac:dyDescent="0.2">
      <c r="A878" s="695" t="str">
        <f t="shared" si="10"/>
        <v>331909204000000  Outras Despesas Variaveis - Civil</v>
      </c>
      <c r="B878" s="628"/>
      <c r="C878" s="631"/>
      <c r="D878" s="632">
        <v>331909204000000</v>
      </c>
      <c r="E878" s="696" t="s">
        <v>4944</v>
      </c>
      <c r="F878" s="696">
        <v>7</v>
      </c>
      <c r="G878" s="696" t="s">
        <v>5597</v>
      </c>
      <c r="I878" s="696"/>
      <c r="J878" s="688"/>
      <c r="K878" s="689"/>
    </row>
    <row r="879" spans="1:11" s="691" customFormat="1" ht="20.100000000000001" customHeight="1" x14ac:dyDescent="0.2">
      <c r="A879" s="695" t="str">
        <f t="shared" si="10"/>
        <v>331909205000000  Obrigacoes Patronais - Ativo Civil</v>
      </c>
      <c r="B879" s="628"/>
      <c r="C879" s="631"/>
      <c r="D879" s="632">
        <v>331909205000000</v>
      </c>
      <c r="E879" s="696" t="s">
        <v>4945</v>
      </c>
      <c r="F879" s="696">
        <v>7</v>
      </c>
      <c r="G879" s="696" t="s">
        <v>5597</v>
      </c>
      <c r="I879" s="696"/>
      <c r="J879" s="688"/>
      <c r="K879" s="689"/>
    </row>
    <row r="880" spans="1:11" s="691" customFormat="1" ht="20.100000000000001" customHeight="1" x14ac:dyDescent="0.2">
      <c r="A880" s="695" t="str">
        <f t="shared" si="10"/>
        <v>331909206000000  Obrigacoes Patronais - Inativo Civil</v>
      </c>
      <c r="B880" s="628"/>
      <c r="C880" s="631"/>
      <c r="D880" s="632">
        <v>331909206000000</v>
      </c>
      <c r="E880" s="696" t="s">
        <v>4946</v>
      </c>
      <c r="F880" s="696">
        <v>7</v>
      </c>
      <c r="G880" s="696" t="s">
        <v>5597</v>
      </c>
      <c r="I880" s="696"/>
      <c r="J880" s="688"/>
      <c r="K880" s="689"/>
    </row>
    <row r="881" spans="1:11" s="691" customFormat="1" ht="20.100000000000001" customHeight="1" x14ac:dyDescent="0.2">
      <c r="A881" s="695" t="str">
        <f t="shared" ref="A881:A944" si="11">CONCATENATE(D881,"  ",E881,)</f>
        <v>331909212000000  Pensionista Civil</v>
      </c>
      <c r="B881" s="628"/>
      <c r="C881" s="631"/>
      <c r="D881" s="632">
        <v>331909212000000</v>
      </c>
      <c r="E881" s="696" t="s">
        <v>4947</v>
      </c>
      <c r="F881" s="696">
        <v>7</v>
      </c>
      <c r="G881" s="696" t="s">
        <v>5597</v>
      </c>
      <c r="I881" s="696"/>
      <c r="J881" s="688"/>
      <c r="K881" s="689"/>
    </row>
    <row r="882" spans="1:11" s="691" customFormat="1" ht="20.100000000000001" customHeight="1" x14ac:dyDescent="0.2">
      <c r="A882" s="695" t="str">
        <f t="shared" si="11"/>
        <v>331909223000000  Gratificacao Por Tempo De Servico-anuenio Ativo Civil</v>
      </c>
      <c r="B882" s="628"/>
      <c r="C882" s="631"/>
      <c r="D882" s="632">
        <v>331909223000000</v>
      </c>
      <c r="E882" s="696" t="s">
        <v>4948</v>
      </c>
      <c r="F882" s="696">
        <v>7</v>
      </c>
      <c r="G882" s="696" t="s">
        <v>5597</v>
      </c>
      <c r="I882" s="696"/>
      <c r="J882" s="688"/>
      <c r="K882" s="689"/>
    </row>
    <row r="883" spans="1:11" s="691" customFormat="1" ht="20.100000000000001" customHeight="1" x14ac:dyDescent="0.2">
      <c r="A883" s="695" t="str">
        <f t="shared" si="11"/>
        <v>331909224000000  Gratificacao Por  Tempo De Servico-anuenio Inativo Civil</v>
      </c>
      <c r="B883" s="628"/>
      <c r="C883" s="631"/>
      <c r="D883" s="632">
        <v>331909224000000</v>
      </c>
      <c r="E883" s="696" t="s">
        <v>5609</v>
      </c>
      <c r="F883" s="696">
        <v>7</v>
      </c>
      <c r="G883" s="696" t="s">
        <v>5597</v>
      </c>
      <c r="I883" s="696"/>
      <c r="J883" s="688"/>
      <c r="K883" s="689"/>
    </row>
    <row r="884" spans="1:11" s="691" customFormat="1" ht="20.100000000000001" customHeight="1" x14ac:dyDescent="0.2">
      <c r="A884" s="695" t="str">
        <f t="shared" si="11"/>
        <v>331909225000000  Gratificacao Por Tempo De Servico-anuenio Pensionista  Civil</v>
      </c>
      <c r="B884" s="628"/>
      <c r="C884" s="631"/>
      <c r="D884" s="632">
        <v>331909225000000</v>
      </c>
      <c r="E884" s="696" t="s">
        <v>5610</v>
      </c>
      <c r="F884" s="696">
        <v>7</v>
      </c>
      <c r="G884" s="696" t="s">
        <v>5597</v>
      </c>
      <c r="I884" s="696"/>
      <c r="J884" s="688"/>
      <c r="K884" s="689"/>
    </row>
    <row r="885" spans="1:11" s="691" customFormat="1" ht="20.100000000000001" customHeight="1" x14ac:dyDescent="0.2">
      <c r="A885" s="695" t="str">
        <f t="shared" si="11"/>
        <v>331909226000000  Ressarcimento De Despesas De Pessoal Requisitado</v>
      </c>
      <c r="B885" s="628"/>
      <c r="C885" s="631"/>
      <c r="D885" s="632">
        <v>331909226000000</v>
      </c>
      <c r="E885" s="696" t="s">
        <v>4949</v>
      </c>
      <c r="F885" s="696">
        <v>7</v>
      </c>
      <c r="G885" s="696" t="s">
        <v>5597</v>
      </c>
      <c r="I885" s="696"/>
      <c r="J885" s="688"/>
      <c r="K885" s="689"/>
    </row>
    <row r="886" spans="1:11" s="691" customFormat="1" ht="20.100000000000001" customHeight="1" x14ac:dyDescent="0.2">
      <c r="A886" s="695" t="str">
        <f t="shared" si="11"/>
        <v>331909291000000  Precatorios</v>
      </c>
      <c r="B886" s="628"/>
      <c r="C886" s="631"/>
      <c r="D886" s="632">
        <v>331909291000000</v>
      </c>
      <c r="E886" s="696" t="s">
        <v>4950</v>
      </c>
      <c r="F886" s="696">
        <v>7</v>
      </c>
      <c r="G886" s="696" t="s">
        <v>5597</v>
      </c>
      <c r="I886" s="696"/>
      <c r="J886" s="688"/>
      <c r="K886" s="689"/>
    </row>
    <row r="887" spans="1:11" s="691" customFormat="1" ht="20.100000000000001" customHeight="1" x14ac:dyDescent="0.2">
      <c r="A887" s="695" t="str">
        <f t="shared" si="11"/>
        <v>331909299000000  Outras Despesas De Exercicios Anteriores</v>
      </c>
      <c r="B887" s="628"/>
      <c r="C887" s="631"/>
      <c r="D887" s="632">
        <v>331909299000000</v>
      </c>
      <c r="E887" s="696" t="s">
        <v>4951</v>
      </c>
      <c r="F887" s="696">
        <v>7</v>
      </c>
      <c r="G887" s="696" t="s">
        <v>5597</v>
      </c>
      <c r="I887" s="696"/>
      <c r="J887" s="688"/>
      <c r="K887" s="689"/>
    </row>
    <row r="888" spans="1:11" s="691" customFormat="1" ht="20.100000000000001" customHeight="1" x14ac:dyDescent="0.2">
      <c r="A888" s="695" t="str">
        <f t="shared" si="11"/>
        <v>331909400000000  Indenizacoes Trabalhistas</v>
      </c>
      <c r="B888" s="628"/>
      <c r="C888" s="631"/>
      <c r="D888" s="632">
        <v>331909400000000</v>
      </c>
      <c r="E888" s="696" t="s">
        <v>4952</v>
      </c>
      <c r="F888" s="696">
        <v>6</v>
      </c>
      <c r="G888" s="696" t="s">
        <v>5596</v>
      </c>
      <c r="I888" s="696"/>
      <c r="J888" s="688"/>
      <c r="K888" s="689"/>
    </row>
    <row r="889" spans="1:11" s="691" customFormat="1" ht="20.100000000000001" customHeight="1" x14ac:dyDescent="0.2">
      <c r="A889" s="695" t="str">
        <f t="shared" si="11"/>
        <v>331909401000000  Indenizacoes Trabalhistas - Ativo Civil</v>
      </c>
      <c r="B889" s="628"/>
      <c r="C889" s="631"/>
      <c r="D889" s="632">
        <v>331909401000000</v>
      </c>
      <c r="E889" s="696" t="s">
        <v>4953</v>
      </c>
      <c r="F889" s="696">
        <v>7</v>
      </c>
      <c r="G889" s="696" t="s">
        <v>5596</v>
      </c>
      <c r="I889" s="696"/>
      <c r="J889" s="688"/>
      <c r="K889" s="689"/>
    </row>
    <row r="890" spans="1:11" s="691" customFormat="1" ht="20.100000000000001" customHeight="1" x14ac:dyDescent="0.2">
      <c r="A890" s="695" t="str">
        <f t="shared" si="11"/>
        <v>331909401010000  Indenizacao P/ Demissao De Servidores/ Empregados</v>
      </c>
      <c r="B890" s="628"/>
      <c r="C890" s="631"/>
      <c r="D890" s="632">
        <v>331909401010000</v>
      </c>
      <c r="E890" s="696" t="s">
        <v>4954</v>
      </c>
      <c r="F890" s="696">
        <v>8</v>
      </c>
      <c r="G890" s="696" t="s">
        <v>5597</v>
      </c>
      <c r="I890" s="696"/>
      <c r="J890" s="688"/>
      <c r="K890" s="689"/>
    </row>
    <row r="891" spans="1:11" s="691" customFormat="1" ht="20.100000000000001" customHeight="1" x14ac:dyDescent="0.2">
      <c r="A891" s="695" t="str">
        <f t="shared" si="11"/>
        <v>331909401020000  Despesas Relativas A Programas De  Desligamento Voluntario</v>
      </c>
      <c r="B891" s="628"/>
      <c r="C891" s="631"/>
      <c r="D891" s="632">
        <v>331909401020000</v>
      </c>
      <c r="E891" s="696" t="s">
        <v>5611</v>
      </c>
      <c r="F891" s="696">
        <v>8</v>
      </c>
      <c r="G891" s="696" t="s">
        <v>5597</v>
      </c>
      <c r="I891" s="696"/>
      <c r="J891" s="688"/>
      <c r="K891" s="689"/>
    </row>
    <row r="892" spans="1:11" s="691" customFormat="1" ht="20.100000000000001" customHeight="1" x14ac:dyDescent="0.2">
      <c r="A892" s="695" t="str">
        <f t="shared" si="11"/>
        <v>331909401030000  Ferias E/ou Aviso Previo Indenizado</v>
      </c>
      <c r="B892" s="628"/>
      <c r="C892" s="631"/>
      <c r="D892" s="632">
        <v>331909401030000</v>
      </c>
      <c r="E892" s="696" t="s">
        <v>4955</v>
      </c>
      <c r="F892" s="696">
        <v>8</v>
      </c>
      <c r="G892" s="696" t="s">
        <v>5597</v>
      </c>
      <c r="I892" s="696"/>
      <c r="J892" s="688"/>
      <c r="K892" s="689"/>
    </row>
    <row r="893" spans="1:11" s="691" customFormat="1" ht="20.100000000000001" customHeight="1" x14ac:dyDescent="0.2">
      <c r="A893" s="695" t="str">
        <f t="shared" si="11"/>
        <v>331909403000000  Indenizacoes Trabalhistas - Inativo Civil</v>
      </c>
      <c r="B893" s="628"/>
      <c r="C893" s="631"/>
      <c r="D893" s="632">
        <v>331909403000000</v>
      </c>
      <c r="E893" s="696" t="s">
        <v>4956</v>
      </c>
      <c r="F893" s="696">
        <v>7</v>
      </c>
      <c r="G893" s="696" t="s">
        <v>5597</v>
      </c>
      <c r="I893" s="696"/>
      <c r="J893" s="688"/>
      <c r="K893" s="689"/>
    </row>
    <row r="894" spans="1:11" s="691" customFormat="1" ht="20.100000000000001" customHeight="1" x14ac:dyDescent="0.2">
      <c r="A894" s="695" t="str">
        <f t="shared" si="11"/>
        <v>331909413000000  Indenizacoes Trabalhistas - Pensionista Civil</v>
      </c>
      <c r="B894" s="628"/>
      <c r="C894" s="631"/>
      <c r="D894" s="632">
        <v>331909413000000</v>
      </c>
      <c r="E894" s="696" t="s">
        <v>4957</v>
      </c>
      <c r="F894" s="696">
        <v>7</v>
      </c>
      <c r="G894" s="696" t="s">
        <v>5597</v>
      </c>
      <c r="I894" s="696"/>
      <c r="J894" s="688"/>
      <c r="K894" s="689"/>
    </row>
    <row r="895" spans="1:11" s="691" customFormat="1" ht="20.100000000000001" customHeight="1" x14ac:dyDescent="0.2">
      <c r="A895" s="695" t="str">
        <f t="shared" si="11"/>
        <v>331909499000000  Diversas Indenizacoes Trabalhistas</v>
      </c>
      <c r="B895" s="628"/>
      <c r="C895" s="631"/>
      <c r="D895" s="632">
        <v>331909499000000</v>
      </c>
      <c r="E895" s="696" t="s">
        <v>4958</v>
      </c>
      <c r="F895" s="696">
        <v>7</v>
      </c>
      <c r="G895" s="696" t="s">
        <v>5597</v>
      </c>
      <c r="I895" s="696"/>
      <c r="J895" s="688"/>
      <c r="K895" s="689"/>
    </row>
    <row r="896" spans="1:11" s="691" customFormat="1" ht="20.100000000000001" customHeight="1" x14ac:dyDescent="0.2">
      <c r="A896" s="695" t="str">
        <f t="shared" si="11"/>
        <v>331909499300000  Encargos Sobre Indenizacoes Trabalhistas</v>
      </c>
      <c r="B896" s="628"/>
      <c r="C896" s="631"/>
      <c r="D896" s="632">
        <v>331909499300000</v>
      </c>
      <c r="E896" s="696" t="s">
        <v>4959</v>
      </c>
      <c r="F896" s="696">
        <v>8</v>
      </c>
      <c r="G896" s="696" t="s">
        <v>5597</v>
      </c>
      <c r="I896" s="696"/>
      <c r="J896" s="688"/>
      <c r="K896" s="689"/>
    </row>
    <row r="897" spans="1:11" s="691" customFormat="1" ht="20.100000000000001" customHeight="1" x14ac:dyDescent="0.2">
      <c r="A897" s="695" t="str">
        <f t="shared" si="11"/>
        <v>331909600000000  Ressarcimento De Despesas  De Pessoal Requisitado</v>
      </c>
      <c r="B897" s="628"/>
      <c r="C897" s="631"/>
      <c r="D897" s="632">
        <v>331909600000000</v>
      </c>
      <c r="E897" s="696" t="s">
        <v>5612</v>
      </c>
      <c r="F897" s="696">
        <v>6</v>
      </c>
      <c r="G897" s="696" t="s">
        <v>5596</v>
      </c>
      <c r="I897" s="696"/>
      <c r="J897" s="688"/>
      <c r="K897" s="689"/>
    </row>
    <row r="898" spans="1:11" s="691" customFormat="1" ht="20.100000000000001" customHeight="1" x14ac:dyDescent="0.2">
      <c r="A898" s="695" t="str">
        <f t="shared" si="11"/>
        <v>331909601000000  Pessoal Requisitado De Outros Orgaos</v>
      </c>
      <c r="B898" s="628"/>
      <c r="C898" s="631"/>
      <c r="D898" s="632">
        <v>331909601000000</v>
      </c>
      <c r="E898" s="696" t="s">
        <v>4960</v>
      </c>
      <c r="F898" s="696">
        <v>7</v>
      </c>
      <c r="G898" s="696" t="s">
        <v>5597</v>
      </c>
      <c r="I898" s="696"/>
      <c r="J898" s="688"/>
      <c r="K898" s="689"/>
    </row>
    <row r="899" spans="1:11" s="691" customFormat="1" ht="20.100000000000001" customHeight="1" x14ac:dyDescent="0.2">
      <c r="A899" s="695" t="str">
        <f t="shared" si="11"/>
        <v>331910000000000  Aplicacoes Diretas - Operações Intra-orçamentarias</v>
      </c>
      <c r="B899" s="628"/>
      <c r="C899" s="631"/>
      <c r="D899" s="632">
        <v>331910000000000</v>
      </c>
      <c r="E899" s="696" t="s">
        <v>4961</v>
      </c>
      <c r="F899" s="696">
        <v>5</v>
      </c>
      <c r="G899" s="696" t="s">
        <v>5596</v>
      </c>
      <c r="I899" s="696"/>
      <c r="J899" s="688"/>
      <c r="K899" s="689"/>
    </row>
    <row r="900" spans="1:11" s="691" customFormat="1" ht="20.100000000000001" customHeight="1" x14ac:dyDescent="0.2">
      <c r="A900" s="695" t="str">
        <f t="shared" si="11"/>
        <v>331910100000000  Aposentadorias E Reformas</v>
      </c>
      <c r="B900" s="628"/>
      <c r="C900" s="631"/>
      <c r="D900" s="632">
        <v>331910100000000</v>
      </c>
      <c r="E900" s="696" t="s">
        <v>4804</v>
      </c>
      <c r="F900" s="696">
        <v>6</v>
      </c>
      <c r="G900" s="696" t="s">
        <v>5596</v>
      </c>
      <c r="I900" s="696"/>
      <c r="J900" s="688"/>
      <c r="K900" s="689"/>
    </row>
    <row r="901" spans="1:11" s="691" customFormat="1" ht="20.100000000000001" customHeight="1" x14ac:dyDescent="0.2">
      <c r="A901" s="695" t="str">
        <f t="shared" si="11"/>
        <v>331910199000000  Outras Aposentadorias</v>
      </c>
      <c r="B901" s="628"/>
      <c r="C901" s="631"/>
      <c r="D901" s="632">
        <v>331910199000000</v>
      </c>
      <c r="E901" s="696" t="s">
        <v>4807</v>
      </c>
      <c r="F901" s="696">
        <v>7</v>
      </c>
      <c r="G901" s="696" t="s">
        <v>5596</v>
      </c>
      <c r="I901" s="696"/>
      <c r="J901" s="688"/>
      <c r="K901" s="689"/>
    </row>
    <row r="902" spans="1:11" s="691" customFormat="1" ht="20.100000000000001" customHeight="1" x14ac:dyDescent="0.2">
      <c r="A902" s="695" t="str">
        <f t="shared" si="11"/>
        <v>331910199010000  Aposentadorias De Responsabilidade Do Tesouro Do Municipio</v>
      </c>
      <c r="B902" s="628"/>
      <c r="C902" s="631"/>
      <c r="D902" s="632">
        <v>331910199010000</v>
      </c>
      <c r="E902" s="696" t="s">
        <v>4962</v>
      </c>
      <c r="F902" s="696">
        <v>8</v>
      </c>
      <c r="G902" s="696" t="s">
        <v>5597</v>
      </c>
      <c r="I902" s="696"/>
      <c r="J902" s="688"/>
      <c r="K902" s="689"/>
    </row>
    <row r="903" spans="1:11" s="691" customFormat="1" ht="20.100000000000001" customHeight="1" x14ac:dyDescent="0.2">
      <c r="A903" s="695" t="str">
        <f t="shared" si="11"/>
        <v>331910300000000  Pensoes</v>
      </c>
      <c r="B903" s="628"/>
      <c r="C903" s="631"/>
      <c r="D903" s="632">
        <v>331910300000000</v>
      </c>
      <c r="E903" s="696" t="s">
        <v>4808</v>
      </c>
      <c r="F903" s="696">
        <v>6</v>
      </c>
      <c r="G903" s="696" t="s">
        <v>5596</v>
      </c>
      <c r="I903" s="696"/>
      <c r="J903" s="688"/>
      <c r="K903" s="689"/>
    </row>
    <row r="904" spans="1:11" s="691" customFormat="1" ht="20.100000000000001" customHeight="1" x14ac:dyDescent="0.2">
      <c r="A904" s="695" t="str">
        <f t="shared" si="11"/>
        <v>331910399000000  Outras Pensoes</v>
      </c>
      <c r="B904" s="628"/>
      <c r="C904" s="631"/>
      <c r="D904" s="632">
        <v>331910399000000</v>
      </c>
      <c r="E904" s="696" t="s">
        <v>4811</v>
      </c>
      <c r="F904" s="696">
        <v>7</v>
      </c>
      <c r="G904" s="696" t="s">
        <v>5596</v>
      </c>
      <c r="I904" s="696"/>
      <c r="J904" s="688"/>
      <c r="K904" s="689"/>
    </row>
    <row r="905" spans="1:11" s="691" customFormat="1" ht="20.100000000000001" customHeight="1" x14ac:dyDescent="0.2">
      <c r="A905" s="695" t="str">
        <f t="shared" si="11"/>
        <v>331910399010000  Pensoes De Responsabilidade Do Tesouro Do Municipio</v>
      </c>
      <c r="B905" s="628"/>
      <c r="C905" s="631"/>
      <c r="D905" s="632">
        <v>331910399010000</v>
      </c>
      <c r="E905" s="696" t="s">
        <v>4963</v>
      </c>
      <c r="F905" s="696">
        <v>8</v>
      </c>
      <c r="G905" s="696" t="s">
        <v>5597</v>
      </c>
      <c r="I905" s="696"/>
      <c r="J905" s="688"/>
      <c r="K905" s="689"/>
    </row>
    <row r="906" spans="1:11" s="691" customFormat="1" ht="20.100000000000001" customHeight="1" x14ac:dyDescent="0.2">
      <c r="A906" s="695" t="str">
        <f t="shared" si="11"/>
        <v>331911300000000  Obrigacoes Patronais</v>
      </c>
      <c r="B906" s="628"/>
      <c r="C906" s="631"/>
      <c r="D906" s="632">
        <v>331911300000000</v>
      </c>
      <c r="E906" s="696" t="s">
        <v>1011</v>
      </c>
      <c r="F906" s="696">
        <v>6</v>
      </c>
      <c r="G906" s="696" t="s">
        <v>5596</v>
      </c>
      <c r="I906" s="696"/>
      <c r="J906" s="688"/>
      <c r="K906" s="689"/>
    </row>
    <row r="907" spans="1:11" s="691" customFormat="1" ht="20.100000000000001" customHeight="1" x14ac:dyDescent="0.2">
      <c r="A907" s="695" t="str">
        <f t="shared" si="11"/>
        <v>331911303000000  Contribuição Patronal Para O Rpps</v>
      </c>
      <c r="B907" s="628"/>
      <c r="C907" s="631"/>
      <c r="D907" s="632">
        <v>331911303000000</v>
      </c>
      <c r="E907" s="696" t="s">
        <v>4964</v>
      </c>
      <c r="F907" s="696">
        <v>7</v>
      </c>
      <c r="G907" s="696" t="s">
        <v>5596</v>
      </c>
      <c r="I907" s="696"/>
      <c r="J907" s="688"/>
      <c r="K907" s="689"/>
    </row>
    <row r="908" spans="1:11" s="691" customFormat="1" ht="20.100000000000001" customHeight="1" x14ac:dyDescent="0.2">
      <c r="A908" s="695" t="str">
        <f t="shared" si="11"/>
        <v>331911303010000  Contribuicoes Patronais Para O Rpps - Ativo Civil</v>
      </c>
      <c r="B908" s="628"/>
      <c r="C908" s="631"/>
      <c r="D908" s="632">
        <v>331911303010000</v>
      </c>
      <c r="E908" s="696" t="s">
        <v>4965</v>
      </c>
      <c r="F908" s="696">
        <v>8</v>
      </c>
      <c r="G908" s="696" t="s">
        <v>5597</v>
      </c>
      <c r="I908" s="696"/>
      <c r="J908" s="688"/>
      <c r="K908" s="689"/>
    </row>
    <row r="909" spans="1:11" s="691" customFormat="1" ht="20.100000000000001" customHeight="1" x14ac:dyDescent="0.2">
      <c r="A909" s="695" t="str">
        <f t="shared" si="11"/>
        <v>331911303020000  Contribuicoes Patronais Para O Rpps - Inativo Civil</v>
      </c>
      <c r="B909" s="628"/>
      <c r="C909" s="631"/>
      <c r="D909" s="632">
        <v>331911303020000</v>
      </c>
      <c r="E909" s="696" t="s">
        <v>4966</v>
      </c>
      <c r="F909" s="696">
        <v>8</v>
      </c>
      <c r="G909" s="696" t="s">
        <v>5597</v>
      </c>
      <c r="I909" s="696"/>
      <c r="J909" s="688"/>
      <c r="K909" s="689"/>
    </row>
    <row r="910" spans="1:11" s="691" customFormat="1" ht="20.100000000000001" customHeight="1" x14ac:dyDescent="0.2">
      <c r="A910" s="695" t="str">
        <f t="shared" si="11"/>
        <v>331911303030000  Contribuicoes Patronais Para O Rpps - Pensionista</v>
      </c>
      <c r="B910" s="628"/>
      <c r="C910" s="631"/>
      <c r="D910" s="632">
        <v>331911303030000</v>
      </c>
      <c r="E910" s="696" t="s">
        <v>4967</v>
      </c>
      <c r="F910" s="696">
        <v>8</v>
      </c>
      <c r="G910" s="696" t="s">
        <v>5597</v>
      </c>
      <c r="I910" s="696"/>
      <c r="J910" s="688"/>
      <c r="K910" s="689"/>
    </row>
    <row r="911" spans="1:11" s="691" customFormat="1" ht="20.100000000000001" customHeight="1" x14ac:dyDescent="0.2">
      <c r="A911" s="695" t="str">
        <f t="shared" si="11"/>
        <v>331911303040000  Contribuicoes Patronais Para O Rpps - Vereadores</v>
      </c>
      <c r="B911" s="628"/>
      <c r="C911" s="631"/>
      <c r="D911" s="632">
        <v>331911303040000</v>
      </c>
      <c r="E911" s="696" t="s">
        <v>4968</v>
      </c>
      <c r="F911" s="696">
        <v>8</v>
      </c>
      <c r="G911" s="696" t="s">
        <v>5597</v>
      </c>
      <c r="I911" s="696"/>
      <c r="J911" s="688"/>
      <c r="K911" s="689"/>
    </row>
    <row r="912" spans="1:11" s="691" customFormat="1" ht="20.100000000000001" customHeight="1" x14ac:dyDescent="0.2">
      <c r="A912" s="695" t="str">
        <f t="shared" si="11"/>
        <v>331911308000000  Plano De Seguridade  Social Do Servidor - Pessoal  Ativo</v>
      </c>
      <c r="B912" s="628"/>
      <c r="C912" s="631"/>
      <c r="D912" s="632">
        <v>331911308000000</v>
      </c>
      <c r="E912" s="696" t="s">
        <v>5613</v>
      </c>
      <c r="F912" s="696">
        <v>7</v>
      </c>
      <c r="G912" s="696" t="s">
        <v>5596</v>
      </c>
      <c r="I912" s="696"/>
      <c r="J912" s="688"/>
      <c r="K912" s="689"/>
    </row>
    <row r="913" spans="1:11" s="691" customFormat="1" ht="20.100000000000001" customHeight="1" x14ac:dyDescent="0.2">
      <c r="A913" s="695" t="str">
        <f t="shared" si="11"/>
        <v>331911308010000  Contribuicao Patronal Para O Atendimento A Saude Do Servidor Ativo</v>
      </c>
      <c r="B913" s="628"/>
      <c r="C913" s="631"/>
      <c r="D913" s="632">
        <v>331911308010000</v>
      </c>
      <c r="E913" s="696" t="s">
        <v>4969</v>
      </c>
      <c r="F913" s="696">
        <v>8</v>
      </c>
      <c r="G913" s="696" t="s">
        <v>5597</v>
      </c>
      <c r="I913" s="696"/>
      <c r="J913" s="688"/>
      <c r="K913" s="689"/>
    </row>
    <row r="914" spans="1:11" s="691" customFormat="1" ht="20.100000000000001" customHeight="1" x14ac:dyDescent="0.2">
      <c r="A914" s="695" t="str">
        <f t="shared" si="11"/>
        <v>331911308020000  Contribuicao Patronal Para A Assistencia Social Do Servidor Ativo</v>
      </c>
      <c r="B914" s="628"/>
      <c r="C914" s="631"/>
      <c r="D914" s="632">
        <v>331911308020000</v>
      </c>
      <c r="E914" s="696" t="s">
        <v>4970</v>
      </c>
      <c r="F914" s="696">
        <v>8</v>
      </c>
      <c r="G914" s="696" t="s">
        <v>5597</v>
      </c>
      <c r="I914" s="696"/>
      <c r="J914" s="688"/>
      <c r="K914" s="689"/>
    </row>
    <row r="915" spans="1:11" s="691" customFormat="1" ht="20.100000000000001" customHeight="1" x14ac:dyDescent="0.2">
      <c r="A915" s="695" t="str">
        <f t="shared" si="11"/>
        <v>331911310000000  Plano De Seguridade  Social Do Servidor - Pessoal  Inativo</v>
      </c>
      <c r="B915" s="628"/>
      <c r="C915" s="631"/>
      <c r="D915" s="632">
        <v>331911310000000</v>
      </c>
      <c r="E915" s="696" t="s">
        <v>5614</v>
      </c>
      <c r="F915" s="696">
        <v>7</v>
      </c>
      <c r="G915" s="696" t="s">
        <v>5596</v>
      </c>
      <c r="I915" s="696"/>
      <c r="J915" s="688"/>
      <c r="K915" s="689"/>
    </row>
    <row r="916" spans="1:11" s="691" customFormat="1" ht="20.100000000000001" customHeight="1" x14ac:dyDescent="0.2">
      <c r="A916" s="695" t="str">
        <f t="shared" si="11"/>
        <v>331911310010000  Contribuicao Patronal Para O Atendimento A Saude Do Servidor Inativo</v>
      </c>
      <c r="B916" s="628"/>
      <c r="C916" s="631"/>
      <c r="D916" s="632">
        <v>331911310010000</v>
      </c>
      <c r="E916" s="696" t="s">
        <v>4971</v>
      </c>
      <c r="F916" s="696">
        <v>8</v>
      </c>
      <c r="G916" s="696" t="s">
        <v>5597</v>
      </c>
      <c r="I916" s="696"/>
      <c r="J916" s="688"/>
      <c r="K916" s="689"/>
    </row>
    <row r="917" spans="1:11" s="691" customFormat="1" ht="20.100000000000001" customHeight="1" x14ac:dyDescent="0.2">
      <c r="A917" s="695" t="str">
        <f t="shared" si="11"/>
        <v>331911310020000  Contribuicao Patronal Para A Assistencia Social Do Servidor Inativo</v>
      </c>
      <c r="B917" s="628"/>
      <c r="C917" s="631"/>
      <c r="D917" s="632">
        <v>331911310020000</v>
      </c>
      <c r="E917" s="696" t="s">
        <v>4972</v>
      </c>
      <c r="F917" s="696">
        <v>8</v>
      </c>
      <c r="G917" s="696" t="s">
        <v>5597</v>
      </c>
      <c r="I917" s="696"/>
      <c r="J917" s="688"/>
      <c r="K917" s="689"/>
    </row>
    <row r="918" spans="1:11" s="691" customFormat="1" ht="20.100000000000001" customHeight="1" x14ac:dyDescent="0.2">
      <c r="A918" s="695" t="str">
        <f t="shared" si="11"/>
        <v>331911312000000  Plano De Seguridade  Social Do Pensionista</v>
      </c>
      <c r="B918" s="628"/>
      <c r="C918" s="631"/>
      <c r="D918" s="632">
        <v>331911312000000</v>
      </c>
      <c r="E918" s="696" t="s">
        <v>5615</v>
      </c>
      <c r="F918" s="696">
        <v>7</v>
      </c>
      <c r="G918" s="696" t="s">
        <v>5596</v>
      </c>
      <c r="I918" s="696"/>
      <c r="J918" s="688"/>
      <c r="K918" s="689"/>
    </row>
    <row r="919" spans="1:11" s="691" customFormat="1" ht="20.100000000000001" customHeight="1" x14ac:dyDescent="0.2">
      <c r="A919" s="695" t="str">
        <f t="shared" si="11"/>
        <v>331911312010000  Contribuicao Patronal Para O Atendimento A Saude Do Pensionista</v>
      </c>
      <c r="B919" s="628"/>
      <c r="C919" s="631"/>
      <c r="D919" s="632">
        <v>331911312010000</v>
      </c>
      <c r="E919" s="696" t="s">
        <v>4973</v>
      </c>
      <c r="F919" s="696">
        <v>8</v>
      </c>
      <c r="G919" s="696" t="s">
        <v>5597</v>
      </c>
      <c r="I919" s="696"/>
      <c r="J919" s="688"/>
      <c r="K919" s="689"/>
    </row>
    <row r="920" spans="1:11" s="691" customFormat="1" ht="20.100000000000001" customHeight="1" x14ac:dyDescent="0.2">
      <c r="A920" s="695" t="str">
        <f t="shared" si="11"/>
        <v>331911312020000  Contribuicao Patronal Para A Assistencia Social Do Pensionista</v>
      </c>
      <c r="B920" s="628"/>
      <c r="C920" s="631"/>
      <c r="D920" s="632">
        <v>331911312020000</v>
      </c>
      <c r="E920" s="696" t="s">
        <v>4974</v>
      </c>
      <c r="F920" s="696">
        <v>8</v>
      </c>
      <c r="G920" s="696" t="s">
        <v>5597</v>
      </c>
      <c r="I920" s="696"/>
      <c r="J920" s="688"/>
      <c r="K920" s="689"/>
    </row>
    <row r="921" spans="1:11" s="691" customFormat="1" ht="20.100000000000001" customHeight="1" x14ac:dyDescent="0.2">
      <c r="A921" s="695" t="str">
        <f t="shared" si="11"/>
        <v>331911315000000  Multas</v>
      </c>
      <c r="B921" s="628"/>
      <c r="C921" s="631"/>
      <c r="D921" s="632">
        <v>331911315000000</v>
      </c>
      <c r="E921" s="696" t="s">
        <v>1116</v>
      </c>
      <c r="F921" s="696">
        <v>7</v>
      </c>
      <c r="G921" s="696" t="s">
        <v>5597</v>
      </c>
      <c r="I921" s="696"/>
      <c r="J921" s="688"/>
      <c r="K921" s="689"/>
    </row>
    <row r="922" spans="1:11" s="691" customFormat="1" ht="20.100000000000001" customHeight="1" x14ac:dyDescent="0.2">
      <c r="A922" s="695" t="str">
        <f t="shared" si="11"/>
        <v>331911315010000  Multas Sobre A Contribuição Patronal Para O Rpps</v>
      </c>
      <c r="B922" s="628"/>
      <c r="C922" s="631"/>
      <c r="D922" s="632">
        <v>331911315010000</v>
      </c>
      <c r="E922" s="696" t="s">
        <v>4975</v>
      </c>
      <c r="F922" s="696">
        <v>8</v>
      </c>
      <c r="G922" s="696" t="s">
        <v>5597</v>
      </c>
      <c r="I922" s="696"/>
      <c r="J922" s="688"/>
      <c r="K922" s="689"/>
    </row>
    <row r="923" spans="1:11" s="691" customFormat="1" ht="20.100000000000001" customHeight="1" x14ac:dyDescent="0.2">
      <c r="A923" s="695" t="str">
        <f t="shared" si="11"/>
        <v>331911315020000  Multas Sobre A Contribuição Patronal Para O Plano De Seguridade  Socia</v>
      </c>
      <c r="B923" s="628"/>
      <c r="C923" s="631"/>
      <c r="D923" s="632">
        <v>331911315020000</v>
      </c>
      <c r="E923" s="696" t="s">
        <v>5616</v>
      </c>
      <c r="F923" s="696">
        <v>8</v>
      </c>
      <c r="G923" s="696" t="s">
        <v>5597</v>
      </c>
      <c r="I923" s="696"/>
      <c r="J923" s="688"/>
      <c r="K923" s="689"/>
    </row>
    <row r="924" spans="1:11" s="691" customFormat="1" ht="20.100000000000001" customHeight="1" x14ac:dyDescent="0.2">
      <c r="A924" s="695" t="str">
        <f t="shared" si="11"/>
        <v>331911317000000  Juros</v>
      </c>
      <c r="B924" s="628"/>
      <c r="C924" s="631"/>
      <c r="D924" s="632">
        <v>331911317000000</v>
      </c>
      <c r="E924" s="696" t="s">
        <v>1250</v>
      </c>
      <c r="F924" s="696">
        <v>7</v>
      </c>
      <c r="G924" s="696" t="s">
        <v>5597</v>
      </c>
      <c r="I924" s="696"/>
      <c r="J924" s="688"/>
      <c r="K924" s="689"/>
    </row>
    <row r="925" spans="1:11" s="691" customFormat="1" ht="20.100000000000001" customHeight="1" x14ac:dyDescent="0.2">
      <c r="A925" s="695" t="str">
        <f t="shared" si="11"/>
        <v>331911317010000  Juros Sobre A Contribuição Patronal Para O Rpps</v>
      </c>
      <c r="B925" s="628"/>
      <c r="C925" s="631"/>
      <c r="D925" s="632">
        <v>331911317010000</v>
      </c>
      <c r="E925" s="696" t="s">
        <v>4976</v>
      </c>
      <c r="F925" s="696">
        <v>8</v>
      </c>
      <c r="G925" s="696" t="s">
        <v>5597</v>
      </c>
      <c r="I925" s="696"/>
      <c r="J925" s="688"/>
      <c r="K925" s="689"/>
    </row>
    <row r="926" spans="1:11" s="691" customFormat="1" ht="20.100000000000001" customHeight="1" x14ac:dyDescent="0.2">
      <c r="A926" s="695" t="str">
        <f t="shared" si="11"/>
        <v>331911317020000  Juros Sobre A Contribuição Patronal Para O Plano De Seguridade  Social</v>
      </c>
      <c r="B926" s="628"/>
      <c r="C926" s="631"/>
      <c r="D926" s="632">
        <v>331911317020000</v>
      </c>
      <c r="E926" s="696" t="s">
        <v>5617</v>
      </c>
      <c r="F926" s="696">
        <v>8</v>
      </c>
      <c r="G926" s="696" t="s">
        <v>5597</v>
      </c>
      <c r="I926" s="696"/>
      <c r="J926" s="688"/>
      <c r="K926" s="689"/>
    </row>
    <row r="927" spans="1:11" s="691" customFormat="1" ht="20.100000000000001" customHeight="1" x14ac:dyDescent="0.2">
      <c r="A927" s="695" t="str">
        <f t="shared" si="11"/>
        <v>331911340000000  Encargos De Pessoal Requisitado De Outros Entes</v>
      </c>
      <c r="B927" s="628"/>
      <c r="C927" s="631"/>
      <c r="D927" s="632">
        <v>331911340000000</v>
      </c>
      <c r="E927" s="696" t="s">
        <v>4796</v>
      </c>
      <c r="F927" s="696">
        <v>7</v>
      </c>
      <c r="G927" s="696" t="s">
        <v>5597</v>
      </c>
      <c r="I927" s="696"/>
      <c r="J927" s="688"/>
      <c r="K927" s="689"/>
    </row>
    <row r="928" spans="1:11" s="691" customFormat="1" ht="20.100000000000001" customHeight="1" x14ac:dyDescent="0.2">
      <c r="A928" s="695" t="str">
        <f t="shared" si="11"/>
        <v>331911399000000  Outras Obrigacoes Patronais</v>
      </c>
      <c r="B928" s="628"/>
      <c r="C928" s="631"/>
      <c r="D928" s="632">
        <v>331911399000000</v>
      </c>
      <c r="E928" s="696" t="s">
        <v>1249</v>
      </c>
      <c r="F928" s="696">
        <v>7</v>
      </c>
      <c r="G928" s="696" t="s">
        <v>5597</v>
      </c>
      <c r="I928" s="696"/>
      <c r="J928" s="688"/>
      <c r="K928" s="689"/>
    </row>
    <row r="929" spans="1:11" s="691" customFormat="1" ht="20.100000000000001" customHeight="1" x14ac:dyDescent="0.2">
      <c r="A929" s="695" t="str">
        <f t="shared" si="11"/>
        <v>331911399010000  Amortização Do Passivo Atuarial Com O Rpps</v>
      </c>
      <c r="B929" s="628"/>
      <c r="C929" s="631"/>
      <c r="D929" s="632">
        <v>331911399010000</v>
      </c>
      <c r="E929" s="696" t="s">
        <v>4977</v>
      </c>
      <c r="F929" s="696">
        <v>8</v>
      </c>
      <c r="G929" s="696" t="s">
        <v>5597</v>
      </c>
      <c r="I929" s="696"/>
      <c r="J929" s="688"/>
      <c r="K929" s="689"/>
    </row>
    <row r="930" spans="1:11" s="691" customFormat="1" ht="20.100000000000001" customHeight="1" x14ac:dyDescent="0.2">
      <c r="A930" s="695" t="str">
        <f t="shared" si="11"/>
        <v>331919200000000  Despesas De Exercicios Anteriores</v>
      </c>
      <c r="B930" s="628"/>
      <c r="C930" s="631"/>
      <c r="D930" s="632">
        <v>331919200000000</v>
      </c>
      <c r="E930" s="696" t="s">
        <v>1158</v>
      </c>
      <c r="F930" s="696">
        <v>6</v>
      </c>
      <c r="G930" s="696" t="s">
        <v>5596</v>
      </c>
      <c r="I930" s="696"/>
      <c r="J930" s="688"/>
      <c r="K930" s="689"/>
    </row>
    <row r="931" spans="1:11" s="691" customFormat="1" ht="20.100000000000001" customHeight="1" x14ac:dyDescent="0.2">
      <c r="A931" s="695" t="str">
        <f t="shared" si="11"/>
        <v>331919205000000  Obrigacoes Patronais - Ativo Civil</v>
      </c>
      <c r="B931" s="628"/>
      <c r="C931" s="631"/>
      <c r="D931" s="632">
        <v>331919205000000</v>
      </c>
      <c r="E931" s="696" t="s">
        <v>4945</v>
      </c>
      <c r="F931" s="696">
        <v>7</v>
      </c>
      <c r="G931" s="696" t="s">
        <v>5597</v>
      </c>
      <c r="I931" s="696"/>
      <c r="J931" s="688"/>
      <c r="K931" s="689"/>
    </row>
    <row r="932" spans="1:11" s="691" customFormat="1" ht="20.100000000000001" customHeight="1" x14ac:dyDescent="0.2">
      <c r="A932" s="695" t="str">
        <f t="shared" si="11"/>
        <v>331919206000000  Obrigacoes Patronais - Inativo Civil</v>
      </c>
      <c r="B932" s="628"/>
      <c r="C932" s="631"/>
      <c r="D932" s="632">
        <v>331919206000000</v>
      </c>
      <c r="E932" s="696" t="s">
        <v>4946</v>
      </c>
      <c r="F932" s="696">
        <v>7</v>
      </c>
      <c r="G932" s="696" t="s">
        <v>5597</v>
      </c>
      <c r="I932" s="696"/>
      <c r="J932" s="688"/>
      <c r="K932" s="689"/>
    </row>
    <row r="933" spans="1:11" s="691" customFormat="1" ht="20.100000000000001" customHeight="1" x14ac:dyDescent="0.2">
      <c r="A933" s="695" t="str">
        <f t="shared" si="11"/>
        <v>331919213000000  Multas</v>
      </c>
      <c r="B933" s="628"/>
      <c r="C933" s="631"/>
      <c r="D933" s="632">
        <v>331919213000000</v>
      </c>
      <c r="E933" s="696" t="s">
        <v>1116</v>
      </c>
      <c r="F933" s="696">
        <v>7</v>
      </c>
      <c r="G933" s="696" t="s">
        <v>5597</v>
      </c>
      <c r="I933" s="696"/>
      <c r="J933" s="688"/>
      <c r="K933" s="689"/>
    </row>
    <row r="934" spans="1:11" s="691" customFormat="1" ht="20.100000000000001" customHeight="1" x14ac:dyDescent="0.2">
      <c r="A934" s="695" t="str">
        <f t="shared" si="11"/>
        <v>331919217000000  Juros</v>
      </c>
      <c r="B934" s="628"/>
      <c r="C934" s="631"/>
      <c r="D934" s="632">
        <v>331919217000000</v>
      </c>
      <c r="E934" s="696" t="s">
        <v>1250</v>
      </c>
      <c r="F934" s="696">
        <v>7</v>
      </c>
      <c r="G934" s="696" t="s">
        <v>5597</v>
      </c>
      <c r="I934" s="696"/>
      <c r="J934" s="688"/>
      <c r="K934" s="689"/>
    </row>
    <row r="935" spans="1:11" s="691" customFormat="1" ht="20.100000000000001" customHeight="1" x14ac:dyDescent="0.2">
      <c r="A935" s="695" t="str">
        <f t="shared" si="11"/>
        <v>331919226000000  Ressarcimento De Despesas De Pessoal Requisitado</v>
      </c>
      <c r="B935" s="628"/>
      <c r="C935" s="631"/>
      <c r="D935" s="632">
        <v>331919226000000</v>
      </c>
      <c r="E935" s="696" t="s">
        <v>4949</v>
      </c>
      <c r="F935" s="696">
        <v>7</v>
      </c>
      <c r="G935" s="696" t="s">
        <v>5597</v>
      </c>
      <c r="I935" s="696"/>
      <c r="J935" s="688"/>
      <c r="K935" s="689"/>
    </row>
    <row r="936" spans="1:11" s="691" customFormat="1" ht="20.100000000000001" customHeight="1" x14ac:dyDescent="0.2">
      <c r="A936" s="695" t="str">
        <f t="shared" si="11"/>
        <v>331919299000000  Outras Despesas De Exercicios Anteriores</v>
      </c>
      <c r="B936" s="628"/>
      <c r="C936" s="631"/>
      <c r="D936" s="632">
        <v>331919299000000</v>
      </c>
      <c r="E936" s="696" t="s">
        <v>4951</v>
      </c>
      <c r="F936" s="696">
        <v>7</v>
      </c>
      <c r="G936" s="696" t="s">
        <v>5596</v>
      </c>
      <c r="I936" s="696"/>
      <c r="J936" s="688"/>
      <c r="K936" s="689"/>
    </row>
    <row r="937" spans="1:11" s="691" customFormat="1" ht="20.100000000000001" customHeight="1" x14ac:dyDescent="0.2">
      <c r="A937" s="695" t="str">
        <f t="shared" si="11"/>
        <v>331919299010000  Amortização De Debitos Previdenciarios</v>
      </c>
      <c r="B937" s="628"/>
      <c r="C937" s="631"/>
      <c r="D937" s="632">
        <v>331919299010000</v>
      </c>
      <c r="E937" s="696" t="s">
        <v>4978</v>
      </c>
      <c r="F937" s="696">
        <v>8</v>
      </c>
      <c r="G937" s="696" t="s">
        <v>5597</v>
      </c>
      <c r="I937" s="696"/>
      <c r="J937" s="688"/>
      <c r="K937" s="689"/>
    </row>
    <row r="938" spans="1:11" s="691" customFormat="1" ht="20.100000000000001" customHeight="1" x14ac:dyDescent="0.2">
      <c r="A938" s="695" t="str">
        <f t="shared" si="11"/>
        <v>331919299020000  Amortização Do Passivo Atuarial</v>
      </c>
      <c r="B938" s="628"/>
      <c r="C938" s="631"/>
      <c r="D938" s="632">
        <v>331919299020000</v>
      </c>
      <c r="E938" s="696" t="s">
        <v>4979</v>
      </c>
      <c r="F938" s="696">
        <v>8</v>
      </c>
      <c r="G938" s="696" t="s">
        <v>5597</v>
      </c>
      <c r="I938" s="696"/>
      <c r="J938" s="688"/>
      <c r="K938" s="689"/>
    </row>
    <row r="939" spans="1:11" s="691" customFormat="1" ht="20.100000000000001" customHeight="1" x14ac:dyDescent="0.2">
      <c r="A939" s="695" t="str">
        <f t="shared" si="11"/>
        <v>331919299030000  Amortização De Debitos Com O Fundo/indireta De Saude Do Servidor Publi</v>
      </c>
      <c r="B939" s="628"/>
      <c r="C939" s="631"/>
      <c r="D939" s="632">
        <v>331919299030000</v>
      </c>
      <c r="E939" s="696" t="s">
        <v>4980</v>
      </c>
      <c r="F939" s="696">
        <v>8</v>
      </c>
      <c r="G939" s="696" t="s">
        <v>5597</v>
      </c>
      <c r="I939" s="696"/>
      <c r="J939" s="688"/>
      <c r="K939" s="689"/>
    </row>
    <row r="940" spans="1:11" s="691" customFormat="1" ht="20.100000000000001" customHeight="1" x14ac:dyDescent="0.2">
      <c r="A940" s="695" t="str">
        <f t="shared" si="11"/>
        <v>331919600000000  Ressarcimento De Despesas De Pessoal Requisitado - Operações Intra-orç</v>
      </c>
      <c r="B940" s="628"/>
      <c r="C940" s="631"/>
      <c r="D940" s="632">
        <v>331919600000000</v>
      </c>
      <c r="E940" s="696" t="s">
        <v>4981</v>
      </c>
      <c r="F940" s="696">
        <v>6</v>
      </c>
      <c r="G940" s="696" t="s">
        <v>5596</v>
      </c>
      <c r="I940" s="696"/>
      <c r="J940" s="688"/>
      <c r="K940" s="689"/>
    </row>
    <row r="941" spans="1:11" s="691" customFormat="1" ht="20.100000000000001" customHeight="1" x14ac:dyDescent="0.2">
      <c r="A941" s="695" t="str">
        <f t="shared" si="11"/>
        <v>331919601000000  Pessoal Requisitado De Outros Orgãos</v>
      </c>
      <c r="B941" s="628"/>
      <c r="C941" s="631"/>
      <c r="D941" s="632">
        <v>331919601000000</v>
      </c>
      <c r="E941" s="696" t="s">
        <v>4982</v>
      </c>
      <c r="F941" s="696">
        <v>7</v>
      </c>
      <c r="G941" s="696" t="s">
        <v>5597</v>
      </c>
      <c r="I941" s="696"/>
      <c r="J941" s="688"/>
      <c r="K941" s="689"/>
    </row>
    <row r="942" spans="1:11" s="691" customFormat="1" ht="20.100000000000001" customHeight="1" x14ac:dyDescent="0.2">
      <c r="A942" s="695" t="str">
        <f t="shared" si="11"/>
        <v>331919700000000  Aporte Para Cobertura Do Déficit Atuarial Do Rpps</v>
      </c>
      <c r="B942" s="628"/>
      <c r="C942" s="631"/>
      <c r="D942" s="632">
        <v>331919700000000</v>
      </c>
      <c r="E942" s="696" t="s">
        <v>4983</v>
      </c>
      <c r="F942" s="696">
        <v>6</v>
      </c>
      <c r="G942" s="696" t="s">
        <v>5597</v>
      </c>
      <c r="I942" s="696"/>
      <c r="J942" s="688"/>
      <c r="K942" s="689"/>
    </row>
    <row r="943" spans="1:11" s="691" customFormat="1" ht="20.100000000000001" customHeight="1" x14ac:dyDescent="0.2">
      <c r="A943" s="695" t="str">
        <f t="shared" si="11"/>
        <v>332000000000000  Juros E Encargos Da Divida</v>
      </c>
      <c r="B943" s="628"/>
      <c r="C943" s="631"/>
      <c r="D943" s="632">
        <v>332000000000000</v>
      </c>
      <c r="E943" s="696" t="s">
        <v>2076</v>
      </c>
      <c r="F943" s="696">
        <v>3</v>
      </c>
      <c r="G943" s="696" t="s">
        <v>5596</v>
      </c>
      <c r="I943" s="696"/>
      <c r="J943" s="688"/>
      <c r="K943" s="689"/>
    </row>
    <row r="944" spans="1:11" s="691" customFormat="1" ht="20.100000000000001" customHeight="1" x14ac:dyDescent="0.2">
      <c r="A944" s="695" t="str">
        <f t="shared" si="11"/>
        <v>332900000000000  Aplicacoes Diretas</v>
      </c>
      <c r="B944" s="628"/>
      <c r="C944" s="631"/>
      <c r="D944" s="632">
        <v>332900000000000</v>
      </c>
      <c r="E944" s="696" t="s">
        <v>2108</v>
      </c>
      <c r="F944" s="696">
        <v>4</v>
      </c>
      <c r="G944" s="696" t="s">
        <v>5596</v>
      </c>
      <c r="I944" s="696"/>
      <c r="J944" s="688"/>
      <c r="K944" s="689"/>
    </row>
    <row r="945" spans="1:11" s="691" customFormat="1" ht="20.100000000000001" customHeight="1" x14ac:dyDescent="0.2">
      <c r="A945" s="695" t="str">
        <f t="shared" ref="A945:A1008" si="12">CONCATENATE(D945,"  ",E945,)</f>
        <v>332902100000000  Juros Sobre A Divida Por Contrato</v>
      </c>
      <c r="B945" s="628"/>
      <c r="C945" s="631"/>
      <c r="D945" s="632">
        <v>332902100000000</v>
      </c>
      <c r="E945" s="696" t="s">
        <v>4984</v>
      </c>
      <c r="F945" s="696">
        <v>6</v>
      </c>
      <c r="G945" s="696" t="s">
        <v>5596</v>
      </c>
      <c r="I945" s="696"/>
      <c r="J945" s="688"/>
      <c r="K945" s="689"/>
    </row>
    <row r="946" spans="1:11" s="691" customFormat="1" ht="20.100000000000001" customHeight="1" x14ac:dyDescent="0.2">
      <c r="A946" s="695" t="str">
        <f t="shared" si="12"/>
        <v>332902101000000  Juros Da Divida Contratada Com Instituicoes Financeiras</v>
      </c>
      <c r="B946" s="628"/>
      <c r="C946" s="631"/>
      <c r="D946" s="632">
        <v>332902101000000</v>
      </c>
      <c r="E946" s="696" t="s">
        <v>4985</v>
      </c>
      <c r="F946" s="696">
        <v>7</v>
      </c>
      <c r="G946" s="696" t="s">
        <v>5597</v>
      </c>
      <c r="I946" s="696"/>
      <c r="J946" s="688"/>
      <c r="K946" s="689"/>
    </row>
    <row r="947" spans="1:11" s="691" customFormat="1" ht="20.100000000000001" customHeight="1" x14ac:dyDescent="0.2">
      <c r="A947" s="695" t="str">
        <f t="shared" si="12"/>
        <v>332902102000000  Juros Da Divida Contratada Com Governos</v>
      </c>
      <c r="B947" s="628"/>
      <c r="C947" s="631"/>
      <c r="D947" s="632">
        <v>332902102000000</v>
      </c>
      <c r="E947" s="696" t="s">
        <v>4986</v>
      </c>
      <c r="F947" s="696">
        <v>7</v>
      </c>
      <c r="G947" s="696" t="s">
        <v>5597</v>
      </c>
      <c r="I947" s="696"/>
      <c r="J947" s="688"/>
      <c r="K947" s="689"/>
    </row>
    <row r="948" spans="1:11" s="691" customFormat="1" ht="20.100000000000001" customHeight="1" x14ac:dyDescent="0.2">
      <c r="A948" s="695" t="str">
        <f t="shared" si="12"/>
        <v>332902103000000  Juros Da Divida Contratada No Exterior</v>
      </c>
      <c r="B948" s="628"/>
      <c r="C948" s="631"/>
      <c r="D948" s="632">
        <v>332902103000000</v>
      </c>
      <c r="E948" s="696" t="s">
        <v>4987</v>
      </c>
      <c r="F948" s="696">
        <v>7</v>
      </c>
      <c r="G948" s="696" t="s">
        <v>5597</v>
      </c>
      <c r="I948" s="696"/>
      <c r="J948" s="688"/>
      <c r="K948" s="689"/>
    </row>
    <row r="949" spans="1:11" s="691" customFormat="1" ht="20.100000000000001" customHeight="1" x14ac:dyDescent="0.2">
      <c r="A949" s="695" t="str">
        <f t="shared" si="12"/>
        <v>332902199000000  Outros Juros Da Divida Contratada</v>
      </c>
      <c r="B949" s="628"/>
      <c r="C949" s="631"/>
      <c r="D949" s="632">
        <v>332902199000000</v>
      </c>
      <c r="E949" s="696" t="s">
        <v>1185</v>
      </c>
      <c r="F949" s="696">
        <v>7</v>
      </c>
      <c r="G949" s="696" t="s">
        <v>5596</v>
      </c>
      <c r="I949" s="696"/>
      <c r="J949" s="688"/>
      <c r="K949" s="689"/>
    </row>
    <row r="950" spans="1:11" s="691" customFormat="1" ht="20.100000000000001" customHeight="1" x14ac:dyDescent="0.2">
      <c r="A950" s="695" t="str">
        <f t="shared" si="12"/>
        <v>332902199010000  Amortização Juros Programa Caminhos Da Escola</v>
      </c>
      <c r="B950" s="628"/>
      <c r="C950" s="631"/>
      <c r="D950" s="632">
        <v>332902199010000</v>
      </c>
      <c r="E950" s="696" t="s">
        <v>4988</v>
      </c>
      <c r="F950" s="696">
        <v>8</v>
      </c>
      <c r="G950" s="696" t="s">
        <v>5597</v>
      </c>
      <c r="I950" s="696"/>
      <c r="J950" s="688"/>
      <c r="K950" s="689"/>
    </row>
    <row r="951" spans="1:11" s="691" customFormat="1" ht="20.100000000000001" customHeight="1" x14ac:dyDescent="0.2">
      <c r="A951" s="695" t="str">
        <f t="shared" si="12"/>
        <v>332902199020000  Amortização Juros Programa Finame/provias</v>
      </c>
      <c r="B951" s="628"/>
      <c r="C951" s="631"/>
      <c r="D951" s="632">
        <v>332902199020000</v>
      </c>
      <c r="E951" s="696" t="s">
        <v>4989</v>
      </c>
      <c r="F951" s="696">
        <v>8</v>
      </c>
      <c r="G951" s="696" t="s">
        <v>5597</v>
      </c>
      <c r="I951" s="696"/>
      <c r="J951" s="688"/>
      <c r="K951" s="689"/>
    </row>
    <row r="952" spans="1:11" s="691" customFormat="1" ht="20.100000000000001" customHeight="1" x14ac:dyDescent="0.2">
      <c r="A952" s="695" t="str">
        <f t="shared" si="12"/>
        <v>332902200000000  Outros Encargos Sobre A Divida Por Contrato</v>
      </c>
      <c r="B952" s="628"/>
      <c r="C952" s="631"/>
      <c r="D952" s="632">
        <v>332902200000000</v>
      </c>
      <c r="E952" s="696" t="s">
        <v>4990</v>
      </c>
      <c r="F952" s="696">
        <v>6</v>
      </c>
      <c r="G952" s="696" t="s">
        <v>5596</v>
      </c>
      <c r="I952" s="696"/>
      <c r="J952" s="688"/>
      <c r="K952" s="689"/>
    </row>
    <row r="953" spans="1:11" s="691" customFormat="1" ht="20.100000000000001" customHeight="1" x14ac:dyDescent="0.2">
      <c r="A953" s="695" t="str">
        <f t="shared" si="12"/>
        <v>332902201000000  Encargos Da Divida Contratada Com Instituicoes Financeiras</v>
      </c>
      <c r="B953" s="628"/>
      <c r="C953" s="631"/>
      <c r="D953" s="632">
        <v>332902201000000</v>
      </c>
      <c r="E953" s="696" t="s">
        <v>4991</v>
      </c>
      <c r="F953" s="696">
        <v>7</v>
      </c>
      <c r="G953" s="696" t="s">
        <v>5597</v>
      </c>
      <c r="I953" s="696"/>
      <c r="J953" s="688"/>
      <c r="K953" s="689"/>
    </row>
    <row r="954" spans="1:11" s="691" customFormat="1" ht="20.100000000000001" customHeight="1" x14ac:dyDescent="0.2">
      <c r="A954" s="695" t="str">
        <f t="shared" si="12"/>
        <v>332902202000000  Encargos Da Divida Contratada Com Governos</v>
      </c>
      <c r="B954" s="628"/>
      <c r="C954" s="631"/>
      <c r="D954" s="632">
        <v>332902202000000</v>
      </c>
      <c r="E954" s="696" t="s">
        <v>4992</v>
      </c>
      <c r="F954" s="696">
        <v>7</v>
      </c>
      <c r="G954" s="696" t="s">
        <v>5597</v>
      </c>
      <c r="I954" s="696"/>
      <c r="J954" s="688"/>
      <c r="K954" s="689"/>
    </row>
    <row r="955" spans="1:11" s="691" customFormat="1" ht="20.100000000000001" customHeight="1" x14ac:dyDescent="0.2">
      <c r="A955" s="695" t="str">
        <f t="shared" si="12"/>
        <v>332902299000000  Diversos Encargos Da Divida Contratada</v>
      </c>
      <c r="B955" s="628"/>
      <c r="C955" s="631"/>
      <c r="D955" s="632">
        <v>332902299000000</v>
      </c>
      <c r="E955" s="696" t="s">
        <v>4993</v>
      </c>
      <c r="F955" s="696">
        <v>7</v>
      </c>
      <c r="G955" s="696" t="s">
        <v>5596</v>
      </c>
      <c r="I955" s="696"/>
      <c r="J955" s="688"/>
      <c r="K955" s="689"/>
    </row>
    <row r="956" spans="1:11" s="691" customFormat="1" ht="20.100000000000001" customHeight="1" x14ac:dyDescent="0.2">
      <c r="A956" s="695" t="str">
        <f t="shared" si="12"/>
        <v>332902299010000  Amortização De Outros Encargos Programa Caminhos Da Escola</v>
      </c>
      <c r="B956" s="628"/>
      <c r="C956" s="631"/>
      <c r="D956" s="632">
        <v>332902299010000</v>
      </c>
      <c r="E956" s="696" t="s">
        <v>4994</v>
      </c>
      <c r="F956" s="696">
        <v>8</v>
      </c>
      <c r="G956" s="696" t="s">
        <v>5597</v>
      </c>
      <c r="I956" s="696"/>
      <c r="J956" s="688"/>
      <c r="K956" s="689"/>
    </row>
    <row r="957" spans="1:11" s="691" customFormat="1" ht="20.100000000000001" customHeight="1" x14ac:dyDescent="0.2">
      <c r="A957" s="695" t="str">
        <f t="shared" si="12"/>
        <v>332902299020000  Amortização De Outros Encargos Programa Finame/provias</v>
      </c>
      <c r="B957" s="628"/>
      <c r="C957" s="631"/>
      <c r="D957" s="632">
        <v>332902299020000</v>
      </c>
      <c r="E957" s="696" t="s">
        <v>4995</v>
      </c>
      <c r="F957" s="696">
        <v>8</v>
      </c>
      <c r="G957" s="696" t="s">
        <v>5597</v>
      </c>
      <c r="I957" s="696"/>
      <c r="J957" s="688"/>
      <c r="K957" s="689"/>
    </row>
    <row r="958" spans="1:11" s="691" customFormat="1" ht="20.100000000000001" customHeight="1" x14ac:dyDescent="0.2">
      <c r="A958" s="695" t="str">
        <f t="shared" si="12"/>
        <v>332902300000000  Juros, Desagios E Descontos Da Divida Mobiliaria</v>
      </c>
      <c r="B958" s="628"/>
      <c r="C958" s="631"/>
      <c r="D958" s="632">
        <v>332902300000000</v>
      </c>
      <c r="E958" s="696" t="s">
        <v>4996</v>
      </c>
      <c r="F958" s="696">
        <v>6</v>
      </c>
      <c r="G958" s="696" t="s">
        <v>5596</v>
      </c>
      <c r="I958" s="696"/>
      <c r="J958" s="688"/>
      <c r="K958" s="689"/>
    </row>
    <row r="959" spans="1:11" s="691" customFormat="1" ht="20.100000000000001" customHeight="1" x14ac:dyDescent="0.2">
      <c r="A959" s="695" t="str">
        <f t="shared" si="12"/>
        <v>332902301000000  Juros</v>
      </c>
      <c r="B959" s="628"/>
      <c r="C959" s="631"/>
      <c r="D959" s="632">
        <v>332902301000000</v>
      </c>
      <c r="E959" s="696" t="s">
        <v>1250</v>
      </c>
      <c r="F959" s="696">
        <v>7</v>
      </c>
      <c r="G959" s="696" t="s">
        <v>5597</v>
      </c>
      <c r="I959" s="696"/>
      <c r="J959" s="688"/>
      <c r="K959" s="689"/>
    </row>
    <row r="960" spans="1:11" s="691" customFormat="1" ht="20.100000000000001" customHeight="1" x14ac:dyDescent="0.2">
      <c r="A960" s="695" t="str">
        <f t="shared" si="12"/>
        <v>332902302000000  Desagios</v>
      </c>
      <c r="B960" s="628"/>
      <c r="C960" s="631"/>
      <c r="D960" s="632">
        <v>332902302000000</v>
      </c>
      <c r="E960" s="696" t="s">
        <v>4997</v>
      </c>
      <c r="F960" s="696">
        <v>7</v>
      </c>
      <c r="G960" s="696" t="s">
        <v>5597</v>
      </c>
      <c r="I960" s="696"/>
      <c r="J960" s="688"/>
      <c r="K960" s="689"/>
    </row>
    <row r="961" spans="1:11" s="691" customFormat="1" ht="20.100000000000001" customHeight="1" x14ac:dyDescent="0.2">
      <c r="A961" s="695" t="str">
        <f t="shared" si="12"/>
        <v>332902303000000  Descontos</v>
      </c>
      <c r="B961" s="628"/>
      <c r="C961" s="631"/>
      <c r="D961" s="632">
        <v>332902303000000</v>
      </c>
      <c r="E961" s="696" t="s">
        <v>4998</v>
      </c>
      <c r="F961" s="696">
        <v>7</v>
      </c>
      <c r="G961" s="696" t="s">
        <v>5597</v>
      </c>
      <c r="I961" s="696"/>
      <c r="J961" s="688"/>
      <c r="K961" s="689"/>
    </row>
    <row r="962" spans="1:11" s="691" customFormat="1" ht="20.100000000000001" customHeight="1" x14ac:dyDescent="0.2">
      <c r="A962" s="695" t="str">
        <f t="shared" si="12"/>
        <v>332902400000000  Outros Encargos Sobre A Divida Mobiliaria</v>
      </c>
      <c r="B962" s="628"/>
      <c r="C962" s="631"/>
      <c r="D962" s="632">
        <v>332902400000000</v>
      </c>
      <c r="E962" s="696" t="s">
        <v>4999</v>
      </c>
      <c r="F962" s="696">
        <v>6</v>
      </c>
      <c r="G962" s="696" t="s">
        <v>5596</v>
      </c>
      <c r="I962" s="696"/>
      <c r="J962" s="688"/>
      <c r="K962" s="689"/>
    </row>
    <row r="963" spans="1:11" s="691" customFormat="1" ht="20.100000000000001" customHeight="1" x14ac:dyDescent="0.2">
      <c r="A963" s="695" t="str">
        <f t="shared" si="12"/>
        <v>332902401000000  Encargos</v>
      </c>
      <c r="B963" s="628"/>
      <c r="C963" s="631"/>
      <c r="D963" s="632">
        <v>332902401000000</v>
      </c>
      <c r="E963" s="696" t="s">
        <v>5000</v>
      </c>
      <c r="F963" s="696">
        <v>7</v>
      </c>
      <c r="G963" s="696" t="s">
        <v>5597</v>
      </c>
      <c r="I963" s="696"/>
      <c r="J963" s="688"/>
      <c r="K963" s="689"/>
    </row>
    <row r="964" spans="1:11" s="691" customFormat="1" ht="20.100000000000001" customHeight="1" x14ac:dyDescent="0.2">
      <c r="A964" s="695" t="str">
        <f t="shared" si="12"/>
        <v>332902500000000  Encargos Sobre Operacoes De Credito Por Antecipacao  Da Receita</v>
      </c>
      <c r="B964" s="628"/>
      <c r="C964" s="631"/>
      <c r="D964" s="632">
        <v>332902500000000</v>
      </c>
      <c r="E964" s="696" t="s">
        <v>5618</v>
      </c>
      <c r="F964" s="696">
        <v>6</v>
      </c>
      <c r="G964" s="696" t="s">
        <v>5596</v>
      </c>
      <c r="I964" s="696"/>
      <c r="J964" s="688"/>
      <c r="K964" s="689"/>
    </row>
    <row r="965" spans="1:11" s="691" customFormat="1" ht="20.100000000000001" customHeight="1" x14ac:dyDescent="0.2">
      <c r="A965" s="695" t="str">
        <f t="shared" si="12"/>
        <v>332902501000000  Encargos Sobre Adiantamentos Bancarios</v>
      </c>
      <c r="B965" s="628"/>
      <c r="C965" s="631"/>
      <c r="D965" s="632">
        <v>332902501000000</v>
      </c>
      <c r="E965" s="696" t="s">
        <v>5001</v>
      </c>
      <c r="F965" s="696">
        <v>7</v>
      </c>
      <c r="G965" s="696" t="s">
        <v>5597</v>
      </c>
      <c r="I965" s="696"/>
      <c r="J965" s="688"/>
      <c r="K965" s="689"/>
    </row>
    <row r="966" spans="1:11" s="691" customFormat="1" ht="20.100000000000001" customHeight="1" x14ac:dyDescent="0.2">
      <c r="A966" s="695" t="str">
        <f t="shared" si="12"/>
        <v>332909100000000  Sentencas Judiciais</v>
      </c>
      <c r="B966" s="628"/>
      <c r="C966" s="631"/>
      <c r="D966" s="632">
        <v>332909100000000</v>
      </c>
      <c r="E966" s="696" t="s">
        <v>1254</v>
      </c>
      <c r="F966" s="696">
        <v>6</v>
      </c>
      <c r="G966" s="696" t="s">
        <v>5596</v>
      </c>
      <c r="I966" s="696"/>
      <c r="J966" s="688"/>
      <c r="K966" s="689"/>
    </row>
    <row r="967" spans="1:11" s="691" customFormat="1" ht="20.100000000000001" customHeight="1" x14ac:dyDescent="0.2">
      <c r="A967" s="695" t="str">
        <f t="shared" si="12"/>
        <v>332909101000000  Sentencas Judiciais</v>
      </c>
      <c r="B967" s="628"/>
      <c r="C967" s="631"/>
      <c r="D967" s="632">
        <v>332909101000000</v>
      </c>
      <c r="E967" s="696" t="s">
        <v>1254</v>
      </c>
      <c r="F967" s="696">
        <v>7</v>
      </c>
      <c r="G967" s="696" t="s">
        <v>5597</v>
      </c>
      <c r="I967" s="696"/>
      <c r="J967" s="688"/>
      <c r="K967" s="689"/>
    </row>
    <row r="968" spans="1:11" s="691" customFormat="1" ht="20.100000000000001" customHeight="1" x14ac:dyDescent="0.2">
      <c r="A968" s="695" t="str">
        <f t="shared" si="12"/>
        <v>332909200000000  Despesas De Exercicios Anteriores</v>
      </c>
      <c r="B968" s="628"/>
      <c r="C968" s="631"/>
      <c r="D968" s="632">
        <v>332909200000000</v>
      </c>
      <c r="E968" s="696" t="s">
        <v>1158</v>
      </c>
      <c r="F968" s="696">
        <v>6</v>
      </c>
      <c r="G968" s="696" t="s">
        <v>5596</v>
      </c>
      <c r="I968" s="696"/>
      <c r="J968" s="688"/>
      <c r="K968" s="689"/>
    </row>
    <row r="969" spans="1:11" s="691" customFormat="1" ht="20.100000000000001" customHeight="1" x14ac:dyDescent="0.2">
      <c r="A969" s="695" t="str">
        <f t="shared" si="12"/>
        <v>332909201000000  Juros Da Divida Interna</v>
      </c>
      <c r="B969" s="628"/>
      <c r="C969" s="631"/>
      <c r="D969" s="632">
        <v>332909201000000</v>
      </c>
      <c r="E969" s="696" t="s">
        <v>5002</v>
      </c>
      <c r="F969" s="696">
        <v>7</v>
      </c>
      <c r="G969" s="696" t="s">
        <v>5597</v>
      </c>
      <c r="I969" s="696"/>
      <c r="J969" s="688"/>
      <c r="K969" s="689"/>
    </row>
    <row r="970" spans="1:11" s="691" customFormat="1" ht="20.100000000000001" customHeight="1" x14ac:dyDescent="0.2">
      <c r="A970" s="695" t="str">
        <f t="shared" si="12"/>
        <v>332909202000000  Encargos Da Divida Interna</v>
      </c>
      <c r="B970" s="628"/>
      <c r="C970" s="631"/>
      <c r="D970" s="632">
        <v>332909202000000</v>
      </c>
      <c r="E970" s="696" t="s">
        <v>5003</v>
      </c>
      <c r="F970" s="696">
        <v>7</v>
      </c>
      <c r="G970" s="696" t="s">
        <v>5597</v>
      </c>
      <c r="I970" s="696"/>
      <c r="J970" s="688"/>
      <c r="K970" s="689"/>
    </row>
    <row r="971" spans="1:11" s="691" customFormat="1" ht="20.100000000000001" customHeight="1" x14ac:dyDescent="0.2">
      <c r="A971" s="695" t="str">
        <f t="shared" si="12"/>
        <v>332909204000000  Encargos Da Divida Externa</v>
      </c>
      <c r="B971" s="628"/>
      <c r="C971" s="631"/>
      <c r="D971" s="632">
        <v>332909204000000</v>
      </c>
      <c r="E971" s="696" t="s">
        <v>5004</v>
      </c>
      <c r="F971" s="696">
        <v>7</v>
      </c>
      <c r="G971" s="696" t="s">
        <v>5597</v>
      </c>
      <c r="I971" s="696"/>
      <c r="J971" s="688"/>
      <c r="K971" s="689"/>
    </row>
    <row r="972" spans="1:11" s="691" customFormat="1" ht="20.100000000000001" customHeight="1" x14ac:dyDescent="0.2">
      <c r="A972" s="695" t="str">
        <f t="shared" si="12"/>
        <v>332909300000000  Indenizacoes E Restituicoes</v>
      </c>
      <c r="B972" s="628"/>
      <c r="C972" s="631"/>
      <c r="D972" s="632">
        <v>332909300000000</v>
      </c>
      <c r="E972" s="696" t="s">
        <v>985</v>
      </c>
      <c r="F972" s="696">
        <v>6</v>
      </c>
      <c r="G972" s="696" t="s">
        <v>5596</v>
      </c>
      <c r="I972" s="696"/>
      <c r="J972" s="688"/>
      <c r="K972" s="689"/>
    </row>
    <row r="973" spans="1:11" s="691" customFormat="1" ht="20.100000000000001" customHeight="1" x14ac:dyDescent="0.2">
      <c r="A973" s="695" t="str">
        <f t="shared" si="12"/>
        <v>332909399000000  Outras Indenizacoes E Restituicoes</v>
      </c>
      <c r="B973" s="628"/>
      <c r="C973" s="631"/>
      <c r="D973" s="632">
        <v>332909399000000</v>
      </c>
      <c r="E973" s="696" t="s">
        <v>5005</v>
      </c>
      <c r="F973" s="696">
        <v>7</v>
      </c>
      <c r="G973" s="696" t="s">
        <v>5597</v>
      </c>
      <c r="I973" s="696"/>
      <c r="J973" s="688"/>
      <c r="K973" s="689"/>
    </row>
    <row r="974" spans="1:11" s="691" customFormat="1" ht="20.100000000000001" customHeight="1" x14ac:dyDescent="0.2">
      <c r="A974" s="695" t="str">
        <f t="shared" si="12"/>
        <v>333000000000000  Outras Despesas Correntes</v>
      </c>
      <c r="B974" s="628"/>
      <c r="C974" s="631"/>
      <c r="D974" s="632">
        <v>333000000000000</v>
      </c>
      <c r="E974" s="696" t="s">
        <v>94</v>
      </c>
      <c r="F974" s="696">
        <v>3</v>
      </c>
      <c r="G974" s="696" t="s">
        <v>5596</v>
      </c>
      <c r="I974" s="696"/>
      <c r="J974" s="688"/>
      <c r="K974" s="689"/>
    </row>
    <row r="975" spans="1:11" s="691" customFormat="1" ht="20.100000000000001" customHeight="1" x14ac:dyDescent="0.2">
      <c r="A975" s="695" t="str">
        <f t="shared" si="12"/>
        <v>333200000000000  Transferencias A Uniao</v>
      </c>
      <c r="B975" s="628"/>
      <c r="C975" s="631"/>
      <c r="D975" s="632">
        <v>333200000000000</v>
      </c>
      <c r="E975" s="696" t="s">
        <v>2118</v>
      </c>
      <c r="F975" s="696">
        <v>4</v>
      </c>
      <c r="G975" s="696" t="s">
        <v>5596</v>
      </c>
      <c r="I975" s="696"/>
      <c r="J975" s="688"/>
      <c r="K975" s="689"/>
    </row>
    <row r="976" spans="1:11" s="691" customFormat="1" ht="20.100000000000001" customHeight="1" x14ac:dyDescent="0.2">
      <c r="A976" s="695" t="str">
        <f t="shared" si="12"/>
        <v>333200100000000  Aposentadorias E Reformas</v>
      </c>
      <c r="B976" s="628"/>
      <c r="C976" s="631"/>
      <c r="D976" s="632">
        <v>333200100000000</v>
      </c>
      <c r="E976" s="696" t="s">
        <v>4804</v>
      </c>
      <c r="F976" s="696">
        <v>6</v>
      </c>
      <c r="G976" s="696" t="s">
        <v>5596</v>
      </c>
      <c r="I976" s="696"/>
      <c r="J976" s="688"/>
      <c r="K976" s="689"/>
    </row>
    <row r="977" spans="1:11" s="691" customFormat="1" ht="20.100000000000001" customHeight="1" x14ac:dyDescent="0.2">
      <c r="A977" s="695" t="str">
        <f t="shared" si="12"/>
        <v>333200101000000  Compensacao Previdaposentadorias Entre Rpps E Rgps</v>
      </c>
      <c r="B977" s="628"/>
      <c r="C977" s="631"/>
      <c r="D977" s="632">
        <v>333200101000000</v>
      </c>
      <c r="E977" s="696" t="s">
        <v>5006</v>
      </c>
      <c r="F977" s="696">
        <v>7</v>
      </c>
      <c r="G977" s="696" t="s">
        <v>5597</v>
      </c>
      <c r="I977" s="696"/>
      <c r="J977" s="688"/>
      <c r="K977" s="689"/>
    </row>
    <row r="978" spans="1:11" s="691" customFormat="1" ht="20.100000000000001" customHeight="1" x14ac:dyDescent="0.2">
      <c r="A978" s="695" t="str">
        <f t="shared" si="12"/>
        <v>333200101010000  Compensacao Previdenciaria - Aposentadorias Entre Pm E Rgps</v>
      </c>
      <c r="B978" s="628"/>
      <c r="C978" s="631"/>
      <c r="D978" s="632">
        <v>333200101010000</v>
      </c>
      <c r="E978" s="696" t="s">
        <v>5007</v>
      </c>
      <c r="F978" s="696">
        <v>8</v>
      </c>
      <c r="G978" s="696" t="s">
        <v>5597</v>
      </c>
      <c r="I978" s="696"/>
      <c r="J978" s="688"/>
      <c r="K978" s="689"/>
    </row>
    <row r="979" spans="1:11" s="691" customFormat="1" ht="20.100000000000001" customHeight="1" x14ac:dyDescent="0.2">
      <c r="A979" s="695" t="str">
        <f t="shared" si="12"/>
        <v>333200101020000  Compensacao Previdenciaria - Aposentadorias Entre Rpps E Rgps</v>
      </c>
      <c r="B979" s="628"/>
      <c r="C979" s="631"/>
      <c r="D979" s="632">
        <v>333200101020000</v>
      </c>
      <c r="E979" s="696" t="s">
        <v>5008</v>
      </c>
      <c r="F979" s="696">
        <v>8</v>
      </c>
      <c r="G979" s="696" t="s">
        <v>5597</v>
      </c>
      <c r="I979" s="696"/>
      <c r="J979" s="688"/>
      <c r="K979" s="689"/>
    </row>
    <row r="980" spans="1:11" s="691" customFormat="1" ht="20.100000000000001" customHeight="1" x14ac:dyDescent="0.2">
      <c r="A980" s="695" t="str">
        <f t="shared" si="12"/>
        <v>333200300000000  Pensoes</v>
      </c>
      <c r="B980" s="628"/>
      <c r="C980" s="631"/>
      <c r="D980" s="632">
        <v>333200300000000</v>
      </c>
      <c r="E980" s="696" t="s">
        <v>4808</v>
      </c>
      <c r="F980" s="696">
        <v>6</v>
      </c>
      <c r="G980" s="696" t="s">
        <v>5596</v>
      </c>
      <c r="I980" s="696"/>
      <c r="J980" s="688"/>
      <c r="K980" s="689"/>
    </row>
    <row r="981" spans="1:11" s="691" customFormat="1" ht="20.100000000000001" customHeight="1" x14ac:dyDescent="0.2">
      <c r="A981" s="695" t="str">
        <f t="shared" si="12"/>
        <v>333200301000000  Compensacao Previdde Pensoes Entre Rpps E Rgps</v>
      </c>
      <c r="B981" s="628"/>
      <c r="C981" s="631"/>
      <c r="D981" s="632">
        <v>333200301000000</v>
      </c>
      <c r="E981" s="696" t="s">
        <v>5009</v>
      </c>
      <c r="F981" s="696">
        <v>7</v>
      </c>
      <c r="G981" s="696" t="s">
        <v>5597</v>
      </c>
      <c r="I981" s="696"/>
      <c r="J981" s="688"/>
      <c r="K981" s="689"/>
    </row>
    <row r="982" spans="1:11" s="691" customFormat="1" ht="20.100000000000001" customHeight="1" x14ac:dyDescent="0.2">
      <c r="A982" s="695" t="str">
        <f t="shared" si="12"/>
        <v>333200301010000  Compensacao Previdenciaria - Pensoes Entre Pm E Rgps</v>
      </c>
      <c r="B982" s="628"/>
      <c r="C982" s="631"/>
      <c r="D982" s="632">
        <v>333200301010000</v>
      </c>
      <c r="E982" s="696" t="s">
        <v>5010</v>
      </c>
      <c r="F982" s="696">
        <v>8</v>
      </c>
      <c r="G982" s="696" t="s">
        <v>5597</v>
      </c>
      <c r="I982" s="696"/>
      <c r="J982" s="688"/>
      <c r="K982" s="689"/>
    </row>
    <row r="983" spans="1:11" s="691" customFormat="1" ht="20.100000000000001" customHeight="1" x14ac:dyDescent="0.2">
      <c r="A983" s="695" t="str">
        <f t="shared" si="12"/>
        <v>333200301020000  Compensacao Previdenciaria - Pensoes Entre Rpps E Rgps</v>
      </c>
      <c r="B983" s="628"/>
      <c r="C983" s="631"/>
      <c r="D983" s="632">
        <v>333200301020000</v>
      </c>
      <c r="E983" s="696" t="s">
        <v>5011</v>
      </c>
      <c r="F983" s="696">
        <v>8</v>
      </c>
      <c r="G983" s="696" t="s">
        <v>5597</v>
      </c>
      <c r="I983" s="696"/>
      <c r="J983" s="688"/>
      <c r="K983" s="689"/>
    </row>
    <row r="984" spans="1:11" s="691" customFormat="1" ht="20.100000000000001" customHeight="1" x14ac:dyDescent="0.2">
      <c r="A984" s="695" t="str">
        <f t="shared" si="12"/>
        <v>333203900000000  Outros Servicos De Terceiros - Pessoa Juridica</v>
      </c>
      <c r="B984" s="628"/>
      <c r="C984" s="631"/>
      <c r="D984" s="632">
        <v>333203900000000</v>
      </c>
      <c r="E984" s="696" t="s">
        <v>2186</v>
      </c>
      <c r="F984" s="696">
        <v>6</v>
      </c>
      <c r="G984" s="696" t="s">
        <v>5596</v>
      </c>
      <c r="I984" s="696"/>
      <c r="J984" s="688"/>
      <c r="K984" s="689"/>
    </row>
    <row r="985" spans="1:11" s="691" customFormat="1" ht="20.100000000000001" customHeight="1" x14ac:dyDescent="0.2">
      <c r="A985" s="695" t="str">
        <f t="shared" si="12"/>
        <v>333203900010000  Pagamento De Laudemio</v>
      </c>
      <c r="B985" s="628"/>
      <c r="C985" s="631"/>
      <c r="D985" s="632">
        <v>333203900010000</v>
      </c>
      <c r="E985" s="696" t="s">
        <v>5012</v>
      </c>
      <c r="F985" s="696">
        <v>8</v>
      </c>
      <c r="G985" s="696" t="s">
        <v>5597</v>
      </c>
      <c r="I985" s="696"/>
      <c r="J985" s="688"/>
      <c r="K985" s="689"/>
    </row>
    <row r="986" spans="1:11" s="691" customFormat="1" ht="20.100000000000001" customHeight="1" x14ac:dyDescent="0.2">
      <c r="A986" s="695" t="str">
        <f t="shared" si="12"/>
        <v>333204100000000  Contribuicoes</v>
      </c>
      <c r="B986" s="628"/>
      <c r="C986" s="631"/>
      <c r="D986" s="632">
        <v>333204100000000</v>
      </c>
      <c r="E986" s="696" t="s">
        <v>1057</v>
      </c>
      <c r="F986" s="696">
        <v>6</v>
      </c>
      <c r="G986" s="696" t="s">
        <v>5596</v>
      </c>
      <c r="I986" s="696"/>
      <c r="J986" s="688"/>
      <c r="K986" s="689"/>
    </row>
    <row r="987" spans="1:11" s="691" customFormat="1" ht="20.100000000000001" customHeight="1" x14ac:dyDescent="0.2">
      <c r="A987" s="695" t="str">
        <f t="shared" si="12"/>
        <v>333204199000000  Outras Contribuicoes</v>
      </c>
      <c r="B987" s="628"/>
      <c r="C987" s="631"/>
      <c r="D987" s="632">
        <v>333204199000000</v>
      </c>
      <c r="E987" s="696" t="s">
        <v>4843</v>
      </c>
      <c r="F987" s="696">
        <v>7</v>
      </c>
      <c r="G987" s="696" t="s">
        <v>5596</v>
      </c>
      <c r="I987" s="696"/>
      <c r="J987" s="688"/>
      <c r="K987" s="689"/>
    </row>
    <row r="988" spans="1:11" s="691" customFormat="1" ht="20.100000000000001" customHeight="1" x14ac:dyDescent="0.2">
      <c r="A988" s="695" t="str">
        <f t="shared" si="12"/>
        <v>333204199010000  Transferencias Funset-fundo Nacseguranca Eductransito(lf 9503/97)</v>
      </c>
      <c r="B988" s="628"/>
      <c r="C988" s="631"/>
      <c r="D988" s="632">
        <v>333204199010000</v>
      </c>
      <c r="E988" s="696" t="s">
        <v>5013</v>
      </c>
      <c r="F988" s="696">
        <v>8</v>
      </c>
      <c r="G988" s="696" t="s">
        <v>5597</v>
      </c>
      <c r="I988" s="696"/>
      <c r="J988" s="688"/>
      <c r="K988" s="689"/>
    </row>
    <row r="989" spans="1:11" s="691" customFormat="1" ht="20.100000000000001" customHeight="1" x14ac:dyDescent="0.2">
      <c r="A989" s="695" t="str">
        <f t="shared" si="12"/>
        <v>333204199020000  Transferencia Valores A Justica Eleitoral</v>
      </c>
      <c r="B989" s="628"/>
      <c r="C989" s="631"/>
      <c r="D989" s="632">
        <v>333204199020000</v>
      </c>
      <c r="E989" s="696" t="s">
        <v>5014</v>
      </c>
      <c r="F989" s="696">
        <v>8</v>
      </c>
      <c r="G989" s="696" t="s">
        <v>5597</v>
      </c>
      <c r="I989" s="696"/>
      <c r="J989" s="688"/>
      <c r="K989" s="689"/>
    </row>
    <row r="990" spans="1:11" s="691" customFormat="1" ht="20.100000000000001" customHeight="1" x14ac:dyDescent="0.2">
      <c r="A990" s="695" t="str">
        <f t="shared" si="12"/>
        <v>333209300000000  Indenizacoes E Restituicoes</v>
      </c>
      <c r="B990" s="628"/>
      <c r="C990" s="631"/>
      <c r="D990" s="632">
        <v>333209300000000</v>
      </c>
      <c r="E990" s="696" t="s">
        <v>985</v>
      </c>
      <c r="F990" s="696">
        <v>6</v>
      </c>
      <c r="G990" s="696" t="s">
        <v>5596</v>
      </c>
      <c r="I990" s="696"/>
      <c r="J990" s="688"/>
      <c r="K990" s="689"/>
    </row>
    <row r="991" spans="1:11" s="691" customFormat="1" ht="20.100000000000001" customHeight="1" x14ac:dyDescent="0.2">
      <c r="A991" s="695" t="str">
        <f t="shared" si="12"/>
        <v>333209300010000  Restituicao De Transferencias E Convenios Recebidos Da Uniao</v>
      </c>
      <c r="B991" s="628"/>
      <c r="C991" s="631"/>
      <c r="D991" s="632">
        <v>333209300010000</v>
      </c>
      <c r="E991" s="696" t="s">
        <v>5015</v>
      </c>
      <c r="F991" s="696">
        <v>8</v>
      </c>
      <c r="G991" s="696" t="s">
        <v>5597</v>
      </c>
      <c r="I991" s="696"/>
      <c r="J991" s="688"/>
      <c r="K991" s="689"/>
    </row>
    <row r="992" spans="1:11" s="691" customFormat="1" ht="20.100000000000001" customHeight="1" x14ac:dyDescent="0.2">
      <c r="A992" s="695" t="str">
        <f t="shared" si="12"/>
        <v>333300000000000  Transferencias A Estados E Ao Distrito Federal</v>
      </c>
      <c r="B992" s="628"/>
      <c r="C992" s="631"/>
      <c r="D992" s="632">
        <v>333300000000000</v>
      </c>
      <c r="E992" s="696" t="s">
        <v>2128</v>
      </c>
      <c r="F992" s="696">
        <v>4</v>
      </c>
      <c r="G992" s="696" t="s">
        <v>5596</v>
      </c>
      <c r="I992" s="696"/>
      <c r="J992" s="688"/>
      <c r="K992" s="689"/>
    </row>
    <row r="993" spans="1:11" s="691" customFormat="1" ht="20.100000000000001" customHeight="1" x14ac:dyDescent="0.2">
      <c r="A993" s="695" t="str">
        <f t="shared" si="12"/>
        <v>333304100000000  Contribuicoes</v>
      </c>
      <c r="B993" s="628"/>
      <c r="C993" s="631"/>
      <c r="D993" s="632">
        <v>333304100000000</v>
      </c>
      <c r="E993" s="696" t="s">
        <v>1057</v>
      </c>
      <c r="F993" s="696">
        <v>6</v>
      </c>
      <c r="G993" s="696" t="s">
        <v>5596</v>
      </c>
      <c r="I993" s="696"/>
      <c r="J993" s="688"/>
      <c r="K993" s="689"/>
    </row>
    <row r="994" spans="1:11" s="691" customFormat="1" ht="20.100000000000001" customHeight="1" x14ac:dyDescent="0.2">
      <c r="A994" s="695" t="str">
        <f t="shared" si="12"/>
        <v>333304139000000  Rio Grande Do Sul</v>
      </c>
      <c r="B994" s="628"/>
      <c r="C994" s="631"/>
      <c r="D994" s="632">
        <v>333304139000000</v>
      </c>
      <c r="E994" s="696" t="s">
        <v>1274</v>
      </c>
      <c r="F994" s="696">
        <v>7</v>
      </c>
      <c r="G994" s="696" t="s">
        <v>5596</v>
      </c>
      <c r="I994" s="696"/>
      <c r="J994" s="688"/>
      <c r="K994" s="689"/>
    </row>
    <row r="995" spans="1:11" s="691" customFormat="1" ht="20.100000000000001" customHeight="1" x14ac:dyDescent="0.2">
      <c r="A995" s="695" t="str">
        <f t="shared" si="12"/>
        <v>333304139010000  Compensacao Financeira (§9° Art201 Da Cf)</v>
      </c>
      <c r="B995" s="628"/>
      <c r="C995" s="631"/>
      <c r="D995" s="632">
        <v>333304139010000</v>
      </c>
      <c r="E995" s="696" t="s">
        <v>5016</v>
      </c>
      <c r="F995" s="696">
        <v>8</v>
      </c>
      <c r="G995" s="696" t="s">
        <v>5597</v>
      </c>
      <c r="I995" s="696"/>
      <c r="J995" s="688"/>
      <c r="K995" s="689"/>
    </row>
    <row r="996" spans="1:11" s="691" customFormat="1" ht="20.100000000000001" customHeight="1" x14ac:dyDescent="0.2">
      <c r="A996" s="695" t="str">
        <f t="shared" si="12"/>
        <v>333304139020000  Programa Troca-troca</v>
      </c>
      <c r="B996" s="628"/>
      <c r="C996" s="631"/>
      <c r="D996" s="632">
        <v>333304139020000</v>
      </c>
      <c r="E996" s="696" t="s">
        <v>987</v>
      </c>
      <c r="F996" s="696">
        <v>8</v>
      </c>
      <c r="G996" s="696" t="s">
        <v>5597</v>
      </c>
      <c r="I996" s="696"/>
      <c r="J996" s="688"/>
      <c r="K996" s="689"/>
    </row>
    <row r="997" spans="1:11" s="691" customFormat="1" ht="20.100000000000001" customHeight="1" x14ac:dyDescent="0.2">
      <c r="A997" s="695" t="str">
        <f t="shared" si="12"/>
        <v>333304139030000  Transferencias P/ Grupamentos De Incendio</v>
      </c>
      <c r="B997" s="628"/>
      <c r="C997" s="631"/>
      <c r="D997" s="632">
        <v>333304139030000</v>
      </c>
      <c r="E997" s="696" t="s">
        <v>5017</v>
      </c>
      <c r="F997" s="696">
        <v>8</v>
      </c>
      <c r="G997" s="696" t="s">
        <v>5597</v>
      </c>
      <c r="I997" s="696"/>
      <c r="J997" s="688"/>
      <c r="K997" s="689"/>
    </row>
    <row r="998" spans="1:11" s="691" customFormat="1" ht="20.100000000000001" customHeight="1" x14ac:dyDescent="0.2">
      <c r="A998" s="695" t="str">
        <f t="shared" si="12"/>
        <v>333304139040000  Transferencia Para Corede</v>
      </c>
      <c r="B998" s="628"/>
      <c r="C998" s="631"/>
      <c r="D998" s="632">
        <v>333304139040000</v>
      </c>
      <c r="E998" s="696" t="s">
        <v>1273</v>
      </c>
      <c r="F998" s="696">
        <v>8</v>
      </c>
      <c r="G998" s="696" t="s">
        <v>5597</v>
      </c>
      <c r="I998" s="696"/>
      <c r="J998" s="688"/>
      <c r="K998" s="689"/>
    </row>
    <row r="999" spans="1:11" s="691" customFormat="1" ht="20.100000000000001" customHeight="1" x14ac:dyDescent="0.2">
      <c r="A999" s="695" t="str">
        <f t="shared" si="12"/>
        <v>333304139050000  Transferencia Para Consepro</v>
      </c>
      <c r="B999" s="628"/>
      <c r="C999" s="631"/>
      <c r="D999" s="632">
        <v>333304139050000</v>
      </c>
      <c r="E999" s="696" t="s">
        <v>1272</v>
      </c>
      <c r="F999" s="696">
        <v>8</v>
      </c>
      <c r="G999" s="696" t="s">
        <v>5597</v>
      </c>
      <c r="I999" s="696"/>
      <c r="J999" s="688"/>
      <c r="K999" s="689"/>
    </row>
    <row r="1000" spans="1:11" s="691" customFormat="1" ht="20.100000000000001" customHeight="1" x14ac:dyDescent="0.2">
      <c r="A1000" s="695" t="str">
        <f t="shared" si="12"/>
        <v>333304139060000  Transferencia Para Convênio Com Daer</v>
      </c>
      <c r="B1000" s="628"/>
      <c r="C1000" s="631"/>
      <c r="D1000" s="632">
        <v>333304139060000</v>
      </c>
      <c r="E1000" s="696" t="s">
        <v>5018</v>
      </c>
      <c r="F1000" s="696">
        <v>8</v>
      </c>
      <c r="G1000" s="696" t="s">
        <v>5597</v>
      </c>
      <c r="I1000" s="696"/>
      <c r="J1000" s="688"/>
      <c r="K1000" s="689"/>
    </row>
    <row r="1001" spans="1:11" s="691" customFormat="1" ht="20.100000000000001" customHeight="1" x14ac:dyDescent="0.2">
      <c r="A1001" s="695" t="str">
        <f t="shared" si="12"/>
        <v>333304300000000  Subvencoes Sociais</v>
      </c>
      <c r="B1001" s="628"/>
      <c r="C1001" s="631"/>
      <c r="D1001" s="632">
        <v>333304300000000</v>
      </c>
      <c r="E1001" s="696" t="s">
        <v>1027</v>
      </c>
      <c r="F1001" s="696">
        <v>6</v>
      </c>
      <c r="G1001" s="696" t="s">
        <v>5596</v>
      </c>
      <c r="I1001" s="696"/>
      <c r="J1001" s="688"/>
      <c r="K1001" s="689"/>
    </row>
    <row r="1002" spans="1:11" s="691" customFormat="1" ht="20.100000000000001" customHeight="1" x14ac:dyDescent="0.2">
      <c r="A1002" s="695" t="str">
        <f t="shared" si="12"/>
        <v>333304339000000  Rio Grande Do Sul</v>
      </c>
      <c r="B1002" s="628"/>
      <c r="C1002" s="631"/>
      <c r="D1002" s="632">
        <v>333304339000000</v>
      </c>
      <c r="E1002" s="696" t="s">
        <v>1274</v>
      </c>
      <c r="F1002" s="696">
        <v>7</v>
      </c>
      <c r="G1002" s="696" t="s">
        <v>5596</v>
      </c>
      <c r="I1002" s="696"/>
      <c r="J1002" s="688"/>
      <c r="K1002" s="689"/>
    </row>
    <row r="1003" spans="1:11" s="691" customFormat="1" ht="20.100000000000001" customHeight="1" x14ac:dyDescent="0.2">
      <c r="A1003" s="695" t="str">
        <f t="shared" si="12"/>
        <v>333304700000000  Obrigacoes Tributarias E Contributivas</v>
      </c>
      <c r="B1003" s="628"/>
      <c r="C1003" s="631"/>
      <c r="D1003" s="632">
        <v>333304700000000</v>
      </c>
      <c r="E1003" s="696" t="s">
        <v>990</v>
      </c>
      <c r="F1003" s="696">
        <v>6</v>
      </c>
      <c r="G1003" s="696" t="s">
        <v>5596</v>
      </c>
      <c r="I1003" s="696"/>
      <c r="J1003" s="688"/>
      <c r="K1003" s="689"/>
    </row>
    <row r="1004" spans="1:11" s="691" customFormat="1" ht="20.100000000000001" customHeight="1" x14ac:dyDescent="0.2">
      <c r="A1004" s="695" t="str">
        <f t="shared" si="12"/>
        <v>333304799000000  Outras Obrigacoes Tributarias E Contributivas</v>
      </c>
      <c r="B1004" s="628"/>
      <c r="C1004" s="631"/>
      <c r="D1004" s="632">
        <v>333304799000000</v>
      </c>
      <c r="E1004" s="696" t="s">
        <v>5019</v>
      </c>
      <c r="F1004" s="696">
        <v>7</v>
      </c>
      <c r="G1004" s="696" t="s">
        <v>5597</v>
      </c>
      <c r="I1004" s="696"/>
      <c r="J1004" s="688"/>
      <c r="K1004" s="689"/>
    </row>
    <row r="1005" spans="1:11" s="691" customFormat="1" ht="20.100000000000001" customHeight="1" x14ac:dyDescent="0.2">
      <c r="A1005" s="695" t="str">
        <f t="shared" si="12"/>
        <v>333309300000000  Indenizacoes E Restituicoes</v>
      </c>
      <c r="B1005" s="628"/>
      <c r="C1005" s="631"/>
      <c r="D1005" s="632">
        <v>333309300000000</v>
      </c>
      <c r="E1005" s="696" t="s">
        <v>985</v>
      </c>
      <c r="F1005" s="696">
        <v>6</v>
      </c>
      <c r="G1005" s="696" t="s">
        <v>5596</v>
      </c>
      <c r="I1005" s="696"/>
      <c r="J1005" s="688"/>
      <c r="K1005" s="689"/>
    </row>
    <row r="1006" spans="1:11" s="691" customFormat="1" ht="20.100000000000001" customHeight="1" x14ac:dyDescent="0.2">
      <c r="A1006" s="695" t="str">
        <f t="shared" si="12"/>
        <v>333309339000000  Rio Grande Do Sul</v>
      </c>
      <c r="B1006" s="628"/>
      <c r="C1006" s="631"/>
      <c r="D1006" s="632">
        <v>333309339000000</v>
      </c>
      <c r="E1006" s="696" t="s">
        <v>1274</v>
      </c>
      <c r="F1006" s="696">
        <v>7</v>
      </c>
      <c r="G1006" s="696" t="s">
        <v>5596</v>
      </c>
      <c r="I1006" s="696"/>
      <c r="J1006" s="688"/>
      <c r="K1006" s="689"/>
    </row>
    <row r="1007" spans="1:11" s="691" customFormat="1" ht="20.100000000000001" customHeight="1" x14ac:dyDescent="0.2">
      <c r="A1007" s="695" t="str">
        <f t="shared" si="12"/>
        <v>333309339010000  Restituicao De Transferencias E Convenios Recebidos Do Estado</v>
      </c>
      <c r="B1007" s="628"/>
      <c r="C1007" s="631"/>
      <c r="D1007" s="632">
        <v>333309339010000</v>
      </c>
      <c r="E1007" s="696" t="s">
        <v>1014</v>
      </c>
      <c r="F1007" s="696">
        <v>8</v>
      </c>
      <c r="G1007" s="696" t="s">
        <v>5597</v>
      </c>
      <c r="I1007" s="696"/>
      <c r="J1007" s="688"/>
      <c r="K1007" s="689"/>
    </row>
    <row r="1008" spans="1:11" s="691" customFormat="1" ht="20.100000000000001" customHeight="1" x14ac:dyDescent="0.2">
      <c r="A1008" s="695" t="str">
        <f t="shared" si="12"/>
        <v>333309339020000  Restituicao De Ipva</v>
      </c>
      <c r="B1008" s="628"/>
      <c r="C1008" s="631"/>
      <c r="D1008" s="632">
        <v>333309339020000</v>
      </c>
      <c r="E1008" s="696" t="s">
        <v>5020</v>
      </c>
      <c r="F1008" s="696">
        <v>8</v>
      </c>
      <c r="G1008" s="696" t="s">
        <v>5597</v>
      </c>
      <c r="I1008" s="696"/>
      <c r="J1008" s="688"/>
      <c r="K1008" s="689"/>
    </row>
    <row r="1009" spans="1:11" s="691" customFormat="1" ht="20.100000000000001" customHeight="1" x14ac:dyDescent="0.2">
      <c r="A1009" s="695" t="str">
        <f t="shared" ref="A1009:A1072" si="13">CONCATENATE(D1009,"  ",E1009,)</f>
        <v>333400000000000  Transferencias A Municipios</v>
      </c>
      <c r="B1009" s="628"/>
      <c r="C1009" s="631"/>
      <c r="D1009" s="632">
        <v>333400000000000</v>
      </c>
      <c r="E1009" s="696" t="s">
        <v>4795</v>
      </c>
      <c r="F1009" s="696">
        <v>4</v>
      </c>
      <c r="G1009" s="696" t="s">
        <v>5596</v>
      </c>
      <c r="I1009" s="696"/>
      <c r="J1009" s="688"/>
      <c r="K1009" s="689"/>
    </row>
    <row r="1010" spans="1:11" s="691" customFormat="1" ht="20.100000000000001" customHeight="1" x14ac:dyDescent="0.2">
      <c r="A1010" s="695" t="str">
        <f t="shared" si="13"/>
        <v>333404100000000  Contribuicoes</v>
      </c>
      <c r="B1010" s="628"/>
      <c r="C1010" s="631"/>
      <c r="D1010" s="632">
        <v>333404100000000</v>
      </c>
      <c r="E1010" s="696" t="s">
        <v>1057</v>
      </c>
      <c r="F1010" s="696">
        <v>6</v>
      </c>
      <c r="G1010" s="696" t="s">
        <v>5596</v>
      </c>
      <c r="I1010" s="696"/>
      <c r="J1010" s="688"/>
      <c r="K1010" s="689"/>
    </row>
    <row r="1011" spans="1:11" s="691" customFormat="1" ht="20.100000000000001" customHeight="1" x14ac:dyDescent="0.2">
      <c r="A1011" s="695" t="str">
        <f t="shared" si="13"/>
        <v>333404139000000  A Municipios Do Estado Do Rio Grande Do Sul</v>
      </c>
      <c r="B1011" s="628"/>
      <c r="C1011" s="631"/>
      <c r="D1011" s="632">
        <v>333404139000000</v>
      </c>
      <c r="E1011" s="696" t="s">
        <v>5021</v>
      </c>
      <c r="F1011" s="696">
        <v>7</v>
      </c>
      <c r="G1011" s="696" t="s">
        <v>5596</v>
      </c>
      <c r="I1011" s="696"/>
      <c r="J1011" s="688"/>
      <c r="K1011" s="689"/>
    </row>
    <row r="1012" spans="1:11" s="691" customFormat="1" ht="20.100000000000001" customHeight="1" x14ac:dyDescent="0.2">
      <c r="A1012" s="695" t="str">
        <f t="shared" si="13"/>
        <v>333404139010000  Compensacao Financeira (§9° Art201 Da Cf)</v>
      </c>
      <c r="B1012" s="628"/>
      <c r="C1012" s="631"/>
      <c r="D1012" s="632">
        <v>333404139010000</v>
      </c>
      <c r="E1012" s="696" t="s">
        <v>5016</v>
      </c>
      <c r="F1012" s="696">
        <v>8</v>
      </c>
      <c r="G1012" s="696" t="s">
        <v>5597</v>
      </c>
      <c r="I1012" s="696"/>
      <c r="J1012" s="688"/>
      <c r="K1012" s="689"/>
    </row>
    <row r="1013" spans="1:11" s="691" customFormat="1" ht="20.100000000000001" customHeight="1" x14ac:dyDescent="0.2">
      <c r="A1013" s="695" t="str">
        <f t="shared" si="13"/>
        <v>333404139020000  Contribuicoes A Escolas Municipais</v>
      </c>
      <c r="B1013" s="628"/>
      <c r="C1013" s="631"/>
      <c r="D1013" s="632">
        <v>333404139020000</v>
      </c>
      <c r="E1013" s="696" t="s">
        <v>5022</v>
      </c>
      <c r="F1013" s="696">
        <v>8</v>
      </c>
      <c r="G1013" s="696" t="s">
        <v>5597</v>
      </c>
      <c r="I1013" s="696"/>
      <c r="J1013" s="688"/>
      <c r="K1013" s="689"/>
    </row>
    <row r="1014" spans="1:11" s="691" customFormat="1" ht="20.100000000000001" customHeight="1" x14ac:dyDescent="0.2">
      <c r="A1014" s="695" t="str">
        <f t="shared" si="13"/>
        <v>333404139030000  Contribuicoes Municipio Polo Da Contrapartida Convenio C/uniao</v>
      </c>
      <c r="B1014" s="628"/>
      <c r="C1014" s="631"/>
      <c r="D1014" s="632">
        <v>333404139030000</v>
      </c>
      <c r="E1014" s="696" t="s">
        <v>5023</v>
      </c>
      <c r="F1014" s="696">
        <v>8</v>
      </c>
      <c r="G1014" s="696" t="s">
        <v>5597</v>
      </c>
      <c r="I1014" s="696"/>
      <c r="J1014" s="688"/>
      <c r="K1014" s="689"/>
    </row>
    <row r="1015" spans="1:11" s="691" customFormat="1" ht="20.100000000000001" customHeight="1" x14ac:dyDescent="0.2">
      <c r="A1015" s="695" t="str">
        <f t="shared" si="13"/>
        <v>333404139040000  Transferencia A Municipio Emancipado P/ Acerto De  Contas</v>
      </c>
      <c r="B1015" s="628"/>
      <c r="C1015" s="631"/>
      <c r="D1015" s="632">
        <v>333404139040000</v>
      </c>
      <c r="E1015" s="696" t="s">
        <v>5619</v>
      </c>
      <c r="F1015" s="696">
        <v>8</v>
      </c>
      <c r="G1015" s="696" t="s">
        <v>5597</v>
      </c>
      <c r="I1015" s="696"/>
      <c r="J1015" s="688"/>
      <c r="K1015" s="689"/>
    </row>
    <row r="1016" spans="1:11" s="691" customFormat="1" ht="20.100000000000001" customHeight="1" x14ac:dyDescent="0.2">
      <c r="A1016" s="695" t="str">
        <f t="shared" si="13"/>
        <v>333404700000000  Obrigações Tributarias E Contributivas</v>
      </c>
      <c r="B1016" s="628"/>
      <c r="C1016" s="631"/>
      <c r="D1016" s="632">
        <v>333404700000000</v>
      </c>
      <c r="E1016" s="696" t="s">
        <v>1117</v>
      </c>
      <c r="F1016" s="696">
        <v>6</v>
      </c>
      <c r="G1016" s="696" t="s">
        <v>5596</v>
      </c>
      <c r="I1016" s="696"/>
      <c r="J1016" s="688"/>
      <c r="K1016" s="689"/>
    </row>
    <row r="1017" spans="1:11" s="691" customFormat="1" ht="20.100000000000001" customHeight="1" x14ac:dyDescent="0.2">
      <c r="A1017" s="695" t="str">
        <f t="shared" si="13"/>
        <v>333404799000000  Outras Obrigações Tributarias E Contributivas</v>
      </c>
      <c r="B1017" s="628"/>
      <c r="C1017" s="631"/>
      <c r="D1017" s="632">
        <v>333404799000000</v>
      </c>
      <c r="E1017" s="696" t="s">
        <v>5024</v>
      </c>
      <c r="F1017" s="696">
        <v>7</v>
      </c>
      <c r="G1017" s="696" t="s">
        <v>5596</v>
      </c>
      <c r="I1017" s="696"/>
      <c r="J1017" s="688"/>
      <c r="K1017" s="689"/>
    </row>
    <row r="1018" spans="1:11" s="691" customFormat="1" ht="20.100000000000001" customHeight="1" x14ac:dyDescent="0.2">
      <c r="A1018" s="695" t="str">
        <f t="shared" si="13"/>
        <v>333404799010000  Contribuição Patronal Para  Rpps De Outro Municipio</v>
      </c>
      <c r="B1018" s="628"/>
      <c r="C1018" s="631"/>
      <c r="D1018" s="632">
        <v>333404799010000</v>
      </c>
      <c r="E1018" s="696" t="s">
        <v>5620</v>
      </c>
      <c r="F1018" s="696">
        <v>8</v>
      </c>
      <c r="G1018" s="696" t="s">
        <v>5597</v>
      </c>
      <c r="I1018" s="696"/>
      <c r="J1018" s="688"/>
      <c r="K1018" s="689"/>
    </row>
    <row r="1019" spans="1:11" s="691" customFormat="1" ht="20.100000000000001" customHeight="1" x14ac:dyDescent="0.2">
      <c r="A1019" s="695" t="str">
        <f t="shared" si="13"/>
        <v>333409300000000  Indenizacoes E Restituicoes</v>
      </c>
      <c r="B1019" s="628"/>
      <c r="C1019" s="631"/>
      <c r="D1019" s="632">
        <v>333409300000000</v>
      </c>
      <c r="E1019" s="696" t="s">
        <v>985</v>
      </c>
      <c r="F1019" s="696">
        <v>6</v>
      </c>
      <c r="G1019" s="696" t="s">
        <v>5596</v>
      </c>
      <c r="I1019" s="696"/>
      <c r="J1019" s="688"/>
      <c r="K1019" s="689"/>
    </row>
    <row r="1020" spans="1:11" s="691" customFormat="1" ht="20.100000000000001" customHeight="1" x14ac:dyDescent="0.2">
      <c r="A1020" s="695" t="str">
        <f t="shared" si="13"/>
        <v>333409399000000  Outras Indenizacoes E Restituicoes</v>
      </c>
      <c r="B1020" s="628"/>
      <c r="C1020" s="631"/>
      <c r="D1020" s="632">
        <v>333409399000000</v>
      </c>
      <c r="E1020" s="696" t="s">
        <v>5005</v>
      </c>
      <c r="F1020" s="696">
        <v>7</v>
      </c>
      <c r="G1020" s="696" t="s">
        <v>5596</v>
      </c>
      <c r="I1020" s="696"/>
      <c r="J1020" s="688"/>
      <c r="K1020" s="689"/>
    </row>
    <row r="1021" spans="1:11" s="691" customFormat="1" ht="20.100000000000001" customHeight="1" x14ac:dyDescent="0.2">
      <c r="A1021" s="695" t="str">
        <f t="shared" si="13"/>
        <v>333409399010000  Restituicao De Transferencias E Convenios Recebidos Dos Municipios</v>
      </c>
      <c r="B1021" s="628"/>
      <c r="C1021" s="631"/>
      <c r="D1021" s="632">
        <v>333409399010000</v>
      </c>
      <c r="E1021" s="696" t="s">
        <v>5025</v>
      </c>
      <c r="F1021" s="696">
        <v>8</v>
      </c>
      <c r="G1021" s="696" t="s">
        <v>5597</v>
      </c>
      <c r="I1021" s="696"/>
      <c r="J1021" s="688"/>
      <c r="K1021" s="689"/>
    </row>
    <row r="1022" spans="1:11" s="691" customFormat="1" ht="20.100000000000001" customHeight="1" x14ac:dyDescent="0.2">
      <c r="A1022" s="695" t="str">
        <f t="shared" si="13"/>
        <v>333500000000000  Transferencias  A Instituicoes  Privadas Sem Fins Lucrativos</v>
      </c>
      <c r="B1022" s="628"/>
      <c r="C1022" s="631"/>
      <c r="D1022" s="632">
        <v>333500000000000</v>
      </c>
      <c r="E1022" s="696" t="s">
        <v>5598</v>
      </c>
      <c r="F1022" s="696">
        <v>4</v>
      </c>
      <c r="G1022" s="696" t="s">
        <v>5596</v>
      </c>
      <c r="I1022" s="696"/>
      <c r="J1022" s="688"/>
      <c r="K1022" s="689"/>
    </row>
    <row r="1023" spans="1:11" s="691" customFormat="1" ht="20.100000000000001" customHeight="1" x14ac:dyDescent="0.2">
      <c r="A1023" s="695" t="str">
        <f t="shared" si="13"/>
        <v>333504100000000  Contribuicoes</v>
      </c>
      <c r="B1023" s="628"/>
      <c r="C1023" s="631"/>
      <c r="D1023" s="632">
        <v>333504100000000</v>
      </c>
      <c r="E1023" s="696" t="s">
        <v>1057</v>
      </c>
      <c r="F1023" s="696">
        <v>6</v>
      </c>
      <c r="G1023" s="696" t="s">
        <v>5596</v>
      </c>
      <c r="I1023" s="696"/>
      <c r="J1023" s="688"/>
      <c r="K1023" s="689"/>
    </row>
    <row r="1024" spans="1:11" s="691" customFormat="1" ht="20.100000000000001" customHeight="1" x14ac:dyDescent="0.2">
      <c r="A1024" s="695" t="str">
        <f t="shared" si="13"/>
        <v>333504101000000  Instituicoes De Carater Assistencial,  Cultural E Educacional</v>
      </c>
      <c r="B1024" s="628"/>
      <c r="C1024" s="631"/>
      <c r="D1024" s="632">
        <v>333504101000000</v>
      </c>
      <c r="E1024" s="696" t="s">
        <v>5621</v>
      </c>
      <c r="F1024" s="696">
        <v>7</v>
      </c>
      <c r="G1024" s="696" t="s">
        <v>5596</v>
      </c>
      <c r="I1024" s="696"/>
      <c r="J1024" s="688"/>
      <c r="K1024" s="689"/>
    </row>
    <row r="1025" spans="1:11" s="691" customFormat="1" ht="20.100000000000001" customHeight="1" x14ac:dyDescent="0.2">
      <c r="A1025" s="695" t="str">
        <f t="shared" si="13"/>
        <v>333504101010000  Programa Dinheiro Direto Nas Escolas - Pdde</v>
      </c>
      <c r="B1025" s="628"/>
      <c r="C1025" s="631"/>
      <c r="D1025" s="632">
        <v>333504101010000</v>
      </c>
      <c r="E1025" s="696" t="s">
        <v>5026</v>
      </c>
      <c r="F1025" s="696">
        <v>8</v>
      </c>
      <c r="G1025" s="696" t="s">
        <v>5597</v>
      </c>
      <c r="I1025" s="696"/>
      <c r="J1025" s="688"/>
      <c r="K1025" s="689"/>
    </row>
    <row r="1026" spans="1:11" s="691" customFormat="1" ht="20.100000000000001" customHeight="1" x14ac:dyDescent="0.2">
      <c r="A1026" s="695" t="str">
        <f t="shared" si="13"/>
        <v>333504103000000  Instituicoes De Pesquisa  E Desenvolvimento Tecnologico</v>
      </c>
      <c r="B1026" s="628"/>
      <c r="C1026" s="631"/>
      <c r="D1026" s="632">
        <v>333504103000000</v>
      </c>
      <c r="E1026" s="696" t="s">
        <v>5622</v>
      </c>
      <c r="F1026" s="696">
        <v>7</v>
      </c>
      <c r="G1026" s="696" t="s">
        <v>5597</v>
      </c>
      <c r="I1026" s="696"/>
      <c r="J1026" s="688"/>
      <c r="K1026" s="689"/>
    </row>
    <row r="1027" spans="1:11" s="691" customFormat="1" ht="20.100000000000001" customHeight="1" x14ac:dyDescent="0.2">
      <c r="A1027" s="695" t="str">
        <f t="shared" si="13"/>
        <v>333504108000000  Entidades Representativas De Classe</v>
      </c>
      <c r="B1027" s="628"/>
      <c r="C1027" s="631"/>
      <c r="D1027" s="632">
        <v>333504108000000</v>
      </c>
      <c r="E1027" s="696" t="s">
        <v>5027</v>
      </c>
      <c r="F1027" s="696">
        <v>7</v>
      </c>
      <c r="G1027" s="696" t="s">
        <v>5597</v>
      </c>
      <c r="I1027" s="696"/>
      <c r="J1027" s="688"/>
      <c r="K1027" s="689"/>
    </row>
    <row r="1028" spans="1:11" s="691" customFormat="1" ht="20.100000000000001" customHeight="1" x14ac:dyDescent="0.2">
      <c r="A1028" s="695" t="str">
        <f t="shared" si="13"/>
        <v>333504199000000  Outras Instituicoes Privadas</v>
      </c>
      <c r="B1028" s="628"/>
      <c r="C1028" s="631"/>
      <c r="D1028" s="632">
        <v>333504199000000</v>
      </c>
      <c r="E1028" s="696" t="s">
        <v>1059</v>
      </c>
      <c r="F1028" s="696">
        <v>7</v>
      </c>
      <c r="G1028" s="696" t="s">
        <v>5597</v>
      </c>
      <c r="I1028" s="696"/>
      <c r="J1028" s="688"/>
      <c r="K1028" s="689"/>
    </row>
    <row r="1029" spans="1:11" s="691" customFormat="1" ht="20.100000000000001" customHeight="1" x14ac:dyDescent="0.2">
      <c r="A1029" s="695" t="str">
        <f t="shared" si="13"/>
        <v>333504300000000  Subvencoes Sociais</v>
      </c>
      <c r="B1029" s="628"/>
      <c r="C1029" s="631"/>
      <c r="D1029" s="632">
        <v>333504300000000</v>
      </c>
      <c r="E1029" s="696" t="s">
        <v>1027</v>
      </c>
      <c r="F1029" s="696">
        <v>6</v>
      </c>
      <c r="G1029" s="696" t="s">
        <v>5596</v>
      </c>
      <c r="I1029" s="696"/>
      <c r="J1029" s="688"/>
      <c r="K1029" s="689"/>
    </row>
    <row r="1030" spans="1:11" s="691" customFormat="1" ht="20.100000000000001" customHeight="1" x14ac:dyDescent="0.2">
      <c r="A1030" s="695" t="str">
        <f t="shared" si="13"/>
        <v>333504301000000  Instituicoes De Carater Assistencial,  Cultural E Educacional</v>
      </c>
      <c r="B1030" s="628"/>
      <c r="C1030" s="631"/>
      <c r="D1030" s="632">
        <v>333504301000000</v>
      </c>
      <c r="E1030" s="696" t="s">
        <v>5621</v>
      </c>
      <c r="F1030" s="696">
        <v>7</v>
      </c>
      <c r="G1030" s="696" t="s">
        <v>5597</v>
      </c>
      <c r="I1030" s="696"/>
      <c r="J1030" s="688"/>
      <c r="K1030" s="689"/>
    </row>
    <row r="1031" spans="1:11" s="691" customFormat="1" ht="20.100000000000001" customHeight="1" x14ac:dyDescent="0.2">
      <c r="A1031" s="695" t="str">
        <f t="shared" si="13"/>
        <v>333504399000000  Outras Instituicoes Privadas</v>
      </c>
      <c r="B1031" s="628"/>
      <c r="C1031" s="631"/>
      <c r="D1031" s="632">
        <v>333504399000000</v>
      </c>
      <c r="E1031" s="696" t="s">
        <v>1059</v>
      </c>
      <c r="F1031" s="696">
        <v>7</v>
      </c>
      <c r="G1031" s="696" t="s">
        <v>5597</v>
      </c>
      <c r="I1031" s="696"/>
      <c r="J1031" s="688"/>
      <c r="K1031" s="689"/>
    </row>
    <row r="1032" spans="1:11" s="691" customFormat="1" ht="20.100000000000001" customHeight="1" x14ac:dyDescent="0.2">
      <c r="A1032" s="695" t="str">
        <f t="shared" si="13"/>
        <v>333509200000000  Despesas De Exercicios Anteriores</v>
      </c>
      <c r="B1032" s="628"/>
      <c r="C1032" s="631"/>
      <c r="D1032" s="632">
        <v>333509200000000</v>
      </c>
      <c r="E1032" s="696" t="s">
        <v>1158</v>
      </c>
      <c r="F1032" s="696">
        <v>6</v>
      </c>
      <c r="G1032" s="696" t="s">
        <v>5596</v>
      </c>
      <c r="I1032" s="696"/>
      <c r="J1032" s="688"/>
      <c r="K1032" s="689"/>
    </row>
    <row r="1033" spans="1:11" s="691" customFormat="1" ht="20.100000000000001" customHeight="1" x14ac:dyDescent="0.2">
      <c r="A1033" s="695" t="str">
        <f t="shared" si="13"/>
        <v>333509299000000  Outras Despesas De Exercicios Anteriores</v>
      </c>
      <c r="B1033" s="628"/>
      <c r="C1033" s="631"/>
      <c r="D1033" s="632">
        <v>333509299000000</v>
      </c>
      <c r="E1033" s="696" t="s">
        <v>4951</v>
      </c>
      <c r="F1033" s="696">
        <v>7</v>
      </c>
      <c r="G1033" s="696" t="s">
        <v>5597</v>
      </c>
      <c r="I1033" s="696"/>
      <c r="J1033" s="688"/>
      <c r="K1033" s="689"/>
    </row>
    <row r="1034" spans="1:11" s="691" customFormat="1" ht="20.100000000000001" customHeight="1" x14ac:dyDescent="0.2">
      <c r="A1034" s="695" t="str">
        <f t="shared" si="13"/>
        <v>333509300000000  Indenizacoes E Restituicoes</v>
      </c>
      <c r="B1034" s="628"/>
      <c r="C1034" s="631"/>
      <c r="D1034" s="632">
        <v>333509300000000</v>
      </c>
      <c r="E1034" s="696" t="s">
        <v>985</v>
      </c>
      <c r="F1034" s="696">
        <v>6</v>
      </c>
      <c r="G1034" s="696" t="s">
        <v>5596</v>
      </c>
      <c r="I1034" s="696"/>
      <c r="J1034" s="688"/>
      <c r="K1034" s="689"/>
    </row>
    <row r="1035" spans="1:11" s="691" customFormat="1" ht="20.100000000000001" customHeight="1" x14ac:dyDescent="0.2">
      <c r="A1035" s="695" t="str">
        <f t="shared" si="13"/>
        <v>333509302000000  Restituicoes</v>
      </c>
      <c r="B1035" s="628"/>
      <c r="C1035" s="631"/>
      <c r="D1035" s="632">
        <v>333509302000000</v>
      </c>
      <c r="E1035" s="696" t="s">
        <v>986</v>
      </c>
      <c r="F1035" s="696">
        <v>7</v>
      </c>
      <c r="G1035" s="696" t="s">
        <v>5596</v>
      </c>
      <c r="I1035" s="696"/>
      <c r="J1035" s="688"/>
      <c r="K1035" s="689"/>
    </row>
    <row r="1036" spans="1:11" s="691" customFormat="1" ht="20.100000000000001" customHeight="1" x14ac:dyDescent="0.2">
      <c r="A1036" s="695" t="str">
        <f t="shared" si="13"/>
        <v>333509302010000  Restituições A Entidades Privadas Sem Fins Lucrativos</v>
      </c>
      <c r="B1036" s="628"/>
      <c r="C1036" s="631"/>
      <c r="D1036" s="632">
        <v>333509302010000</v>
      </c>
      <c r="E1036" s="696" t="s">
        <v>5028</v>
      </c>
      <c r="F1036" s="696">
        <v>8</v>
      </c>
      <c r="G1036" s="696" t="s">
        <v>5597</v>
      </c>
      <c r="I1036" s="696"/>
      <c r="J1036" s="688"/>
      <c r="K1036" s="689"/>
    </row>
    <row r="1037" spans="1:11" s="691" customFormat="1" ht="20.100000000000001" customHeight="1" x14ac:dyDescent="0.2">
      <c r="A1037" s="695" t="str">
        <f t="shared" si="13"/>
        <v>333600000000000  Transferencias A Instituicoes  Privadas Com Fins Lucrativos</v>
      </c>
      <c r="B1037" s="628"/>
      <c r="C1037" s="631"/>
      <c r="D1037" s="632">
        <v>333600000000000</v>
      </c>
      <c r="E1037" s="696" t="s">
        <v>5623</v>
      </c>
      <c r="F1037" s="696">
        <v>4</v>
      </c>
      <c r="G1037" s="696" t="s">
        <v>5596</v>
      </c>
      <c r="I1037" s="696"/>
      <c r="J1037" s="688"/>
      <c r="K1037" s="689"/>
    </row>
    <row r="1038" spans="1:11" s="691" customFormat="1" ht="20.100000000000001" customHeight="1" x14ac:dyDescent="0.2">
      <c r="A1038" s="695" t="str">
        <f t="shared" si="13"/>
        <v>333604100000000  Contribuicoes</v>
      </c>
      <c r="B1038" s="628"/>
      <c r="C1038" s="631"/>
      <c r="D1038" s="632">
        <v>333604100000000</v>
      </c>
      <c r="E1038" s="696" t="s">
        <v>1057</v>
      </c>
      <c r="F1038" s="696">
        <v>6</v>
      </c>
      <c r="G1038" s="696" t="s">
        <v>5597</v>
      </c>
      <c r="I1038" s="696"/>
      <c r="J1038" s="688"/>
      <c r="K1038" s="689"/>
    </row>
    <row r="1039" spans="1:11" s="691" customFormat="1" ht="20.100000000000001" customHeight="1" x14ac:dyDescent="0.2">
      <c r="A1039" s="695" t="str">
        <f t="shared" si="13"/>
        <v>333604500000000  SUBVENCOES ECONOMICAS</v>
      </c>
      <c r="B1039" s="628"/>
      <c r="C1039" s="631"/>
      <c r="D1039" s="632">
        <v>333604500000000</v>
      </c>
      <c r="E1039" s="696" t="s">
        <v>2033</v>
      </c>
      <c r="F1039" s="696">
        <v>6</v>
      </c>
      <c r="G1039" s="696" t="s">
        <v>5597</v>
      </c>
      <c r="I1039" s="696" t="s">
        <v>5604</v>
      </c>
      <c r="J1039" s="688"/>
      <c r="K1039" s="689"/>
    </row>
    <row r="1040" spans="1:11" s="691" customFormat="1" ht="20.100000000000001" customHeight="1" x14ac:dyDescent="0.2">
      <c r="A1040" s="695" t="str">
        <f t="shared" si="13"/>
        <v>333700000000000  Transferencias  A Instituicoes Multigovernamentais</v>
      </c>
      <c r="B1040" s="628"/>
      <c r="C1040" s="631"/>
      <c r="D1040" s="632">
        <v>333700000000000</v>
      </c>
      <c r="E1040" s="696" t="s">
        <v>5624</v>
      </c>
      <c r="F1040" s="696">
        <v>4</v>
      </c>
      <c r="G1040" s="696" t="s">
        <v>5596</v>
      </c>
      <c r="I1040" s="696"/>
      <c r="J1040" s="688"/>
      <c r="K1040" s="689"/>
    </row>
    <row r="1041" spans="1:11" s="691" customFormat="1" ht="20.100000000000001" customHeight="1" x14ac:dyDescent="0.2">
      <c r="A1041" s="695" t="str">
        <f t="shared" si="13"/>
        <v>333704100000000  Contribuicoes</v>
      </c>
      <c r="B1041" s="628"/>
      <c r="C1041" s="631"/>
      <c r="D1041" s="632">
        <v>333704100000000</v>
      </c>
      <c r="E1041" s="696" t="s">
        <v>1057</v>
      </c>
      <c r="F1041" s="696">
        <v>6</v>
      </c>
      <c r="G1041" s="696" t="s">
        <v>5596</v>
      </c>
      <c r="I1041" s="696"/>
      <c r="J1041" s="688"/>
      <c r="K1041" s="689"/>
    </row>
    <row r="1042" spans="1:11" s="691" customFormat="1" ht="20.100000000000001" customHeight="1" x14ac:dyDescent="0.2">
      <c r="A1042" s="695" t="str">
        <f t="shared" si="13"/>
        <v>333704199000000  Outras Contribuicoes</v>
      </c>
      <c r="B1042" s="628"/>
      <c r="C1042" s="631"/>
      <c r="D1042" s="632">
        <v>333704199000000</v>
      </c>
      <c r="E1042" s="696" t="s">
        <v>4843</v>
      </c>
      <c r="F1042" s="696">
        <v>7</v>
      </c>
      <c r="G1042" s="696" t="s">
        <v>5596</v>
      </c>
      <c r="I1042" s="696"/>
      <c r="J1042" s="688"/>
      <c r="K1042" s="689"/>
    </row>
    <row r="1043" spans="1:11" s="691" customFormat="1" ht="20.100000000000001" customHeight="1" x14ac:dyDescent="0.2">
      <c r="A1043" s="695" t="str">
        <f t="shared" si="13"/>
        <v>333704199010000  Transferencia P/ O Fundef (contribuicao Do Municipio)</v>
      </c>
      <c r="B1043" s="628"/>
      <c r="C1043" s="631"/>
      <c r="D1043" s="632">
        <v>333704199010000</v>
      </c>
      <c r="E1043" s="696" t="s">
        <v>5029</v>
      </c>
      <c r="F1043" s="696">
        <v>8</v>
      </c>
      <c r="G1043" s="696" t="s">
        <v>5597</v>
      </c>
      <c r="I1043" s="696"/>
      <c r="J1043" s="688"/>
      <c r="K1043" s="689"/>
    </row>
    <row r="1044" spans="1:11" s="691" customFormat="1" ht="20.100000000000001" customHeight="1" x14ac:dyDescent="0.2">
      <c r="A1044" s="695" t="str">
        <f t="shared" si="13"/>
        <v>333704199020000  Contribuicoes P/ Manutencao Dos Consorcios</v>
      </c>
      <c r="B1044" s="628"/>
      <c r="C1044" s="631"/>
      <c r="D1044" s="632">
        <v>333704199020000</v>
      </c>
      <c r="E1044" s="696" t="s">
        <v>5030</v>
      </c>
      <c r="F1044" s="696">
        <v>8</v>
      </c>
      <c r="G1044" s="696" t="s">
        <v>5597</v>
      </c>
      <c r="I1044" s="696"/>
      <c r="J1044" s="688"/>
      <c r="K1044" s="689"/>
    </row>
    <row r="1045" spans="1:11" s="691" customFormat="1" ht="20.100000000000001" customHeight="1" x14ac:dyDescent="0.2">
      <c r="A1045" s="695" t="str">
        <f t="shared" si="13"/>
        <v>333710000000000  Transferencias  A Consórcios Públicos</v>
      </c>
      <c r="B1045" s="628"/>
      <c r="C1045" s="631"/>
      <c r="D1045" s="632">
        <v>333710000000000</v>
      </c>
      <c r="E1045" s="696" t="s">
        <v>5599</v>
      </c>
      <c r="F1045" s="696">
        <v>5</v>
      </c>
      <c r="G1045" s="696" t="s">
        <v>5596</v>
      </c>
      <c r="I1045" s="696"/>
      <c r="J1045" s="688"/>
      <c r="K1045" s="689"/>
    </row>
    <row r="1046" spans="1:11" s="691" customFormat="1" ht="20.100000000000001" customHeight="1" x14ac:dyDescent="0.2">
      <c r="A1046" s="695" t="str">
        <f t="shared" si="13"/>
        <v>333711400000000  Diarias</v>
      </c>
      <c r="B1046" s="628"/>
      <c r="C1046" s="631"/>
      <c r="D1046" s="632">
        <v>333711400000000</v>
      </c>
      <c r="E1046" s="696" t="s">
        <v>5031</v>
      </c>
      <c r="F1046" s="696">
        <v>6</v>
      </c>
      <c r="G1046" s="696" t="s">
        <v>5596</v>
      </c>
      <c r="I1046" s="696"/>
      <c r="J1046" s="688"/>
      <c r="K1046" s="689"/>
    </row>
    <row r="1047" spans="1:11" s="691" customFormat="1" ht="20.100000000000001" customHeight="1" x14ac:dyDescent="0.2">
      <c r="A1047" s="695" t="str">
        <f t="shared" si="13"/>
        <v>333711401000000  Diarias</v>
      </c>
      <c r="B1047" s="628"/>
      <c r="C1047" s="631"/>
      <c r="D1047" s="632">
        <v>333711401000000</v>
      </c>
      <c r="E1047" s="696" t="s">
        <v>5031</v>
      </c>
      <c r="F1047" s="696">
        <v>7</v>
      </c>
      <c r="G1047" s="696" t="s">
        <v>5596</v>
      </c>
      <c r="I1047" s="696"/>
      <c r="J1047" s="688"/>
      <c r="K1047" s="689"/>
    </row>
    <row r="1048" spans="1:11" s="691" customFormat="1" ht="20.100000000000001" customHeight="1" x14ac:dyDescent="0.2">
      <c r="A1048" s="695" t="str">
        <f t="shared" si="13"/>
        <v>333711401010000  Diarias</v>
      </c>
      <c r="B1048" s="628"/>
      <c r="C1048" s="631"/>
      <c r="D1048" s="632">
        <v>333711401010000</v>
      </c>
      <c r="E1048" s="696" t="s">
        <v>5031</v>
      </c>
      <c r="F1048" s="696">
        <v>8</v>
      </c>
      <c r="G1048" s="696" t="s">
        <v>5597</v>
      </c>
      <c r="I1048" s="696"/>
      <c r="J1048" s="688"/>
      <c r="K1048" s="689"/>
    </row>
    <row r="1049" spans="1:11" s="691" customFormat="1" ht="20.100000000000001" customHeight="1" x14ac:dyDescent="0.2">
      <c r="A1049" s="695" t="str">
        <f t="shared" si="13"/>
        <v>333713000000000  Material De Consumo</v>
      </c>
      <c r="B1049" s="628"/>
      <c r="C1049" s="631"/>
      <c r="D1049" s="632">
        <v>333713000000000</v>
      </c>
      <c r="E1049" s="696" t="s">
        <v>996</v>
      </c>
      <c r="F1049" s="696">
        <v>6</v>
      </c>
      <c r="G1049" s="696" t="s">
        <v>5596</v>
      </c>
      <c r="I1049" s="696"/>
      <c r="J1049" s="688"/>
      <c r="K1049" s="689"/>
    </row>
    <row r="1050" spans="1:11" s="691" customFormat="1" ht="20.100000000000001" customHeight="1" x14ac:dyDescent="0.2">
      <c r="A1050" s="695" t="str">
        <f t="shared" si="13"/>
        <v>333713000010000  Material De Consumo</v>
      </c>
      <c r="B1050" s="628"/>
      <c r="C1050" s="631"/>
      <c r="D1050" s="632">
        <v>333713000010000</v>
      </c>
      <c r="E1050" s="696" t="s">
        <v>996</v>
      </c>
      <c r="F1050" s="696">
        <v>8</v>
      </c>
      <c r="G1050" s="696" t="s">
        <v>5597</v>
      </c>
      <c r="I1050" s="696"/>
      <c r="J1050" s="688"/>
      <c r="K1050" s="689"/>
    </row>
    <row r="1051" spans="1:11" s="691" customFormat="1" ht="20.100000000000001" customHeight="1" x14ac:dyDescent="0.2">
      <c r="A1051" s="695" t="str">
        <f t="shared" si="13"/>
        <v>333713000020000  Material Farmacologico</v>
      </c>
      <c r="B1051" s="628"/>
      <c r="C1051" s="631"/>
      <c r="D1051" s="632">
        <v>333713000020000</v>
      </c>
      <c r="E1051" s="696" t="s">
        <v>1105</v>
      </c>
      <c r="F1051" s="696">
        <v>8</v>
      </c>
      <c r="G1051" s="696" t="s">
        <v>5597</v>
      </c>
      <c r="I1051" s="696" t="s">
        <v>5604</v>
      </c>
      <c r="J1051" s="688"/>
      <c r="K1051" s="689"/>
    </row>
    <row r="1052" spans="1:11" s="691" customFormat="1" ht="20.100000000000001" customHeight="1" x14ac:dyDescent="0.2">
      <c r="A1052" s="695" t="str">
        <f t="shared" si="13"/>
        <v>333713000030000  Material Ambulatorial</v>
      </c>
      <c r="B1052" s="628"/>
      <c r="C1052" s="631"/>
      <c r="D1052" s="632">
        <v>333713000030000</v>
      </c>
      <c r="E1052" s="696" t="s">
        <v>1122</v>
      </c>
      <c r="F1052" s="696">
        <v>8</v>
      </c>
      <c r="G1052" s="696" t="s">
        <v>5597</v>
      </c>
      <c r="I1052" s="696" t="s">
        <v>5604</v>
      </c>
      <c r="J1052" s="688"/>
      <c r="K1052" s="689"/>
    </row>
    <row r="1053" spans="1:11" s="691" customFormat="1" ht="20.100000000000001" customHeight="1" x14ac:dyDescent="0.2">
      <c r="A1053" s="695" t="str">
        <f t="shared" si="13"/>
        <v>333713000040000  Material hospitalar</v>
      </c>
      <c r="B1053" s="628"/>
      <c r="C1053" s="631"/>
      <c r="D1053" s="632">
        <v>333713000040000</v>
      </c>
      <c r="E1053" s="696" t="s">
        <v>1121</v>
      </c>
      <c r="F1053" s="696">
        <v>8</v>
      </c>
      <c r="G1053" s="696" t="s">
        <v>5597</v>
      </c>
      <c r="I1053" s="696" t="s">
        <v>5604</v>
      </c>
      <c r="J1053" s="688"/>
      <c r="K1053" s="689"/>
    </row>
    <row r="1054" spans="1:11" s="691" customFormat="1" ht="20.100000000000001" customHeight="1" x14ac:dyDescent="0.2">
      <c r="A1054" s="695" t="str">
        <f t="shared" si="13"/>
        <v>333713200000000  Material De Distribuição Gratuita</v>
      </c>
      <c r="B1054" s="628"/>
      <c r="C1054" s="631"/>
      <c r="D1054" s="632">
        <v>333713200000000</v>
      </c>
      <c r="E1054" s="696" t="s">
        <v>1120</v>
      </c>
      <c r="F1054" s="696">
        <v>6</v>
      </c>
      <c r="G1054" s="696" t="s">
        <v>5596</v>
      </c>
      <c r="I1054" s="696"/>
      <c r="J1054" s="688"/>
      <c r="K1054" s="689"/>
    </row>
    <row r="1055" spans="1:11" s="691" customFormat="1" ht="20.100000000000001" customHeight="1" x14ac:dyDescent="0.2">
      <c r="A1055" s="695" t="str">
        <f t="shared" si="13"/>
        <v>333713200010000  Material De Distribuição Gratuita</v>
      </c>
      <c r="B1055" s="628"/>
      <c r="C1055" s="631"/>
      <c r="D1055" s="632">
        <v>333713200010000</v>
      </c>
      <c r="E1055" s="696" t="s">
        <v>1120</v>
      </c>
      <c r="F1055" s="696">
        <v>8</v>
      </c>
      <c r="G1055" s="696" t="s">
        <v>5597</v>
      </c>
      <c r="I1055" s="696"/>
      <c r="J1055" s="688"/>
      <c r="K1055" s="689"/>
    </row>
    <row r="1056" spans="1:11" s="691" customFormat="1" ht="20.100000000000001" customHeight="1" x14ac:dyDescent="0.2">
      <c r="A1056" s="695" t="str">
        <f t="shared" si="13"/>
        <v>333713200020000  Material Farmacologico</v>
      </c>
      <c r="B1056" s="628"/>
      <c r="C1056" s="631"/>
      <c r="D1056" s="632">
        <v>333713200020000</v>
      </c>
      <c r="E1056" s="696" t="s">
        <v>1105</v>
      </c>
      <c r="F1056" s="696">
        <v>8</v>
      </c>
      <c r="G1056" s="696" t="s">
        <v>5597</v>
      </c>
      <c r="I1056" s="696" t="s">
        <v>5604</v>
      </c>
      <c r="J1056" s="688"/>
      <c r="K1056" s="689"/>
    </row>
    <row r="1057" spans="1:11" s="691" customFormat="1" ht="20.100000000000001" customHeight="1" x14ac:dyDescent="0.2">
      <c r="A1057" s="695" t="str">
        <f t="shared" si="13"/>
        <v>333713600000000  Outros Serviços De Terceiros - Pessoa Fisica</v>
      </c>
      <c r="B1057" s="628"/>
      <c r="C1057" s="631"/>
      <c r="D1057" s="632">
        <v>333713600000000</v>
      </c>
      <c r="E1057" s="696" t="s">
        <v>1119</v>
      </c>
      <c r="F1057" s="696">
        <v>6</v>
      </c>
      <c r="G1057" s="696" t="s">
        <v>5596</v>
      </c>
      <c r="I1057" s="696"/>
      <c r="J1057" s="688"/>
      <c r="K1057" s="689"/>
    </row>
    <row r="1058" spans="1:11" s="691" customFormat="1" ht="20.100000000000001" customHeight="1" x14ac:dyDescent="0.2">
      <c r="A1058" s="695" t="str">
        <f t="shared" si="13"/>
        <v>333713600010000  Outros Serviços De Terceiros - Pessoa Fisica</v>
      </c>
      <c r="B1058" s="628"/>
      <c r="C1058" s="631"/>
      <c r="D1058" s="632">
        <v>333713600010000</v>
      </c>
      <c r="E1058" s="696" t="s">
        <v>1119</v>
      </c>
      <c r="F1058" s="696">
        <v>8</v>
      </c>
      <c r="G1058" s="696" t="s">
        <v>5597</v>
      </c>
      <c r="I1058" s="696"/>
      <c r="J1058" s="688"/>
      <c r="K1058" s="689"/>
    </row>
    <row r="1059" spans="1:11" s="691" customFormat="1" ht="20.100000000000001" customHeight="1" x14ac:dyDescent="0.2">
      <c r="A1059" s="695" t="str">
        <f t="shared" si="13"/>
        <v>333713900000000  Outros Servicos De Terceiros-pessoa Juridica</v>
      </c>
      <c r="B1059" s="628"/>
      <c r="C1059" s="631"/>
      <c r="D1059" s="632">
        <v>333713900000000</v>
      </c>
      <c r="E1059" s="696" t="s">
        <v>992</v>
      </c>
      <c r="F1059" s="696">
        <v>6</v>
      </c>
      <c r="G1059" s="696" t="s">
        <v>5596</v>
      </c>
      <c r="I1059" s="696"/>
      <c r="J1059" s="688"/>
      <c r="K1059" s="689"/>
    </row>
    <row r="1060" spans="1:11" s="691" customFormat="1" ht="20.100000000000001" customHeight="1" x14ac:dyDescent="0.2">
      <c r="A1060" s="695" t="str">
        <f t="shared" si="13"/>
        <v>333713900010000  Outros Servicos De Terceiros-pessoa Juridica</v>
      </c>
      <c r="B1060" s="628"/>
      <c r="C1060" s="631"/>
      <c r="D1060" s="632">
        <v>333713900010000</v>
      </c>
      <c r="E1060" s="696" t="s">
        <v>992</v>
      </c>
      <c r="F1060" s="696">
        <v>8</v>
      </c>
      <c r="G1060" s="696" t="s">
        <v>5597</v>
      </c>
      <c r="I1060" s="696"/>
      <c r="J1060" s="688"/>
      <c r="K1060" s="689"/>
    </row>
    <row r="1061" spans="1:11" s="691" customFormat="1" ht="20.100000000000001" customHeight="1" x14ac:dyDescent="0.2">
      <c r="A1061" s="695" t="str">
        <f t="shared" si="13"/>
        <v>333713900020000  Serviços Médicos, Clinicos, laboartoriais e Hospitalares</v>
      </c>
      <c r="B1061" s="628"/>
      <c r="C1061" s="631"/>
      <c r="D1061" s="632">
        <v>333713900020000</v>
      </c>
      <c r="E1061" s="696" t="s">
        <v>1118</v>
      </c>
      <c r="F1061" s="696">
        <v>8</v>
      </c>
      <c r="G1061" s="696" t="s">
        <v>5597</v>
      </c>
      <c r="I1061" s="696" t="s">
        <v>5604</v>
      </c>
      <c r="J1061" s="688"/>
      <c r="K1061" s="689"/>
    </row>
    <row r="1062" spans="1:11" s="691" customFormat="1" ht="20.100000000000001" customHeight="1" x14ac:dyDescent="0.2">
      <c r="A1062" s="695" t="str">
        <f t="shared" si="13"/>
        <v>333714100000000  Contribuicoes Para Manutencao Dos Consorcios</v>
      </c>
      <c r="B1062" s="628"/>
      <c r="C1062" s="631"/>
      <c r="D1062" s="632">
        <v>333714100000000</v>
      </c>
      <c r="E1062" s="696" t="s">
        <v>5032</v>
      </c>
      <c r="F1062" s="696">
        <v>6</v>
      </c>
      <c r="G1062" s="696" t="s">
        <v>5596</v>
      </c>
      <c r="I1062" s="696"/>
      <c r="J1062" s="688"/>
      <c r="K1062" s="689"/>
    </row>
    <row r="1063" spans="1:11" s="691" customFormat="1" ht="20.100000000000001" customHeight="1" x14ac:dyDescent="0.2">
      <c r="A1063" s="695" t="str">
        <f t="shared" si="13"/>
        <v>333714100010000  Contribuicoes Para Manutencao Dos Consorcios</v>
      </c>
      <c r="B1063" s="628"/>
      <c r="C1063" s="631"/>
      <c r="D1063" s="632">
        <v>333714100010000</v>
      </c>
      <c r="E1063" s="696" t="s">
        <v>5032</v>
      </c>
      <c r="F1063" s="696">
        <v>6</v>
      </c>
      <c r="G1063" s="696" t="s">
        <v>5597</v>
      </c>
      <c r="I1063" s="696"/>
      <c r="J1063" s="688"/>
      <c r="K1063" s="689"/>
    </row>
    <row r="1064" spans="1:11" s="691" customFormat="1" ht="20.100000000000001" customHeight="1" x14ac:dyDescent="0.2">
      <c r="A1064" s="695" t="str">
        <f t="shared" si="13"/>
        <v>333714700000000  Obrigações Tributarias E Contributivas</v>
      </c>
      <c r="B1064" s="628"/>
      <c r="C1064" s="631"/>
      <c r="D1064" s="632">
        <v>333714700000000</v>
      </c>
      <c r="E1064" s="696" t="s">
        <v>1117</v>
      </c>
      <c r="F1064" s="696">
        <v>6</v>
      </c>
      <c r="G1064" s="696" t="s">
        <v>5596</v>
      </c>
      <c r="I1064" s="696"/>
      <c r="J1064" s="688"/>
      <c r="K1064" s="689"/>
    </row>
    <row r="1065" spans="1:11" s="691" customFormat="1" ht="20.100000000000001" customHeight="1" x14ac:dyDescent="0.2">
      <c r="A1065" s="695" t="str">
        <f t="shared" si="13"/>
        <v>333714700010000  Obrigações Tributarias E Contributivas</v>
      </c>
      <c r="B1065" s="628"/>
      <c r="C1065" s="631"/>
      <c r="D1065" s="632">
        <v>333714700010000</v>
      </c>
      <c r="E1065" s="696" t="s">
        <v>1117</v>
      </c>
      <c r="F1065" s="696">
        <v>8</v>
      </c>
      <c r="G1065" s="696" t="s">
        <v>5597</v>
      </c>
      <c r="I1065" s="696"/>
      <c r="J1065" s="688"/>
      <c r="K1065" s="689"/>
    </row>
    <row r="1066" spans="1:11" s="691" customFormat="1" ht="20.100000000000001" customHeight="1" x14ac:dyDescent="0.2">
      <c r="A1066" s="695" t="str">
        <f t="shared" si="13"/>
        <v>333717000000000  Rateio Pela Participacao Em Consorcio Publico</v>
      </c>
      <c r="B1066" s="628"/>
      <c r="C1066" s="631"/>
      <c r="D1066" s="632">
        <v>333717000000000</v>
      </c>
      <c r="E1066" s="696" t="s">
        <v>5033</v>
      </c>
      <c r="F1066" s="696">
        <v>6</v>
      </c>
      <c r="G1066" s="696" t="s">
        <v>5597</v>
      </c>
      <c r="I1066" s="696" t="s">
        <v>5600</v>
      </c>
      <c r="J1066" s="688"/>
      <c r="K1066" s="689"/>
    </row>
    <row r="1067" spans="1:11" s="691" customFormat="1" ht="20.100000000000001" customHeight="1" x14ac:dyDescent="0.2">
      <c r="A1067" s="695" t="str">
        <f t="shared" si="13"/>
        <v>333717001000000  Rateio Pela Participacao Em Consorcio Publico</v>
      </c>
      <c r="B1067" s="628"/>
      <c r="C1067" s="631"/>
      <c r="D1067" s="632">
        <v>333717001000000</v>
      </c>
      <c r="E1067" s="696" t="s">
        <v>5033</v>
      </c>
      <c r="F1067" s="696">
        <v>7</v>
      </c>
      <c r="G1067" s="696" t="s">
        <v>5597</v>
      </c>
      <c r="I1067" s="696" t="s">
        <v>5600</v>
      </c>
      <c r="J1067" s="688"/>
      <c r="K1067" s="689"/>
    </row>
    <row r="1068" spans="1:11" s="691" customFormat="1" ht="20.100000000000001" customHeight="1" x14ac:dyDescent="0.2">
      <c r="A1068" s="695" t="str">
        <f t="shared" si="13"/>
        <v>333719300000000  Indenizações E Restituições</v>
      </c>
      <c r="B1068" s="628"/>
      <c r="C1068" s="631"/>
      <c r="D1068" s="632">
        <v>333719300000000</v>
      </c>
      <c r="E1068" s="696" t="s">
        <v>5034</v>
      </c>
      <c r="F1068" s="696">
        <v>6</v>
      </c>
      <c r="G1068" s="696" t="s">
        <v>5596</v>
      </c>
      <c r="I1068" s="696"/>
      <c r="J1068" s="688"/>
      <c r="K1068" s="689"/>
    </row>
    <row r="1069" spans="1:11" s="691" customFormat="1" ht="20.100000000000001" customHeight="1" x14ac:dyDescent="0.2">
      <c r="A1069" s="695" t="str">
        <f t="shared" si="13"/>
        <v>333719300010000  Indenizações E Restituições</v>
      </c>
      <c r="B1069" s="628"/>
      <c r="C1069" s="631"/>
      <c r="D1069" s="632">
        <v>333719300010000</v>
      </c>
      <c r="E1069" s="696" t="s">
        <v>5034</v>
      </c>
      <c r="F1069" s="696">
        <v>8</v>
      </c>
      <c r="G1069" s="696" t="s">
        <v>5597</v>
      </c>
      <c r="I1069" s="696"/>
      <c r="J1069" s="688"/>
      <c r="K1069" s="689"/>
    </row>
    <row r="1070" spans="1:11" s="691" customFormat="1" ht="20.100000000000001" customHeight="1" x14ac:dyDescent="0.2">
      <c r="A1070" s="695" t="str">
        <f t="shared" si="13"/>
        <v>333900000000000  Aplicacoes Diretas</v>
      </c>
      <c r="B1070" s="628"/>
      <c r="C1070" s="631"/>
      <c r="D1070" s="632">
        <v>333900000000000</v>
      </c>
      <c r="E1070" s="696" t="s">
        <v>2108</v>
      </c>
      <c r="F1070" s="696">
        <v>4</v>
      </c>
      <c r="G1070" s="696" t="s">
        <v>5596</v>
      </c>
      <c r="I1070" s="696"/>
      <c r="J1070" s="688"/>
      <c r="K1070" s="689"/>
    </row>
    <row r="1071" spans="1:11" s="691" customFormat="1" ht="20.100000000000001" customHeight="1" x14ac:dyDescent="0.2">
      <c r="A1071" s="695" t="str">
        <f t="shared" si="13"/>
        <v>333900100000000  Aposentadorias E Reformas</v>
      </c>
      <c r="B1071" s="628"/>
      <c r="C1071" s="631"/>
      <c r="D1071" s="632">
        <v>333900100000000</v>
      </c>
      <c r="E1071" s="696" t="s">
        <v>4804</v>
      </c>
      <c r="F1071" s="696">
        <v>6</v>
      </c>
      <c r="G1071" s="696" t="s">
        <v>5596</v>
      </c>
      <c r="I1071" s="696"/>
      <c r="J1071" s="688"/>
      <c r="K1071" s="689"/>
    </row>
    <row r="1072" spans="1:11" s="691" customFormat="1" ht="20.100000000000001" customHeight="1" x14ac:dyDescent="0.2">
      <c r="A1072" s="695" t="str">
        <f t="shared" si="13"/>
        <v>333900101000000  Proventos - Pessoal Civil</v>
      </c>
      <c r="B1072" s="628"/>
      <c r="C1072" s="631"/>
      <c r="D1072" s="632">
        <v>333900101000000</v>
      </c>
      <c r="E1072" s="696" t="s">
        <v>4805</v>
      </c>
      <c r="F1072" s="696">
        <v>7</v>
      </c>
      <c r="G1072" s="696" t="s">
        <v>5597</v>
      </c>
      <c r="I1072" s="696"/>
      <c r="J1072" s="688"/>
      <c r="K1072" s="689"/>
    </row>
    <row r="1073" spans="1:11" s="691" customFormat="1" ht="20.100000000000001" customHeight="1" x14ac:dyDescent="0.2">
      <c r="A1073" s="695" t="str">
        <f t="shared" ref="A1073:A1136" si="14">CONCATENATE(D1073,"  ",E1073,)</f>
        <v>333900106000000  13° Salario - Pessoal Civil</v>
      </c>
      <c r="B1073" s="628"/>
      <c r="C1073" s="631"/>
      <c r="D1073" s="632">
        <v>333900106000000</v>
      </c>
      <c r="E1073" s="696" t="s">
        <v>5035</v>
      </c>
      <c r="F1073" s="696">
        <v>7</v>
      </c>
      <c r="G1073" s="696" t="s">
        <v>5597</v>
      </c>
      <c r="I1073" s="696"/>
      <c r="J1073" s="688"/>
      <c r="K1073" s="689"/>
    </row>
    <row r="1074" spans="1:11" s="691" customFormat="1" ht="20.100000000000001" customHeight="1" x14ac:dyDescent="0.2">
      <c r="A1074" s="695" t="str">
        <f t="shared" si="14"/>
        <v>333900199000000  Outras Aposentadorias E Reformas</v>
      </c>
      <c r="B1074" s="628"/>
      <c r="C1074" s="631"/>
      <c r="D1074" s="632">
        <v>333900199000000</v>
      </c>
      <c r="E1074" s="696" t="s">
        <v>5036</v>
      </c>
      <c r="F1074" s="696">
        <v>7</v>
      </c>
      <c r="G1074" s="696" t="s">
        <v>5597</v>
      </c>
      <c r="I1074" s="696"/>
      <c r="J1074" s="688"/>
      <c r="K1074" s="689"/>
    </row>
    <row r="1075" spans="1:11" s="691" customFormat="1" ht="20.100000000000001" customHeight="1" x14ac:dyDescent="0.2">
      <c r="A1075" s="695" t="str">
        <f t="shared" si="14"/>
        <v>333900300000000  Pensoes</v>
      </c>
      <c r="B1075" s="628"/>
      <c r="C1075" s="631"/>
      <c r="D1075" s="632">
        <v>333900300000000</v>
      </c>
      <c r="E1075" s="696" t="s">
        <v>4808</v>
      </c>
      <c r="F1075" s="696">
        <v>6</v>
      </c>
      <c r="G1075" s="696" t="s">
        <v>5596</v>
      </c>
      <c r="I1075" s="696"/>
      <c r="J1075" s="688"/>
      <c r="K1075" s="689"/>
    </row>
    <row r="1076" spans="1:11" s="691" customFormat="1" ht="20.100000000000001" customHeight="1" x14ac:dyDescent="0.2">
      <c r="A1076" s="695" t="str">
        <f t="shared" si="14"/>
        <v>333900301000000  Civis</v>
      </c>
      <c r="B1076" s="628"/>
      <c r="C1076" s="631"/>
      <c r="D1076" s="632">
        <v>333900301000000</v>
      </c>
      <c r="E1076" s="696" t="s">
        <v>4809</v>
      </c>
      <c r="F1076" s="696">
        <v>7</v>
      </c>
      <c r="G1076" s="696" t="s">
        <v>5597</v>
      </c>
      <c r="I1076" s="696"/>
      <c r="J1076" s="688"/>
      <c r="K1076" s="689"/>
    </row>
    <row r="1077" spans="1:11" s="691" customFormat="1" ht="20.100000000000001" customHeight="1" x14ac:dyDescent="0.2">
      <c r="A1077" s="695" t="str">
        <f t="shared" si="14"/>
        <v>333900303000000  13° Salario - Pensionista Civil</v>
      </c>
      <c r="B1077" s="628"/>
      <c r="C1077" s="631"/>
      <c r="D1077" s="632">
        <v>333900303000000</v>
      </c>
      <c r="E1077" s="696" t="s">
        <v>5037</v>
      </c>
      <c r="F1077" s="696">
        <v>7</v>
      </c>
      <c r="G1077" s="696" t="s">
        <v>5597</v>
      </c>
      <c r="I1077" s="696"/>
      <c r="J1077" s="688"/>
      <c r="K1077" s="689"/>
    </row>
    <row r="1078" spans="1:11" s="691" customFormat="1" ht="20.100000000000001" customHeight="1" x14ac:dyDescent="0.2">
      <c r="A1078" s="695" t="str">
        <f t="shared" si="14"/>
        <v>333900399000000  Outras Pensoes</v>
      </c>
      <c r="B1078" s="628"/>
      <c r="C1078" s="631"/>
      <c r="D1078" s="632">
        <v>333900399000000</v>
      </c>
      <c r="E1078" s="696" t="s">
        <v>4811</v>
      </c>
      <c r="F1078" s="696">
        <v>7</v>
      </c>
      <c r="G1078" s="696" t="s">
        <v>5597</v>
      </c>
      <c r="I1078" s="696"/>
      <c r="J1078" s="688"/>
      <c r="K1078" s="689"/>
    </row>
    <row r="1079" spans="1:11" s="691" customFormat="1" ht="20.100000000000001" customHeight="1" x14ac:dyDescent="0.2">
      <c r="A1079" s="695" t="str">
        <f t="shared" si="14"/>
        <v>333900400000000  Contratacao Por Tempo Determinado</v>
      </c>
      <c r="B1079" s="628"/>
      <c r="C1079" s="631"/>
      <c r="D1079" s="632">
        <v>333900400000000</v>
      </c>
      <c r="E1079" s="696" t="s">
        <v>1012</v>
      </c>
      <c r="F1079" s="696">
        <v>6</v>
      </c>
      <c r="G1079" s="696" t="s">
        <v>5596</v>
      </c>
      <c r="I1079" s="696"/>
      <c r="J1079" s="688"/>
      <c r="K1079" s="689"/>
    </row>
    <row r="1080" spans="1:11" s="691" customFormat="1" ht="20.100000000000001" customHeight="1" x14ac:dyDescent="0.2">
      <c r="A1080" s="695" t="str">
        <f t="shared" si="14"/>
        <v>333900415000000  Obrigacoes Patronais</v>
      </c>
      <c r="B1080" s="628"/>
      <c r="C1080" s="631"/>
      <c r="D1080" s="632">
        <v>333900415000000</v>
      </c>
      <c r="E1080" s="696" t="s">
        <v>1011</v>
      </c>
      <c r="F1080" s="696">
        <v>7</v>
      </c>
      <c r="G1080" s="696" t="s">
        <v>5597</v>
      </c>
      <c r="I1080" s="696"/>
      <c r="J1080" s="688"/>
      <c r="K1080" s="689"/>
    </row>
    <row r="1081" spans="1:11" s="691" customFormat="1" ht="20.100000000000001" customHeight="1" x14ac:dyDescent="0.2">
      <c r="A1081" s="695" t="str">
        <f t="shared" si="14"/>
        <v>333900499000000  Outras Contratacoes Por Tempo Determinado</v>
      </c>
      <c r="B1081" s="628"/>
      <c r="C1081" s="631"/>
      <c r="D1081" s="632">
        <v>333900499000000</v>
      </c>
      <c r="E1081" s="696" t="s">
        <v>4819</v>
      </c>
      <c r="F1081" s="696">
        <v>7</v>
      </c>
      <c r="G1081" s="696" t="s">
        <v>5597</v>
      </c>
      <c r="I1081" s="696"/>
      <c r="J1081" s="688"/>
      <c r="K1081" s="689"/>
    </row>
    <row r="1082" spans="1:11" s="691" customFormat="1" ht="20.100000000000001" customHeight="1" x14ac:dyDescent="0.2">
      <c r="A1082" s="695" t="str">
        <f t="shared" si="14"/>
        <v>333900500000000  Outros Beneficios Previdenciarios</v>
      </c>
      <c r="B1082" s="628"/>
      <c r="C1082" s="631"/>
      <c r="D1082" s="632">
        <v>333900500000000</v>
      </c>
      <c r="E1082" s="696" t="s">
        <v>4826</v>
      </c>
      <c r="F1082" s="696">
        <v>6</v>
      </c>
      <c r="G1082" s="696" t="s">
        <v>5596</v>
      </c>
      <c r="I1082" s="696"/>
      <c r="J1082" s="688"/>
      <c r="K1082" s="689"/>
    </row>
    <row r="1083" spans="1:11" s="691" customFormat="1" ht="20.100000000000001" customHeight="1" x14ac:dyDescent="0.2">
      <c r="A1083" s="695" t="str">
        <f t="shared" si="14"/>
        <v>333900551000000  Auxilio-doenca</v>
      </c>
      <c r="B1083" s="628"/>
      <c r="C1083" s="631"/>
      <c r="D1083" s="632">
        <v>333900551000000</v>
      </c>
      <c r="E1083" s="696" t="s">
        <v>5038</v>
      </c>
      <c r="F1083" s="696">
        <v>7</v>
      </c>
      <c r="G1083" s="696" t="s">
        <v>5596</v>
      </c>
      <c r="I1083" s="696"/>
      <c r="J1083" s="688"/>
      <c r="K1083" s="689"/>
    </row>
    <row r="1084" spans="1:11" s="691" customFormat="1" ht="20.100000000000001" customHeight="1" x14ac:dyDescent="0.2">
      <c r="A1084" s="695" t="str">
        <f t="shared" si="14"/>
        <v>333900551010000  Pessoal Ativo</v>
      </c>
      <c r="B1084" s="628"/>
      <c r="C1084" s="631"/>
      <c r="D1084" s="632">
        <v>333900551010000</v>
      </c>
      <c r="E1084" s="696" t="s">
        <v>5039</v>
      </c>
      <c r="F1084" s="696">
        <v>8</v>
      </c>
      <c r="G1084" s="696" t="s">
        <v>5597</v>
      </c>
      <c r="I1084" s="696"/>
      <c r="J1084" s="688"/>
      <c r="K1084" s="689"/>
    </row>
    <row r="1085" spans="1:11" s="691" customFormat="1" ht="20.100000000000001" customHeight="1" x14ac:dyDescent="0.2">
      <c r="A1085" s="695" t="str">
        <f t="shared" si="14"/>
        <v>333900551020000  Pessoal Inativo E Pensionista</v>
      </c>
      <c r="B1085" s="628"/>
      <c r="C1085" s="631"/>
      <c r="D1085" s="632">
        <v>333900551020000</v>
      </c>
      <c r="E1085" s="696" t="s">
        <v>5040</v>
      </c>
      <c r="F1085" s="696">
        <v>8</v>
      </c>
      <c r="G1085" s="696" t="s">
        <v>5597</v>
      </c>
      <c r="I1085" s="696"/>
      <c r="J1085" s="688"/>
      <c r="K1085" s="689"/>
    </row>
    <row r="1086" spans="1:11" s="691" customFormat="1" ht="20.100000000000001" customHeight="1" x14ac:dyDescent="0.2">
      <c r="A1086" s="695" t="str">
        <f t="shared" si="14"/>
        <v>333900553000000  Auxilio-reclusao</v>
      </c>
      <c r="B1086" s="628"/>
      <c r="C1086" s="631"/>
      <c r="D1086" s="632">
        <v>333900553000000</v>
      </c>
      <c r="E1086" s="696" t="s">
        <v>5041</v>
      </c>
      <c r="F1086" s="696">
        <v>7</v>
      </c>
      <c r="G1086" s="696" t="s">
        <v>5596</v>
      </c>
      <c r="I1086" s="696"/>
      <c r="J1086" s="688"/>
      <c r="K1086" s="689"/>
    </row>
    <row r="1087" spans="1:11" s="691" customFormat="1" ht="20.100000000000001" customHeight="1" x14ac:dyDescent="0.2">
      <c r="A1087" s="695" t="str">
        <f t="shared" si="14"/>
        <v>333900553010000  Pessoal Ativo</v>
      </c>
      <c r="B1087" s="628"/>
      <c r="C1087" s="631"/>
      <c r="D1087" s="632">
        <v>333900553010000</v>
      </c>
      <c r="E1087" s="696" t="s">
        <v>5039</v>
      </c>
      <c r="F1087" s="696">
        <v>8</v>
      </c>
      <c r="G1087" s="696" t="s">
        <v>5597</v>
      </c>
      <c r="I1087" s="696"/>
      <c r="J1087" s="688"/>
      <c r="K1087" s="689"/>
    </row>
    <row r="1088" spans="1:11" s="691" customFormat="1" ht="20.100000000000001" customHeight="1" x14ac:dyDescent="0.2">
      <c r="A1088" s="695" t="str">
        <f t="shared" si="14"/>
        <v>333900553020000  Pessoal Inativo E Pensionista</v>
      </c>
      <c r="B1088" s="628"/>
      <c r="C1088" s="631"/>
      <c r="D1088" s="632">
        <v>333900553020000</v>
      </c>
      <c r="E1088" s="696" t="s">
        <v>5040</v>
      </c>
      <c r="F1088" s="696">
        <v>8</v>
      </c>
      <c r="G1088" s="696" t="s">
        <v>5597</v>
      </c>
      <c r="I1088" s="696"/>
      <c r="J1088" s="688"/>
      <c r="K1088" s="689"/>
    </row>
    <row r="1089" spans="1:11" s="691" customFormat="1" ht="20.100000000000001" customHeight="1" x14ac:dyDescent="0.2">
      <c r="A1089" s="695" t="str">
        <f t="shared" si="14"/>
        <v>333900554000000  Auxilio-acidente</v>
      </c>
      <c r="B1089" s="628"/>
      <c r="C1089" s="631"/>
      <c r="D1089" s="632">
        <v>333900554000000</v>
      </c>
      <c r="E1089" s="696" t="s">
        <v>4831</v>
      </c>
      <c r="F1089" s="696">
        <v>7</v>
      </c>
      <c r="G1089" s="696" t="s">
        <v>5596</v>
      </c>
      <c r="I1089" s="696"/>
      <c r="J1089" s="688"/>
      <c r="K1089" s="689"/>
    </row>
    <row r="1090" spans="1:11" s="691" customFormat="1" ht="20.100000000000001" customHeight="1" x14ac:dyDescent="0.2">
      <c r="A1090" s="695" t="str">
        <f t="shared" si="14"/>
        <v>333900554010000  Pessoal Ativo</v>
      </c>
      <c r="B1090" s="628"/>
      <c r="C1090" s="631"/>
      <c r="D1090" s="632">
        <v>333900554010000</v>
      </c>
      <c r="E1090" s="696" t="s">
        <v>5039</v>
      </c>
      <c r="F1090" s="696">
        <v>8</v>
      </c>
      <c r="G1090" s="696" t="s">
        <v>5597</v>
      </c>
      <c r="I1090" s="696"/>
      <c r="J1090" s="688"/>
      <c r="K1090" s="689"/>
    </row>
    <row r="1091" spans="1:11" s="691" customFormat="1" ht="20.100000000000001" customHeight="1" x14ac:dyDescent="0.2">
      <c r="A1091" s="695" t="str">
        <f t="shared" si="14"/>
        <v>333900554020000  Pessoal Inativo E Pensionista</v>
      </c>
      <c r="B1091" s="628"/>
      <c r="C1091" s="631"/>
      <c r="D1091" s="632">
        <v>333900554020000</v>
      </c>
      <c r="E1091" s="696" t="s">
        <v>5040</v>
      </c>
      <c r="F1091" s="696">
        <v>8</v>
      </c>
      <c r="G1091" s="696" t="s">
        <v>5597</v>
      </c>
      <c r="I1091" s="696"/>
      <c r="J1091" s="688"/>
      <c r="K1091" s="689"/>
    </row>
    <row r="1092" spans="1:11" s="691" customFormat="1" ht="20.100000000000001" customHeight="1" x14ac:dyDescent="0.2">
      <c r="A1092" s="695" t="str">
        <f t="shared" si="14"/>
        <v>333900555000000  Salario-familia De Segurados</v>
      </c>
      <c r="B1092" s="628"/>
      <c r="C1092" s="631"/>
      <c r="D1092" s="632">
        <v>333900555000000</v>
      </c>
      <c r="E1092" s="696" t="s">
        <v>4832</v>
      </c>
      <c r="F1092" s="696">
        <v>7</v>
      </c>
      <c r="G1092" s="696" t="s">
        <v>5596</v>
      </c>
      <c r="I1092" s="696"/>
      <c r="J1092" s="688"/>
      <c r="K1092" s="689"/>
    </row>
    <row r="1093" spans="1:11" s="691" customFormat="1" ht="20.100000000000001" customHeight="1" x14ac:dyDescent="0.2">
      <c r="A1093" s="695" t="str">
        <f t="shared" si="14"/>
        <v>333900555010000  Pessoal Ativo</v>
      </c>
      <c r="B1093" s="628"/>
      <c r="C1093" s="631"/>
      <c r="D1093" s="632">
        <v>333900555010000</v>
      </c>
      <c r="E1093" s="696" t="s">
        <v>5039</v>
      </c>
      <c r="F1093" s="696">
        <v>8</v>
      </c>
      <c r="G1093" s="696" t="s">
        <v>5597</v>
      </c>
      <c r="I1093" s="696"/>
      <c r="J1093" s="688"/>
      <c r="K1093" s="689"/>
    </row>
    <row r="1094" spans="1:11" s="691" customFormat="1" ht="20.100000000000001" customHeight="1" x14ac:dyDescent="0.2">
      <c r="A1094" s="695" t="str">
        <f t="shared" si="14"/>
        <v>333900555020000  Pessoal Inativo E Pensionista</v>
      </c>
      <c r="B1094" s="628"/>
      <c r="C1094" s="631"/>
      <c r="D1094" s="632">
        <v>333900555020000</v>
      </c>
      <c r="E1094" s="696" t="s">
        <v>5040</v>
      </c>
      <c r="F1094" s="696">
        <v>8</v>
      </c>
      <c r="G1094" s="696" t="s">
        <v>5597</v>
      </c>
      <c r="I1094" s="696"/>
      <c r="J1094" s="688"/>
      <c r="K1094" s="689"/>
    </row>
    <row r="1095" spans="1:11" s="691" customFormat="1" ht="20.100000000000001" customHeight="1" x14ac:dyDescent="0.2">
      <c r="A1095" s="695" t="str">
        <f t="shared" si="14"/>
        <v>333900556000000  Salario-maternidade</v>
      </c>
      <c r="B1095" s="628"/>
      <c r="C1095" s="631"/>
      <c r="D1095" s="632">
        <v>333900556000000</v>
      </c>
      <c r="E1095" s="696" t="s">
        <v>5042</v>
      </c>
      <c r="F1095" s="696">
        <v>7</v>
      </c>
      <c r="G1095" s="696" t="s">
        <v>5596</v>
      </c>
      <c r="I1095" s="696"/>
      <c r="J1095" s="688"/>
      <c r="K1095" s="689"/>
    </row>
    <row r="1096" spans="1:11" s="691" customFormat="1" ht="20.100000000000001" customHeight="1" x14ac:dyDescent="0.2">
      <c r="A1096" s="695" t="str">
        <f t="shared" si="14"/>
        <v>333900556010000  Pessoal Ativo</v>
      </c>
      <c r="B1096" s="628"/>
      <c r="C1096" s="631"/>
      <c r="D1096" s="632">
        <v>333900556010000</v>
      </c>
      <c r="E1096" s="696" t="s">
        <v>5039</v>
      </c>
      <c r="F1096" s="696">
        <v>8</v>
      </c>
      <c r="G1096" s="696" t="s">
        <v>5597</v>
      </c>
      <c r="I1096" s="696"/>
      <c r="J1096" s="688"/>
      <c r="K1096" s="689"/>
    </row>
    <row r="1097" spans="1:11" s="691" customFormat="1" ht="20.100000000000001" customHeight="1" x14ac:dyDescent="0.2">
      <c r="A1097" s="695" t="str">
        <f t="shared" si="14"/>
        <v>333900556020000  Pessoal Inativo E Pensionista</v>
      </c>
      <c r="B1097" s="628"/>
      <c r="C1097" s="631"/>
      <c r="D1097" s="632">
        <v>333900556020000</v>
      </c>
      <c r="E1097" s="696" t="s">
        <v>5040</v>
      </c>
      <c r="F1097" s="696">
        <v>8</v>
      </c>
      <c r="G1097" s="696" t="s">
        <v>5597</v>
      </c>
      <c r="I1097" s="696"/>
      <c r="J1097" s="688"/>
      <c r="K1097" s="689"/>
    </row>
    <row r="1098" spans="1:11" s="691" customFormat="1" ht="20.100000000000001" customHeight="1" x14ac:dyDescent="0.2">
      <c r="A1098" s="695" t="str">
        <f t="shared" si="14"/>
        <v>333900561000000  Abono Anual - 13° Salario</v>
      </c>
      <c r="B1098" s="628"/>
      <c r="C1098" s="631"/>
      <c r="D1098" s="632">
        <v>333900561000000</v>
      </c>
      <c r="E1098" s="696" t="s">
        <v>5043</v>
      </c>
      <c r="F1098" s="696">
        <v>7</v>
      </c>
      <c r="G1098" s="696" t="s">
        <v>5597</v>
      </c>
      <c r="I1098" s="696"/>
      <c r="J1098" s="688"/>
      <c r="K1098" s="689"/>
    </row>
    <row r="1099" spans="1:11" s="691" customFormat="1" ht="20.100000000000001" customHeight="1" x14ac:dyDescent="0.2">
      <c r="A1099" s="695" t="str">
        <f t="shared" si="14"/>
        <v>333900599000000  Outros Beneficios Previdenciarios</v>
      </c>
      <c r="B1099" s="628"/>
      <c r="C1099" s="631"/>
      <c r="D1099" s="632">
        <v>333900599000000</v>
      </c>
      <c r="E1099" s="696" t="s">
        <v>4826</v>
      </c>
      <c r="F1099" s="696">
        <v>7</v>
      </c>
      <c r="G1099" s="696" t="s">
        <v>5597</v>
      </c>
      <c r="I1099" s="696"/>
      <c r="J1099" s="688"/>
      <c r="K1099" s="689"/>
    </row>
    <row r="1100" spans="1:11" s="691" customFormat="1" ht="20.100000000000001" customHeight="1" x14ac:dyDescent="0.2">
      <c r="A1100" s="695" t="str">
        <f t="shared" si="14"/>
        <v>333900800000000  Outros Beneficios Assistenciais</v>
      </c>
      <c r="B1100" s="628"/>
      <c r="C1100" s="631"/>
      <c r="D1100" s="632">
        <v>333900800000000</v>
      </c>
      <c r="E1100" s="696" t="s">
        <v>1020</v>
      </c>
      <c r="F1100" s="696">
        <v>6</v>
      </c>
      <c r="G1100" s="696" t="s">
        <v>5596</v>
      </c>
      <c r="I1100" s="696"/>
      <c r="J1100" s="688"/>
      <c r="K1100" s="689"/>
    </row>
    <row r="1101" spans="1:11" s="691" customFormat="1" ht="20.100000000000001" customHeight="1" x14ac:dyDescent="0.2">
      <c r="A1101" s="695" t="str">
        <f t="shared" si="14"/>
        <v>333900851000000  Auxilio-doenca</v>
      </c>
      <c r="B1101" s="628"/>
      <c r="C1101" s="631"/>
      <c r="D1101" s="632">
        <v>333900851000000</v>
      </c>
      <c r="E1101" s="696" t="s">
        <v>5038</v>
      </c>
      <c r="F1101" s="696">
        <v>7</v>
      </c>
      <c r="G1101" s="696" t="s">
        <v>5597</v>
      </c>
      <c r="I1101" s="696"/>
      <c r="J1101" s="688"/>
      <c r="K1101" s="689"/>
    </row>
    <row r="1102" spans="1:11" s="691" customFormat="1" ht="20.100000000000001" customHeight="1" x14ac:dyDescent="0.2">
      <c r="A1102" s="695" t="str">
        <f t="shared" si="14"/>
        <v>333900852000000  Auxilio-natalidade</v>
      </c>
      <c r="B1102" s="628"/>
      <c r="C1102" s="631"/>
      <c r="D1102" s="632">
        <v>333900852000000</v>
      </c>
      <c r="E1102" s="696" t="s">
        <v>5044</v>
      </c>
      <c r="F1102" s="696">
        <v>7</v>
      </c>
      <c r="G1102" s="696" t="s">
        <v>5597</v>
      </c>
      <c r="I1102" s="696"/>
      <c r="J1102" s="688"/>
      <c r="K1102" s="689"/>
    </row>
    <row r="1103" spans="1:11" s="691" customFormat="1" ht="20.100000000000001" customHeight="1" x14ac:dyDescent="0.2">
      <c r="A1103" s="695" t="str">
        <f t="shared" si="14"/>
        <v>333900853000000  Auxilio-reclusao</v>
      </c>
      <c r="B1103" s="628"/>
      <c r="C1103" s="631"/>
      <c r="D1103" s="632">
        <v>333900853000000</v>
      </c>
      <c r="E1103" s="696" t="s">
        <v>5041</v>
      </c>
      <c r="F1103" s="696">
        <v>7</v>
      </c>
      <c r="G1103" s="696" t="s">
        <v>5597</v>
      </c>
      <c r="I1103" s="696"/>
      <c r="J1103" s="688"/>
      <c r="K1103" s="689"/>
    </row>
    <row r="1104" spans="1:11" s="691" customFormat="1" ht="20.100000000000001" customHeight="1" x14ac:dyDescent="0.2">
      <c r="A1104" s="695" t="str">
        <f t="shared" si="14"/>
        <v>333900854000000  Auxilio-funeral</v>
      </c>
      <c r="B1104" s="628"/>
      <c r="C1104" s="631"/>
      <c r="D1104" s="632">
        <v>333900854000000</v>
      </c>
      <c r="E1104" s="696" t="s">
        <v>1019</v>
      </c>
      <c r="F1104" s="696">
        <v>7</v>
      </c>
      <c r="G1104" s="696" t="s">
        <v>5597</v>
      </c>
      <c r="I1104" s="696"/>
      <c r="J1104" s="688"/>
      <c r="K1104" s="689"/>
    </row>
    <row r="1105" spans="1:11" s="691" customFormat="1" ht="20.100000000000001" customHeight="1" x14ac:dyDescent="0.2">
      <c r="A1105" s="695" t="str">
        <f t="shared" si="14"/>
        <v>333900855000000  Auxilio-creche</v>
      </c>
      <c r="B1105" s="628"/>
      <c r="C1105" s="631"/>
      <c r="D1105" s="632">
        <v>333900855000000</v>
      </c>
      <c r="E1105" s="696" t="s">
        <v>5045</v>
      </c>
      <c r="F1105" s="696">
        <v>7</v>
      </c>
      <c r="G1105" s="696" t="s">
        <v>5597</v>
      </c>
      <c r="I1105" s="696"/>
      <c r="J1105" s="688"/>
      <c r="K1105" s="689"/>
    </row>
    <row r="1106" spans="1:11" s="691" customFormat="1" ht="20.100000000000001" customHeight="1" x14ac:dyDescent="0.2">
      <c r="A1106" s="695" t="str">
        <f t="shared" si="14"/>
        <v>333900899000000  Outros Beneficios Assistenciais</v>
      </c>
      <c r="B1106" s="628"/>
      <c r="C1106" s="631"/>
      <c r="D1106" s="632">
        <v>333900899000000</v>
      </c>
      <c r="E1106" s="696" t="s">
        <v>1020</v>
      </c>
      <c r="F1106" s="696">
        <v>7</v>
      </c>
      <c r="G1106" s="696" t="s">
        <v>5596</v>
      </c>
      <c r="I1106" s="696"/>
      <c r="J1106" s="688"/>
      <c r="K1106" s="689"/>
    </row>
    <row r="1107" spans="1:11" s="691" customFormat="1" ht="20.100000000000001" customHeight="1" x14ac:dyDescent="0.2">
      <c r="A1107" s="695" t="str">
        <f t="shared" si="14"/>
        <v>333900899010000  Assistencia Pre-escolar</v>
      </c>
      <c r="B1107" s="628"/>
      <c r="C1107" s="631"/>
      <c r="D1107" s="632">
        <v>333900899010000</v>
      </c>
      <c r="E1107" s="696" t="s">
        <v>4854</v>
      </c>
      <c r="F1107" s="696">
        <v>8</v>
      </c>
      <c r="G1107" s="696" t="s">
        <v>5597</v>
      </c>
      <c r="I1107" s="696"/>
      <c r="J1107" s="688"/>
      <c r="K1107" s="689"/>
    </row>
    <row r="1108" spans="1:11" s="691" customFormat="1" ht="20.100000000000001" customHeight="1" x14ac:dyDescent="0.2">
      <c r="A1108" s="695" t="str">
        <f t="shared" si="14"/>
        <v>333900899020000  Auxilio-invalidez</v>
      </c>
      <c r="B1108" s="628"/>
      <c r="C1108" s="631"/>
      <c r="D1108" s="632">
        <v>333900899020000</v>
      </c>
      <c r="E1108" s="696" t="s">
        <v>5046</v>
      </c>
      <c r="F1108" s="696">
        <v>8</v>
      </c>
      <c r="G1108" s="696" t="s">
        <v>5597</v>
      </c>
      <c r="I1108" s="696"/>
      <c r="J1108" s="688"/>
      <c r="K1108" s="689"/>
    </row>
    <row r="1109" spans="1:11" s="691" customFormat="1" ht="20.100000000000001" customHeight="1" x14ac:dyDescent="0.2">
      <c r="A1109" s="695" t="str">
        <f t="shared" si="14"/>
        <v>333900899030000  Beneficios Eventuais</v>
      </c>
      <c r="B1109" s="628"/>
      <c r="C1109" s="631"/>
      <c r="D1109" s="632">
        <v>333900899030000</v>
      </c>
      <c r="E1109" s="696" t="s">
        <v>2211</v>
      </c>
      <c r="F1109" s="696">
        <v>8</v>
      </c>
      <c r="G1109" s="696" t="s">
        <v>5597</v>
      </c>
      <c r="I1109" s="696" t="s">
        <v>5600</v>
      </c>
      <c r="J1109" s="688"/>
      <c r="K1109" s="689"/>
    </row>
    <row r="1110" spans="1:11" s="691" customFormat="1" ht="20.100000000000001" customHeight="1" x14ac:dyDescent="0.2">
      <c r="A1110" s="695" t="str">
        <f t="shared" si="14"/>
        <v>333900900000000  Salario-familia</v>
      </c>
      <c r="B1110" s="628"/>
      <c r="C1110" s="631"/>
      <c r="D1110" s="632">
        <v>333900900000000</v>
      </c>
      <c r="E1110" s="696" t="s">
        <v>4857</v>
      </c>
      <c r="F1110" s="696">
        <v>6</v>
      </c>
      <c r="G1110" s="696" t="s">
        <v>5596</v>
      </c>
      <c r="I1110" s="696"/>
      <c r="J1110" s="688"/>
      <c r="K1110" s="689"/>
    </row>
    <row r="1111" spans="1:11" s="691" customFormat="1" ht="20.100000000000001" customHeight="1" x14ac:dyDescent="0.2">
      <c r="A1111" s="695" t="str">
        <f t="shared" si="14"/>
        <v>333900901000000  Salario-familia - Ativo Pessoal Civil</v>
      </c>
      <c r="B1111" s="628"/>
      <c r="C1111" s="631"/>
      <c r="D1111" s="632">
        <v>333900901000000</v>
      </c>
      <c r="E1111" s="696" t="s">
        <v>5047</v>
      </c>
      <c r="F1111" s="696">
        <v>7</v>
      </c>
      <c r="G1111" s="696" t="s">
        <v>5597</v>
      </c>
      <c r="I1111" s="696"/>
      <c r="J1111" s="688"/>
      <c r="K1111" s="689"/>
    </row>
    <row r="1112" spans="1:11" s="691" customFormat="1" ht="20.100000000000001" customHeight="1" x14ac:dyDescent="0.2">
      <c r="A1112" s="695" t="str">
        <f t="shared" si="14"/>
        <v>333900902000000  Salario-familia - Inativo Pessoal Civil</v>
      </c>
      <c r="B1112" s="628"/>
      <c r="C1112" s="631"/>
      <c r="D1112" s="632">
        <v>333900902000000</v>
      </c>
      <c r="E1112" s="696" t="s">
        <v>5048</v>
      </c>
      <c r="F1112" s="696">
        <v>7</v>
      </c>
      <c r="G1112" s="696" t="s">
        <v>5597</v>
      </c>
      <c r="I1112" s="696"/>
      <c r="J1112" s="688"/>
      <c r="K1112" s="689"/>
    </row>
    <row r="1113" spans="1:11" s="691" customFormat="1" ht="20.100000000000001" customHeight="1" x14ac:dyDescent="0.2">
      <c r="A1113" s="695" t="str">
        <f t="shared" si="14"/>
        <v>333900905000000  Salario-familia - Pensionista Pessoal Civil</v>
      </c>
      <c r="B1113" s="628"/>
      <c r="C1113" s="631"/>
      <c r="D1113" s="632">
        <v>333900905000000</v>
      </c>
      <c r="E1113" s="696" t="s">
        <v>5049</v>
      </c>
      <c r="F1113" s="696">
        <v>7</v>
      </c>
      <c r="G1113" s="696" t="s">
        <v>5597</v>
      </c>
      <c r="I1113" s="696"/>
      <c r="J1113" s="688"/>
      <c r="K1113" s="689"/>
    </row>
    <row r="1114" spans="1:11" s="691" customFormat="1" ht="20.100000000000001" customHeight="1" x14ac:dyDescent="0.2">
      <c r="A1114" s="695" t="str">
        <f t="shared" si="14"/>
        <v>333901300000000  Obrigacoes Patronais</v>
      </c>
      <c r="B1114" s="628"/>
      <c r="C1114" s="631"/>
      <c r="D1114" s="632">
        <v>333901300000000</v>
      </c>
      <c r="E1114" s="696" t="s">
        <v>1011</v>
      </c>
      <c r="F1114" s="696">
        <v>6</v>
      </c>
      <c r="G1114" s="696" t="s">
        <v>5596</v>
      </c>
      <c r="I1114" s="696"/>
      <c r="J1114" s="688"/>
      <c r="K1114" s="689"/>
    </row>
    <row r="1115" spans="1:11" s="691" customFormat="1" ht="20.100000000000001" customHeight="1" x14ac:dyDescent="0.2">
      <c r="A1115" s="695" t="str">
        <f t="shared" si="14"/>
        <v>333901301000000  Fgts</v>
      </c>
      <c r="B1115" s="628"/>
      <c r="C1115" s="631"/>
      <c r="D1115" s="632">
        <v>333901301000000</v>
      </c>
      <c r="E1115" s="696" t="s">
        <v>4800</v>
      </c>
      <c r="F1115" s="696">
        <v>7</v>
      </c>
      <c r="G1115" s="696" t="s">
        <v>5597</v>
      </c>
      <c r="I1115" s="696"/>
      <c r="J1115" s="688"/>
      <c r="K1115" s="689"/>
    </row>
    <row r="1116" spans="1:11" s="691" customFormat="1" ht="20.100000000000001" customHeight="1" x14ac:dyDescent="0.2">
      <c r="A1116" s="695" t="str">
        <f t="shared" si="14"/>
        <v>333901302000000  Contribuicoes Previdenciarias - Inss</v>
      </c>
      <c r="B1116" s="628"/>
      <c r="C1116" s="631"/>
      <c r="D1116" s="632">
        <v>333901302000000</v>
      </c>
      <c r="E1116" s="696" t="s">
        <v>4803</v>
      </c>
      <c r="F1116" s="696">
        <v>7</v>
      </c>
      <c r="G1116" s="696" t="s">
        <v>5597</v>
      </c>
      <c r="I1116" s="696"/>
      <c r="J1116" s="688"/>
      <c r="K1116" s="689"/>
    </row>
    <row r="1117" spans="1:11" s="691" customFormat="1" ht="20.100000000000001" customHeight="1" x14ac:dyDescent="0.2">
      <c r="A1117" s="695" t="str">
        <f t="shared" si="14"/>
        <v>333901399000000  Outras Obrigacoes Patronais</v>
      </c>
      <c r="B1117" s="628"/>
      <c r="C1117" s="631"/>
      <c r="D1117" s="632">
        <v>333901399000000</v>
      </c>
      <c r="E1117" s="696" t="s">
        <v>1249</v>
      </c>
      <c r="F1117" s="696">
        <v>7</v>
      </c>
      <c r="G1117" s="696" t="s">
        <v>5596</v>
      </c>
      <c r="I1117" s="696"/>
      <c r="J1117" s="688"/>
      <c r="K1117" s="689"/>
    </row>
    <row r="1118" spans="1:11" s="691" customFormat="1" ht="20.100000000000001" customHeight="1" x14ac:dyDescent="0.2">
      <c r="A1118" s="695" t="str">
        <f t="shared" si="14"/>
        <v>333901400000000  Diarias - Pessoal Civil</v>
      </c>
      <c r="B1118" s="628"/>
      <c r="C1118" s="631"/>
      <c r="D1118" s="632">
        <v>333901400000000</v>
      </c>
      <c r="E1118" s="696" t="s">
        <v>1046</v>
      </c>
      <c r="F1118" s="696">
        <v>6</v>
      </c>
      <c r="G1118" s="696" t="s">
        <v>5596</v>
      </c>
      <c r="I1118" s="696"/>
      <c r="J1118" s="688"/>
      <c r="K1118" s="689"/>
    </row>
    <row r="1119" spans="1:11" s="691" customFormat="1" ht="20.100000000000001" customHeight="1" x14ac:dyDescent="0.2">
      <c r="A1119" s="695" t="str">
        <f t="shared" si="14"/>
        <v>333901414000000  Diarias No Pais</v>
      </c>
      <c r="B1119" s="628"/>
      <c r="C1119" s="631"/>
      <c r="D1119" s="632">
        <v>333901414000000</v>
      </c>
      <c r="E1119" s="696" t="s">
        <v>5050</v>
      </c>
      <c r="F1119" s="696">
        <v>7</v>
      </c>
      <c r="G1119" s="696" t="s">
        <v>5597</v>
      </c>
      <c r="I1119" s="696"/>
      <c r="J1119" s="688"/>
      <c r="K1119" s="689"/>
    </row>
    <row r="1120" spans="1:11" s="691" customFormat="1" ht="20.100000000000001" customHeight="1" x14ac:dyDescent="0.2">
      <c r="A1120" s="695" t="str">
        <f t="shared" si="14"/>
        <v>333901414010000  Diarias Servidores Contratados</v>
      </c>
      <c r="B1120" s="628"/>
      <c r="C1120" s="631"/>
      <c r="D1120" s="632">
        <v>333901414010000</v>
      </c>
      <c r="E1120" s="696" t="s">
        <v>2263</v>
      </c>
      <c r="F1120" s="696">
        <v>8</v>
      </c>
      <c r="G1120" s="696" t="s">
        <v>5597</v>
      </c>
      <c r="I1120" s="696" t="s">
        <v>5600</v>
      </c>
      <c r="J1120" s="688"/>
      <c r="K1120" s="689"/>
    </row>
    <row r="1121" spans="1:11" s="691" customFormat="1" ht="20.100000000000001" customHeight="1" x14ac:dyDescent="0.2">
      <c r="A1121" s="695" t="str">
        <f t="shared" si="14"/>
        <v>333901414020000  Diarias Servidores Efetivos</v>
      </c>
      <c r="B1121" s="628"/>
      <c r="C1121" s="631"/>
      <c r="D1121" s="632">
        <v>333901414020000</v>
      </c>
      <c r="E1121" s="696" t="s">
        <v>2156</v>
      </c>
      <c r="F1121" s="696">
        <v>8</v>
      </c>
      <c r="G1121" s="696" t="s">
        <v>5597</v>
      </c>
      <c r="I1121" s="696" t="s">
        <v>5600</v>
      </c>
      <c r="J1121" s="688"/>
      <c r="K1121" s="689"/>
    </row>
    <row r="1122" spans="1:11" s="691" customFormat="1" ht="20.100000000000001" customHeight="1" x14ac:dyDescent="0.2">
      <c r="A1122" s="695" t="str">
        <f t="shared" si="14"/>
        <v>333901414030000  Diarias Servidores C.C.</v>
      </c>
      <c r="B1122" s="628"/>
      <c r="C1122" s="631"/>
      <c r="D1122" s="632">
        <v>333901414030000</v>
      </c>
      <c r="E1122" s="696" t="s">
        <v>2157</v>
      </c>
      <c r="F1122" s="696">
        <v>8</v>
      </c>
      <c r="G1122" s="696" t="s">
        <v>5597</v>
      </c>
      <c r="I1122" s="696" t="s">
        <v>5600</v>
      </c>
      <c r="J1122" s="688"/>
      <c r="K1122" s="689"/>
    </row>
    <row r="1123" spans="1:11" s="691" customFormat="1" ht="20.100000000000001" customHeight="1" x14ac:dyDescent="0.2">
      <c r="A1123" s="695" t="str">
        <f t="shared" si="14"/>
        <v>333901414040000  Diarias Agente Político</v>
      </c>
      <c r="B1123" s="628"/>
      <c r="C1123" s="631"/>
      <c r="D1123" s="632">
        <v>333901414040000</v>
      </c>
      <c r="E1123" s="696" t="s">
        <v>2677</v>
      </c>
      <c r="F1123" s="696">
        <v>8</v>
      </c>
      <c r="G1123" s="696" t="s">
        <v>5597</v>
      </c>
      <c r="I1123" s="696" t="s">
        <v>5600</v>
      </c>
      <c r="J1123" s="688"/>
      <c r="K1123" s="689"/>
    </row>
    <row r="1124" spans="1:11" s="691" customFormat="1" ht="20.100000000000001" customHeight="1" x14ac:dyDescent="0.2">
      <c r="A1124" s="695" t="str">
        <f t="shared" si="14"/>
        <v>333901414050000  Diarias Conselheiros Tutelares</v>
      </c>
      <c r="B1124" s="628"/>
      <c r="C1124" s="631"/>
      <c r="D1124" s="632">
        <v>333901414050000</v>
      </c>
      <c r="E1124" s="696" t="s">
        <v>2221</v>
      </c>
      <c r="F1124" s="696">
        <v>8</v>
      </c>
      <c r="G1124" s="696" t="s">
        <v>5597</v>
      </c>
      <c r="I1124" s="696" t="s">
        <v>5600</v>
      </c>
      <c r="J1124" s="688"/>
      <c r="K1124" s="689"/>
    </row>
    <row r="1125" spans="1:11" s="691" customFormat="1" ht="20.100000000000001" customHeight="1" x14ac:dyDescent="0.2">
      <c r="A1125" s="695" t="str">
        <f t="shared" si="14"/>
        <v>333901414060000  Diarias Servidores Conselho Tutelar</v>
      </c>
      <c r="B1125" s="628"/>
      <c r="C1125" s="631"/>
      <c r="D1125" s="632">
        <v>333901414060000</v>
      </c>
      <c r="E1125" s="696" t="s">
        <v>5051</v>
      </c>
      <c r="F1125" s="696">
        <v>8</v>
      </c>
      <c r="G1125" s="696" t="s">
        <v>5597</v>
      </c>
      <c r="I1125" s="696" t="s">
        <v>5600</v>
      </c>
      <c r="J1125" s="688"/>
      <c r="K1125" s="689"/>
    </row>
    <row r="1126" spans="1:11" s="691" customFormat="1" ht="20.100000000000001" customHeight="1" x14ac:dyDescent="0.2">
      <c r="A1126" s="695" t="str">
        <f t="shared" si="14"/>
        <v>333901414070000  Diarias - Servidores CLT</v>
      </c>
      <c r="B1126" s="628"/>
      <c r="C1126" s="631"/>
      <c r="D1126" s="632">
        <v>333901414070000</v>
      </c>
      <c r="E1126" s="696" t="s">
        <v>5052</v>
      </c>
      <c r="F1126" s="696">
        <v>8</v>
      </c>
      <c r="G1126" s="696" t="s">
        <v>5597</v>
      </c>
      <c r="I1126" s="696" t="s">
        <v>5600</v>
      </c>
      <c r="J1126" s="688"/>
      <c r="K1126" s="689"/>
    </row>
    <row r="1127" spans="1:11" s="691" customFormat="1" ht="20.100000000000001" customHeight="1" x14ac:dyDescent="0.2">
      <c r="A1127" s="695" t="str">
        <f t="shared" si="14"/>
        <v>333901416000000  Diarias No Exterior</v>
      </c>
      <c r="B1127" s="628"/>
      <c r="C1127" s="631"/>
      <c r="D1127" s="632">
        <v>333901416000000</v>
      </c>
      <c r="E1127" s="696" t="s">
        <v>5053</v>
      </c>
      <c r="F1127" s="696">
        <v>7</v>
      </c>
      <c r="G1127" s="696" t="s">
        <v>5597</v>
      </c>
      <c r="I1127" s="696"/>
      <c r="J1127" s="688"/>
      <c r="K1127" s="689"/>
    </row>
    <row r="1128" spans="1:11" s="691" customFormat="1" ht="20.100000000000001" customHeight="1" x14ac:dyDescent="0.2">
      <c r="A1128" s="695" t="str">
        <f t="shared" si="14"/>
        <v>333901499000000  Outras Diarias</v>
      </c>
      <c r="B1128" s="628"/>
      <c r="C1128" s="631"/>
      <c r="D1128" s="632">
        <v>333901499000000</v>
      </c>
      <c r="E1128" s="696" t="s">
        <v>5054</v>
      </c>
      <c r="F1128" s="696">
        <v>7</v>
      </c>
      <c r="G1128" s="696" t="s">
        <v>5597</v>
      </c>
      <c r="I1128" s="696"/>
      <c r="J1128" s="688"/>
      <c r="K1128" s="689"/>
    </row>
    <row r="1129" spans="1:11" s="691" customFormat="1" ht="20.100000000000001" customHeight="1" x14ac:dyDescent="0.2">
      <c r="A1129" s="695" t="str">
        <f t="shared" si="14"/>
        <v>333901499010000  Diárias Agentes Politicos - Legislativo</v>
      </c>
      <c r="B1129" s="628"/>
      <c r="C1129" s="631"/>
      <c r="D1129" s="632">
        <v>333901499010000</v>
      </c>
      <c r="E1129" s="696" t="s">
        <v>5055</v>
      </c>
      <c r="F1129" s="696">
        <v>7</v>
      </c>
      <c r="G1129" s="696" t="s">
        <v>5597</v>
      </c>
      <c r="I1129" s="696" t="s">
        <v>5600</v>
      </c>
      <c r="J1129" s="688"/>
      <c r="K1129" s="689"/>
    </row>
    <row r="1130" spans="1:11" s="691" customFormat="1" ht="20.100000000000001" customHeight="1" x14ac:dyDescent="0.2">
      <c r="A1130" s="695" t="str">
        <f t="shared" si="14"/>
        <v>333901499020000  Diárias Servidores - Legislativo</v>
      </c>
      <c r="B1130" s="628"/>
      <c r="C1130" s="631"/>
      <c r="D1130" s="632">
        <v>333901499020000</v>
      </c>
      <c r="E1130" s="696" t="s">
        <v>5056</v>
      </c>
      <c r="F1130" s="696">
        <v>7</v>
      </c>
      <c r="G1130" s="696" t="s">
        <v>5597</v>
      </c>
      <c r="I1130" s="696"/>
      <c r="J1130" s="688"/>
      <c r="K1130" s="689"/>
    </row>
    <row r="1131" spans="1:11" s="691" customFormat="1" ht="20.100000000000001" customHeight="1" x14ac:dyDescent="0.2">
      <c r="A1131" s="695" t="str">
        <f t="shared" si="14"/>
        <v>333901499030000  Diárias Agentes Politicos - Executivo</v>
      </c>
      <c r="B1131" s="628"/>
      <c r="C1131" s="631"/>
      <c r="D1131" s="632">
        <v>333901499030000</v>
      </c>
      <c r="E1131" s="696" t="s">
        <v>5057</v>
      </c>
      <c r="F1131" s="696">
        <v>7</v>
      </c>
      <c r="G1131" s="696" t="s">
        <v>5597</v>
      </c>
      <c r="I1131" s="696"/>
      <c r="J1131" s="688"/>
      <c r="K1131" s="689"/>
    </row>
    <row r="1132" spans="1:11" s="691" customFormat="1" ht="20.100000000000001" customHeight="1" x14ac:dyDescent="0.2">
      <c r="A1132" s="695" t="str">
        <f t="shared" si="14"/>
        <v>333901499040000  Diárias Servidores - Executivo</v>
      </c>
      <c r="B1132" s="628"/>
      <c r="C1132" s="631"/>
      <c r="D1132" s="632">
        <v>333901499040000</v>
      </c>
      <c r="E1132" s="696" t="s">
        <v>5058</v>
      </c>
      <c r="F1132" s="696">
        <v>7</v>
      </c>
      <c r="G1132" s="696" t="s">
        <v>5597</v>
      </c>
      <c r="I1132" s="696"/>
      <c r="J1132" s="688"/>
      <c r="K1132" s="689"/>
    </row>
    <row r="1133" spans="1:11" s="691" customFormat="1" ht="20.100000000000001" customHeight="1" x14ac:dyDescent="0.2">
      <c r="A1133" s="695" t="str">
        <f t="shared" si="14"/>
        <v>333901499050000  Diárias De Conselheiros Municipais</v>
      </c>
      <c r="B1133" s="628"/>
      <c r="C1133" s="631"/>
      <c r="D1133" s="632">
        <v>333901499050000</v>
      </c>
      <c r="E1133" s="696" t="s">
        <v>2214</v>
      </c>
      <c r="F1133" s="696">
        <v>7</v>
      </c>
      <c r="G1133" s="696" t="s">
        <v>5597</v>
      </c>
      <c r="I1133" s="696"/>
      <c r="J1133" s="688"/>
      <c r="K1133" s="689"/>
    </row>
    <row r="1134" spans="1:11" s="691" customFormat="1" ht="20.100000000000001" customHeight="1" x14ac:dyDescent="0.2">
      <c r="A1134" s="695" t="str">
        <f t="shared" si="14"/>
        <v>333901499060000  Diárias De Conselheiros Tutelares</v>
      </c>
      <c r="B1134" s="628"/>
      <c r="C1134" s="631"/>
      <c r="D1134" s="632">
        <v>333901499060000</v>
      </c>
      <c r="E1134" s="696" t="s">
        <v>5059</v>
      </c>
      <c r="F1134" s="696">
        <v>7</v>
      </c>
      <c r="G1134" s="696" t="s">
        <v>5597</v>
      </c>
      <c r="I1134" s="696" t="s">
        <v>5604</v>
      </c>
      <c r="J1134" s="688"/>
      <c r="K1134" s="689"/>
    </row>
    <row r="1135" spans="1:11" s="691" customFormat="1" ht="20.100000000000001" customHeight="1" x14ac:dyDescent="0.2">
      <c r="A1135" s="695" t="str">
        <f t="shared" si="14"/>
        <v>333901499070000  Diária de Acampamento</v>
      </c>
      <c r="B1135" s="628"/>
      <c r="C1135" s="631"/>
      <c r="D1135" s="632">
        <v>333901499070000</v>
      </c>
      <c r="E1135" s="696" t="s">
        <v>4325</v>
      </c>
      <c r="F1135" s="696">
        <v>7</v>
      </c>
      <c r="G1135" s="696" t="s">
        <v>5597</v>
      </c>
      <c r="I1135" s="696"/>
      <c r="J1135" s="688"/>
      <c r="K1135" s="689"/>
    </row>
    <row r="1136" spans="1:11" s="691" customFormat="1" ht="20.100000000000001" customHeight="1" x14ac:dyDescent="0.2">
      <c r="A1136" s="695" t="str">
        <f t="shared" si="14"/>
        <v>333901800000000  Auxilio Financeiro A Estudantes</v>
      </c>
      <c r="B1136" s="628"/>
      <c r="C1136" s="631"/>
      <c r="D1136" s="632">
        <v>333901800000000</v>
      </c>
      <c r="E1136" s="696" t="s">
        <v>5060</v>
      </c>
      <c r="F1136" s="696">
        <v>6</v>
      </c>
      <c r="G1136" s="696" t="s">
        <v>5596</v>
      </c>
      <c r="I1136" s="696"/>
      <c r="J1136" s="688"/>
      <c r="K1136" s="689"/>
    </row>
    <row r="1137" spans="1:11" s="691" customFormat="1" ht="20.100000000000001" customHeight="1" x14ac:dyDescent="0.2">
      <c r="A1137" s="695" t="str">
        <f t="shared" ref="A1137:A1200" si="15">CONCATENATE(D1137,"  ",E1137,)</f>
        <v>333901801000000  Bolsas De Estudo No Pais</v>
      </c>
      <c r="B1137" s="628"/>
      <c r="C1137" s="631"/>
      <c r="D1137" s="632">
        <v>333901801000000</v>
      </c>
      <c r="E1137" s="696" t="s">
        <v>5061</v>
      </c>
      <c r="F1137" s="696">
        <v>7</v>
      </c>
      <c r="G1137" s="696" t="s">
        <v>5597</v>
      </c>
      <c r="I1137" s="696"/>
      <c r="J1137" s="688"/>
      <c r="K1137" s="689"/>
    </row>
    <row r="1138" spans="1:11" s="691" customFormat="1" ht="20.100000000000001" customHeight="1" x14ac:dyDescent="0.2">
      <c r="A1138" s="695" t="str">
        <f t="shared" si="15"/>
        <v>333901802000000  Bolsas De Estudo No Exterior</v>
      </c>
      <c r="B1138" s="628"/>
      <c r="C1138" s="631"/>
      <c r="D1138" s="632">
        <v>333901802000000</v>
      </c>
      <c r="E1138" s="696" t="s">
        <v>5062</v>
      </c>
      <c r="F1138" s="696">
        <v>7</v>
      </c>
      <c r="G1138" s="696" t="s">
        <v>5597</v>
      </c>
      <c r="I1138" s="696"/>
      <c r="J1138" s="688"/>
      <c r="K1138" s="689"/>
    </row>
    <row r="1139" spans="1:11" s="691" customFormat="1" ht="20.100000000000001" customHeight="1" x14ac:dyDescent="0.2">
      <c r="A1139" s="695" t="str">
        <f t="shared" si="15"/>
        <v>333901803000000  Bolsa Escola - Beneficio</v>
      </c>
      <c r="B1139" s="628"/>
      <c r="C1139" s="631"/>
      <c r="D1139" s="632">
        <v>333901803000000</v>
      </c>
      <c r="E1139" s="696" t="s">
        <v>5063</v>
      </c>
      <c r="F1139" s="696">
        <v>7</v>
      </c>
      <c r="G1139" s="696" t="s">
        <v>5597</v>
      </c>
      <c r="I1139" s="696"/>
      <c r="J1139" s="688"/>
      <c r="K1139" s="689"/>
    </row>
    <row r="1140" spans="1:11" s="691" customFormat="1" ht="20.100000000000001" customHeight="1" x14ac:dyDescent="0.2">
      <c r="A1140" s="695" t="str">
        <f t="shared" si="15"/>
        <v>333901899000000  Outros Auxilios Financeiros A Estudantes</v>
      </c>
      <c r="B1140" s="628"/>
      <c r="C1140" s="631"/>
      <c r="D1140" s="632">
        <v>333901899000000</v>
      </c>
      <c r="E1140" s="696" t="s">
        <v>5064</v>
      </c>
      <c r="F1140" s="696">
        <v>7</v>
      </c>
      <c r="G1140" s="696" t="s">
        <v>5597</v>
      </c>
      <c r="I1140" s="696"/>
      <c r="J1140" s="688"/>
      <c r="K1140" s="689"/>
    </row>
    <row r="1141" spans="1:11" s="691" customFormat="1" ht="20.100000000000001" customHeight="1" x14ac:dyDescent="0.2">
      <c r="A1141" s="695" t="str">
        <f t="shared" si="15"/>
        <v>333902000000000  Auxilio Financeiro A Pesquisadores</v>
      </c>
      <c r="B1141" s="628"/>
      <c r="C1141" s="631"/>
      <c r="D1141" s="632">
        <v>333902000000000</v>
      </c>
      <c r="E1141" s="696" t="s">
        <v>5065</v>
      </c>
      <c r="F1141" s="696">
        <v>6</v>
      </c>
      <c r="G1141" s="696" t="s">
        <v>5596</v>
      </c>
      <c r="I1141" s="696"/>
      <c r="J1141" s="688"/>
      <c r="K1141" s="689"/>
    </row>
    <row r="1142" spans="1:11" s="691" customFormat="1" ht="20.100000000000001" customHeight="1" x14ac:dyDescent="0.2">
      <c r="A1142" s="695" t="str">
        <f t="shared" si="15"/>
        <v>333902001000000  Auxilio A Pesquisadores</v>
      </c>
      <c r="B1142" s="628"/>
      <c r="C1142" s="631"/>
      <c r="D1142" s="632">
        <v>333902001000000</v>
      </c>
      <c r="E1142" s="696" t="s">
        <v>5066</v>
      </c>
      <c r="F1142" s="696">
        <v>7</v>
      </c>
      <c r="G1142" s="696" t="s">
        <v>5597</v>
      </c>
      <c r="I1142" s="696"/>
      <c r="J1142" s="688"/>
      <c r="K1142" s="689"/>
    </row>
    <row r="1143" spans="1:11" s="691" customFormat="1" ht="20.100000000000001" customHeight="1" x14ac:dyDescent="0.2">
      <c r="A1143" s="695" t="str">
        <f t="shared" si="15"/>
        <v>333903000000000  Material De Consumo</v>
      </c>
      <c r="B1143" s="628"/>
      <c r="C1143" s="631"/>
      <c r="D1143" s="632">
        <v>333903000000000</v>
      </c>
      <c r="E1143" s="696" t="s">
        <v>996</v>
      </c>
      <c r="F1143" s="696">
        <v>6</v>
      </c>
      <c r="G1143" s="696" t="s">
        <v>5596</v>
      </c>
      <c r="I1143" s="696"/>
      <c r="J1143" s="688"/>
      <c r="K1143" s="689"/>
    </row>
    <row r="1144" spans="1:11" s="691" customFormat="1" ht="20.100000000000001" customHeight="1" x14ac:dyDescent="0.2">
      <c r="A1144" s="695" t="str">
        <f t="shared" si="15"/>
        <v>333903001000000  Combustiveis  Automotivos</v>
      </c>
      <c r="B1144" s="628"/>
      <c r="C1144" s="631"/>
      <c r="D1144" s="632">
        <v>333903001000000</v>
      </c>
      <c r="E1144" s="696" t="s">
        <v>5625</v>
      </c>
      <c r="F1144" s="696">
        <v>7</v>
      </c>
      <c r="G1144" s="696" t="s">
        <v>5597</v>
      </c>
      <c r="I1144" s="696"/>
      <c r="J1144" s="688"/>
      <c r="K1144" s="689"/>
    </row>
    <row r="1145" spans="1:11" s="691" customFormat="1" ht="20.100000000000001" customHeight="1" x14ac:dyDescent="0.2">
      <c r="A1145" s="695" t="str">
        <f t="shared" si="15"/>
        <v>333903001010000  Gasolina</v>
      </c>
      <c r="B1145" s="628"/>
      <c r="C1145" s="631"/>
      <c r="D1145" s="632">
        <v>333903001010000</v>
      </c>
      <c r="E1145" s="696" t="s">
        <v>1101</v>
      </c>
      <c r="F1145" s="696">
        <v>8</v>
      </c>
      <c r="G1145" s="696" t="s">
        <v>5597</v>
      </c>
      <c r="I1145" s="696" t="s">
        <v>5604</v>
      </c>
      <c r="J1145" s="688"/>
      <c r="K1145" s="689"/>
    </row>
    <row r="1146" spans="1:11" s="691" customFormat="1" ht="20.100000000000001" customHeight="1" x14ac:dyDescent="0.2">
      <c r="A1146" s="695" t="str">
        <f t="shared" si="15"/>
        <v>333903001010100  Gasolina P/Veiculo Oficial</v>
      </c>
      <c r="B1146" s="628"/>
      <c r="C1146" s="631"/>
      <c r="D1146" s="632">
        <v>333903001010100</v>
      </c>
      <c r="E1146" s="696" t="s">
        <v>5067</v>
      </c>
      <c r="F1146" s="696">
        <v>9</v>
      </c>
      <c r="G1146" s="696" t="s">
        <v>5597</v>
      </c>
      <c r="I1146" s="696" t="s">
        <v>5604</v>
      </c>
      <c r="J1146" s="688"/>
      <c r="K1146" s="689"/>
    </row>
    <row r="1147" spans="1:11" s="691" customFormat="1" ht="20.100000000000001" customHeight="1" x14ac:dyDescent="0.2">
      <c r="A1147" s="695" t="str">
        <f t="shared" si="15"/>
        <v>333903001010200  Gasolina P/Veiculo Placas ISK 1256</v>
      </c>
      <c r="B1147" s="628"/>
      <c r="C1147" s="631"/>
      <c r="D1147" s="632">
        <v>333903001010200</v>
      </c>
      <c r="E1147" s="696" t="s">
        <v>1037</v>
      </c>
      <c r="F1147" s="696">
        <v>9</v>
      </c>
      <c r="G1147" s="696" t="s">
        <v>5597</v>
      </c>
      <c r="I1147" s="696" t="s">
        <v>5604</v>
      </c>
      <c r="J1147" s="688"/>
      <c r="K1147" s="689"/>
    </row>
    <row r="1148" spans="1:11" s="691" customFormat="1" ht="20.100000000000001" customHeight="1" x14ac:dyDescent="0.2">
      <c r="A1148" s="695" t="str">
        <f t="shared" si="15"/>
        <v>333903001010300  Gasolina P/Veiculo Placas ITP 0262</v>
      </c>
      <c r="B1148" s="628"/>
      <c r="C1148" s="631"/>
      <c r="D1148" s="632">
        <v>333903001010300</v>
      </c>
      <c r="E1148" s="696" t="s">
        <v>1114</v>
      </c>
      <c r="F1148" s="696">
        <v>9</v>
      </c>
      <c r="G1148" s="696" t="s">
        <v>5597</v>
      </c>
      <c r="I1148" s="696" t="s">
        <v>5604</v>
      </c>
      <c r="J1148" s="688"/>
      <c r="K1148" s="689"/>
    </row>
    <row r="1149" spans="1:11" s="691" customFormat="1" ht="20.100000000000001" customHeight="1" x14ac:dyDescent="0.2">
      <c r="A1149" s="695" t="str">
        <f t="shared" si="15"/>
        <v>333903001010400  Gasolina P/Veiculo Placas DUA 5272</v>
      </c>
      <c r="B1149" s="628"/>
      <c r="C1149" s="631"/>
      <c r="D1149" s="632">
        <v>333903001010400</v>
      </c>
      <c r="E1149" s="696" t="s">
        <v>1036</v>
      </c>
      <c r="F1149" s="696">
        <v>9</v>
      </c>
      <c r="G1149" s="696" t="s">
        <v>5597</v>
      </c>
      <c r="I1149" s="696" t="s">
        <v>5604</v>
      </c>
      <c r="J1149" s="688"/>
      <c r="K1149" s="689"/>
    </row>
    <row r="1150" spans="1:11" s="691" customFormat="1" ht="20.100000000000001" customHeight="1" x14ac:dyDescent="0.2">
      <c r="A1150" s="695" t="str">
        <f t="shared" si="15"/>
        <v>333903001010500  Gasolina P/Veiculo Placas IRS 4010</v>
      </c>
      <c r="B1150" s="628"/>
      <c r="C1150" s="631"/>
      <c r="D1150" s="632">
        <v>333903001010500</v>
      </c>
      <c r="E1150" s="696" t="s">
        <v>1266</v>
      </c>
      <c r="F1150" s="696">
        <v>9</v>
      </c>
      <c r="G1150" s="696" t="s">
        <v>5597</v>
      </c>
      <c r="I1150" s="696" t="s">
        <v>5604</v>
      </c>
      <c r="J1150" s="688"/>
      <c r="K1150" s="689"/>
    </row>
    <row r="1151" spans="1:11" s="691" customFormat="1" ht="20.100000000000001" customHeight="1" x14ac:dyDescent="0.2">
      <c r="A1151" s="695" t="str">
        <f t="shared" si="15"/>
        <v>333903001010600  Gasolina P/Veiculo Placas IOB 6926</v>
      </c>
      <c r="B1151" s="628"/>
      <c r="C1151" s="631"/>
      <c r="D1151" s="632">
        <v>333903001010600</v>
      </c>
      <c r="E1151" s="696" t="s">
        <v>1113</v>
      </c>
      <c r="F1151" s="696">
        <v>9</v>
      </c>
      <c r="G1151" s="696" t="s">
        <v>5597</v>
      </c>
      <c r="I1151" s="696" t="s">
        <v>5604</v>
      </c>
      <c r="J1151" s="688"/>
      <c r="K1151" s="689"/>
    </row>
    <row r="1152" spans="1:11" s="691" customFormat="1" ht="20.100000000000001" customHeight="1" x14ac:dyDescent="0.2">
      <c r="A1152" s="695" t="str">
        <f t="shared" si="15"/>
        <v>333903001010700  Gasolina P/Veiculo Placas IRY 2027</v>
      </c>
      <c r="B1152" s="628"/>
      <c r="C1152" s="631"/>
      <c r="D1152" s="632">
        <v>333903001010700</v>
      </c>
      <c r="E1152" s="696" t="s">
        <v>1035</v>
      </c>
      <c r="F1152" s="696">
        <v>9</v>
      </c>
      <c r="G1152" s="696" t="s">
        <v>5597</v>
      </c>
      <c r="I1152" s="696" t="s">
        <v>5604</v>
      </c>
      <c r="J1152" s="688"/>
      <c r="K1152" s="689"/>
    </row>
    <row r="1153" spans="1:11" s="691" customFormat="1" ht="20.100000000000001" customHeight="1" x14ac:dyDescent="0.2">
      <c r="A1153" s="695" t="str">
        <f t="shared" si="15"/>
        <v>333903001010800  Gasolina P/Veiculo Placas IMN 0762</v>
      </c>
      <c r="B1153" s="628"/>
      <c r="C1153" s="631"/>
      <c r="D1153" s="632">
        <v>333903001010800</v>
      </c>
      <c r="E1153" s="696" t="s">
        <v>1149</v>
      </c>
      <c r="F1153" s="696">
        <v>9</v>
      </c>
      <c r="G1153" s="696" t="s">
        <v>5597</v>
      </c>
      <c r="I1153" s="696" t="s">
        <v>5604</v>
      </c>
      <c r="J1153" s="688"/>
      <c r="K1153" s="689"/>
    </row>
    <row r="1154" spans="1:11" s="691" customFormat="1" ht="20.100000000000001" customHeight="1" x14ac:dyDescent="0.2">
      <c r="A1154" s="695" t="str">
        <f t="shared" si="15"/>
        <v>333903001010900  Gasolina P/Veiculo Placas IOD 6953</v>
      </c>
      <c r="B1154" s="628"/>
      <c r="C1154" s="631"/>
      <c r="D1154" s="632">
        <v>333903001010900</v>
      </c>
      <c r="E1154" s="696" t="s">
        <v>1246</v>
      </c>
      <c r="F1154" s="696">
        <v>9</v>
      </c>
      <c r="G1154" s="696" t="s">
        <v>5597</v>
      </c>
      <c r="I1154" s="696" t="s">
        <v>5604</v>
      </c>
      <c r="J1154" s="688"/>
      <c r="K1154" s="689"/>
    </row>
    <row r="1155" spans="1:11" s="691" customFormat="1" ht="20.100000000000001" customHeight="1" x14ac:dyDescent="0.2">
      <c r="A1155" s="695" t="str">
        <f t="shared" si="15"/>
        <v>333903001011000  Gasolina P/Veiculo Placas INZ 9457</v>
      </c>
      <c r="B1155" s="628"/>
      <c r="C1155" s="631"/>
      <c r="D1155" s="632">
        <v>333903001011000</v>
      </c>
      <c r="E1155" s="696" t="s">
        <v>1245</v>
      </c>
      <c r="F1155" s="696">
        <v>9</v>
      </c>
      <c r="G1155" s="696" t="s">
        <v>5597</v>
      </c>
      <c r="I1155" s="696" t="s">
        <v>5604</v>
      </c>
      <c r="J1155" s="688"/>
      <c r="K1155" s="689"/>
    </row>
    <row r="1156" spans="1:11" s="691" customFormat="1" ht="20.100000000000001" customHeight="1" x14ac:dyDescent="0.2">
      <c r="A1156" s="695" t="str">
        <f t="shared" si="15"/>
        <v>333903001011001  Gasolina Veiculo INZ 9457 - Aq. Imediata</v>
      </c>
      <c r="B1156" s="628"/>
      <c r="C1156" s="631"/>
      <c r="D1156" s="632">
        <v>333903001011001</v>
      </c>
      <c r="E1156" s="696" t="s">
        <v>5068</v>
      </c>
      <c r="F1156" s="696">
        <v>9</v>
      </c>
      <c r="G1156" s="696" t="s">
        <v>5597</v>
      </c>
      <c r="I1156" s="696" t="s">
        <v>5600</v>
      </c>
      <c r="J1156" s="688"/>
      <c r="K1156" s="689"/>
    </row>
    <row r="1157" spans="1:11" s="691" customFormat="1" ht="20.100000000000001" customHeight="1" x14ac:dyDescent="0.2">
      <c r="A1157" s="695" t="str">
        <f t="shared" si="15"/>
        <v>333903001011002  Gasolina Veiculo INZ 9457 - Estoque</v>
      </c>
      <c r="B1157" s="628"/>
      <c r="C1157" s="631"/>
      <c r="D1157" s="632">
        <v>333903001011002</v>
      </c>
      <c r="E1157" s="696" t="s">
        <v>5069</v>
      </c>
      <c r="F1157" s="696">
        <v>9</v>
      </c>
      <c r="G1157" s="696" t="s">
        <v>5597</v>
      </c>
      <c r="I1157" s="696" t="s">
        <v>5600</v>
      </c>
      <c r="J1157" s="688"/>
      <c r="K1157" s="689"/>
    </row>
    <row r="1158" spans="1:11" s="691" customFormat="1" ht="20.100000000000001" customHeight="1" x14ac:dyDescent="0.2">
      <c r="A1158" s="695" t="str">
        <f t="shared" si="15"/>
        <v>333903001012000  Gasolina P/Veiculo Placas IJY 2420</v>
      </c>
      <c r="B1158" s="628"/>
      <c r="C1158" s="631"/>
      <c r="D1158" s="632">
        <v>333903001012000</v>
      </c>
      <c r="E1158" s="696" t="s">
        <v>1095</v>
      </c>
      <c r="F1158" s="696">
        <v>9</v>
      </c>
      <c r="G1158" s="696" t="s">
        <v>5597</v>
      </c>
      <c r="I1158" s="696" t="s">
        <v>5604</v>
      </c>
      <c r="J1158" s="688"/>
      <c r="K1158" s="689"/>
    </row>
    <row r="1159" spans="1:11" s="691" customFormat="1" ht="20.100000000000001" customHeight="1" x14ac:dyDescent="0.2">
      <c r="A1159" s="695" t="str">
        <f t="shared" si="15"/>
        <v>333903001012100  Gasolina P/Veiculo Brigada Militar</v>
      </c>
      <c r="B1159" s="628"/>
      <c r="C1159" s="631"/>
      <c r="D1159" s="632">
        <v>333903001012100</v>
      </c>
      <c r="E1159" s="696" t="s">
        <v>1271</v>
      </c>
      <c r="F1159" s="696">
        <v>9</v>
      </c>
      <c r="G1159" s="696" t="s">
        <v>5597</v>
      </c>
      <c r="I1159" s="696" t="s">
        <v>5600</v>
      </c>
      <c r="J1159" s="688"/>
      <c r="K1159" s="689"/>
    </row>
    <row r="1160" spans="1:11" s="691" customFormat="1" ht="20.100000000000001" customHeight="1" x14ac:dyDescent="0.2">
      <c r="A1160" s="695" t="str">
        <f t="shared" si="15"/>
        <v>333903001012200  Gasolina P/Veiculo Placas IQV 8399</v>
      </c>
      <c r="B1160" s="628"/>
      <c r="C1160" s="631"/>
      <c r="D1160" s="632">
        <v>333903001012200</v>
      </c>
      <c r="E1160" s="696" t="s">
        <v>1112</v>
      </c>
      <c r="F1160" s="696">
        <v>9</v>
      </c>
      <c r="G1160" s="696" t="s">
        <v>5597</v>
      </c>
      <c r="I1160" s="696" t="s">
        <v>5604</v>
      </c>
      <c r="J1160" s="688"/>
      <c r="K1160" s="689"/>
    </row>
    <row r="1161" spans="1:11" s="691" customFormat="1" ht="20.100000000000001" customHeight="1" x14ac:dyDescent="0.2">
      <c r="A1161" s="695" t="str">
        <f t="shared" si="15"/>
        <v>333903001012300  Gasolina P/Veiculo Placas IVP 4366</v>
      </c>
      <c r="B1161" s="628"/>
      <c r="C1161" s="631"/>
      <c r="D1161" s="632">
        <v>333903001012300</v>
      </c>
      <c r="E1161" s="696" t="s">
        <v>5070</v>
      </c>
      <c r="F1161" s="696">
        <v>9</v>
      </c>
      <c r="G1161" s="696" t="s">
        <v>5597</v>
      </c>
      <c r="I1161" s="696" t="s">
        <v>5600</v>
      </c>
      <c r="J1161" s="688"/>
      <c r="K1161" s="689"/>
    </row>
    <row r="1162" spans="1:11" s="691" customFormat="1" ht="20.100000000000001" customHeight="1" x14ac:dyDescent="0.2">
      <c r="A1162" s="695" t="str">
        <f t="shared" si="15"/>
        <v>333903001012400  Gasolina P/Veiculo Placas IVY 8354</v>
      </c>
      <c r="B1162" s="628"/>
      <c r="C1162" s="631"/>
      <c r="D1162" s="632">
        <v>333903001012400</v>
      </c>
      <c r="E1162" s="696" t="s">
        <v>5071</v>
      </c>
      <c r="F1162" s="696">
        <v>9</v>
      </c>
      <c r="G1162" s="696" t="s">
        <v>5597</v>
      </c>
      <c r="I1162" s="696" t="s">
        <v>5600</v>
      </c>
      <c r="J1162" s="688"/>
      <c r="K1162" s="689"/>
    </row>
    <row r="1163" spans="1:11" s="691" customFormat="1" ht="20.100000000000001" customHeight="1" x14ac:dyDescent="0.2">
      <c r="A1163" s="695" t="str">
        <f t="shared" si="15"/>
        <v>333903001012500  Gasolina P/Veiculo Educação</v>
      </c>
      <c r="B1163" s="628"/>
      <c r="C1163" s="631"/>
      <c r="D1163" s="632">
        <v>333903001012500</v>
      </c>
      <c r="E1163" s="696" t="s">
        <v>5072</v>
      </c>
      <c r="F1163" s="696">
        <v>9</v>
      </c>
      <c r="G1163" s="696" t="s">
        <v>5597</v>
      </c>
      <c r="I1163" s="696" t="s">
        <v>5600</v>
      </c>
      <c r="J1163" s="688"/>
      <c r="K1163" s="689"/>
    </row>
    <row r="1164" spans="1:11" s="691" customFormat="1" ht="20.100000000000001" customHeight="1" x14ac:dyDescent="0.2">
      <c r="A1164" s="695" t="str">
        <f t="shared" si="15"/>
        <v>333903001012600  Gasolina P/Veiculo Placas ABK 7176</v>
      </c>
      <c r="B1164" s="628"/>
      <c r="C1164" s="631"/>
      <c r="D1164" s="632">
        <v>333903001012600</v>
      </c>
      <c r="E1164" s="696" t="s">
        <v>6208</v>
      </c>
      <c r="F1164" s="696">
        <v>9</v>
      </c>
      <c r="G1164" s="696" t="s">
        <v>5597</v>
      </c>
      <c r="I1164" s="696" t="s">
        <v>5600</v>
      </c>
      <c r="J1164" s="688"/>
      <c r="K1164" s="689"/>
    </row>
    <row r="1165" spans="1:11" s="691" customFormat="1" ht="20.100000000000001" customHeight="1" x14ac:dyDescent="0.2">
      <c r="A1165" s="695" t="str">
        <f t="shared" si="15"/>
        <v>333903001020000  Oleo Diesel</v>
      </c>
      <c r="B1165" s="628"/>
      <c r="C1165" s="631"/>
      <c r="D1165" s="632">
        <v>333903001020000</v>
      </c>
      <c r="E1165" s="696" t="s">
        <v>1109</v>
      </c>
      <c r="F1165" s="696">
        <v>8</v>
      </c>
      <c r="G1165" s="696" t="s">
        <v>5597</v>
      </c>
      <c r="I1165" s="696" t="s">
        <v>5604</v>
      </c>
      <c r="J1165" s="688"/>
      <c r="K1165" s="689"/>
    </row>
    <row r="1166" spans="1:11" s="691" customFormat="1" ht="20.100000000000001" customHeight="1" x14ac:dyDescent="0.2">
      <c r="A1166" s="695" t="str">
        <f t="shared" si="15"/>
        <v>333903001020100  Oleo Diesel P/Veiculo Placas IRH 9777</v>
      </c>
      <c r="B1166" s="628"/>
      <c r="C1166" s="631"/>
      <c r="D1166" s="632">
        <v>333903001020100</v>
      </c>
      <c r="E1166" s="696" t="s">
        <v>1111</v>
      </c>
      <c r="F1166" s="696">
        <v>9</v>
      </c>
      <c r="G1166" s="696" t="s">
        <v>5597</v>
      </c>
      <c r="I1166" s="696" t="s">
        <v>5604</v>
      </c>
      <c r="J1166" s="688"/>
      <c r="K1166" s="689"/>
    </row>
    <row r="1167" spans="1:11" s="691" customFormat="1" ht="20.100000000000001" customHeight="1" x14ac:dyDescent="0.2">
      <c r="A1167" s="695" t="str">
        <f t="shared" si="15"/>
        <v>333903001020200  Oleo Diesel P/Veiculo Placas IOY 7726</v>
      </c>
      <c r="B1167" s="628"/>
      <c r="C1167" s="631"/>
      <c r="D1167" s="632">
        <v>333903001020200</v>
      </c>
      <c r="E1167" s="696" t="s">
        <v>1110</v>
      </c>
      <c r="F1167" s="696">
        <v>9</v>
      </c>
      <c r="G1167" s="696" t="s">
        <v>5597</v>
      </c>
      <c r="I1167" s="696" t="s">
        <v>5604</v>
      </c>
      <c r="J1167" s="688"/>
      <c r="K1167" s="689"/>
    </row>
    <row r="1168" spans="1:11" s="691" customFormat="1" ht="20.100000000000001" customHeight="1" x14ac:dyDescent="0.2">
      <c r="A1168" s="695" t="str">
        <f t="shared" si="15"/>
        <v>333903001020300  Oleo Diesel P/Veiculo Placas IPN 4843</v>
      </c>
      <c r="B1168" s="628"/>
      <c r="C1168" s="631"/>
      <c r="D1168" s="632">
        <v>333903001020300</v>
      </c>
      <c r="E1168" s="696" t="s">
        <v>1182</v>
      </c>
      <c r="F1168" s="696">
        <v>9</v>
      </c>
      <c r="G1168" s="696" t="s">
        <v>5597</v>
      </c>
      <c r="I1168" s="696" t="s">
        <v>5604</v>
      </c>
      <c r="J1168" s="688"/>
      <c r="K1168" s="689"/>
    </row>
    <row r="1169" spans="1:11" s="691" customFormat="1" ht="20.100000000000001" customHeight="1" x14ac:dyDescent="0.2">
      <c r="A1169" s="695" t="str">
        <f t="shared" si="15"/>
        <v>333903001020400  Oleo Diesel P/Veiculo Placas IPP 9013</v>
      </c>
      <c r="B1169" s="628"/>
      <c r="C1169" s="631"/>
      <c r="D1169" s="632">
        <v>333903001020400</v>
      </c>
      <c r="E1169" s="696" t="s">
        <v>1181</v>
      </c>
      <c r="F1169" s="696">
        <v>9</v>
      </c>
      <c r="G1169" s="696" t="s">
        <v>5597</v>
      </c>
      <c r="I1169" s="696" t="s">
        <v>5604</v>
      </c>
      <c r="J1169" s="688"/>
      <c r="K1169" s="689"/>
    </row>
    <row r="1170" spans="1:11" s="691" customFormat="1" ht="20.100000000000001" customHeight="1" x14ac:dyDescent="0.2">
      <c r="A1170" s="695" t="str">
        <f t="shared" si="15"/>
        <v>333903001020500  Oleo Diesel P/Veiculo Placas IPP 9043</v>
      </c>
      <c r="B1170" s="628"/>
      <c r="C1170" s="631"/>
      <c r="D1170" s="632">
        <v>333903001020500</v>
      </c>
      <c r="E1170" s="696" t="s">
        <v>1180</v>
      </c>
      <c r="F1170" s="696">
        <v>9</v>
      </c>
      <c r="G1170" s="696" t="s">
        <v>5597</v>
      </c>
      <c r="I1170" s="696" t="s">
        <v>5604</v>
      </c>
      <c r="J1170" s="688"/>
      <c r="K1170" s="689"/>
    </row>
    <row r="1171" spans="1:11" s="691" customFormat="1" ht="20.100000000000001" customHeight="1" x14ac:dyDescent="0.2">
      <c r="A1171" s="695" t="str">
        <f t="shared" si="15"/>
        <v>333903001020600  Oleo Diesel P/Veiculo Placas IHL 6621</v>
      </c>
      <c r="B1171" s="628"/>
      <c r="C1171" s="631"/>
      <c r="D1171" s="632">
        <v>333903001020600</v>
      </c>
      <c r="E1171" s="696" t="s">
        <v>1236</v>
      </c>
      <c r="F1171" s="696">
        <v>9</v>
      </c>
      <c r="G1171" s="696" t="s">
        <v>5597</v>
      </c>
      <c r="I1171" s="696" t="s">
        <v>5600</v>
      </c>
      <c r="J1171" s="688"/>
      <c r="K1171" s="689"/>
    </row>
    <row r="1172" spans="1:11" s="691" customFormat="1" ht="20.100000000000001" customHeight="1" x14ac:dyDescent="0.2">
      <c r="A1172" s="695" t="str">
        <f t="shared" si="15"/>
        <v>333903001020700  Oleo Diesel P/Veiculo Placas IHL 6579</v>
      </c>
      <c r="B1172" s="628"/>
      <c r="C1172" s="631"/>
      <c r="D1172" s="632">
        <v>333903001020700</v>
      </c>
      <c r="E1172" s="696" t="s">
        <v>1235</v>
      </c>
      <c r="F1172" s="696">
        <v>9</v>
      </c>
      <c r="G1172" s="696" t="s">
        <v>5597</v>
      </c>
      <c r="I1172" s="696" t="s">
        <v>5600</v>
      </c>
      <c r="J1172" s="688"/>
      <c r="K1172" s="689"/>
    </row>
    <row r="1173" spans="1:11" s="691" customFormat="1" ht="20.100000000000001" customHeight="1" x14ac:dyDescent="0.2">
      <c r="A1173" s="695" t="str">
        <f t="shared" si="15"/>
        <v>333903001020800  Oleo Diesel P/Retroescavadeira Case 580 4X4</v>
      </c>
      <c r="B1173" s="628"/>
      <c r="C1173" s="631"/>
      <c r="D1173" s="632">
        <v>333903001020800</v>
      </c>
      <c r="E1173" s="696" t="s">
        <v>1234</v>
      </c>
      <c r="F1173" s="696">
        <v>9</v>
      </c>
      <c r="G1173" s="696" t="s">
        <v>5597</v>
      </c>
      <c r="I1173" s="696" t="s">
        <v>5600</v>
      </c>
      <c r="J1173" s="688"/>
      <c r="K1173" s="689"/>
    </row>
    <row r="1174" spans="1:11" s="691" customFormat="1" ht="20.100000000000001" customHeight="1" x14ac:dyDescent="0.2">
      <c r="A1174" s="695" t="str">
        <f t="shared" si="15"/>
        <v>333903001020900  Oleo Diesel P/Retroescavadeira Case 580 4X2</v>
      </c>
      <c r="B1174" s="628"/>
      <c r="C1174" s="631"/>
      <c r="D1174" s="632">
        <v>333903001020900</v>
      </c>
      <c r="E1174" s="696" t="s">
        <v>1233</v>
      </c>
      <c r="F1174" s="696">
        <v>9</v>
      </c>
      <c r="G1174" s="696" t="s">
        <v>5597</v>
      </c>
      <c r="I1174" s="696" t="s">
        <v>5600</v>
      </c>
      <c r="J1174" s="688"/>
      <c r="K1174" s="689"/>
    </row>
    <row r="1175" spans="1:11" s="691" customFormat="1" ht="20.100000000000001" customHeight="1" x14ac:dyDescent="0.2">
      <c r="A1175" s="695" t="str">
        <f t="shared" si="15"/>
        <v>333903001021000  Oleo Diesel P/Retroescavadeira JCB 4x4 SMO</v>
      </c>
      <c r="B1175" s="628"/>
      <c r="C1175" s="631"/>
      <c r="D1175" s="632">
        <v>333903001021000</v>
      </c>
      <c r="E1175" s="696" t="s">
        <v>5073</v>
      </c>
      <c r="F1175" s="696">
        <v>9</v>
      </c>
      <c r="G1175" s="696" t="s">
        <v>5597</v>
      </c>
      <c r="I1175" s="696" t="s">
        <v>5604</v>
      </c>
      <c r="J1175" s="688"/>
      <c r="K1175" s="689"/>
    </row>
    <row r="1176" spans="1:11" s="691" customFormat="1" ht="20.100000000000001" customHeight="1" x14ac:dyDescent="0.2">
      <c r="A1176" s="695" t="str">
        <f t="shared" si="15"/>
        <v>333903001021100  Oleo Diesel P/Motoniveladora 120H</v>
      </c>
      <c r="B1176" s="628"/>
      <c r="C1176" s="631"/>
      <c r="D1176" s="632">
        <v>333903001021100</v>
      </c>
      <c r="E1176" s="696" t="s">
        <v>1232</v>
      </c>
      <c r="F1176" s="696">
        <v>9</v>
      </c>
      <c r="G1176" s="696" t="s">
        <v>5597</v>
      </c>
      <c r="I1176" s="696" t="s">
        <v>5600</v>
      </c>
      <c r="J1176" s="688"/>
      <c r="K1176" s="689"/>
    </row>
    <row r="1177" spans="1:11" s="691" customFormat="1" ht="20.100000000000001" customHeight="1" x14ac:dyDescent="0.2">
      <c r="A1177" s="695" t="str">
        <f t="shared" si="15"/>
        <v>333903001021200  Oleo Diesel P/Motoniveladora 135H</v>
      </c>
      <c r="B1177" s="628"/>
      <c r="C1177" s="631"/>
      <c r="D1177" s="632">
        <v>333903001021200</v>
      </c>
      <c r="E1177" s="696" t="s">
        <v>1231</v>
      </c>
      <c r="F1177" s="696">
        <v>9</v>
      </c>
      <c r="G1177" s="696" t="s">
        <v>5597</v>
      </c>
      <c r="I1177" s="696" t="s">
        <v>5600</v>
      </c>
      <c r="J1177" s="688"/>
      <c r="K1177" s="689"/>
    </row>
    <row r="1178" spans="1:11" s="691" customFormat="1" ht="20.100000000000001" customHeight="1" x14ac:dyDescent="0.2">
      <c r="A1178" s="695" t="str">
        <f t="shared" si="15"/>
        <v>333903001021300  Oleo Diesel P/Trator Esteira D5E</v>
      </c>
      <c r="B1178" s="628"/>
      <c r="C1178" s="631"/>
      <c r="D1178" s="632">
        <v>333903001021300</v>
      </c>
      <c r="E1178" s="696" t="s">
        <v>1230</v>
      </c>
      <c r="F1178" s="696">
        <v>9</v>
      </c>
      <c r="G1178" s="696" t="s">
        <v>5597</v>
      </c>
      <c r="I1178" s="696" t="s">
        <v>5600</v>
      </c>
      <c r="J1178" s="688"/>
      <c r="K1178" s="689"/>
    </row>
    <row r="1179" spans="1:11" s="691" customFormat="1" ht="20.100000000000001" customHeight="1" x14ac:dyDescent="0.2">
      <c r="A1179" s="695" t="str">
        <f t="shared" si="15"/>
        <v>333903001021400  Oleo Diesel P/Trator New Holand TL 85E</v>
      </c>
      <c r="B1179" s="628"/>
      <c r="C1179" s="631"/>
      <c r="D1179" s="632">
        <v>333903001021400</v>
      </c>
      <c r="E1179" s="696" t="s">
        <v>1087</v>
      </c>
      <c r="F1179" s="696">
        <v>9</v>
      </c>
      <c r="G1179" s="696" t="s">
        <v>5597</v>
      </c>
      <c r="I1179" s="696" t="s">
        <v>5600</v>
      </c>
      <c r="J1179" s="688"/>
      <c r="K1179" s="689"/>
    </row>
    <row r="1180" spans="1:11" s="691" customFormat="1" ht="20.100000000000001" customHeight="1" x14ac:dyDescent="0.2">
      <c r="A1180" s="695" t="str">
        <f t="shared" si="15"/>
        <v>333903001021500  Oleo Diesel P/Trator Ford 8030</v>
      </c>
      <c r="B1180" s="628"/>
      <c r="C1180" s="631"/>
      <c r="D1180" s="632">
        <v>333903001021500</v>
      </c>
      <c r="E1180" s="696" t="s">
        <v>1086</v>
      </c>
      <c r="F1180" s="696">
        <v>9</v>
      </c>
      <c r="G1180" s="696" t="s">
        <v>5597</v>
      </c>
      <c r="I1180" s="696" t="s">
        <v>5600</v>
      </c>
      <c r="J1180" s="688"/>
      <c r="K1180" s="689"/>
    </row>
    <row r="1181" spans="1:11" s="691" customFormat="1" ht="20.100000000000001" customHeight="1" x14ac:dyDescent="0.2">
      <c r="A1181" s="695" t="str">
        <f t="shared" si="15"/>
        <v>333903001021600  Oleo Diesel P/Trator New Holand 7630</v>
      </c>
      <c r="B1181" s="628"/>
      <c r="C1181" s="631"/>
      <c r="D1181" s="632">
        <v>333903001021600</v>
      </c>
      <c r="E1181" s="696" t="s">
        <v>1085</v>
      </c>
      <c r="F1181" s="696">
        <v>9</v>
      </c>
      <c r="G1181" s="696" t="s">
        <v>5597</v>
      </c>
      <c r="I1181" s="696" t="s">
        <v>5600</v>
      </c>
      <c r="J1181" s="688"/>
      <c r="K1181" s="689"/>
    </row>
    <row r="1182" spans="1:11" s="691" customFormat="1" ht="20.100000000000001" customHeight="1" x14ac:dyDescent="0.2">
      <c r="A1182" s="695" t="str">
        <f t="shared" si="15"/>
        <v>333903001021700  Oleo Diesel P/Trator Valtra BM 110</v>
      </c>
      <c r="B1182" s="628"/>
      <c r="C1182" s="631"/>
      <c r="D1182" s="632">
        <v>333903001021700</v>
      </c>
      <c r="E1182" s="696" t="s">
        <v>1084</v>
      </c>
      <c r="F1182" s="696">
        <v>9</v>
      </c>
      <c r="G1182" s="696" t="s">
        <v>5597</v>
      </c>
      <c r="I1182" s="696" t="s">
        <v>5600</v>
      </c>
      <c r="J1182" s="688"/>
      <c r="K1182" s="689"/>
    </row>
    <row r="1183" spans="1:11" s="691" customFormat="1" ht="20.100000000000001" customHeight="1" x14ac:dyDescent="0.2">
      <c r="A1183" s="695" t="str">
        <f t="shared" si="15"/>
        <v>333903001021800  Oleo Diesel P/Trator J.D. Fruticultura</v>
      </c>
      <c r="B1183" s="628"/>
      <c r="C1183" s="631"/>
      <c r="D1183" s="632">
        <v>333903001021800</v>
      </c>
      <c r="E1183" s="696" t="s">
        <v>1083</v>
      </c>
      <c r="F1183" s="696">
        <v>9</v>
      </c>
      <c r="G1183" s="696" t="s">
        <v>5597</v>
      </c>
      <c r="I1183" s="696" t="s">
        <v>5600</v>
      </c>
      <c r="J1183" s="688"/>
      <c r="K1183" s="689"/>
    </row>
    <row r="1184" spans="1:11" s="691" customFormat="1" ht="20.100000000000001" customHeight="1" x14ac:dyDescent="0.2">
      <c r="A1184" s="695" t="str">
        <f t="shared" si="15"/>
        <v>333903001021900  Oleo Diesel P/Trator Esteira D30E</v>
      </c>
      <c r="B1184" s="628"/>
      <c r="C1184" s="631"/>
      <c r="D1184" s="632">
        <v>333903001021900</v>
      </c>
      <c r="E1184" s="696" t="s">
        <v>1082</v>
      </c>
      <c r="F1184" s="696">
        <v>9</v>
      </c>
      <c r="G1184" s="696" t="s">
        <v>5597</v>
      </c>
      <c r="I1184" s="696" t="s">
        <v>5600</v>
      </c>
      <c r="J1184" s="688"/>
      <c r="K1184" s="689"/>
    </row>
    <row r="1185" spans="1:11" s="691" customFormat="1" ht="20.100000000000001" customHeight="1" x14ac:dyDescent="0.2">
      <c r="A1185" s="695" t="str">
        <f t="shared" si="15"/>
        <v>333903001022000  Oleo Diesel P/Retroescavadeira JCB 4X4 SMAG</v>
      </c>
      <c r="B1185" s="628"/>
      <c r="C1185" s="631"/>
      <c r="D1185" s="632">
        <v>333903001022000</v>
      </c>
      <c r="E1185" s="696" t="s">
        <v>5074</v>
      </c>
      <c r="F1185" s="696">
        <v>9</v>
      </c>
      <c r="G1185" s="696" t="s">
        <v>5597</v>
      </c>
      <c r="I1185" s="696" t="s">
        <v>5604</v>
      </c>
      <c r="J1185" s="688"/>
      <c r="K1185" s="689"/>
    </row>
    <row r="1186" spans="1:11" s="691" customFormat="1" ht="20.100000000000001" customHeight="1" x14ac:dyDescent="0.2">
      <c r="A1186" s="695" t="str">
        <f t="shared" si="15"/>
        <v>333903001023000  Oleo Diesel P/Veiculo locado</v>
      </c>
      <c r="B1186" s="628"/>
      <c r="C1186" s="631"/>
      <c r="D1186" s="632">
        <v>333903001023000</v>
      </c>
      <c r="E1186" s="696" t="s">
        <v>1115</v>
      </c>
      <c r="F1186" s="696">
        <v>9</v>
      </c>
      <c r="G1186" s="696" t="s">
        <v>5597</v>
      </c>
      <c r="I1186" s="696" t="s">
        <v>5600</v>
      </c>
      <c r="J1186" s="688"/>
      <c r="K1186" s="689"/>
    </row>
    <row r="1187" spans="1:11" s="691" customFormat="1" ht="20.100000000000001" customHeight="1" x14ac:dyDescent="0.2">
      <c r="A1187" s="695" t="str">
        <f t="shared" si="15"/>
        <v>333903001023100  Oleo Diesel P/Motoniveladora 845 B PAC 2</v>
      </c>
      <c r="B1187" s="628"/>
      <c r="C1187" s="631"/>
      <c r="D1187" s="632">
        <v>333903001023100</v>
      </c>
      <c r="E1187" s="696" t="s">
        <v>5075</v>
      </c>
      <c r="F1187" s="696">
        <v>9</v>
      </c>
      <c r="G1187" s="696" t="s">
        <v>5597</v>
      </c>
      <c r="I1187" s="696" t="s">
        <v>5604</v>
      </c>
      <c r="J1187" s="688"/>
      <c r="K1187" s="689"/>
    </row>
    <row r="1188" spans="1:11" s="691" customFormat="1" ht="20.100000000000001" customHeight="1" x14ac:dyDescent="0.2">
      <c r="A1188" s="695" t="str">
        <f t="shared" si="15"/>
        <v>333903001023200  Oleo Diesel P/Veiculo IVR 0147</v>
      </c>
      <c r="B1188" s="628"/>
      <c r="C1188" s="631"/>
      <c r="D1188" s="632">
        <v>333903001023200</v>
      </c>
      <c r="E1188" s="696" t="s">
        <v>5076</v>
      </c>
      <c r="F1188" s="696">
        <v>9</v>
      </c>
      <c r="G1188" s="696" t="s">
        <v>5597</v>
      </c>
      <c r="I1188" s="696" t="s">
        <v>5600</v>
      </c>
      <c r="J1188" s="688"/>
      <c r="K1188" s="689"/>
    </row>
    <row r="1189" spans="1:11" s="691" customFormat="1" ht="20.100000000000001" customHeight="1" x14ac:dyDescent="0.2">
      <c r="A1189" s="695" t="str">
        <f t="shared" si="15"/>
        <v>333903001023300  Oleo Diesel P/Veiculo Placas IEW 4544</v>
      </c>
      <c r="B1189" s="628"/>
      <c r="C1189" s="631"/>
      <c r="D1189" s="632">
        <v>333903001023300</v>
      </c>
      <c r="E1189" s="696" t="s">
        <v>5077</v>
      </c>
      <c r="F1189" s="696">
        <v>9</v>
      </c>
      <c r="G1189" s="696" t="s">
        <v>5597</v>
      </c>
      <c r="I1189" s="696" t="s">
        <v>5600</v>
      </c>
      <c r="J1189" s="688"/>
      <c r="K1189" s="689"/>
    </row>
    <row r="1190" spans="1:11" s="691" customFormat="1" ht="20.100000000000001" customHeight="1" x14ac:dyDescent="0.2">
      <c r="A1190" s="695" t="str">
        <f t="shared" si="15"/>
        <v>333903001023400  Oleo Diesel P/Veiculo Placas IWC 5251</v>
      </c>
      <c r="B1190" s="628"/>
      <c r="C1190" s="631"/>
      <c r="D1190" s="632">
        <v>333903001023400</v>
      </c>
      <c r="E1190" s="696" t="s">
        <v>5078</v>
      </c>
      <c r="F1190" s="696">
        <v>9</v>
      </c>
      <c r="G1190" s="696" t="s">
        <v>5597</v>
      </c>
      <c r="I1190" s="696" t="s">
        <v>5600</v>
      </c>
      <c r="J1190" s="688"/>
      <c r="K1190" s="689"/>
    </row>
    <row r="1191" spans="1:11" s="691" customFormat="1" ht="20.100000000000001" customHeight="1" x14ac:dyDescent="0.2">
      <c r="A1191" s="695" t="str">
        <f t="shared" si="15"/>
        <v>333903001023500  Oleo Diesel P/Veiculo Placas IWL 3346</v>
      </c>
      <c r="B1191" s="628"/>
      <c r="C1191" s="631"/>
      <c r="D1191" s="632">
        <v>333903001023500</v>
      </c>
      <c r="E1191" s="696" t="s">
        <v>5079</v>
      </c>
      <c r="F1191" s="696">
        <v>9</v>
      </c>
      <c r="G1191" s="696" t="s">
        <v>5597</v>
      </c>
      <c r="I1191" s="696" t="s">
        <v>5600</v>
      </c>
      <c r="J1191" s="688"/>
      <c r="K1191" s="689"/>
    </row>
    <row r="1192" spans="1:11" s="691" customFormat="1" ht="20.100000000000001" customHeight="1" x14ac:dyDescent="0.2">
      <c r="A1192" s="695" t="str">
        <f t="shared" si="15"/>
        <v>333903001023600  Oleo Diesel P/Gerador de Energia</v>
      </c>
      <c r="B1192" s="628"/>
      <c r="C1192" s="631"/>
      <c r="D1192" s="632">
        <v>333903001023600</v>
      </c>
      <c r="E1192" s="696" t="s">
        <v>5080</v>
      </c>
      <c r="F1192" s="696">
        <v>9</v>
      </c>
      <c r="G1192" s="696" t="s">
        <v>5597</v>
      </c>
      <c r="I1192" s="696" t="s">
        <v>5600</v>
      </c>
      <c r="J1192" s="688"/>
      <c r="K1192" s="689"/>
    </row>
    <row r="1193" spans="1:11" s="691" customFormat="1" ht="20.100000000000001" customHeight="1" x14ac:dyDescent="0.2">
      <c r="A1193" s="695" t="str">
        <f t="shared" si="15"/>
        <v>333903001030000  Lubrificantes</v>
      </c>
      <c r="B1193" s="628"/>
      <c r="C1193" s="631"/>
      <c r="D1193" s="632">
        <v>333903001030000</v>
      </c>
      <c r="E1193" s="696" t="s">
        <v>1100</v>
      </c>
      <c r="F1193" s="696">
        <v>8</v>
      </c>
      <c r="G1193" s="696" t="s">
        <v>5597</v>
      </c>
      <c r="I1193" s="696" t="s">
        <v>5600</v>
      </c>
      <c r="J1193" s="688"/>
      <c r="K1193" s="689"/>
    </row>
    <row r="1194" spans="1:11" s="691" customFormat="1" ht="20.100000000000001" customHeight="1" x14ac:dyDescent="0.2">
      <c r="A1194" s="695" t="str">
        <f t="shared" si="15"/>
        <v>333903001030100  Lubrificantes P/Veiculo Oficial</v>
      </c>
      <c r="B1194" s="628"/>
      <c r="C1194" s="631"/>
      <c r="D1194" s="632">
        <v>333903001030100</v>
      </c>
      <c r="E1194" s="696" t="s">
        <v>5081</v>
      </c>
      <c r="F1194" s="696">
        <v>9</v>
      </c>
      <c r="G1194" s="696" t="s">
        <v>5597</v>
      </c>
      <c r="I1194" s="696" t="s">
        <v>5604</v>
      </c>
      <c r="J1194" s="688"/>
      <c r="K1194" s="689"/>
    </row>
    <row r="1195" spans="1:11" s="691" customFormat="1" ht="20.100000000000001" customHeight="1" x14ac:dyDescent="0.2">
      <c r="A1195" s="695" t="str">
        <f t="shared" si="15"/>
        <v>333903001030200  Lubrificantes P/Veiculo Placas ISK 1256</v>
      </c>
      <c r="B1195" s="628"/>
      <c r="C1195" s="631"/>
      <c r="D1195" s="632">
        <v>333903001030200</v>
      </c>
      <c r="E1195" s="696" t="s">
        <v>1148</v>
      </c>
      <c r="F1195" s="696">
        <v>9</v>
      </c>
      <c r="G1195" s="696" t="s">
        <v>5597</v>
      </c>
      <c r="I1195" s="696" t="s">
        <v>5600</v>
      </c>
      <c r="J1195" s="688"/>
      <c r="K1195" s="689"/>
    </row>
    <row r="1196" spans="1:11" s="691" customFormat="1" ht="20.100000000000001" customHeight="1" x14ac:dyDescent="0.2">
      <c r="A1196" s="695" t="str">
        <f t="shared" si="15"/>
        <v>333903001030300  Lubrificantes P/Veiculo Placas ITP 0262</v>
      </c>
      <c r="B1196" s="628"/>
      <c r="C1196" s="631"/>
      <c r="D1196" s="632">
        <v>333903001030300</v>
      </c>
      <c r="E1196" s="696" t="s">
        <v>1147</v>
      </c>
      <c r="F1196" s="696">
        <v>9</v>
      </c>
      <c r="G1196" s="696" t="s">
        <v>5597</v>
      </c>
      <c r="I1196" s="696" t="s">
        <v>5600</v>
      </c>
      <c r="J1196" s="688"/>
      <c r="K1196" s="689"/>
    </row>
    <row r="1197" spans="1:11" s="691" customFormat="1" ht="20.100000000000001" customHeight="1" x14ac:dyDescent="0.2">
      <c r="A1197" s="695" t="str">
        <f t="shared" si="15"/>
        <v>333903001030400  Lubrificantes P/Veiculo Placas IRH 9777</v>
      </c>
      <c r="B1197" s="628"/>
      <c r="C1197" s="631"/>
      <c r="D1197" s="632">
        <v>333903001030400</v>
      </c>
      <c r="E1197" s="696" t="s">
        <v>1146</v>
      </c>
      <c r="F1197" s="696">
        <v>9</v>
      </c>
      <c r="G1197" s="696" t="s">
        <v>5597</v>
      </c>
      <c r="I1197" s="696" t="s">
        <v>5600</v>
      </c>
      <c r="J1197" s="688"/>
      <c r="K1197" s="689"/>
    </row>
    <row r="1198" spans="1:11" s="691" customFormat="1" ht="20.100000000000001" customHeight="1" x14ac:dyDescent="0.2">
      <c r="A1198" s="695" t="str">
        <f t="shared" si="15"/>
        <v>333903001030500  Lubrificantes P/Veiculo Placas IOY 7726</v>
      </c>
      <c r="B1198" s="628"/>
      <c r="C1198" s="631"/>
      <c r="D1198" s="632">
        <v>333903001030500</v>
      </c>
      <c r="E1198" s="696" t="s">
        <v>1145</v>
      </c>
      <c r="F1198" s="696">
        <v>9</v>
      </c>
      <c r="G1198" s="696" t="s">
        <v>5597</v>
      </c>
      <c r="I1198" s="696" t="s">
        <v>5600</v>
      </c>
      <c r="J1198" s="688"/>
      <c r="K1198" s="689"/>
    </row>
    <row r="1199" spans="1:11" s="691" customFormat="1" ht="20.100000000000001" customHeight="1" x14ac:dyDescent="0.2">
      <c r="A1199" s="695" t="str">
        <f t="shared" si="15"/>
        <v>333903001030600  Lubrificantes P/Veiculo Placas DUA 5272</v>
      </c>
      <c r="B1199" s="628"/>
      <c r="C1199" s="631"/>
      <c r="D1199" s="632">
        <v>333903001030600</v>
      </c>
      <c r="E1199" s="696" t="s">
        <v>1144</v>
      </c>
      <c r="F1199" s="696">
        <v>9</v>
      </c>
      <c r="G1199" s="696" t="s">
        <v>5597</v>
      </c>
      <c r="I1199" s="696" t="s">
        <v>5600</v>
      </c>
      <c r="J1199" s="688"/>
      <c r="K1199" s="689"/>
    </row>
    <row r="1200" spans="1:11" s="691" customFormat="1" ht="20.100000000000001" customHeight="1" x14ac:dyDescent="0.2">
      <c r="A1200" s="695" t="str">
        <f t="shared" si="15"/>
        <v>333903001030700  Lubrificantes P/Veiculo Placas IRS 4010</v>
      </c>
      <c r="B1200" s="628"/>
      <c r="C1200" s="631"/>
      <c r="D1200" s="632">
        <v>333903001030700</v>
      </c>
      <c r="E1200" s="696" t="s">
        <v>1265</v>
      </c>
      <c r="F1200" s="696">
        <v>9</v>
      </c>
      <c r="G1200" s="696" t="s">
        <v>5597</v>
      </c>
      <c r="I1200" s="696" t="s">
        <v>5600</v>
      </c>
      <c r="J1200" s="688"/>
      <c r="K1200" s="689"/>
    </row>
    <row r="1201" spans="1:11" s="691" customFormat="1" ht="20.100000000000001" customHeight="1" x14ac:dyDescent="0.2">
      <c r="A1201" s="695" t="str">
        <f t="shared" ref="A1201:A1264" si="16">CONCATENATE(D1201,"  ",E1201,)</f>
        <v>333903001030800  Lubrificantes P/Veiculo Placas IQV 8399</v>
      </c>
      <c r="B1201" s="628"/>
      <c r="C1201" s="631"/>
      <c r="D1201" s="632">
        <v>333903001030800</v>
      </c>
      <c r="E1201" s="696" t="s">
        <v>1143</v>
      </c>
      <c r="F1201" s="696">
        <v>9</v>
      </c>
      <c r="G1201" s="696" t="s">
        <v>5597</v>
      </c>
      <c r="I1201" s="696" t="s">
        <v>5600</v>
      </c>
      <c r="J1201" s="688"/>
      <c r="K1201" s="689"/>
    </row>
    <row r="1202" spans="1:11" s="691" customFormat="1" ht="20.100000000000001" customHeight="1" x14ac:dyDescent="0.2">
      <c r="A1202" s="695" t="str">
        <f t="shared" si="16"/>
        <v>333903001030900  Lubrificantes P/Veiculo Placas IOB 6926</v>
      </c>
      <c r="B1202" s="628"/>
      <c r="C1202" s="631"/>
      <c r="D1202" s="632">
        <v>333903001030900</v>
      </c>
      <c r="E1202" s="696" t="s">
        <v>1142</v>
      </c>
      <c r="F1202" s="696">
        <v>9</v>
      </c>
      <c r="G1202" s="696" t="s">
        <v>5597</v>
      </c>
      <c r="I1202" s="696" t="s">
        <v>5600</v>
      </c>
      <c r="J1202" s="688"/>
      <c r="K1202" s="689"/>
    </row>
    <row r="1203" spans="1:11" s="691" customFormat="1" ht="20.100000000000001" customHeight="1" x14ac:dyDescent="0.2">
      <c r="A1203" s="695" t="str">
        <f t="shared" si="16"/>
        <v>333903001031000  Lubrificantes P/Veiculo Placas IRY 2027</v>
      </c>
      <c r="B1203" s="628"/>
      <c r="C1203" s="631"/>
      <c r="D1203" s="632">
        <v>333903001031000</v>
      </c>
      <c r="E1203" s="696" t="s">
        <v>1034</v>
      </c>
      <c r="F1203" s="696">
        <v>9</v>
      </c>
      <c r="G1203" s="696" t="s">
        <v>5597</v>
      </c>
      <c r="I1203" s="696" t="s">
        <v>5600</v>
      </c>
      <c r="J1203" s="688"/>
      <c r="K1203" s="689"/>
    </row>
    <row r="1204" spans="1:11" s="691" customFormat="1" ht="20.100000000000001" customHeight="1" x14ac:dyDescent="0.2">
      <c r="A1204" s="695" t="str">
        <f t="shared" si="16"/>
        <v>333903001031100  Lubrificantes P/Veiculo Placas IPN 4843</v>
      </c>
      <c r="B1204" s="628"/>
      <c r="C1204" s="631"/>
      <c r="D1204" s="632">
        <v>333903001031100</v>
      </c>
      <c r="E1204" s="696" t="s">
        <v>1179</v>
      </c>
      <c r="F1204" s="696">
        <v>9</v>
      </c>
      <c r="G1204" s="696" t="s">
        <v>5597</v>
      </c>
      <c r="I1204" s="696" t="s">
        <v>5600</v>
      </c>
      <c r="J1204" s="688"/>
      <c r="K1204" s="689"/>
    </row>
    <row r="1205" spans="1:11" s="691" customFormat="1" ht="20.100000000000001" customHeight="1" x14ac:dyDescent="0.2">
      <c r="A1205" s="695" t="str">
        <f t="shared" si="16"/>
        <v>333903001031200  Lubrificantes P/Veiculo Placas IPP 9013</v>
      </c>
      <c r="B1205" s="628"/>
      <c r="C1205" s="631"/>
      <c r="D1205" s="632">
        <v>333903001031200</v>
      </c>
      <c r="E1205" s="696" t="s">
        <v>1178</v>
      </c>
      <c r="F1205" s="696">
        <v>9</v>
      </c>
      <c r="G1205" s="696" t="s">
        <v>5597</v>
      </c>
      <c r="I1205" s="696" t="s">
        <v>5600</v>
      </c>
      <c r="J1205" s="688"/>
      <c r="K1205" s="689"/>
    </row>
    <row r="1206" spans="1:11" s="691" customFormat="1" ht="20.100000000000001" customHeight="1" x14ac:dyDescent="0.2">
      <c r="A1206" s="695" t="str">
        <f t="shared" si="16"/>
        <v>333903001031300  Lubrificantes P/Veiculo Placas IPP 9043</v>
      </c>
      <c r="B1206" s="628"/>
      <c r="C1206" s="631"/>
      <c r="D1206" s="632">
        <v>333903001031300</v>
      </c>
      <c r="E1206" s="696" t="s">
        <v>1177</v>
      </c>
      <c r="F1206" s="696">
        <v>9</v>
      </c>
      <c r="G1206" s="696" t="s">
        <v>5597</v>
      </c>
      <c r="I1206" s="696" t="s">
        <v>5600</v>
      </c>
      <c r="J1206" s="688"/>
      <c r="K1206" s="689"/>
    </row>
    <row r="1207" spans="1:11" s="691" customFormat="1" ht="20.100000000000001" customHeight="1" x14ac:dyDescent="0.2">
      <c r="A1207" s="695" t="str">
        <f t="shared" si="16"/>
        <v>333903001031400  Lubrificantes P/Veiculo Placas IMN 0762</v>
      </c>
      <c r="B1207" s="628"/>
      <c r="C1207" s="631"/>
      <c r="D1207" s="632">
        <v>333903001031400</v>
      </c>
      <c r="E1207" s="696" t="s">
        <v>1189</v>
      </c>
      <c r="F1207" s="696">
        <v>9</v>
      </c>
      <c r="G1207" s="696" t="s">
        <v>5597</v>
      </c>
      <c r="I1207" s="696" t="s">
        <v>5600</v>
      </c>
      <c r="J1207" s="688"/>
      <c r="K1207" s="689"/>
    </row>
    <row r="1208" spans="1:11" s="691" customFormat="1" ht="20.100000000000001" customHeight="1" x14ac:dyDescent="0.2">
      <c r="A1208" s="695" t="str">
        <f t="shared" si="16"/>
        <v>333903001031500  Lubrificantes P/Veiculo Placas IOD 6953</v>
      </c>
      <c r="B1208" s="628"/>
      <c r="C1208" s="631"/>
      <c r="D1208" s="632">
        <v>333903001031500</v>
      </c>
      <c r="E1208" s="696" t="s">
        <v>1244</v>
      </c>
      <c r="F1208" s="696">
        <v>9</v>
      </c>
      <c r="G1208" s="696" t="s">
        <v>5597</v>
      </c>
      <c r="I1208" s="696" t="s">
        <v>5600</v>
      </c>
      <c r="J1208" s="688"/>
      <c r="K1208" s="689"/>
    </row>
    <row r="1209" spans="1:11" s="691" customFormat="1" ht="20.100000000000001" customHeight="1" x14ac:dyDescent="0.2">
      <c r="A1209" s="695" t="str">
        <f t="shared" si="16"/>
        <v>333903001031600  Lubrificantes P/Veiculo Placas IHL 6621</v>
      </c>
      <c r="B1209" s="628"/>
      <c r="C1209" s="631"/>
      <c r="D1209" s="632">
        <v>333903001031600</v>
      </c>
      <c r="E1209" s="696" t="s">
        <v>1229</v>
      </c>
      <c r="F1209" s="696">
        <v>9</v>
      </c>
      <c r="G1209" s="696" t="s">
        <v>5597</v>
      </c>
      <c r="I1209" s="696" t="s">
        <v>5600</v>
      </c>
      <c r="J1209" s="688"/>
      <c r="K1209" s="689"/>
    </row>
    <row r="1210" spans="1:11" s="691" customFormat="1" ht="20.100000000000001" customHeight="1" x14ac:dyDescent="0.2">
      <c r="A1210" s="695" t="str">
        <f t="shared" si="16"/>
        <v>333903001031700  Lubrificantes P/Veiculo Placas IHL 6579</v>
      </c>
      <c r="B1210" s="628"/>
      <c r="C1210" s="631"/>
      <c r="D1210" s="632">
        <v>333903001031700</v>
      </c>
      <c r="E1210" s="696" t="s">
        <v>1228</v>
      </c>
      <c r="F1210" s="696">
        <v>9</v>
      </c>
      <c r="G1210" s="696" t="s">
        <v>5597</v>
      </c>
      <c r="I1210" s="696" t="s">
        <v>5600</v>
      </c>
      <c r="J1210" s="688"/>
      <c r="K1210" s="689"/>
    </row>
    <row r="1211" spans="1:11" s="691" customFormat="1" ht="20.100000000000001" customHeight="1" x14ac:dyDescent="0.2">
      <c r="A1211" s="695" t="str">
        <f t="shared" si="16"/>
        <v>333903001031800  Lubrificantes P/Veiculo Placas INZ 9457</v>
      </c>
      <c r="B1211" s="628"/>
      <c r="C1211" s="631"/>
      <c r="D1211" s="632">
        <v>333903001031800</v>
      </c>
      <c r="E1211" s="696" t="s">
        <v>1243</v>
      </c>
      <c r="F1211" s="696">
        <v>9</v>
      </c>
      <c r="G1211" s="696" t="s">
        <v>5597</v>
      </c>
      <c r="I1211" s="696" t="s">
        <v>5600</v>
      </c>
      <c r="J1211" s="688"/>
      <c r="K1211" s="689"/>
    </row>
    <row r="1212" spans="1:11" s="691" customFormat="1" ht="20.100000000000001" customHeight="1" x14ac:dyDescent="0.2">
      <c r="A1212" s="695" t="str">
        <f t="shared" si="16"/>
        <v>333903001031801  Lubrificantes Veiculo INZ 9457  - Aq. Imediata</v>
      </c>
      <c r="B1212" s="628"/>
      <c r="C1212" s="631"/>
      <c r="D1212" s="632">
        <v>333903001031801</v>
      </c>
      <c r="E1212" s="696" t="s">
        <v>5626</v>
      </c>
      <c r="F1212" s="696">
        <v>9</v>
      </c>
      <c r="G1212" s="696" t="s">
        <v>5597</v>
      </c>
      <c r="I1212" s="696" t="s">
        <v>5600</v>
      </c>
      <c r="J1212" s="688"/>
      <c r="K1212" s="689"/>
    </row>
    <row r="1213" spans="1:11" s="691" customFormat="1" ht="20.100000000000001" customHeight="1" x14ac:dyDescent="0.2">
      <c r="A1213" s="695" t="str">
        <f t="shared" si="16"/>
        <v>333903001031802  Lubrificantes Veiculo INZ 9457 - Estoque</v>
      </c>
      <c r="B1213" s="628"/>
      <c r="C1213" s="631"/>
      <c r="D1213" s="632">
        <v>333903001031802</v>
      </c>
      <c r="E1213" s="696" t="s">
        <v>5082</v>
      </c>
      <c r="F1213" s="696">
        <v>9</v>
      </c>
      <c r="G1213" s="696" t="s">
        <v>5597</v>
      </c>
      <c r="I1213" s="696" t="s">
        <v>5600</v>
      </c>
      <c r="J1213" s="688"/>
      <c r="K1213" s="689"/>
    </row>
    <row r="1214" spans="1:11" s="691" customFormat="1" ht="20.100000000000001" customHeight="1" x14ac:dyDescent="0.2">
      <c r="A1214" s="695" t="str">
        <f t="shared" si="16"/>
        <v>333903001031900  Lubrificantes P/Retroescavadeira Case 580 4X4</v>
      </c>
      <c r="B1214" s="628"/>
      <c r="C1214" s="631"/>
      <c r="D1214" s="632">
        <v>333903001031900</v>
      </c>
      <c r="E1214" s="696" t="s">
        <v>1227</v>
      </c>
      <c r="F1214" s="696">
        <v>9</v>
      </c>
      <c r="G1214" s="696" t="s">
        <v>5597</v>
      </c>
      <c r="I1214" s="696" t="s">
        <v>5600</v>
      </c>
      <c r="J1214" s="688"/>
      <c r="K1214" s="689"/>
    </row>
    <row r="1215" spans="1:11" s="691" customFormat="1" ht="20.100000000000001" customHeight="1" x14ac:dyDescent="0.2">
      <c r="A1215" s="695" t="str">
        <f t="shared" si="16"/>
        <v>333903001032000  Lubrificantes P/Retroescavadeira Case 580 4X2</v>
      </c>
      <c r="B1215" s="628"/>
      <c r="C1215" s="631"/>
      <c r="D1215" s="632">
        <v>333903001032000</v>
      </c>
      <c r="E1215" s="696" t="s">
        <v>1226</v>
      </c>
      <c r="F1215" s="696">
        <v>9</v>
      </c>
      <c r="G1215" s="696" t="s">
        <v>5597</v>
      </c>
      <c r="I1215" s="696" t="s">
        <v>5600</v>
      </c>
      <c r="J1215" s="688"/>
      <c r="K1215" s="689"/>
    </row>
    <row r="1216" spans="1:11" s="691" customFormat="1" ht="20.100000000000001" customHeight="1" x14ac:dyDescent="0.2">
      <c r="A1216" s="695" t="str">
        <f t="shared" si="16"/>
        <v>333903001032100  Lubrificantes P/Retroescavadeira JCB 4X4 SMO</v>
      </c>
      <c r="B1216" s="628"/>
      <c r="C1216" s="631"/>
      <c r="D1216" s="632">
        <v>333903001032100</v>
      </c>
      <c r="E1216" s="696" t="s">
        <v>1225</v>
      </c>
      <c r="F1216" s="696">
        <v>9</v>
      </c>
      <c r="G1216" s="696" t="s">
        <v>5597</v>
      </c>
      <c r="I1216" s="696" t="s">
        <v>5600</v>
      </c>
      <c r="J1216" s="688"/>
      <c r="K1216" s="689"/>
    </row>
    <row r="1217" spans="1:11" s="691" customFormat="1" ht="20.100000000000001" customHeight="1" x14ac:dyDescent="0.2">
      <c r="A1217" s="695" t="str">
        <f t="shared" si="16"/>
        <v>333903001032200  Lubrificantes P/Motoniveladora 120H</v>
      </c>
      <c r="B1217" s="628"/>
      <c r="C1217" s="631"/>
      <c r="D1217" s="632">
        <v>333903001032200</v>
      </c>
      <c r="E1217" s="696" t="s">
        <v>1224</v>
      </c>
      <c r="F1217" s="696">
        <v>9</v>
      </c>
      <c r="G1217" s="696" t="s">
        <v>5597</v>
      </c>
      <c r="I1217" s="696" t="s">
        <v>5600</v>
      </c>
      <c r="J1217" s="688"/>
      <c r="K1217" s="689"/>
    </row>
    <row r="1218" spans="1:11" s="691" customFormat="1" ht="20.100000000000001" customHeight="1" x14ac:dyDescent="0.2">
      <c r="A1218" s="695" t="str">
        <f t="shared" si="16"/>
        <v>333903001032300  Lubrificantes P/Motoniveladora 135H</v>
      </c>
      <c r="B1218" s="628"/>
      <c r="C1218" s="631"/>
      <c r="D1218" s="632">
        <v>333903001032300</v>
      </c>
      <c r="E1218" s="696" t="s">
        <v>1223</v>
      </c>
      <c r="F1218" s="696">
        <v>9</v>
      </c>
      <c r="G1218" s="696" t="s">
        <v>5597</v>
      </c>
      <c r="I1218" s="696" t="s">
        <v>5600</v>
      </c>
      <c r="J1218" s="688"/>
      <c r="K1218" s="689"/>
    </row>
    <row r="1219" spans="1:11" s="691" customFormat="1" ht="20.100000000000001" customHeight="1" x14ac:dyDescent="0.2">
      <c r="A1219" s="695" t="str">
        <f t="shared" si="16"/>
        <v>333903001032400  Lubrificantes P/Trator Esteira D5E</v>
      </c>
      <c r="B1219" s="628"/>
      <c r="C1219" s="631"/>
      <c r="D1219" s="632">
        <v>333903001032400</v>
      </c>
      <c r="E1219" s="696" t="s">
        <v>1222</v>
      </c>
      <c r="F1219" s="696">
        <v>9</v>
      </c>
      <c r="G1219" s="696" t="s">
        <v>5597</v>
      </c>
      <c r="I1219" s="696" t="s">
        <v>5600</v>
      </c>
      <c r="J1219" s="688"/>
      <c r="K1219" s="689"/>
    </row>
    <row r="1220" spans="1:11" s="691" customFormat="1" ht="20.100000000000001" customHeight="1" x14ac:dyDescent="0.2">
      <c r="A1220" s="695" t="str">
        <f t="shared" si="16"/>
        <v>333903001032500  Lubrificantes P/Veiculo Placas IJY 2420</v>
      </c>
      <c r="B1220" s="628"/>
      <c r="C1220" s="631"/>
      <c r="D1220" s="632">
        <v>333903001032500</v>
      </c>
      <c r="E1220" s="696" t="s">
        <v>1094</v>
      </c>
      <c r="F1220" s="696">
        <v>9</v>
      </c>
      <c r="G1220" s="696" t="s">
        <v>5597</v>
      </c>
      <c r="I1220" s="696" t="s">
        <v>5600</v>
      </c>
      <c r="J1220" s="688"/>
      <c r="K1220" s="689"/>
    </row>
    <row r="1221" spans="1:11" s="691" customFormat="1" ht="20.100000000000001" customHeight="1" x14ac:dyDescent="0.2">
      <c r="A1221" s="695" t="str">
        <f t="shared" si="16"/>
        <v>333903001032600  Lubrificantes P/Trator New Holand TL 85E</v>
      </c>
      <c r="B1221" s="628"/>
      <c r="C1221" s="631"/>
      <c r="D1221" s="632">
        <v>333903001032600</v>
      </c>
      <c r="E1221" s="696" t="s">
        <v>1081</v>
      </c>
      <c r="F1221" s="696">
        <v>9</v>
      </c>
      <c r="G1221" s="696" t="s">
        <v>5597</v>
      </c>
      <c r="I1221" s="696" t="s">
        <v>5600</v>
      </c>
      <c r="J1221" s="688"/>
      <c r="K1221" s="689"/>
    </row>
    <row r="1222" spans="1:11" s="691" customFormat="1" ht="20.100000000000001" customHeight="1" x14ac:dyDescent="0.2">
      <c r="A1222" s="695" t="str">
        <f t="shared" si="16"/>
        <v>333903001032700  Lubrificantes P/Trator Ford 8030</v>
      </c>
      <c r="B1222" s="628"/>
      <c r="C1222" s="631"/>
      <c r="D1222" s="632">
        <v>333903001032700</v>
      </c>
      <c r="E1222" s="696" t="s">
        <v>1080</v>
      </c>
      <c r="F1222" s="696">
        <v>9</v>
      </c>
      <c r="G1222" s="696" t="s">
        <v>5597</v>
      </c>
      <c r="I1222" s="696" t="s">
        <v>5600</v>
      </c>
      <c r="J1222" s="688"/>
      <c r="K1222" s="689"/>
    </row>
    <row r="1223" spans="1:11" s="691" customFormat="1" ht="20.100000000000001" customHeight="1" x14ac:dyDescent="0.2">
      <c r="A1223" s="695" t="str">
        <f t="shared" si="16"/>
        <v>333903001032800  Lubrificantes P/Trator New Holand 7630</v>
      </c>
      <c r="B1223" s="628"/>
      <c r="C1223" s="631"/>
      <c r="D1223" s="632">
        <v>333903001032800</v>
      </c>
      <c r="E1223" s="696" t="s">
        <v>1079</v>
      </c>
      <c r="F1223" s="696">
        <v>9</v>
      </c>
      <c r="G1223" s="696" t="s">
        <v>5597</v>
      </c>
      <c r="I1223" s="696" t="s">
        <v>5600</v>
      </c>
      <c r="J1223" s="688"/>
      <c r="K1223" s="689"/>
    </row>
    <row r="1224" spans="1:11" s="691" customFormat="1" ht="20.100000000000001" customHeight="1" x14ac:dyDescent="0.2">
      <c r="A1224" s="695" t="str">
        <f t="shared" si="16"/>
        <v>333903001032900  Lubrificantes P/Trator Valtra BM 110</v>
      </c>
      <c r="B1224" s="628"/>
      <c r="C1224" s="631"/>
      <c r="D1224" s="632">
        <v>333903001032900</v>
      </c>
      <c r="E1224" s="696" t="s">
        <v>1078</v>
      </c>
      <c r="F1224" s="696">
        <v>9</v>
      </c>
      <c r="G1224" s="696" t="s">
        <v>5597</v>
      </c>
      <c r="I1224" s="696" t="s">
        <v>5600</v>
      </c>
      <c r="J1224" s="688"/>
      <c r="K1224" s="689"/>
    </row>
    <row r="1225" spans="1:11" s="691" customFormat="1" ht="20.100000000000001" customHeight="1" x14ac:dyDescent="0.2">
      <c r="A1225" s="695" t="str">
        <f t="shared" si="16"/>
        <v>333903001033000  Lubrificantes P/Trator J.D. Fruticultura</v>
      </c>
      <c r="B1225" s="628"/>
      <c r="C1225" s="631"/>
      <c r="D1225" s="632">
        <v>333903001033000</v>
      </c>
      <c r="E1225" s="696" t="s">
        <v>1077</v>
      </c>
      <c r="F1225" s="696">
        <v>9</v>
      </c>
      <c r="G1225" s="696" t="s">
        <v>5597</v>
      </c>
      <c r="I1225" s="696" t="s">
        <v>5600</v>
      </c>
      <c r="J1225" s="688"/>
      <c r="K1225" s="689"/>
    </row>
    <row r="1226" spans="1:11" s="691" customFormat="1" ht="20.100000000000001" customHeight="1" x14ac:dyDescent="0.2">
      <c r="A1226" s="695" t="str">
        <f t="shared" si="16"/>
        <v>333903001033100  Lubrificantes P/Trator Esteira D30E</v>
      </c>
      <c r="B1226" s="628"/>
      <c r="C1226" s="631"/>
      <c r="D1226" s="632">
        <v>333903001033100</v>
      </c>
      <c r="E1226" s="696" t="s">
        <v>1076</v>
      </c>
      <c r="F1226" s="696">
        <v>9</v>
      </c>
      <c r="G1226" s="696" t="s">
        <v>5597</v>
      </c>
      <c r="I1226" s="696" t="s">
        <v>5600</v>
      </c>
      <c r="J1226" s="688"/>
      <c r="K1226" s="689"/>
    </row>
    <row r="1227" spans="1:11" s="691" customFormat="1" ht="20.100000000000001" customHeight="1" x14ac:dyDescent="0.2">
      <c r="A1227" s="695" t="str">
        <f t="shared" si="16"/>
        <v>333903001033200  Lubrificantes P/Retroescavadeira JCB 4X4 SMAG</v>
      </c>
      <c r="B1227" s="628"/>
      <c r="C1227" s="631"/>
      <c r="D1227" s="632">
        <v>333903001033200</v>
      </c>
      <c r="E1227" s="696" t="s">
        <v>1075</v>
      </c>
      <c r="F1227" s="696">
        <v>9</v>
      </c>
      <c r="G1227" s="696" t="s">
        <v>5597</v>
      </c>
      <c r="I1227" s="696" t="s">
        <v>5600</v>
      </c>
      <c r="J1227" s="688"/>
      <c r="K1227" s="689"/>
    </row>
    <row r="1228" spans="1:11" s="691" customFormat="1" ht="20.100000000000001" customHeight="1" x14ac:dyDescent="0.2">
      <c r="A1228" s="695" t="str">
        <f t="shared" si="16"/>
        <v>333903001033300  Lubrificantes P/Veiculo Brigada Militar</v>
      </c>
      <c r="B1228" s="628"/>
      <c r="C1228" s="631"/>
      <c r="D1228" s="632">
        <v>333903001033300</v>
      </c>
      <c r="E1228" s="696" t="s">
        <v>1270</v>
      </c>
      <c r="F1228" s="696">
        <v>9</v>
      </c>
      <c r="G1228" s="696" t="s">
        <v>5597</v>
      </c>
      <c r="I1228" s="696" t="s">
        <v>5600</v>
      </c>
      <c r="J1228" s="688"/>
      <c r="K1228" s="689"/>
    </row>
    <row r="1229" spans="1:11" s="691" customFormat="1" ht="20.100000000000001" customHeight="1" x14ac:dyDescent="0.2">
      <c r="A1229" s="695" t="str">
        <f t="shared" si="16"/>
        <v>333903001033400  Lubrificantes P/Implementos Rodoviarios</v>
      </c>
      <c r="B1229" s="628"/>
      <c r="C1229" s="631"/>
      <c r="D1229" s="632">
        <v>333903001033400</v>
      </c>
      <c r="E1229" s="696" t="s">
        <v>1221</v>
      </c>
      <c r="F1229" s="696">
        <v>9</v>
      </c>
      <c r="G1229" s="696" t="s">
        <v>5597</v>
      </c>
      <c r="I1229" s="696" t="s">
        <v>5600</v>
      </c>
      <c r="J1229" s="688"/>
      <c r="K1229" s="689"/>
    </row>
    <row r="1230" spans="1:11" s="691" customFormat="1" ht="20.100000000000001" customHeight="1" x14ac:dyDescent="0.2">
      <c r="A1230" s="695" t="str">
        <f t="shared" si="16"/>
        <v>333903001033500  Lubrificantes P/Implementos Agricolas</v>
      </c>
      <c r="B1230" s="628"/>
      <c r="C1230" s="631"/>
      <c r="D1230" s="632">
        <v>333903001033500</v>
      </c>
      <c r="E1230" s="696" t="s">
        <v>1074</v>
      </c>
      <c r="F1230" s="696">
        <v>9</v>
      </c>
      <c r="G1230" s="696" t="s">
        <v>5597</v>
      </c>
      <c r="I1230" s="696" t="s">
        <v>5600</v>
      </c>
      <c r="J1230" s="688"/>
      <c r="K1230" s="689"/>
    </row>
    <row r="1231" spans="1:11" s="691" customFormat="1" ht="20.100000000000001" customHeight="1" x14ac:dyDescent="0.2">
      <c r="A1231" s="695" t="str">
        <f t="shared" si="16"/>
        <v>333903001033600  Lubrificantes P/Motoniveladora 845 B PAC 2</v>
      </c>
      <c r="B1231" s="628"/>
      <c r="C1231" s="631"/>
      <c r="D1231" s="632">
        <v>333903001033600</v>
      </c>
      <c r="E1231" s="696" t="s">
        <v>5083</v>
      </c>
      <c r="F1231" s="696">
        <v>9</v>
      </c>
      <c r="G1231" s="696" t="s">
        <v>5597</v>
      </c>
      <c r="I1231" s="696" t="s">
        <v>5604</v>
      </c>
      <c r="J1231" s="688"/>
      <c r="K1231" s="689"/>
    </row>
    <row r="1232" spans="1:11" s="691" customFormat="1" ht="20.100000000000001" customHeight="1" x14ac:dyDescent="0.2">
      <c r="A1232" s="695" t="str">
        <f t="shared" si="16"/>
        <v>333903001033700  Lubrificantes P/Veiculo Placas IVR 0147</v>
      </c>
      <c r="B1232" s="628"/>
      <c r="C1232" s="631"/>
      <c r="D1232" s="632">
        <v>333903001033700</v>
      </c>
      <c r="E1232" s="696" t="s">
        <v>5084</v>
      </c>
      <c r="F1232" s="696">
        <v>9</v>
      </c>
      <c r="G1232" s="696" t="s">
        <v>5597</v>
      </c>
      <c r="I1232" s="696" t="s">
        <v>5600</v>
      </c>
      <c r="J1232" s="688"/>
      <c r="K1232" s="689"/>
    </row>
    <row r="1233" spans="1:11" s="691" customFormat="1" ht="20.100000000000001" customHeight="1" x14ac:dyDescent="0.2">
      <c r="A1233" s="695" t="str">
        <f t="shared" si="16"/>
        <v>333903001033800  Lubrificantes P/Veiculo Educação</v>
      </c>
      <c r="B1233" s="628"/>
      <c r="C1233" s="631"/>
      <c r="D1233" s="632">
        <v>333903001033800</v>
      </c>
      <c r="E1233" s="696" t="s">
        <v>5085</v>
      </c>
      <c r="F1233" s="696">
        <v>9</v>
      </c>
      <c r="G1233" s="696" t="s">
        <v>5597</v>
      </c>
      <c r="I1233" s="696" t="s">
        <v>5600</v>
      </c>
      <c r="J1233" s="688"/>
      <c r="K1233" s="689"/>
    </row>
    <row r="1234" spans="1:11" s="691" customFormat="1" ht="20.100000000000001" customHeight="1" x14ac:dyDescent="0.2">
      <c r="A1234" s="695" t="str">
        <f t="shared" si="16"/>
        <v>333903001033900  Lubrificantes P/ Veiculo Placas IVP 4366</v>
      </c>
      <c r="B1234" s="628"/>
      <c r="C1234" s="631"/>
      <c r="D1234" s="632">
        <v>333903001033900</v>
      </c>
      <c r="E1234" s="696" t="s">
        <v>5086</v>
      </c>
      <c r="F1234" s="696">
        <v>9</v>
      </c>
      <c r="G1234" s="696" t="s">
        <v>5597</v>
      </c>
      <c r="I1234" s="696" t="s">
        <v>5627</v>
      </c>
      <c r="J1234" s="688"/>
      <c r="K1234" s="689"/>
    </row>
    <row r="1235" spans="1:11" s="691" customFormat="1" ht="20.100000000000001" customHeight="1" x14ac:dyDescent="0.2">
      <c r="A1235" s="695" t="str">
        <f t="shared" si="16"/>
        <v>333903001034000  Lubrificantes P/ Veiculo Placas IWC 5251</v>
      </c>
      <c r="B1235" s="628"/>
      <c r="C1235" s="631"/>
      <c r="D1235" s="632">
        <v>333903001034000</v>
      </c>
      <c r="E1235" s="696" t="s">
        <v>5087</v>
      </c>
      <c r="F1235" s="696">
        <v>9</v>
      </c>
      <c r="G1235" s="696" t="s">
        <v>5597</v>
      </c>
      <c r="I1235" s="696" t="s">
        <v>5627</v>
      </c>
      <c r="J1235" s="688"/>
      <c r="K1235" s="689"/>
    </row>
    <row r="1236" spans="1:11" s="691" customFormat="1" ht="20.100000000000001" customHeight="1" x14ac:dyDescent="0.2">
      <c r="A1236" s="695" t="str">
        <f t="shared" si="16"/>
        <v>333903001034100  Lubrificantes P/ Veiculo Placas IVY 8354</v>
      </c>
      <c r="B1236" s="628"/>
      <c r="C1236" s="631"/>
      <c r="D1236" s="632">
        <v>333903001034100</v>
      </c>
      <c r="E1236" s="696" t="s">
        <v>5088</v>
      </c>
      <c r="F1236" s="696">
        <v>9</v>
      </c>
      <c r="G1236" s="696" t="s">
        <v>5597</v>
      </c>
      <c r="I1236" s="696" t="s">
        <v>5627</v>
      </c>
      <c r="J1236" s="688"/>
      <c r="K1236" s="689"/>
    </row>
    <row r="1237" spans="1:11" s="691" customFormat="1" ht="20.100000000000001" customHeight="1" x14ac:dyDescent="0.2">
      <c r="A1237" s="695" t="str">
        <f t="shared" si="16"/>
        <v>333903001034200  Lubrificantes P/ Veiculo IWE 4544</v>
      </c>
      <c r="B1237" s="628"/>
      <c r="C1237" s="631"/>
      <c r="D1237" s="632">
        <v>333903001034200</v>
      </c>
      <c r="E1237" s="696" t="s">
        <v>5089</v>
      </c>
      <c r="F1237" s="696">
        <v>9</v>
      </c>
      <c r="G1237" s="696" t="s">
        <v>5597</v>
      </c>
      <c r="I1237" s="696" t="s">
        <v>5627</v>
      </c>
      <c r="J1237" s="688"/>
      <c r="K1237" s="689"/>
    </row>
    <row r="1238" spans="1:11" s="691" customFormat="1" ht="20.100000000000001" customHeight="1" x14ac:dyDescent="0.2">
      <c r="A1238" s="695" t="str">
        <f t="shared" si="16"/>
        <v>333903001034300  Lubrificantes P/ Veiculo Placas ABK 7176</v>
      </c>
      <c r="B1238" s="628"/>
      <c r="C1238" s="631"/>
      <c r="D1238" s="632">
        <v>333903001034300</v>
      </c>
      <c r="E1238" s="696" t="s">
        <v>6209</v>
      </c>
      <c r="F1238" s="696">
        <v>9</v>
      </c>
      <c r="G1238" s="696" t="s">
        <v>5597</v>
      </c>
      <c r="I1238" s="696" t="s">
        <v>5600</v>
      </c>
      <c r="J1238" s="688"/>
      <c r="K1238" s="689"/>
    </row>
    <row r="1239" spans="1:11" s="691" customFormat="1" ht="20.100000000000001" customHeight="1" x14ac:dyDescent="0.2">
      <c r="A1239" s="695" t="str">
        <f t="shared" si="16"/>
        <v>333903001035000  Lubrificantes P/ Veiculo Placas IWL  3346</v>
      </c>
      <c r="B1239" s="628"/>
      <c r="C1239" s="631"/>
      <c r="D1239" s="632">
        <v>333903001035000</v>
      </c>
      <c r="E1239" s="696" t="s">
        <v>5628</v>
      </c>
      <c r="F1239" s="696">
        <v>9</v>
      </c>
      <c r="G1239" s="696" t="s">
        <v>5597</v>
      </c>
      <c r="I1239" s="696" t="s">
        <v>5600</v>
      </c>
      <c r="J1239" s="688"/>
      <c r="K1239" s="689"/>
    </row>
    <row r="1240" spans="1:11" s="691" customFormat="1" ht="20.100000000000001" customHeight="1" x14ac:dyDescent="0.2">
      <c r="A1240" s="695" t="str">
        <f t="shared" si="16"/>
        <v>333903002000000  Combustiveis E Lubrificantes De Aviacao</v>
      </c>
      <c r="B1240" s="628"/>
      <c r="C1240" s="631"/>
      <c r="D1240" s="632">
        <v>333903002000000</v>
      </c>
      <c r="E1240" s="696" t="s">
        <v>5090</v>
      </c>
      <c r="F1240" s="696">
        <v>7</v>
      </c>
      <c r="G1240" s="696" t="s">
        <v>5597</v>
      </c>
      <c r="I1240" s="696"/>
      <c r="J1240" s="688"/>
      <c r="K1240" s="689"/>
    </row>
    <row r="1241" spans="1:11" s="691" customFormat="1" ht="20.100000000000001" customHeight="1" x14ac:dyDescent="0.2">
      <c r="A1241" s="695" t="str">
        <f t="shared" si="16"/>
        <v>333903002023000  Oleo Diesel P/Motoniveladora 845 B PAC 2</v>
      </c>
      <c r="B1241" s="628"/>
      <c r="C1241" s="631"/>
      <c r="D1241" s="632">
        <v>333903002023000</v>
      </c>
      <c r="E1241" s="696" t="s">
        <v>5075</v>
      </c>
      <c r="F1241" s="696">
        <v>9</v>
      </c>
      <c r="G1241" s="696" t="s">
        <v>5597</v>
      </c>
      <c r="I1241" s="696" t="s">
        <v>5604</v>
      </c>
      <c r="J1241" s="688"/>
      <c r="K1241" s="689"/>
    </row>
    <row r="1242" spans="1:11" s="691" customFormat="1" ht="20.100000000000001" customHeight="1" x14ac:dyDescent="0.2">
      <c r="A1242" s="695" t="str">
        <f t="shared" si="16"/>
        <v>333903002023100  Diesel Trator J.D. 5700</v>
      </c>
      <c r="B1242" s="628"/>
      <c r="C1242" s="631"/>
      <c r="D1242" s="632">
        <v>333903002023100</v>
      </c>
      <c r="E1242" s="696" t="s">
        <v>5091</v>
      </c>
      <c r="F1242" s="696">
        <v>9</v>
      </c>
      <c r="G1242" s="696" t="s">
        <v>5597</v>
      </c>
      <c r="I1242" s="696" t="s">
        <v>5604</v>
      </c>
      <c r="J1242" s="688"/>
      <c r="K1242" s="689"/>
    </row>
    <row r="1243" spans="1:11" s="691" customFormat="1" ht="20.100000000000001" customHeight="1" x14ac:dyDescent="0.2">
      <c r="A1243" s="695" t="str">
        <f t="shared" si="16"/>
        <v>333903003000000  Combustiveis E Lubrificantes  P/  Outras Finalidades</v>
      </c>
      <c r="B1243" s="628"/>
      <c r="C1243" s="631"/>
      <c r="D1243" s="632">
        <v>333903003000000</v>
      </c>
      <c r="E1243" s="696" t="s">
        <v>5629</v>
      </c>
      <c r="F1243" s="696">
        <v>7</v>
      </c>
      <c r="G1243" s="696" t="s">
        <v>5597</v>
      </c>
      <c r="I1243" s="696"/>
      <c r="J1243" s="688"/>
      <c r="K1243" s="689"/>
    </row>
    <row r="1244" spans="1:11" s="691" customFormat="1" ht="20.100000000000001" customHeight="1" x14ac:dyDescent="0.2">
      <c r="A1244" s="695" t="str">
        <f t="shared" si="16"/>
        <v>333903003010000  Comb. E Lub. Motosserra</v>
      </c>
      <c r="B1244" s="628"/>
      <c r="C1244" s="631"/>
      <c r="D1244" s="632">
        <v>333903003010000</v>
      </c>
      <c r="E1244" s="696" t="s">
        <v>1200</v>
      </c>
      <c r="F1244" s="696">
        <v>8</v>
      </c>
      <c r="G1244" s="696" t="s">
        <v>5597</v>
      </c>
      <c r="I1244" s="696" t="s">
        <v>5600</v>
      </c>
      <c r="J1244" s="688"/>
      <c r="K1244" s="689"/>
    </row>
    <row r="1245" spans="1:11" s="691" customFormat="1" ht="20.100000000000001" customHeight="1" x14ac:dyDescent="0.2">
      <c r="A1245" s="695" t="str">
        <f t="shared" si="16"/>
        <v>333903003020000  Comb. P/Roçadeira</v>
      </c>
      <c r="B1245" s="628"/>
      <c r="C1245" s="631"/>
      <c r="D1245" s="632">
        <v>333903003020000</v>
      </c>
      <c r="E1245" s="696" t="s">
        <v>5092</v>
      </c>
      <c r="F1245" s="696">
        <v>8</v>
      </c>
      <c r="G1245" s="696" t="s">
        <v>5597</v>
      </c>
      <c r="I1245" s="696" t="s">
        <v>5600</v>
      </c>
      <c r="J1245" s="688"/>
      <c r="K1245" s="689"/>
    </row>
    <row r="1246" spans="1:11" s="691" customFormat="1" ht="20.100000000000001" customHeight="1" x14ac:dyDescent="0.2">
      <c r="A1246" s="695" t="str">
        <f t="shared" si="16"/>
        <v>333903003030000  Comb. E Lub Para Usos Diversos</v>
      </c>
      <c r="B1246" s="628"/>
      <c r="C1246" s="631"/>
      <c r="D1246" s="632">
        <v>333903003030000</v>
      </c>
      <c r="E1246" s="696" t="s">
        <v>5093</v>
      </c>
      <c r="F1246" s="696">
        <v>8</v>
      </c>
      <c r="G1246" s="696" t="s">
        <v>5597</v>
      </c>
      <c r="I1246" s="696"/>
      <c r="J1246" s="688"/>
      <c r="K1246" s="689"/>
    </row>
    <row r="1247" spans="1:11" s="691" customFormat="1" ht="20.100000000000001" customHeight="1" x14ac:dyDescent="0.2">
      <c r="A1247" s="695" t="str">
        <f t="shared" si="16"/>
        <v>333903004000000  Gas E Outros Materiais Engarrafados</v>
      </c>
      <c r="B1247" s="628"/>
      <c r="C1247" s="631"/>
      <c r="D1247" s="632">
        <v>333903004000000</v>
      </c>
      <c r="E1247" s="696" t="s">
        <v>1090</v>
      </c>
      <c r="F1247" s="696">
        <v>7</v>
      </c>
      <c r="G1247" s="696" t="s">
        <v>5597</v>
      </c>
      <c r="I1247" s="696"/>
      <c r="J1247" s="688"/>
      <c r="K1247" s="689"/>
    </row>
    <row r="1248" spans="1:11" s="691" customFormat="1" ht="20.100000000000001" customHeight="1" x14ac:dyDescent="0.2">
      <c r="A1248" s="695" t="str">
        <f t="shared" si="16"/>
        <v>333903004010000  Gas E Outros Materiais Engarrafados - Aq. Imediata</v>
      </c>
      <c r="B1248" s="628"/>
      <c r="C1248" s="631"/>
      <c r="D1248" s="632">
        <v>333903004010000</v>
      </c>
      <c r="E1248" s="696" t="s">
        <v>5094</v>
      </c>
      <c r="F1248" s="696">
        <v>8</v>
      </c>
      <c r="G1248" s="696" t="s">
        <v>5597</v>
      </c>
      <c r="I1248" s="696" t="s">
        <v>5600</v>
      </c>
      <c r="J1248" s="688"/>
      <c r="K1248" s="689"/>
    </row>
    <row r="1249" spans="1:11" s="691" customFormat="1" ht="20.100000000000001" customHeight="1" x14ac:dyDescent="0.2">
      <c r="A1249" s="695" t="str">
        <f t="shared" si="16"/>
        <v>333903004010100  Gas E Outros Mat. Engarraf. - Aq. Imediata</v>
      </c>
      <c r="B1249" s="628"/>
      <c r="C1249" s="631"/>
      <c r="D1249" s="632">
        <v>333903004010100</v>
      </c>
      <c r="E1249" s="696" t="s">
        <v>5095</v>
      </c>
      <c r="F1249" s="696">
        <v>9</v>
      </c>
      <c r="G1249" s="696" t="s">
        <v>5597</v>
      </c>
      <c r="I1249" s="696" t="s">
        <v>5600</v>
      </c>
      <c r="J1249" s="688"/>
      <c r="K1249" s="689"/>
    </row>
    <row r="1250" spans="1:11" s="691" customFormat="1" ht="20.100000000000001" customHeight="1" x14ac:dyDescent="0.2">
      <c r="A1250" s="695" t="str">
        <f t="shared" si="16"/>
        <v>333903004010200  Gas E Outros Mat. Engarraf. - Estoque</v>
      </c>
      <c r="B1250" s="628"/>
      <c r="C1250" s="631"/>
      <c r="D1250" s="632">
        <v>333903004010200</v>
      </c>
      <c r="E1250" s="696" t="s">
        <v>5096</v>
      </c>
      <c r="F1250" s="696">
        <v>9</v>
      </c>
      <c r="G1250" s="696" t="s">
        <v>5597</v>
      </c>
      <c r="I1250" s="696" t="s">
        <v>5600</v>
      </c>
      <c r="J1250" s="688"/>
      <c r="K1250" s="689"/>
    </row>
    <row r="1251" spans="1:11" s="691" customFormat="1" ht="20.100000000000001" customHeight="1" x14ac:dyDescent="0.2">
      <c r="A1251" s="695" t="str">
        <f t="shared" si="16"/>
        <v>333903004020000  Gas E Outros Materiais Engarrafados - Estoque</v>
      </c>
      <c r="B1251" s="628"/>
      <c r="C1251" s="631"/>
      <c r="D1251" s="632">
        <v>333903004020000</v>
      </c>
      <c r="E1251" s="696" t="s">
        <v>5097</v>
      </c>
      <c r="F1251" s="696">
        <v>8</v>
      </c>
      <c r="G1251" s="696" t="s">
        <v>5597</v>
      </c>
      <c r="I1251" s="696" t="s">
        <v>5600</v>
      </c>
      <c r="J1251" s="688"/>
      <c r="K1251" s="689"/>
    </row>
    <row r="1252" spans="1:11" s="691" customFormat="1" ht="20.100000000000001" customHeight="1" x14ac:dyDescent="0.2">
      <c r="A1252" s="695" t="str">
        <f t="shared" si="16"/>
        <v>333903005000000  Explosivos E Municoes</v>
      </c>
      <c r="B1252" s="628"/>
      <c r="C1252" s="631"/>
      <c r="D1252" s="632">
        <v>333903005000000</v>
      </c>
      <c r="E1252" s="696" t="s">
        <v>5098</v>
      </c>
      <c r="F1252" s="696">
        <v>7</v>
      </c>
      <c r="G1252" s="696" t="s">
        <v>5597</v>
      </c>
      <c r="I1252" s="696"/>
      <c r="J1252" s="688"/>
      <c r="K1252" s="689"/>
    </row>
    <row r="1253" spans="1:11" s="691" customFormat="1" ht="20.100000000000001" customHeight="1" x14ac:dyDescent="0.2">
      <c r="A1253" s="695" t="str">
        <f t="shared" si="16"/>
        <v>333903006000000  Alimentos P/ Animais</v>
      </c>
      <c r="B1253" s="628"/>
      <c r="C1253" s="631"/>
      <c r="D1253" s="632">
        <v>333903006000000</v>
      </c>
      <c r="E1253" s="696" t="s">
        <v>5099</v>
      </c>
      <c r="F1253" s="696">
        <v>7</v>
      </c>
      <c r="G1253" s="696" t="s">
        <v>5597</v>
      </c>
      <c r="I1253" s="696"/>
      <c r="J1253" s="688"/>
      <c r="K1253" s="689"/>
    </row>
    <row r="1254" spans="1:11" s="691" customFormat="1" ht="20.100000000000001" customHeight="1" x14ac:dyDescent="0.2">
      <c r="A1254" s="695" t="str">
        <f t="shared" si="16"/>
        <v>333903007000000  Generos De Alimentacao</v>
      </c>
      <c r="B1254" s="628"/>
      <c r="C1254" s="631"/>
      <c r="D1254" s="632">
        <v>333903007000000</v>
      </c>
      <c r="E1254" s="696" t="s">
        <v>1161</v>
      </c>
      <c r="F1254" s="696">
        <v>7</v>
      </c>
      <c r="G1254" s="696" t="s">
        <v>5597</v>
      </c>
      <c r="I1254" s="696"/>
      <c r="J1254" s="688"/>
      <c r="K1254" s="689"/>
    </row>
    <row r="1255" spans="1:11" s="691" customFormat="1" ht="20.100000000000001" customHeight="1" x14ac:dyDescent="0.2">
      <c r="A1255" s="695" t="str">
        <f t="shared" si="16"/>
        <v>333903007010000  Generos De Alimentacao - Aq. Imediata</v>
      </c>
      <c r="B1255" s="628"/>
      <c r="C1255" s="631"/>
      <c r="D1255" s="632">
        <v>333903007010000</v>
      </c>
      <c r="E1255" s="696" t="s">
        <v>2167</v>
      </c>
      <c r="F1255" s="696">
        <v>8</v>
      </c>
      <c r="G1255" s="696" t="s">
        <v>5597</v>
      </c>
      <c r="I1255" s="696" t="s">
        <v>5600</v>
      </c>
      <c r="J1255" s="688"/>
      <c r="K1255" s="689"/>
    </row>
    <row r="1256" spans="1:11" s="691" customFormat="1" ht="20.100000000000001" customHeight="1" x14ac:dyDescent="0.2">
      <c r="A1256" s="695" t="str">
        <f t="shared" si="16"/>
        <v>333903007010100  Generos De Alimentacao - Aq. Imediata</v>
      </c>
      <c r="B1256" s="628"/>
      <c r="C1256" s="631"/>
      <c r="D1256" s="632">
        <v>333903007010100</v>
      </c>
      <c r="E1256" s="696" t="s">
        <v>2167</v>
      </c>
      <c r="F1256" s="696">
        <v>9</v>
      </c>
      <c r="G1256" s="696" t="s">
        <v>5597</v>
      </c>
      <c r="I1256" s="696" t="s">
        <v>5600</v>
      </c>
      <c r="J1256" s="688"/>
      <c r="K1256" s="689"/>
    </row>
    <row r="1257" spans="1:11" s="691" customFormat="1" ht="20.100000000000001" customHeight="1" x14ac:dyDescent="0.2">
      <c r="A1257" s="695" t="str">
        <f t="shared" si="16"/>
        <v>333903007010200  Generos De Alimentacao - Estoque</v>
      </c>
      <c r="B1257" s="628"/>
      <c r="C1257" s="631"/>
      <c r="D1257" s="632">
        <v>333903007010200</v>
      </c>
      <c r="E1257" s="696" t="s">
        <v>2168</v>
      </c>
      <c r="F1257" s="696">
        <v>9</v>
      </c>
      <c r="G1257" s="696" t="s">
        <v>5597</v>
      </c>
      <c r="I1257" s="696" t="s">
        <v>5600</v>
      </c>
      <c r="J1257" s="688"/>
      <c r="K1257" s="689"/>
    </row>
    <row r="1258" spans="1:11" s="691" customFormat="1" ht="20.100000000000001" customHeight="1" x14ac:dyDescent="0.2">
      <c r="A1258" s="695" t="str">
        <f t="shared" si="16"/>
        <v>333903007020000  Generos De Alimentacao - Estoque</v>
      </c>
      <c r="B1258" s="628"/>
      <c r="C1258" s="631"/>
      <c r="D1258" s="632">
        <v>333903007020000</v>
      </c>
      <c r="E1258" s="696" t="s">
        <v>2168</v>
      </c>
      <c r="F1258" s="696">
        <v>8</v>
      </c>
      <c r="G1258" s="696" t="s">
        <v>5597</v>
      </c>
      <c r="I1258" s="696" t="s">
        <v>5600</v>
      </c>
      <c r="J1258" s="688"/>
      <c r="K1258" s="689"/>
    </row>
    <row r="1259" spans="1:11" s="691" customFormat="1" ht="20.100000000000001" customHeight="1" x14ac:dyDescent="0.2">
      <c r="A1259" s="695" t="str">
        <f t="shared" si="16"/>
        <v>333903008000000  Animais P/ Pesquisa E Abate</v>
      </c>
      <c r="B1259" s="628"/>
      <c r="C1259" s="631"/>
      <c r="D1259" s="632">
        <v>333903008000000</v>
      </c>
      <c r="E1259" s="696" t="s">
        <v>5100</v>
      </c>
      <c r="F1259" s="696">
        <v>7</v>
      </c>
      <c r="G1259" s="696" t="s">
        <v>5597</v>
      </c>
      <c r="I1259" s="696"/>
      <c r="J1259" s="688"/>
      <c r="K1259" s="689"/>
    </row>
    <row r="1260" spans="1:11" s="691" customFormat="1" ht="20.100000000000001" customHeight="1" x14ac:dyDescent="0.2">
      <c r="A1260" s="695" t="str">
        <f t="shared" si="16"/>
        <v>333903009000000  Material Farmacologico</v>
      </c>
      <c r="B1260" s="628"/>
      <c r="C1260" s="631"/>
      <c r="D1260" s="632">
        <v>333903009000000</v>
      </c>
      <c r="E1260" s="696" t="s">
        <v>1105</v>
      </c>
      <c r="F1260" s="696">
        <v>7</v>
      </c>
      <c r="G1260" s="696" t="s">
        <v>5597</v>
      </c>
      <c r="I1260" s="696"/>
      <c r="J1260" s="688"/>
      <c r="K1260" s="689"/>
    </row>
    <row r="1261" spans="1:11" s="691" customFormat="1" ht="20.100000000000001" customHeight="1" x14ac:dyDescent="0.2">
      <c r="A1261" s="695" t="str">
        <f t="shared" si="16"/>
        <v>333903010000000  Material Odontologico</v>
      </c>
      <c r="B1261" s="628"/>
      <c r="C1261" s="631"/>
      <c r="D1261" s="632">
        <v>333903010000000</v>
      </c>
      <c r="E1261" s="696" t="s">
        <v>1104</v>
      </c>
      <c r="F1261" s="696">
        <v>7</v>
      </c>
      <c r="G1261" s="696" t="s">
        <v>5597</v>
      </c>
      <c r="I1261" s="696"/>
      <c r="J1261" s="688"/>
      <c r="K1261" s="689"/>
    </row>
    <row r="1262" spans="1:11" s="691" customFormat="1" ht="20.100000000000001" customHeight="1" x14ac:dyDescent="0.2">
      <c r="A1262" s="695" t="str">
        <f t="shared" si="16"/>
        <v>333903011000000  Material Quimico</v>
      </c>
      <c r="B1262" s="628"/>
      <c r="C1262" s="631"/>
      <c r="D1262" s="632">
        <v>333903011000000</v>
      </c>
      <c r="E1262" s="696" t="s">
        <v>5101</v>
      </c>
      <c r="F1262" s="696">
        <v>7</v>
      </c>
      <c r="G1262" s="696" t="s">
        <v>5597</v>
      </c>
      <c r="I1262" s="696"/>
      <c r="J1262" s="688"/>
      <c r="K1262" s="689"/>
    </row>
    <row r="1263" spans="1:11" s="691" customFormat="1" ht="20.100000000000001" customHeight="1" x14ac:dyDescent="0.2">
      <c r="A1263" s="695" t="str">
        <f t="shared" si="16"/>
        <v>333903012000000  Material De Coudelaria Ou De Uso Zootecnico</v>
      </c>
      <c r="B1263" s="628"/>
      <c r="C1263" s="631"/>
      <c r="D1263" s="632">
        <v>333903012000000</v>
      </c>
      <c r="E1263" s="696" t="s">
        <v>5102</v>
      </c>
      <c r="F1263" s="696">
        <v>7</v>
      </c>
      <c r="G1263" s="696" t="s">
        <v>5597</v>
      </c>
      <c r="I1263" s="696"/>
      <c r="J1263" s="688"/>
      <c r="K1263" s="689"/>
    </row>
    <row r="1264" spans="1:11" s="691" customFormat="1" ht="20.100000000000001" customHeight="1" x14ac:dyDescent="0.2">
      <c r="A1264" s="695" t="str">
        <f t="shared" si="16"/>
        <v>333903013000000  Material De Caca E Pesca</v>
      </c>
      <c r="B1264" s="628"/>
      <c r="C1264" s="631"/>
      <c r="D1264" s="632">
        <v>333903013000000</v>
      </c>
      <c r="E1264" s="696" t="s">
        <v>5103</v>
      </c>
      <c r="F1264" s="696">
        <v>7</v>
      </c>
      <c r="G1264" s="696" t="s">
        <v>5597</v>
      </c>
      <c r="I1264" s="696"/>
      <c r="J1264" s="688"/>
      <c r="K1264" s="689"/>
    </row>
    <row r="1265" spans="1:11" s="691" customFormat="1" ht="20.100000000000001" customHeight="1" x14ac:dyDescent="0.2">
      <c r="A1265" s="695" t="str">
        <f t="shared" ref="A1265:A1328" si="17">CONCATENATE(D1265,"  ",E1265,)</f>
        <v>333903014000000  Material Educativo E Esportivo</v>
      </c>
      <c r="B1265" s="628"/>
      <c r="C1265" s="631"/>
      <c r="D1265" s="632">
        <v>333903014000000</v>
      </c>
      <c r="E1265" s="696" t="s">
        <v>1016</v>
      </c>
      <c r="F1265" s="696">
        <v>7</v>
      </c>
      <c r="G1265" s="696" t="s">
        <v>5597</v>
      </c>
      <c r="I1265" s="696"/>
      <c r="J1265" s="688"/>
      <c r="K1265" s="689"/>
    </row>
    <row r="1266" spans="1:11" s="691" customFormat="1" ht="20.100000000000001" customHeight="1" x14ac:dyDescent="0.2">
      <c r="A1266" s="695" t="str">
        <f t="shared" si="17"/>
        <v>333903015000000  Material P/  Festividades E Homenagens</v>
      </c>
      <c r="B1266" s="628"/>
      <c r="C1266" s="631"/>
      <c r="D1266" s="632">
        <v>333903015000000</v>
      </c>
      <c r="E1266" s="696" t="s">
        <v>5630</v>
      </c>
      <c r="F1266" s="696">
        <v>7</v>
      </c>
      <c r="G1266" s="696" t="s">
        <v>5597</v>
      </c>
      <c r="I1266" s="696"/>
      <c r="J1266" s="688"/>
      <c r="K1266" s="689"/>
    </row>
    <row r="1267" spans="1:11" s="691" customFormat="1" ht="20.100000000000001" customHeight="1" x14ac:dyDescent="0.2">
      <c r="A1267" s="695" t="str">
        <f t="shared" si="17"/>
        <v>333903016000000  Material De Expediente</v>
      </c>
      <c r="B1267" s="628"/>
      <c r="C1267" s="631"/>
      <c r="D1267" s="632">
        <v>333903016000000</v>
      </c>
      <c r="E1267" s="696" t="s">
        <v>1003</v>
      </c>
      <c r="F1267" s="696">
        <v>7</v>
      </c>
      <c r="G1267" s="696" t="s">
        <v>5597</v>
      </c>
      <c r="I1267" s="696"/>
      <c r="J1267" s="688"/>
      <c r="K1267" s="689"/>
    </row>
    <row r="1268" spans="1:11" s="691" customFormat="1" ht="20.100000000000001" customHeight="1" x14ac:dyDescent="0.2">
      <c r="A1268" s="695" t="str">
        <f t="shared" si="17"/>
        <v>333903016010000  Material de Expediente - Legislativo</v>
      </c>
      <c r="B1268" s="628"/>
      <c r="C1268" s="631"/>
      <c r="D1268" s="632">
        <v>333903016010000</v>
      </c>
      <c r="E1268" s="696" t="s">
        <v>5104</v>
      </c>
      <c r="F1268" s="696">
        <v>8</v>
      </c>
      <c r="G1268" s="696" t="s">
        <v>5597</v>
      </c>
      <c r="I1268" s="696" t="s">
        <v>5600</v>
      </c>
      <c r="J1268" s="688"/>
      <c r="K1268" s="689"/>
    </row>
    <row r="1269" spans="1:11" s="691" customFormat="1" ht="20.100000000000001" customHeight="1" x14ac:dyDescent="0.2">
      <c r="A1269" s="695" t="str">
        <f t="shared" si="17"/>
        <v>333903016010100  Material de Expediente - Aq. Imediata</v>
      </c>
      <c r="B1269" s="628"/>
      <c r="C1269" s="631"/>
      <c r="D1269" s="632">
        <v>333903016010100</v>
      </c>
      <c r="E1269" s="696" t="s">
        <v>2264</v>
      </c>
      <c r="F1269" s="696">
        <v>9</v>
      </c>
      <c r="G1269" s="696" t="s">
        <v>5597</v>
      </c>
      <c r="I1269" s="696" t="s">
        <v>5600</v>
      </c>
      <c r="J1269" s="688"/>
      <c r="K1269" s="689"/>
    </row>
    <row r="1270" spans="1:11" s="691" customFormat="1" ht="20.100000000000001" customHeight="1" x14ac:dyDescent="0.2">
      <c r="A1270" s="695" t="str">
        <f t="shared" si="17"/>
        <v>333903016010200  Material de Expediente - Estoque</v>
      </c>
      <c r="B1270" s="628"/>
      <c r="C1270" s="631"/>
      <c r="D1270" s="632">
        <v>333903016010200</v>
      </c>
      <c r="E1270" s="696" t="s">
        <v>2159</v>
      </c>
      <c r="F1270" s="696">
        <v>9</v>
      </c>
      <c r="G1270" s="696" t="s">
        <v>5597</v>
      </c>
      <c r="I1270" s="696" t="s">
        <v>5600</v>
      </c>
      <c r="J1270" s="688"/>
      <c r="K1270" s="689"/>
    </row>
    <row r="1271" spans="1:11" s="691" customFormat="1" ht="20.100000000000001" customHeight="1" x14ac:dyDescent="0.2">
      <c r="A1271" s="695" t="str">
        <f t="shared" si="17"/>
        <v>333903016020000  Material de Expediente - Executivo</v>
      </c>
      <c r="B1271" s="628"/>
      <c r="C1271" s="631"/>
      <c r="D1271" s="632">
        <v>333903016020000</v>
      </c>
      <c r="E1271" s="696" t="s">
        <v>5105</v>
      </c>
      <c r="F1271" s="696">
        <v>8</v>
      </c>
      <c r="G1271" s="696" t="s">
        <v>5597</v>
      </c>
      <c r="I1271" s="696" t="s">
        <v>5600</v>
      </c>
      <c r="J1271" s="688"/>
      <c r="K1271" s="689"/>
    </row>
    <row r="1272" spans="1:11" s="691" customFormat="1" ht="20.100000000000001" customHeight="1" x14ac:dyDescent="0.2">
      <c r="A1272" s="695" t="str">
        <f t="shared" si="17"/>
        <v>333903016020100  Material de Expediente - Aq. Imediata</v>
      </c>
      <c r="B1272" s="628"/>
      <c r="C1272" s="631"/>
      <c r="D1272" s="632">
        <v>333903016020100</v>
      </c>
      <c r="E1272" s="696" t="s">
        <v>2264</v>
      </c>
      <c r="F1272" s="696">
        <v>9</v>
      </c>
      <c r="G1272" s="696" t="s">
        <v>5597</v>
      </c>
      <c r="I1272" s="696" t="s">
        <v>5600</v>
      </c>
      <c r="J1272" s="688"/>
      <c r="K1272" s="689"/>
    </row>
    <row r="1273" spans="1:11" s="691" customFormat="1" ht="20.100000000000001" customHeight="1" x14ac:dyDescent="0.2">
      <c r="A1273" s="695" t="str">
        <f t="shared" si="17"/>
        <v>333903016020200  Material de Expediente - Estoque</v>
      </c>
      <c r="B1273" s="628"/>
      <c r="C1273" s="631"/>
      <c r="D1273" s="632">
        <v>333903016020200</v>
      </c>
      <c r="E1273" s="696" t="s">
        <v>2159</v>
      </c>
      <c r="F1273" s="696">
        <v>9</v>
      </c>
      <c r="G1273" s="696" t="s">
        <v>5597</v>
      </c>
      <c r="I1273" s="696" t="s">
        <v>5600</v>
      </c>
      <c r="J1273" s="688"/>
      <c r="K1273" s="689"/>
    </row>
    <row r="1274" spans="1:11" s="691" customFormat="1" ht="20.100000000000001" customHeight="1" x14ac:dyDescent="0.2">
      <c r="A1274" s="695" t="str">
        <f t="shared" si="17"/>
        <v>333903017000000  Material De Processamento De Dados</v>
      </c>
      <c r="B1274" s="628"/>
      <c r="C1274" s="631"/>
      <c r="D1274" s="632">
        <v>333903017000000</v>
      </c>
      <c r="E1274" s="696" t="s">
        <v>5106</v>
      </c>
      <c r="F1274" s="696">
        <v>7</v>
      </c>
      <c r="G1274" s="696" t="s">
        <v>5597</v>
      </c>
      <c r="I1274" s="696"/>
      <c r="J1274" s="688"/>
      <c r="K1274" s="689"/>
    </row>
    <row r="1275" spans="1:11" s="691" customFormat="1" ht="20.100000000000001" customHeight="1" x14ac:dyDescent="0.2">
      <c r="A1275" s="695" t="str">
        <f t="shared" si="17"/>
        <v>333903017010000  Material de Processamento de Dados - Legislativo</v>
      </c>
      <c r="B1275" s="628"/>
      <c r="C1275" s="631"/>
      <c r="D1275" s="632">
        <v>333903017010000</v>
      </c>
      <c r="E1275" s="696" t="s">
        <v>5107</v>
      </c>
      <c r="F1275" s="696">
        <v>8</v>
      </c>
      <c r="G1275" s="696" t="s">
        <v>5597</v>
      </c>
      <c r="I1275" s="696" t="s">
        <v>5600</v>
      </c>
      <c r="J1275" s="688"/>
      <c r="K1275" s="689"/>
    </row>
    <row r="1276" spans="1:11" s="691" customFormat="1" ht="20.100000000000001" customHeight="1" x14ac:dyDescent="0.2">
      <c r="A1276" s="695" t="str">
        <f t="shared" si="17"/>
        <v>333903017010100  Material de  Processamento de Dados - Aq. Imediata</v>
      </c>
      <c r="B1276" s="628"/>
      <c r="C1276" s="631"/>
      <c r="D1276" s="632">
        <v>333903017010100</v>
      </c>
      <c r="E1276" s="696" t="s">
        <v>5631</v>
      </c>
      <c r="F1276" s="696">
        <v>9</v>
      </c>
      <c r="G1276" s="696" t="s">
        <v>5597</v>
      </c>
      <c r="I1276" s="696" t="s">
        <v>5600</v>
      </c>
      <c r="J1276" s="688"/>
      <c r="K1276" s="689"/>
    </row>
    <row r="1277" spans="1:11" s="691" customFormat="1" ht="20.100000000000001" customHeight="1" x14ac:dyDescent="0.2">
      <c r="A1277" s="695" t="str">
        <f t="shared" si="17"/>
        <v>333903017010200  Material de  Processamento de Dados - Estoque</v>
      </c>
      <c r="B1277" s="628"/>
      <c r="C1277" s="631"/>
      <c r="D1277" s="632">
        <v>333903017010200</v>
      </c>
      <c r="E1277" s="696" t="s">
        <v>5632</v>
      </c>
      <c r="F1277" s="696">
        <v>9</v>
      </c>
      <c r="G1277" s="696" t="s">
        <v>5597</v>
      </c>
      <c r="I1277" s="696" t="s">
        <v>5600</v>
      </c>
      <c r="J1277" s="688"/>
      <c r="K1277" s="689"/>
    </row>
    <row r="1278" spans="1:11" s="691" customFormat="1" ht="20.100000000000001" customHeight="1" x14ac:dyDescent="0.2">
      <c r="A1278" s="695" t="str">
        <f t="shared" si="17"/>
        <v>333903017020000  Material de Processamento de Dados - Executivo</v>
      </c>
      <c r="B1278" s="628"/>
      <c r="C1278" s="631"/>
      <c r="D1278" s="632">
        <v>333903017020000</v>
      </c>
      <c r="E1278" s="696" t="s">
        <v>5108</v>
      </c>
      <c r="F1278" s="696">
        <v>8</v>
      </c>
      <c r="G1278" s="696" t="s">
        <v>5597</v>
      </c>
      <c r="I1278" s="696" t="s">
        <v>5600</v>
      </c>
      <c r="J1278" s="688"/>
      <c r="K1278" s="689"/>
    </row>
    <row r="1279" spans="1:11" s="691" customFormat="1" ht="20.100000000000001" customHeight="1" x14ac:dyDescent="0.2">
      <c r="A1279" s="695" t="str">
        <f t="shared" si="17"/>
        <v>333903017020100  Material de Processamento de Dados - Aq. Imediata</v>
      </c>
      <c r="B1279" s="628"/>
      <c r="C1279" s="631"/>
      <c r="D1279" s="632">
        <v>333903017020100</v>
      </c>
      <c r="E1279" s="696" t="s">
        <v>5109</v>
      </c>
      <c r="F1279" s="696">
        <v>9</v>
      </c>
      <c r="G1279" s="696" t="s">
        <v>5597</v>
      </c>
      <c r="I1279" s="696" t="s">
        <v>5600</v>
      </c>
      <c r="J1279" s="688"/>
      <c r="K1279" s="689"/>
    </row>
    <row r="1280" spans="1:11" s="691" customFormat="1" ht="20.100000000000001" customHeight="1" x14ac:dyDescent="0.2">
      <c r="A1280" s="695" t="str">
        <f t="shared" si="17"/>
        <v>333903017020200  Material de Processamento de Dados - Estoque</v>
      </c>
      <c r="B1280" s="628"/>
      <c r="C1280" s="631"/>
      <c r="D1280" s="632">
        <v>333903017020200</v>
      </c>
      <c r="E1280" s="696" t="s">
        <v>5110</v>
      </c>
      <c r="F1280" s="696">
        <v>9</v>
      </c>
      <c r="G1280" s="696" t="s">
        <v>5597</v>
      </c>
      <c r="I1280" s="696" t="s">
        <v>5600</v>
      </c>
      <c r="J1280" s="688"/>
      <c r="K1280" s="689"/>
    </row>
    <row r="1281" spans="1:11" s="691" customFormat="1" ht="20.100000000000001" customHeight="1" x14ac:dyDescent="0.2">
      <c r="A1281" s="695" t="str">
        <f t="shared" si="17"/>
        <v>333903018000000  Materiais E Medicamentos P/  Uso Veterinario</v>
      </c>
      <c r="B1281" s="628"/>
      <c r="C1281" s="631"/>
      <c r="D1281" s="632">
        <v>333903018000000</v>
      </c>
      <c r="E1281" s="696" t="s">
        <v>5633</v>
      </c>
      <c r="F1281" s="696">
        <v>7</v>
      </c>
      <c r="G1281" s="696" t="s">
        <v>5597</v>
      </c>
      <c r="I1281" s="696"/>
      <c r="J1281" s="688"/>
      <c r="K1281" s="689"/>
    </row>
    <row r="1282" spans="1:11" s="691" customFormat="1" ht="20.100000000000001" customHeight="1" x14ac:dyDescent="0.2">
      <c r="A1282" s="695" t="str">
        <f t="shared" si="17"/>
        <v>333903019000000  Material De Acondicionamento E Embalagem</v>
      </c>
      <c r="B1282" s="628"/>
      <c r="C1282" s="631"/>
      <c r="D1282" s="632">
        <v>333903019000000</v>
      </c>
      <c r="E1282" s="696" t="s">
        <v>5111</v>
      </c>
      <c r="F1282" s="696">
        <v>7</v>
      </c>
      <c r="G1282" s="696" t="s">
        <v>5597</v>
      </c>
      <c r="I1282" s="696"/>
      <c r="J1282" s="688"/>
      <c r="K1282" s="689"/>
    </row>
    <row r="1283" spans="1:11" s="691" customFormat="1" ht="20.100000000000001" customHeight="1" x14ac:dyDescent="0.2">
      <c r="A1283" s="695" t="str">
        <f t="shared" si="17"/>
        <v>333903020000000  Material De Cama, Mesa E Banho</v>
      </c>
      <c r="B1283" s="628"/>
      <c r="C1283" s="631"/>
      <c r="D1283" s="632">
        <v>333903020000000</v>
      </c>
      <c r="E1283" s="696" t="s">
        <v>5112</v>
      </c>
      <c r="F1283" s="696">
        <v>7</v>
      </c>
      <c r="G1283" s="696" t="s">
        <v>5597</v>
      </c>
      <c r="I1283" s="696"/>
      <c r="J1283" s="688"/>
      <c r="K1283" s="689"/>
    </row>
    <row r="1284" spans="1:11" s="691" customFormat="1" ht="20.100000000000001" customHeight="1" x14ac:dyDescent="0.2">
      <c r="A1284" s="695" t="str">
        <f t="shared" si="17"/>
        <v>333903021000000  Material De Copa E Cozinha</v>
      </c>
      <c r="B1284" s="628"/>
      <c r="C1284" s="631"/>
      <c r="D1284" s="632">
        <v>333903021000000</v>
      </c>
      <c r="E1284" s="696" t="s">
        <v>1002</v>
      </c>
      <c r="F1284" s="696">
        <v>7</v>
      </c>
      <c r="G1284" s="696" t="s">
        <v>5597</v>
      </c>
      <c r="I1284" s="696"/>
      <c r="J1284" s="688"/>
      <c r="K1284" s="689"/>
    </row>
    <row r="1285" spans="1:11" s="691" customFormat="1" ht="20.100000000000001" customHeight="1" x14ac:dyDescent="0.2">
      <c r="A1285" s="695" t="str">
        <f t="shared" si="17"/>
        <v>333903021010000  Material De Copa E Cozinha - Legislativo</v>
      </c>
      <c r="B1285" s="628"/>
      <c r="C1285" s="631"/>
      <c r="D1285" s="632">
        <v>333903021010000</v>
      </c>
      <c r="E1285" s="696" t="s">
        <v>2265</v>
      </c>
      <c r="F1285" s="696">
        <v>8</v>
      </c>
      <c r="G1285" s="696" t="s">
        <v>5597</v>
      </c>
      <c r="I1285" s="696" t="s">
        <v>5600</v>
      </c>
      <c r="J1285" s="688"/>
      <c r="K1285" s="689"/>
    </row>
    <row r="1286" spans="1:11" s="691" customFormat="1" ht="20.100000000000001" customHeight="1" x14ac:dyDescent="0.2">
      <c r="A1286" s="695" t="str">
        <f t="shared" si="17"/>
        <v>333903021010100  Material De Copa E Cozinha - Aq. Imediata</v>
      </c>
      <c r="B1286" s="628"/>
      <c r="C1286" s="631"/>
      <c r="D1286" s="632">
        <v>333903021010100</v>
      </c>
      <c r="E1286" s="696" t="s">
        <v>2163</v>
      </c>
      <c r="F1286" s="696">
        <v>9</v>
      </c>
      <c r="G1286" s="696" t="s">
        <v>5597</v>
      </c>
      <c r="I1286" s="696" t="s">
        <v>5600</v>
      </c>
      <c r="J1286" s="688"/>
      <c r="K1286" s="689"/>
    </row>
    <row r="1287" spans="1:11" s="691" customFormat="1" ht="20.100000000000001" customHeight="1" x14ac:dyDescent="0.2">
      <c r="A1287" s="695" t="str">
        <f t="shared" si="17"/>
        <v>333903021010200  Material De Copa E Cozinha - Estoque</v>
      </c>
      <c r="B1287" s="628"/>
      <c r="C1287" s="631"/>
      <c r="D1287" s="632">
        <v>333903021010200</v>
      </c>
      <c r="E1287" s="696" t="s">
        <v>2160</v>
      </c>
      <c r="F1287" s="696">
        <v>9</v>
      </c>
      <c r="G1287" s="696" t="s">
        <v>5597</v>
      </c>
      <c r="I1287" s="696" t="s">
        <v>5600</v>
      </c>
      <c r="J1287" s="688"/>
      <c r="K1287" s="689"/>
    </row>
    <row r="1288" spans="1:11" s="691" customFormat="1" ht="20.100000000000001" customHeight="1" x14ac:dyDescent="0.2">
      <c r="A1288" s="695" t="str">
        <f t="shared" si="17"/>
        <v>333903021020000  Material De Copa E Cozinha - Estoque</v>
      </c>
      <c r="B1288" s="628"/>
      <c r="C1288" s="631"/>
      <c r="D1288" s="632">
        <v>333903021020000</v>
      </c>
      <c r="E1288" s="696" t="s">
        <v>2160</v>
      </c>
      <c r="F1288" s="696">
        <v>8</v>
      </c>
      <c r="G1288" s="696" t="s">
        <v>5597</v>
      </c>
      <c r="I1288" s="696" t="s">
        <v>5600</v>
      </c>
      <c r="J1288" s="688"/>
      <c r="K1288" s="689"/>
    </row>
    <row r="1289" spans="1:11" s="691" customFormat="1" ht="20.100000000000001" customHeight="1" x14ac:dyDescent="0.2">
      <c r="A1289" s="695" t="str">
        <f t="shared" si="17"/>
        <v>333903022000000  Material De Limpeza E Produtos  De Higienizacao</v>
      </c>
      <c r="B1289" s="628"/>
      <c r="C1289" s="631"/>
      <c r="D1289" s="632">
        <v>333903022000000</v>
      </c>
      <c r="E1289" s="696" t="s">
        <v>5634</v>
      </c>
      <c r="F1289" s="696">
        <v>7</v>
      </c>
      <c r="G1289" s="696" t="s">
        <v>5597</v>
      </c>
      <c r="I1289" s="696"/>
      <c r="J1289" s="688"/>
      <c r="K1289" s="689"/>
    </row>
    <row r="1290" spans="1:11" s="691" customFormat="1" ht="20.100000000000001" customHeight="1" x14ac:dyDescent="0.2">
      <c r="A1290" s="695" t="str">
        <f t="shared" si="17"/>
        <v>333903022010000  Material De Limpeza E Produtos  De Higienizacao - Legislativo</v>
      </c>
      <c r="B1290" s="628"/>
      <c r="C1290" s="631"/>
      <c r="D1290" s="632">
        <v>333903022010000</v>
      </c>
      <c r="E1290" s="696" t="s">
        <v>5635</v>
      </c>
      <c r="F1290" s="696">
        <v>8</v>
      </c>
      <c r="G1290" s="696" t="s">
        <v>5597</v>
      </c>
      <c r="I1290" s="696" t="s">
        <v>5600</v>
      </c>
      <c r="J1290" s="688"/>
      <c r="K1290" s="689"/>
    </row>
    <row r="1291" spans="1:11" s="691" customFormat="1" ht="20.100000000000001" customHeight="1" x14ac:dyDescent="0.2">
      <c r="A1291" s="695" t="str">
        <f t="shared" si="17"/>
        <v>333903022010100  Material De Limpeza - Aq. Imediata</v>
      </c>
      <c r="B1291" s="628"/>
      <c r="C1291" s="631"/>
      <c r="D1291" s="632">
        <v>333903022010100</v>
      </c>
      <c r="E1291" s="696" t="s">
        <v>2162</v>
      </c>
      <c r="F1291" s="696">
        <v>9</v>
      </c>
      <c r="G1291" s="696" t="s">
        <v>5597</v>
      </c>
      <c r="I1291" s="696" t="s">
        <v>5600</v>
      </c>
      <c r="J1291" s="688"/>
      <c r="K1291" s="689"/>
    </row>
    <row r="1292" spans="1:11" s="691" customFormat="1" ht="20.100000000000001" customHeight="1" x14ac:dyDescent="0.2">
      <c r="A1292" s="695" t="str">
        <f t="shared" si="17"/>
        <v>333903022010200  Material De Limpeza - Estoque</v>
      </c>
      <c r="B1292" s="628"/>
      <c r="C1292" s="631"/>
      <c r="D1292" s="632">
        <v>333903022010200</v>
      </c>
      <c r="E1292" s="696" t="s">
        <v>2161</v>
      </c>
      <c r="F1292" s="696">
        <v>9</v>
      </c>
      <c r="G1292" s="696" t="s">
        <v>5597</v>
      </c>
      <c r="I1292" s="696" t="s">
        <v>5600</v>
      </c>
      <c r="J1292" s="688"/>
      <c r="K1292" s="689"/>
    </row>
    <row r="1293" spans="1:11" s="691" customFormat="1" ht="20.100000000000001" customHeight="1" x14ac:dyDescent="0.2">
      <c r="A1293" s="695" t="str">
        <f t="shared" si="17"/>
        <v>333903022020000  Material De Limpeza E Produtos  De Higienizacao - Estoque</v>
      </c>
      <c r="B1293" s="628"/>
      <c r="C1293" s="631"/>
      <c r="D1293" s="632">
        <v>333903022020000</v>
      </c>
      <c r="E1293" s="696" t="s">
        <v>5636</v>
      </c>
      <c r="F1293" s="696">
        <v>8</v>
      </c>
      <c r="G1293" s="696" t="s">
        <v>5597</v>
      </c>
      <c r="I1293" s="696" t="s">
        <v>5600</v>
      </c>
      <c r="J1293" s="688"/>
      <c r="K1293" s="689"/>
    </row>
    <row r="1294" spans="1:11" s="691" customFormat="1" ht="20.100000000000001" customHeight="1" x14ac:dyDescent="0.2">
      <c r="A1294" s="695" t="str">
        <f t="shared" si="17"/>
        <v>333903023000000  Uniformes, Tecidos E Aviamentos</v>
      </c>
      <c r="B1294" s="628"/>
      <c r="C1294" s="631"/>
      <c r="D1294" s="632">
        <v>333903023000000</v>
      </c>
      <c r="E1294" s="696" t="s">
        <v>1015</v>
      </c>
      <c r="F1294" s="696">
        <v>7</v>
      </c>
      <c r="G1294" s="696" t="s">
        <v>5597</v>
      </c>
      <c r="I1294" s="696"/>
      <c r="J1294" s="688"/>
      <c r="K1294" s="689"/>
    </row>
    <row r="1295" spans="1:11" s="691" customFormat="1" ht="20.100000000000001" customHeight="1" x14ac:dyDescent="0.2">
      <c r="A1295" s="695" t="str">
        <f t="shared" si="17"/>
        <v>333903024000000  Material P/  Manutencao De Bens Imoveis</v>
      </c>
      <c r="B1295" s="628"/>
      <c r="C1295" s="631"/>
      <c r="D1295" s="632">
        <v>333903024000000</v>
      </c>
      <c r="E1295" s="696" t="s">
        <v>5637</v>
      </c>
      <c r="F1295" s="696">
        <v>7</v>
      </c>
      <c r="G1295" s="696" t="s">
        <v>5597</v>
      </c>
      <c r="I1295" s="696"/>
      <c r="J1295" s="688"/>
      <c r="K1295" s="689"/>
    </row>
    <row r="1296" spans="1:11" s="691" customFormat="1" ht="20.100000000000001" customHeight="1" x14ac:dyDescent="0.2">
      <c r="A1296" s="695" t="str">
        <f t="shared" si="17"/>
        <v>333903024010000  Material P/ Manutencao De Bens Imoveis - Legislativo</v>
      </c>
      <c r="B1296" s="628"/>
      <c r="C1296" s="631"/>
      <c r="D1296" s="632">
        <v>333903024010000</v>
      </c>
      <c r="E1296" s="696" t="s">
        <v>5113</v>
      </c>
      <c r="F1296" s="696">
        <v>8</v>
      </c>
      <c r="G1296" s="696" t="s">
        <v>5597</v>
      </c>
      <c r="I1296" s="696" t="s">
        <v>5600</v>
      </c>
      <c r="J1296" s="688"/>
      <c r="K1296" s="689"/>
    </row>
    <row r="1297" spans="1:11" s="691" customFormat="1" ht="20.100000000000001" customHeight="1" x14ac:dyDescent="0.2">
      <c r="A1297" s="695" t="str">
        <f t="shared" si="17"/>
        <v>333903024010100  Material P/Manutencao - Aq. Imediata</v>
      </c>
      <c r="B1297" s="628"/>
      <c r="C1297" s="631"/>
      <c r="D1297" s="632">
        <v>333903024010100</v>
      </c>
      <c r="E1297" s="696" t="s">
        <v>2165</v>
      </c>
      <c r="F1297" s="696">
        <v>9</v>
      </c>
      <c r="G1297" s="696" t="s">
        <v>5597</v>
      </c>
      <c r="I1297" s="696" t="s">
        <v>5600</v>
      </c>
      <c r="J1297" s="688"/>
      <c r="K1297" s="689"/>
    </row>
    <row r="1298" spans="1:11" s="691" customFormat="1" ht="20.100000000000001" customHeight="1" x14ac:dyDescent="0.2">
      <c r="A1298" s="695" t="str">
        <f t="shared" si="17"/>
        <v>333903024010200  Material P/Manutencao - Estoque</v>
      </c>
      <c r="B1298" s="628"/>
      <c r="C1298" s="631"/>
      <c r="D1298" s="632">
        <v>333903024010200</v>
      </c>
      <c r="E1298" s="696" t="s">
        <v>2166</v>
      </c>
      <c r="F1298" s="696">
        <v>9</v>
      </c>
      <c r="G1298" s="696" t="s">
        <v>5597</v>
      </c>
      <c r="I1298" s="696" t="s">
        <v>5600</v>
      </c>
      <c r="J1298" s="688"/>
      <c r="K1298" s="689"/>
    </row>
    <row r="1299" spans="1:11" s="691" customFormat="1" ht="20.100000000000001" customHeight="1" x14ac:dyDescent="0.2">
      <c r="A1299" s="695" t="str">
        <f t="shared" si="17"/>
        <v>333903024020000  Material P/ Manutencao De Bens Imoveis - Estoque</v>
      </c>
      <c r="B1299" s="628"/>
      <c r="C1299" s="631"/>
      <c r="D1299" s="632">
        <v>333903024020000</v>
      </c>
      <c r="E1299" s="696" t="s">
        <v>5114</v>
      </c>
      <c r="F1299" s="696">
        <v>8</v>
      </c>
      <c r="G1299" s="696" t="s">
        <v>5597</v>
      </c>
      <c r="I1299" s="696" t="s">
        <v>5600</v>
      </c>
      <c r="J1299" s="688"/>
      <c r="K1299" s="689"/>
    </row>
    <row r="1300" spans="1:11" s="691" customFormat="1" ht="20.100000000000001" customHeight="1" x14ac:dyDescent="0.2">
      <c r="A1300" s="695" t="str">
        <f t="shared" si="17"/>
        <v>333903025000000  Material P/  Manutencao De Bens Moveis</v>
      </c>
      <c r="B1300" s="628"/>
      <c r="C1300" s="631"/>
      <c r="D1300" s="632">
        <v>333903025000000</v>
      </c>
      <c r="E1300" s="696" t="s">
        <v>5638</v>
      </c>
      <c r="F1300" s="696">
        <v>7</v>
      </c>
      <c r="G1300" s="696" t="s">
        <v>5597</v>
      </c>
      <c r="I1300" s="696"/>
      <c r="J1300" s="688"/>
      <c r="K1300" s="689"/>
    </row>
    <row r="1301" spans="1:11" s="691" customFormat="1" ht="20.100000000000001" customHeight="1" x14ac:dyDescent="0.2">
      <c r="A1301" s="695" t="str">
        <f t="shared" si="17"/>
        <v>333903025010000  Material Para Manutenção Da Motosserra</v>
      </c>
      <c r="B1301" s="628"/>
      <c r="C1301" s="631"/>
      <c r="D1301" s="632">
        <v>333903025010000</v>
      </c>
      <c r="E1301" s="696" t="s">
        <v>1199</v>
      </c>
      <c r="F1301" s="696">
        <v>8</v>
      </c>
      <c r="G1301" s="696" t="s">
        <v>5597</v>
      </c>
      <c r="I1301" s="696"/>
      <c r="J1301" s="688"/>
      <c r="K1301" s="689"/>
    </row>
    <row r="1302" spans="1:11" s="691" customFormat="1" ht="20.100000000000001" customHeight="1" x14ac:dyDescent="0.2">
      <c r="A1302" s="695" t="str">
        <f t="shared" si="17"/>
        <v>333903025020000  Material Para Manutenção Da Roçadeira Manual</v>
      </c>
      <c r="B1302" s="628"/>
      <c r="C1302" s="631"/>
      <c r="D1302" s="632">
        <v>333903025020000</v>
      </c>
      <c r="E1302" s="696" t="s">
        <v>5115</v>
      </c>
      <c r="F1302" s="696">
        <v>8</v>
      </c>
      <c r="G1302" s="696" t="s">
        <v>5597</v>
      </c>
      <c r="I1302" s="696" t="s">
        <v>5627</v>
      </c>
      <c r="J1302" s="688"/>
      <c r="K1302" s="689"/>
    </row>
    <row r="1303" spans="1:11" s="691" customFormat="1" ht="20.100000000000001" customHeight="1" x14ac:dyDescent="0.2">
      <c r="A1303" s="695" t="str">
        <f t="shared" si="17"/>
        <v>333903025030000  Material Para Manutenção Da Roçadeira</v>
      </c>
      <c r="B1303" s="628"/>
      <c r="C1303" s="631"/>
      <c r="D1303" s="632">
        <v>333903025030000</v>
      </c>
      <c r="E1303" s="696" t="s">
        <v>5116</v>
      </c>
      <c r="F1303" s="696">
        <v>8</v>
      </c>
      <c r="G1303" s="696" t="s">
        <v>5597</v>
      </c>
      <c r="I1303" s="696"/>
      <c r="J1303" s="688"/>
      <c r="K1303" s="689"/>
    </row>
    <row r="1304" spans="1:11" s="691" customFormat="1" ht="20.100000000000001" customHeight="1" x14ac:dyDescent="0.2">
      <c r="A1304" s="695" t="str">
        <f t="shared" si="17"/>
        <v>333903025040000  Material Para Manutenção De Eimplementos Rodoviarios</v>
      </c>
      <c r="B1304" s="628"/>
      <c r="C1304" s="631"/>
      <c r="D1304" s="632">
        <v>333903025040000</v>
      </c>
      <c r="E1304" s="696" t="s">
        <v>1220</v>
      </c>
      <c r="F1304" s="696">
        <v>8</v>
      </c>
      <c r="G1304" s="696" t="s">
        <v>5597</v>
      </c>
      <c r="I1304" s="696" t="s">
        <v>5600</v>
      </c>
      <c r="J1304" s="688"/>
      <c r="K1304" s="689"/>
    </row>
    <row r="1305" spans="1:11" s="691" customFormat="1" ht="20.100000000000001" customHeight="1" x14ac:dyDescent="0.2">
      <c r="A1305" s="695" t="str">
        <f t="shared" si="17"/>
        <v>333903025050000  Material Para Manutenção De Eimplementos Agricolas</v>
      </c>
      <c r="B1305" s="628"/>
      <c r="C1305" s="631"/>
      <c r="D1305" s="632">
        <v>333903025050000</v>
      </c>
      <c r="E1305" s="696" t="s">
        <v>1073</v>
      </c>
      <c r="F1305" s="696">
        <v>8</v>
      </c>
      <c r="G1305" s="696" t="s">
        <v>5597</v>
      </c>
      <c r="I1305" s="696" t="s">
        <v>5600</v>
      </c>
      <c r="J1305" s="688"/>
      <c r="K1305" s="689"/>
    </row>
    <row r="1306" spans="1:11" s="691" customFormat="1" ht="20.100000000000001" customHeight="1" x14ac:dyDescent="0.2">
      <c r="A1306" s="695" t="str">
        <f t="shared" si="17"/>
        <v>333903025050100  Material e Pecas P/Disco</v>
      </c>
      <c r="B1306" s="628"/>
      <c r="C1306" s="631"/>
      <c r="D1306" s="632">
        <v>333903025050100</v>
      </c>
      <c r="E1306" s="696" t="s">
        <v>5117</v>
      </c>
      <c r="F1306" s="696">
        <v>9</v>
      </c>
      <c r="G1306" s="696" t="s">
        <v>5597</v>
      </c>
      <c r="I1306" s="696" t="s">
        <v>5600</v>
      </c>
      <c r="J1306" s="688"/>
      <c r="K1306" s="689"/>
    </row>
    <row r="1307" spans="1:11" s="691" customFormat="1" ht="20.100000000000001" customHeight="1" x14ac:dyDescent="0.2">
      <c r="A1307" s="695" t="str">
        <f t="shared" si="17"/>
        <v>333903025050200  Material e Pecas P/Escalificador</v>
      </c>
      <c r="B1307" s="628"/>
      <c r="C1307" s="631"/>
      <c r="D1307" s="632">
        <v>333903025050200</v>
      </c>
      <c r="E1307" s="696" t="s">
        <v>5118</v>
      </c>
      <c r="F1307" s="696">
        <v>9</v>
      </c>
      <c r="G1307" s="696" t="s">
        <v>5597</v>
      </c>
      <c r="I1307" s="696" t="s">
        <v>5600</v>
      </c>
      <c r="J1307" s="688"/>
      <c r="K1307" s="689"/>
    </row>
    <row r="1308" spans="1:11" s="691" customFormat="1" ht="20.100000000000001" customHeight="1" x14ac:dyDescent="0.2">
      <c r="A1308" s="695" t="str">
        <f t="shared" si="17"/>
        <v>333903025050300  Material e Pecas P/Ensiladeira</v>
      </c>
      <c r="B1308" s="628"/>
      <c r="C1308" s="631"/>
      <c r="D1308" s="632">
        <v>333903025050300</v>
      </c>
      <c r="E1308" s="696" t="s">
        <v>5119</v>
      </c>
      <c r="F1308" s="696">
        <v>9</v>
      </c>
      <c r="G1308" s="696" t="s">
        <v>5597</v>
      </c>
      <c r="I1308" s="696" t="s">
        <v>5600</v>
      </c>
      <c r="J1308" s="688"/>
      <c r="K1308" s="689"/>
    </row>
    <row r="1309" spans="1:11" s="691" customFormat="1" ht="20.100000000000001" customHeight="1" x14ac:dyDescent="0.2">
      <c r="A1309" s="695" t="str">
        <f t="shared" si="17"/>
        <v>333903025050400  Material e Pecas P/Espalhador de Calcario</v>
      </c>
      <c r="B1309" s="628"/>
      <c r="C1309" s="631"/>
      <c r="D1309" s="632">
        <v>333903025050400</v>
      </c>
      <c r="E1309" s="696" t="s">
        <v>5120</v>
      </c>
      <c r="F1309" s="696">
        <v>9</v>
      </c>
      <c r="G1309" s="696" t="s">
        <v>5597</v>
      </c>
      <c r="I1309" s="696" t="s">
        <v>5600</v>
      </c>
      <c r="J1309" s="688"/>
      <c r="K1309" s="689"/>
    </row>
    <row r="1310" spans="1:11" s="691" customFormat="1" ht="20.100000000000001" customHeight="1" x14ac:dyDescent="0.2">
      <c r="A1310" s="695" t="str">
        <f t="shared" si="17"/>
        <v>333903025050500  Material e Peças P/Batedeira de Cereais B340 1</v>
      </c>
      <c r="B1310" s="628"/>
      <c r="C1310" s="631"/>
      <c r="D1310" s="632">
        <v>333903025050500</v>
      </c>
      <c r="E1310" s="696" t="s">
        <v>5121</v>
      </c>
      <c r="F1310" s="696">
        <v>9</v>
      </c>
      <c r="G1310" s="696" t="s">
        <v>5597</v>
      </c>
      <c r="I1310" s="696" t="s">
        <v>5627</v>
      </c>
      <c r="J1310" s="688"/>
      <c r="K1310" s="689"/>
    </row>
    <row r="1311" spans="1:11" s="691" customFormat="1" ht="20.100000000000001" customHeight="1" x14ac:dyDescent="0.2">
      <c r="A1311" s="695" t="str">
        <f t="shared" si="17"/>
        <v>333903025050600  Material e Peças P/Batedeira de Cereais B340 2</v>
      </c>
      <c r="B1311" s="628"/>
      <c r="C1311" s="631"/>
      <c r="D1311" s="632">
        <v>333903025050600</v>
      </c>
      <c r="E1311" s="696" t="s">
        <v>5122</v>
      </c>
      <c r="F1311" s="696">
        <v>9</v>
      </c>
      <c r="G1311" s="696" t="s">
        <v>5597</v>
      </c>
      <c r="I1311" s="696" t="s">
        <v>5627</v>
      </c>
      <c r="J1311" s="688"/>
      <c r="K1311" s="689"/>
    </row>
    <row r="1312" spans="1:11" s="691" customFormat="1" ht="20.100000000000001" customHeight="1" x14ac:dyDescent="0.2">
      <c r="A1312" s="695" t="str">
        <f t="shared" si="17"/>
        <v>333903025050700  Material e Peças P/ Manutenção Grade Globe</v>
      </c>
      <c r="B1312" s="628"/>
      <c r="C1312" s="631"/>
      <c r="D1312" s="632">
        <v>333903025050700</v>
      </c>
      <c r="E1312" s="696" t="s">
        <v>5123</v>
      </c>
      <c r="F1312" s="696">
        <v>9</v>
      </c>
      <c r="G1312" s="696" t="s">
        <v>5597</v>
      </c>
      <c r="I1312" s="696" t="s">
        <v>5627</v>
      </c>
      <c r="J1312" s="688"/>
      <c r="K1312" s="689"/>
    </row>
    <row r="1313" spans="1:11" s="691" customFormat="1" ht="20.100000000000001" customHeight="1" x14ac:dyDescent="0.2">
      <c r="A1313" s="695" t="str">
        <f t="shared" si="17"/>
        <v>333903025050800  Material e Peças P/Manutenção Grade Arrastão</v>
      </c>
      <c r="B1313" s="628"/>
      <c r="C1313" s="631"/>
      <c r="D1313" s="632">
        <v>333903025050800</v>
      </c>
      <c r="E1313" s="696" t="s">
        <v>6210</v>
      </c>
      <c r="F1313" s="696">
        <v>9</v>
      </c>
      <c r="G1313" s="696" t="s">
        <v>5597</v>
      </c>
      <c r="I1313" s="696" t="s">
        <v>5627</v>
      </c>
      <c r="J1313" s="688"/>
      <c r="K1313" s="689"/>
    </row>
    <row r="1314" spans="1:11" s="691" customFormat="1" ht="20.100000000000001" customHeight="1" x14ac:dyDescent="0.2">
      <c r="A1314" s="695" t="str">
        <f t="shared" si="17"/>
        <v>333903025060000  Material P/Rocadeira Hidraulica</v>
      </c>
      <c r="B1314" s="628"/>
      <c r="C1314" s="631"/>
      <c r="D1314" s="632">
        <v>333903025060000</v>
      </c>
      <c r="E1314" s="696" t="s">
        <v>5124</v>
      </c>
      <c r="F1314" s="696">
        <v>8</v>
      </c>
      <c r="G1314" s="696" t="s">
        <v>5597</v>
      </c>
      <c r="I1314" s="696" t="s">
        <v>5600</v>
      </c>
      <c r="J1314" s="688"/>
      <c r="K1314" s="689"/>
    </row>
    <row r="1315" spans="1:11" s="691" customFormat="1" ht="20.100000000000001" customHeight="1" x14ac:dyDescent="0.2">
      <c r="A1315" s="695" t="str">
        <f t="shared" si="17"/>
        <v>333903026000000  Material Eletrico E Eletronico</v>
      </c>
      <c r="B1315" s="628"/>
      <c r="C1315" s="631"/>
      <c r="D1315" s="632">
        <v>333903026000000</v>
      </c>
      <c r="E1315" s="696" t="s">
        <v>1045</v>
      </c>
      <c r="F1315" s="696">
        <v>7</v>
      </c>
      <c r="G1315" s="696" t="s">
        <v>5597</v>
      </c>
      <c r="I1315" s="696"/>
      <c r="J1315" s="688"/>
      <c r="K1315" s="689"/>
    </row>
    <row r="1316" spans="1:11" s="691" customFormat="1" ht="20.100000000000001" customHeight="1" x14ac:dyDescent="0.2">
      <c r="A1316" s="695" t="str">
        <f t="shared" si="17"/>
        <v>333903026010000  Material Eletrico E Eletronico - Aq. Imediata</v>
      </c>
      <c r="B1316" s="628"/>
      <c r="C1316" s="631"/>
      <c r="D1316" s="632">
        <v>333903026010000</v>
      </c>
      <c r="E1316" s="696" t="s">
        <v>2200</v>
      </c>
      <c r="F1316" s="696">
        <v>8</v>
      </c>
      <c r="G1316" s="696" t="s">
        <v>5597</v>
      </c>
      <c r="I1316" s="696" t="s">
        <v>5600</v>
      </c>
      <c r="J1316" s="688"/>
      <c r="K1316" s="689"/>
    </row>
    <row r="1317" spans="1:11" s="691" customFormat="1" ht="20.100000000000001" customHeight="1" x14ac:dyDescent="0.2">
      <c r="A1317" s="695" t="str">
        <f t="shared" si="17"/>
        <v>333903026020000  Material Eletrico E Eletronico - Estoque</v>
      </c>
      <c r="B1317" s="628"/>
      <c r="C1317" s="631"/>
      <c r="D1317" s="632">
        <v>333903026020000</v>
      </c>
      <c r="E1317" s="696" t="s">
        <v>2201</v>
      </c>
      <c r="F1317" s="696">
        <v>8</v>
      </c>
      <c r="G1317" s="696" t="s">
        <v>5597</v>
      </c>
      <c r="I1317" s="696" t="s">
        <v>5600</v>
      </c>
      <c r="J1317" s="688"/>
      <c r="K1317" s="689"/>
    </row>
    <row r="1318" spans="1:11" s="691" customFormat="1" ht="20.100000000000001" customHeight="1" x14ac:dyDescent="0.2">
      <c r="A1318" s="695" t="str">
        <f t="shared" si="17"/>
        <v>333903027000000  Material De Manobra E Patrulhamento</v>
      </c>
      <c r="B1318" s="628"/>
      <c r="C1318" s="631"/>
      <c r="D1318" s="632">
        <v>333903027000000</v>
      </c>
      <c r="E1318" s="696" t="s">
        <v>5125</v>
      </c>
      <c r="F1318" s="696">
        <v>7</v>
      </c>
      <c r="G1318" s="696" t="s">
        <v>5597</v>
      </c>
      <c r="I1318" s="696"/>
      <c r="J1318" s="688"/>
      <c r="K1318" s="689"/>
    </row>
    <row r="1319" spans="1:11" s="691" customFormat="1" ht="20.100000000000001" customHeight="1" x14ac:dyDescent="0.2">
      <c r="A1319" s="695" t="str">
        <f t="shared" si="17"/>
        <v>333903028000000  Material De Protecao E Seguranca</v>
      </c>
      <c r="B1319" s="628"/>
      <c r="C1319" s="631"/>
      <c r="D1319" s="632">
        <v>333903028000000</v>
      </c>
      <c r="E1319" s="696" t="s">
        <v>5126</v>
      </c>
      <c r="F1319" s="696">
        <v>7</v>
      </c>
      <c r="G1319" s="696" t="s">
        <v>5597</v>
      </c>
      <c r="I1319" s="696"/>
      <c r="J1319" s="688"/>
      <c r="K1319" s="689"/>
    </row>
    <row r="1320" spans="1:11" s="691" customFormat="1" ht="20.100000000000001" customHeight="1" x14ac:dyDescent="0.2">
      <c r="A1320" s="695" t="str">
        <f t="shared" si="17"/>
        <v>333903028010000  Material De Protecao E Seguranca - Aq. Imediata</v>
      </c>
      <c r="B1320" s="628"/>
      <c r="C1320" s="631"/>
      <c r="D1320" s="632">
        <v>333903028010000</v>
      </c>
      <c r="E1320" s="696" t="s">
        <v>5127</v>
      </c>
      <c r="F1320" s="696">
        <v>8</v>
      </c>
      <c r="G1320" s="696" t="s">
        <v>5597</v>
      </c>
      <c r="I1320" s="696" t="s">
        <v>5600</v>
      </c>
      <c r="J1320" s="688"/>
      <c r="K1320" s="689"/>
    </row>
    <row r="1321" spans="1:11" s="691" customFormat="1" ht="20.100000000000001" customHeight="1" x14ac:dyDescent="0.2">
      <c r="A1321" s="695" t="str">
        <f t="shared" si="17"/>
        <v>333903028020000  Material De Protecao E Seguranca - Estoque</v>
      </c>
      <c r="B1321" s="628"/>
      <c r="C1321" s="631"/>
      <c r="D1321" s="632">
        <v>333903028020000</v>
      </c>
      <c r="E1321" s="696" t="s">
        <v>2202</v>
      </c>
      <c r="F1321" s="696">
        <v>8</v>
      </c>
      <c r="G1321" s="696" t="s">
        <v>5597</v>
      </c>
      <c r="I1321" s="696" t="s">
        <v>5600</v>
      </c>
      <c r="J1321" s="688"/>
      <c r="K1321" s="689"/>
    </row>
    <row r="1322" spans="1:11" s="691" customFormat="1" ht="20.100000000000001" customHeight="1" x14ac:dyDescent="0.2">
      <c r="A1322" s="695" t="str">
        <f t="shared" si="17"/>
        <v>333903029000000  Material P/  Audio, Video E Foto</v>
      </c>
      <c r="B1322" s="628"/>
      <c r="C1322" s="631"/>
      <c r="D1322" s="632">
        <v>333903029000000</v>
      </c>
      <c r="E1322" s="696" t="s">
        <v>5639</v>
      </c>
      <c r="F1322" s="696">
        <v>7</v>
      </c>
      <c r="G1322" s="696" t="s">
        <v>5597</v>
      </c>
      <c r="I1322" s="696"/>
      <c r="J1322" s="688"/>
      <c r="K1322" s="689"/>
    </row>
    <row r="1323" spans="1:11" s="691" customFormat="1" ht="20.100000000000001" customHeight="1" x14ac:dyDescent="0.2">
      <c r="A1323" s="695" t="str">
        <f t="shared" si="17"/>
        <v>333903030000000  Material P/ Comunicacoes</v>
      </c>
      <c r="B1323" s="628"/>
      <c r="C1323" s="631"/>
      <c r="D1323" s="632">
        <v>333903030000000</v>
      </c>
      <c r="E1323" s="696" t="s">
        <v>5128</v>
      </c>
      <c r="F1323" s="696">
        <v>7</v>
      </c>
      <c r="G1323" s="696" t="s">
        <v>5597</v>
      </c>
      <c r="I1323" s="696"/>
      <c r="J1323" s="688"/>
      <c r="K1323" s="689"/>
    </row>
    <row r="1324" spans="1:11" s="691" customFormat="1" ht="20.100000000000001" customHeight="1" x14ac:dyDescent="0.2">
      <c r="A1324" s="695" t="str">
        <f t="shared" si="17"/>
        <v>333903031000000  Sementes, Mudas De Plantas E Insumos</v>
      </c>
      <c r="B1324" s="628"/>
      <c r="C1324" s="631"/>
      <c r="D1324" s="632">
        <v>333903031000000</v>
      </c>
      <c r="E1324" s="696" t="s">
        <v>1197</v>
      </c>
      <c r="F1324" s="696">
        <v>7</v>
      </c>
      <c r="G1324" s="696" t="s">
        <v>5597</v>
      </c>
      <c r="I1324" s="696"/>
      <c r="J1324" s="688"/>
      <c r="K1324" s="689"/>
    </row>
    <row r="1325" spans="1:11" s="691" customFormat="1" ht="20.100000000000001" customHeight="1" x14ac:dyDescent="0.2">
      <c r="A1325" s="695" t="str">
        <f t="shared" si="17"/>
        <v>333903032000000  Suprimento De Aviacao</v>
      </c>
      <c r="B1325" s="628"/>
      <c r="C1325" s="631"/>
      <c r="D1325" s="632">
        <v>333903032000000</v>
      </c>
      <c r="E1325" s="696" t="s">
        <v>5129</v>
      </c>
      <c r="F1325" s="696">
        <v>7</v>
      </c>
      <c r="G1325" s="696" t="s">
        <v>5597</v>
      </c>
      <c r="I1325" s="696"/>
      <c r="J1325" s="688"/>
      <c r="K1325" s="689"/>
    </row>
    <row r="1326" spans="1:11" s="691" customFormat="1" ht="20.100000000000001" customHeight="1" x14ac:dyDescent="0.2">
      <c r="A1326" s="695" t="str">
        <f t="shared" si="17"/>
        <v>333903033000000  Material P/  Producao Industrial</v>
      </c>
      <c r="B1326" s="628"/>
      <c r="C1326" s="631"/>
      <c r="D1326" s="632">
        <v>333903033000000</v>
      </c>
      <c r="E1326" s="696" t="s">
        <v>5640</v>
      </c>
      <c r="F1326" s="696">
        <v>7</v>
      </c>
      <c r="G1326" s="696" t="s">
        <v>5597</v>
      </c>
      <c r="I1326" s="696"/>
      <c r="J1326" s="688"/>
      <c r="K1326" s="689"/>
    </row>
    <row r="1327" spans="1:11" s="691" customFormat="1" ht="20.100000000000001" customHeight="1" x14ac:dyDescent="0.2">
      <c r="A1327" s="695" t="str">
        <f t="shared" si="17"/>
        <v>333903034000000  Sobressal Maqe Motores Navios E Embarcacoes</v>
      </c>
      <c r="B1327" s="628"/>
      <c r="C1327" s="631"/>
      <c r="D1327" s="632">
        <v>333903034000000</v>
      </c>
      <c r="E1327" s="696" t="s">
        <v>5130</v>
      </c>
      <c r="F1327" s="696">
        <v>7</v>
      </c>
      <c r="G1327" s="696" t="s">
        <v>5597</v>
      </c>
      <c r="I1327" s="696"/>
      <c r="J1327" s="688"/>
      <c r="K1327" s="689"/>
    </row>
    <row r="1328" spans="1:11" s="691" customFormat="1" ht="20.100000000000001" customHeight="1" x14ac:dyDescent="0.2">
      <c r="A1328" s="695" t="str">
        <f t="shared" si="17"/>
        <v>333903035000000  Material Laboratorial</v>
      </c>
      <c r="B1328" s="628"/>
      <c r="C1328" s="631"/>
      <c r="D1328" s="632">
        <v>333903035000000</v>
      </c>
      <c r="E1328" s="696" t="s">
        <v>5131</v>
      </c>
      <c r="F1328" s="696">
        <v>7</v>
      </c>
      <c r="G1328" s="696" t="s">
        <v>5597</v>
      </c>
      <c r="I1328" s="696"/>
      <c r="J1328" s="688"/>
      <c r="K1328" s="689"/>
    </row>
    <row r="1329" spans="1:11" s="691" customFormat="1" ht="20.100000000000001" customHeight="1" x14ac:dyDescent="0.2">
      <c r="A1329" s="695" t="str">
        <f t="shared" ref="A1329:A1392" si="18">CONCATENATE(D1329,"  ",E1329,)</f>
        <v>333903036000000  Material Hospitalar</v>
      </c>
      <c r="B1329" s="628"/>
      <c r="C1329" s="631"/>
      <c r="D1329" s="632">
        <v>333903036000000</v>
      </c>
      <c r="E1329" s="696" t="s">
        <v>1108</v>
      </c>
      <c r="F1329" s="696">
        <v>7</v>
      </c>
      <c r="G1329" s="696" t="s">
        <v>5597</v>
      </c>
      <c r="I1329" s="696"/>
      <c r="J1329" s="688"/>
      <c r="K1329" s="689"/>
    </row>
    <row r="1330" spans="1:11" s="691" customFormat="1" ht="20.100000000000001" customHeight="1" x14ac:dyDescent="0.2">
      <c r="A1330" s="695" t="str">
        <f t="shared" si="18"/>
        <v>333903037000000  Sobressalentes De Armamento</v>
      </c>
      <c r="B1330" s="628"/>
      <c r="C1330" s="631"/>
      <c r="D1330" s="632">
        <v>333903037000000</v>
      </c>
      <c r="E1330" s="696" t="s">
        <v>5132</v>
      </c>
      <c r="F1330" s="696">
        <v>7</v>
      </c>
      <c r="G1330" s="696" t="s">
        <v>5597</v>
      </c>
      <c r="I1330" s="696"/>
      <c r="J1330" s="688"/>
      <c r="K1330" s="689"/>
    </row>
    <row r="1331" spans="1:11" s="691" customFormat="1" ht="20.100000000000001" customHeight="1" x14ac:dyDescent="0.2">
      <c r="A1331" s="695" t="str">
        <f t="shared" si="18"/>
        <v>333903038000000  Suprimento De Protecao Ao Voo</v>
      </c>
      <c r="B1331" s="628"/>
      <c r="C1331" s="631"/>
      <c r="D1331" s="632">
        <v>333903038000000</v>
      </c>
      <c r="E1331" s="696" t="s">
        <v>5133</v>
      </c>
      <c r="F1331" s="696">
        <v>7</v>
      </c>
      <c r="G1331" s="696" t="s">
        <v>5597</v>
      </c>
      <c r="I1331" s="696"/>
      <c r="J1331" s="688"/>
      <c r="K1331" s="689"/>
    </row>
    <row r="1332" spans="1:11" s="691" customFormat="1" ht="20.100000000000001" customHeight="1" x14ac:dyDescent="0.2">
      <c r="A1332" s="695" t="str">
        <f t="shared" si="18"/>
        <v>333903039000000  Material P/  Manutencao De Veiculos</v>
      </c>
      <c r="B1332" s="628"/>
      <c r="C1332" s="631"/>
      <c r="D1332" s="632">
        <v>333903039000000</v>
      </c>
      <c r="E1332" s="696" t="s">
        <v>5641</v>
      </c>
      <c r="F1332" s="696">
        <v>7</v>
      </c>
      <c r="G1332" s="696" t="s">
        <v>5597</v>
      </c>
      <c r="I1332" s="696"/>
      <c r="J1332" s="688"/>
      <c r="K1332" s="689"/>
    </row>
    <row r="1333" spans="1:11" s="691" customFormat="1" ht="20.100000000000001" customHeight="1" x14ac:dyDescent="0.2">
      <c r="A1333" s="695" t="str">
        <f t="shared" si="18"/>
        <v>333903039010000  Material e Peças P/Veiculo Oficial</v>
      </c>
      <c r="B1333" s="628"/>
      <c r="C1333" s="631"/>
      <c r="D1333" s="632">
        <v>333903039010000</v>
      </c>
      <c r="E1333" s="696" t="s">
        <v>5134</v>
      </c>
      <c r="F1333" s="696">
        <v>8</v>
      </c>
      <c r="G1333" s="696" t="s">
        <v>5597</v>
      </c>
      <c r="I1333" s="696" t="s">
        <v>5604</v>
      </c>
      <c r="J1333" s="688"/>
      <c r="K1333" s="689"/>
    </row>
    <row r="1334" spans="1:11" s="691" customFormat="1" ht="20.100000000000001" customHeight="1" x14ac:dyDescent="0.2">
      <c r="A1334" s="695" t="str">
        <f t="shared" si="18"/>
        <v>333903039020000  Material e Peças P/Veiculo Placas ISK 1256</v>
      </c>
      <c r="B1334" s="628"/>
      <c r="C1334" s="631"/>
      <c r="D1334" s="632">
        <v>333903039020000</v>
      </c>
      <c r="E1334" s="696" t="s">
        <v>1141</v>
      </c>
      <c r="F1334" s="696">
        <v>8</v>
      </c>
      <c r="G1334" s="696" t="s">
        <v>5597</v>
      </c>
      <c r="I1334" s="696" t="s">
        <v>5600</v>
      </c>
      <c r="J1334" s="688"/>
      <c r="K1334" s="689"/>
    </row>
    <row r="1335" spans="1:11" s="691" customFormat="1" ht="20.100000000000001" customHeight="1" x14ac:dyDescent="0.2">
      <c r="A1335" s="695" t="str">
        <f t="shared" si="18"/>
        <v>333903039030000  Material e Peças P/Veiculo Placas ITP 0262</v>
      </c>
      <c r="B1335" s="628"/>
      <c r="C1335" s="631"/>
      <c r="D1335" s="632">
        <v>333903039030000</v>
      </c>
      <c r="E1335" s="696" t="s">
        <v>1140</v>
      </c>
      <c r="F1335" s="696">
        <v>8</v>
      </c>
      <c r="G1335" s="696" t="s">
        <v>5597</v>
      </c>
      <c r="I1335" s="696" t="s">
        <v>5600</v>
      </c>
      <c r="J1335" s="688"/>
      <c r="K1335" s="689"/>
    </row>
    <row r="1336" spans="1:11" s="691" customFormat="1" ht="20.100000000000001" customHeight="1" x14ac:dyDescent="0.2">
      <c r="A1336" s="695" t="str">
        <f t="shared" si="18"/>
        <v>333903039040000  Material e Peças P/Veiculo Placas IRH 9777</v>
      </c>
      <c r="B1336" s="628"/>
      <c r="C1336" s="631"/>
      <c r="D1336" s="632">
        <v>333903039040000</v>
      </c>
      <c r="E1336" s="696" t="s">
        <v>1139</v>
      </c>
      <c r="F1336" s="696">
        <v>8</v>
      </c>
      <c r="G1336" s="696" t="s">
        <v>5597</v>
      </c>
      <c r="I1336" s="696" t="s">
        <v>5600</v>
      </c>
      <c r="J1336" s="688"/>
      <c r="K1336" s="689"/>
    </row>
    <row r="1337" spans="1:11" s="691" customFormat="1" ht="20.100000000000001" customHeight="1" x14ac:dyDescent="0.2">
      <c r="A1337" s="695" t="str">
        <f t="shared" si="18"/>
        <v>333903039050000  Material e Peças P/Veiculo Placas IOY 7726</v>
      </c>
      <c r="B1337" s="628"/>
      <c r="C1337" s="631"/>
      <c r="D1337" s="632">
        <v>333903039050000</v>
      </c>
      <c r="E1337" s="696" t="s">
        <v>1138</v>
      </c>
      <c r="F1337" s="696">
        <v>8</v>
      </c>
      <c r="G1337" s="696" t="s">
        <v>5597</v>
      </c>
      <c r="I1337" s="696" t="s">
        <v>5600</v>
      </c>
      <c r="J1337" s="688"/>
      <c r="K1337" s="689"/>
    </row>
    <row r="1338" spans="1:11" s="691" customFormat="1" ht="20.100000000000001" customHeight="1" x14ac:dyDescent="0.2">
      <c r="A1338" s="695" t="str">
        <f t="shared" si="18"/>
        <v>333903039060000  Material e Peças P/Veiculo Placas DUA 5272</v>
      </c>
      <c r="B1338" s="628"/>
      <c r="C1338" s="631"/>
      <c r="D1338" s="632">
        <v>333903039060000</v>
      </c>
      <c r="E1338" s="696" t="s">
        <v>1137</v>
      </c>
      <c r="F1338" s="696">
        <v>8</v>
      </c>
      <c r="G1338" s="696" t="s">
        <v>5597</v>
      </c>
      <c r="I1338" s="696" t="s">
        <v>5600</v>
      </c>
      <c r="J1338" s="688"/>
      <c r="K1338" s="689"/>
    </row>
    <row r="1339" spans="1:11" s="691" customFormat="1" ht="20.100000000000001" customHeight="1" x14ac:dyDescent="0.2">
      <c r="A1339" s="695" t="str">
        <f t="shared" si="18"/>
        <v>333903039070000  Material e Peças P/Veiculo Placas IRS 4010</v>
      </c>
      <c r="B1339" s="628"/>
      <c r="C1339" s="631"/>
      <c r="D1339" s="632">
        <v>333903039070000</v>
      </c>
      <c r="E1339" s="696" t="s">
        <v>1264</v>
      </c>
      <c r="F1339" s="696">
        <v>8</v>
      </c>
      <c r="G1339" s="696" t="s">
        <v>5597</v>
      </c>
      <c r="I1339" s="696" t="s">
        <v>5600</v>
      </c>
      <c r="J1339" s="688"/>
      <c r="K1339" s="689"/>
    </row>
    <row r="1340" spans="1:11" s="691" customFormat="1" ht="20.100000000000001" customHeight="1" x14ac:dyDescent="0.2">
      <c r="A1340" s="695" t="str">
        <f t="shared" si="18"/>
        <v>333903039080000  Material e Peças P/Veiculo Placas IQV 8399</v>
      </c>
      <c r="B1340" s="628"/>
      <c r="C1340" s="631"/>
      <c r="D1340" s="632">
        <v>333903039080000</v>
      </c>
      <c r="E1340" s="696" t="s">
        <v>1136</v>
      </c>
      <c r="F1340" s="696">
        <v>8</v>
      </c>
      <c r="G1340" s="696" t="s">
        <v>5597</v>
      </c>
      <c r="I1340" s="696" t="s">
        <v>5600</v>
      </c>
      <c r="J1340" s="688"/>
      <c r="K1340" s="689"/>
    </row>
    <row r="1341" spans="1:11" s="691" customFormat="1" ht="20.100000000000001" customHeight="1" x14ac:dyDescent="0.2">
      <c r="A1341" s="695" t="str">
        <f t="shared" si="18"/>
        <v>333903039090000  Material e Peças P/Veiculo Placas IOB 6926</v>
      </c>
      <c r="B1341" s="628"/>
      <c r="C1341" s="631"/>
      <c r="D1341" s="632">
        <v>333903039090000</v>
      </c>
      <c r="E1341" s="696" t="s">
        <v>1135</v>
      </c>
      <c r="F1341" s="696">
        <v>8</v>
      </c>
      <c r="G1341" s="696" t="s">
        <v>5597</v>
      </c>
      <c r="I1341" s="696" t="s">
        <v>5600</v>
      </c>
      <c r="J1341" s="688"/>
      <c r="K1341" s="689"/>
    </row>
    <row r="1342" spans="1:11" s="691" customFormat="1" ht="20.100000000000001" customHeight="1" x14ac:dyDescent="0.2">
      <c r="A1342" s="695" t="str">
        <f t="shared" si="18"/>
        <v>333903039100000  Material e Peças P/Veiculo Placas IRY 2027</v>
      </c>
      <c r="B1342" s="628"/>
      <c r="C1342" s="631"/>
      <c r="D1342" s="632">
        <v>333903039100000</v>
      </c>
      <c r="E1342" s="696" t="s">
        <v>1033</v>
      </c>
      <c r="F1342" s="696">
        <v>8</v>
      </c>
      <c r="G1342" s="696" t="s">
        <v>5597</v>
      </c>
      <c r="I1342" s="696" t="s">
        <v>5600</v>
      </c>
      <c r="J1342" s="688"/>
      <c r="K1342" s="689"/>
    </row>
    <row r="1343" spans="1:11" s="691" customFormat="1" ht="20.100000000000001" customHeight="1" x14ac:dyDescent="0.2">
      <c r="A1343" s="695" t="str">
        <f t="shared" si="18"/>
        <v>333903039110000  Material e Peças P/Veiculo Placas IPN 4843</v>
      </c>
      <c r="B1343" s="628"/>
      <c r="C1343" s="631"/>
      <c r="D1343" s="632">
        <v>333903039110000</v>
      </c>
      <c r="E1343" s="696" t="s">
        <v>1176</v>
      </c>
      <c r="F1343" s="696">
        <v>8</v>
      </c>
      <c r="G1343" s="696" t="s">
        <v>5597</v>
      </c>
      <c r="I1343" s="696" t="s">
        <v>5600</v>
      </c>
      <c r="J1343" s="688"/>
      <c r="K1343" s="689"/>
    </row>
    <row r="1344" spans="1:11" s="691" customFormat="1" ht="20.100000000000001" customHeight="1" x14ac:dyDescent="0.2">
      <c r="A1344" s="695" t="str">
        <f t="shared" si="18"/>
        <v>333903039120000  Material e Peças P/Veiculo Placas IPP 9013</v>
      </c>
      <c r="B1344" s="628"/>
      <c r="C1344" s="631"/>
      <c r="D1344" s="632">
        <v>333903039120000</v>
      </c>
      <c r="E1344" s="696" t="s">
        <v>1175</v>
      </c>
      <c r="F1344" s="696">
        <v>8</v>
      </c>
      <c r="G1344" s="696" t="s">
        <v>5597</v>
      </c>
      <c r="I1344" s="696" t="s">
        <v>5600</v>
      </c>
      <c r="J1344" s="688"/>
      <c r="K1344" s="689"/>
    </row>
    <row r="1345" spans="1:11" s="691" customFormat="1" ht="20.100000000000001" customHeight="1" x14ac:dyDescent="0.2">
      <c r="A1345" s="695" t="str">
        <f t="shared" si="18"/>
        <v>333903039130000  Material e Peças P/Veiculo Placas IPP 9043</v>
      </c>
      <c r="B1345" s="628"/>
      <c r="C1345" s="631"/>
      <c r="D1345" s="632">
        <v>333903039130000</v>
      </c>
      <c r="E1345" s="696" t="s">
        <v>1174</v>
      </c>
      <c r="F1345" s="696">
        <v>8</v>
      </c>
      <c r="G1345" s="696" t="s">
        <v>5597</v>
      </c>
      <c r="I1345" s="696" t="s">
        <v>5600</v>
      </c>
      <c r="J1345" s="688"/>
      <c r="K1345" s="689"/>
    </row>
    <row r="1346" spans="1:11" s="691" customFormat="1" ht="20.100000000000001" customHeight="1" x14ac:dyDescent="0.2">
      <c r="A1346" s="695" t="str">
        <f t="shared" si="18"/>
        <v>333903039140000  Material e Peças P/Veiculo Placas IMN 0762</v>
      </c>
      <c r="B1346" s="628"/>
      <c r="C1346" s="631"/>
      <c r="D1346" s="632">
        <v>333903039140000</v>
      </c>
      <c r="E1346" s="696" t="s">
        <v>1188</v>
      </c>
      <c r="F1346" s="696">
        <v>8</v>
      </c>
      <c r="G1346" s="696" t="s">
        <v>5597</v>
      </c>
      <c r="I1346" s="696" t="s">
        <v>5600</v>
      </c>
      <c r="J1346" s="688"/>
      <c r="K1346" s="689"/>
    </row>
    <row r="1347" spans="1:11" s="691" customFormat="1" ht="20.100000000000001" customHeight="1" x14ac:dyDescent="0.2">
      <c r="A1347" s="695" t="str">
        <f t="shared" si="18"/>
        <v>333903039150000  Material e Peças P/Veiculo Placas IOD 6953</v>
      </c>
      <c r="B1347" s="628"/>
      <c r="C1347" s="631"/>
      <c r="D1347" s="632">
        <v>333903039150000</v>
      </c>
      <c r="E1347" s="696" t="s">
        <v>1242</v>
      </c>
      <c r="F1347" s="696">
        <v>8</v>
      </c>
      <c r="G1347" s="696" t="s">
        <v>5597</v>
      </c>
      <c r="I1347" s="696" t="s">
        <v>5600</v>
      </c>
      <c r="J1347" s="688"/>
      <c r="K1347" s="689"/>
    </row>
    <row r="1348" spans="1:11" s="691" customFormat="1" ht="20.100000000000001" customHeight="1" x14ac:dyDescent="0.2">
      <c r="A1348" s="695" t="str">
        <f t="shared" si="18"/>
        <v>333903039160000  Material e Peças P/Veiculo Placas IHL 6621</v>
      </c>
      <c r="B1348" s="628"/>
      <c r="C1348" s="631"/>
      <c r="D1348" s="632">
        <v>333903039160000</v>
      </c>
      <c r="E1348" s="696" t="s">
        <v>1219</v>
      </c>
      <c r="F1348" s="696">
        <v>8</v>
      </c>
      <c r="G1348" s="696" t="s">
        <v>5597</v>
      </c>
      <c r="I1348" s="696" t="s">
        <v>5600</v>
      </c>
      <c r="J1348" s="688"/>
      <c r="K1348" s="689"/>
    </row>
    <row r="1349" spans="1:11" s="691" customFormat="1" ht="20.100000000000001" customHeight="1" x14ac:dyDescent="0.2">
      <c r="A1349" s="695" t="str">
        <f t="shared" si="18"/>
        <v>333903039170000  Material e Peças P/Veiculo Placas IHL 6579</v>
      </c>
      <c r="B1349" s="628"/>
      <c r="C1349" s="631"/>
      <c r="D1349" s="632">
        <v>333903039170000</v>
      </c>
      <c r="E1349" s="696" t="s">
        <v>1218</v>
      </c>
      <c r="F1349" s="696">
        <v>8</v>
      </c>
      <c r="G1349" s="696" t="s">
        <v>5597</v>
      </c>
      <c r="I1349" s="696" t="s">
        <v>5600</v>
      </c>
      <c r="J1349" s="688"/>
      <c r="K1349" s="689"/>
    </row>
    <row r="1350" spans="1:11" s="691" customFormat="1" ht="20.100000000000001" customHeight="1" x14ac:dyDescent="0.2">
      <c r="A1350" s="695" t="str">
        <f t="shared" si="18"/>
        <v>333903039180000  Material e Peças P/Veiculo Placas INZ 9457</v>
      </c>
      <c r="B1350" s="628"/>
      <c r="C1350" s="631"/>
      <c r="D1350" s="632">
        <v>333903039180000</v>
      </c>
      <c r="E1350" s="696" t="s">
        <v>1241</v>
      </c>
      <c r="F1350" s="696">
        <v>8</v>
      </c>
      <c r="G1350" s="696" t="s">
        <v>5597</v>
      </c>
      <c r="I1350" s="696" t="s">
        <v>5600</v>
      </c>
      <c r="J1350" s="688"/>
      <c r="K1350" s="689"/>
    </row>
    <row r="1351" spans="1:11" s="691" customFormat="1" ht="20.100000000000001" customHeight="1" x14ac:dyDescent="0.2">
      <c r="A1351" s="695" t="str">
        <f t="shared" si="18"/>
        <v>333903039180100  Pecas Veiculo INZ 9457 - Aq. Imediata</v>
      </c>
      <c r="B1351" s="628"/>
      <c r="C1351" s="631"/>
      <c r="D1351" s="632">
        <v>333903039180100</v>
      </c>
      <c r="E1351" s="696" t="s">
        <v>5135</v>
      </c>
      <c r="F1351" s="696">
        <v>9</v>
      </c>
      <c r="G1351" s="696" t="s">
        <v>5597</v>
      </c>
      <c r="I1351" s="696" t="s">
        <v>5600</v>
      </c>
      <c r="J1351" s="688"/>
      <c r="K1351" s="689"/>
    </row>
    <row r="1352" spans="1:11" s="691" customFormat="1" ht="20.100000000000001" customHeight="1" x14ac:dyDescent="0.2">
      <c r="A1352" s="695" t="str">
        <f t="shared" si="18"/>
        <v>333903039180200  Pecas Veiculo INZ 9457 - Estoque</v>
      </c>
      <c r="B1352" s="628"/>
      <c r="C1352" s="631"/>
      <c r="D1352" s="632">
        <v>333903039180200</v>
      </c>
      <c r="E1352" s="696" t="s">
        <v>5136</v>
      </c>
      <c r="F1352" s="696">
        <v>9</v>
      </c>
      <c r="G1352" s="696" t="s">
        <v>5597</v>
      </c>
      <c r="I1352" s="696" t="s">
        <v>5600</v>
      </c>
      <c r="J1352" s="688"/>
      <c r="K1352" s="689"/>
    </row>
    <row r="1353" spans="1:11" s="691" customFormat="1" ht="20.100000000000001" customHeight="1" x14ac:dyDescent="0.2">
      <c r="A1353" s="695" t="str">
        <f t="shared" si="18"/>
        <v>333903039190000  Material e Peças P/Veiculo Placas IJY 2420</v>
      </c>
      <c r="B1353" s="628"/>
      <c r="C1353" s="631"/>
      <c r="D1353" s="632">
        <v>333903039190000</v>
      </c>
      <c r="E1353" s="696" t="s">
        <v>1093</v>
      </c>
      <c r="F1353" s="696">
        <v>8</v>
      </c>
      <c r="G1353" s="696" t="s">
        <v>5597</v>
      </c>
      <c r="I1353" s="696" t="s">
        <v>5600</v>
      </c>
      <c r="J1353" s="688"/>
      <c r="K1353" s="689"/>
    </row>
    <row r="1354" spans="1:11" s="691" customFormat="1" ht="20.100000000000001" customHeight="1" x14ac:dyDescent="0.2">
      <c r="A1354" s="695" t="str">
        <f t="shared" si="18"/>
        <v>333903039200000  Material e Peças P/Retroescavadeira Case 580 4X4</v>
      </c>
      <c r="B1354" s="628"/>
      <c r="C1354" s="631"/>
      <c r="D1354" s="632">
        <v>333903039200000</v>
      </c>
      <c r="E1354" s="696" t="s">
        <v>1217</v>
      </c>
      <c r="F1354" s="696">
        <v>8</v>
      </c>
      <c r="G1354" s="696" t="s">
        <v>5597</v>
      </c>
      <c r="I1354" s="696" t="s">
        <v>5600</v>
      </c>
      <c r="J1354" s="688"/>
      <c r="K1354" s="689"/>
    </row>
    <row r="1355" spans="1:11" s="691" customFormat="1" ht="20.100000000000001" customHeight="1" x14ac:dyDescent="0.2">
      <c r="A1355" s="695" t="str">
        <f t="shared" si="18"/>
        <v>333903039210000  Material e Peças P/Retroescavadeira Case 580 4X2</v>
      </c>
      <c r="B1355" s="628"/>
      <c r="C1355" s="631"/>
      <c r="D1355" s="632">
        <v>333903039210000</v>
      </c>
      <c r="E1355" s="696" t="s">
        <v>1216</v>
      </c>
      <c r="F1355" s="696">
        <v>8</v>
      </c>
      <c r="G1355" s="696" t="s">
        <v>5597</v>
      </c>
      <c r="I1355" s="696" t="s">
        <v>5600</v>
      </c>
      <c r="J1355" s="688"/>
      <c r="K1355" s="689"/>
    </row>
    <row r="1356" spans="1:11" s="691" customFormat="1" ht="20.100000000000001" customHeight="1" x14ac:dyDescent="0.2">
      <c r="A1356" s="695" t="str">
        <f t="shared" si="18"/>
        <v>333903039220000  Material e Peças P/Retroescavadeira JCB 4X4 SMO</v>
      </c>
      <c r="B1356" s="628"/>
      <c r="C1356" s="631"/>
      <c r="D1356" s="632">
        <v>333903039220000</v>
      </c>
      <c r="E1356" s="696" t="s">
        <v>1215</v>
      </c>
      <c r="F1356" s="696">
        <v>8</v>
      </c>
      <c r="G1356" s="696" t="s">
        <v>5597</v>
      </c>
      <c r="I1356" s="696" t="s">
        <v>5600</v>
      </c>
      <c r="J1356" s="688"/>
      <c r="K1356" s="689"/>
    </row>
    <row r="1357" spans="1:11" s="691" customFormat="1" ht="20.100000000000001" customHeight="1" x14ac:dyDescent="0.2">
      <c r="A1357" s="695" t="str">
        <f t="shared" si="18"/>
        <v>333903039230000  Material e Peças P/Motoniveladora 120H</v>
      </c>
      <c r="B1357" s="628"/>
      <c r="C1357" s="631"/>
      <c r="D1357" s="632">
        <v>333903039230000</v>
      </c>
      <c r="E1357" s="696" t="s">
        <v>1214</v>
      </c>
      <c r="F1357" s="696">
        <v>8</v>
      </c>
      <c r="G1357" s="696" t="s">
        <v>5597</v>
      </c>
      <c r="I1357" s="696" t="s">
        <v>5600</v>
      </c>
      <c r="J1357" s="688"/>
      <c r="K1357" s="689"/>
    </row>
    <row r="1358" spans="1:11" s="691" customFormat="1" ht="20.100000000000001" customHeight="1" x14ac:dyDescent="0.2">
      <c r="A1358" s="695" t="str">
        <f t="shared" si="18"/>
        <v>333903039240000  Material e Peças P/Motoniveladora 135h</v>
      </c>
      <c r="B1358" s="628"/>
      <c r="C1358" s="631"/>
      <c r="D1358" s="632">
        <v>333903039240000</v>
      </c>
      <c r="E1358" s="696" t="s">
        <v>1213</v>
      </c>
      <c r="F1358" s="696">
        <v>8</v>
      </c>
      <c r="G1358" s="696" t="s">
        <v>5597</v>
      </c>
      <c r="I1358" s="696" t="s">
        <v>5600</v>
      </c>
      <c r="J1358" s="688"/>
      <c r="K1358" s="689"/>
    </row>
    <row r="1359" spans="1:11" s="691" customFormat="1" ht="20.100000000000001" customHeight="1" x14ac:dyDescent="0.2">
      <c r="A1359" s="695" t="str">
        <f t="shared" si="18"/>
        <v>333903039250000  Material e Peças P/Trator Esteira D5E</v>
      </c>
      <c r="B1359" s="628"/>
      <c r="C1359" s="631"/>
      <c r="D1359" s="632">
        <v>333903039250000</v>
      </c>
      <c r="E1359" s="696" t="s">
        <v>1212</v>
      </c>
      <c r="F1359" s="696">
        <v>8</v>
      </c>
      <c r="G1359" s="696" t="s">
        <v>5597</v>
      </c>
      <c r="I1359" s="696" t="s">
        <v>5600</v>
      </c>
      <c r="J1359" s="688"/>
      <c r="K1359" s="689"/>
    </row>
    <row r="1360" spans="1:11" s="691" customFormat="1" ht="20.100000000000001" customHeight="1" x14ac:dyDescent="0.2">
      <c r="A1360" s="695" t="str">
        <f t="shared" si="18"/>
        <v>333903039260000  Material e Peças P/Trator New Holand TL 85E</v>
      </c>
      <c r="B1360" s="628"/>
      <c r="C1360" s="631"/>
      <c r="D1360" s="632">
        <v>333903039260000</v>
      </c>
      <c r="E1360" s="696" t="s">
        <v>1072</v>
      </c>
      <c r="F1360" s="696">
        <v>8</v>
      </c>
      <c r="G1360" s="696" t="s">
        <v>5597</v>
      </c>
      <c r="I1360" s="696" t="s">
        <v>5600</v>
      </c>
      <c r="J1360" s="688"/>
      <c r="K1360" s="689"/>
    </row>
    <row r="1361" spans="1:11" s="691" customFormat="1" ht="20.100000000000001" customHeight="1" x14ac:dyDescent="0.2">
      <c r="A1361" s="695" t="str">
        <f t="shared" si="18"/>
        <v>333903039270000  Material e Peças P/Trator Ford 8030</v>
      </c>
      <c r="B1361" s="628"/>
      <c r="C1361" s="631"/>
      <c r="D1361" s="632">
        <v>333903039270000</v>
      </c>
      <c r="E1361" s="696" t="s">
        <v>1071</v>
      </c>
      <c r="F1361" s="696">
        <v>8</v>
      </c>
      <c r="G1361" s="696" t="s">
        <v>5597</v>
      </c>
      <c r="I1361" s="696" t="s">
        <v>5600</v>
      </c>
      <c r="J1361" s="688"/>
      <c r="K1361" s="689"/>
    </row>
    <row r="1362" spans="1:11" s="691" customFormat="1" ht="20.100000000000001" customHeight="1" x14ac:dyDescent="0.2">
      <c r="A1362" s="695" t="str">
        <f t="shared" si="18"/>
        <v>333903039280000  Material e Peças P/Trator New Holand 7630</v>
      </c>
      <c r="B1362" s="628"/>
      <c r="C1362" s="631"/>
      <c r="D1362" s="632">
        <v>333903039280000</v>
      </c>
      <c r="E1362" s="696" t="s">
        <v>1088</v>
      </c>
      <c r="F1362" s="696">
        <v>8</v>
      </c>
      <c r="G1362" s="696" t="s">
        <v>5597</v>
      </c>
      <c r="I1362" s="696" t="s">
        <v>5600</v>
      </c>
      <c r="J1362" s="688"/>
      <c r="K1362" s="689"/>
    </row>
    <row r="1363" spans="1:11" s="691" customFormat="1" ht="20.100000000000001" customHeight="1" x14ac:dyDescent="0.2">
      <c r="A1363" s="695" t="str">
        <f t="shared" si="18"/>
        <v>333903039290000  Material e Peças P/Trator Valtra BM 110</v>
      </c>
      <c r="B1363" s="628"/>
      <c r="C1363" s="631"/>
      <c r="D1363" s="632">
        <v>333903039290000</v>
      </c>
      <c r="E1363" s="696" t="s">
        <v>1070</v>
      </c>
      <c r="F1363" s="696">
        <v>8</v>
      </c>
      <c r="G1363" s="696" t="s">
        <v>5597</v>
      </c>
      <c r="I1363" s="696" t="s">
        <v>5600</v>
      </c>
      <c r="J1363" s="688"/>
      <c r="K1363" s="689"/>
    </row>
    <row r="1364" spans="1:11" s="691" customFormat="1" ht="20.100000000000001" customHeight="1" x14ac:dyDescent="0.2">
      <c r="A1364" s="695" t="str">
        <f t="shared" si="18"/>
        <v>333903039300000  Material e Peças P/Trator J.D. Fruticultura</v>
      </c>
      <c r="B1364" s="628"/>
      <c r="C1364" s="631"/>
      <c r="D1364" s="632">
        <v>333903039300000</v>
      </c>
      <c r="E1364" s="696" t="s">
        <v>1069</v>
      </c>
      <c r="F1364" s="696">
        <v>8</v>
      </c>
      <c r="G1364" s="696" t="s">
        <v>5597</v>
      </c>
      <c r="I1364" s="696" t="s">
        <v>5600</v>
      </c>
      <c r="J1364" s="688"/>
      <c r="K1364" s="689"/>
    </row>
    <row r="1365" spans="1:11" s="691" customFormat="1" ht="20.100000000000001" customHeight="1" x14ac:dyDescent="0.2">
      <c r="A1365" s="695" t="str">
        <f t="shared" si="18"/>
        <v>333903039310000  Material e Peças P/Trator Esteira D30E</v>
      </c>
      <c r="B1365" s="628"/>
      <c r="C1365" s="631"/>
      <c r="D1365" s="632">
        <v>333903039310000</v>
      </c>
      <c r="E1365" s="696" t="s">
        <v>1068</v>
      </c>
      <c r="F1365" s="696">
        <v>8</v>
      </c>
      <c r="G1365" s="696" t="s">
        <v>5597</v>
      </c>
      <c r="I1365" s="696" t="s">
        <v>5600</v>
      </c>
      <c r="J1365" s="688"/>
      <c r="K1365" s="689"/>
    </row>
    <row r="1366" spans="1:11" s="691" customFormat="1" ht="20.100000000000001" customHeight="1" x14ac:dyDescent="0.2">
      <c r="A1366" s="695" t="str">
        <f t="shared" si="18"/>
        <v>333903039320000  Material e Peças P/Retroescavadeira JCB 4x4 SMAG</v>
      </c>
      <c r="B1366" s="628"/>
      <c r="C1366" s="631"/>
      <c r="D1366" s="632">
        <v>333903039320000</v>
      </c>
      <c r="E1366" s="696" t="s">
        <v>1067</v>
      </c>
      <c r="F1366" s="696">
        <v>8</v>
      </c>
      <c r="G1366" s="696" t="s">
        <v>5597</v>
      </c>
      <c r="I1366" s="696" t="s">
        <v>5600</v>
      </c>
      <c r="J1366" s="688"/>
      <c r="K1366" s="689"/>
    </row>
    <row r="1367" spans="1:11" s="691" customFormat="1" ht="20.100000000000001" customHeight="1" x14ac:dyDescent="0.2">
      <c r="A1367" s="695" t="str">
        <f t="shared" si="18"/>
        <v>333903039330000  Material e Peças P/Veiculo Brigada Militar</v>
      </c>
      <c r="B1367" s="628"/>
      <c r="C1367" s="631"/>
      <c r="D1367" s="632">
        <v>333903039330000</v>
      </c>
      <c r="E1367" s="696" t="s">
        <v>1269</v>
      </c>
      <c r="F1367" s="696">
        <v>8</v>
      </c>
      <c r="G1367" s="696" t="s">
        <v>5597</v>
      </c>
      <c r="I1367" s="696" t="s">
        <v>5600</v>
      </c>
      <c r="J1367" s="688"/>
      <c r="K1367" s="689"/>
    </row>
    <row r="1368" spans="1:11" s="691" customFormat="1" ht="20.100000000000001" customHeight="1" x14ac:dyDescent="0.2">
      <c r="A1368" s="695" t="str">
        <f t="shared" si="18"/>
        <v>333903039340000  Material e Pecas P/Motoniveladora 845 B PAC 2</v>
      </c>
      <c r="B1368" s="628"/>
      <c r="C1368" s="631"/>
      <c r="D1368" s="632">
        <v>333903039340000</v>
      </c>
      <c r="E1368" s="696" t="s">
        <v>5137</v>
      </c>
      <c r="F1368" s="696">
        <v>8</v>
      </c>
      <c r="G1368" s="696" t="s">
        <v>5597</v>
      </c>
      <c r="I1368" s="696" t="s">
        <v>5600</v>
      </c>
      <c r="J1368" s="688"/>
      <c r="K1368" s="689"/>
    </row>
    <row r="1369" spans="1:11" s="691" customFormat="1" ht="20.100000000000001" customHeight="1" x14ac:dyDescent="0.2">
      <c r="A1369" s="695" t="str">
        <f t="shared" si="18"/>
        <v>333903039350000  Material e Peças P/Veiculo PLACAS IVR 0147</v>
      </c>
      <c r="B1369" s="628"/>
      <c r="C1369" s="631"/>
      <c r="D1369" s="632">
        <v>333903039350000</v>
      </c>
      <c r="E1369" s="696" t="s">
        <v>5138</v>
      </c>
      <c r="F1369" s="696">
        <v>8</v>
      </c>
      <c r="G1369" s="696" t="s">
        <v>5597</v>
      </c>
      <c r="I1369" s="696" t="s">
        <v>5600</v>
      </c>
      <c r="J1369" s="688"/>
      <c r="K1369" s="689"/>
    </row>
    <row r="1370" spans="1:11" s="691" customFormat="1" ht="20.100000000000001" customHeight="1" x14ac:dyDescent="0.2">
      <c r="A1370" s="695" t="str">
        <f t="shared" si="18"/>
        <v>333903039360000  Material e Peças P/Veiculo IVP 4366</v>
      </c>
      <c r="B1370" s="628"/>
      <c r="C1370" s="631"/>
      <c r="D1370" s="632">
        <v>333903039360000</v>
      </c>
      <c r="E1370" s="696" t="s">
        <v>5139</v>
      </c>
      <c r="F1370" s="696">
        <v>8</v>
      </c>
      <c r="G1370" s="696" t="s">
        <v>5597</v>
      </c>
      <c r="I1370" s="696" t="s">
        <v>5627</v>
      </c>
      <c r="J1370" s="688"/>
      <c r="K1370" s="689"/>
    </row>
    <row r="1371" spans="1:11" s="691" customFormat="1" ht="20.100000000000001" customHeight="1" x14ac:dyDescent="0.2">
      <c r="A1371" s="695" t="str">
        <f t="shared" si="18"/>
        <v>333903039370000  Material e Pecas Veiculo Educação</v>
      </c>
      <c r="B1371" s="628"/>
      <c r="C1371" s="631"/>
      <c r="D1371" s="632">
        <v>333903039370000</v>
      </c>
      <c r="E1371" s="696" t="s">
        <v>5140</v>
      </c>
      <c r="F1371" s="696">
        <v>8</v>
      </c>
      <c r="G1371" s="696" t="s">
        <v>5597</v>
      </c>
      <c r="I1371" s="696" t="s">
        <v>5600</v>
      </c>
      <c r="J1371" s="688"/>
      <c r="K1371" s="689"/>
    </row>
    <row r="1372" spans="1:11" s="691" customFormat="1" ht="20.100000000000001" customHeight="1" x14ac:dyDescent="0.2">
      <c r="A1372" s="695" t="str">
        <f t="shared" si="18"/>
        <v>333903039380000  Material e Peças Veiculo Placas IWC 5251</v>
      </c>
      <c r="B1372" s="628"/>
      <c r="C1372" s="631"/>
      <c r="D1372" s="632">
        <v>333903039380000</v>
      </c>
      <c r="E1372" s="696" t="s">
        <v>5141</v>
      </c>
      <c r="F1372" s="696">
        <v>8</v>
      </c>
      <c r="G1372" s="696" t="s">
        <v>5597</v>
      </c>
      <c r="I1372" s="696" t="s">
        <v>5627</v>
      </c>
      <c r="J1372" s="688"/>
      <c r="K1372" s="689"/>
    </row>
    <row r="1373" spans="1:11" s="691" customFormat="1" ht="20.100000000000001" customHeight="1" x14ac:dyDescent="0.2">
      <c r="A1373" s="695" t="str">
        <f t="shared" si="18"/>
        <v>333903039390000  Material e Peças Veiculo Placas IVY 8354</v>
      </c>
      <c r="B1373" s="628"/>
      <c r="C1373" s="631"/>
      <c r="D1373" s="632">
        <v>333903039390000</v>
      </c>
      <c r="E1373" s="696" t="s">
        <v>5142</v>
      </c>
      <c r="F1373" s="696">
        <v>8</v>
      </c>
      <c r="G1373" s="696" t="s">
        <v>5597</v>
      </c>
      <c r="I1373" s="696" t="s">
        <v>5627</v>
      </c>
      <c r="J1373" s="688"/>
      <c r="K1373" s="689"/>
    </row>
    <row r="1374" spans="1:11" s="691" customFormat="1" ht="20.100000000000001" customHeight="1" x14ac:dyDescent="0.2">
      <c r="A1374" s="695" t="str">
        <f t="shared" si="18"/>
        <v>333903039400000  Material e Peças Veiculo Placas IWL 3346</v>
      </c>
      <c r="B1374" s="628"/>
      <c r="C1374" s="631"/>
      <c r="D1374" s="632">
        <v>333903039400000</v>
      </c>
      <c r="E1374" s="696" t="s">
        <v>5143</v>
      </c>
      <c r="F1374" s="696">
        <v>8</v>
      </c>
      <c r="G1374" s="696" t="s">
        <v>5597</v>
      </c>
      <c r="I1374" s="696" t="s">
        <v>5600</v>
      </c>
      <c r="J1374" s="688"/>
      <c r="K1374" s="689"/>
    </row>
    <row r="1375" spans="1:11" s="691" customFormat="1" ht="20.100000000000001" customHeight="1" x14ac:dyDescent="0.2">
      <c r="A1375" s="695" t="str">
        <f t="shared" si="18"/>
        <v>333903039410000  Material e Peças P/Veiculo IWE 4544</v>
      </c>
      <c r="B1375" s="628"/>
      <c r="C1375" s="631"/>
      <c r="D1375" s="632">
        <v>333903039410000</v>
      </c>
      <c r="E1375" s="696" t="s">
        <v>5144</v>
      </c>
      <c r="F1375" s="696">
        <v>8</v>
      </c>
      <c r="G1375" s="696" t="s">
        <v>5597</v>
      </c>
      <c r="I1375" s="696" t="s">
        <v>5627</v>
      </c>
      <c r="J1375" s="688"/>
      <c r="K1375" s="689"/>
    </row>
    <row r="1376" spans="1:11" s="691" customFormat="1" ht="20.100000000000001" customHeight="1" x14ac:dyDescent="0.2">
      <c r="A1376" s="695" t="str">
        <f t="shared" si="18"/>
        <v>333903039420000  Material e Peças Veiculo Placas ABK 7176</v>
      </c>
      <c r="B1376" s="628"/>
      <c r="C1376" s="631"/>
      <c r="D1376" s="632">
        <v>333903039420000</v>
      </c>
      <c r="E1376" s="696" t="s">
        <v>6211</v>
      </c>
      <c r="F1376" s="696">
        <v>8</v>
      </c>
      <c r="G1376" s="696" t="s">
        <v>5597</v>
      </c>
      <c r="I1376" s="696" t="s">
        <v>5600</v>
      </c>
      <c r="J1376" s="688"/>
      <c r="K1376" s="689"/>
    </row>
    <row r="1377" spans="1:11" s="691" customFormat="1" ht="20.100000000000001" customHeight="1" x14ac:dyDescent="0.2">
      <c r="A1377" s="695" t="str">
        <f t="shared" si="18"/>
        <v>333903040000000  Material Biologico</v>
      </c>
      <c r="B1377" s="628"/>
      <c r="C1377" s="631"/>
      <c r="D1377" s="632">
        <v>333903040000000</v>
      </c>
      <c r="E1377" s="696" t="s">
        <v>1089</v>
      </c>
      <c r="F1377" s="696">
        <v>7</v>
      </c>
      <c r="G1377" s="696" t="s">
        <v>5597</v>
      </c>
      <c r="I1377" s="696"/>
      <c r="J1377" s="688"/>
      <c r="K1377" s="689"/>
    </row>
    <row r="1378" spans="1:11" s="691" customFormat="1" ht="20.100000000000001" customHeight="1" x14ac:dyDescent="0.2">
      <c r="A1378" s="695" t="str">
        <f t="shared" si="18"/>
        <v>333903041000000  Material P/  Utilizacao Em Grafica</v>
      </c>
      <c r="B1378" s="628"/>
      <c r="C1378" s="631"/>
      <c r="D1378" s="632">
        <v>333903041000000</v>
      </c>
      <c r="E1378" s="696" t="s">
        <v>5642</v>
      </c>
      <c r="F1378" s="696">
        <v>7</v>
      </c>
      <c r="G1378" s="696" t="s">
        <v>5597</v>
      </c>
      <c r="I1378" s="696"/>
      <c r="J1378" s="688"/>
      <c r="K1378" s="689"/>
    </row>
    <row r="1379" spans="1:11" s="691" customFormat="1" ht="20.100000000000001" customHeight="1" x14ac:dyDescent="0.2">
      <c r="A1379" s="695" t="str">
        <f t="shared" si="18"/>
        <v>333903042000000  Ferramentas</v>
      </c>
      <c r="B1379" s="628"/>
      <c r="C1379" s="631"/>
      <c r="D1379" s="632">
        <v>333903042000000</v>
      </c>
      <c r="E1379" s="696" t="s">
        <v>5145</v>
      </c>
      <c r="F1379" s="696">
        <v>7</v>
      </c>
      <c r="G1379" s="696" t="s">
        <v>5597</v>
      </c>
      <c r="I1379" s="696"/>
      <c r="J1379" s="688"/>
      <c r="K1379" s="689"/>
    </row>
    <row r="1380" spans="1:11" s="691" customFormat="1" ht="20.100000000000001" customHeight="1" x14ac:dyDescent="0.2">
      <c r="A1380" s="695" t="str">
        <f t="shared" si="18"/>
        <v>333903043000000  Material P/  Reabilitacao Profissional</v>
      </c>
      <c r="B1380" s="628"/>
      <c r="C1380" s="631"/>
      <c r="D1380" s="632">
        <v>333903043000000</v>
      </c>
      <c r="E1380" s="696" t="s">
        <v>5643</v>
      </c>
      <c r="F1380" s="696">
        <v>7</v>
      </c>
      <c r="G1380" s="696" t="s">
        <v>5597</v>
      </c>
      <c r="I1380" s="696"/>
      <c r="J1380" s="688"/>
      <c r="K1380" s="689"/>
    </row>
    <row r="1381" spans="1:11" s="691" customFormat="1" ht="20.100000000000001" customHeight="1" x14ac:dyDescent="0.2">
      <c r="A1381" s="695" t="str">
        <f t="shared" si="18"/>
        <v>333903044000000  Material De Sinalizacao Visual E Outros</v>
      </c>
      <c r="B1381" s="628"/>
      <c r="C1381" s="631"/>
      <c r="D1381" s="632">
        <v>333903044000000</v>
      </c>
      <c r="E1381" s="696" t="s">
        <v>1201</v>
      </c>
      <c r="F1381" s="696">
        <v>7</v>
      </c>
      <c r="G1381" s="696" t="s">
        <v>5597</v>
      </c>
      <c r="I1381" s="696"/>
      <c r="J1381" s="688"/>
      <c r="K1381" s="689"/>
    </row>
    <row r="1382" spans="1:11" s="691" customFormat="1" ht="20.100000000000001" customHeight="1" x14ac:dyDescent="0.2">
      <c r="A1382" s="695" t="str">
        <f t="shared" si="18"/>
        <v>333903045000000  Material Tecnico P/  Selecao E Treinamento</v>
      </c>
      <c r="B1382" s="628"/>
      <c r="C1382" s="631"/>
      <c r="D1382" s="632">
        <v>333903045000000</v>
      </c>
      <c r="E1382" s="696" t="s">
        <v>5644</v>
      </c>
      <c r="F1382" s="696">
        <v>7</v>
      </c>
      <c r="G1382" s="696" t="s">
        <v>5597</v>
      </c>
      <c r="I1382" s="696"/>
      <c r="J1382" s="688"/>
      <c r="K1382" s="689"/>
    </row>
    <row r="1383" spans="1:11" s="691" customFormat="1" ht="20.100000000000001" customHeight="1" x14ac:dyDescent="0.2">
      <c r="A1383" s="695" t="str">
        <f t="shared" si="18"/>
        <v>333903046000000  Material Bibliografico</v>
      </c>
      <c r="B1383" s="628"/>
      <c r="C1383" s="631"/>
      <c r="D1383" s="632">
        <v>333903046000000</v>
      </c>
      <c r="E1383" s="696" t="s">
        <v>5146</v>
      </c>
      <c r="F1383" s="696">
        <v>7</v>
      </c>
      <c r="G1383" s="696" t="s">
        <v>5597</v>
      </c>
      <c r="I1383" s="696"/>
      <c r="J1383" s="688"/>
      <c r="K1383" s="689"/>
    </row>
    <row r="1384" spans="1:11" s="691" customFormat="1" ht="20.100000000000001" customHeight="1" x14ac:dyDescent="0.2">
      <c r="A1384" s="695" t="str">
        <f t="shared" si="18"/>
        <v>333903047000000  Aquisicao De Softwares De Base</v>
      </c>
      <c r="B1384" s="628"/>
      <c r="C1384" s="631"/>
      <c r="D1384" s="632">
        <v>333903047000000</v>
      </c>
      <c r="E1384" s="696" t="s">
        <v>5147</v>
      </c>
      <c r="F1384" s="696">
        <v>7</v>
      </c>
      <c r="G1384" s="696" t="s">
        <v>5597</v>
      </c>
      <c r="I1384" s="696"/>
      <c r="J1384" s="688"/>
      <c r="K1384" s="689"/>
    </row>
    <row r="1385" spans="1:11" s="691" customFormat="1" ht="20.100000000000001" customHeight="1" x14ac:dyDescent="0.2">
      <c r="A1385" s="695" t="str">
        <f t="shared" si="18"/>
        <v>333903049000000  Bilhetes De Passagem</v>
      </c>
      <c r="B1385" s="628"/>
      <c r="C1385" s="631"/>
      <c r="D1385" s="632">
        <v>333903049000000</v>
      </c>
      <c r="E1385" s="696" t="s">
        <v>5148</v>
      </c>
      <c r="F1385" s="696">
        <v>7</v>
      </c>
      <c r="G1385" s="696" t="s">
        <v>5597</v>
      </c>
      <c r="I1385" s="696"/>
      <c r="J1385" s="688"/>
      <c r="K1385" s="689"/>
    </row>
    <row r="1386" spans="1:11" s="691" customFormat="1" ht="20.100000000000001" customHeight="1" x14ac:dyDescent="0.2">
      <c r="A1386" s="695" t="str">
        <f t="shared" si="18"/>
        <v>333903050000000  Bandeiras, Flamulas E Insignias</v>
      </c>
      <c r="B1386" s="628"/>
      <c r="C1386" s="631"/>
      <c r="D1386" s="632">
        <v>333903050000000</v>
      </c>
      <c r="E1386" s="696" t="s">
        <v>5149</v>
      </c>
      <c r="F1386" s="696">
        <v>7</v>
      </c>
      <c r="G1386" s="696" t="s">
        <v>5597</v>
      </c>
      <c r="I1386" s="696"/>
      <c r="J1386" s="688"/>
      <c r="K1386" s="689"/>
    </row>
    <row r="1387" spans="1:11" s="691" customFormat="1" ht="20.100000000000001" customHeight="1" x14ac:dyDescent="0.2">
      <c r="A1387" s="695" t="str">
        <f t="shared" si="18"/>
        <v>333903051000000  Discotecas E Filmotecas Nao Imobilizavel</v>
      </c>
      <c r="B1387" s="628"/>
      <c r="C1387" s="631"/>
      <c r="D1387" s="632">
        <v>333903051000000</v>
      </c>
      <c r="E1387" s="696" t="s">
        <v>5150</v>
      </c>
      <c r="F1387" s="696">
        <v>7</v>
      </c>
      <c r="G1387" s="696" t="s">
        <v>5597</v>
      </c>
      <c r="I1387" s="696"/>
      <c r="J1387" s="688"/>
      <c r="K1387" s="689"/>
    </row>
    <row r="1388" spans="1:11" s="691" customFormat="1" ht="20.100000000000001" customHeight="1" x14ac:dyDescent="0.2">
      <c r="A1388" s="695" t="str">
        <f t="shared" si="18"/>
        <v>333903054000000  Material Para Manutençao E Conservação De Estradas E Vias</v>
      </c>
      <c r="B1388" s="628"/>
      <c r="C1388" s="631"/>
      <c r="D1388" s="632">
        <v>333903054000000</v>
      </c>
      <c r="E1388" s="696" t="s">
        <v>1195</v>
      </c>
      <c r="F1388" s="696">
        <v>7</v>
      </c>
      <c r="G1388" s="696" t="s">
        <v>5597</v>
      </c>
      <c r="I1388" s="696"/>
      <c r="J1388" s="688"/>
      <c r="K1388" s="689"/>
    </row>
    <row r="1389" spans="1:11" s="691" customFormat="1" ht="20.100000000000001" customHeight="1" x14ac:dyDescent="0.2">
      <c r="A1389" s="695" t="str">
        <f t="shared" si="18"/>
        <v>333903096000000  Material De Consumo - Pagamento  Antecipado</v>
      </c>
      <c r="B1389" s="628"/>
      <c r="C1389" s="631"/>
      <c r="D1389" s="632">
        <v>333903096000000</v>
      </c>
      <c r="E1389" s="696" t="s">
        <v>5645</v>
      </c>
      <c r="F1389" s="696">
        <v>7</v>
      </c>
      <c r="G1389" s="696" t="s">
        <v>5597</v>
      </c>
      <c r="I1389" s="696"/>
      <c r="J1389" s="688"/>
      <c r="K1389" s="689"/>
    </row>
    <row r="1390" spans="1:11" s="691" customFormat="1" ht="20.100000000000001" customHeight="1" x14ac:dyDescent="0.2">
      <c r="A1390" s="695" t="str">
        <f t="shared" si="18"/>
        <v>333903099000000  Outros Materiais De Consumo</v>
      </c>
      <c r="B1390" s="628"/>
      <c r="C1390" s="631"/>
      <c r="D1390" s="632">
        <v>333903099000000</v>
      </c>
      <c r="E1390" s="696" t="s">
        <v>995</v>
      </c>
      <c r="F1390" s="696">
        <v>7</v>
      </c>
      <c r="G1390" s="696" t="s">
        <v>5597</v>
      </c>
      <c r="I1390" s="696" t="s">
        <v>5600</v>
      </c>
      <c r="J1390" s="688"/>
      <c r="K1390" s="689"/>
    </row>
    <row r="1391" spans="1:11" s="691" customFormat="1" ht="20.100000000000001" customHeight="1" x14ac:dyDescent="0.2">
      <c r="A1391" s="695" t="str">
        <f t="shared" si="18"/>
        <v>333903099010000  Outros Materiais de Consumo - Legislativo</v>
      </c>
      <c r="B1391" s="628"/>
      <c r="C1391" s="631"/>
      <c r="D1391" s="632">
        <v>333903099010000</v>
      </c>
      <c r="E1391" s="696" t="s">
        <v>5151</v>
      </c>
      <c r="F1391" s="696">
        <v>8</v>
      </c>
      <c r="G1391" s="696" t="s">
        <v>5597</v>
      </c>
      <c r="I1391" s="696" t="s">
        <v>5600</v>
      </c>
      <c r="J1391" s="688"/>
      <c r="K1391" s="689"/>
    </row>
    <row r="1392" spans="1:11" s="691" customFormat="1" ht="20.100000000000001" customHeight="1" x14ac:dyDescent="0.2">
      <c r="A1392" s="695" t="str">
        <f t="shared" si="18"/>
        <v>333903099010100  Outros Materiais - Aq. Imediata</v>
      </c>
      <c r="B1392" s="628"/>
      <c r="C1392" s="631"/>
      <c r="D1392" s="632">
        <v>333903099010100</v>
      </c>
      <c r="E1392" s="696" t="s">
        <v>5152</v>
      </c>
      <c r="F1392" s="696">
        <v>9</v>
      </c>
      <c r="G1392" s="696" t="s">
        <v>5597</v>
      </c>
      <c r="I1392" s="696" t="s">
        <v>5600</v>
      </c>
      <c r="J1392" s="688"/>
      <c r="K1392" s="689"/>
    </row>
    <row r="1393" spans="1:11" s="691" customFormat="1" ht="20.100000000000001" customHeight="1" x14ac:dyDescent="0.2">
      <c r="A1393" s="695" t="str">
        <f t="shared" ref="A1393:A1456" si="19">CONCATENATE(D1393,"  ",E1393,)</f>
        <v>333903099010200  Outros Materiais - Estoque</v>
      </c>
      <c r="B1393" s="628"/>
      <c r="C1393" s="631"/>
      <c r="D1393" s="632">
        <v>333903099010200</v>
      </c>
      <c r="E1393" s="696" t="s">
        <v>5153</v>
      </c>
      <c r="F1393" s="696">
        <v>9</v>
      </c>
      <c r="G1393" s="696" t="s">
        <v>5597</v>
      </c>
      <c r="I1393" s="696" t="s">
        <v>5600</v>
      </c>
      <c r="J1393" s="688"/>
      <c r="K1393" s="689"/>
    </row>
    <row r="1394" spans="1:11" s="691" customFormat="1" ht="20.100000000000001" customHeight="1" x14ac:dyDescent="0.2">
      <c r="A1394" s="695" t="str">
        <f t="shared" si="19"/>
        <v>333903099020000  Outros Materiais de Consumo - Estoque</v>
      </c>
      <c r="B1394" s="628"/>
      <c r="C1394" s="631"/>
      <c r="D1394" s="632">
        <v>333903099020000</v>
      </c>
      <c r="E1394" s="696" t="s">
        <v>5154</v>
      </c>
      <c r="F1394" s="696">
        <v>8</v>
      </c>
      <c r="G1394" s="696" t="s">
        <v>5597</v>
      </c>
      <c r="I1394" s="696" t="s">
        <v>5600</v>
      </c>
      <c r="J1394" s="688"/>
      <c r="K1394" s="689"/>
    </row>
    <row r="1395" spans="1:11" s="691" customFormat="1" ht="20.100000000000001" customHeight="1" x14ac:dyDescent="0.2">
      <c r="A1395" s="695" t="str">
        <f t="shared" si="19"/>
        <v>333903100000000  Premiacoes Culturais,  Artisticas,  Cientificas,  Desportivas  E Outra</v>
      </c>
      <c r="B1395" s="628"/>
      <c r="C1395" s="631"/>
      <c r="D1395" s="632">
        <v>333903100000000</v>
      </c>
      <c r="E1395" s="696" t="s">
        <v>5646</v>
      </c>
      <c r="F1395" s="696">
        <v>6</v>
      </c>
      <c r="G1395" s="696" t="s">
        <v>5596</v>
      </c>
      <c r="I1395" s="696"/>
      <c r="J1395" s="688"/>
      <c r="K1395" s="689"/>
    </row>
    <row r="1396" spans="1:11" s="691" customFormat="1" ht="20.100000000000001" customHeight="1" x14ac:dyDescent="0.2">
      <c r="A1396" s="695" t="str">
        <f t="shared" si="19"/>
        <v>333903101000000  Premiacoes Culturais</v>
      </c>
      <c r="B1396" s="628"/>
      <c r="C1396" s="631"/>
      <c r="D1396" s="632">
        <v>333903101000000</v>
      </c>
      <c r="E1396" s="696" t="s">
        <v>5155</v>
      </c>
      <c r="F1396" s="696">
        <v>7</v>
      </c>
      <c r="G1396" s="696" t="s">
        <v>5597</v>
      </c>
      <c r="I1396" s="696"/>
      <c r="J1396" s="688"/>
      <c r="K1396" s="689"/>
    </row>
    <row r="1397" spans="1:11" s="691" customFormat="1" ht="20.100000000000001" customHeight="1" x14ac:dyDescent="0.2">
      <c r="A1397" s="695" t="str">
        <f t="shared" si="19"/>
        <v>333903102000000  Premiacoes Artisticas</v>
      </c>
      <c r="B1397" s="628"/>
      <c r="C1397" s="631"/>
      <c r="D1397" s="632">
        <v>333903102000000</v>
      </c>
      <c r="E1397" s="696" t="s">
        <v>5156</v>
      </c>
      <c r="F1397" s="696">
        <v>7</v>
      </c>
      <c r="G1397" s="696" t="s">
        <v>5597</v>
      </c>
      <c r="I1397" s="696"/>
      <c r="J1397" s="688"/>
      <c r="K1397" s="689"/>
    </row>
    <row r="1398" spans="1:11" s="691" customFormat="1" ht="20.100000000000001" customHeight="1" x14ac:dyDescent="0.2">
      <c r="A1398" s="695" t="str">
        <f t="shared" si="19"/>
        <v>333903103000000  Premiacoes Cientificas</v>
      </c>
      <c r="B1398" s="628"/>
      <c r="C1398" s="631"/>
      <c r="D1398" s="632">
        <v>333903103000000</v>
      </c>
      <c r="E1398" s="696" t="s">
        <v>5157</v>
      </c>
      <c r="F1398" s="696">
        <v>7</v>
      </c>
      <c r="G1398" s="696" t="s">
        <v>5597</v>
      </c>
      <c r="I1398" s="696"/>
      <c r="J1398" s="688"/>
      <c r="K1398" s="689"/>
    </row>
    <row r="1399" spans="1:11" s="691" customFormat="1" ht="20.100000000000001" customHeight="1" x14ac:dyDescent="0.2">
      <c r="A1399" s="695" t="str">
        <f t="shared" si="19"/>
        <v>333903104000000  Premiacoes Desportivas</v>
      </c>
      <c r="B1399" s="628"/>
      <c r="C1399" s="631"/>
      <c r="D1399" s="632">
        <v>333903104000000</v>
      </c>
      <c r="E1399" s="696" t="s">
        <v>1152</v>
      </c>
      <c r="F1399" s="696">
        <v>7</v>
      </c>
      <c r="G1399" s="696" t="s">
        <v>5597</v>
      </c>
      <c r="I1399" s="696"/>
      <c r="J1399" s="688"/>
      <c r="K1399" s="689"/>
    </row>
    <row r="1400" spans="1:11" s="691" customFormat="1" ht="20.100000000000001" customHeight="1" x14ac:dyDescent="0.2">
      <c r="A1400" s="695" t="str">
        <f t="shared" si="19"/>
        <v>333903105000000  Ordens Honorificas</v>
      </c>
      <c r="B1400" s="628"/>
      <c r="C1400" s="631"/>
      <c r="D1400" s="632">
        <v>333903105000000</v>
      </c>
      <c r="E1400" s="696" t="s">
        <v>5158</v>
      </c>
      <c r="F1400" s="696">
        <v>7</v>
      </c>
      <c r="G1400" s="696" t="s">
        <v>5597</v>
      </c>
      <c r="I1400" s="696"/>
      <c r="J1400" s="688"/>
      <c r="K1400" s="689"/>
    </row>
    <row r="1401" spans="1:11" s="691" customFormat="1" ht="20.100000000000001" customHeight="1" x14ac:dyDescent="0.2">
      <c r="A1401" s="695" t="str">
        <f t="shared" si="19"/>
        <v>333903199000000  Outras Premiacoes</v>
      </c>
      <c r="B1401" s="628"/>
      <c r="C1401" s="631"/>
      <c r="D1401" s="632">
        <v>333903199000000</v>
      </c>
      <c r="E1401" s="696" t="s">
        <v>1258</v>
      </c>
      <c r="F1401" s="696">
        <v>7</v>
      </c>
      <c r="G1401" s="696" t="s">
        <v>5597</v>
      </c>
      <c r="I1401" s="696"/>
      <c r="J1401" s="688"/>
      <c r="K1401" s="689"/>
    </row>
    <row r="1402" spans="1:11" s="691" customFormat="1" ht="20.100000000000001" customHeight="1" x14ac:dyDescent="0.2">
      <c r="A1402" s="695" t="str">
        <f t="shared" si="19"/>
        <v>333903200000000  Material, Bem Ou Serviço Para Distribuição Gratuita</v>
      </c>
      <c r="B1402" s="628"/>
      <c r="C1402" s="631"/>
      <c r="D1402" s="632">
        <v>333903200000000</v>
      </c>
      <c r="E1402" s="696" t="s">
        <v>1021</v>
      </c>
      <c r="F1402" s="696">
        <v>6</v>
      </c>
      <c r="G1402" s="696" t="s">
        <v>5596</v>
      </c>
      <c r="I1402" s="696"/>
      <c r="J1402" s="688"/>
      <c r="K1402" s="689"/>
    </row>
    <row r="1403" spans="1:11" s="691" customFormat="1" ht="20.100000000000001" customHeight="1" x14ac:dyDescent="0.2">
      <c r="A1403" s="695" t="str">
        <f t="shared" si="19"/>
        <v>333903203000000  Material Destinado A Assistencia Social</v>
      </c>
      <c r="B1403" s="628"/>
      <c r="C1403" s="631"/>
      <c r="D1403" s="632">
        <v>333903203000000</v>
      </c>
      <c r="E1403" s="696" t="s">
        <v>1001</v>
      </c>
      <c r="F1403" s="696">
        <v>7</v>
      </c>
      <c r="G1403" s="696" t="s">
        <v>5597</v>
      </c>
      <c r="I1403" s="696"/>
      <c r="J1403" s="688"/>
      <c r="K1403" s="689"/>
    </row>
    <row r="1404" spans="1:11" s="691" customFormat="1" ht="20.100000000000001" customHeight="1" x14ac:dyDescent="0.2">
      <c r="A1404" s="695" t="str">
        <f t="shared" si="19"/>
        <v>333903204000000  Material Educacional E Cultural</v>
      </c>
      <c r="B1404" s="628"/>
      <c r="C1404" s="631"/>
      <c r="D1404" s="632">
        <v>333903204000000</v>
      </c>
      <c r="E1404" s="696" t="s">
        <v>5159</v>
      </c>
      <c r="F1404" s="696">
        <v>7</v>
      </c>
      <c r="G1404" s="696" t="s">
        <v>5597</v>
      </c>
      <c r="I1404" s="696"/>
      <c r="J1404" s="688"/>
      <c r="K1404" s="689"/>
    </row>
    <row r="1405" spans="1:11" s="691" customFormat="1" ht="20.100000000000001" customHeight="1" x14ac:dyDescent="0.2">
      <c r="A1405" s="695" t="str">
        <f t="shared" si="19"/>
        <v>333903205000000  Mercadorias P/ Doacao</v>
      </c>
      <c r="B1405" s="628"/>
      <c r="C1405" s="631"/>
      <c r="D1405" s="632">
        <v>333903205000000</v>
      </c>
      <c r="E1405" s="696" t="s">
        <v>1261</v>
      </c>
      <c r="F1405" s="696">
        <v>7</v>
      </c>
      <c r="G1405" s="696" t="s">
        <v>5596</v>
      </c>
      <c r="I1405" s="696"/>
      <c r="J1405" s="688"/>
      <c r="K1405" s="689"/>
    </row>
    <row r="1406" spans="1:11" s="691" customFormat="1" ht="20.100000000000001" customHeight="1" x14ac:dyDescent="0.2">
      <c r="A1406" s="695" t="str">
        <f t="shared" si="19"/>
        <v>333903205010000  Adubos E Prod. Fertilizantes</v>
      </c>
      <c r="B1406" s="628"/>
      <c r="C1406" s="631"/>
      <c r="D1406" s="632">
        <v>333903205010000</v>
      </c>
      <c r="E1406" s="696" t="s">
        <v>5160</v>
      </c>
      <c r="F1406" s="696">
        <v>8</v>
      </c>
      <c r="G1406" s="696" t="s">
        <v>5597</v>
      </c>
      <c r="I1406" s="696"/>
      <c r="J1406" s="688"/>
      <c r="K1406" s="689"/>
    </row>
    <row r="1407" spans="1:11" s="691" customFormat="1" ht="20.100000000000001" customHeight="1" x14ac:dyDescent="0.2">
      <c r="A1407" s="695" t="str">
        <f t="shared" si="19"/>
        <v>333903205020000  Sementes E Mudas</v>
      </c>
      <c r="B1407" s="628"/>
      <c r="C1407" s="631"/>
      <c r="D1407" s="632">
        <v>333903205020000</v>
      </c>
      <c r="E1407" s="696" t="s">
        <v>5161</v>
      </c>
      <c r="F1407" s="696">
        <v>8</v>
      </c>
      <c r="G1407" s="696" t="s">
        <v>5597</v>
      </c>
      <c r="I1407" s="696"/>
      <c r="J1407" s="688"/>
      <c r="K1407" s="689"/>
    </row>
    <row r="1408" spans="1:11" s="691" customFormat="1" ht="20.100000000000001" customHeight="1" x14ac:dyDescent="0.2">
      <c r="A1408" s="695" t="str">
        <f t="shared" si="19"/>
        <v>333903205030000  Alevinos</v>
      </c>
      <c r="B1408" s="628"/>
      <c r="C1408" s="631"/>
      <c r="D1408" s="632">
        <v>333903205030000</v>
      </c>
      <c r="E1408" s="696" t="s">
        <v>5162</v>
      </c>
      <c r="F1408" s="696">
        <v>8</v>
      </c>
      <c r="G1408" s="696" t="s">
        <v>5597</v>
      </c>
      <c r="I1408" s="696"/>
      <c r="J1408" s="688"/>
      <c r="K1408" s="689"/>
    </row>
    <row r="1409" spans="1:11" s="691" customFormat="1" ht="20.100000000000001" customHeight="1" x14ac:dyDescent="0.2">
      <c r="A1409" s="695" t="str">
        <f t="shared" si="19"/>
        <v>333903205040000  Materiais Esportivos</v>
      </c>
      <c r="B1409" s="628"/>
      <c r="C1409" s="631"/>
      <c r="D1409" s="632">
        <v>333903205040000</v>
      </c>
      <c r="E1409" s="696" t="s">
        <v>5163</v>
      </c>
      <c r="F1409" s="696">
        <v>8</v>
      </c>
      <c r="G1409" s="696" t="s">
        <v>5597</v>
      </c>
      <c r="I1409" s="696"/>
      <c r="J1409" s="688"/>
      <c r="K1409" s="689"/>
    </row>
    <row r="1410" spans="1:11" s="691" customFormat="1" ht="20.100000000000001" customHeight="1" x14ac:dyDescent="0.2">
      <c r="A1410" s="695" t="str">
        <f t="shared" si="19"/>
        <v>333903205050000  Cesta Básica</v>
      </c>
      <c r="B1410" s="628"/>
      <c r="C1410" s="631"/>
      <c r="D1410" s="632">
        <v>333903205050000</v>
      </c>
      <c r="E1410" s="696" t="s">
        <v>5164</v>
      </c>
      <c r="F1410" s="696">
        <v>8</v>
      </c>
      <c r="G1410" s="696" t="s">
        <v>5597</v>
      </c>
      <c r="I1410" s="696"/>
      <c r="J1410" s="688"/>
      <c r="K1410" s="689"/>
    </row>
    <row r="1411" spans="1:11" s="691" customFormat="1" ht="20.100000000000001" customHeight="1" x14ac:dyDescent="0.2">
      <c r="A1411" s="695" t="str">
        <f t="shared" si="19"/>
        <v>333903205060000  Materiais Diversos</v>
      </c>
      <c r="B1411" s="628"/>
      <c r="C1411" s="631"/>
      <c r="D1411" s="632">
        <v>333903205060000</v>
      </c>
      <c r="E1411" s="696" t="s">
        <v>1018</v>
      </c>
      <c r="F1411" s="696">
        <v>8</v>
      </c>
      <c r="G1411" s="696" t="s">
        <v>5597</v>
      </c>
      <c r="I1411" s="696"/>
      <c r="J1411" s="688"/>
      <c r="K1411" s="689"/>
    </row>
    <row r="1412" spans="1:11" s="691" customFormat="1" ht="20.100000000000001" customHeight="1" x14ac:dyDescent="0.2">
      <c r="A1412" s="695" t="str">
        <f t="shared" si="19"/>
        <v>333903207000000  Material P/ Cerimonial</v>
      </c>
      <c r="B1412" s="628"/>
      <c r="C1412" s="631"/>
      <c r="D1412" s="632">
        <v>333903207000000</v>
      </c>
      <c r="E1412" s="696" t="s">
        <v>5165</v>
      </c>
      <c r="F1412" s="696">
        <v>7</v>
      </c>
      <c r="G1412" s="696" t="s">
        <v>5597</v>
      </c>
      <c r="I1412" s="696"/>
      <c r="J1412" s="688"/>
      <c r="K1412" s="689"/>
    </row>
    <row r="1413" spans="1:11" s="691" customFormat="1" ht="20.100000000000001" customHeight="1" x14ac:dyDescent="0.2">
      <c r="A1413" s="695" t="str">
        <f t="shared" si="19"/>
        <v>333903208000000  Material P/ Reabilitacao Profissional</v>
      </c>
      <c r="B1413" s="628"/>
      <c r="C1413" s="631"/>
      <c r="D1413" s="632">
        <v>333903208000000</v>
      </c>
      <c r="E1413" s="696" t="s">
        <v>5166</v>
      </c>
      <c r="F1413" s="696">
        <v>7</v>
      </c>
      <c r="G1413" s="696" t="s">
        <v>5597</v>
      </c>
      <c r="I1413" s="696"/>
      <c r="J1413" s="688"/>
      <c r="K1413" s="689"/>
    </row>
    <row r="1414" spans="1:11" s="691" customFormat="1" ht="20.100000000000001" customHeight="1" x14ac:dyDescent="0.2">
      <c r="A1414" s="695" t="str">
        <f t="shared" si="19"/>
        <v>333903209000000  Material P/ Divulgacao</v>
      </c>
      <c r="B1414" s="628"/>
      <c r="C1414" s="631"/>
      <c r="D1414" s="632">
        <v>333903209000000</v>
      </c>
      <c r="E1414" s="696" t="s">
        <v>2203</v>
      </c>
      <c r="F1414" s="696">
        <v>7</v>
      </c>
      <c r="G1414" s="696" t="s">
        <v>5597</v>
      </c>
      <c r="I1414" s="696"/>
      <c r="J1414" s="688"/>
      <c r="K1414" s="689"/>
    </row>
    <row r="1415" spans="1:11" s="691" customFormat="1" ht="20.100000000000001" customHeight="1" x14ac:dyDescent="0.2">
      <c r="A1415" s="695" t="str">
        <f t="shared" si="19"/>
        <v>333903296000000  Material De Distribuicao Gratuita - Pagamento Antecipado</v>
      </c>
      <c r="B1415" s="628"/>
      <c r="C1415" s="631"/>
      <c r="D1415" s="632">
        <v>333903296000000</v>
      </c>
      <c r="E1415" s="696" t="s">
        <v>5167</v>
      </c>
      <c r="F1415" s="696">
        <v>7</v>
      </c>
      <c r="G1415" s="696" t="s">
        <v>5597</v>
      </c>
      <c r="I1415" s="696"/>
      <c r="J1415" s="688"/>
      <c r="K1415" s="689"/>
    </row>
    <row r="1416" spans="1:11" s="691" customFormat="1" ht="20.100000000000001" customHeight="1" x14ac:dyDescent="0.2">
      <c r="A1416" s="695" t="str">
        <f t="shared" si="19"/>
        <v>333903299000000  Outros Materiais De Distribuicao Gratuita</v>
      </c>
      <c r="B1416" s="628"/>
      <c r="C1416" s="631"/>
      <c r="D1416" s="632">
        <v>333903299000000</v>
      </c>
      <c r="E1416" s="696" t="s">
        <v>5168</v>
      </c>
      <c r="F1416" s="696">
        <v>7</v>
      </c>
      <c r="G1416" s="696" t="s">
        <v>5597</v>
      </c>
      <c r="I1416" s="696"/>
      <c r="J1416" s="688"/>
      <c r="K1416" s="689"/>
    </row>
    <row r="1417" spans="1:11" s="691" customFormat="1" ht="20.100000000000001" customHeight="1" x14ac:dyDescent="0.2">
      <c r="A1417" s="695" t="str">
        <f t="shared" si="19"/>
        <v>333903299010000  Medicamentos</v>
      </c>
      <c r="B1417" s="628"/>
      <c r="C1417" s="631"/>
      <c r="D1417" s="632">
        <v>333903299010000</v>
      </c>
      <c r="E1417" s="696" t="s">
        <v>1023</v>
      </c>
      <c r="F1417" s="696">
        <v>7</v>
      </c>
      <c r="G1417" s="696" t="s">
        <v>5597</v>
      </c>
      <c r="I1417" s="696"/>
      <c r="J1417" s="688"/>
      <c r="K1417" s="689"/>
    </row>
    <row r="1418" spans="1:11" s="691" customFormat="1" ht="20.100000000000001" customHeight="1" x14ac:dyDescent="0.2">
      <c r="A1418" s="695" t="str">
        <f t="shared" si="19"/>
        <v>333903299020000  Passagens P/pacientes</v>
      </c>
      <c r="B1418" s="628"/>
      <c r="C1418" s="631"/>
      <c r="D1418" s="632">
        <v>333903299020000</v>
      </c>
      <c r="E1418" s="696" t="s">
        <v>1107</v>
      </c>
      <c r="F1418" s="696">
        <v>7</v>
      </c>
      <c r="G1418" s="696" t="s">
        <v>5597</v>
      </c>
      <c r="I1418" s="696"/>
      <c r="J1418" s="688"/>
      <c r="K1418" s="689"/>
    </row>
    <row r="1419" spans="1:11" s="691" customFormat="1" ht="20.100000000000001" customHeight="1" x14ac:dyDescent="0.2">
      <c r="A1419" s="695" t="str">
        <f t="shared" si="19"/>
        <v>333903299030000  Exames P/pacientes</v>
      </c>
      <c r="B1419" s="628"/>
      <c r="C1419" s="631"/>
      <c r="D1419" s="632">
        <v>333903299030000</v>
      </c>
      <c r="E1419" s="696" t="s">
        <v>1022</v>
      </c>
      <c r="F1419" s="696">
        <v>7</v>
      </c>
      <c r="G1419" s="696" t="s">
        <v>5597</v>
      </c>
      <c r="I1419" s="696"/>
      <c r="J1419" s="688"/>
      <c r="K1419" s="689"/>
    </row>
    <row r="1420" spans="1:11" s="691" customFormat="1" ht="20.100000000000001" customHeight="1" x14ac:dyDescent="0.2">
      <c r="A1420" s="695" t="str">
        <f t="shared" si="19"/>
        <v>333903299040000  Consultas P/pacientes</v>
      </c>
      <c r="B1420" s="628"/>
      <c r="C1420" s="631"/>
      <c r="D1420" s="632">
        <v>333903299040000</v>
      </c>
      <c r="E1420" s="696" t="s">
        <v>5169</v>
      </c>
      <c r="F1420" s="696">
        <v>7</v>
      </c>
      <c r="G1420" s="696" t="s">
        <v>5597</v>
      </c>
      <c r="I1420" s="696"/>
      <c r="J1420" s="688"/>
      <c r="K1420" s="689"/>
    </row>
    <row r="1421" spans="1:11" s="691" customFormat="1" ht="20.100000000000001" customHeight="1" x14ac:dyDescent="0.2">
      <c r="A1421" s="695" t="str">
        <f t="shared" si="19"/>
        <v>333903299050000  Outros Materiais Diversos</v>
      </c>
      <c r="B1421" s="628"/>
      <c r="C1421" s="631"/>
      <c r="D1421" s="632">
        <v>333903299050000</v>
      </c>
      <c r="E1421" s="696" t="s">
        <v>994</v>
      </c>
      <c r="F1421" s="696">
        <v>7</v>
      </c>
      <c r="G1421" s="696" t="s">
        <v>5597</v>
      </c>
      <c r="I1421" s="696"/>
      <c r="J1421" s="688"/>
      <c r="K1421" s="689"/>
    </row>
    <row r="1422" spans="1:11" s="691" customFormat="1" ht="20.100000000000001" customHeight="1" x14ac:dyDescent="0.2">
      <c r="A1422" s="695" t="str">
        <f t="shared" si="19"/>
        <v>333903300000000  Passagens E Despesas Com Locomocao</v>
      </c>
      <c r="B1422" s="628"/>
      <c r="C1422" s="631"/>
      <c r="D1422" s="632">
        <v>333903300000000</v>
      </c>
      <c r="E1422" s="696" t="s">
        <v>1044</v>
      </c>
      <c r="F1422" s="696">
        <v>6</v>
      </c>
      <c r="G1422" s="696" t="s">
        <v>5596</v>
      </c>
      <c r="I1422" s="696"/>
      <c r="J1422" s="688"/>
      <c r="K1422" s="689"/>
    </row>
    <row r="1423" spans="1:11" s="691" customFormat="1" ht="20.100000000000001" customHeight="1" x14ac:dyDescent="0.2">
      <c r="A1423" s="695" t="str">
        <f t="shared" si="19"/>
        <v>333903301000000  Passagens P/ O Pais</v>
      </c>
      <c r="B1423" s="628"/>
      <c r="C1423" s="631"/>
      <c r="D1423" s="632">
        <v>333903301000000</v>
      </c>
      <c r="E1423" s="696" t="s">
        <v>5170</v>
      </c>
      <c r="F1423" s="696">
        <v>7</v>
      </c>
      <c r="G1423" s="696" t="s">
        <v>5597</v>
      </c>
      <c r="I1423" s="696"/>
      <c r="J1423" s="688"/>
      <c r="K1423" s="689"/>
    </row>
    <row r="1424" spans="1:11" s="691" customFormat="1" ht="20.100000000000001" customHeight="1" x14ac:dyDescent="0.2">
      <c r="A1424" s="695" t="str">
        <f t="shared" si="19"/>
        <v>333903302000000  Passagens P/ O Exterior</v>
      </c>
      <c r="B1424" s="628"/>
      <c r="C1424" s="631"/>
      <c r="D1424" s="632">
        <v>333903302000000</v>
      </c>
      <c r="E1424" s="696" t="s">
        <v>5171</v>
      </c>
      <c r="F1424" s="696">
        <v>7</v>
      </c>
      <c r="G1424" s="696" t="s">
        <v>5597</v>
      </c>
      <c r="I1424" s="696"/>
      <c r="J1424" s="688"/>
      <c r="K1424" s="689"/>
    </row>
    <row r="1425" spans="1:11" s="691" customFormat="1" ht="20.100000000000001" customHeight="1" x14ac:dyDescent="0.2">
      <c r="A1425" s="695" t="str">
        <f t="shared" si="19"/>
        <v>333903303000000  Locacao De Meios De Transporte</v>
      </c>
      <c r="B1425" s="628"/>
      <c r="C1425" s="631"/>
      <c r="D1425" s="632">
        <v>333903303000000</v>
      </c>
      <c r="E1425" s="696" t="s">
        <v>5172</v>
      </c>
      <c r="F1425" s="696">
        <v>7</v>
      </c>
      <c r="G1425" s="696" t="s">
        <v>5597</v>
      </c>
      <c r="I1425" s="696"/>
      <c r="J1425" s="688"/>
      <c r="K1425" s="689"/>
    </row>
    <row r="1426" spans="1:11" s="691" customFormat="1" ht="20.100000000000001" customHeight="1" x14ac:dyDescent="0.2">
      <c r="A1426" s="695" t="str">
        <f t="shared" si="19"/>
        <v>333903305000000  Locomocao Urbana</v>
      </c>
      <c r="B1426" s="628"/>
      <c r="C1426" s="631"/>
      <c r="D1426" s="632">
        <v>333903305000000</v>
      </c>
      <c r="E1426" s="696" t="s">
        <v>5173</v>
      </c>
      <c r="F1426" s="696">
        <v>7</v>
      </c>
      <c r="G1426" s="696" t="s">
        <v>5597</v>
      </c>
      <c r="I1426" s="696"/>
      <c r="J1426" s="688"/>
      <c r="K1426" s="689"/>
    </row>
    <row r="1427" spans="1:11" s="691" customFormat="1" ht="20.100000000000001" customHeight="1" x14ac:dyDescent="0.2">
      <c r="A1427" s="695" t="str">
        <f t="shared" si="19"/>
        <v>333903308000000  Pedagios</v>
      </c>
      <c r="B1427" s="628"/>
      <c r="C1427" s="631"/>
      <c r="D1427" s="632">
        <v>333903308000000</v>
      </c>
      <c r="E1427" s="696" t="s">
        <v>1043</v>
      </c>
      <c r="F1427" s="696">
        <v>7</v>
      </c>
      <c r="G1427" s="696" t="s">
        <v>5597</v>
      </c>
      <c r="I1427" s="696"/>
      <c r="J1427" s="688"/>
      <c r="K1427" s="689"/>
    </row>
    <row r="1428" spans="1:11" s="691" customFormat="1" ht="20.100000000000001" customHeight="1" x14ac:dyDescent="0.2">
      <c r="A1428" s="695" t="str">
        <f t="shared" si="19"/>
        <v>333903396000000  Passagens E Despesas Com Locomocao-pagamento Antecipado</v>
      </c>
      <c r="B1428" s="628"/>
      <c r="C1428" s="631"/>
      <c r="D1428" s="632">
        <v>333903396000000</v>
      </c>
      <c r="E1428" s="696" t="s">
        <v>5174</v>
      </c>
      <c r="F1428" s="696">
        <v>7</v>
      </c>
      <c r="G1428" s="696" t="s">
        <v>5597</v>
      </c>
      <c r="I1428" s="696"/>
      <c r="J1428" s="688"/>
      <c r="K1428" s="689"/>
    </row>
    <row r="1429" spans="1:11" s="691" customFormat="1" ht="20.100000000000001" customHeight="1" x14ac:dyDescent="0.2">
      <c r="A1429" s="695" t="str">
        <f t="shared" si="19"/>
        <v>333903399000000  Outras Despesas Com Locomocao</v>
      </c>
      <c r="B1429" s="628"/>
      <c r="C1429" s="631"/>
      <c r="D1429" s="632">
        <v>333903399000000</v>
      </c>
      <c r="E1429" s="696" t="s">
        <v>5175</v>
      </c>
      <c r="F1429" s="696">
        <v>7</v>
      </c>
      <c r="G1429" s="696" t="s">
        <v>5597</v>
      </c>
      <c r="I1429" s="696"/>
      <c r="J1429" s="688"/>
      <c r="K1429" s="689"/>
    </row>
    <row r="1430" spans="1:11" s="691" customFormat="1" ht="20.100000000000001" customHeight="1" x14ac:dyDescent="0.2">
      <c r="A1430" s="695" t="str">
        <f t="shared" si="19"/>
        <v>333903399010000  Outras Despesas Com Locomocao - Legislativo</v>
      </c>
      <c r="B1430" s="628"/>
      <c r="C1430" s="631"/>
      <c r="D1430" s="632">
        <v>333903399010000</v>
      </c>
      <c r="E1430" s="696" t="s">
        <v>5176</v>
      </c>
      <c r="F1430" s="696">
        <v>8</v>
      </c>
      <c r="G1430" s="696" t="s">
        <v>5597</v>
      </c>
      <c r="I1430" s="696" t="s">
        <v>5600</v>
      </c>
      <c r="J1430" s="688"/>
      <c r="K1430" s="689"/>
    </row>
    <row r="1431" spans="1:11" s="691" customFormat="1" ht="20.100000000000001" customHeight="1" x14ac:dyDescent="0.2">
      <c r="A1431" s="695" t="str">
        <f t="shared" si="19"/>
        <v>333903399010100  Despesas Com Locomocao - Servidores</v>
      </c>
      <c r="B1431" s="628"/>
      <c r="C1431" s="631"/>
      <c r="D1431" s="632">
        <v>333903399010100</v>
      </c>
      <c r="E1431" s="696" t="s">
        <v>5177</v>
      </c>
      <c r="F1431" s="696">
        <v>9</v>
      </c>
      <c r="G1431" s="696" t="s">
        <v>5597</v>
      </c>
      <c r="I1431" s="696" t="s">
        <v>5600</v>
      </c>
      <c r="J1431" s="688"/>
      <c r="K1431" s="689"/>
    </row>
    <row r="1432" spans="1:11" s="691" customFormat="1" ht="20.100000000000001" customHeight="1" x14ac:dyDescent="0.2">
      <c r="A1432" s="695" t="str">
        <f t="shared" si="19"/>
        <v>333903399010200  Despesas Com Locomocao - Agente Politico</v>
      </c>
      <c r="B1432" s="628"/>
      <c r="C1432" s="631"/>
      <c r="D1432" s="632">
        <v>333903399010200</v>
      </c>
      <c r="E1432" s="696" t="s">
        <v>5178</v>
      </c>
      <c r="F1432" s="696">
        <v>9</v>
      </c>
      <c r="G1432" s="696" t="s">
        <v>5597</v>
      </c>
      <c r="I1432" s="696" t="s">
        <v>5600</v>
      </c>
      <c r="J1432" s="688"/>
      <c r="K1432" s="689"/>
    </row>
    <row r="1433" spans="1:11" s="691" customFormat="1" ht="20.100000000000001" customHeight="1" x14ac:dyDescent="0.2">
      <c r="A1433" s="695" t="str">
        <f t="shared" si="19"/>
        <v>333903500000000  Servicos De Consultoria</v>
      </c>
      <c r="B1433" s="628"/>
      <c r="C1433" s="631"/>
      <c r="D1433" s="632">
        <v>333903500000000</v>
      </c>
      <c r="E1433" s="696" t="s">
        <v>1260</v>
      </c>
      <c r="F1433" s="696">
        <v>6</v>
      </c>
      <c r="G1433" s="696" t="s">
        <v>5596</v>
      </c>
      <c r="I1433" s="696"/>
      <c r="J1433" s="688"/>
      <c r="K1433" s="689"/>
    </row>
    <row r="1434" spans="1:11" s="691" customFormat="1" ht="20.100000000000001" customHeight="1" x14ac:dyDescent="0.2">
      <c r="A1434" s="695" t="str">
        <f t="shared" si="19"/>
        <v>333903501000000  Assessoria E Consultoria Tecnica Ou Juridica</v>
      </c>
      <c r="B1434" s="628"/>
      <c r="C1434" s="631"/>
      <c r="D1434" s="632">
        <v>333903501000000</v>
      </c>
      <c r="E1434" s="696" t="s">
        <v>1259</v>
      </c>
      <c r="F1434" s="696">
        <v>7</v>
      </c>
      <c r="G1434" s="696" t="s">
        <v>5597</v>
      </c>
      <c r="I1434" s="696"/>
      <c r="J1434" s="688"/>
      <c r="K1434" s="689"/>
    </row>
    <row r="1435" spans="1:11" s="691" customFormat="1" ht="20.100000000000001" customHeight="1" x14ac:dyDescent="0.2">
      <c r="A1435" s="695" t="str">
        <f t="shared" si="19"/>
        <v>333903502000000  Auditoria Externa</v>
      </c>
      <c r="B1435" s="628"/>
      <c r="C1435" s="631"/>
      <c r="D1435" s="632">
        <v>333903502000000</v>
      </c>
      <c r="E1435" s="696" t="s">
        <v>5179</v>
      </c>
      <c r="F1435" s="696">
        <v>7</v>
      </c>
      <c r="G1435" s="696" t="s">
        <v>5597</v>
      </c>
      <c r="I1435" s="696"/>
      <c r="J1435" s="688"/>
      <c r="K1435" s="689"/>
    </row>
    <row r="1436" spans="1:11" s="691" customFormat="1" ht="20.100000000000001" customHeight="1" x14ac:dyDescent="0.2">
      <c r="A1436" s="695" t="str">
        <f t="shared" si="19"/>
        <v>333903504000000  Consultoria Em Tecnoclogia Da Informação</v>
      </c>
      <c r="B1436" s="628"/>
      <c r="C1436" s="631"/>
      <c r="D1436" s="632">
        <v>333903504000000</v>
      </c>
      <c r="E1436" s="696" t="s">
        <v>5180</v>
      </c>
      <c r="F1436" s="696">
        <v>7</v>
      </c>
      <c r="G1436" s="696" t="s">
        <v>5597</v>
      </c>
      <c r="I1436" s="696" t="s">
        <v>5647</v>
      </c>
      <c r="J1436" s="688"/>
      <c r="K1436" s="689"/>
    </row>
    <row r="1437" spans="1:11" s="691" customFormat="1" ht="20.100000000000001" customHeight="1" x14ac:dyDescent="0.2">
      <c r="A1437" s="695" t="str">
        <f t="shared" si="19"/>
        <v>333903596000000  Servicos De Consultoria - Pagto Antecipado</v>
      </c>
      <c r="B1437" s="628"/>
      <c r="C1437" s="631"/>
      <c r="D1437" s="632">
        <v>333903596000000</v>
      </c>
      <c r="E1437" s="696" t="s">
        <v>5181</v>
      </c>
      <c r="F1437" s="696">
        <v>7</v>
      </c>
      <c r="G1437" s="696" t="s">
        <v>5597</v>
      </c>
      <c r="I1437" s="696"/>
      <c r="J1437" s="688"/>
      <c r="K1437" s="689"/>
    </row>
    <row r="1438" spans="1:11" s="691" customFormat="1" ht="20.100000000000001" customHeight="1" x14ac:dyDescent="0.2">
      <c r="A1438" s="695" t="str">
        <f t="shared" si="19"/>
        <v>333903599000000  Outros Servicos De Consultoria</v>
      </c>
      <c r="B1438" s="628"/>
      <c r="C1438" s="631"/>
      <c r="D1438" s="632">
        <v>333903599000000</v>
      </c>
      <c r="E1438" s="696" t="s">
        <v>5182</v>
      </c>
      <c r="F1438" s="696">
        <v>7</v>
      </c>
      <c r="G1438" s="696" t="s">
        <v>5597</v>
      </c>
      <c r="I1438" s="696"/>
      <c r="J1438" s="688"/>
      <c r="K1438" s="689"/>
    </row>
    <row r="1439" spans="1:11" s="691" customFormat="1" ht="20.100000000000001" customHeight="1" x14ac:dyDescent="0.2">
      <c r="A1439" s="695" t="str">
        <f t="shared" si="19"/>
        <v>333903599010000  Servicos De Consultoria - Legislativo</v>
      </c>
      <c r="B1439" s="628"/>
      <c r="C1439" s="631"/>
      <c r="D1439" s="632">
        <v>333903599010000</v>
      </c>
      <c r="E1439" s="696" t="s">
        <v>5183</v>
      </c>
      <c r="F1439" s="696">
        <v>8</v>
      </c>
      <c r="G1439" s="696" t="s">
        <v>5597</v>
      </c>
      <c r="I1439" s="696" t="s">
        <v>5600</v>
      </c>
      <c r="J1439" s="688"/>
      <c r="K1439" s="689"/>
    </row>
    <row r="1440" spans="1:11" s="691" customFormat="1" ht="20.100000000000001" customHeight="1" x14ac:dyDescent="0.2">
      <c r="A1440" s="695" t="str">
        <f t="shared" si="19"/>
        <v>333903600000000  Outros Servicos De Terceiros - Pessoa Fisica</v>
      </c>
      <c r="B1440" s="628"/>
      <c r="C1440" s="631"/>
      <c r="D1440" s="632">
        <v>333903600000000</v>
      </c>
      <c r="E1440" s="696" t="s">
        <v>993</v>
      </c>
      <c r="F1440" s="696">
        <v>6</v>
      </c>
      <c r="G1440" s="696" t="s">
        <v>5596</v>
      </c>
      <c r="I1440" s="696"/>
      <c r="J1440" s="688"/>
      <c r="K1440" s="689"/>
    </row>
    <row r="1441" spans="1:11" s="691" customFormat="1" ht="20.100000000000001" customHeight="1" x14ac:dyDescent="0.2">
      <c r="A1441" s="695" t="str">
        <f t="shared" si="19"/>
        <v>333903601000000  Condominios</v>
      </c>
      <c r="B1441" s="628"/>
      <c r="C1441" s="631"/>
      <c r="D1441" s="632">
        <v>333903601000000</v>
      </c>
      <c r="E1441" s="696" t="s">
        <v>5184</v>
      </c>
      <c r="F1441" s="696">
        <v>7</v>
      </c>
      <c r="G1441" s="696" t="s">
        <v>5597</v>
      </c>
      <c r="I1441" s="696"/>
      <c r="J1441" s="688"/>
      <c r="K1441" s="689"/>
    </row>
    <row r="1442" spans="1:11" s="691" customFormat="1" ht="20.100000000000001" customHeight="1" x14ac:dyDescent="0.2">
      <c r="A1442" s="695" t="str">
        <f t="shared" si="19"/>
        <v>333903602000000  Diarias A Colaboradores Eventuais No Pais</v>
      </c>
      <c r="B1442" s="628"/>
      <c r="C1442" s="631"/>
      <c r="D1442" s="632">
        <v>333903602000000</v>
      </c>
      <c r="E1442" s="696" t="s">
        <v>5185</v>
      </c>
      <c r="F1442" s="696">
        <v>7</v>
      </c>
      <c r="G1442" s="696" t="s">
        <v>5597</v>
      </c>
      <c r="I1442" s="696"/>
      <c r="J1442" s="688"/>
      <c r="K1442" s="689"/>
    </row>
    <row r="1443" spans="1:11" s="691" customFormat="1" ht="20.100000000000001" customHeight="1" x14ac:dyDescent="0.2">
      <c r="A1443" s="695" t="str">
        <f t="shared" si="19"/>
        <v>333903603000000  Diarias A Colaboradores Eventuais No Exterior</v>
      </c>
      <c r="B1443" s="628"/>
      <c r="C1443" s="631"/>
      <c r="D1443" s="632">
        <v>333903603000000</v>
      </c>
      <c r="E1443" s="696" t="s">
        <v>5186</v>
      </c>
      <c r="F1443" s="696">
        <v>7</v>
      </c>
      <c r="G1443" s="696" t="s">
        <v>5597</v>
      </c>
      <c r="I1443" s="696"/>
      <c r="J1443" s="688"/>
      <c r="K1443" s="689"/>
    </row>
    <row r="1444" spans="1:11" s="691" customFormat="1" ht="20.100000000000001" customHeight="1" x14ac:dyDescent="0.2">
      <c r="A1444" s="695" t="str">
        <f t="shared" si="19"/>
        <v>333903604000000  Comissoes E Corretagens</v>
      </c>
      <c r="B1444" s="628"/>
      <c r="C1444" s="631"/>
      <c r="D1444" s="632">
        <v>333903604000000</v>
      </c>
      <c r="E1444" s="696" t="s">
        <v>5187</v>
      </c>
      <c r="F1444" s="696">
        <v>7</v>
      </c>
      <c r="G1444" s="696" t="s">
        <v>5597</v>
      </c>
      <c r="I1444" s="696"/>
      <c r="J1444" s="688"/>
      <c r="K1444" s="689"/>
    </row>
    <row r="1445" spans="1:11" s="691" customFormat="1" ht="20.100000000000001" customHeight="1" x14ac:dyDescent="0.2">
      <c r="A1445" s="695" t="str">
        <f t="shared" si="19"/>
        <v>333903605000000  Direitos Autorais</v>
      </c>
      <c r="B1445" s="628"/>
      <c r="C1445" s="631"/>
      <c r="D1445" s="632">
        <v>333903605000000</v>
      </c>
      <c r="E1445" s="696" t="s">
        <v>5188</v>
      </c>
      <c r="F1445" s="696">
        <v>7</v>
      </c>
      <c r="G1445" s="696" t="s">
        <v>5597</v>
      </c>
      <c r="I1445" s="696"/>
      <c r="J1445" s="688"/>
      <c r="K1445" s="689"/>
    </row>
    <row r="1446" spans="1:11" s="691" customFormat="1" ht="20.100000000000001" customHeight="1" x14ac:dyDescent="0.2">
      <c r="A1446" s="695" t="str">
        <f t="shared" si="19"/>
        <v>333903606000000  Servicos Tecnicos Profissionais</v>
      </c>
      <c r="B1446" s="628"/>
      <c r="C1446" s="631"/>
      <c r="D1446" s="632">
        <v>333903606000000</v>
      </c>
      <c r="E1446" s="696" t="s">
        <v>1151</v>
      </c>
      <c r="F1446" s="696">
        <v>7</v>
      </c>
      <c r="G1446" s="696" t="s">
        <v>5597</v>
      </c>
      <c r="I1446" s="696"/>
      <c r="J1446" s="688"/>
      <c r="K1446" s="689"/>
    </row>
    <row r="1447" spans="1:11" s="691" customFormat="1" ht="20.100000000000001" customHeight="1" x14ac:dyDescent="0.2">
      <c r="A1447" s="695" t="str">
        <f t="shared" si="19"/>
        <v>333903607000000  Estagiarios</v>
      </c>
      <c r="B1447" s="628"/>
      <c r="C1447" s="631"/>
      <c r="D1447" s="632">
        <v>333903607000000</v>
      </c>
      <c r="E1447" s="696" t="s">
        <v>2195</v>
      </c>
      <c r="F1447" s="696">
        <v>7</v>
      </c>
      <c r="G1447" s="696" t="s">
        <v>5597</v>
      </c>
      <c r="I1447" s="696"/>
      <c r="J1447" s="688"/>
      <c r="K1447" s="689"/>
    </row>
    <row r="1448" spans="1:11" s="691" customFormat="1" ht="20.100000000000001" customHeight="1" x14ac:dyDescent="0.2">
      <c r="A1448" s="695" t="str">
        <f t="shared" si="19"/>
        <v>333903608000000  Bolsa De Iniciacao Ao Trabalho</v>
      </c>
      <c r="B1448" s="628"/>
      <c r="C1448" s="631"/>
      <c r="D1448" s="632">
        <v>333903608000000</v>
      </c>
      <c r="E1448" s="696" t="s">
        <v>5189</v>
      </c>
      <c r="F1448" s="696">
        <v>7</v>
      </c>
      <c r="G1448" s="696" t="s">
        <v>5597</v>
      </c>
      <c r="I1448" s="696"/>
      <c r="J1448" s="688"/>
      <c r="K1448" s="689"/>
    </row>
    <row r="1449" spans="1:11" s="691" customFormat="1" ht="20.100000000000001" customHeight="1" x14ac:dyDescent="0.2">
      <c r="A1449" s="695" t="str">
        <f t="shared" si="19"/>
        <v>333903611000000  Pro-labore A Consultores Eventuais</v>
      </c>
      <c r="B1449" s="628"/>
      <c r="C1449" s="631"/>
      <c r="D1449" s="632">
        <v>333903611000000</v>
      </c>
      <c r="E1449" s="696" t="s">
        <v>5190</v>
      </c>
      <c r="F1449" s="696">
        <v>7</v>
      </c>
      <c r="G1449" s="696" t="s">
        <v>5597</v>
      </c>
      <c r="I1449" s="696"/>
      <c r="J1449" s="688"/>
      <c r="K1449" s="689"/>
    </row>
    <row r="1450" spans="1:11" s="691" customFormat="1" ht="20.100000000000001" customHeight="1" x14ac:dyDescent="0.2">
      <c r="A1450" s="695" t="str">
        <f t="shared" si="19"/>
        <v>333903613000000  Conferencias E Exposicoes</v>
      </c>
      <c r="B1450" s="628"/>
      <c r="C1450" s="631"/>
      <c r="D1450" s="632">
        <v>333903613000000</v>
      </c>
      <c r="E1450" s="696" t="s">
        <v>5191</v>
      </c>
      <c r="F1450" s="696">
        <v>7</v>
      </c>
      <c r="G1450" s="696" t="s">
        <v>5597</v>
      </c>
      <c r="I1450" s="696"/>
      <c r="J1450" s="688"/>
      <c r="K1450" s="689"/>
    </row>
    <row r="1451" spans="1:11" s="691" customFormat="1" ht="20.100000000000001" customHeight="1" x14ac:dyDescent="0.2">
      <c r="A1451" s="695" t="str">
        <f t="shared" si="19"/>
        <v>333903614000000  Armazenagem</v>
      </c>
      <c r="B1451" s="628"/>
      <c r="C1451" s="631"/>
      <c r="D1451" s="632">
        <v>333903614000000</v>
      </c>
      <c r="E1451" s="696" t="s">
        <v>5192</v>
      </c>
      <c r="F1451" s="696">
        <v>7</v>
      </c>
      <c r="G1451" s="696" t="s">
        <v>5597</v>
      </c>
      <c r="I1451" s="696"/>
      <c r="J1451" s="688"/>
      <c r="K1451" s="689"/>
    </row>
    <row r="1452" spans="1:11" s="691" customFormat="1" ht="20.100000000000001" customHeight="1" x14ac:dyDescent="0.2">
      <c r="A1452" s="695" t="str">
        <f t="shared" si="19"/>
        <v>333903615000000  Locacao De Imoveis</v>
      </c>
      <c r="B1452" s="628"/>
      <c r="C1452" s="631"/>
      <c r="D1452" s="632">
        <v>333903615000000</v>
      </c>
      <c r="E1452" s="696" t="s">
        <v>1026</v>
      </c>
      <c r="F1452" s="696">
        <v>7</v>
      </c>
      <c r="G1452" s="696" t="s">
        <v>5597</v>
      </c>
      <c r="I1452" s="696"/>
      <c r="J1452" s="688"/>
      <c r="K1452" s="689"/>
    </row>
    <row r="1453" spans="1:11" s="691" customFormat="1" ht="20.100000000000001" customHeight="1" x14ac:dyDescent="0.2">
      <c r="A1453" s="695" t="str">
        <f t="shared" si="19"/>
        <v>333903616000000  Locacao De Bens Moveis E Intangiveis</v>
      </c>
      <c r="B1453" s="628"/>
      <c r="C1453" s="631"/>
      <c r="D1453" s="632">
        <v>333903616000000</v>
      </c>
      <c r="E1453" s="696" t="s">
        <v>5193</v>
      </c>
      <c r="F1453" s="696">
        <v>7</v>
      </c>
      <c r="G1453" s="696" t="s">
        <v>5597</v>
      </c>
      <c r="I1453" s="696"/>
      <c r="J1453" s="688"/>
      <c r="K1453" s="689"/>
    </row>
    <row r="1454" spans="1:11" s="691" customFormat="1" ht="20.100000000000001" customHeight="1" x14ac:dyDescent="0.2">
      <c r="A1454" s="695" t="str">
        <f t="shared" si="19"/>
        <v>333903618000000  Manutencao E Conservacao  De Equipamentos</v>
      </c>
      <c r="B1454" s="628"/>
      <c r="C1454" s="631"/>
      <c r="D1454" s="632">
        <v>333903618000000</v>
      </c>
      <c r="E1454" s="696" t="s">
        <v>5648</v>
      </c>
      <c r="F1454" s="696">
        <v>7</v>
      </c>
      <c r="G1454" s="696" t="s">
        <v>5597</v>
      </c>
      <c r="I1454" s="696"/>
      <c r="J1454" s="688"/>
      <c r="K1454" s="689"/>
    </row>
    <row r="1455" spans="1:11" s="691" customFormat="1" ht="20.100000000000001" customHeight="1" x14ac:dyDescent="0.2">
      <c r="A1455" s="695" t="str">
        <f t="shared" si="19"/>
        <v>333903620000000  Manutencao E Conservacao De Veiculos</v>
      </c>
      <c r="B1455" s="628"/>
      <c r="C1455" s="631"/>
      <c r="D1455" s="632">
        <v>333903620000000</v>
      </c>
      <c r="E1455" s="696" t="s">
        <v>5194</v>
      </c>
      <c r="F1455" s="696">
        <v>7</v>
      </c>
      <c r="G1455" s="696" t="s">
        <v>5597</v>
      </c>
      <c r="I1455" s="696" t="s">
        <v>5600</v>
      </c>
      <c r="J1455" s="688"/>
      <c r="K1455" s="689"/>
    </row>
    <row r="1456" spans="1:11" s="691" customFormat="1" ht="20.100000000000001" customHeight="1" x14ac:dyDescent="0.2">
      <c r="A1456" s="695" t="str">
        <f t="shared" si="19"/>
        <v>333903620010000  Manutencao Motoniveladora 120H</v>
      </c>
      <c r="B1456" s="628"/>
      <c r="C1456" s="631"/>
      <c r="D1456" s="632">
        <v>333903620010000</v>
      </c>
      <c r="E1456" s="696" t="s">
        <v>5195</v>
      </c>
      <c r="F1456" s="696">
        <v>8</v>
      </c>
      <c r="G1456" s="696" t="s">
        <v>5597</v>
      </c>
      <c r="I1456" s="696" t="s">
        <v>5600</v>
      </c>
      <c r="J1456" s="688"/>
      <c r="K1456" s="689"/>
    </row>
    <row r="1457" spans="1:11" s="691" customFormat="1" ht="20.100000000000001" customHeight="1" x14ac:dyDescent="0.2">
      <c r="A1457" s="695" t="str">
        <f t="shared" ref="A1457:A1520" si="20">CONCATENATE(D1457,"  ",E1457,)</f>
        <v>333903620020000  Manutencao Motoniveladora 135H</v>
      </c>
      <c r="B1457" s="628"/>
      <c r="C1457" s="631"/>
      <c r="D1457" s="632">
        <v>333903620020000</v>
      </c>
      <c r="E1457" s="696" t="s">
        <v>5196</v>
      </c>
      <c r="F1457" s="696">
        <v>8</v>
      </c>
      <c r="G1457" s="696" t="s">
        <v>5597</v>
      </c>
      <c r="I1457" s="696" t="s">
        <v>5600</v>
      </c>
      <c r="J1457" s="688"/>
      <c r="K1457" s="689"/>
    </row>
    <row r="1458" spans="1:11" s="691" customFormat="1" ht="20.100000000000001" customHeight="1" x14ac:dyDescent="0.2">
      <c r="A1458" s="695" t="str">
        <f t="shared" si="20"/>
        <v>333903620030000  Manutencao Retro 580L 4X2</v>
      </c>
      <c r="B1458" s="628"/>
      <c r="C1458" s="631"/>
      <c r="D1458" s="632">
        <v>333903620030000</v>
      </c>
      <c r="E1458" s="696" t="s">
        <v>5197</v>
      </c>
      <c r="F1458" s="696">
        <v>8</v>
      </c>
      <c r="G1458" s="696" t="s">
        <v>5597</v>
      </c>
      <c r="I1458" s="696" t="s">
        <v>5600</v>
      </c>
      <c r="J1458" s="688"/>
      <c r="K1458" s="689"/>
    </row>
    <row r="1459" spans="1:11" s="691" customFormat="1" ht="20.100000000000001" customHeight="1" x14ac:dyDescent="0.2">
      <c r="A1459" s="695" t="str">
        <f t="shared" si="20"/>
        <v>333903620040000  Manutencao Retro JCB PAC2</v>
      </c>
      <c r="B1459" s="628"/>
      <c r="C1459" s="631"/>
      <c r="D1459" s="632">
        <v>333903620040000</v>
      </c>
      <c r="E1459" s="696" t="s">
        <v>5198</v>
      </c>
      <c r="F1459" s="696">
        <v>8</v>
      </c>
      <c r="G1459" s="696" t="s">
        <v>5597</v>
      </c>
      <c r="I1459" s="696" t="s">
        <v>5600</v>
      </c>
      <c r="J1459" s="688"/>
      <c r="K1459" s="689"/>
    </row>
    <row r="1460" spans="1:11" s="691" customFormat="1" ht="20.100000000000001" customHeight="1" x14ac:dyDescent="0.2">
      <c r="A1460" s="695" t="str">
        <f t="shared" si="20"/>
        <v>333903620050000  Manutencao Trator Esteira D5E</v>
      </c>
      <c r="B1460" s="628"/>
      <c r="C1460" s="631"/>
      <c r="D1460" s="632">
        <v>333903620050000</v>
      </c>
      <c r="E1460" s="696" t="s">
        <v>5199</v>
      </c>
      <c r="F1460" s="696">
        <v>8</v>
      </c>
      <c r="G1460" s="696" t="s">
        <v>5597</v>
      </c>
      <c r="I1460" s="696" t="s">
        <v>5600</v>
      </c>
      <c r="J1460" s="688"/>
      <c r="K1460" s="689"/>
    </row>
    <row r="1461" spans="1:11" s="691" customFormat="1" ht="20.100000000000001" customHeight="1" x14ac:dyDescent="0.2">
      <c r="A1461" s="695" t="str">
        <f t="shared" si="20"/>
        <v>333903620060000  Manutencao Veiculo IVR 0147</v>
      </c>
      <c r="B1461" s="628"/>
      <c r="C1461" s="631"/>
      <c r="D1461" s="632">
        <v>333903620060000</v>
      </c>
      <c r="E1461" s="696" t="s">
        <v>5200</v>
      </c>
      <c r="F1461" s="696">
        <v>8</v>
      </c>
      <c r="G1461" s="696" t="s">
        <v>5597</v>
      </c>
      <c r="I1461" s="696" t="s">
        <v>5600</v>
      </c>
      <c r="J1461" s="688"/>
      <c r="K1461" s="689"/>
    </row>
    <row r="1462" spans="1:11" s="691" customFormat="1" ht="20.100000000000001" customHeight="1" x14ac:dyDescent="0.2">
      <c r="A1462" s="695" t="str">
        <f t="shared" si="20"/>
        <v>333903620070000  Manutencao Veiculo ILH 6621</v>
      </c>
      <c r="B1462" s="628"/>
      <c r="C1462" s="631"/>
      <c r="D1462" s="632">
        <v>333903620070000</v>
      </c>
      <c r="E1462" s="696" t="s">
        <v>5201</v>
      </c>
      <c r="F1462" s="696">
        <v>8</v>
      </c>
      <c r="G1462" s="696" t="s">
        <v>5597</v>
      </c>
      <c r="I1462" s="696" t="s">
        <v>5600</v>
      </c>
      <c r="J1462" s="688"/>
      <c r="K1462" s="689"/>
    </row>
    <row r="1463" spans="1:11" s="691" customFormat="1" ht="20.100000000000001" customHeight="1" x14ac:dyDescent="0.2">
      <c r="A1463" s="695" t="str">
        <f t="shared" si="20"/>
        <v>333903620080000  Manutencao Veiculo ILH 6579</v>
      </c>
      <c r="B1463" s="628"/>
      <c r="C1463" s="631"/>
      <c r="D1463" s="632">
        <v>333903620080000</v>
      </c>
      <c r="E1463" s="696" t="s">
        <v>5202</v>
      </c>
      <c r="F1463" s="696">
        <v>8</v>
      </c>
      <c r="G1463" s="696" t="s">
        <v>5597</v>
      </c>
      <c r="I1463" s="696" t="s">
        <v>5600</v>
      </c>
      <c r="J1463" s="688"/>
      <c r="K1463" s="689"/>
    </row>
    <row r="1464" spans="1:11" s="691" customFormat="1" ht="20.100000000000001" customHeight="1" x14ac:dyDescent="0.2">
      <c r="A1464" s="695" t="str">
        <f t="shared" si="20"/>
        <v>333903620090000  Manutencao Veiculo IPN 4843</v>
      </c>
      <c r="B1464" s="628"/>
      <c r="C1464" s="631"/>
      <c r="D1464" s="632">
        <v>333903620090000</v>
      </c>
      <c r="E1464" s="696" t="s">
        <v>5203</v>
      </c>
      <c r="F1464" s="696">
        <v>8</v>
      </c>
      <c r="G1464" s="696" t="s">
        <v>5597</v>
      </c>
      <c r="I1464" s="696" t="s">
        <v>5600</v>
      </c>
      <c r="J1464" s="688"/>
      <c r="K1464" s="689"/>
    </row>
    <row r="1465" spans="1:11" s="691" customFormat="1" ht="20.100000000000001" customHeight="1" x14ac:dyDescent="0.2">
      <c r="A1465" s="695" t="str">
        <f t="shared" si="20"/>
        <v>333903620100000  Manutencao Veiculo IPP 9013</v>
      </c>
      <c r="B1465" s="628"/>
      <c r="C1465" s="631"/>
      <c r="D1465" s="632">
        <v>333903620100000</v>
      </c>
      <c r="E1465" s="696" t="s">
        <v>5204</v>
      </c>
      <c r="F1465" s="696">
        <v>8</v>
      </c>
      <c r="G1465" s="696" t="s">
        <v>5597</v>
      </c>
      <c r="I1465" s="696" t="s">
        <v>5600</v>
      </c>
      <c r="J1465" s="688"/>
      <c r="K1465" s="689"/>
    </row>
    <row r="1466" spans="1:11" s="691" customFormat="1" ht="20.100000000000001" customHeight="1" x14ac:dyDescent="0.2">
      <c r="A1466" s="695" t="str">
        <f t="shared" si="20"/>
        <v>333903620110000  Manutencao Veiculo IPP 9043</v>
      </c>
      <c r="B1466" s="628"/>
      <c r="C1466" s="631"/>
      <c r="D1466" s="632">
        <v>333903620110000</v>
      </c>
      <c r="E1466" s="696" t="s">
        <v>5205</v>
      </c>
      <c r="F1466" s="696">
        <v>8</v>
      </c>
      <c r="G1466" s="696" t="s">
        <v>5597</v>
      </c>
      <c r="I1466" s="696" t="s">
        <v>5600</v>
      </c>
      <c r="J1466" s="688"/>
      <c r="K1466" s="689"/>
    </row>
    <row r="1467" spans="1:11" s="691" customFormat="1" ht="20.100000000000001" customHeight="1" x14ac:dyDescent="0.2">
      <c r="A1467" s="695" t="str">
        <f t="shared" si="20"/>
        <v>333903621000000  Manutencao E Conservacao De Bens Moveis De Outras Naturezas</v>
      </c>
      <c r="B1467" s="628"/>
      <c r="C1467" s="631"/>
      <c r="D1467" s="632">
        <v>333903621000000</v>
      </c>
      <c r="E1467" s="696" t="s">
        <v>1198</v>
      </c>
      <c r="F1467" s="696">
        <v>7</v>
      </c>
      <c r="G1467" s="696" t="s">
        <v>5597</v>
      </c>
      <c r="I1467" s="696"/>
      <c r="J1467" s="688"/>
      <c r="K1467" s="689"/>
    </row>
    <row r="1468" spans="1:11" s="691" customFormat="1" ht="20.100000000000001" customHeight="1" x14ac:dyDescent="0.2">
      <c r="A1468" s="695" t="str">
        <f t="shared" si="20"/>
        <v>333903622000000  Manutencao E Conservacao  De Bens Imoveis</v>
      </c>
      <c r="B1468" s="628"/>
      <c r="C1468" s="631"/>
      <c r="D1468" s="632">
        <v>333903622000000</v>
      </c>
      <c r="E1468" s="696" t="s">
        <v>5649</v>
      </c>
      <c r="F1468" s="696">
        <v>7</v>
      </c>
      <c r="G1468" s="696" t="s">
        <v>5597</v>
      </c>
      <c r="I1468" s="696"/>
      <c r="J1468" s="688"/>
      <c r="K1468" s="689"/>
    </row>
    <row r="1469" spans="1:11" s="691" customFormat="1" ht="20.100000000000001" customHeight="1" x14ac:dyDescent="0.2">
      <c r="A1469" s="695" t="str">
        <f t="shared" si="20"/>
        <v>333903623000000  Fornecimento De Alimentacao</v>
      </c>
      <c r="B1469" s="628"/>
      <c r="C1469" s="631"/>
      <c r="D1469" s="632">
        <v>333903623000000</v>
      </c>
      <c r="E1469" s="696" t="s">
        <v>5206</v>
      </c>
      <c r="F1469" s="696">
        <v>7</v>
      </c>
      <c r="G1469" s="696" t="s">
        <v>5597</v>
      </c>
      <c r="I1469" s="696"/>
      <c r="J1469" s="688"/>
      <c r="K1469" s="689"/>
    </row>
    <row r="1470" spans="1:11" s="691" customFormat="1" ht="20.100000000000001" customHeight="1" x14ac:dyDescent="0.2">
      <c r="A1470" s="695" t="str">
        <f t="shared" si="20"/>
        <v>333903625000000  Servicos De Limpeza E Conservacao</v>
      </c>
      <c r="B1470" s="628"/>
      <c r="C1470" s="631"/>
      <c r="D1470" s="632">
        <v>333903625000000</v>
      </c>
      <c r="E1470" s="696" t="s">
        <v>2205</v>
      </c>
      <c r="F1470" s="696">
        <v>7</v>
      </c>
      <c r="G1470" s="696" t="s">
        <v>5597</v>
      </c>
      <c r="I1470" s="696"/>
      <c r="J1470" s="688"/>
      <c r="K1470" s="689"/>
    </row>
    <row r="1471" spans="1:11" s="691" customFormat="1" ht="20.100000000000001" customHeight="1" x14ac:dyDescent="0.2">
      <c r="A1471" s="695" t="str">
        <f t="shared" si="20"/>
        <v>333903626000000  Servicos Domesticos</v>
      </c>
      <c r="B1471" s="628"/>
      <c r="C1471" s="631"/>
      <c r="D1471" s="632">
        <v>333903626000000</v>
      </c>
      <c r="E1471" s="696" t="s">
        <v>5207</v>
      </c>
      <c r="F1471" s="696">
        <v>7</v>
      </c>
      <c r="G1471" s="696" t="s">
        <v>5597</v>
      </c>
      <c r="I1471" s="696"/>
      <c r="J1471" s="688"/>
      <c r="K1471" s="689"/>
    </row>
    <row r="1472" spans="1:11" s="691" customFormat="1" ht="20.100000000000001" customHeight="1" x14ac:dyDescent="0.2">
      <c r="A1472" s="695" t="str">
        <f t="shared" si="20"/>
        <v>333903627000000  Servicos De Comunicacao Em Geral</v>
      </c>
      <c r="B1472" s="628"/>
      <c r="C1472" s="631"/>
      <c r="D1472" s="632">
        <v>333903627000000</v>
      </c>
      <c r="E1472" s="696" t="s">
        <v>5208</v>
      </c>
      <c r="F1472" s="696">
        <v>7</v>
      </c>
      <c r="G1472" s="696" t="s">
        <v>5597</v>
      </c>
      <c r="I1472" s="696"/>
      <c r="J1472" s="688"/>
      <c r="K1472" s="689"/>
    </row>
    <row r="1473" spans="1:11" s="691" customFormat="1" ht="20.100000000000001" customHeight="1" x14ac:dyDescent="0.2">
      <c r="A1473" s="695" t="str">
        <f t="shared" si="20"/>
        <v>333903628000000  Servico De Selecao E Treinamento</v>
      </c>
      <c r="B1473" s="628"/>
      <c r="C1473" s="631"/>
      <c r="D1473" s="632">
        <v>333903628000000</v>
      </c>
      <c r="E1473" s="696" t="s">
        <v>1042</v>
      </c>
      <c r="F1473" s="696">
        <v>7</v>
      </c>
      <c r="G1473" s="696" t="s">
        <v>5597</v>
      </c>
      <c r="I1473" s="696"/>
      <c r="J1473" s="688"/>
      <c r="K1473" s="689"/>
    </row>
    <row r="1474" spans="1:11" s="691" customFormat="1" ht="20.100000000000001" customHeight="1" x14ac:dyDescent="0.2">
      <c r="A1474" s="695" t="str">
        <f t="shared" si="20"/>
        <v>333903629000000  Honorarios Advocaticios - Onus Da Sucumbencia</v>
      </c>
      <c r="B1474" s="628"/>
      <c r="C1474" s="631"/>
      <c r="D1474" s="632">
        <v>333903629000000</v>
      </c>
      <c r="E1474" s="696" t="s">
        <v>5209</v>
      </c>
      <c r="F1474" s="696">
        <v>7</v>
      </c>
      <c r="G1474" s="696" t="s">
        <v>5597</v>
      </c>
      <c r="I1474" s="696"/>
      <c r="J1474" s="688"/>
      <c r="K1474" s="689"/>
    </row>
    <row r="1475" spans="1:11" s="691" customFormat="1" ht="20.100000000000001" customHeight="1" x14ac:dyDescent="0.2">
      <c r="A1475" s="695" t="str">
        <f t="shared" si="20"/>
        <v>333903630000000  Servicos Medicos E Odontologicos</v>
      </c>
      <c r="B1475" s="628"/>
      <c r="C1475" s="631"/>
      <c r="D1475" s="632">
        <v>333903630000000</v>
      </c>
      <c r="E1475" s="696" t="s">
        <v>5210</v>
      </c>
      <c r="F1475" s="696">
        <v>7</v>
      </c>
      <c r="G1475" s="696" t="s">
        <v>5597</v>
      </c>
      <c r="I1475" s="696"/>
      <c r="J1475" s="688"/>
      <c r="K1475" s="689"/>
    </row>
    <row r="1476" spans="1:11" s="691" customFormat="1" ht="20.100000000000001" customHeight="1" x14ac:dyDescent="0.2">
      <c r="A1476" s="695" t="str">
        <f t="shared" si="20"/>
        <v>333903631000000  Servicos De Reabilitacao Profissional</v>
      </c>
      <c r="B1476" s="628"/>
      <c r="C1476" s="631"/>
      <c r="D1476" s="632">
        <v>333903631000000</v>
      </c>
      <c r="E1476" s="696" t="s">
        <v>5211</v>
      </c>
      <c r="F1476" s="696">
        <v>7</v>
      </c>
      <c r="G1476" s="696" t="s">
        <v>5597</v>
      </c>
      <c r="I1476" s="696"/>
      <c r="J1476" s="688"/>
      <c r="K1476" s="689"/>
    </row>
    <row r="1477" spans="1:11" s="691" customFormat="1" ht="20.100000000000001" customHeight="1" x14ac:dyDescent="0.2">
      <c r="A1477" s="695" t="str">
        <f t="shared" si="20"/>
        <v>333903632000000  Servicos De Assistencia Social</v>
      </c>
      <c r="B1477" s="628"/>
      <c r="C1477" s="631"/>
      <c r="D1477" s="632">
        <v>333903632000000</v>
      </c>
      <c r="E1477" s="696" t="s">
        <v>5212</v>
      </c>
      <c r="F1477" s="696">
        <v>7</v>
      </c>
      <c r="G1477" s="696" t="s">
        <v>5597</v>
      </c>
      <c r="I1477" s="696"/>
      <c r="J1477" s="688"/>
      <c r="K1477" s="689"/>
    </row>
    <row r="1478" spans="1:11" s="691" customFormat="1" ht="20.100000000000001" customHeight="1" x14ac:dyDescent="0.2">
      <c r="A1478" s="695" t="str">
        <f t="shared" si="20"/>
        <v>333903634000000  Servicos De Pericias Medicas Por Beneficios</v>
      </c>
      <c r="B1478" s="628"/>
      <c r="C1478" s="631"/>
      <c r="D1478" s="632">
        <v>333903634000000</v>
      </c>
      <c r="E1478" s="696" t="s">
        <v>5213</v>
      </c>
      <c r="F1478" s="696">
        <v>7</v>
      </c>
      <c r="G1478" s="696" t="s">
        <v>5597</v>
      </c>
      <c r="I1478" s="696"/>
      <c r="J1478" s="688"/>
      <c r="K1478" s="689"/>
    </row>
    <row r="1479" spans="1:11" s="691" customFormat="1" ht="20.100000000000001" customHeight="1" x14ac:dyDescent="0.2">
      <c r="A1479" s="695" t="str">
        <f t="shared" si="20"/>
        <v>333903635000000  Servicos  De Apoio Administrativos, Tecnico E Operacional</v>
      </c>
      <c r="B1479" s="628"/>
      <c r="C1479" s="631"/>
      <c r="D1479" s="632">
        <v>333903635000000</v>
      </c>
      <c r="E1479" s="696" t="s">
        <v>5650</v>
      </c>
      <c r="F1479" s="696">
        <v>7</v>
      </c>
      <c r="G1479" s="696" t="s">
        <v>5597</v>
      </c>
      <c r="I1479" s="696"/>
      <c r="J1479" s="688"/>
      <c r="K1479" s="689"/>
    </row>
    <row r="1480" spans="1:11" s="691" customFormat="1" ht="20.100000000000001" customHeight="1" x14ac:dyDescent="0.2">
      <c r="A1480" s="695" t="str">
        <f t="shared" si="20"/>
        <v>333903636000000  Servicos De Conservacao E Rebeneficiamento  De Mercadorias</v>
      </c>
      <c r="B1480" s="628"/>
      <c r="C1480" s="631"/>
      <c r="D1480" s="632">
        <v>333903636000000</v>
      </c>
      <c r="E1480" s="696" t="s">
        <v>5651</v>
      </c>
      <c r="F1480" s="696">
        <v>7</v>
      </c>
      <c r="G1480" s="696" t="s">
        <v>5597</v>
      </c>
      <c r="I1480" s="696"/>
      <c r="J1480" s="688"/>
      <c r="K1480" s="689"/>
    </row>
    <row r="1481" spans="1:11" s="691" customFormat="1" ht="20.100000000000001" customHeight="1" x14ac:dyDescent="0.2">
      <c r="A1481" s="695" t="str">
        <f t="shared" si="20"/>
        <v>333903637000000  Confeccao De Material De Acondicionamento  E Embalagem</v>
      </c>
      <c r="B1481" s="628"/>
      <c r="C1481" s="631"/>
      <c r="D1481" s="632">
        <v>333903637000000</v>
      </c>
      <c r="E1481" s="696" t="s">
        <v>5652</v>
      </c>
      <c r="F1481" s="696">
        <v>7</v>
      </c>
      <c r="G1481" s="696" t="s">
        <v>5597</v>
      </c>
      <c r="I1481" s="696"/>
      <c r="J1481" s="688"/>
      <c r="K1481" s="689"/>
    </row>
    <row r="1482" spans="1:11" s="691" customFormat="1" ht="20.100000000000001" customHeight="1" x14ac:dyDescent="0.2">
      <c r="A1482" s="695" t="str">
        <f t="shared" si="20"/>
        <v>333903638000000  Confeccao De Uniformes, Bandeiras E Flamulas</v>
      </c>
      <c r="B1482" s="628"/>
      <c r="C1482" s="631"/>
      <c r="D1482" s="632">
        <v>333903638000000</v>
      </c>
      <c r="E1482" s="696" t="s">
        <v>5214</v>
      </c>
      <c r="F1482" s="696">
        <v>7</v>
      </c>
      <c r="G1482" s="696" t="s">
        <v>5597</v>
      </c>
      <c r="I1482" s="696"/>
      <c r="J1482" s="688"/>
      <c r="K1482" s="689"/>
    </row>
    <row r="1483" spans="1:11" s="691" customFormat="1" ht="20.100000000000001" customHeight="1" x14ac:dyDescent="0.2">
      <c r="A1483" s="695" t="str">
        <f t="shared" si="20"/>
        <v>333903639000000  Fretes E Transportes De Encomendas</v>
      </c>
      <c r="B1483" s="628"/>
      <c r="C1483" s="631"/>
      <c r="D1483" s="632">
        <v>333903639000000</v>
      </c>
      <c r="E1483" s="696" t="s">
        <v>5215</v>
      </c>
      <c r="F1483" s="696">
        <v>7</v>
      </c>
      <c r="G1483" s="696" t="s">
        <v>5597</v>
      </c>
      <c r="I1483" s="696"/>
      <c r="J1483" s="688"/>
      <c r="K1483" s="689"/>
    </row>
    <row r="1484" spans="1:11" s="691" customFormat="1" ht="20.100000000000001" customHeight="1" x14ac:dyDescent="0.2">
      <c r="A1484" s="695" t="str">
        <f t="shared" si="20"/>
        <v>333903642000000  Juros</v>
      </c>
      <c r="B1484" s="628"/>
      <c r="C1484" s="631"/>
      <c r="D1484" s="632">
        <v>333903642000000</v>
      </c>
      <c r="E1484" s="696" t="s">
        <v>1250</v>
      </c>
      <c r="F1484" s="696">
        <v>7</v>
      </c>
      <c r="G1484" s="696" t="s">
        <v>5597</v>
      </c>
      <c r="I1484" s="696"/>
      <c r="J1484" s="688"/>
      <c r="K1484" s="689"/>
    </row>
    <row r="1485" spans="1:11" s="691" customFormat="1" ht="20.100000000000001" customHeight="1" x14ac:dyDescent="0.2">
      <c r="A1485" s="695" t="str">
        <f t="shared" si="20"/>
        <v>333903645000000  Jetons A Conselheiros</v>
      </c>
      <c r="B1485" s="628"/>
      <c r="C1485" s="631"/>
      <c r="D1485" s="632">
        <v>333903645000000</v>
      </c>
      <c r="E1485" s="696" t="s">
        <v>5216</v>
      </c>
      <c r="F1485" s="696">
        <v>7</v>
      </c>
      <c r="G1485" s="696" t="s">
        <v>5597</v>
      </c>
      <c r="I1485" s="696"/>
      <c r="J1485" s="688"/>
      <c r="K1485" s="689"/>
    </row>
    <row r="1486" spans="1:11" s="691" customFormat="1" ht="20.100000000000001" customHeight="1" x14ac:dyDescent="0.2">
      <c r="A1486" s="695" t="str">
        <f t="shared" si="20"/>
        <v>333903646000000  Diarias A Conselheiros</v>
      </c>
      <c r="B1486" s="628"/>
      <c r="C1486" s="631"/>
      <c r="D1486" s="632">
        <v>333903646000000</v>
      </c>
      <c r="E1486" s="696" t="s">
        <v>5217</v>
      </c>
      <c r="F1486" s="696">
        <v>7</v>
      </c>
      <c r="G1486" s="696" t="s">
        <v>5597</v>
      </c>
      <c r="I1486" s="696"/>
      <c r="J1486" s="688"/>
      <c r="K1486" s="689"/>
    </row>
    <row r="1487" spans="1:11" s="691" customFormat="1" ht="20.100000000000001" customHeight="1" x14ac:dyDescent="0.2">
      <c r="A1487" s="695" t="str">
        <f t="shared" si="20"/>
        <v>333903654000000  Manutenção E Conservação De Equipamento De Processamento De Dados</v>
      </c>
      <c r="B1487" s="628"/>
      <c r="C1487" s="631"/>
      <c r="D1487" s="632">
        <v>333903654000000</v>
      </c>
      <c r="E1487" s="696" t="s">
        <v>5218</v>
      </c>
      <c r="F1487" s="696">
        <v>7</v>
      </c>
      <c r="G1487" s="696" t="s">
        <v>5597</v>
      </c>
      <c r="I1487" s="696" t="s">
        <v>5647</v>
      </c>
      <c r="J1487" s="688"/>
      <c r="K1487" s="689"/>
    </row>
    <row r="1488" spans="1:11" s="691" customFormat="1" ht="20.100000000000001" customHeight="1" x14ac:dyDescent="0.2">
      <c r="A1488" s="695" t="str">
        <f t="shared" si="20"/>
        <v>333903657000000  Serviços Técnicos De Profissionais De T.I.</v>
      </c>
      <c r="B1488" s="628"/>
      <c r="C1488" s="631"/>
      <c r="D1488" s="632">
        <v>333903657000000</v>
      </c>
      <c r="E1488" s="696" t="s">
        <v>5219</v>
      </c>
      <c r="F1488" s="696">
        <v>7</v>
      </c>
      <c r="G1488" s="696" t="s">
        <v>5597</v>
      </c>
      <c r="I1488" s="696" t="s">
        <v>5647</v>
      </c>
      <c r="J1488" s="688"/>
      <c r="K1488" s="689"/>
    </row>
    <row r="1489" spans="1:11" s="691" customFormat="1" ht="20.100000000000001" customHeight="1" x14ac:dyDescent="0.2">
      <c r="A1489" s="695" t="str">
        <f t="shared" si="20"/>
        <v>333903659000000  Servicos De Audio, Video E Foto</v>
      </c>
      <c r="B1489" s="628"/>
      <c r="C1489" s="631"/>
      <c r="D1489" s="632">
        <v>333903659000000</v>
      </c>
      <c r="E1489" s="696" t="s">
        <v>5220</v>
      </c>
      <c r="F1489" s="696">
        <v>7</v>
      </c>
      <c r="G1489" s="696" t="s">
        <v>5597</v>
      </c>
      <c r="I1489" s="696"/>
      <c r="J1489" s="688"/>
      <c r="K1489" s="689"/>
    </row>
    <row r="1490" spans="1:11" s="691" customFormat="1" ht="20.100000000000001" customHeight="1" x14ac:dyDescent="0.2">
      <c r="A1490" s="695" t="str">
        <f t="shared" si="20"/>
        <v>333903696000000  Outros Servicos De Terceiros Pessoa Fisica - Pagamento Antecipado</v>
      </c>
      <c r="B1490" s="628"/>
      <c r="C1490" s="631"/>
      <c r="D1490" s="632">
        <v>333903696000000</v>
      </c>
      <c r="E1490" s="696" t="s">
        <v>5221</v>
      </c>
      <c r="F1490" s="696">
        <v>7</v>
      </c>
      <c r="G1490" s="696" t="s">
        <v>5597</v>
      </c>
      <c r="I1490" s="696"/>
      <c r="J1490" s="688"/>
      <c r="K1490" s="689"/>
    </row>
    <row r="1491" spans="1:11" s="691" customFormat="1" ht="20.100000000000001" customHeight="1" x14ac:dyDescent="0.2">
      <c r="A1491" s="695" t="str">
        <f t="shared" si="20"/>
        <v>333903699000000  Outros Servicos</v>
      </c>
      <c r="B1491" s="628"/>
      <c r="C1491" s="631"/>
      <c r="D1491" s="632">
        <v>333903699000000</v>
      </c>
      <c r="E1491" s="696" t="s">
        <v>1742</v>
      </c>
      <c r="F1491" s="696">
        <v>7</v>
      </c>
      <c r="G1491" s="696" t="s">
        <v>5597</v>
      </c>
      <c r="I1491" s="696"/>
      <c r="J1491" s="688"/>
      <c r="K1491" s="689"/>
    </row>
    <row r="1492" spans="1:11" s="691" customFormat="1" ht="20.100000000000001" customHeight="1" x14ac:dyDescent="0.2">
      <c r="A1492" s="695" t="str">
        <f t="shared" si="20"/>
        <v>333903699010000  Outros Serviços Pessoa Física - Legislativo</v>
      </c>
      <c r="B1492" s="628"/>
      <c r="C1492" s="631"/>
      <c r="D1492" s="632">
        <v>333903699010000</v>
      </c>
      <c r="E1492" s="696" t="s">
        <v>5222</v>
      </c>
      <c r="F1492" s="696">
        <v>7</v>
      </c>
      <c r="G1492" s="696" t="s">
        <v>5597</v>
      </c>
      <c r="I1492" s="696"/>
      <c r="J1492" s="688"/>
      <c r="K1492" s="689"/>
    </row>
    <row r="1493" spans="1:11" s="691" customFormat="1" ht="20.100000000000001" customHeight="1" x14ac:dyDescent="0.2">
      <c r="A1493" s="695" t="str">
        <f t="shared" si="20"/>
        <v>333903699020000  Outros Serviços Pessoa Física - Executivo</v>
      </c>
      <c r="B1493" s="628"/>
      <c r="C1493" s="631"/>
      <c r="D1493" s="632">
        <v>333903699020000</v>
      </c>
      <c r="E1493" s="696" t="s">
        <v>1017</v>
      </c>
      <c r="F1493" s="696">
        <v>7</v>
      </c>
      <c r="G1493" s="696" t="s">
        <v>5597</v>
      </c>
      <c r="I1493" s="696"/>
      <c r="J1493" s="688"/>
      <c r="K1493" s="689"/>
    </row>
    <row r="1494" spans="1:11" s="691" customFormat="1" ht="20.100000000000001" customHeight="1" x14ac:dyDescent="0.2">
      <c r="A1494" s="695" t="str">
        <f t="shared" si="20"/>
        <v>333903699030000  Outros Serviços Pessoa Física</v>
      </c>
      <c r="B1494" s="628"/>
      <c r="C1494" s="631"/>
      <c r="D1494" s="632">
        <v>333903699030000</v>
      </c>
      <c r="E1494" s="696" t="s">
        <v>2204</v>
      </c>
      <c r="F1494" s="696">
        <v>7</v>
      </c>
      <c r="G1494" s="696" t="s">
        <v>5597</v>
      </c>
      <c r="I1494" s="696" t="s">
        <v>5600</v>
      </c>
      <c r="J1494" s="688"/>
      <c r="K1494" s="689"/>
    </row>
    <row r="1495" spans="1:11" s="691" customFormat="1" ht="20.100000000000001" customHeight="1" x14ac:dyDescent="0.2">
      <c r="A1495" s="695" t="str">
        <f t="shared" si="20"/>
        <v>333903699040000  Servicos de Pedreiro</v>
      </c>
      <c r="B1495" s="628"/>
      <c r="C1495" s="631"/>
      <c r="D1495" s="632">
        <v>333903699040000</v>
      </c>
      <c r="E1495" s="696" t="s">
        <v>5223</v>
      </c>
      <c r="F1495" s="696">
        <v>7</v>
      </c>
      <c r="G1495" s="696" t="s">
        <v>5597</v>
      </c>
      <c r="I1495" s="696" t="s">
        <v>5600</v>
      </c>
      <c r="J1495" s="688"/>
      <c r="K1495" s="689"/>
    </row>
    <row r="1496" spans="1:11" s="691" customFormat="1" ht="20.100000000000001" customHeight="1" x14ac:dyDescent="0.2">
      <c r="A1496" s="695" t="str">
        <f t="shared" si="20"/>
        <v>333903700000000  Locacao De Mao-de-obra</v>
      </c>
      <c r="B1496" s="628"/>
      <c r="C1496" s="631"/>
      <c r="D1496" s="632">
        <v>333903700000000</v>
      </c>
      <c r="E1496" s="696" t="s">
        <v>5224</v>
      </c>
      <c r="F1496" s="696">
        <v>6</v>
      </c>
      <c r="G1496" s="696" t="s">
        <v>5596</v>
      </c>
      <c r="I1496" s="696"/>
      <c r="J1496" s="688"/>
      <c r="K1496" s="689"/>
    </row>
    <row r="1497" spans="1:11" s="691" customFormat="1" ht="20.100000000000001" customHeight="1" x14ac:dyDescent="0.2">
      <c r="A1497" s="695" t="str">
        <f t="shared" si="20"/>
        <v>333903701000000  Apoio Administrativo, Tecnico E Operacional</v>
      </c>
      <c r="B1497" s="628"/>
      <c r="C1497" s="631"/>
      <c r="D1497" s="632">
        <v>333903701000000</v>
      </c>
      <c r="E1497" s="696" t="s">
        <v>5225</v>
      </c>
      <c r="F1497" s="696">
        <v>7</v>
      </c>
      <c r="G1497" s="696" t="s">
        <v>5597</v>
      </c>
      <c r="I1497" s="696"/>
      <c r="J1497" s="688"/>
      <c r="K1497" s="689"/>
    </row>
    <row r="1498" spans="1:11" s="691" customFormat="1" ht="20.100000000000001" customHeight="1" x14ac:dyDescent="0.2">
      <c r="A1498" s="695" t="str">
        <f t="shared" si="20"/>
        <v>333903702000000  Limpeza E Conservacao</v>
      </c>
      <c r="B1498" s="628"/>
      <c r="C1498" s="631"/>
      <c r="D1498" s="632">
        <v>333903702000000</v>
      </c>
      <c r="E1498" s="696" t="s">
        <v>1196</v>
      </c>
      <c r="F1498" s="696">
        <v>7</v>
      </c>
      <c r="G1498" s="696" t="s">
        <v>5597</v>
      </c>
      <c r="I1498" s="696"/>
      <c r="J1498" s="688"/>
      <c r="K1498" s="689"/>
    </row>
    <row r="1499" spans="1:11" s="691" customFormat="1" ht="20.100000000000001" customHeight="1" x14ac:dyDescent="0.2">
      <c r="A1499" s="695" t="str">
        <f t="shared" si="20"/>
        <v>333903703000000  Vigilancia Ostensiva</v>
      </c>
      <c r="B1499" s="628"/>
      <c r="C1499" s="631"/>
      <c r="D1499" s="632">
        <v>333903703000000</v>
      </c>
      <c r="E1499" s="696" t="s">
        <v>5226</v>
      </c>
      <c r="F1499" s="696">
        <v>7</v>
      </c>
      <c r="G1499" s="696" t="s">
        <v>5597</v>
      </c>
      <c r="I1499" s="696"/>
      <c r="J1499" s="688"/>
      <c r="K1499" s="689"/>
    </row>
    <row r="1500" spans="1:11" s="691" customFormat="1" ht="20.100000000000001" customHeight="1" x14ac:dyDescent="0.2">
      <c r="A1500" s="695" t="str">
        <f t="shared" si="20"/>
        <v>333903704000000  Manutencao E Conservacao De Bens Imoveis</v>
      </c>
      <c r="B1500" s="628"/>
      <c r="C1500" s="631"/>
      <c r="D1500" s="632">
        <v>333903704000000</v>
      </c>
      <c r="E1500" s="696" t="s">
        <v>5227</v>
      </c>
      <c r="F1500" s="696">
        <v>7</v>
      </c>
      <c r="G1500" s="696" t="s">
        <v>5597</v>
      </c>
      <c r="I1500" s="696"/>
      <c r="J1500" s="688"/>
      <c r="K1500" s="689"/>
    </row>
    <row r="1501" spans="1:11" s="691" customFormat="1" ht="20.100000000000001" customHeight="1" x14ac:dyDescent="0.2">
      <c r="A1501" s="695" t="str">
        <f t="shared" si="20"/>
        <v>333903705000000  Servicos De Copa E Cozinha</v>
      </c>
      <c r="B1501" s="628"/>
      <c r="C1501" s="631"/>
      <c r="D1501" s="632">
        <v>333903705000000</v>
      </c>
      <c r="E1501" s="696" t="s">
        <v>5228</v>
      </c>
      <c r="F1501" s="696">
        <v>7</v>
      </c>
      <c r="G1501" s="696" t="s">
        <v>5597</v>
      </c>
      <c r="I1501" s="696"/>
      <c r="J1501" s="688"/>
      <c r="K1501" s="689"/>
    </row>
    <row r="1502" spans="1:11" s="691" customFormat="1" ht="20.100000000000001" customHeight="1" x14ac:dyDescent="0.2">
      <c r="A1502" s="695" t="str">
        <f t="shared" si="20"/>
        <v>333903706000000  Manutencao E Conservacao De Bens Moveis</v>
      </c>
      <c r="B1502" s="628"/>
      <c r="C1502" s="631"/>
      <c r="D1502" s="632">
        <v>333903706000000</v>
      </c>
      <c r="E1502" s="696" t="s">
        <v>5229</v>
      </c>
      <c r="F1502" s="696">
        <v>7</v>
      </c>
      <c r="G1502" s="696" t="s">
        <v>5597</v>
      </c>
      <c r="I1502" s="696"/>
      <c r="J1502" s="688"/>
      <c r="K1502" s="689"/>
    </row>
    <row r="1503" spans="1:11" s="691" customFormat="1" ht="20.100000000000001" customHeight="1" x14ac:dyDescent="0.2">
      <c r="A1503" s="695" t="str">
        <f t="shared" si="20"/>
        <v>333903709000000  Manutenção De Software</v>
      </c>
      <c r="B1503" s="628"/>
      <c r="C1503" s="631"/>
      <c r="D1503" s="632">
        <v>333903709000000</v>
      </c>
      <c r="E1503" s="696" t="s">
        <v>5230</v>
      </c>
      <c r="F1503" s="696">
        <v>7</v>
      </c>
      <c r="G1503" s="696" t="s">
        <v>5597</v>
      </c>
      <c r="I1503" s="696" t="s">
        <v>5647</v>
      </c>
      <c r="J1503" s="688"/>
      <c r="K1503" s="689"/>
    </row>
    <row r="1504" spans="1:11" s="691" customFormat="1" ht="20.100000000000001" customHeight="1" x14ac:dyDescent="0.2">
      <c r="A1504" s="695" t="str">
        <f t="shared" si="20"/>
        <v>333903727000000  Suporte A Infraestrutura De T.I.</v>
      </c>
      <c r="B1504" s="628"/>
      <c r="C1504" s="631"/>
      <c r="D1504" s="632">
        <v>333903727000000</v>
      </c>
      <c r="E1504" s="696" t="s">
        <v>5231</v>
      </c>
      <c r="F1504" s="696">
        <v>7</v>
      </c>
      <c r="G1504" s="696" t="s">
        <v>5597</v>
      </c>
      <c r="I1504" s="696" t="s">
        <v>5647</v>
      </c>
      <c r="J1504" s="688"/>
      <c r="K1504" s="689"/>
    </row>
    <row r="1505" spans="1:11" s="691" customFormat="1" ht="20.100000000000001" customHeight="1" x14ac:dyDescent="0.2">
      <c r="A1505" s="695" t="str">
        <f t="shared" si="20"/>
        <v>333903728000000  Suporte A Usuário De T.I.</v>
      </c>
      <c r="B1505" s="628"/>
      <c r="C1505" s="631"/>
      <c r="D1505" s="632">
        <v>333903728000000</v>
      </c>
      <c r="E1505" s="696" t="s">
        <v>5232</v>
      </c>
      <c r="F1505" s="696">
        <v>7</v>
      </c>
      <c r="G1505" s="696" t="s">
        <v>5597</v>
      </c>
      <c r="I1505" s="696" t="s">
        <v>5647</v>
      </c>
      <c r="J1505" s="688"/>
      <c r="K1505" s="689"/>
    </row>
    <row r="1506" spans="1:11" s="691" customFormat="1" ht="20.100000000000001" customHeight="1" x14ac:dyDescent="0.2">
      <c r="A1506" s="695" t="str">
        <f t="shared" si="20"/>
        <v>333903796000000  Locacao De Mao-de-obra - Pagamento  Antecipado</v>
      </c>
      <c r="B1506" s="628"/>
      <c r="C1506" s="631"/>
      <c r="D1506" s="632">
        <v>333903796000000</v>
      </c>
      <c r="E1506" s="696" t="s">
        <v>5653</v>
      </c>
      <c r="F1506" s="696">
        <v>7</v>
      </c>
      <c r="G1506" s="696" t="s">
        <v>5597</v>
      </c>
      <c r="I1506" s="696"/>
      <c r="J1506" s="688"/>
      <c r="K1506" s="689"/>
    </row>
    <row r="1507" spans="1:11" s="691" customFormat="1" ht="20.100000000000001" customHeight="1" x14ac:dyDescent="0.2">
      <c r="A1507" s="695" t="str">
        <f t="shared" si="20"/>
        <v>333903799000000  Outras Locacoes De Mao De Obra</v>
      </c>
      <c r="B1507" s="628"/>
      <c r="C1507" s="631"/>
      <c r="D1507" s="632">
        <v>333903799000000</v>
      </c>
      <c r="E1507" s="696" t="s">
        <v>5233</v>
      </c>
      <c r="F1507" s="696">
        <v>7</v>
      </c>
      <c r="G1507" s="696" t="s">
        <v>5597</v>
      </c>
      <c r="I1507" s="696"/>
      <c r="J1507" s="688"/>
      <c r="K1507" s="689"/>
    </row>
    <row r="1508" spans="1:11" s="691" customFormat="1" ht="20.100000000000001" customHeight="1" x14ac:dyDescent="0.2">
      <c r="A1508" s="695" t="str">
        <f t="shared" si="20"/>
        <v>333903800000000  Arrendamento Mercantil</v>
      </c>
      <c r="B1508" s="628"/>
      <c r="C1508" s="631"/>
      <c r="D1508" s="632">
        <v>333903800000000</v>
      </c>
      <c r="E1508" s="696" t="s">
        <v>5234</v>
      </c>
      <c r="F1508" s="696">
        <v>6</v>
      </c>
      <c r="G1508" s="696" t="s">
        <v>5596</v>
      </c>
      <c r="I1508" s="696"/>
      <c r="J1508" s="688"/>
      <c r="K1508" s="689"/>
    </row>
    <row r="1509" spans="1:11" s="691" customFormat="1" ht="20.100000000000001" customHeight="1" x14ac:dyDescent="0.2">
      <c r="A1509" s="695" t="str">
        <f t="shared" si="20"/>
        <v>333903801000000  Maquinas E Aparelhos</v>
      </c>
      <c r="B1509" s="628"/>
      <c r="C1509" s="631"/>
      <c r="D1509" s="632">
        <v>333903801000000</v>
      </c>
      <c r="E1509" s="696" t="s">
        <v>5235</v>
      </c>
      <c r="F1509" s="696">
        <v>7</v>
      </c>
      <c r="G1509" s="696" t="s">
        <v>5597</v>
      </c>
      <c r="I1509" s="696"/>
      <c r="J1509" s="688"/>
      <c r="K1509" s="689"/>
    </row>
    <row r="1510" spans="1:11" s="691" customFormat="1" ht="20.100000000000001" customHeight="1" x14ac:dyDescent="0.2">
      <c r="A1510" s="695" t="str">
        <f t="shared" si="20"/>
        <v>333903803000000  Veiculos Rodoviarios</v>
      </c>
      <c r="B1510" s="628"/>
      <c r="C1510" s="631"/>
      <c r="D1510" s="632">
        <v>333903803000000</v>
      </c>
      <c r="E1510" s="696" t="s">
        <v>5236</v>
      </c>
      <c r="F1510" s="696">
        <v>7</v>
      </c>
      <c r="G1510" s="696" t="s">
        <v>5597</v>
      </c>
      <c r="I1510" s="696"/>
      <c r="J1510" s="688"/>
      <c r="K1510" s="689"/>
    </row>
    <row r="1511" spans="1:11" s="691" customFormat="1" ht="20.100000000000001" customHeight="1" x14ac:dyDescent="0.2">
      <c r="A1511" s="695" t="str">
        <f t="shared" si="20"/>
        <v>333903804000000  Outros Bens Moveis</v>
      </c>
      <c r="B1511" s="628"/>
      <c r="C1511" s="631"/>
      <c r="D1511" s="632">
        <v>333903804000000</v>
      </c>
      <c r="E1511" s="696" t="s">
        <v>5237</v>
      </c>
      <c r="F1511" s="696">
        <v>7</v>
      </c>
      <c r="G1511" s="696" t="s">
        <v>5597</v>
      </c>
      <c r="I1511" s="696"/>
      <c r="J1511" s="688"/>
      <c r="K1511" s="689"/>
    </row>
    <row r="1512" spans="1:11" s="691" customFormat="1" ht="20.100000000000001" customHeight="1" x14ac:dyDescent="0.2">
      <c r="A1512" s="695" t="str">
        <f t="shared" si="20"/>
        <v>333903805000000  Bens Imoveis</v>
      </c>
      <c r="B1512" s="628"/>
      <c r="C1512" s="631"/>
      <c r="D1512" s="632">
        <v>333903805000000</v>
      </c>
      <c r="E1512" s="696" t="s">
        <v>5238</v>
      </c>
      <c r="F1512" s="696">
        <v>7</v>
      </c>
      <c r="G1512" s="696" t="s">
        <v>5597</v>
      </c>
      <c r="I1512" s="696"/>
      <c r="J1512" s="688"/>
      <c r="K1512" s="689"/>
    </row>
    <row r="1513" spans="1:11" s="691" customFormat="1" ht="20.100000000000001" customHeight="1" x14ac:dyDescent="0.2">
      <c r="A1513" s="695" t="str">
        <f t="shared" si="20"/>
        <v>333903899000000  Outros Arrendamentos</v>
      </c>
      <c r="B1513" s="628"/>
      <c r="C1513" s="631"/>
      <c r="D1513" s="632">
        <v>333903899000000</v>
      </c>
      <c r="E1513" s="696" t="s">
        <v>5239</v>
      </c>
      <c r="F1513" s="696">
        <v>7</v>
      </c>
      <c r="G1513" s="696" t="s">
        <v>5597</v>
      </c>
      <c r="I1513" s="696"/>
      <c r="J1513" s="688"/>
      <c r="K1513" s="689"/>
    </row>
    <row r="1514" spans="1:11" s="691" customFormat="1" ht="20.100000000000001" customHeight="1" x14ac:dyDescent="0.2">
      <c r="A1514" s="695" t="str">
        <f t="shared" si="20"/>
        <v>333903900000000  Outros Servicos De Terceiros-pessoa Juridica</v>
      </c>
      <c r="B1514" s="628"/>
      <c r="C1514" s="631"/>
      <c r="D1514" s="632">
        <v>333903900000000</v>
      </c>
      <c r="E1514" s="696" t="s">
        <v>992</v>
      </c>
      <c r="F1514" s="696">
        <v>6</v>
      </c>
      <c r="G1514" s="696" t="s">
        <v>5596</v>
      </c>
      <c r="I1514" s="696"/>
      <c r="J1514" s="688"/>
      <c r="K1514" s="689"/>
    </row>
    <row r="1515" spans="1:11" s="691" customFormat="1" ht="20.100000000000001" customHeight="1" x14ac:dyDescent="0.2">
      <c r="A1515" s="695" t="str">
        <f t="shared" si="20"/>
        <v>333903901000000  Assinaturas De Periodicos E Anuidades</v>
      </c>
      <c r="B1515" s="628"/>
      <c r="C1515" s="631"/>
      <c r="D1515" s="632">
        <v>333903901000000</v>
      </c>
      <c r="E1515" s="696" t="s">
        <v>1054</v>
      </c>
      <c r="F1515" s="696">
        <v>7</v>
      </c>
      <c r="G1515" s="696" t="s">
        <v>5597</v>
      </c>
      <c r="I1515" s="696"/>
      <c r="J1515" s="688"/>
      <c r="K1515" s="689"/>
    </row>
    <row r="1516" spans="1:11" s="691" customFormat="1" ht="20.100000000000001" customHeight="1" x14ac:dyDescent="0.2">
      <c r="A1516" s="695" t="str">
        <f t="shared" si="20"/>
        <v>333903901010000  Assinaturas De Periodicos E Anuidades - Legislativo</v>
      </c>
      <c r="B1516" s="628"/>
      <c r="C1516" s="631"/>
      <c r="D1516" s="632">
        <v>333903901010000</v>
      </c>
      <c r="E1516" s="696" t="s">
        <v>5240</v>
      </c>
      <c r="F1516" s="696">
        <v>8</v>
      </c>
      <c r="G1516" s="696" t="s">
        <v>5597</v>
      </c>
      <c r="I1516" s="696" t="s">
        <v>5600</v>
      </c>
      <c r="J1516" s="688"/>
      <c r="K1516" s="689"/>
    </row>
    <row r="1517" spans="1:11" s="691" customFormat="1" ht="20.100000000000001" customHeight="1" x14ac:dyDescent="0.2">
      <c r="A1517" s="695" t="str">
        <f t="shared" si="20"/>
        <v>333903902000000  Condominios</v>
      </c>
      <c r="B1517" s="628"/>
      <c r="C1517" s="631"/>
      <c r="D1517" s="632">
        <v>333903902000000</v>
      </c>
      <c r="E1517" s="696" t="s">
        <v>5184</v>
      </c>
      <c r="F1517" s="696">
        <v>7</v>
      </c>
      <c r="G1517" s="696" t="s">
        <v>5597</v>
      </c>
      <c r="I1517" s="696"/>
      <c r="J1517" s="688"/>
      <c r="K1517" s="689"/>
    </row>
    <row r="1518" spans="1:11" s="691" customFormat="1" ht="20.100000000000001" customHeight="1" x14ac:dyDescent="0.2">
      <c r="A1518" s="695" t="str">
        <f t="shared" si="20"/>
        <v>333903903000000  Comissoes E Corretagens</v>
      </c>
      <c r="B1518" s="628"/>
      <c r="C1518" s="631"/>
      <c r="D1518" s="632">
        <v>333903903000000</v>
      </c>
      <c r="E1518" s="696" t="s">
        <v>5187</v>
      </c>
      <c r="F1518" s="696">
        <v>7</v>
      </c>
      <c r="G1518" s="696" t="s">
        <v>5597</v>
      </c>
      <c r="I1518" s="696"/>
      <c r="J1518" s="688"/>
      <c r="K1518" s="689"/>
    </row>
    <row r="1519" spans="1:11" s="691" customFormat="1" ht="20.100000000000001" customHeight="1" x14ac:dyDescent="0.2">
      <c r="A1519" s="695" t="str">
        <f t="shared" si="20"/>
        <v>333903904000000  Direitos Autorais</v>
      </c>
      <c r="B1519" s="628"/>
      <c r="C1519" s="631"/>
      <c r="D1519" s="632">
        <v>333903904000000</v>
      </c>
      <c r="E1519" s="696" t="s">
        <v>5188</v>
      </c>
      <c r="F1519" s="696">
        <v>7</v>
      </c>
      <c r="G1519" s="696" t="s">
        <v>5597</v>
      </c>
      <c r="I1519" s="696"/>
      <c r="J1519" s="688"/>
      <c r="K1519" s="689"/>
    </row>
    <row r="1520" spans="1:11" s="691" customFormat="1" ht="20.100000000000001" customHeight="1" x14ac:dyDescent="0.2">
      <c r="A1520" s="695" t="str">
        <f t="shared" si="20"/>
        <v>333903905000000  Servicos Tecnicos Profissionais</v>
      </c>
      <c r="B1520" s="628"/>
      <c r="C1520" s="631"/>
      <c r="D1520" s="632">
        <v>333903905000000</v>
      </c>
      <c r="E1520" s="696" t="s">
        <v>1151</v>
      </c>
      <c r="F1520" s="696">
        <v>7</v>
      </c>
      <c r="G1520" s="696" t="s">
        <v>5597</v>
      </c>
      <c r="I1520" s="696"/>
      <c r="J1520" s="688"/>
      <c r="K1520" s="689"/>
    </row>
    <row r="1521" spans="1:11" s="691" customFormat="1" ht="20.100000000000001" customHeight="1" x14ac:dyDescent="0.2">
      <c r="A1521" s="695" t="str">
        <f t="shared" ref="A1521:A1584" si="21">CONCATENATE(D1521,"  ",E1521,)</f>
        <v>333903908000000  Manutenção De Software</v>
      </c>
      <c r="B1521" s="628"/>
      <c r="C1521" s="631"/>
      <c r="D1521" s="632">
        <v>333903908000000</v>
      </c>
      <c r="E1521" s="696" t="s">
        <v>5230</v>
      </c>
      <c r="F1521" s="696">
        <v>7</v>
      </c>
      <c r="G1521" s="696" t="s">
        <v>5597</v>
      </c>
      <c r="I1521" s="696" t="s">
        <v>5647</v>
      </c>
      <c r="J1521" s="688"/>
      <c r="K1521" s="689"/>
    </row>
    <row r="1522" spans="1:11" s="691" customFormat="1" ht="20.100000000000001" customHeight="1" x14ac:dyDescent="0.2">
      <c r="A1522" s="695" t="str">
        <f t="shared" si="21"/>
        <v>333903909000000  Armazenagem</v>
      </c>
      <c r="B1522" s="628"/>
      <c r="C1522" s="631"/>
      <c r="D1522" s="632">
        <v>333903909000000</v>
      </c>
      <c r="E1522" s="696" t="s">
        <v>5192</v>
      </c>
      <c r="F1522" s="696">
        <v>7</v>
      </c>
      <c r="G1522" s="696" t="s">
        <v>5597</v>
      </c>
      <c r="I1522" s="696"/>
      <c r="J1522" s="688"/>
      <c r="K1522" s="689"/>
    </row>
    <row r="1523" spans="1:11" s="691" customFormat="1" ht="20.100000000000001" customHeight="1" x14ac:dyDescent="0.2">
      <c r="A1523" s="695" t="str">
        <f t="shared" si="21"/>
        <v>333903910000000  Locacao De Imoveis</v>
      </c>
      <c r="B1523" s="628"/>
      <c r="C1523" s="631"/>
      <c r="D1523" s="632">
        <v>333903910000000</v>
      </c>
      <c r="E1523" s="696" t="s">
        <v>1026</v>
      </c>
      <c r="F1523" s="696">
        <v>7</v>
      </c>
      <c r="G1523" s="696" t="s">
        <v>5597</v>
      </c>
      <c r="I1523" s="696"/>
      <c r="J1523" s="688"/>
      <c r="K1523" s="689"/>
    </row>
    <row r="1524" spans="1:11" s="691" customFormat="1" ht="20.100000000000001" customHeight="1" x14ac:dyDescent="0.2">
      <c r="A1524" s="695" t="str">
        <f t="shared" si="21"/>
        <v>333903911000000  Locação De Softwares</v>
      </c>
      <c r="B1524" s="628"/>
      <c r="C1524" s="631"/>
      <c r="D1524" s="632">
        <v>333903911000000</v>
      </c>
      <c r="E1524" s="696" t="s">
        <v>5241</v>
      </c>
      <c r="F1524" s="696">
        <v>7</v>
      </c>
      <c r="G1524" s="696" t="s">
        <v>5597</v>
      </c>
      <c r="I1524" s="696" t="s">
        <v>5647</v>
      </c>
      <c r="J1524" s="688"/>
      <c r="K1524" s="689"/>
    </row>
    <row r="1525" spans="1:11" s="691" customFormat="1" ht="20.100000000000001" customHeight="1" x14ac:dyDescent="0.2">
      <c r="A1525" s="695" t="str">
        <f t="shared" si="21"/>
        <v>333903912000000  Locacao De Maquinas E Equipamentos</v>
      </c>
      <c r="B1525" s="628"/>
      <c r="C1525" s="631"/>
      <c r="D1525" s="632">
        <v>333903912000000</v>
      </c>
      <c r="E1525" s="696" t="s">
        <v>5242</v>
      </c>
      <c r="F1525" s="696">
        <v>7</v>
      </c>
      <c r="G1525" s="696" t="s">
        <v>5597</v>
      </c>
      <c r="I1525" s="696"/>
      <c r="J1525" s="688"/>
      <c r="K1525" s="689"/>
    </row>
    <row r="1526" spans="1:11" s="691" customFormat="1" ht="20.100000000000001" customHeight="1" x14ac:dyDescent="0.2">
      <c r="A1526" s="695" t="str">
        <f t="shared" si="21"/>
        <v>333903914000000  Locacao Bens Moveis,  Outras Naturezas E Intangiveis</v>
      </c>
      <c r="B1526" s="628"/>
      <c r="C1526" s="631"/>
      <c r="D1526" s="632">
        <v>333903914000000</v>
      </c>
      <c r="E1526" s="696" t="s">
        <v>5654</v>
      </c>
      <c r="F1526" s="696">
        <v>7</v>
      </c>
      <c r="G1526" s="696" t="s">
        <v>5597</v>
      </c>
      <c r="I1526" s="696"/>
      <c r="J1526" s="688"/>
      <c r="K1526" s="689"/>
    </row>
    <row r="1527" spans="1:11" s="691" customFormat="1" ht="20.100000000000001" customHeight="1" x14ac:dyDescent="0.2">
      <c r="A1527" s="695" t="str">
        <f t="shared" si="21"/>
        <v>333903914010000  Locacao Bens Moveis,  Outras Naturezas E Intangiveis - Legislativo</v>
      </c>
      <c r="B1527" s="628"/>
      <c r="C1527" s="631"/>
      <c r="D1527" s="632">
        <v>333903914010000</v>
      </c>
      <c r="E1527" s="696" t="s">
        <v>5655</v>
      </c>
      <c r="F1527" s="696">
        <v>8</v>
      </c>
      <c r="G1527" s="696" t="s">
        <v>5597</v>
      </c>
      <c r="I1527" s="696" t="s">
        <v>5600</v>
      </c>
      <c r="J1527" s="688"/>
      <c r="K1527" s="689"/>
    </row>
    <row r="1528" spans="1:11" s="691" customFormat="1" ht="20.100000000000001" customHeight="1" x14ac:dyDescent="0.2">
      <c r="A1528" s="695" t="str">
        <f t="shared" si="21"/>
        <v>333903914010100  Locacao de Sistemas de Informatica</v>
      </c>
      <c r="B1528" s="628"/>
      <c r="C1528" s="631"/>
      <c r="D1528" s="632">
        <v>333903914010100</v>
      </c>
      <c r="E1528" s="696" t="s">
        <v>2206</v>
      </c>
      <c r="F1528" s="696">
        <v>9</v>
      </c>
      <c r="G1528" s="696" t="s">
        <v>5597</v>
      </c>
      <c r="I1528" s="696" t="s">
        <v>5600</v>
      </c>
      <c r="J1528" s="688"/>
      <c r="K1528" s="689"/>
    </row>
    <row r="1529" spans="1:11" s="691" customFormat="1" ht="20.100000000000001" customHeight="1" x14ac:dyDescent="0.2">
      <c r="A1529" s="695" t="str">
        <f t="shared" si="21"/>
        <v>333903914010200  Locacao de Sistemas Web</v>
      </c>
      <c r="B1529" s="628"/>
      <c r="C1529" s="631"/>
      <c r="D1529" s="632">
        <v>333903914010200</v>
      </c>
      <c r="E1529" s="696" t="s">
        <v>2271</v>
      </c>
      <c r="F1529" s="696">
        <v>9</v>
      </c>
      <c r="G1529" s="696" t="s">
        <v>5597</v>
      </c>
      <c r="I1529" s="696" t="s">
        <v>5600</v>
      </c>
      <c r="J1529" s="688"/>
      <c r="K1529" s="689"/>
    </row>
    <row r="1530" spans="1:11" s="691" customFormat="1" ht="20.100000000000001" customHeight="1" x14ac:dyDescent="0.2">
      <c r="A1530" s="695" t="str">
        <f t="shared" si="21"/>
        <v>333903915000000  Tributos A Conta Do Locatario</v>
      </c>
      <c r="B1530" s="628"/>
      <c r="C1530" s="631"/>
      <c r="D1530" s="632">
        <v>333903915000000</v>
      </c>
      <c r="E1530" s="696" t="s">
        <v>5243</v>
      </c>
      <c r="F1530" s="696">
        <v>7</v>
      </c>
      <c r="G1530" s="696" t="s">
        <v>5597</v>
      </c>
      <c r="I1530" s="696"/>
      <c r="J1530" s="688"/>
      <c r="K1530" s="689"/>
    </row>
    <row r="1531" spans="1:11" s="691" customFormat="1" ht="20.100000000000001" customHeight="1" x14ac:dyDescent="0.2">
      <c r="A1531" s="695" t="str">
        <f t="shared" si="21"/>
        <v>333903916000000  Manutencao E Conservacao  De Bens Imoveis</v>
      </c>
      <c r="B1531" s="628"/>
      <c r="C1531" s="631"/>
      <c r="D1531" s="632">
        <v>333903916000000</v>
      </c>
      <c r="E1531" s="696" t="s">
        <v>5649</v>
      </c>
      <c r="F1531" s="696">
        <v>7</v>
      </c>
      <c r="G1531" s="696" t="s">
        <v>5597</v>
      </c>
      <c r="I1531" s="696"/>
      <c r="J1531" s="688"/>
      <c r="K1531" s="689"/>
    </row>
    <row r="1532" spans="1:11" s="691" customFormat="1" ht="20.100000000000001" customHeight="1" x14ac:dyDescent="0.2">
      <c r="A1532" s="695" t="str">
        <f t="shared" si="21"/>
        <v>333903916010000  Manutencao E Conservacao  De Bens Imoveis - Legislativo</v>
      </c>
      <c r="B1532" s="628"/>
      <c r="C1532" s="631"/>
      <c r="D1532" s="632">
        <v>333903916010000</v>
      </c>
      <c r="E1532" s="696" t="s">
        <v>5656</v>
      </c>
      <c r="F1532" s="696">
        <v>8</v>
      </c>
      <c r="G1532" s="696" t="s">
        <v>5597</v>
      </c>
      <c r="I1532" s="696" t="s">
        <v>5600</v>
      </c>
      <c r="J1532" s="688"/>
      <c r="K1532" s="689"/>
    </row>
    <row r="1533" spans="1:11" s="691" customFormat="1" ht="20.100000000000001" customHeight="1" x14ac:dyDescent="0.2">
      <c r="A1533" s="695" t="str">
        <f t="shared" si="21"/>
        <v>333903917000000  Manutencao  E Conservacao Da Frota  De Maquinas E Equipamentos</v>
      </c>
      <c r="B1533" s="628"/>
      <c r="C1533" s="631"/>
      <c r="D1533" s="632">
        <v>333903917000000</v>
      </c>
      <c r="E1533" s="696" t="s">
        <v>5657</v>
      </c>
      <c r="F1533" s="696">
        <v>7</v>
      </c>
      <c r="G1533" s="696" t="s">
        <v>5597</v>
      </c>
      <c r="I1533" s="696"/>
      <c r="J1533" s="688"/>
      <c r="K1533" s="689"/>
    </row>
    <row r="1534" spans="1:11" s="691" customFormat="1" ht="20.100000000000001" customHeight="1" x14ac:dyDescent="0.2">
      <c r="A1534" s="695" t="str">
        <f t="shared" si="21"/>
        <v>333903917010000  Manutencao  Motoniveladora 120H</v>
      </c>
      <c r="B1534" s="628"/>
      <c r="C1534" s="631"/>
      <c r="D1534" s="632">
        <v>333903917010000</v>
      </c>
      <c r="E1534" s="696" t="s">
        <v>5658</v>
      </c>
      <c r="F1534" s="696">
        <v>8</v>
      </c>
      <c r="G1534" s="696" t="s">
        <v>5597</v>
      </c>
      <c r="I1534" s="696" t="s">
        <v>5600</v>
      </c>
      <c r="J1534" s="688"/>
      <c r="K1534" s="689"/>
    </row>
    <row r="1535" spans="1:11" s="691" customFormat="1" ht="20.100000000000001" customHeight="1" x14ac:dyDescent="0.2">
      <c r="A1535" s="695" t="str">
        <f t="shared" si="21"/>
        <v>333903917020000  Manutencao  Motoniveladora 135H</v>
      </c>
      <c r="B1535" s="628"/>
      <c r="C1535" s="631"/>
      <c r="D1535" s="632">
        <v>333903917020000</v>
      </c>
      <c r="E1535" s="696" t="s">
        <v>5659</v>
      </c>
      <c r="F1535" s="696">
        <v>8</v>
      </c>
      <c r="G1535" s="696" t="s">
        <v>5597</v>
      </c>
      <c r="I1535" s="696" t="s">
        <v>5600</v>
      </c>
      <c r="J1535" s="688"/>
      <c r="K1535" s="689"/>
    </row>
    <row r="1536" spans="1:11" s="691" customFormat="1" ht="20.100000000000001" customHeight="1" x14ac:dyDescent="0.2">
      <c r="A1536" s="695" t="str">
        <f t="shared" si="21"/>
        <v>333903917030000  Manutencao Retroescavadeira Case 580 4x4</v>
      </c>
      <c r="B1536" s="628"/>
      <c r="C1536" s="631"/>
      <c r="D1536" s="632">
        <v>333903917030000</v>
      </c>
      <c r="E1536" s="696" t="s">
        <v>5244</v>
      </c>
      <c r="F1536" s="696">
        <v>8</v>
      </c>
      <c r="G1536" s="696" t="s">
        <v>5597</v>
      </c>
      <c r="I1536" s="696" t="s">
        <v>5600</v>
      </c>
      <c r="J1536" s="688"/>
      <c r="K1536" s="689"/>
    </row>
    <row r="1537" spans="1:11" s="691" customFormat="1" ht="20.100000000000001" customHeight="1" x14ac:dyDescent="0.2">
      <c r="A1537" s="695" t="str">
        <f t="shared" si="21"/>
        <v>333903917040000  Manutencao Retroescavadeira Case 580 4x2</v>
      </c>
      <c r="B1537" s="628"/>
      <c r="C1537" s="631"/>
      <c r="D1537" s="632">
        <v>333903917040000</v>
      </c>
      <c r="E1537" s="696" t="s">
        <v>5245</v>
      </c>
      <c r="F1537" s="696">
        <v>8</v>
      </c>
      <c r="G1537" s="696" t="s">
        <v>5597</v>
      </c>
      <c r="I1537" s="696" t="s">
        <v>5600</v>
      </c>
      <c r="J1537" s="688"/>
      <c r="K1537" s="689"/>
    </row>
    <row r="1538" spans="1:11" s="691" customFormat="1" ht="20.100000000000001" customHeight="1" x14ac:dyDescent="0.2">
      <c r="A1538" s="695" t="str">
        <f t="shared" si="21"/>
        <v>333903917050000  Manutencao Retroescavadeira JCB 4X4 SMO</v>
      </c>
      <c r="B1538" s="628"/>
      <c r="C1538" s="631"/>
      <c r="D1538" s="632">
        <v>333903917050000</v>
      </c>
      <c r="E1538" s="696" t="s">
        <v>5246</v>
      </c>
      <c r="F1538" s="696">
        <v>8</v>
      </c>
      <c r="G1538" s="696" t="s">
        <v>5597</v>
      </c>
      <c r="I1538" s="696" t="s">
        <v>5600</v>
      </c>
      <c r="J1538" s="688"/>
      <c r="K1538" s="689"/>
    </row>
    <row r="1539" spans="1:11" s="691" customFormat="1" ht="20.100000000000001" customHeight="1" x14ac:dyDescent="0.2">
      <c r="A1539" s="695" t="str">
        <f t="shared" si="21"/>
        <v>333903917060000  ManutencaoTrator Esteira D5E</v>
      </c>
      <c r="B1539" s="628"/>
      <c r="C1539" s="631"/>
      <c r="D1539" s="632">
        <v>333903917060000</v>
      </c>
      <c r="E1539" s="696" t="s">
        <v>5247</v>
      </c>
      <c r="F1539" s="696">
        <v>8</v>
      </c>
      <c r="G1539" s="696" t="s">
        <v>5597</v>
      </c>
      <c r="I1539" s="696" t="s">
        <v>5600</v>
      </c>
      <c r="J1539" s="688"/>
      <c r="K1539" s="689"/>
    </row>
    <row r="1540" spans="1:11" s="691" customFormat="1" ht="20.100000000000001" customHeight="1" x14ac:dyDescent="0.2">
      <c r="A1540" s="695" t="str">
        <f t="shared" si="21"/>
        <v>333903917070000  Manutencao Cortador De Grama</v>
      </c>
      <c r="B1540" s="628"/>
      <c r="C1540" s="631"/>
      <c r="D1540" s="632">
        <v>333903917070000</v>
      </c>
      <c r="E1540" s="696" t="s">
        <v>5248</v>
      </c>
      <c r="F1540" s="696">
        <v>8</v>
      </c>
      <c r="G1540" s="696" t="s">
        <v>5597</v>
      </c>
      <c r="I1540" s="696" t="s">
        <v>5600</v>
      </c>
      <c r="J1540" s="688"/>
      <c r="K1540" s="689"/>
    </row>
    <row r="1541" spans="1:11" s="691" customFormat="1" ht="20.100000000000001" customHeight="1" x14ac:dyDescent="0.2">
      <c r="A1541" s="695" t="str">
        <f t="shared" si="21"/>
        <v>333903917080000  Manutencao Trator TL 85E</v>
      </c>
      <c r="B1541" s="628"/>
      <c r="C1541" s="631"/>
      <c r="D1541" s="632">
        <v>333903917080000</v>
      </c>
      <c r="E1541" s="696" t="s">
        <v>5249</v>
      </c>
      <c r="F1541" s="696">
        <v>8</v>
      </c>
      <c r="G1541" s="696" t="s">
        <v>5597</v>
      </c>
      <c r="I1541" s="696" t="s">
        <v>5600</v>
      </c>
      <c r="J1541" s="688"/>
      <c r="K1541" s="689"/>
    </row>
    <row r="1542" spans="1:11" s="691" customFormat="1" ht="20.100000000000001" customHeight="1" x14ac:dyDescent="0.2">
      <c r="A1542" s="695" t="str">
        <f t="shared" si="21"/>
        <v>333903917090000  Manutencao Trator Ford 8030</v>
      </c>
      <c r="B1542" s="628"/>
      <c r="C1542" s="631"/>
      <c r="D1542" s="632">
        <v>333903917090000</v>
      </c>
      <c r="E1542" s="696" t="s">
        <v>5250</v>
      </c>
      <c r="F1542" s="696">
        <v>8</v>
      </c>
      <c r="G1542" s="696" t="s">
        <v>5597</v>
      </c>
      <c r="I1542" s="696" t="s">
        <v>5600</v>
      </c>
      <c r="J1542" s="688"/>
      <c r="K1542" s="689"/>
    </row>
    <row r="1543" spans="1:11" s="691" customFormat="1" ht="20.100000000000001" customHeight="1" x14ac:dyDescent="0.2">
      <c r="A1543" s="695" t="str">
        <f t="shared" si="21"/>
        <v>333903917100000  Manutencao Trator New Holand 7630</v>
      </c>
      <c r="B1543" s="628"/>
      <c r="C1543" s="631"/>
      <c r="D1543" s="632">
        <v>333903917100000</v>
      </c>
      <c r="E1543" s="696" t="s">
        <v>5251</v>
      </c>
      <c r="F1543" s="696">
        <v>8</v>
      </c>
      <c r="G1543" s="696" t="s">
        <v>5597</v>
      </c>
      <c r="I1543" s="696" t="s">
        <v>5600</v>
      </c>
      <c r="J1543" s="688"/>
      <c r="K1543" s="689"/>
    </row>
    <row r="1544" spans="1:11" s="691" customFormat="1" ht="20.100000000000001" customHeight="1" x14ac:dyDescent="0.2">
      <c r="A1544" s="695" t="str">
        <f t="shared" si="21"/>
        <v>333903917110000  Manutencao Trator Valtra BM 110</v>
      </c>
      <c r="B1544" s="628"/>
      <c r="C1544" s="631"/>
      <c r="D1544" s="632">
        <v>333903917110000</v>
      </c>
      <c r="E1544" s="696" t="s">
        <v>5252</v>
      </c>
      <c r="F1544" s="696">
        <v>8</v>
      </c>
      <c r="G1544" s="696" t="s">
        <v>5597</v>
      </c>
      <c r="I1544" s="696" t="s">
        <v>5600</v>
      </c>
      <c r="J1544" s="688"/>
      <c r="K1544" s="689"/>
    </row>
    <row r="1545" spans="1:11" s="691" customFormat="1" ht="20.100000000000001" customHeight="1" x14ac:dyDescent="0.2">
      <c r="A1545" s="695" t="str">
        <f t="shared" si="21"/>
        <v>333903917120000  Manutencao Trator J.D. Frutic.</v>
      </c>
      <c r="B1545" s="628"/>
      <c r="C1545" s="631"/>
      <c r="D1545" s="632">
        <v>333903917120000</v>
      </c>
      <c r="E1545" s="696" t="s">
        <v>5253</v>
      </c>
      <c r="F1545" s="696">
        <v>8</v>
      </c>
      <c r="G1545" s="696" t="s">
        <v>5597</v>
      </c>
      <c r="I1545" s="696" t="s">
        <v>5600</v>
      </c>
      <c r="J1545" s="688"/>
      <c r="K1545" s="689"/>
    </row>
    <row r="1546" spans="1:11" s="691" customFormat="1" ht="20.100000000000001" customHeight="1" x14ac:dyDescent="0.2">
      <c r="A1546" s="695" t="str">
        <f t="shared" si="21"/>
        <v>333903917130000  Manutencao Trator Esteira D30E</v>
      </c>
      <c r="B1546" s="628"/>
      <c r="C1546" s="631"/>
      <c r="D1546" s="632">
        <v>333903917130000</v>
      </c>
      <c r="E1546" s="696" t="s">
        <v>5254</v>
      </c>
      <c r="F1546" s="696">
        <v>8</v>
      </c>
      <c r="G1546" s="696" t="s">
        <v>5597</v>
      </c>
      <c r="I1546" s="696" t="s">
        <v>5600</v>
      </c>
      <c r="J1546" s="688"/>
      <c r="K1546" s="689"/>
    </row>
    <row r="1547" spans="1:11" s="691" customFormat="1" ht="20.100000000000001" customHeight="1" x14ac:dyDescent="0.2">
      <c r="A1547" s="695" t="str">
        <f t="shared" si="21"/>
        <v>333903917140000  Manutencao Retroescavadeira JCB 4X4 SMAG</v>
      </c>
      <c r="B1547" s="628"/>
      <c r="C1547" s="631"/>
      <c r="D1547" s="632">
        <v>333903917140000</v>
      </c>
      <c r="E1547" s="696" t="s">
        <v>5255</v>
      </c>
      <c r="F1547" s="696">
        <v>8</v>
      </c>
      <c r="G1547" s="696" t="s">
        <v>5597</v>
      </c>
      <c r="I1547" s="696" t="s">
        <v>5600</v>
      </c>
      <c r="J1547" s="688"/>
      <c r="K1547" s="689"/>
    </row>
    <row r="1548" spans="1:11" s="691" customFormat="1" ht="20.100000000000001" customHeight="1" x14ac:dyDescent="0.2">
      <c r="A1548" s="695" t="str">
        <f t="shared" si="21"/>
        <v>333903917150000  Manutencao Implementos Rodoviarios</v>
      </c>
      <c r="B1548" s="628"/>
      <c r="C1548" s="631"/>
      <c r="D1548" s="632">
        <v>333903917150000</v>
      </c>
      <c r="E1548" s="696" t="s">
        <v>5256</v>
      </c>
      <c r="F1548" s="696">
        <v>8</v>
      </c>
      <c r="G1548" s="696" t="s">
        <v>5597</v>
      </c>
      <c r="I1548" s="696" t="s">
        <v>5600</v>
      </c>
      <c r="J1548" s="688"/>
      <c r="K1548" s="689"/>
    </row>
    <row r="1549" spans="1:11" s="691" customFormat="1" ht="20.100000000000001" customHeight="1" x14ac:dyDescent="0.2">
      <c r="A1549" s="695" t="str">
        <f t="shared" si="21"/>
        <v>333903917160000  Manutencao  Implementos Agricolas</v>
      </c>
      <c r="B1549" s="628"/>
      <c r="C1549" s="631"/>
      <c r="D1549" s="632">
        <v>333903917160000</v>
      </c>
      <c r="E1549" s="696" t="s">
        <v>5660</v>
      </c>
      <c r="F1549" s="696">
        <v>8</v>
      </c>
      <c r="G1549" s="696" t="s">
        <v>5597</v>
      </c>
      <c r="I1549" s="696" t="s">
        <v>5600</v>
      </c>
      <c r="J1549" s="688"/>
      <c r="K1549" s="689"/>
    </row>
    <row r="1550" spans="1:11" s="691" customFormat="1" ht="20.100000000000001" customHeight="1" x14ac:dyDescent="0.2">
      <c r="A1550" s="695" t="str">
        <f t="shared" si="21"/>
        <v>333903917170000  Manutencao Equipamentos de Manut. de Vias</v>
      </c>
      <c r="B1550" s="628"/>
      <c r="C1550" s="631"/>
      <c r="D1550" s="632">
        <v>333903917170000</v>
      </c>
      <c r="E1550" s="696" t="s">
        <v>5257</v>
      </c>
      <c r="F1550" s="696">
        <v>8</v>
      </c>
      <c r="G1550" s="696" t="s">
        <v>5597</v>
      </c>
      <c r="I1550" s="696" t="s">
        <v>5600</v>
      </c>
      <c r="J1550" s="688"/>
      <c r="K1550" s="689"/>
    </row>
    <row r="1551" spans="1:11" s="691" customFormat="1" ht="20.100000000000001" customHeight="1" x14ac:dyDescent="0.2">
      <c r="A1551" s="695" t="str">
        <f t="shared" si="21"/>
        <v>333903917180000  Serviços de Lavagem e Lubrificação Retroescavadeira Case 580 4X4</v>
      </c>
      <c r="B1551" s="628"/>
      <c r="C1551" s="631"/>
      <c r="D1551" s="632">
        <v>333903917180000</v>
      </c>
      <c r="E1551" s="696" t="s">
        <v>1211</v>
      </c>
      <c r="F1551" s="696">
        <v>8</v>
      </c>
      <c r="G1551" s="696" t="s">
        <v>5597</v>
      </c>
      <c r="I1551" s="696" t="s">
        <v>5604</v>
      </c>
      <c r="J1551" s="688"/>
      <c r="K1551" s="689"/>
    </row>
    <row r="1552" spans="1:11" s="691" customFormat="1" ht="20.100000000000001" customHeight="1" x14ac:dyDescent="0.2">
      <c r="A1552" s="695" t="str">
        <f t="shared" si="21"/>
        <v>333903917200000  Serviços de Lavagem e Lubrificação Retroescavadeira Case 580 4X2</v>
      </c>
      <c r="B1552" s="628"/>
      <c r="C1552" s="631"/>
      <c r="D1552" s="632">
        <v>333903917200000</v>
      </c>
      <c r="E1552" s="696" t="s">
        <v>1210</v>
      </c>
      <c r="F1552" s="696">
        <v>8</v>
      </c>
      <c r="G1552" s="696" t="s">
        <v>5597</v>
      </c>
      <c r="I1552" s="696" t="s">
        <v>5604</v>
      </c>
      <c r="J1552" s="688"/>
      <c r="K1552" s="689"/>
    </row>
    <row r="1553" spans="1:11" s="691" customFormat="1" ht="20.100000000000001" customHeight="1" x14ac:dyDescent="0.2">
      <c r="A1553" s="695" t="str">
        <f t="shared" si="21"/>
        <v>333903917210000  Serviços de Lavagem e Lubrificação Trator Esteira D5 E</v>
      </c>
      <c r="B1553" s="628"/>
      <c r="C1553" s="631"/>
      <c r="D1553" s="632">
        <v>333903917210000</v>
      </c>
      <c r="E1553" s="696" t="s">
        <v>1209</v>
      </c>
      <c r="F1553" s="696">
        <v>8</v>
      </c>
      <c r="G1553" s="696" t="s">
        <v>5597</v>
      </c>
      <c r="I1553" s="696" t="s">
        <v>5604</v>
      </c>
      <c r="J1553" s="688"/>
      <c r="K1553" s="689"/>
    </row>
    <row r="1554" spans="1:11" s="691" customFormat="1" ht="20.100000000000001" customHeight="1" x14ac:dyDescent="0.2">
      <c r="A1554" s="695" t="str">
        <f t="shared" si="21"/>
        <v>333903917220000  Serviços de Lavagem e Lubrificação Motoniveladora 120H</v>
      </c>
      <c r="B1554" s="628"/>
      <c r="C1554" s="631"/>
      <c r="D1554" s="632">
        <v>333903917220000</v>
      </c>
      <c r="E1554" s="696" t="s">
        <v>1208</v>
      </c>
      <c r="F1554" s="696">
        <v>8</v>
      </c>
      <c r="G1554" s="696" t="s">
        <v>5597</v>
      </c>
      <c r="I1554" s="696" t="s">
        <v>5604</v>
      </c>
      <c r="J1554" s="688"/>
      <c r="K1554" s="689"/>
    </row>
    <row r="1555" spans="1:11" s="691" customFormat="1" ht="20.100000000000001" customHeight="1" x14ac:dyDescent="0.2">
      <c r="A1555" s="695" t="str">
        <f t="shared" si="21"/>
        <v>333903917230000  Serviços de Lavagem e Lubrificação Motoniveladora 135H</v>
      </c>
      <c r="B1555" s="628"/>
      <c r="C1555" s="631"/>
      <c r="D1555" s="632">
        <v>333903917230000</v>
      </c>
      <c r="E1555" s="696" t="s">
        <v>1207</v>
      </c>
      <c r="F1555" s="696">
        <v>8</v>
      </c>
      <c r="G1555" s="696" t="s">
        <v>5597</v>
      </c>
      <c r="I1555" s="696" t="s">
        <v>5604</v>
      </c>
      <c r="J1555" s="688"/>
      <c r="K1555" s="689"/>
    </row>
    <row r="1556" spans="1:11" s="691" customFormat="1" ht="20.100000000000001" customHeight="1" x14ac:dyDescent="0.2">
      <c r="A1556" s="695" t="str">
        <f t="shared" si="21"/>
        <v>333903917240000  Serviços de Lavagem e Lubrificação Trator New Holand TL 85E</v>
      </c>
      <c r="B1556" s="628"/>
      <c r="C1556" s="631"/>
      <c r="D1556" s="632">
        <v>333903917240000</v>
      </c>
      <c r="E1556" s="696" t="s">
        <v>1066</v>
      </c>
      <c r="F1556" s="696">
        <v>8</v>
      </c>
      <c r="G1556" s="696" t="s">
        <v>5597</v>
      </c>
      <c r="I1556" s="696" t="s">
        <v>5604</v>
      </c>
      <c r="J1556" s="688"/>
      <c r="K1556" s="689"/>
    </row>
    <row r="1557" spans="1:11" s="691" customFormat="1" ht="20.100000000000001" customHeight="1" x14ac:dyDescent="0.2">
      <c r="A1557" s="695" t="str">
        <f t="shared" si="21"/>
        <v>333903917250000  Serviços de Lavagem e Lubrificação Trator Ford 8030</v>
      </c>
      <c r="B1557" s="628"/>
      <c r="C1557" s="631"/>
      <c r="D1557" s="632">
        <v>333903917250000</v>
      </c>
      <c r="E1557" s="696" t="s">
        <v>1065</v>
      </c>
      <c r="F1557" s="696">
        <v>8</v>
      </c>
      <c r="G1557" s="696" t="s">
        <v>5597</v>
      </c>
      <c r="I1557" s="696" t="s">
        <v>5604</v>
      </c>
      <c r="J1557" s="688"/>
      <c r="K1557" s="689"/>
    </row>
    <row r="1558" spans="1:11" s="691" customFormat="1" ht="20.100000000000001" customHeight="1" x14ac:dyDescent="0.2">
      <c r="A1558" s="695" t="str">
        <f t="shared" si="21"/>
        <v>333903917260000  Serviços de Lavagem e Lubrificação Trator New Holand 7630</v>
      </c>
      <c r="B1558" s="628"/>
      <c r="C1558" s="631"/>
      <c r="D1558" s="632">
        <v>333903917260000</v>
      </c>
      <c r="E1558" s="696" t="s">
        <v>1064</v>
      </c>
      <c r="F1558" s="696">
        <v>8</v>
      </c>
      <c r="G1558" s="696" t="s">
        <v>5597</v>
      </c>
      <c r="I1558" s="696" t="s">
        <v>5604</v>
      </c>
      <c r="J1558" s="688"/>
      <c r="K1558" s="689"/>
    </row>
    <row r="1559" spans="1:11" s="691" customFormat="1" ht="20.100000000000001" customHeight="1" x14ac:dyDescent="0.2">
      <c r="A1559" s="695" t="str">
        <f t="shared" si="21"/>
        <v>333903917270000  Serviços de Lavagem e Lubrificação Trator Valtra BM 110</v>
      </c>
      <c r="B1559" s="628"/>
      <c r="C1559" s="631"/>
      <c r="D1559" s="632">
        <v>333903917270000</v>
      </c>
      <c r="E1559" s="696" t="s">
        <v>1063</v>
      </c>
      <c r="F1559" s="696">
        <v>8</v>
      </c>
      <c r="G1559" s="696" t="s">
        <v>5597</v>
      </c>
      <c r="I1559" s="696" t="s">
        <v>5604</v>
      </c>
      <c r="J1559" s="688"/>
      <c r="K1559" s="689"/>
    </row>
    <row r="1560" spans="1:11" s="691" customFormat="1" ht="20.100000000000001" customHeight="1" x14ac:dyDescent="0.2">
      <c r="A1560" s="695" t="str">
        <f t="shared" si="21"/>
        <v>333903917280000  Serviços de Lavagem e Lubrificação Trator J.D. Fruticultura</v>
      </c>
      <c r="B1560" s="628"/>
      <c r="C1560" s="631"/>
      <c r="D1560" s="632">
        <v>333903917280000</v>
      </c>
      <c r="E1560" s="696" t="s">
        <v>1062</v>
      </c>
      <c r="F1560" s="696">
        <v>8</v>
      </c>
      <c r="G1560" s="696" t="s">
        <v>5597</v>
      </c>
      <c r="I1560" s="696" t="s">
        <v>5604</v>
      </c>
      <c r="J1560" s="688"/>
      <c r="K1560" s="689"/>
    </row>
    <row r="1561" spans="1:11" s="691" customFormat="1" ht="20.100000000000001" customHeight="1" x14ac:dyDescent="0.2">
      <c r="A1561" s="695" t="str">
        <f t="shared" si="21"/>
        <v>333903917290000  Serviços de Lavagem e Lubrificação Retroescavadeira JCB 4X4 SMAG</v>
      </c>
      <c r="B1561" s="628"/>
      <c r="C1561" s="631"/>
      <c r="D1561" s="632">
        <v>333903917290000</v>
      </c>
      <c r="E1561" s="696" t="s">
        <v>1061</v>
      </c>
      <c r="F1561" s="696">
        <v>8</v>
      </c>
      <c r="G1561" s="696" t="s">
        <v>5597</v>
      </c>
      <c r="I1561" s="696" t="s">
        <v>5604</v>
      </c>
      <c r="J1561" s="688"/>
      <c r="K1561" s="689"/>
    </row>
    <row r="1562" spans="1:11" s="691" customFormat="1" ht="20.100000000000001" customHeight="1" x14ac:dyDescent="0.2">
      <c r="A1562" s="695" t="str">
        <f t="shared" si="21"/>
        <v>333903917300000  Serviços de Lavagem e Lubrificação Trator Esteira D30E</v>
      </c>
      <c r="B1562" s="628"/>
      <c r="C1562" s="631"/>
      <c r="D1562" s="632">
        <v>333903917300000</v>
      </c>
      <c r="E1562" s="696" t="s">
        <v>1060</v>
      </c>
      <c r="F1562" s="696">
        <v>8</v>
      </c>
      <c r="G1562" s="696" t="s">
        <v>5597</v>
      </c>
      <c r="I1562" s="696" t="s">
        <v>5604</v>
      </c>
      <c r="J1562" s="688"/>
      <c r="K1562" s="689"/>
    </row>
    <row r="1563" spans="1:11" s="691" customFormat="1" ht="20.100000000000001" customHeight="1" x14ac:dyDescent="0.2">
      <c r="A1563" s="695" t="str">
        <f t="shared" si="21"/>
        <v>333903917310000  Serviços de Lavagem e Lubrificação Retroescavadeira JCB 4X4 SMO</v>
      </c>
      <c r="B1563" s="628"/>
      <c r="C1563" s="631"/>
      <c r="D1563" s="632">
        <v>333903917310000</v>
      </c>
      <c r="E1563" s="696" t="s">
        <v>1206</v>
      </c>
      <c r="F1563" s="696">
        <v>8</v>
      </c>
      <c r="G1563" s="696" t="s">
        <v>5597</v>
      </c>
      <c r="I1563" s="696" t="s">
        <v>5604</v>
      </c>
      <c r="J1563" s="688"/>
      <c r="K1563" s="689"/>
    </row>
    <row r="1564" spans="1:11" s="691" customFormat="1" ht="20.100000000000001" customHeight="1" x14ac:dyDescent="0.2">
      <c r="A1564" s="695" t="str">
        <f t="shared" si="21"/>
        <v>333903917320000  Manutenção Grade Gobus</v>
      </c>
      <c r="B1564" s="628"/>
      <c r="C1564" s="631"/>
      <c r="D1564" s="632">
        <v>333903917320000</v>
      </c>
      <c r="E1564" s="696" t="s">
        <v>5258</v>
      </c>
      <c r="F1564" s="696">
        <v>8</v>
      </c>
      <c r="G1564" s="696" t="s">
        <v>5597</v>
      </c>
      <c r="I1564" s="696" t="s">
        <v>5600</v>
      </c>
      <c r="J1564" s="688"/>
      <c r="K1564" s="689"/>
    </row>
    <row r="1565" spans="1:11" s="691" customFormat="1" ht="20.100000000000001" customHeight="1" x14ac:dyDescent="0.2">
      <c r="A1565" s="695" t="str">
        <f t="shared" si="21"/>
        <v>333903917330000  Manutenção Grade Arrasto</v>
      </c>
      <c r="B1565" s="628"/>
      <c r="C1565" s="631"/>
      <c r="D1565" s="632">
        <v>333903917330000</v>
      </c>
      <c r="E1565" s="696" t="s">
        <v>5259</v>
      </c>
      <c r="F1565" s="696">
        <v>8</v>
      </c>
      <c r="G1565" s="696" t="s">
        <v>5597</v>
      </c>
      <c r="I1565" s="696" t="s">
        <v>5600</v>
      </c>
      <c r="J1565" s="688"/>
      <c r="K1565" s="689"/>
    </row>
    <row r="1566" spans="1:11" s="691" customFormat="1" ht="20.100000000000001" customHeight="1" x14ac:dyDescent="0.2">
      <c r="A1566" s="695" t="str">
        <f t="shared" si="21"/>
        <v>333903917340000  Manutenção Escalificador</v>
      </c>
      <c r="B1566" s="628"/>
      <c r="C1566" s="631"/>
      <c r="D1566" s="632">
        <v>333903917340000</v>
      </c>
      <c r="E1566" s="696" t="s">
        <v>5260</v>
      </c>
      <c r="F1566" s="696">
        <v>8</v>
      </c>
      <c r="G1566" s="696" t="s">
        <v>5597</v>
      </c>
      <c r="I1566" s="696" t="s">
        <v>5600</v>
      </c>
      <c r="J1566" s="688"/>
      <c r="K1566" s="689"/>
    </row>
    <row r="1567" spans="1:11" s="691" customFormat="1" ht="20.100000000000001" customHeight="1" x14ac:dyDescent="0.2">
      <c r="A1567" s="695" t="str">
        <f t="shared" si="21"/>
        <v>333903917350000  Manutenção Subsolador 5 Pés</v>
      </c>
      <c r="B1567" s="628"/>
      <c r="C1567" s="631"/>
      <c r="D1567" s="632">
        <v>333903917350000</v>
      </c>
      <c r="E1567" s="696" t="s">
        <v>5261</v>
      </c>
      <c r="F1567" s="696">
        <v>8</v>
      </c>
      <c r="G1567" s="696" t="s">
        <v>5597</v>
      </c>
      <c r="I1567" s="696" t="s">
        <v>5600</v>
      </c>
      <c r="J1567" s="688"/>
      <c r="K1567" s="689"/>
    </row>
    <row r="1568" spans="1:11" s="691" customFormat="1" ht="20.100000000000001" customHeight="1" x14ac:dyDescent="0.2">
      <c r="A1568" s="695" t="str">
        <f t="shared" si="21"/>
        <v>333903917360000  Manutenção Espalhador de Calcario</v>
      </c>
      <c r="B1568" s="628"/>
      <c r="C1568" s="631"/>
      <c r="D1568" s="632">
        <v>333903917360000</v>
      </c>
      <c r="E1568" s="696" t="s">
        <v>5262</v>
      </c>
      <c r="F1568" s="696">
        <v>8</v>
      </c>
      <c r="G1568" s="696" t="s">
        <v>5597</v>
      </c>
      <c r="I1568" s="696" t="s">
        <v>5600</v>
      </c>
      <c r="J1568" s="688"/>
      <c r="K1568" s="689"/>
    </row>
    <row r="1569" spans="1:11" s="691" customFormat="1" ht="20.100000000000001" customHeight="1" x14ac:dyDescent="0.2">
      <c r="A1569" s="695" t="str">
        <f t="shared" si="21"/>
        <v>333903917370000  Manutenção de Disco</v>
      </c>
      <c r="B1569" s="628"/>
      <c r="C1569" s="631"/>
      <c r="D1569" s="632">
        <v>333903917370000</v>
      </c>
      <c r="E1569" s="696" t="s">
        <v>5263</v>
      </c>
      <c r="F1569" s="696">
        <v>8</v>
      </c>
      <c r="G1569" s="696" t="s">
        <v>5597</v>
      </c>
      <c r="I1569" s="696" t="s">
        <v>5600</v>
      </c>
      <c r="J1569" s="688"/>
      <c r="K1569" s="689"/>
    </row>
    <row r="1570" spans="1:11" s="691" customFormat="1" ht="20.100000000000001" customHeight="1" x14ac:dyDescent="0.2">
      <c r="A1570" s="695" t="str">
        <f t="shared" si="21"/>
        <v>333903917380000  Manutencao Motoniveladora Case 845B</v>
      </c>
      <c r="B1570" s="628"/>
      <c r="C1570" s="631"/>
      <c r="D1570" s="632">
        <v>333903917380000</v>
      </c>
      <c r="E1570" s="696" t="s">
        <v>5264</v>
      </c>
      <c r="F1570" s="696">
        <v>8</v>
      </c>
      <c r="G1570" s="696" t="s">
        <v>5597</v>
      </c>
      <c r="I1570" s="696" t="s">
        <v>5600</v>
      </c>
      <c r="J1570" s="688"/>
      <c r="K1570" s="689"/>
    </row>
    <row r="1571" spans="1:11" s="691" customFormat="1" ht="20.100000000000001" customHeight="1" x14ac:dyDescent="0.2">
      <c r="A1571" s="695" t="str">
        <f t="shared" si="21"/>
        <v>333903917390000  Manutencao Rocadeira Hidraulica</v>
      </c>
      <c r="B1571" s="628"/>
      <c r="C1571" s="631"/>
      <c r="D1571" s="632">
        <v>333903917390000</v>
      </c>
      <c r="E1571" s="696" t="s">
        <v>5265</v>
      </c>
      <c r="F1571" s="696">
        <v>8</v>
      </c>
      <c r="G1571" s="696" t="s">
        <v>5597</v>
      </c>
      <c r="I1571" s="696" t="s">
        <v>5600</v>
      </c>
      <c r="J1571" s="688"/>
      <c r="K1571" s="689"/>
    </row>
    <row r="1572" spans="1:11" s="691" customFormat="1" ht="20.100000000000001" customHeight="1" x14ac:dyDescent="0.2">
      <c r="A1572" s="695" t="str">
        <f t="shared" si="21"/>
        <v>333903917400000  Manutencao Rocadeira</v>
      </c>
      <c r="B1572" s="628"/>
      <c r="C1572" s="631"/>
      <c r="D1572" s="632">
        <v>333903917400000</v>
      </c>
      <c r="E1572" s="696" t="s">
        <v>5266</v>
      </c>
      <c r="F1572" s="696">
        <v>8</v>
      </c>
      <c r="G1572" s="696" t="s">
        <v>5597</v>
      </c>
      <c r="I1572" s="696" t="s">
        <v>5600</v>
      </c>
      <c r="J1572" s="688"/>
      <c r="K1572" s="689"/>
    </row>
    <row r="1573" spans="1:11" s="691" customFormat="1" ht="20.100000000000001" customHeight="1" x14ac:dyDescent="0.2">
      <c r="A1573" s="695" t="str">
        <f t="shared" si="21"/>
        <v>333903917410000  Manutencao Veiculo Placas IVR 0147</v>
      </c>
      <c r="B1573" s="628"/>
      <c r="C1573" s="631"/>
      <c r="D1573" s="632">
        <v>333903917410000</v>
      </c>
      <c r="E1573" s="696" t="s">
        <v>5267</v>
      </c>
      <c r="F1573" s="696">
        <v>8</v>
      </c>
      <c r="G1573" s="696" t="s">
        <v>5597</v>
      </c>
      <c r="I1573" s="696" t="s">
        <v>5600</v>
      </c>
      <c r="J1573" s="688"/>
      <c r="K1573" s="689"/>
    </row>
    <row r="1574" spans="1:11" s="691" customFormat="1" ht="20.100000000000001" customHeight="1" x14ac:dyDescent="0.2">
      <c r="A1574" s="695" t="str">
        <f t="shared" si="21"/>
        <v>333903917420000  Manutencao Motosserra</v>
      </c>
      <c r="B1574" s="628"/>
      <c r="C1574" s="631"/>
      <c r="D1574" s="632">
        <v>333903917420000</v>
      </c>
      <c r="E1574" s="696" t="s">
        <v>5268</v>
      </c>
      <c r="F1574" s="696">
        <v>8</v>
      </c>
      <c r="G1574" s="696" t="s">
        <v>5597</v>
      </c>
      <c r="I1574" s="696" t="s">
        <v>5600</v>
      </c>
      <c r="J1574" s="688"/>
      <c r="K1574" s="689"/>
    </row>
    <row r="1575" spans="1:11" s="691" customFormat="1" ht="20.100000000000001" customHeight="1" x14ac:dyDescent="0.2">
      <c r="A1575" s="695" t="str">
        <f t="shared" si="21"/>
        <v>333903917430000  Manutencao Batedeira de Cereais B340 1</v>
      </c>
      <c r="B1575" s="628"/>
      <c r="C1575" s="631"/>
      <c r="D1575" s="632">
        <v>333903917430000</v>
      </c>
      <c r="E1575" s="696" t="s">
        <v>5269</v>
      </c>
      <c r="F1575" s="696">
        <v>8</v>
      </c>
      <c r="G1575" s="696" t="s">
        <v>5597</v>
      </c>
      <c r="I1575" s="696" t="s">
        <v>5627</v>
      </c>
      <c r="J1575" s="688"/>
      <c r="K1575" s="689"/>
    </row>
    <row r="1576" spans="1:11" s="691" customFormat="1" ht="20.100000000000001" customHeight="1" x14ac:dyDescent="0.2">
      <c r="A1576" s="695" t="str">
        <f t="shared" si="21"/>
        <v>333903917440000  Manutenção batedeira de Cereais B340 2</v>
      </c>
      <c r="B1576" s="628"/>
      <c r="C1576" s="631"/>
      <c r="D1576" s="632">
        <v>333903917440000</v>
      </c>
      <c r="E1576" s="696" t="s">
        <v>5270</v>
      </c>
      <c r="F1576" s="696">
        <v>8</v>
      </c>
      <c r="G1576" s="696" t="s">
        <v>5597</v>
      </c>
      <c r="I1576" s="696" t="s">
        <v>5627</v>
      </c>
      <c r="J1576" s="688"/>
      <c r="K1576" s="689"/>
    </row>
    <row r="1577" spans="1:11" s="691" customFormat="1" ht="20.100000000000001" customHeight="1" x14ac:dyDescent="0.2">
      <c r="A1577" s="695" t="str">
        <f t="shared" si="21"/>
        <v>333903917450000  Manutenção Roçadeira Manual</v>
      </c>
      <c r="B1577" s="628"/>
      <c r="C1577" s="631"/>
      <c r="D1577" s="632">
        <v>333903917450000</v>
      </c>
      <c r="E1577" s="696" t="s">
        <v>5271</v>
      </c>
      <c r="F1577" s="696">
        <v>8</v>
      </c>
      <c r="G1577" s="696" t="s">
        <v>5597</v>
      </c>
      <c r="I1577" s="696" t="s">
        <v>5627</v>
      </c>
      <c r="J1577" s="688"/>
      <c r="K1577" s="689"/>
    </row>
    <row r="1578" spans="1:11" s="691" customFormat="1" ht="20.100000000000001" customHeight="1" x14ac:dyDescent="0.2">
      <c r="A1578" s="695" t="str">
        <f t="shared" si="21"/>
        <v>333903917460000  Manutenção Reboque</v>
      </c>
      <c r="B1578" s="628"/>
      <c r="C1578" s="631"/>
      <c r="D1578" s="632">
        <v>333903917460000</v>
      </c>
      <c r="E1578" s="696" t="s">
        <v>5272</v>
      </c>
      <c r="F1578" s="696">
        <v>8</v>
      </c>
      <c r="G1578" s="696" t="s">
        <v>5597</v>
      </c>
      <c r="I1578" s="696" t="s">
        <v>5627</v>
      </c>
      <c r="J1578" s="688"/>
      <c r="K1578" s="689"/>
    </row>
    <row r="1579" spans="1:11" s="691" customFormat="1" ht="20.100000000000001" customHeight="1" x14ac:dyDescent="0.2">
      <c r="A1579" s="695" t="str">
        <f t="shared" si="21"/>
        <v>333903917470000  Manutenção Gerador de Energia</v>
      </c>
      <c r="B1579" s="628"/>
      <c r="C1579" s="631"/>
      <c r="D1579" s="632">
        <v>333903917470000</v>
      </c>
      <c r="E1579" s="696" t="s">
        <v>6212</v>
      </c>
      <c r="F1579" s="696">
        <v>8</v>
      </c>
      <c r="G1579" s="696" t="s">
        <v>5597</v>
      </c>
      <c r="I1579" s="696" t="s">
        <v>5600</v>
      </c>
      <c r="J1579" s="688"/>
      <c r="K1579" s="689"/>
    </row>
    <row r="1580" spans="1:11" s="691" customFormat="1" ht="20.100000000000001" customHeight="1" x14ac:dyDescent="0.2">
      <c r="A1580" s="695" t="str">
        <f t="shared" si="21"/>
        <v>333903917480000  Manutenção Ensiladeira</v>
      </c>
      <c r="B1580" s="628"/>
      <c r="C1580" s="631"/>
      <c r="D1580" s="632">
        <v>333903917480000</v>
      </c>
      <c r="E1580" s="696" t="s">
        <v>6213</v>
      </c>
      <c r="F1580" s="696">
        <v>8</v>
      </c>
      <c r="G1580" s="696" t="s">
        <v>5597</v>
      </c>
      <c r="I1580" s="696" t="s">
        <v>5627</v>
      </c>
      <c r="J1580" s="688"/>
      <c r="K1580" s="689"/>
    </row>
    <row r="1581" spans="1:11" s="691" customFormat="1" ht="20.100000000000001" customHeight="1" x14ac:dyDescent="0.2">
      <c r="A1581" s="695" t="str">
        <f t="shared" si="21"/>
        <v>333903919000000  Manutencao E Conservacao De Veiculos</v>
      </c>
      <c r="B1581" s="628"/>
      <c r="C1581" s="631"/>
      <c r="D1581" s="632">
        <v>333903919000000</v>
      </c>
      <c r="E1581" s="696" t="s">
        <v>5194</v>
      </c>
      <c r="F1581" s="696">
        <v>7</v>
      </c>
      <c r="G1581" s="696" t="s">
        <v>5597</v>
      </c>
      <c r="I1581" s="696"/>
      <c r="J1581" s="688"/>
      <c r="K1581" s="689"/>
    </row>
    <row r="1582" spans="1:11" s="691" customFormat="1" ht="20.100000000000001" customHeight="1" x14ac:dyDescent="0.2">
      <c r="A1582" s="695" t="str">
        <f t="shared" si="21"/>
        <v>333903919010000  Prestacao de Serviços Veiculo Placas IRY 2375</v>
      </c>
      <c r="B1582" s="628"/>
      <c r="C1582" s="631"/>
      <c r="D1582" s="632">
        <v>333903919010000</v>
      </c>
      <c r="E1582" s="696" t="s">
        <v>1276</v>
      </c>
      <c r="F1582" s="696">
        <v>8</v>
      </c>
      <c r="G1582" s="696" t="s">
        <v>5597</v>
      </c>
      <c r="I1582" s="696" t="s">
        <v>5604</v>
      </c>
      <c r="J1582" s="688"/>
      <c r="K1582" s="689"/>
    </row>
    <row r="1583" spans="1:11" s="691" customFormat="1" ht="20.100000000000001" customHeight="1" x14ac:dyDescent="0.2">
      <c r="A1583" s="695" t="str">
        <f t="shared" si="21"/>
        <v>333903919020000  Prestacao de Serviços  Veiculo Placas ISK 1256</v>
      </c>
      <c r="B1583" s="628"/>
      <c r="C1583" s="631"/>
      <c r="D1583" s="632">
        <v>333903919020000</v>
      </c>
      <c r="E1583" s="696" t="s">
        <v>5661</v>
      </c>
      <c r="F1583" s="696">
        <v>8</v>
      </c>
      <c r="G1583" s="696" t="s">
        <v>5597</v>
      </c>
      <c r="I1583" s="696" t="s">
        <v>5604</v>
      </c>
      <c r="J1583" s="688"/>
      <c r="K1583" s="689"/>
    </row>
    <row r="1584" spans="1:11" s="691" customFormat="1" ht="20.100000000000001" customHeight="1" x14ac:dyDescent="0.2">
      <c r="A1584" s="695" t="str">
        <f t="shared" si="21"/>
        <v>333903919030000  Prestacao de Serviços  Veiculo Placas ITP 0262</v>
      </c>
      <c r="B1584" s="628"/>
      <c r="C1584" s="631"/>
      <c r="D1584" s="632">
        <v>333903919030000</v>
      </c>
      <c r="E1584" s="696" t="s">
        <v>5662</v>
      </c>
      <c r="F1584" s="696">
        <v>8</v>
      </c>
      <c r="G1584" s="696" t="s">
        <v>5597</v>
      </c>
      <c r="I1584" s="696" t="s">
        <v>5604</v>
      </c>
      <c r="J1584" s="688"/>
      <c r="K1584" s="689"/>
    </row>
    <row r="1585" spans="1:11" s="691" customFormat="1" ht="20.100000000000001" customHeight="1" x14ac:dyDescent="0.2">
      <c r="A1585" s="695" t="str">
        <f t="shared" ref="A1585:A1648" si="22">CONCATENATE(D1585,"  ",E1585,)</f>
        <v>333903919040000  Prestacao de Serviços  Veiculo Placas IRH 9777</v>
      </c>
      <c r="B1585" s="628"/>
      <c r="C1585" s="631"/>
      <c r="D1585" s="632">
        <v>333903919040000</v>
      </c>
      <c r="E1585" s="696" t="s">
        <v>5663</v>
      </c>
      <c r="F1585" s="696">
        <v>8</v>
      </c>
      <c r="G1585" s="696" t="s">
        <v>5597</v>
      </c>
      <c r="I1585" s="696" t="s">
        <v>5604</v>
      </c>
      <c r="J1585" s="688"/>
      <c r="K1585" s="689"/>
    </row>
    <row r="1586" spans="1:11" s="691" customFormat="1" ht="20.100000000000001" customHeight="1" x14ac:dyDescent="0.2">
      <c r="A1586" s="695" t="str">
        <f t="shared" si="22"/>
        <v>333903919050000  Prestacao de Serviços  Veiculo Placas IOY 7726</v>
      </c>
      <c r="B1586" s="628"/>
      <c r="C1586" s="631"/>
      <c r="D1586" s="632">
        <v>333903919050000</v>
      </c>
      <c r="E1586" s="696" t="s">
        <v>5664</v>
      </c>
      <c r="F1586" s="696">
        <v>8</v>
      </c>
      <c r="G1586" s="696" t="s">
        <v>5597</v>
      </c>
      <c r="I1586" s="696" t="s">
        <v>5604</v>
      </c>
      <c r="J1586" s="688"/>
      <c r="K1586" s="689"/>
    </row>
    <row r="1587" spans="1:11" s="691" customFormat="1" ht="20.100000000000001" customHeight="1" x14ac:dyDescent="0.2">
      <c r="A1587" s="695" t="str">
        <f t="shared" si="22"/>
        <v>333903919060000  Prestacao de Serviços  Veiculo Placas DUA 5272</v>
      </c>
      <c r="B1587" s="628"/>
      <c r="C1587" s="631"/>
      <c r="D1587" s="632">
        <v>333903919060000</v>
      </c>
      <c r="E1587" s="696" t="s">
        <v>5665</v>
      </c>
      <c r="F1587" s="696">
        <v>8</v>
      </c>
      <c r="G1587" s="696" t="s">
        <v>5597</v>
      </c>
      <c r="I1587" s="696" t="s">
        <v>5604</v>
      </c>
      <c r="J1587" s="688"/>
      <c r="K1587" s="689"/>
    </row>
    <row r="1588" spans="1:11" s="691" customFormat="1" ht="20.100000000000001" customHeight="1" x14ac:dyDescent="0.2">
      <c r="A1588" s="695" t="str">
        <f t="shared" si="22"/>
        <v>333903919070000  Prestacao de Serviços  Veiculo Placas IRS 4010</v>
      </c>
      <c r="B1588" s="628"/>
      <c r="C1588" s="631"/>
      <c r="D1588" s="632">
        <v>333903919070000</v>
      </c>
      <c r="E1588" s="696" t="s">
        <v>5666</v>
      </c>
      <c r="F1588" s="696">
        <v>8</v>
      </c>
      <c r="G1588" s="696" t="s">
        <v>5597</v>
      </c>
      <c r="I1588" s="696" t="s">
        <v>5604</v>
      </c>
      <c r="J1588" s="688"/>
      <c r="K1588" s="689"/>
    </row>
    <row r="1589" spans="1:11" s="691" customFormat="1" ht="20.100000000000001" customHeight="1" x14ac:dyDescent="0.2">
      <c r="A1589" s="695" t="str">
        <f t="shared" si="22"/>
        <v>333903919080000  Prestacao de Serviços  Veiculo Placas IQV 8399</v>
      </c>
      <c r="B1589" s="628"/>
      <c r="C1589" s="631"/>
      <c r="D1589" s="632">
        <v>333903919080000</v>
      </c>
      <c r="E1589" s="696" t="s">
        <v>5667</v>
      </c>
      <c r="F1589" s="696">
        <v>8</v>
      </c>
      <c r="G1589" s="696" t="s">
        <v>5597</v>
      </c>
      <c r="I1589" s="696" t="s">
        <v>5604</v>
      </c>
      <c r="J1589" s="688"/>
      <c r="K1589" s="689"/>
    </row>
    <row r="1590" spans="1:11" s="691" customFormat="1" ht="20.100000000000001" customHeight="1" x14ac:dyDescent="0.2">
      <c r="A1590" s="695" t="str">
        <f t="shared" si="22"/>
        <v>333903919090000  Prestacao de Serviços  Veiculo Placas IOB 6926</v>
      </c>
      <c r="B1590" s="628"/>
      <c r="C1590" s="631"/>
      <c r="D1590" s="632">
        <v>333903919090000</v>
      </c>
      <c r="E1590" s="696" t="s">
        <v>5668</v>
      </c>
      <c r="F1590" s="696">
        <v>8</v>
      </c>
      <c r="G1590" s="696" t="s">
        <v>5597</v>
      </c>
      <c r="I1590" s="696" t="s">
        <v>5604</v>
      </c>
      <c r="J1590" s="688"/>
      <c r="K1590" s="689"/>
    </row>
    <row r="1591" spans="1:11" s="691" customFormat="1" ht="20.100000000000001" customHeight="1" x14ac:dyDescent="0.2">
      <c r="A1591" s="695" t="str">
        <f t="shared" si="22"/>
        <v>333903919100000  Prestacao de Serviços  Veiculo Placas IRY 2027</v>
      </c>
      <c r="B1591" s="628"/>
      <c r="C1591" s="631"/>
      <c r="D1591" s="632">
        <v>333903919100000</v>
      </c>
      <c r="E1591" s="696" t="s">
        <v>5669</v>
      </c>
      <c r="F1591" s="696">
        <v>8</v>
      </c>
      <c r="G1591" s="696" t="s">
        <v>5597</v>
      </c>
      <c r="I1591" s="696" t="s">
        <v>5604</v>
      </c>
      <c r="J1591" s="688"/>
      <c r="K1591" s="689"/>
    </row>
    <row r="1592" spans="1:11" s="691" customFormat="1" ht="20.100000000000001" customHeight="1" x14ac:dyDescent="0.2">
      <c r="A1592" s="695" t="str">
        <f t="shared" si="22"/>
        <v>333903919110000  Prestacao de Serviços  Veiculo Placas IPN 4843</v>
      </c>
      <c r="B1592" s="628"/>
      <c r="C1592" s="631"/>
      <c r="D1592" s="632">
        <v>333903919110000</v>
      </c>
      <c r="E1592" s="696" t="s">
        <v>5670</v>
      </c>
      <c r="F1592" s="696">
        <v>8</v>
      </c>
      <c r="G1592" s="696" t="s">
        <v>5597</v>
      </c>
      <c r="I1592" s="696" t="s">
        <v>5604</v>
      </c>
      <c r="J1592" s="688"/>
      <c r="K1592" s="689"/>
    </row>
    <row r="1593" spans="1:11" s="691" customFormat="1" ht="20.100000000000001" customHeight="1" x14ac:dyDescent="0.2">
      <c r="A1593" s="695" t="str">
        <f t="shared" si="22"/>
        <v>333903919120000  Prestacao de Serviços  Veiculo Placas IPP 9013</v>
      </c>
      <c r="B1593" s="628"/>
      <c r="C1593" s="631"/>
      <c r="D1593" s="632">
        <v>333903919120000</v>
      </c>
      <c r="E1593" s="696" t="s">
        <v>5671</v>
      </c>
      <c r="F1593" s="696">
        <v>8</v>
      </c>
      <c r="G1593" s="696" t="s">
        <v>5597</v>
      </c>
      <c r="I1593" s="696" t="s">
        <v>5604</v>
      </c>
      <c r="J1593" s="688"/>
      <c r="K1593" s="689"/>
    </row>
    <row r="1594" spans="1:11" s="691" customFormat="1" ht="20.100000000000001" customHeight="1" x14ac:dyDescent="0.2">
      <c r="A1594" s="695" t="str">
        <f t="shared" si="22"/>
        <v>333903919130000  Prestacao de Serviços  Veiculo Placas IPP 9043</v>
      </c>
      <c r="B1594" s="628"/>
      <c r="C1594" s="631"/>
      <c r="D1594" s="632">
        <v>333903919130000</v>
      </c>
      <c r="E1594" s="696" t="s">
        <v>5672</v>
      </c>
      <c r="F1594" s="696">
        <v>8</v>
      </c>
      <c r="G1594" s="696" t="s">
        <v>5597</v>
      </c>
      <c r="I1594" s="696" t="s">
        <v>5604</v>
      </c>
      <c r="J1594" s="688"/>
      <c r="K1594" s="689"/>
    </row>
    <row r="1595" spans="1:11" ht="20.100000000000001" customHeight="1" x14ac:dyDescent="0.2">
      <c r="A1595" s="695" t="str">
        <f t="shared" si="22"/>
        <v>333903919140000  Prestacao de Serviços  Veiculo Placas IMN 0762</v>
      </c>
      <c r="C1595" s="631"/>
      <c r="D1595" s="632">
        <v>333903919140000</v>
      </c>
      <c r="E1595" s="696" t="s">
        <v>5673</v>
      </c>
      <c r="F1595" s="696">
        <v>8</v>
      </c>
      <c r="G1595" s="696" t="s">
        <v>5597</v>
      </c>
      <c r="I1595" s="696" t="s">
        <v>5604</v>
      </c>
    </row>
    <row r="1596" spans="1:11" ht="20.100000000000001" customHeight="1" x14ac:dyDescent="0.2">
      <c r="A1596" s="695" t="str">
        <f t="shared" si="22"/>
        <v>333903919150000  Prestacao de Serviços  Veiculo Placas IOD 6953</v>
      </c>
      <c r="C1596" s="631"/>
      <c r="D1596" s="632">
        <v>333903919150000</v>
      </c>
      <c r="E1596" s="696" t="s">
        <v>5674</v>
      </c>
      <c r="F1596" s="696">
        <v>8</v>
      </c>
      <c r="G1596" s="696" t="s">
        <v>5597</v>
      </c>
      <c r="I1596" s="696" t="s">
        <v>5604</v>
      </c>
    </row>
    <row r="1597" spans="1:11" ht="20.100000000000001" customHeight="1" x14ac:dyDescent="0.2">
      <c r="A1597" s="695" t="str">
        <f t="shared" si="22"/>
        <v>333903919160000  Prestacao de Serviços  Veiculo Placas IHL 6621</v>
      </c>
      <c r="C1597" s="631"/>
      <c r="D1597" s="632">
        <v>333903919160000</v>
      </c>
      <c r="E1597" s="696" t="s">
        <v>5675</v>
      </c>
      <c r="F1597" s="696">
        <v>8</v>
      </c>
      <c r="G1597" s="696" t="s">
        <v>5597</v>
      </c>
      <c r="I1597" s="696" t="s">
        <v>5604</v>
      </c>
    </row>
    <row r="1598" spans="1:11" ht="20.100000000000001" customHeight="1" x14ac:dyDescent="0.2">
      <c r="A1598" s="695" t="str">
        <f t="shared" si="22"/>
        <v>333903919170000  Prestacao de Serviços  Veiculo Placas IHL 6579</v>
      </c>
      <c r="C1598" s="631"/>
      <c r="D1598" s="632">
        <v>333903919170000</v>
      </c>
      <c r="E1598" s="696" t="s">
        <v>5676</v>
      </c>
      <c r="F1598" s="696">
        <v>8</v>
      </c>
      <c r="G1598" s="696" t="s">
        <v>5597</v>
      </c>
      <c r="I1598" s="696" t="s">
        <v>5604</v>
      </c>
    </row>
    <row r="1599" spans="1:11" ht="20.100000000000001" customHeight="1" x14ac:dyDescent="0.2">
      <c r="A1599" s="695" t="str">
        <f t="shared" si="22"/>
        <v>333903919180000  Prestacao de Serviços  Veiculo Placas INZ 9457</v>
      </c>
      <c r="C1599" s="631"/>
      <c r="D1599" s="632">
        <v>333903919180000</v>
      </c>
      <c r="E1599" s="696" t="s">
        <v>5677</v>
      </c>
      <c r="F1599" s="696">
        <v>8</v>
      </c>
      <c r="G1599" s="696" t="s">
        <v>5597</v>
      </c>
      <c r="I1599" s="696" t="s">
        <v>5604</v>
      </c>
    </row>
    <row r="1600" spans="1:11" ht="20.100000000000001" customHeight="1" x14ac:dyDescent="0.2">
      <c r="A1600" s="695" t="str">
        <f t="shared" si="22"/>
        <v>333903919190000  Prestacao de Serviços  Veiculo Placas IJY 2420</v>
      </c>
      <c r="C1600" s="631"/>
      <c r="D1600" s="632">
        <v>333903919190000</v>
      </c>
      <c r="E1600" s="696" t="s">
        <v>5678</v>
      </c>
      <c r="F1600" s="696">
        <v>8</v>
      </c>
      <c r="G1600" s="696" t="s">
        <v>5597</v>
      </c>
      <c r="I1600" s="696" t="s">
        <v>5604</v>
      </c>
    </row>
    <row r="1601" spans="1:9" ht="20.100000000000001" customHeight="1" x14ac:dyDescent="0.2">
      <c r="A1601" s="695" t="str">
        <f t="shared" si="22"/>
        <v>333903919200000  Prestacao de Serviços  Veiculo Brigada Militar</v>
      </c>
      <c r="C1601" s="631"/>
      <c r="D1601" s="632">
        <v>333903919200000</v>
      </c>
      <c r="E1601" s="696" t="s">
        <v>5679</v>
      </c>
      <c r="F1601" s="696">
        <v>8</v>
      </c>
      <c r="G1601" s="696" t="s">
        <v>5597</v>
      </c>
      <c r="I1601" s="696" t="s">
        <v>5604</v>
      </c>
    </row>
    <row r="1602" spans="1:9" ht="20.100000000000001" customHeight="1" x14ac:dyDescent="0.2">
      <c r="A1602" s="695" t="str">
        <f t="shared" si="22"/>
        <v>333903919210000  Serviços de Lavagem e Lubrificação Veiculo Placas IRY 2375</v>
      </c>
      <c r="C1602" s="631"/>
      <c r="D1602" s="632">
        <v>333903919210000</v>
      </c>
      <c r="E1602" s="696" t="s">
        <v>5273</v>
      </c>
      <c r="F1602" s="696">
        <v>8</v>
      </c>
      <c r="G1602" s="696" t="s">
        <v>5597</v>
      </c>
      <c r="I1602" s="696" t="s">
        <v>5604</v>
      </c>
    </row>
    <row r="1603" spans="1:9" ht="20.100000000000001" customHeight="1" x14ac:dyDescent="0.2">
      <c r="A1603" s="695" t="str">
        <f t="shared" si="22"/>
        <v>333903919220000  Serviços de Lavagem e Lubrificação Veiculo Placas ISK 1256</v>
      </c>
      <c r="C1603" s="631"/>
      <c r="D1603" s="632">
        <v>333903919220000</v>
      </c>
      <c r="E1603" s="696" t="s">
        <v>1134</v>
      </c>
      <c r="F1603" s="696">
        <v>8</v>
      </c>
      <c r="G1603" s="696" t="s">
        <v>5597</v>
      </c>
      <c r="I1603" s="696" t="s">
        <v>5604</v>
      </c>
    </row>
    <row r="1604" spans="1:9" ht="20.100000000000001" customHeight="1" x14ac:dyDescent="0.2">
      <c r="A1604" s="695" t="str">
        <f t="shared" si="22"/>
        <v>333903919230000  Serviços de Lavagem e Lubrificação Veiculo Placas ITP 0262</v>
      </c>
      <c r="C1604" s="631"/>
      <c r="D1604" s="632">
        <v>333903919230000</v>
      </c>
      <c r="E1604" s="696" t="s">
        <v>1133</v>
      </c>
      <c r="F1604" s="696">
        <v>8</v>
      </c>
      <c r="G1604" s="696" t="s">
        <v>5597</v>
      </c>
      <c r="I1604" s="696" t="s">
        <v>5604</v>
      </c>
    </row>
    <row r="1605" spans="1:9" ht="20.100000000000001" customHeight="1" x14ac:dyDescent="0.2">
      <c r="A1605" s="695" t="str">
        <f t="shared" si="22"/>
        <v>333903919240000  Serviços de Lavagem e Lubrificação Veiculo Placas IRH 9777</v>
      </c>
      <c r="C1605" s="631"/>
      <c r="D1605" s="632">
        <v>333903919240000</v>
      </c>
      <c r="E1605" s="696" t="s">
        <v>1132</v>
      </c>
      <c r="F1605" s="696">
        <v>8</v>
      </c>
      <c r="G1605" s="696" t="s">
        <v>5597</v>
      </c>
      <c r="I1605" s="696" t="s">
        <v>5604</v>
      </c>
    </row>
    <row r="1606" spans="1:9" ht="20.100000000000001" customHeight="1" x14ac:dyDescent="0.2">
      <c r="A1606" s="695" t="str">
        <f t="shared" si="22"/>
        <v>333903919250000  Serviços de Lavagem e Lub. Veiculo Placas IOY 7726</v>
      </c>
      <c r="C1606" s="631"/>
      <c r="D1606" s="632">
        <v>333903919250000</v>
      </c>
      <c r="E1606" s="696" t="s">
        <v>5274</v>
      </c>
      <c r="F1606" s="696">
        <v>8</v>
      </c>
      <c r="G1606" s="696" t="s">
        <v>5597</v>
      </c>
      <c r="I1606" s="696" t="s">
        <v>5600</v>
      </c>
    </row>
    <row r="1607" spans="1:9" ht="20.100000000000001" customHeight="1" x14ac:dyDescent="0.2">
      <c r="A1607" s="695" t="str">
        <f t="shared" si="22"/>
        <v>333903919260000  Serviços de Lavagem e Lubrificação Veiculo Placas DUA 5272</v>
      </c>
      <c r="C1607" s="631"/>
      <c r="D1607" s="632">
        <v>333903919260000</v>
      </c>
      <c r="E1607" s="696" t="s">
        <v>1131</v>
      </c>
      <c r="F1607" s="696">
        <v>8</v>
      </c>
      <c r="G1607" s="696" t="s">
        <v>5597</v>
      </c>
      <c r="I1607" s="696" t="s">
        <v>5604</v>
      </c>
    </row>
    <row r="1608" spans="1:9" ht="20.100000000000001" customHeight="1" x14ac:dyDescent="0.2">
      <c r="A1608" s="695" t="str">
        <f t="shared" si="22"/>
        <v>333903919270000  Serviços de Lavagem e Lubrificação Veiculo Placas IRS 4010</v>
      </c>
      <c r="C1608" s="631"/>
      <c r="D1608" s="632">
        <v>333903919270000</v>
      </c>
      <c r="E1608" s="696" t="s">
        <v>1263</v>
      </c>
      <c r="F1608" s="696">
        <v>8</v>
      </c>
      <c r="G1608" s="696" t="s">
        <v>5597</v>
      </c>
      <c r="I1608" s="696" t="s">
        <v>5604</v>
      </c>
    </row>
    <row r="1609" spans="1:9" ht="20.100000000000001" customHeight="1" x14ac:dyDescent="0.2">
      <c r="A1609" s="695" t="str">
        <f t="shared" si="22"/>
        <v>333903919280000  Serviços de Lavagem e Lub. Veiculo Placas IQV 8399</v>
      </c>
      <c r="C1609" s="631"/>
      <c r="D1609" s="632">
        <v>333903919280000</v>
      </c>
      <c r="E1609" s="696" t="s">
        <v>5275</v>
      </c>
      <c r="F1609" s="696">
        <v>8</v>
      </c>
      <c r="G1609" s="696" t="s">
        <v>5597</v>
      </c>
      <c r="I1609" s="696" t="s">
        <v>5600</v>
      </c>
    </row>
    <row r="1610" spans="1:9" ht="20.100000000000001" customHeight="1" x14ac:dyDescent="0.2">
      <c r="A1610" s="695" t="str">
        <f t="shared" si="22"/>
        <v>333903919290000  Serviços de Lavagem e Lubrificação Veiculo Placas IOB 6926</v>
      </c>
      <c r="C1610" s="631"/>
      <c r="D1610" s="632">
        <v>333903919290000</v>
      </c>
      <c r="E1610" s="696" t="s">
        <v>1130</v>
      </c>
      <c r="F1610" s="696">
        <v>8</v>
      </c>
      <c r="G1610" s="696" t="s">
        <v>5597</v>
      </c>
      <c r="I1610" s="696" t="s">
        <v>5604</v>
      </c>
    </row>
    <row r="1611" spans="1:9" ht="20.100000000000001" customHeight="1" x14ac:dyDescent="0.2">
      <c r="A1611" s="695" t="str">
        <f t="shared" si="22"/>
        <v>333903919300000  Serviços de Lavagem e Lubrificação Veiculo Placas IRY 2027</v>
      </c>
      <c r="C1611" s="631"/>
      <c r="D1611" s="632">
        <v>333903919300000</v>
      </c>
      <c r="E1611" s="696" t="s">
        <v>1032</v>
      </c>
      <c r="F1611" s="696">
        <v>8</v>
      </c>
      <c r="G1611" s="696" t="s">
        <v>5597</v>
      </c>
      <c r="I1611" s="696" t="s">
        <v>5604</v>
      </c>
    </row>
    <row r="1612" spans="1:9" ht="20.100000000000001" customHeight="1" x14ac:dyDescent="0.2">
      <c r="A1612" s="695" t="str">
        <f t="shared" si="22"/>
        <v>333903919310000  Serviços de Lavagem e Lubrificação Veiculo Placas IPN 4843</v>
      </c>
      <c r="C1612" s="631"/>
      <c r="D1612" s="632">
        <v>333903919310000</v>
      </c>
      <c r="E1612" s="696" t="s">
        <v>1173</v>
      </c>
      <c r="F1612" s="696">
        <v>8</v>
      </c>
      <c r="G1612" s="696" t="s">
        <v>5597</v>
      </c>
      <c r="I1612" s="696" t="s">
        <v>5604</v>
      </c>
    </row>
    <row r="1613" spans="1:9" ht="20.100000000000001" customHeight="1" x14ac:dyDescent="0.2">
      <c r="A1613" s="695" t="str">
        <f t="shared" si="22"/>
        <v>333903919320000  Serviços de Lavagem e Lubrificação Veiculo Placas IPP 9013</v>
      </c>
      <c r="C1613" s="631"/>
      <c r="D1613" s="632">
        <v>333903919320000</v>
      </c>
      <c r="E1613" s="696" t="s">
        <v>1172</v>
      </c>
      <c r="F1613" s="696">
        <v>8</v>
      </c>
      <c r="G1613" s="696" t="s">
        <v>5597</v>
      </c>
      <c r="I1613" s="696" t="s">
        <v>5604</v>
      </c>
    </row>
    <row r="1614" spans="1:9" ht="20.100000000000001" customHeight="1" x14ac:dyDescent="0.2">
      <c r="A1614" s="695" t="str">
        <f t="shared" si="22"/>
        <v>333903919330000  Serviços de Lavagem e Lubrificação Veiculo Placas IPP 9043</v>
      </c>
      <c r="C1614" s="631"/>
      <c r="D1614" s="632">
        <v>333903919330000</v>
      </c>
      <c r="E1614" s="696" t="s">
        <v>1171</v>
      </c>
      <c r="F1614" s="696">
        <v>8</v>
      </c>
      <c r="G1614" s="696" t="s">
        <v>5597</v>
      </c>
      <c r="I1614" s="696" t="s">
        <v>5604</v>
      </c>
    </row>
    <row r="1615" spans="1:9" ht="20.100000000000001" customHeight="1" x14ac:dyDescent="0.2">
      <c r="A1615" s="695" t="str">
        <f t="shared" si="22"/>
        <v>333903919340000  Serviços de Lavagem e Lubrificação Veiculo Placas IMN 0762</v>
      </c>
      <c r="C1615" s="631"/>
      <c r="D1615" s="632">
        <v>333903919340000</v>
      </c>
      <c r="E1615" s="696" t="s">
        <v>1187</v>
      </c>
      <c r="F1615" s="696">
        <v>8</v>
      </c>
      <c r="G1615" s="696" t="s">
        <v>5597</v>
      </c>
      <c r="I1615" s="696" t="s">
        <v>5604</v>
      </c>
    </row>
    <row r="1616" spans="1:9" ht="20.100000000000001" customHeight="1" x14ac:dyDescent="0.2">
      <c r="A1616" s="695" t="str">
        <f t="shared" si="22"/>
        <v>333903919350000  Serviços de Lavagem e Lubrificação Veiculo Placas IOD 6953</v>
      </c>
      <c r="C1616" s="631"/>
      <c r="D1616" s="632">
        <v>333903919350000</v>
      </c>
      <c r="E1616" s="696" t="s">
        <v>1240</v>
      </c>
      <c r="F1616" s="696">
        <v>8</v>
      </c>
      <c r="G1616" s="696" t="s">
        <v>5597</v>
      </c>
      <c r="I1616" s="696" t="s">
        <v>5604</v>
      </c>
    </row>
    <row r="1617" spans="1:9" ht="20.100000000000001" customHeight="1" x14ac:dyDescent="0.2">
      <c r="A1617" s="695" t="str">
        <f t="shared" si="22"/>
        <v>333903919360000  Serviços de Lavagem e Lubrificação Veiculo Placas IHL 6621</v>
      </c>
      <c r="C1617" s="631"/>
      <c r="D1617" s="632">
        <v>333903919360000</v>
      </c>
      <c r="E1617" s="696" t="s">
        <v>1205</v>
      </c>
      <c r="F1617" s="696">
        <v>8</v>
      </c>
      <c r="G1617" s="696" t="s">
        <v>5597</v>
      </c>
      <c r="I1617" s="696" t="s">
        <v>5604</v>
      </c>
    </row>
    <row r="1618" spans="1:9" ht="20.100000000000001" customHeight="1" x14ac:dyDescent="0.2">
      <c r="A1618" s="695" t="str">
        <f t="shared" si="22"/>
        <v>333903919370000  Serviços de Lavagem e Lubrificação Veiculo Placas IHL 6579</v>
      </c>
      <c r="C1618" s="631"/>
      <c r="D1618" s="632">
        <v>333903919370000</v>
      </c>
      <c r="E1618" s="696" t="s">
        <v>1204</v>
      </c>
      <c r="F1618" s="696">
        <v>8</v>
      </c>
      <c r="G1618" s="696" t="s">
        <v>5597</v>
      </c>
      <c r="I1618" s="696" t="s">
        <v>5604</v>
      </c>
    </row>
    <row r="1619" spans="1:9" ht="20.100000000000001" customHeight="1" x14ac:dyDescent="0.2">
      <c r="A1619" s="695" t="str">
        <f t="shared" si="22"/>
        <v>333903919380000  Serviços de Lavagem e Lubrificação Veiculo Placas INZ 9457</v>
      </c>
      <c r="C1619" s="631"/>
      <c r="D1619" s="632">
        <v>333903919380000</v>
      </c>
      <c r="E1619" s="696" t="s">
        <v>1239</v>
      </c>
      <c r="F1619" s="696">
        <v>8</v>
      </c>
      <c r="G1619" s="696" t="s">
        <v>5597</v>
      </c>
      <c r="I1619" s="696" t="s">
        <v>5604</v>
      </c>
    </row>
    <row r="1620" spans="1:9" ht="20.100000000000001" customHeight="1" x14ac:dyDescent="0.2">
      <c r="A1620" s="695" t="str">
        <f t="shared" si="22"/>
        <v>333903919390000  Serviços de Lavagem e Lubrificação Veiculo Placas IJY 2420</v>
      </c>
      <c r="C1620" s="631"/>
      <c r="D1620" s="632">
        <v>333903919390000</v>
      </c>
      <c r="E1620" s="696" t="s">
        <v>1092</v>
      </c>
      <c r="F1620" s="696">
        <v>8</v>
      </c>
      <c r="G1620" s="696" t="s">
        <v>5597</v>
      </c>
      <c r="I1620" s="696" t="s">
        <v>5604</v>
      </c>
    </row>
    <row r="1621" spans="1:9" ht="20.100000000000001" customHeight="1" x14ac:dyDescent="0.2">
      <c r="A1621" s="695" t="str">
        <f t="shared" si="22"/>
        <v>333903919400000  Serviços de Lavagem e Lubrificação Veiculo Placas IVR 0147</v>
      </c>
      <c r="C1621" s="631"/>
      <c r="D1621" s="632">
        <v>333903919400000</v>
      </c>
      <c r="E1621" s="696" t="s">
        <v>5276</v>
      </c>
      <c r="F1621" s="696">
        <v>8</v>
      </c>
      <c r="G1621" s="696" t="s">
        <v>5597</v>
      </c>
      <c r="I1621" s="696" t="s">
        <v>5600</v>
      </c>
    </row>
    <row r="1622" spans="1:9" ht="20.100000000000001" customHeight="1" x14ac:dyDescent="0.2">
      <c r="A1622" s="695" t="str">
        <f t="shared" si="22"/>
        <v>333903919410000  Manutenção Veiculo Placas IVR 0147</v>
      </c>
      <c r="C1622" s="631"/>
      <c r="D1622" s="632">
        <v>333903919410000</v>
      </c>
      <c r="E1622" s="696" t="s">
        <v>5277</v>
      </c>
      <c r="F1622" s="696">
        <v>8</v>
      </c>
      <c r="G1622" s="696" t="s">
        <v>5597</v>
      </c>
      <c r="I1622" s="696" t="s">
        <v>5600</v>
      </c>
    </row>
    <row r="1623" spans="1:9" ht="20.100000000000001" customHeight="1" x14ac:dyDescent="0.2">
      <c r="A1623" s="695" t="str">
        <f t="shared" si="22"/>
        <v>333903919420000  Manutenção Veiculo Placa IVP 4366</v>
      </c>
      <c r="C1623" s="631"/>
      <c r="D1623" s="632">
        <v>333903919420000</v>
      </c>
      <c r="E1623" s="696" t="s">
        <v>5278</v>
      </c>
      <c r="F1623" s="696">
        <v>8</v>
      </c>
      <c r="G1623" s="696" t="s">
        <v>5597</v>
      </c>
      <c r="I1623" s="696" t="s">
        <v>5627</v>
      </c>
    </row>
    <row r="1624" spans="1:9" ht="20.100000000000001" customHeight="1" x14ac:dyDescent="0.2">
      <c r="A1624" s="695" t="str">
        <f t="shared" si="22"/>
        <v>333903919430000  Manutenção Veiculo Placa IVY 8350</v>
      </c>
      <c r="C1624" s="631"/>
      <c r="D1624" s="632">
        <v>333903919430000</v>
      </c>
      <c r="E1624" s="696" t="s">
        <v>5279</v>
      </c>
      <c r="F1624" s="696">
        <v>8</v>
      </c>
      <c r="G1624" s="696" t="s">
        <v>5597</v>
      </c>
      <c r="I1624" s="696" t="s">
        <v>5600</v>
      </c>
    </row>
    <row r="1625" spans="1:9" ht="20.100000000000001" customHeight="1" x14ac:dyDescent="0.2">
      <c r="A1625" s="695" t="str">
        <f t="shared" si="22"/>
        <v>333903919440000  Serviços de Lavagem e Lubrificação Veiculo Placas IVY 8350</v>
      </c>
      <c r="C1625" s="631"/>
      <c r="D1625" s="632">
        <v>333903919440000</v>
      </c>
      <c r="E1625" s="696" t="s">
        <v>5280</v>
      </c>
      <c r="F1625" s="696">
        <v>8</v>
      </c>
      <c r="G1625" s="696" t="s">
        <v>5597</v>
      </c>
      <c r="I1625" s="696" t="s">
        <v>5600</v>
      </c>
    </row>
    <row r="1626" spans="1:9" ht="20.100000000000001" customHeight="1" x14ac:dyDescent="0.2">
      <c r="A1626" s="695" t="str">
        <f t="shared" si="22"/>
        <v>333903919450000  Manutenção Veiculo  Educação</v>
      </c>
      <c r="C1626" s="631"/>
      <c r="D1626" s="632">
        <v>333903919450000</v>
      </c>
      <c r="E1626" s="696" t="s">
        <v>5680</v>
      </c>
      <c r="F1626" s="696">
        <v>8</v>
      </c>
      <c r="G1626" s="696" t="s">
        <v>5597</v>
      </c>
      <c r="I1626" s="696" t="s">
        <v>5600</v>
      </c>
    </row>
    <row r="1627" spans="1:9" ht="20.100000000000001" customHeight="1" x14ac:dyDescent="0.2">
      <c r="A1627" s="695" t="str">
        <f t="shared" si="22"/>
        <v>333903919460000  Lavagem e Lubrificação Veiculo  Educação</v>
      </c>
      <c r="C1627" s="631"/>
      <c r="D1627" s="632">
        <v>333903919460000</v>
      </c>
      <c r="E1627" s="696" t="s">
        <v>5681</v>
      </c>
      <c r="F1627" s="696">
        <v>8</v>
      </c>
      <c r="G1627" s="696" t="s">
        <v>5597</v>
      </c>
      <c r="I1627" s="696" t="s">
        <v>5600</v>
      </c>
    </row>
    <row r="1628" spans="1:9" ht="20.100000000000001" customHeight="1" x14ac:dyDescent="0.2">
      <c r="A1628" s="695" t="str">
        <f t="shared" si="22"/>
        <v>333903919470000  Lavagem e Lubrificação Veiculo Placas IVP 4366</v>
      </c>
      <c r="C1628" s="631"/>
      <c r="D1628" s="632">
        <v>333903919470000</v>
      </c>
      <c r="E1628" s="696" t="s">
        <v>5281</v>
      </c>
      <c r="F1628" s="696">
        <v>8</v>
      </c>
      <c r="G1628" s="696" t="s">
        <v>5597</v>
      </c>
      <c r="I1628" s="696" t="s">
        <v>5627</v>
      </c>
    </row>
    <row r="1629" spans="1:9" ht="20.100000000000001" customHeight="1" x14ac:dyDescent="0.2">
      <c r="A1629" s="695" t="str">
        <f t="shared" si="22"/>
        <v>333903919480000  Lavagem e Lubrificação Veiculo de Placas IVY 8354</v>
      </c>
      <c r="C1629" s="631"/>
      <c r="D1629" s="632">
        <v>333903919480000</v>
      </c>
      <c r="E1629" s="696" t="s">
        <v>5282</v>
      </c>
      <c r="F1629" s="696">
        <v>8</v>
      </c>
      <c r="G1629" s="696" t="s">
        <v>5597</v>
      </c>
      <c r="I1629" s="696" t="s">
        <v>5627</v>
      </c>
    </row>
    <row r="1630" spans="1:9" ht="20.100000000000001" customHeight="1" x14ac:dyDescent="0.2">
      <c r="A1630" s="695" t="str">
        <f t="shared" si="22"/>
        <v>333903919490000  Serviço de lavagem e Lubrificação Veiculo Placas IWC 5251</v>
      </c>
      <c r="C1630" s="631"/>
      <c r="D1630" s="632">
        <v>333903919490000</v>
      </c>
      <c r="E1630" s="696" t="s">
        <v>5283</v>
      </c>
      <c r="F1630" s="696">
        <v>8</v>
      </c>
      <c r="G1630" s="696" t="s">
        <v>5597</v>
      </c>
      <c r="I1630" s="696" t="s">
        <v>5627</v>
      </c>
    </row>
    <row r="1631" spans="1:9" ht="20.100000000000001" customHeight="1" x14ac:dyDescent="0.2">
      <c r="A1631" s="695" t="str">
        <f t="shared" si="22"/>
        <v>333903919500000  Serviço de Lavagem e Lubrificação Veiculo Placas IWE 4544</v>
      </c>
      <c r="C1631" s="631"/>
      <c r="D1631" s="632">
        <v>333903919500000</v>
      </c>
      <c r="E1631" s="696" t="s">
        <v>5284</v>
      </c>
      <c r="F1631" s="696">
        <v>8</v>
      </c>
      <c r="G1631" s="696" t="s">
        <v>5597</v>
      </c>
      <c r="I1631" s="696" t="s">
        <v>5627</v>
      </c>
    </row>
    <row r="1632" spans="1:9" ht="20.100000000000001" customHeight="1" x14ac:dyDescent="0.2">
      <c r="A1632" s="695" t="str">
        <f t="shared" si="22"/>
        <v>333903919510000  Prestação de Serviços Veiculo Placas IVY 8354</v>
      </c>
      <c r="C1632" s="631"/>
      <c r="D1632" s="632">
        <v>333903919510000</v>
      </c>
      <c r="E1632" s="696" t="s">
        <v>5285</v>
      </c>
      <c r="F1632" s="696">
        <v>8</v>
      </c>
      <c r="G1632" s="696" t="s">
        <v>5597</v>
      </c>
      <c r="I1632" s="696" t="s">
        <v>5627</v>
      </c>
    </row>
    <row r="1633" spans="1:9" ht="20.100000000000001" customHeight="1" x14ac:dyDescent="0.2">
      <c r="A1633" s="695" t="str">
        <f t="shared" si="22"/>
        <v>333903919520000  Prestação de Serviços Veiculo Placas IWL 3346</v>
      </c>
      <c r="C1633" s="631"/>
      <c r="D1633" s="632">
        <v>333903919520000</v>
      </c>
      <c r="E1633" s="696" t="s">
        <v>5286</v>
      </c>
      <c r="F1633" s="696">
        <v>8</v>
      </c>
      <c r="G1633" s="696" t="s">
        <v>5597</v>
      </c>
      <c r="I1633" s="696" t="s">
        <v>5600</v>
      </c>
    </row>
    <row r="1634" spans="1:9" ht="20.100000000000001" customHeight="1" x14ac:dyDescent="0.2">
      <c r="A1634" s="695" t="str">
        <f t="shared" si="22"/>
        <v>333903919530000  Lavagem e Lubrificação  Veiculo Placas IWL 3346</v>
      </c>
      <c r="C1634" s="631"/>
      <c r="D1634" s="632">
        <v>333903919530000</v>
      </c>
      <c r="E1634" s="696" t="s">
        <v>5682</v>
      </c>
      <c r="F1634" s="696">
        <v>8</v>
      </c>
      <c r="G1634" s="696" t="s">
        <v>5597</v>
      </c>
      <c r="I1634" s="696" t="s">
        <v>5600</v>
      </c>
    </row>
    <row r="1635" spans="1:9" ht="20.100000000000001" customHeight="1" x14ac:dyDescent="0.2">
      <c r="A1635" s="695" t="str">
        <f t="shared" si="22"/>
        <v>333903919540000  Prestação de Serviços Veiculo Placas IWC 5251</v>
      </c>
      <c r="C1635" s="631"/>
      <c r="D1635" s="632">
        <v>333903919540000</v>
      </c>
      <c r="E1635" s="696" t="s">
        <v>5287</v>
      </c>
      <c r="F1635" s="696">
        <v>8</v>
      </c>
      <c r="G1635" s="696" t="s">
        <v>5597</v>
      </c>
      <c r="I1635" s="696" t="s">
        <v>5627</v>
      </c>
    </row>
    <row r="1636" spans="1:9" ht="20.100000000000001" customHeight="1" x14ac:dyDescent="0.2">
      <c r="A1636" s="695" t="str">
        <f t="shared" si="22"/>
        <v>333903919550000  Prestação de Serviços Veiculo Placas IWE 4544</v>
      </c>
      <c r="C1636" s="631"/>
      <c r="D1636" s="632">
        <v>333903919550000</v>
      </c>
      <c r="E1636" s="696" t="s">
        <v>5288</v>
      </c>
      <c r="F1636" s="696">
        <v>8</v>
      </c>
      <c r="G1636" s="696" t="s">
        <v>5597</v>
      </c>
      <c r="I1636" s="696" t="s">
        <v>5627</v>
      </c>
    </row>
    <row r="1637" spans="1:9" ht="20.100000000000001" customHeight="1" x14ac:dyDescent="0.2">
      <c r="A1637" s="695" t="str">
        <f t="shared" si="22"/>
        <v>333903919560000  Prestação de Serviços Veiculo Placas ABK 7176</v>
      </c>
      <c r="C1637" s="631"/>
      <c r="D1637" s="632">
        <v>333903919560000</v>
      </c>
      <c r="E1637" s="696" t="s">
        <v>6214</v>
      </c>
      <c r="F1637" s="696">
        <v>8</v>
      </c>
      <c r="G1637" s="696" t="s">
        <v>5597</v>
      </c>
      <c r="I1637" s="696" t="s">
        <v>5600</v>
      </c>
    </row>
    <row r="1638" spans="1:9" ht="20.100000000000001" customHeight="1" x14ac:dyDescent="0.2">
      <c r="A1638" s="695" t="str">
        <f t="shared" si="22"/>
        <v>333903919570000  Lavagem e Lubrificação  Veiculo Placas ABK 7176</v>
      </c>
      <c r="C1638" s="631"/>
      <c r="D1638" s="632">
        <v>333903919570000</v>
      </c>
      <c r="E1638" s="696" t="s">
        <v>6215</v>
      </c>
      <c r="F1638" s="696">
        <v>8</v>
      </c>
      <c r="G1638" s="696" t="s">
        <v>5597</v>
      </c>
      <c r="I1638" s="696" t="s">
        <v>5600</v>
      </c>
    </row>
    <row r="1639" spans="1:9" ht="20.100000000000001" customHeight="1" x14ac:dyDescent="0.2">
      <c r="A1639" s="695" t="str">
        <f t="shared" si="22"/>
        <v>333903920000000  Manutencao E Conservacao De Bens Moveis De Outras Naturezas</v>
      </c>
      <c r="C1639" s="631"/>
      <c r="D1639" s="632">
        <v>333903920000000</v>
      </c>
      <c r="E1639" s="696" t="s">
        <v>1198</v>
      </c>
      <c r="F1639" s="696">
        <v>7</v>
      </c>
      <c r="G1639" s="696" t="s">
        <v>5597</v>
      </c>
      <c r="I1639" s="696"/>
    </row>
    <row r="1640" spans="1:9" ht="20.100000000000001" customHeight="1" x14ac:dyDescent="0.2">
      <c r="A1640" s="695" t="str">
        <f t="shared" si="22"/>
        <v>333903920010000  Manutencao E Conservacao De Bens Moveis - Legislativo</v>
      </c>
      <c r="C1640" s="631"/>
      <c r="D1640" s="632">
        <v>333903920010000</v>
      </c>
      <c r="E1640" s="696" t="s">
        <v>5289</v>
      </c>
      <c r="F1640" s="696">
        <v>8</v>
      </c>
      <c r="G1640" s="696" t="s">
        <v>5597</v>
      </c>
      <c r="I1640" s="696" t="s">
        <v>5600</v>
      </c>
    </row>
    <row r="1641" spans="1:9" ht="20.100000000000001" customHeight="1" x14ac:dyDescent="0.2">
      <c r="A1641" s="695" t="str">
        <f t="shared" si="22"/>
        <v>333903921000000  Manutencao E Conservacao  De Estradas E Vias</v>
      </c>
      <c r="C1641" s="631"/>
      <c r="D1641" s="632">
        <v>333903921000000</v>
      </c>
      <c r="E1641" s="696" t="s">
        <v>5683</v>
      </c>
      <c r="F1641" s="696">
        <v>7</v>
      </c>
      <c r="G1641" s="696" t="s">
        <v>5597</v>
      </c>
      <c r="I1641" s="696"/>
    </row>
    <row r="1642" spans="1:9" ht="20.100000000000001" customHeight="1" x14ac:dyDescent="0.2">
      <c r="A1642" s="695" t="str">
        <f t="shared" si="22"/>
        <v>333903922000000  Exposicoes, Congressos E Conferencias</v>
      </c>
      <c r="C1642" s="631"/>
      <c r="D1642" s="632">
        <v>333903922000000</v>
      </c>
      <c r="E1642" s="696" t="s">
        <v>5290</v>
      </c>
      <c r="F1642" s="696">
        <v>7</v>
      </c>
      <c r="G1642" s="696" t="s">
        <v>5597</v>
      </c>
      <c r="I1642" s="696"/>
    </row>
    <row r="1643" spans="1:9" ht="20.100000000000001" customHeight="1" x14ac:dyDescent="0.2">
      <c r="A1643" s="695" t="str">
        <f t="shared" si="22"/>
        <v>333903923000000  Festividades E Homenagens</v>
      </c>
      <c r="C1643" s="631"/>
      <c r="D1643" s="632">
        <v>333903923000000</v>
      </c>
      <c r="E1643" s="696" t="s">
        <v>1277</v>
      </c>
      <c r="F1643" s="696">
        <v>7</v>
      </c>
      <c r="G1643" s="696" t="s">
        <v>5597</v>
      </c>
      <c r="I1643" s="696"/>
    </row>
    <row r="1644" spans="1:9" ht="20.100000000000001" customHeight="1" x14ac:dyDescent="0.2">
      <c r="A1644" s="695" t="str">
        <f t="shared" si="22"/>
        <v>333903925000000  Taxa De Administração</v>
      </c>
      <c r="C1644" s="631"/>
      <c r="D1644" s="632">
        <v>333903925000000</v>
      </c>
      <c r="E1644" s="696" t="s">
        <v>5291</v>
      </c>
      <c r="F1644" s="696">
        <v>7</v>
      </c>
      <c r="G1644" s="696" t="s">
        <v>5597</v>
      </c>
      <c r="I1644" s="696"/>
    </row>
    <row r="1645" spans="1:9" ht="20.100000000000001" customHeight="1" x14ac:dyDescent="0.2">
      <c r="A1645" s="695" t="str">
        <f t="shared" si="22"/>
        <v>333903926000000  Desenvolvimento De Software</v>
      </c>
      <c r="C1645" s="631"/>
      <c r="D1645" s="632">
        <v>333903926000000</v>
      </c>
      <c r="E1645" s="696" t="s">
        <v>5292</v>
      </c>
      <c r="F1645" s="696">
        <v>7</v>
      </c>
      <c r="G1645" s="696" t="s">
        <v>5597</v>
      </c>
      <c r="I1645" s="696" t="s">
        <v>5647</v>
      </c>
    </row>
    <row r="1646" spans="1:9" ht="20.100000000000001" customHeight="1" x14ac:dyDescent="0.2">
      <c r="A1646" s="695" t="str">
        <f t="shared" si="22"/>
        <v>333903927000000  Suporte De Infraestrutura</v>
      </c>
      <c r="C1646" s="631"/>
      <c r="D1646" s="632">
        <v>333903927000000</v>
      </c>
      <c r="E1646" s="696" t="s">
        <v>5293</v>
      </c>
      <c r="F1646" s="696">
        <v>7</v>
      </c>
      <c r="G1646" s="696" t="s">
        <v>5597</v>
      </c>
      <c r="I1646" s="696" t="s">
        <v>5647</v>
      </c>
    </row>
    <row r="1647" spans="1:9" ht="20.100000000000001" customHeight="1" x14ac:dyDescent="0.2">
      <c r="A1647" s="695" t="str">
        <f t="shared" si="22"/>
        <v>333903928000000  Suporte A Usuários De Tecnologia Da Informação</v>
      </c>
      <c r="C1647" s="631"/>
      <c r="D1647" s="632">
        <v>333903928000000</v>
      </c>
      <c r="E1647" s="696" t="s">
        <v>5294</v>
      </c>
      <c r="F1647" s="696">
        <v>7</v>
      </c>
      <c r="G1647" s="696" t="s">
        <v>5597</v>
      </c>
      <c r="I1647" s="696" t="s">
        <v>5647</v>
      </c>
    </row>
    <row r="1648" spans="1:9" ht="20.100000000000001" customHeight="1" x14ac:dyDescent="0.2">
      <c r="A1648" s="695" t="str">
        <f t="shared" si="22"/>
        <v>333903929000000  Honorarios Advocaticios - Onus Da Sucumbencia</v>
      </c>
      <c r="C1648" s="631"/>
      <c r="D1648" s="632">
        <v>333903929000000</v>
      </c>
      <c r="E1648" s="696" t="s">
        <v>5209</v>
      </c>
      <c r="F1648" s="696">
        <v>7</v>
      </c>
      <c r="G1648" s="696" t="s">
        <v>5597</v>
      </c>
      <c r="I1648" s="696"/>
    </row>
    <row r="1649" spans="1:9" ht="20.100000000000001" customHeight="1" x14ac:dyDescent="0.2">
      <c r="A1649" s="695" t="str">
        <f t="shared" ref="A1649:A1712" si="23">CONCATENATE(D1649,"  ",E1649,)</f>
        <v>333903930000000  Hospedagem De Sistemas</v>
      </c>
      <c r="C1649" s="631"/>
      <c r="D1649" s="632">
        <v>333903930000000</v>
      </c>
      <c r="E1649" s="696" t="s">
        <v>5295</v>
      </c>
      <c r="F1649" s="696">
        <v>7</v>
      </c>
      <c r="G1649" s="696" t="s">
        <v>5597</v>
      </c>
      <c r="I1649" s="696" t="s">
        <v>5647</v>
      </c>
    </row>
    <row r="1650" spans="1:9" ht="20.100000000000001" customHeight="1" x14ac:dyDescent="0.2">
      <c r="A1650" s="695" t="str">
        <f t="shared" si="23"/>
        <v>333903931000000  Locação De Equipamentos De Processamento De Dados</v>
      </c>
      <c r="C1650" s="631"/>
      <c r="D1650" s="632">
        <v>333903931000000</v>
      </c>
      <c r="E1650" s="696" t="s">
        <v>5296</v>
      </c>
      <c r="F1650" s="696">
        <v>7</v>
      </c>
      <c r="G1650" s="696" t="s">
        <v>5597</v>
      </c>
      <c r="I1650" s="696" t="s">
        <v>5647</v>
      </c>
    </row>
    <row r="1651" spans="1:9" ht="20.100000000000001" customHeight="1" x14ac:dyDescent="0.2">
      <c r="A1651" s="695" t="str">
        <f t="shared" si="23"/>
        <v>333903936000000  Multas Indedutiveis</v>
      </c>
      <c r="C1651" s="631"/>
      <c r="D1651" s="632">
        <v>333903936000000</v>
      </c>
      <c r="E1651" s="696" t="s">
        <v>5297</v>
      </c>
      <c r="F1651" s="696">
        <v>7</v>
      </c>
      <c r="G1651" s="696" t="s">
        <v>5597</v>
      </c>
      <c r="I1651" s="696"/>
    </row>
    <row r="1652" spans="1:9" ht="20.100000000000001" customHeight="1" x14ac:dyDescent="0.2">
      <c r="A1652" s="695" t="str">
        <f t="shared" si="23"/>
        <v>333903937000000  Juros</v>
      </c>
      <c r="C1652" s="631"/>
      <c r="D1652" s="632">
        <v>333903937000000</v>
      </c>
      <c r="E1652" s="696" t="s">
        <v>1250</v>
      </c>
      <c r="F1652" s="696">
        <v>7</v>
      </c>
      <c r="G1652" s="696" t="s">
        <v>5597</v>
      </c>
      <c r="I1652" s="696"/>
    </row>
    <row r="1653" spans="1:9" ht="20.100000000000001" customHeight="1" x14ac:dyDescent="0.2">
      <c r="A1653" s="695" t="str">
        <f t="shared" si="23"/>
        <v>333903941000000  Fornecimento De Alimentacao</v>
      </c>
      <c r="C1653" s="631"/>
      <c r="D1653" s="632">
        <v>333903941000000</v>
      </c>
      <c r="E1653" s="696" t="s">
        <v>5206</v>
      </c>
      <c r="F1653" s="696">
        <v>7</v>
      </c>
      <c r="G1653" s="696" t="s">
        <v>5597</v>
      </c>
      <c r="I1653" s="696"/>
    </row>
    <row r="1654" spans="1:9" ht="20.100000000000001" customHeight="1" x14ac:dyDescent="0.2">
      <c r="A1654" s="695" t="str">
        <f t="shared" si="23"/>
        <v>333903943000000  Servicos De Energia Eletrica</v>
      </c>
      <c r="C1654" s="631"/>
      <c r="D1654" s="632">
        <v>333903943000000</v>
      </c>
      <c r="E1654" s="696" t="s">
        <v>1025</v>
      </c>
      <c r="F1654" s="696">
        <v>7</v>
      </c>
      <c r="G1654" s="696" t="s">
        <v>5597</v>
      </c>
      <c r="I1654" s="696"/>
    </row>
    <row r="1655" spans="1:9" ht="20.100000000000001" customHeight="1" x14ac:dyDescent="0.2">
      <c r="A1655" s="695" t="str">
        <f t="shared" si="23"/>
        <v>333903943010000  Servicos De Energia Eletrica - Legislativo</v>
      </c>
      <c r="C1655" s="631"/>
      <c r="D1655" s="632">
        <v>333903943010000</v>
      </c>
      <c r="E1655" s="696" t="s">
        <v>5298</v>
      </c>
      <c r="F1655" s="696">
        <v>8</v>
      </c>
      <c r="G1655" s="696" t="s">
        <v>5597</v>
      </c>
      <c r="I1655" s="696" t="s">
        <v>5600</v>
      </c>
    </row>
    <row r="1656" spans="1:9" ht="20.100000000000001" customHeight="1" x14ac:dyDescent="0.2">
      <c r="A1656" s="695" t="str">
        <f t="shared" si="23"/>
        <v>333903944000000  Servicos De Agua E Esgoto</v>
      </c>
      <c r="C1656" s="631"/>
      <c r="D1656" s="632">
        <v>333903944000000</v>
      </c>
      <c r="E1656" s="696" t="s">
        <v>1024</v>
      </c>
      <c r="F1656" s="696">
        <v>7</v>
      </c>
      <c r="G1656" s="696" t="s">
        <v>5597</v>
      </c>
      <c r="I1656" s="696"/>
    </row>
    <row r="1657" spans="1:9" ht="20.100000000000001" customHeight="1" x14ac:dyDescent="0.2">
      <c r="A1657" s="695" t="str">
        <f t="shared" si="23"/>
        <v>333903944010000  Servicos De Agua E Esgoto - Legislativo</v>
      </c>
      <c r="C1657" s="631"/>
      <c r="D1657" s="632">
        <v>333903944010000</v>
      </c>
      <c r="E1657" s="696" t="s">
        <v>5299</v>
      </c>
      <c r="F1657" s="696">
        <v>8</v>
      </c>
      <c r="G1657" s="696" t="s">
        <v>5597</v>
      </c>
      <c r="I1657" s="696" t="s">
        <v>5600</v>
      </c>
    </row>
    <row r="1658" spans="1:9" ht="20.100000000000001" customHeight="1" x14ac:dyDescent="0.2">
      <c r="A1658" s="695" t="str">
        <f t="shared" si="23"/>
        <v>333903945000000  Servicos De Gas</v>
      </c>
      <c r="C1658" s="631"/>
      <c r="D1658" s="632">
        <v>333903945000000</v>
      </c>
      <c r="E1658" s="696" t="s">
        <v>5300</v>
      </c>
      <c r="F1658" s="696">
        <v>7</v>
      </c>
      <c r="G1658" s="696" t="s">
        <v>5597</v>
      </c>
      <c r="I1658" s="696"/>
    </row>
    <row r="1659" spans="1:9" ht="20.100000000000001" customHeight="1" x14ac:dyDescent="0.2">
      <c r="A1659" s="695" t="str">
        <f t="shared" si="23"/>
        <v>333903946000000  Servicos Domesticos</v>
      </c>
      <c r="C1659" s="631"/>
      <c r="D1659" s="632">
        <v>333903946000000</v>
      </c>
      <c r="E1659" s="696" t="s">
        <v>5207</v>
      </c>
      <c r="F1659" s="696">
        <v>7</v>
      </c>
      <c r="G1659" s="696" t="s">
        <v>5597</v>
      </c>
      <c r="I1659" s="696"/>
    </row>
    <row r="1660" spans="1:9" ht="20.100000000000001" customHeight="1" x14ac:dyDescent="0.2">
      <c r="A1660" s="695" t="str">
        <f t="shared" si="23"/>
        <v>333903947000000  Servicos De Comunicacao Em Geral</v>
      </c>
      <c r="C1660" s="631"/>
      <c r="D1660" s="632">
        <v>333903947000000</v>
      </c>
      <c r="E1660" s="696" t="s">
        <v>5208</v>
      </c>
      <c r="F1660" s="696">
        <v>7</v>
      </c>
      <c r="G1660" s="696" t="s">
        <v>5597</v>
      </c>
      <c r="I1660" s="696"/>
    </row>
    <row r="1661" spans="1:9" ht="20.100000000000001" customHeight="1" x14ac:dyDescent="0.2">
      <c r="A1661" s="695" t="str">
        <f t="shared" si="23"/>
        <v>333903947010000  Serviços Postais</v>
      </c>
      <c r="C1661" s="631"/>
      <c r="D1661" s="632">
        <v>333903947010000</v>
      </c>
      <c r="E1661" s="696" t="s">
        <v>2604</v>
      </c>
      <c r="F1661" s="696">
        <v>7</v>
      </c>
      <c r="G1661" s="696" t="s">
        <v>5597</v>
      </c>
      <c r="I1661" s="696"/>
    </row>
    <row r="1662" spans="1:9" ht="20.100000000000001" customHeight="1" x14ac:dyDescent="0.2">
      <c r="A1662" s="695" t="str">
        <f t="shared" si="23"/>
        <v>333903947010100  Serviços Postais - Legislativo</v>
      </c>
      <c r="C1662" s="631"/>
      <c r="D1662" s="632">
        <v>333903947010100</v>
      </c>
      <c r="E1662" s="696" t="s">
        <v>5301</v>
      </c>
      <c r="F1662" s="696">
        <v>9</v>
      </c>
      <c r="G1662" s="696" t="s">
        <v>5597</v>
      </c>
      <c r="I1662" s="696" t="s">
        <v>5600</v>
      </c>
    </row>
    <row r="1663" spans="1:9" ht="20.100000000000001" customHeight="1" x14ac:dyDescent="0.2">
      <c r="A1663" s="695" t="str">
        <f t="shared" si="23"/>
        <v>333903948000000  Servico De Selecao E Treinamento</v>
      </c>
      <c r="C1663" s="631"/>
      <c r="D1663" s="632">
        <v>333903948000000</v>
      </c>
      <c r="E1663" s="696" t="s">
        <v>1042</v>
      </c>
      <c r="F1663" s="696">
        <v>7</v>
      </c>
      <c r="G1663" s="696" t="s">
        <v>5597</v>
      </c>
      <c r="I1663" s="696"/>
    </row>
    <row r="1664" spans="1:9" ht="20.100000000000001" customHeight="1" x14ac:dyDescent="0.2">
      <c r="A1664" s="695" t="str">
        <f t="shared" si="23"/>
        <v>333903948010000  Selecao e Treinamento Poder Legislativo</v>
      </c>
      <c r="C1664" s="631"/>
      <c r="D1664" s="632">
        <v>333903948010000</v>
      </c>
      <c r="E1664" s="696" t="s">
        <v>5302</v>
      </c>
      <c r="F1664" s="696">
        <v>8</v>
      </c>
      <c r="G1664" s="696" t="s">
        <v>5597</v>
      </c>
      <c r="I1664" s="696" t="s">
        <v>5600</v>
      </c>
    </row>
    <row r="1665" spans="1:9" ht="20.100000000000001" customHeight="1" x14ac:dyDescent="0.2">
      <c r="A1665" s="695" t="str">
        <f t="shared" si="23"/>
        <v>333903949000000  Producoes Jornalisticas</v>
      </c>
      <c r="C1665" s="631"/>
      <c r="D1665" s="632">
        <v>333903949000000</v>
      </c>
      <c r="E1665" s="696" t="s">
        <v>5303</v>
      </c>
      <c r="F1665" s="696">
        <v>7</v>
      </c>
      <c r="G1665" s="696" t="s">
        <v>5597</v>
      </c>
      <c r="I1665" s="696"/>
    </row>
    <row r="1666" spans="1:9" ht="20.100000000000001" customHeight="1" x14ac:dyDescent="0.2">
      <c r="A1666" s="695" t="str">
        <f t="shared" si="23"/>
        <v>333903950000000  Servicos Medico-hospitalar, Odontologicos  E Laboratoriais</v>
      </c>
      <c r="C1666" s="631"/>
      <c r="D1666" s="632">
        <v>333903950000000</v>
      </c>
      <c r="E1666" s="696" t="s">
        <v>5684</v>
      </c>
      <c r="F1666" s="696">
        <v>7</v>
      </c>
      <c r="G1666" s="696" t="s">
        <v>5597</v>
      </c>
      <c r="I1666" s="696"/>
    </row>
    <row r="1667" spans="1:9" ht="20.100000000000001" customHeight="1" x14ac:dyDescent="0.2">
      <c r="A1667" s="695" t="str">
        <f t="shared" si="23"/>
        <v>333903951000000  Servicos De Analises E Pesquisas Cientificas</v>
      </c>
      <c r="C1667" s="631"/>
      <c r="D1667" s="632">
        <v>333903951000000</v>
      </c>
      <c r="E1667" s="696" t="s">
        <v>5304</v>
      </c>
      <c r="F1667" s="696">
        <v>7</v>
      </c>
      <c r="G1667" s="696" t="s">
        <v>5597</v>
      </c>
      <c r="I1667" s="696"/>
    </row>
    <row r="1668" spans="1:9" ht="20.100000000000001" customHeight="1" x14ac:dyDescent="0.2">
      <c r="A1668" s="695" t="str">
        <f t="shared" si="23"/>
        <v>333903952000000  Servicos De Reabilitacao Profissional</v>
      </c>
      <c r="C1668" s="631"/>
      <c r="D1668" s="632">
        <v>333903952000000</v>
      </c>
      <c r="E1668" s="696" t="s">
        <v>5211</v>
      </c>
      <c r="F1668" s="696">
        <v>7</v>
      </c>
      <c r="G1668" s="696" t="s">
        <v>5597</v>
      </c>
      <c r="I1668" s="696"/>
    </row>
    <row r="1669" spans="1:9" ht="20.100000000000001" customHeight="1" x14ac:dyDescent="0.2">
      <c r="A1669" s="695" t="str">
        <f t="shared" si="23"/>
        <v>333903953000000  Servicos De Assistencia Social</v>
      </c>
      <c r="C1669" s="631"/>
      <c r="D1669" s="632">
        <v>333903953000000</v>
      </c>
      <c r="E1669" s="696" t="s">
        <v>5212</v>
      </c>
      <c r="F1669" s="696">
        <v>7</v>
      </c>
      <c r="G1669" s="696" t="s">
        <v>5597</v>
      </c>
      <c r="I1669" s="696"/>
    </row>
    <row r="1670" spans="1:9" ht="20.100000000000001" customHeight="1" x14ac:dyDescent="0.2">
      <c r="A1670" s="695" t="str">
        <f t="shared" si="23"/>
        <v>333903954000000  Servicos De Creches E Assistencia  Pre-escolar</v>
      </c>
      <c r="C1670" s="631"/>
      <c r="D1670" s="632">
        <v>333903954000000</v>
      </c>
      <c r="E1670" s="696" t="s">
        <v>5685</v>
      </c>
      <c r="F1670" s="696">
        <v>7</v>
      </c>
      <c r="G1670" s="696" t="s">
        <v>5597</v>
      </c>
      <c r="I1670" s="696"/>
    </row>
    <row r="1671" spans="1:9" ht="20.100000000000001" customHeight="1" x14ac:dyDescent="0.2">
      <c r="A1671" s="695" t="str">
        <f t="shared" si="23"/>
        <v>333903956000000  Servicos De Pericias Medicas P/ Beneficios</v>
      </c>
      <c r="C1671" s="631"/>
      <c r="D1671" s="632">
        <v>333903956000000</v>
      </c>
      <c r="E1671" s="696" t="s">
        <v>5305</v>
      </c>
      <c r="F1671" s="696">
        <v>7</v>
      </c>
      <c r="G1671" s="696" t="s">
        <v>5597</v>
      </c>
      <c r="I1671" s="696"/>
    </row>
    <row r="1672" spans="1:9" ht="20.100000000000001" customHeight="1" x14ac:dyDescent="0.2">
      <c r="A1672" s="695" t="str">
        <f t="shared" si="23"/>
        <v>333903957000000  Servicos De Processamento  De Dados</v>
      </c>
      <c r="C1672" s="631"/>
      <c r="D1672" s="632">
        <v>333903957000000</v>
      </c>
      <c r="E1672" s="696" t="s">
        <v>2273</v>
      </c>
      <c r="F1672" s="696">
        <v>7</v>
      </c>
      <c r="G1672" s="696" t="s">
        <v>5597</v>
      </c>
      <c r="I1672" s="696"/>
    </row>
    <row r="1673" spans="1:9" ht="20.100000000000001" customHeight="1" x14ac:dyDescent="0.2">
      <c r="A1673" s="695" t="str">
        <f t="shared" si="23"/>
        <v>333903957010000  Servicos De Processamento  De Dados - Legislativo</v>
      </c>
      <c r="C1673" s="631"/>
      <c r="D1673" s="632">
        <v>333903957010000</v>
      </c>
      <c r="E1673" s="696" t="s">
        <v>5686</v>
      </c>
      <c r="F1673" s="696">
        <v>8</v>
      </c>
      <c r="G1673" s="696" t="s">
        <v>5597</v>
      </c>
      <c r="I1673" s="696" t="s">
        <v>5600</v>
      </c>
    </row>
    <row r="1674" spans="1:9" ht="20.100000000000001" customHeight="1" x14ac:dyDescent="0.2">
      <c r="A1674" s="695" t="str">
        <f t="shared" si="23"/>
        <v>333903958000000  Servicos De Telecomunicacoes</v>
      </c>
      <c r="C1674" s="631"/>
      <c r="D1674" s="632">
        <v>333903958000000</v>
      </c>
      <c r="E1674" s="696" t="s">
        <v>5306</v>
      </c>
      <c r="F1674" s="696">
        <v>7</v>
      </c>
      <c r="G1674" s="696" t="s">
        <v>5596</v>
      </c>
      <c r="I1674" s="696"/>
    </row>
    <row r="1675" spans="1:9" ht="20.100000000000001" customHeight="1" x14ac:dyDescent="0.2">
      <c r="A1675" s="695" t="str">
        <f t="shared" si="23"/>
        <v>333903958010000  Telefone Fixo</v>
      </c>
      <c r="C1675" s="631"/>
      <c r="D1675" s="632">
        <v>333903958010000</v>
      </c>
      <c r="E1675" s="696" t="s">
        <v>1041</v>
      </c>
      <c r="F1675" s="696">
        <v>8</v>
      </c>
      <c r="G1675" s="696" t="s">
        <v>5597</v>
      </c>
      <c r="I1675" s="696" t="s">
        <v>5600</v>
      </c>
    </row>
    <row r="1676" spans="1:9" ht="20.100000000000001" customHeight="1" x14ac:dyDescent="0.2">
      <c r="A1676" s="695" t="str">
        <f t="shared" si="23"/>
        <v>333903958010100  Telefone Fixo - Legislativo</v>
      </c>
      <c r="C1676" s="631"/>
      <c r="D1676" s="632">
        <v>333903958010100</v>
      </c>
      <c r="E1676" s="696" t="s">
        <v>5307</v>
      </c>
      <c r="F1676" s="696">
        <v>9</v>
      </c>
      <c r="G1676" s="696" t="s">
        <v>5597</v>
      </c>
      <c r="I1676" s="696" t="s">
        <v>5600</v>
      </c>
    </row>
    <row r="1677" spans="1:9" ht="20.100000000000001" customHeight="1" x14ac:dyDescent="0.2">
      <c r="A1677" s="695" t="str">
        <f t="shared" si="23"/>
        <v>333903958020000  Telefone Celular</v>
      </c>
      <c r="C1677" s="631"/>
      <c r="D1677" s="632">
        <v>333903958020000</v>
      </c>
      <c r="E1677" s="696" t="s">
        <v>1150</v>
      </c>
      <c r="F1677" s="696">
        <v>8</v>
      </c>
      <c r="G1677" s="696" t="s">
        <v>5597</v>
      </c>
      <c r="I1677" s="696"/>
    </row>
    <row r="1678" spans="1:9" ht="20.100000000000001" customHeight="1" x14ac:dyDescent="0.2">
      <c r="A1678" s="695" t="str">
        <f t="shared" si="23"/>
        <v>333903958020100  Telefone Celular - Legislativo</v>
      </c>
      <c r="C1678" s="631"/>
      <c r="D1678" s="632">
        <v>333903958020100</v>
      </c>
      <c r="E1678" s="696" t="s">
        <v>5308</v>
      </c>
      <c r="F1678" s="696">
        <v>9</v>
      </c>
      <c r="G1678" s="696" t="s">
        <v>5597</v>
      </c>
      <c r="I1678" s="696" t="s">
        <v>5600</v>
      </c>
    </row>
    <row r="1679" spans="1:9" ht="20.100000000000001" customHeight="1" x14ac:dyDescent="0.2">
      <c r="A1679" s="695" t="str">
        <f t="shared" si="23"/>
        <v>333903958030000  Serviço De Acesso A Internet</v>
      </c>
      <c r="C1679" s="631"/>
      <c r="D1679" s="632">
        <v>333903958030000</v>
      </c>
      <c r="E1679" s="696" t="s">
        <v>1183</v>
      </c>
      <c r="F1679" s="696">
        <v>8</v>
      </c>
      <c r="G1679" s="696" t="s">
        <v>5597</v>
      </c>
      <c r="I1679" s="696"/>
    </row>
    <row r="1680" spans="1:9" ht="20.100000000000001" customHeight="1" x14ac:dyDescent="0.2">
      <c r="A1680" s="695" t="str">
        <f t="shared" si="23"/>
        <v>333903958030100  Serviço De Acesso A Internet - Legislativo</v>
      </c>
      <c r="C1680" s="631"/>
      <c r="D1680" s="632">
        <v>333903958030100</v>
      </c>
      <c r="E1680" s="696" t="s">
        <v>5309</v>
      </c>
      <c r="F1680" s="696">
        <v>9</v>
      </c>
      <c r="G1680" s="696" t="s">
        <v>5597</v>
      </c>
      <c r="I1680" s="696" t="s">
        <v>5600</v>
      </c>
    </row>
    <row r="1681" spans="1:9" ht="20.100000000000001" customHeight="1" x14ac:dyDescent="0.2">
      <c r="A1681" s="695" t="str">
        <f t="shared" si="23"/>
        <v>333903959000000  Servicos De Audio, Video E Foto</v>
      </c>
      <c r="C1681" s="631"/>
      <c r="D1681" s="632">
        <v>333903959000000</v>
      </c>
      <c r="E1681" s="696" t="s">
        <v>5220</v>
      </c>
      <c r="F1681" s="696">
        <v>7</v>
      </c>
      <c r="G1681" s="696" t="s">
        <v>5597</v>
      </c>
      <c r="I1681" s="696"/>
    </row>
    <row r="1682" spans="1:9" ht="20.100000000000001" customHeight="1" x14ac:dyDescent="0.2">
      <c r="A1682" s="695" t="str">
        <f t="shared" si="23"/>
        <v>333903961000000  Servicos De Socorro E Salvamento</v>
      </c>
      <c r="C1682" s="631"/>
      <c r="D1682" s="632">
        <v>333903961000000</v>
      </c>
      <c r="E1682" s="696" t="s">
        <v>5310</v>
      </c>
      <c r="F1682" s="696">
        <v>7</v>
      </c>
      <c r="G1682" s="696" t="s">
        <v>5597</v>
      </c>
      <c r="I1682" s="696"/>
    </row>
    <row r="1683" spans="1:9" ht="20.100000000000001" customHeight="1" x14ac:dyDescent="0.2">
      <c r="A1683" s="695" t="str">
        <f t="shared" si="23"/>
        <v>333903963000000  Servicos Graficos</v>
      </c>
      <c r="C1683" s="631"/>
      <c r="D1683" s="632">
        <v>333903963000000</v>
      </c>
      <c r="E1683" s="696" t="s">
        <v>2188</v>
      </c>
      <c r="F1683" s="696">
        <v>7</v>
      </c>
      <c r="G1683" s="696" t="s">
        <v>5597</v>
      </c>
      <c r="I1683" s="696"/>
    </row>
    <row r="1684" spans="1:9" ht="20.100000000000001" customHeight="1" x14ac:dyDescent="0.2">
      <c r="A1684" s="695" t="str">
        <f t="shared" si="23"/>
        <v>333903963010000  Servicos Graficos - Legislativo</v>
      </c>
      <c r="C1684" s="631"/>
      <c r="D1684" s="632">
        <v>333903963010000</v>
      </c>
      <c r="E1684" s="696" t="s">
        <v>5311</v>
      </c>
      <c r="F1684" s="696">
        <v>8</v>
      </c>
      <c r="G1684" s="696" t="s">
        <v>5597</v>
      </c>
      <c r="I1684" s="696" t="s">
        <v>5600</v>
      </c>
    </row>
    <row r="1685" spans="1:9" ht="20.100000000000001" customHeight="1" x14ac:dyDescent="0.2">
      <c r="A1685" s="695" t="str">
        <f t="shared" si="23"/>
        <v>333903965000000  Servicos De Apoio Ao Ensino</v>
      </c>
      <c r="C1685" s="631"/>
      <c r="D1685" s="632">
        <v>333903965000000</v>
      </c>
      <c r="E1685" s="696" t="s">
        <v>5312</v>
      </c>
      <c r="F1685" s="696">
        <v>7</v>
      </c>
      <c r="G1685" s="696" t="s">
        <v>5597</v>
      </c>
      <c r="I1685" s="696"/>
    </row>
    <row r="1686" spans="1:9" ht="20.100000000000001" customHeight="1" x14ac:dyDescent="0.2">
      <c r="A1686" s="695" t="str">
        <f t="shared" si="23"/>
        <v>333903966000000  Servicos Judiciarios</v>
      </c>
      <c r="C1686" s="631"/>
      <c r="D1686" s="632">
        <v>333903966000000</v>
      </c>
      <c r="E1686" s="696" t="s">
        <v>5313</v>
      </c>
      <c r="F1686" s="696">
        <v>7</v>
      </c>
      <c r="G1686" s="696" t="s">
        <v>5597</v>
      </c>
      <c r="I1686" s="696"/>
    </row>
    <row r="1687" spans="1:9" ht="20.100000000000001" customHeight="1" x14ac:dyDescent="0.2">
      <c r="A1687" s="695" t="str">
        <f t="shared" si="23"/>
        <v>333903967000000  Servicos Funerarios</v>
      </c>
      <c r="C1687" s="631"/>
      <c r="D1687" s="632">
        <v>333903967000000</v>
      </c>
      <c r="E1687" s="696" t="s">
        <v>5314</v>
      </c>
      <c r="F1687" s="696">
        <v>7</v>
      </c>
      <c r="G1687" s="696" t="s">
        <v>5597</v>
      </c>
      <c r="I1687" s="696"/>
    </row>
    <row r="1688" spans="1:9" ht="20.100000000000001" customHeight="1" x14ac:dyDescent="0.2">
      <c r="A1688" s="695" t="str">
        <f t="shared" si="23"/>
        <v>333903969000000  Seguros Em Geral</v>
      </c>
      <c r="C1688" s="631"/>
      <c r="D1688" s="632">
        <v>333903969000000</v>
      </c>
      <c r="E1688" s="696" t="s">
        <v>5315</v>
      </c>
      <c r="F1688" s="696">
        <v>7</v>
      </c>
      <c r="G1688" s="696" t="s">
        <v>5597</v>
      </c>
      <c r="I1688" s="696"/>
    </row>
    <row r="1689" spans="1:9" ht="20.100000000000001" customHeight="1" x14ac:dyDescent="0.2">
      <c r="A1689" s="695" t="str">
        <f t="shared" si="23"/>
        <v>333903969010000  Seguros Veiculo Placas IRY 2375</v>
      </c>
      <c r="C1689" s="631"/>
      <c r="D1689" s="632">
        <v>333903969010000</v>
      </c>
      <c r="E1689" s="696" t="s">
        <v>1275</v>
      </c>
      <c r="F1689" s="696">
        <v>8</v>
      </c>
      <c r="G1689" s="696" t="s">
        <v>5597</v>
      </c>
      <c r="I1689" s="696" t="s">
        <v>5604</v>
      </c>
    </row>
    <row r="1690" spans="1:9" ht="20.100000000000001" customHeight="1" x14ac:dyDescent="0.2">
      <c r="A1690" s="695" t="str">
        <f t="shared" si="23"/>
        <v>333903969020000  Seguros Veiculo Placas ISK 1256</v>
      </c>
      <c r="C1690" s="631"/>
      <c r="D1690" s="632">
        <v>333903969020000</v>
      </c>
      <c r="E1690" s="696" t="s">
        <v>1129</v>
      </c>
      <c r="F1690" s="696">
        <v>8</v>
      </c>
      <c r="G1690" s="696" t="s">
        <v>5597</v>
      </c>
      <c r="I1690" s="696" t="s">
        <v>5604</v>
      </c>
    </row>
    <row r="1691" spans="1:9" ht="20.100000000000001" customHeight="1" x14ac:dyDescent="0.2">
      <c r="A1691" s="695" t="str">
        <f t="shared" si="23"/>
        <v>333903969030000  Seguros Veiculo Placas ITP 0262</v>
      </c>
      <c r="C1691" s="631"/>
      <c r="D1691" s="632">
        <v>333903969030000</v>
      </c>
      <c r="E1691" s="696" t="s">
        <v>1128</v>
      </c>
      <c r="F1691" s="696">
        <v>8</v>
      </c>
      <c r="G1691" s="696" t="s">
        <v>5597</v>
      </c>
      <c r="I1691" s="696" t="s">
        <v>5604</v>
      </c>
    </row>
    <row r="1692" spans="1:9" ht="20.100000000000001" customHeight="1" x14ac:dyDescent="0.2">
      <c r="A1692" s="695" t="str">
        <f t="shared" si="23"/>
        <v>333903969040000  Seguros Veiculo Placas IRH 9777</v>
      </c>
      <c r="C1692" s="631"/>
      <c r="D1692" s="632">
        <v>333903969040000</v>
      </c>
      <c r="E1692" s="696" t="s">
        <v>1127</v>
      </c>
      <c r="F1692" s="696">
        <v>8</v>
      </c>
      <c r="G1692" s="696" t="s">
        <v>5597</v>
      </c>
      <c r="I1692" s="696" t="s">
        <v>5604</v>
      </c>
    </row>
    <row r="1693" spans="1:9" ht="20.100000000000001" customHeight="1" x14ac:dyDescent="0.2">
      <c r="A1693" s="695" t="str">
        <f t="shared" si="23"/>
        <v>333903969050000  Seguros Veiculo Placas IOY 7726</v>
      </c>
      <c r="C1693" s="631"/>
      <c r="D1693" s="632">
        <v>333903969050000</v>
      </c>
      <c r="E1693" s="696" t="s">
        <v>1126</v>
      </c>
      <c r="F1693" s="696">
        <v>8</v>
      </c>
      <c r="G1693" s="696" t="s">
        <v>5597</v>
      </c>
      <c r="I1693" s="696" t="s">
        <v>5604</v>
      </c>
    </row>
    <row r="1694" spans="1:9" ht="20.100000000000001" customHeight="1" x14ac:dyDescent="0.2">
      <c r="A1694" s="695" t="str">
        <f t="shared" si="23"/>
        <v>333903969060000  Seguros Veiculo Placas DUA 5272</v>
      </c>
      <c r="C1694" s="631"/>
      <c r="D1694" s="632">
        <v>333903969060000</v>
      </c>
      <c r="E1694" s="696" t="s">
        <v>1125</v>
      </c>
      <c r="F1694" s="696">
        <v>8</v>
      </c>
      <c r="G1694" s="696" t="s">
        <v>5597</v>
      </c>
      <c r="I1694" s="696" t="s">
        <v>5604</v>
      </c>
    </row>
    <row r="1695" spans="1:9" ht="20.100000000000001" customHeight="1" x14ac:dyDescent="0.2">
      <c r="A1695" s="695" t="str">
        <f t="shared" si="23"/>
        <v>333903969070000  Seguros Veiculo Placas IRS 4010</v>
      </c>
      <c r="C1695" s="631"/>
      <c r="D1695" s="632">
        <v>333903969070000</v>
      </c>
      <c r="E1695" s="696" t="s">
        <v>1262</v>
      </c>
      <c r="F1695" s="696">
        <v>8</v>
      </c>
      <c r="G1695" s="696" t="s">
        <v>5597</v>
      </c>
      <c r="I1695" s="696" t="s">
        <v>5604</v>
      </c>
    </row>
    <row r="1696" spans="1:9" ht="20.100000000000001" customHeight="1" x14ac:dyDescent="0.2">
      <c r="A1696" s="695" t="str">
        <f t="shared" si="23"/>
        <v>333903969080000  Seguros Veiculo Placas IQV 8399</v>
      </c>
      <c r="C1696" s="631"/>
      <c r="D1696" s="632">
        <v>333903969080000</v>
      </c>
      <c r="E1696" s="696" t="s">
        <v>1124</v>
      </c>
      <c r="F1696" s="696">
        <v>8</v>
      </c>
      <c r="G1696" s="696" t="s">
        <v>5597</v>
      </c>
      <c r="I1696" s="696" t="s">
        <v>5604</v>
      </c>
    </row>
    <row r="1697" spans="1:9" ht="20.100000000000001" customHeight="1" x14ac:dyDescent="0.2">
      <c r="A1697" s="695" t="str">
        <f t="shared" si="23"/>
        <v>333903969090000  Seguros Veiculo Placas IOB 6926</v>
      </c>
      <c r="C1697" s="631"/>
      <c r="D1697" s="632">
        <v>333903969090000</v>
      </c>
      <c r="E1697" s="696" t="s">
        <v>1123</v>
      </c>
      <c r="F1697" s="696">
        <v>8</v>
      </c>
      <c r="G1697" s="696" t="s">
        <v>5597</v>
      </c>
      <c r="I1697" s="696" t="s">
        <v>5604</v>
      </c>
    </row>
    <row r="1698" spans="1:9" ht="20.100000000000001" customHeight="1" x14ac:dyDescent="0.2">
      <c r="A1698" s="695" t="str">
        <f t="shared" si="23"/>
        <v>333903969100000  Seguros Veiculo Placas IRY 2027</v>
      </c>
      <c r="C1698" s="631"/>
      <c r="D1698" s="632">
        <v>333903969100000</v>
      </c>
      <c r="E1698" s="696" t="s">
        <v>1031</v>
      </c>
      <c r="F1698" s="696">
        <v>8</v>
      </c>
      <c r="G1698" s="696" t="s">
        <v>5597</v>
      </c>
      <c r="I1698" s="696" t="s">
        <v>5604</v>
      </c>
    </row>
    <row r="1699" spans="1:9" ht="20.100000000000001" customHeight="1" x14ac:dyDescent="0.2">
      <c r="A1699" s="695" t="str">
        <f t="shared" si="23"/>
        <v>333903969110000  Seguros Veiculo Placas IPN 4843</v>
      </c>
      <c r="C1699" s="631"/>
      <c r="D1699" s="632">
        <v>333903969110000</v>
      </c>
      <c r="E1699" s="696" t="s">
        <v>1170</v>
      </c>
      <c r="F1699" s="696">
        <v>8</v>
      </c>
      <c r="G1699" s="696" t="s">
        <v>5597</v>
      </c>
      <c r="I1699" s="696" t="s">
        <v>5604</v>
      </c>
    </row>
    <row r="1700" spans="1:9" ht="20.100000000000001" customHeight="1" x14ac:dyDescent="0.2">
      <c r="A1700" s="695" t="str">
        <f t="shared" si="23"/>
        <v>333903969120000  Seguros Veiculo Placas IPP 9013</v>
      </c>
      <c r="C1700" s="631"/>
      <c r="D1700" s="632">
        <v>333903969120000</v>
      </c>
      <c r="E1700" s="696" t="s">
        <v>1169</v>
      </c>
      <c r="F1700" s="696">
        <v>8</v>
      </c>
      <c r="G1700" s="696" t="s">
        <v>5597</v>
      </c>
      <c r="I1700" s="696" t="s">
        <v>5604</v>
      </c>
    </row>
    <row r="1701" spans="1:9" ht="20.100000000000001" customHeight="1" x14ac:dyDescent="0.2">
      <c r="A1701" s="695" t="str">
        <f t="shared" si="23"/>
        <v>333903969130000  Seguros Veiculo Placas IPP 9043</v>
      </c>
      <c r="C1701" s="631"/>
      <c r="D1701" s="632">
        <v>333903969130000</v>
      </c>
      <c r="E1701" s="696" t="s">
        <v>1168</v>
      </c>
      <c r="F1701" s="696">
        <v>8</v>
      </c>
      <c r="G1701" s="696" t="s">
        <v>5597</v>
      </c>
      <c r="I1701" s="696" t="s">
        <v>5604</v>
      </c>
    </row>
    <row r="1702" spans="1:9" ht="20.100000000000001" customHeight="1" x14ac:dyDescent="0.2">
      <c r="A1702" s="695" t="str">
        <f t="shared" si="23"/>
        <v>333903969140000  Seguros Veiculo Placas IMN 0762</v>
      </c>
      <c r="C1702" s="631"/>
      <c r="D1702" s="632">
        <v>333903969140000</v>
      </c>
      <c r="E1702" s="696" t="s">
        <v>1186</v>
      </c>
      <c r="F1702" s="696">
        <v>8</v>
      </c>
      <c r="G1702" s="696" t="s">
        <v>5597</v>
      </c>
      <c r="I1702" s="696" t="s">
        <v>5604</v>
      </c>
    </row>
    <row r="1703" spans="1:9" ht="20.100000000000001" customHeight="1" x14ac:dyDescent="0.2">
      <c r="A1703" s="695" t="str">
        <f t="shared" si="23"/>
        <v>333903969150000  Seguros Veiculo Placas IOD 6953</v>
      </c>
      <c r="C1703" s="631"/>
      <c r="D1703" s="632">
        <v>333903969150000</v>
      </c>
      <c r="E1703" s="696" t="s">
        <v>1238</v>
      </c>
      <c r="F1703" s="696">
        <v>8</v>
      </c>
      <c r="G1703" s="696" t="s">
        <v>5597</v>
      </c>
      <c r="I1703" s="696" t="s">
        <v>5604</v>
      </c>
    </row>
    <row r="1704" spans="1:9" ht="20.100000000000001" customHeight="1" x14ac:dyDescent="0.2">
      <c r="A1704" s="695" t="str">
        <f t="shared" si="23"/>
        <v>333903969160000  Seguros Veiculo Placas IHL 6621</v>
      </c>
      <c r="C1704" s="631"/>
      <c r="D1704" s="632">
        <v>333903969160000</v>
      </c>
      <c r="E1704" s="696" t="s">
        <v>1203</v>
      </c>
      <c r="F1704" s="696">
        <v>8</v>
      </c>
      <c r="G1704" s="696" t="s">
        <v>5597</v>
      </c>
      <c r="I1704" s="696" t="s">
        <v>5604</v>
      </c>
    </row>
    <row r="1705" spans="1:9" ht="20.100000000000001" customHeight="1" x14ac:dyDescent="0.2">
      <c r="A1705" s="695" t="str">
        <f t="shared" si="23"/>
        <v>333903969170000  Seguros Veiculo Placas IHL 6579</v>
      </c>
      <c r="C1705" s="631"/>
      <c r="D1705" s="632">
        <v>333903969170000</v>
      </c>
      <c r="E1705" s="696" t="s">
        <v>1202</v>
      </c>
      <c r="F1705" s="696">
        <v>8</v>
      </c>
      <c r="G1705" s="696" t="s">
        <v>5597</v>
      </c>
      <c r="I1705" s="696" t="s">
        <v>5604</v>
      </c>
    </row>
    <row r="1706" spans="1:9" ht="20.100000000000001" customHeight="1" x14ac:dyDescent="0.2">
      <c r="A1706" s="695" t="str">
        <f t="shared" si="23"/>
        <v>333903969180000  Seguros Veiculo Placas INZ 9457</v>
      </c>
      <c r="C1706" s="631"/>
      <c r="D1706" s="632">
        <v>333903969180000</v>
      </c>
      <c r="E1706" s="696" t="s">
        <v>1237</v>
      </c>
      <c r="F1706" s="696">
        <v>8</v>
      </c>
      <c r="G1706" s="696" t="s">
        <v>5597</v>
      </c>
      <c r="I1706" s="696" t="s">
        <v>5604</v>
      </c>
    </row>
    <row r="1707" spans="1:9" ht="20.100000000000001" customHeight="1" x14ac:dyDescent="0.2">
      <c r="A1707" s="695" t="str">
        <f t="shared" si="23"/>
        <v>333903969190000  Seguros Veiculo Placas IJY 2420</v>
      </c>
      <c r="C1707" s="631"/>
      <c r="D1707" s="632">
        <v>333903969190000</v>
      </c>
      <c r="E1707" s="696" t="s">
        <v>1091</v>
      </c>
      <c r="F1707" s="696">
        <v>8</v>
      </c>
      <c r="G1707" s="696" t="s">
        <v>5597</v>
      </c>
      <c r="I1707" s="696" t="s">
        <v>5604</v>
      </c>
    </row>
    <row r="1708" spans="1:9" ht="20.100000000000001" customHeight="1" x14ac:dyDescent="0.2">
      <c r="A1708" s="695" t="str">
        <f t="shared" si="23"/>
        <v>333903969200000  Seguros Veiculo Placas IVP 4366</v>
      </c>
      <c r="C1708" s="631"/>
      <c r="D1708" s="632">
        <v>333903969200000</v>
      </c>
      <c r="E1708" s="696" t="s">
        <v>5316</v>
      </c>
      <c r="F1708" s="696">
        <v>8</v>
      </c>
      <c r="G1708" s="696" t="s">
        <v>5597</v>
      </c>
      <c r="I1708" s="696" t="s">
        <v>5600</v>
      </c>
    </row>
    <row r="1709" spans="1:9" ht="20.100000000000001" customHeight="1" x14ac:dyDescent="0.2">
      <c r="A1709" s="695" t="str">
        <f t="shared" si="23"/>
        <v>333903969210000  Seguros Veiculo Placas IVR 0147</v>
      </c>
      <c r="C1709" s="631"/>
      <c r="D1709" s="632">
        <v>333903969210000</v>
      </c>
      <c r="E1709" s="696" t="s">
        <v>5317</v>
      </c>
      <c r="F1709" s="696">
        <v>8</v>
      </c>
      <c r="G1709" s="696" t="s">
        <v>5597</v>
      </c>
      <c r="I1709" s="696" t="s">
        <v>5600</v>
      </c>
    </row>
    <row r="1710" spans="1:9" ht="20.100000000000001" customHeight="1" x14ac:dyDescent="0.2">
      <c r="A1710" s="695" t="str">
        <f t="shared" si="23"/>
        <v>333903969220000  Seguros Veiculo Placas IVY 8350</v>
      </c>
      <c r="C1710" s="631"/>
      <c r="D1710" s="632">
        <v>333903969220000</v>
      </c>
      <c r="E1710" s="696" t="s">
        <v>5318</v>
      </c>
      <c r="F1710" s="696">
        <v>8</v>
      </c>
      <c r="G1710" s="696" t="s">
        <v>5597</v>
      </c>
      <c r="I1710" s="696" t="s">
        <v>5600</v>
      </c>
    </row>
    <row r="1711" spans="1:9" ht="20.100000000000001" customHeight="1" x14ac:dyDescent="0.2">
      <c r="A1711" s="695" t="str">
        <f t="shared" si="23"/>
        <v>333903969230000  Seguros Veiculo Placas IVY 8354</v>
      </c>
      <c r="C1711" s="631"/>
      <c r="D1711" s="632">
        <v>333903969230000</v>
      </c>
      <c r="E1711" s="696" t="s">
        <v>5319</v>
      </c>
      <c r="F1711" s="696">
        <v>8</v>
      </c>
      <c r="G1711" s="696" t="s">
        <v>5597</v>
      </c>
      <c r="I1711" s="696" t="s">
        <v>5600</v>
      </c>
    </row>
    <row r="1712" spans="1:9" ht="20.100000000000001" customHeight="1" x14ac:dyDescent="0.2">
      <c r="A1712" s="695" t="str">
        <f t="shared" si="23"/>
        <v>333903969240000  Seguros Veiculo Placas IWC 5251</v>
      </c>
      <c r="C1712" s="631"/>
      <c r="D1712" s="632">
        <v>333903969240000</v>
      </c>
      <c r="E1712" s="696" t="s">
        <v>5320</v>
      </c>
      <c r="F1712" s="696">
        <v>8</v>
      </c>
      <c r="G1712" s="696" t="s">
        <v>5597</v>
      </c>
      <c r="I1712" s="696" t="s">
        <v>5600</v>
      </c>
    </row>
    <row r="1713" spans="1:9" ht="20.100000000000001" customHeight="1" x14ac:dyDescent="0.2">
      <c r="A1713" s="695" t="str">
        <f t="shared" ref="A1713:A1776" si="24">CONCATENATE(D1713,"  ",E1713,)</f>
        <v>333903969250000  Seguros Veiculo Placas IWE 4544</v>
      </c>
      <c r="C1713" s="631"/>
      <c r="D1713" s="632">
        <v>333903969250000</v>
      </c>
      <c r="E1713" s="696" t="s">
        <v>5321</v>
      </c>
      <c r="F1713" s="696">
        <v>8</v>
      </c>
      <c r="G1713" s="696" t="s">
        <v>5597</v>
      </c>
      <c r="I1713" s="696" t="s">
        <v>5600</v>
      </c>
    </row>
    <row r="1714" spans="1:9" ht="20.100000000000001" customHeight="1" x14ac:dyDescent="0.2">
      <c r="A1714" s="695" t="str">
        <f t="shared" si="24"/>
        <v>333903969260000  Seguros Veiculo Placas IWL 3346</v>
      </c>
      <c r="C1714" s="631"/>
      <c r="D1714" s="632">
        <v>333903969260000</v>
      </c>
      <c r="E1714" s="696" t="s">
        <v>5322</v>
      </c>
      <c r="F1714" s="696">
        <v>8</v>
      </c>
      <c r="G1714" s="696" t="s">
        <v>5597</v>
      </c>
      <c r="I1714" s="696" t="s">
        <v>5600</v>
      </c>
    </row>
    <row r="1715" spans="1:9" ht="20.100000000000001" customHeight="1" x14ac:dyDescent="0.2">
      <c r="A1715" s="695" t="str">
        <f t="shared" si="24"/>
        <v>333903969270000  Seguros Veiculo Placas ABK 7176</v>
      </c>
      <c r="C1715" s="631"/>
      <c r="D1715" s="632">
        <v>333903969270000</v>
      </c>
      <c r="E1715" s="696" t="s">
        <v>6216</v>
      </c>
      <c r="F1715" s="696">
        <v>8</v>
      </c>
      <c r="G1715" s="696" t="s">
        <v>5597</v>
      </c>
      <c r="I1715" s="696" t="s">
        <v>5600</v>
      </c>
    </row>
    <row r="1716" spans="1:9" ht="20.100000000000001" customHeight="1" x14ac:dyDescent="0.2">
      <c r="A1716" s="695" t="str">
        <f t="shared" si="24"/>
        <v>333903970000000  Confeccao De Uniformes, Bandeiras E Flamulas</v>
      </c>
      <c r="C1716" s="631"/>
      <c r="D1716" s="632">
        <v>333903970000000</v>
      </c>
      <c r="E1716" s="696" t="s">
        <v>5214</v>
      </c>
      <c r="F1716" s="696">
        <v>7</v>
      </c>
      <c r="G1716" s="696" t="s">
        <v>5597</v>
      </c>
      <c r="I1716" s="696"/>
    </row>
    <row r="1717" spans="1:9" ht="20.100000000000001" customHeight="1" x14ac:dyDescent="0.2">
      <c r="A1717" s="695" t="str">
        <f t="shared" si="24"/>
        <v>333903971000000  Confeccao De Material De Acondicionamento  E Embalagem</v>
      </c>
      <c r="C1717" s="631"/>
      <c r="D1717" s="632">
        <v>333903971000000</v>
      </c>
      <c r="E1717" s="696" t="s">
        <v>5652</v>
      </c>
      <c r="F1717" s="696">
        <v>7</v>
      </c>
      <c r="G1717" s="696" t="s">
        <v>5597</v>
      </c>
      <c r="I1717" s="696"/>
    </row>
    <row r="1718" spans="1:9" ht="20.100000000000001" customHeight="1" x14ac:dyDescent="0.2">
      <c r="A1718" s="695" t="str">
        <f t="shared" si="24"/>
        <v>333903972000000  Vale-transporte</v>
      </c>
      <c r="C1718" s="631"/>
      <c r="D1718" s="632">
        <v>333903972000000</v>
      </c>
      <c r="E1718" s="696" t="s">
        <v>5323</v>
      </c>
      <c r="F1718" s="696">
        <v>7</v>
      </c>
      <c r="G1718" s="696" t="s">
        <v>5597</v>
      </c>
      <c r="I1718" s="696"/>
    </row>
    <row r="1719" spans="1:9" ht="20.100000000000001" customHeight="1" x14ac:dyDescent="0.2">
      <c r="A1719" s="695" t="str">
        <f t="shared" si="24"/>
        <v>333903973000000  Transporte De Servidores</v>
      </c>
      <c r="C1719" s="631"/>
      <c r="D1719" s="632">
        <v>333903973000000</v>
      </c>
      <c r="E1719" s="696" t="s">
        <v>5324</v>
      </c>
      <c r="F1719" s="696">
        <v>7</v>
      </c>
      <c r="G1719" s="696" t="s">
        <v>5597</v>
      </c>
      <c r="I1719" s="696"/>
    </row>
    <row r="1720" spans="1:9" ht="20.100000000000001" customHeight="1" x14ac:dyDescent="0.2">
      <c r="A1720" s="695" t="str">
        <f t="shared" si="24"/>
        <v>333903974000000  Fretes E Transportes  De Encomendas</v>
      </c>
      <c r="C1720" s="631"/>
      <c r="D1720" s="632">
        <v>333903974000000</v>
      </c>
      <c r="E1720" s="696" t="s">
        <v>5687</v>
      </c>
      <c r="F1720" s="696">
        <v>7</v>
      </c>
      <c r="G1720" s="696" t="s">
        <v>5597</v>
      </c>
      <c r="I1720" s="696"/>
    </row>
    <row r="1721" spans="1:9" ht="20.100000000000001" customHeight="1" x14ac:dyDescent="0.2">
      <c r="A1721" s="695" t="str">
        <f t="shared" si="24"/>
        <v>333903977000000  Vigilancia Ostensiva</v>
      </c>
      <c r="C1721" s="631"/>
      <c r="D1721" s="632">
        <v>333903977000000</v>
      </c>
      <c r="E1721" s="696" t="s">
        <v>5226</v>
      </c>
      <c r="F1721" s="696">
        <v>7</v>
      </c>
      <c r="G1721" s="696" t="s">
        <v>5597</v>
      </c>
      <c r="I1721" s="696"/>
    </row>
    <row r="1722" spans="1:9" ht="20.100000000000001" customHeight="1" x14ac:dyDescent="0.2">
      <c r="A1722" s="695" t="str">
        <f t="shared" si="24"/>
        <v>333903978000000  Limpeza E Conservacao</v>
      </c>
      <c r="C1722" s="631"/>
      <c r="D1722" s="632">
        <v>333903978000000</v>
      </c>
      <c r="E1722" s="696" t="s">
        <v>1196</v>
      </c>
      <c r="F1722" s="696">
        <v>7</v>
      </c>
      <c r="G1722" s="696" t="s">
        <v>5597</v>
      </c>
      <c r="I1722" s="696"/>
    </row>
    <row r="1723" spans="1:9" ht="20.100000000000001" customHeight="1" x14ac:dyDescent="0.2">
      <c r="A1723" s="695" t="str">
        <f t="shared" si="24"/>
        <v>333903978010000  Limpeza E Conservacao - Legislativo</v>
      </c>
      <c r="C1723" s="631"/>
      <c r="D1723" s="632">
        <v>333903978010000</v>
      </c>
      <c r="E1723" s="696" t="s">
        <v>5325</v>
      </c>
      <c r="F1723" s="696">
        <v>8</v>
      </c>
      <c r="G1723" s="696" t="s">
        <v>5597</v>
      </c>
      <c r="I1723" s="696" t="s">
        <v>5600</v>
      </c>
    </row>
    <row r="1724" spans="1:9" ht="20.100000000000001" customHeight="1" x14ac:dyDescent="0.2">
      <c r="A1724" s="695" t="str">
        <f t="shared" si="24"/>
        <v>333903979000000  Servico  De Apoio Administrativo, Tecnico E Operacional</v>
      </c>
      <c r="C1724" s="631"/>
      <c r="D1724" s="632">
        <v>333903979000000</v>
      </c>
      <c r="E1724" s="696" t="s">
        <v>5688</v>
      </c>
      <c r="F1724" s="696">
        <v>7</v>
      </c>
      <c r="G1724" s="696" t="s">
        <v>5597</v>
      </c>
      <c r="I1724" s="696"/>
    </row>
    <row r="1725" spans="1:9" ht="20.100000000000001" customHeight="1" x14ac:dyDescent="0.2">
      <c r="A1725" s="695" t="str">
        <f t="shared" si="24"/>
        <v>333903980000000  Hospedagens</v>
      </c>
      <c r="C1725" s="631"/>
      <c r="D1725" s="632">
        <v>333903980000000</v>
      </c>
      <c r="E1725" s="696" t="s">
        <v>5326</v>
      </c>
      <c r="F1725" s="696">
        <v>7</v>
      </c>
      <c r="G1725" s="696" t="s">
        <v>5597</v>
      </c>
      <c r="I1725" s="696"/>
    </row>
    <row r="1726" spans="1:9" ht="20.100000000000001" customHeight="1" x14ac:dyDescent="0.2">
      <c r="A1726" s="695" t="str">
        <f t="shared" si="24"/>
        <v>333903981000000  Servicos Bancarios</v>
      </c>
      <c r="C1726" s="631"/>
      <c r="D1726" s="632">
        <v>333903981000000</v>
      </c>
      <c r="E1726" s="696" t="s">
        <v>991</v>
      </c>
      <c r="F1726" s="696">
        <v>7</v>
      </c>
      <c r="G1726" s="696" t="s">
        <v>5597</v>
      </c>
      <c r="I1726" s="696"/>
    </row>
    <row r="1727" spans="1:9" ht="20.100000000000001" customHeight="1" x14ac:dyDescent="0.2">
      <c r="A1727" s="695" t="str">
        <f t="shared" si="24"/>
        <v>333903981010000  Servicos Bancarios - Legislativo</v>
      </c>
      <c r="C1727" s="631"/>
      <c r="D1727" s="632">
        <v>333903981010000</v>
      </c>
      <c r="E1727" s="696" t="s">
        <v>5327</v>
      </c>
      <c r="F1727" s="696">
        <v>8</v>
      </c>
      <c r="G1727" s="696" t="s">
        <v>5597</v>
      </c>
      <c r="I1727" s="696" t="s">
        <v>5600</v>
      </c>
    </row>
    <row r="1728" spans="1:9" ht="20.100000000000001" customHeight="1" x14ac:dyDescent="0.2">
      <c r="A1728" s="695" t="str">
        <f t="shared" si="24"/>
        <v>333903982000000  Servicos De Controle Ambiental</v>
      </c>
      <c r="C1728" s="631"/>
      <c r="D1728" s="632">
        <v>333903982000000</v>
      </c>
      <c r="E1728" s="696" t="s">
        <v>5328</v>
      </c>
      <c r="F1728" s="696">
        <v>7</v>
      </c>
      <c r="G1728" s="696" t="s">
        <v>5597</v>
      </c>
      <c r="I1728" s="696"/>
    </row>
    <row r="1729" spans="1:9" ht="20.100000000000001" customHeight="1" x14ac:dyDescent="0.2">
      <c r="A1729" s="695" t="str">
        <f t="shared" si="24"/>
        <v>333903983000000  Servicos De Copias E Reproducao De Documentos</v>
      </c>
      <c r="C1729" s="631"/>
      <c r="D1729" s="632">
        <v>333903983000000</v>
      </c>
      <c r="E1729" s="696" t="s">
        <v>5329</v>
      </c>
      <c r="F1729" s="696">
        <v>7</v>
      </c>
      <c r="G1729" s="696" t="s">
        <v>5597</v>
      </c>
      <c r="I1729" s="696"/>
    </row>
    <row r="1730" spans="1:9" ht="20.100000000000001" customHeight="1" x14ac:dyDescent="0.2">
      <c r="A1730" s="695" t="str">
        <f t="shared" si="24"/>
        <v>333903990000000  Servicos De Publicidade Legal</v>
      </c>
      <c r="C1730" s="631"/>
      <c r="D1730" s="632">
        <v>333903990000000</v>
      </c>
      <c r="E1730" s="696" t="s">
        <v>1098</v>
      </c>
      <c r="F1730" s="696">
        <v>7</v>
      </c>
      <c r="G1730" s="696" t="s">
        <v>5597</v>
      </c>
      <c r="I1730" s="696"/>
    </row>
    <row r="1731" spans="1:9" ht="20.100000000000001" customHeight="1" x14ac:dyDescent="0.2">
      <c r="A1731" s="695" t="str">
        <f t="shared" si="24"/>
        <v>333903990010000  Servicos De Publicidade Legal - Legislativo</v>
      </c>
      <c r="C1731" s="631"/>
      <c r="D1731" s="632">
        <v>333903990010000</v>
      </c>
      <c r="E1731" s="696" t="s">
        <v>5330</v>
      </c>
      <c r="F1731" s="696">
        <v>8</v>
      </c>
      <c r="G1731" s="696" t="s">
        <v>5597</v>
      </c>
      <c r="I1731" s="696" t="s">
        <v>5600</v>
      </c>
    </row>
    <row r="1732" spans="1:9" ht="20.100000000000001" customHeight="1" x14ac:dyDescent="0.2">
      <c r="A1732" s="695" t="str">
        <f t="shared" si="24"/>
        <v>333903992000000  Servicos De Publicidade Institucional</v>
      </c>
      <c r="C1732" s="631"/>
      <c r="D1732" s="632">
        <v>333903992000000</v>
      </c>
      <c r="E1732" s="696" t="s">
        <v>1097</v>
      </c>
      <c r="F1732" s="696">
        <v>7</v>
      </c>
      <c r="G1732" s="696" t="s">
        <v>5597</v>
      </c>
      <c r="I1732" s="696"/>
    </row>
    <row r="1733" spans="1:9" ht="20.100000000000001" customHeight="1" x14ac:dyDescent="0.2">
      <c r="A1733" s="695" t="str">
        <f t="shared" si="24"/>
        <v>333903992010000  Servicos De Publicidade Institucional - Legislativo</v>
      </c>
      <c r="C1733" s="631"/>
      <c r="D1733" s="632">
        <v>333903992010000</v>
      </c>
      <c r="E1733" s="696" t="s">
        <v>5331</v>
      </c>
      <c r="F1733" s="696">
        <v>8</v>
      </c>
      <c r="G1733" s="696" t="s">
        <v>5597</v>
      </c>
      <c r="I1733" s="696" t="s">
        <v>5600</v>
      </c>
    </row>
    <row r="1734" spans="1:9" ht="20.100000000000001" customHeight="1" x14ac:dyDescent="0.2">
      <c r="A1734" s="695" t="str">
        <f t="shared" si="24"/>
        <v>333903993000000  Servicos De Publicidade De Utilidade Publica</v>
      </c>
      <c r="C1734" s="631"/>
      <c r="D1734" s="632">
        <v>333903993000000</v>
      </c>
      <c r="E1734" s="696" t="s">
        <v>1096</v>
      </c>
      <c r="F1734" s="696">
        <v>7</v>
      </c>
      <c r="G1734" s="696" t="s">
        <v>5597</v>
      </c>
      <c r="I1734" s="696"/>
    </row>
    <row r="1735" spans="1:9" ht="20.100000000000001" customHeight="1" x14ac:dyDescent="0.2">
      <c r="A1735" s="695" t="str">
        <f t="shared" si="24"/>
        <v>333903993010000  Servicos De Publicidade De Utilidade Publica - Legislativo</v>
      </c>
      <c r="C1735" s="631"/>
      <c r="D1735" s="632">
        <v>333903993010000</v>
      </c>
      <c r="E1735" s="696" t="s">
        <v>5332</v>
      </c>
      <c r="F1735" s="696">
        <v>8</v>
      </c>
      <c r="G1735" s="696" t="s">
        <v>5597</v>
      </c>
      <c r="I1735" s="696" t="s">
        <v>5600</v>
      </c>
    </row>
    <row r="1736" spans="1:9" ht="20.100000000000001" customHeight="1" x14ac:dyDescent="0.2">
      <c r="A1736" s="695" t="str">
        <f t="shared" si="24"/>
        <v>333903994000000  Aquisicao De Softwares De Aplicacao</v>
      </c>
      <c r="C1736" s="631"/>
      <c r="D1736" s="632">
        <v>333903994000000</v>
      </c>
      <c r="E1736" s="696" t="s">
        <v>5333</v>
      </c>
      <c r="F1736" s="696">
        <v>7</v>
      </c>
      <c r="G1736" s="696" t="s">
        <v>5597</v>
      </c>
      <c r="I1736" s="696"/>
    </row>
    <row r="1737" spans="1:9" ht="20.100000000000001" customHeight="1" x14ac:dyDescent="0.2">
      <c r="A1737" s="695" t="str">
        <f t="shared" si="24"/>
        <v>333903995000000  Manutencao E Conservacao De Equipamentos De Processamento De Dados</v>
      </c>
      <c r="C1737" s="631"/>
      <c r="D1737" s="632">
        <v>333903995000000</v>
      </c>
      <c r="E1737" s="696" t="s">
        <v>5334</v>
      </c>
      <c r="F1737" s="696">
        <v>7</v>
      </c>
      <c r="G1737" s="696" t="s">
        <v>5597</v>
      </c>
      <c r="I1737" s="696"/>
    </row>
    <row r="1738" spans="1:9" ht="20.100000000000001" customHeight="1" x14ac:dyDescent="0.2">
      <c r="A1738" s="695" t="str">
        <f t="shared" si="24"/>
        <v>333903995010000  Manutencao E Cons. De Equip. De Proces. De Dados - Legislativo</v>
      </c>
      <c r="C1738" s="631"/>
      <c r="D1738" s="632">
        <v>333903995010000</v>
      </c>
      <c r="E1738" s="696" t="s">
        <v>5335</v>
      </c>
      <c r="F1738" s="696">
        <v>8</v>
      </c>
      <c r="G1738" s="696" t="s">
        <v>5597</v>
      </c>
      <c r="I1738" s="696" t="s">
        <v>5600</v>
      </c>
    </row>
    <row r="1739" spans="1:9" ht="20.100000000000001" customHeight="1" x14ac:dyDescent="0.2">
      <c r="A1739" s="695" t="str">
        <f t="shared" si="24"/>
        <v>333903996000000  Outros Servde Terceiros Pessoa Juridica- Pagamento Antecipado</v>
      </c>
      <c r="C1739" s="631"/>
      <c r="D1739" s="632">
        <v>333903996000000</v>
      </c>
      <c r="E1739" s="696" t="s">
        <v>5336</v>
      </c>
      <c r="F1739" s="696">
        <v>7</v>
      </c>
      <c r="G1739" s="696" t="s">
        <v>5597</v>
      </c>
      <c r="I1739" s="696"/>
    </row>
    <row r="1740" spans="1:9" ht="20.100000000000001" customHeight="1" x14ac:dyDescent="0.2">
      <c r="A1740" s="695" t="str">
        <f t="shared" si="24"/>
        <v>333903997000000  Despesas De Teleprocessamento</v>
      </c>
      <c r="C1740" s="631"/>
      <c r="D1740" s="632">
        <v>333903997000000</v>
      </c>
      <c r="E1740" s="696" t="s">
        <v>5337</v>
      </c>
      <c r="F1740" s="696">
        <v>7</v>
      </c>
      <c r="G1740" s="696" t="s">
        <v>5597</v>
      </c>
      <c r="I1740" s="696"/>
    </row>
    <row r="1741" spans="1:9" ht="20.100000000000001" customHeight="1" x14ac:dyDescent="0.2">
      <c r="A1741" s="695" t="str">
        <f t="shared" si="24"/>
        <v>333903999000000  Outros Servicos De Terceiros-pessoa Juridica</v>
      </c>
      <c r="C1741" s="631"/>
      <c r="D1741" s="632">
        <v>333903999000000</v>
      </c>
      <c r="E1741" s="696" t="s">
        <v>992</v>
      </c>
      <c r="F1741" s="696">
        <v>7</v>
      </c>
      <c r="G1741" s="696" t="s">
        <v>5596</v>
      </c>
      <c r="I1741" s="696"/>
    </row>
    <row r="1742" spans="1:9" ht="20.100000000000001" customHeight="1" x14ac:dyDescent="0.2">
      <c r="A1742" s="695" t="str">
        <f t="shared" si="24"/>
        <v>333903999010000  Serviços De Estagiarios</v>
      </c>
      <c r="C1742" s="631"/>
      <c r="D1742" s="632">
        <v>333903999010000</v>
      </c>
      <c r="E1742" s="696" t="s">
        <v>1194</v>
      </c>
      <c r="F1742" s="696">
        <v>8</v>
      </c>
      <c r="G1742" s="696" t="s">
        <v>5597</v>
      </c>
      <c r="I1742" s="696"/>
    </row>
    <row r="1743" spans="1:9" ht="20.100000000000001" customHeight="1" x14ac:dyDescent="0.2">
      <c r="A1743" s="695" t="str">
        <f t="shared" si="24"/>
        <v>333903999010100  Serviços De Estagiarios - Legislativo</v>
      </c>
      <c r="C1743" s="631"/>
      <c r="D1743" s="632">
        <v>333903999010100</v>
      </c>
      <c r="E1743" s="696" t="s">
        <v>5338</v>
      </c>
      <c r="F1743" s="696">
        <v>9</v>
      </c>
      <c r="G1743" s="696" t="s">
        <v>5597</v>
      </c>
      <c r="I1743" s="696" t="s">
        <v>5600</v>
      </c>
    </row>
    <row r="1744" spans="1:9" ht="20.100000000000001" customHeight="1" x14ac:dyDescent="0.2">
      <c r="A1744" s="695" t="str">
        <f t="shared" si="24"/>
        <v>333903999020000  Associacoes, Federacoes E Confederacoes</v>
      </c>
      <c r="C1744" s="631"/>
      <c r="D1744" s="632">
        <v>333903999020000</v>
      </c>
      <c r="E1744" s="696" t="s">
        <v>1058</v>
      </c>
      <c r="F1744" s="696">
        <v>8</v>
      </c>
      <c r="G1744" s="696" t="s">
        <v>5597</v>
      </c>
      <c r="I1744" s="696"/>
    </row>
    <row r="1745" spans="1:9" ht="20.100000000000001" customHeight="1" x14ac:dyDescent="0.2">
      <c r="A1745" s="695" t="str">
        <f t="shared" si="24"/>
        <v>333903999020100  Associacoes, Federacoes E Confederacoes - Legislativo</v>
      </c>
      <c r="C1745" s="631"/>
      <c r="D1745" s="632">
        <v>333903999020100</v>
      </c>
      <c r="E1745" s="696" t="s">
        <v>5339</v>
      </c>
      <c r="F1745" s="696">
        <v>9</v>
      </c>
      <c r="G1745" s="696" t="s">
        <v>5597</v>
      </c>
      <c r="I1745" s="696" t="s">
        <v>5600</v>
      </c>
    </row>
    <row r="1746" spans="1:9" ht="20.100000000000001" customHeight="1" x14ac:dyDescent="0.2">
      <c r="A1746" s="695" t="str">
        <f t="shared" si="24"/>
        <v>333903999020200  Mensalidade P/FAMURS</v>
      </c>
      <c r="C1746" s="631"/>
      <c r="D1746" s="632">
        <v>333903999020200</v>
      </c>
      <c r="E1746" s="696" t="s">
        <v>5340</v>
      </c>
      <c r="F1746" s="696">
        <v>9</v>
      </c>
      <c r="G1746" s="696" t="s">
        <v>5597</v>
      </c>
      <c r="I1746" s="696" t="s">
        <v>5600</v>
      </c>
    </row>
    <row r="1747" spans="1:9" ht="20.100000000000001" customHeight="1" x14ac:dyDescent="0.2">
      <c r="A1747" s="695" t="str">
        <f t="shared" si="24"/>
        <v>333903999020300  Mensalidade P/CNM</v>
      </c>
      <c r="C1747" s="631"/>
      <c r="D1747" s="632">
        <v>333903999020300</v>
      </c>
      <c r="E1747" s="696" t="s">
        <v>5341</v>
      </c>
      <c r="F1747" s="696">
        <v>9</v>
      </c>
      <c r="G1747" s="696" t="s">
        <v>5597</v>
      </c>
      <c r="I1747" s="696" t="s">
        <v>5600</v>
      </c>
    </row>
    <row r="1748" spans="1:9" ht="20.100000000000001" customHeight="1" x14ac:dyDescent="0.2">
      <c r="A1748" s="695" t="str">
        <f t="shared" si="24"/>
        <v>333903999030000  Transporte Escolar</v>
      </c>
      <c r="C1748" s="631"/>
      <c r="D1748" s="632">
        <v>333903999030000</v>
      </c>
      <c r="E1748" s="696" t="s">
        <v>1163</v>
      </c>
      <c r="F1748" s="696">
        <v>7</v>
      </c>
      <c r="G1748" s="696" t="s">
        <v>5597</v>
      </c>
      <c r="I1748" s="696"/>
    </row>
    <row r="1749" spans="1:9" ht="20.100000000000001" customHeight="1" x14ac:dyDescent="0.2">
      <c r="A1749" s="695" t="str">
        <f t="shared" si="24"/>
        <v>333903999030100  Prestação de Serviços Transporte Escolar : Itinerário 1</v>
      </c>
      <c r="C1749" s="631"/>
      <c r="D1749" s="632">
        <v>333903999030100</v>
      </c>
      <c r="E1749" s="696" t="s">
        <v>5342</v>
      </c>
      <c r="F1749" s="696">
        <v>8</v>
      </c>
      <c r="G1749" s="696" t="s">
        <v>5597</v>
      </c>
      <c r="I1749" s="696" t="s">
        <v>5600</v>
      </c>
    </row>
    <row r="1750" spans="1:9" ht="20.100000000000001" customHeight="1" x14ac:dyDescent="0.2">
      <c r="A1750" s="695" t="str">
        <f t="shared" si="24"/>
        <v>333903999030200  Prestação de Serviços Transporte Escolar : Itinerário 2</v>
      </c>
      <c r="C1750" s="631"/>
      <c r="D1750" s="632">
        <v>333903999030200</v>
      </c>
      <c r="E1750" s="696" t="s">
        <v>5343</v>
      </c>
      <c r="F1750" s="696">
        <v>8</v>
      </c>
      <c r="G1750" s="696" t="s">
        <v>5597</v>
      </c>
      <c r="I1750" s="696" t="s">
        <v>5600</v>
      </c>
    </row>
    <row r="1751" spans="1:9" ht="20.100000000000001" customHeight="1" x14ac:dyDescent="0.2">
      <c r="A1751" s="695" t="str">
        <f t="shared" si="24"/>
        <v>333903999030300  Prestação de Serviços Transporte Escolar : Itinerário 3</v>
      </c>
      <c r="C1751" s="631"/>
      <c r="D1751" s="632">
        <v>333903999030300</v>
      </c>
      <c r="E1751" s="696" t="s">
        <v>5344</v>
      </c>
      <c r="F1751" s="696">
        <v>8</v>
      </c>
      <c r="G1751" s="696" t="s">
        <v>5597</v>
      </c>
      <c r="I1751" s="696" t="s">
        <v>5600</v>
      </c>
    </row>
    <row r="1752" spans="1:9" ht="20.100000000000001" customHeight="1" x14ac:dyDescent="0.2">
      <c r="A1752" s="695" t="str">
        <f t="shared" si="24"/>
        <v>333903999030400  Prestação de Serviços Transporte Escolar : Itinerário 4</v>
      </c>
      <c r="C1752" s="631"/>
      <c r="D1752" s="632">
        <v>333903999030400</v>
      </c>
      <c r="E1752" s="696" t="s">
        <v>5345</v>
      </c>
      <c r="F1752" s="696">
        <v>8</v>
      </c>
      <c r="G1752" s="696" t="s">
        <v>5597</v>
      </c>
      <c r="I1752" s="696" t="s">
        <v>5600</v>
      </c>
    </row>
    <row r="1753" spans="1:9" ht="20.100000000000001" customHeight="1" x14ac:dyDescent="0.2">
      <c r="A1753" s="695" t="str">
        <f t="shared" si="24"/>
        <v>333903999030500  Prestação de Serviços Transporte Escolar : Itinerário 5</v>
      </c>
      <c r="C1753" s="631"/>
      <c r="D1753" s="632">
        <v>333903999030500</v>
      </c>
      <c r="E1753" s="696" t="s">
        <v>5346</v>
      </c>
      <c r="F1753" s="696">
        <v>8</v>
      </c>
      <c r="G1753" s="696" t="s">
        <v>5597</v>
      </c>
      <c r="I1753" s="696" t="s">
        <v>5600</v>
      </c>
    </row>
    <row r="1754" spans="1:9" ht="20.100000000000001" customHeight="1" x14ac:dyDescent="0.2">
      <c r="A1754" s="695" t="str">
        <f t="shared" si="24"/>
        <v>333903999030600  Prestação de Serviços Transporte Escolar : Itinerário 6</v>
      </c>
      <c r="C1754" s="631"/>
      <c r="D1754" s="632">
        <v>333903999030600</v>
      </c>
      <c r="E1754" s="696" t="s">
        <v>5347</v>
      </c>
      <c r="F1754" s="696">
        <v>8</v>
      </c>
      <c r="G1754" s="696" t="s">
        <v>5597</v>
      </c>
      <c r="I1754" s="696" t="s">
        <v>5600</v>
      </c>
    </row>
    <row r="1755" spans="1:9" ht="20.100000000000001" customHeight="1" x14ac:dyDescent="0.2">
      <c r="A1755" s="695" t="str">
        <f t="shared" si="24"/>
        <v>333903999030700  Prestação de Serviços Transporte Escolar : Itinerário 7</v>
      </c>
      <c r="C1755" s="631"/>
      <c r="D1755" s="632">
        <v>333903999030700</v>
      </c>
      <c r="E1755" s="696" t="s">
        <v>5348</v>
      </c>
      <c r="F1755" s="696">
        <v>8</v>
      </c>
      <c r="G1755" s="696" t="s">
        <v>5597</v>
      </c>
      <c r="I1755" s="696" t="s">
        <v>5600</v>
      </c>
    </row>
    <row r="1756" spans="1:9" ht="20.100000000000001" customHeight="1" x14ac:dyDescent="0.2">
      <c r="A1756" s="695" t="str">
        <f t="shared" si="24"/>
        <v>333903999030800  Prestação de Serviços Transporte Escolar : Itinerário 8</v>
      </c>
      <c r="C1756" s="631"/>
      <c r="D1756" s="632">
        <v>333903999030800</v>
      </c>
      <c r="E1756" s="696" t="s">
        <v>5349</v>
      </c>
      <c r="F1756" s="696">
        <v>8</v>
      </c>
      <c r="G1756" s="696" t="s">
        <v>5597</v>
      </c>
      <c r="I1756" s="696" t="s">
        <v>5600</v>
      </c>
    </row>
    <row r="1757" spans="1:9" ht="20.100000000000001" customHeight="1" x14ac:dyDescent="0.2">
      <c r="A1757" s="695" t="str">
        <f t="shared" si="24"/>
        <v>333903999030900  Prestação de Serviços Transporte Escolar : Itinerário 9</v>
      </c>
      <c r="C1757" s="631"/>
      <c r="D1757" s="632">
        <v>333903999030900</v>
      </c>
      <c r="E1757" s="696" t="s">
        <v>5350</v>
      </c>
      <c r="F1757" s="696">
        <v>8</v>
      </c>
      <c r="G1757" s="696" t="s">
        <v>5597</v>
      </c>
      <c r="I1757" s="696" t="s">
        <v>5600</v>
      </c>
    </row>
    <row r="1758" spans="1:9" ht="20.100000000000001" customHeight="1" x14ac:dyDescent="0.2">
      <c r="A1758" s="695" t="str">
        <f t="shared" si="24"/>
        <v>333903999031000  Prestação de Serviços Transporte Escolar : Itinerário 10</v>
      </c>
      <c r="C1758" s="631"/>
      <c r="D1758" s="632">
        <v>333903999031000</v>
      </c>
      <c r="E1758" s="696" t="s">
        <v>5351</v>
      </c>
      <c r="F1758" s="696">
        <v>8</v>
      </c>
      <c r="G1758" s="696" t="s">
        <v>5597</v>
      </c>
      <c r="I1758" s="696" t="s">
        <v>5600</v>
      </c>
    </row>
    <row r="1759" spans="1:9" ht="20.100000000000001" customHeight="1" x14ac:dyDescent="0.2">
      <c r="A1759" s="695" t="str">
        <f t="shared" si="24"/>
        <v>333903999031100  Prestação de Serviços Transporte Escolar : Itinerário 11</v>
      </c>
      <c r="C1759" s="631"/>
      <c r="D1759" s="632">
        <v>333903999031100</v>
      </c>
      <c r="E1759" s="696" t="s">
        <v>5352</v>
      </c>
      <c r="F1759" s="696">
        <v>8</v>
      </c>
      <c r="G1759" s="696" t="s">
        <v>5597</v>
      </c>
      <c r="I1759" s="696" t="s">
        <v>5600</v>
      </c>
    </row>
    <row r="1760" spans="1:9" ht="20.100000000000001" customHeight="1" x14ac:dyDescent="0.2">
      <c r="A1760" s="695" t="str">
        <f t="shared" si="24"/>
        <v>333903999031200  Prestação de Serviços Transporte Escolar : Itinerário 12</v>
      </c>
      <c r="C1760" s="631"/>
      <c r="D1760" s="632">
        <v>333903999031200</v>
      </c>
      <c r="E1760" s="696" t="s">
        <v>5353</v>
      </c>
      <c r="F1760" s="696">
        <v>8</v>
      </c>
      <c r="G1760" s="696" t="s">
        <v>5597</v>
      </c>
      <c r="I1760" s="696" t="s">
        <v>5600</v>
      </c>
    </row>
    <row r="1761" spans="1:9" ht="20.100000000000001" customHeight="1" x14ac:dyDescent="0.2">
      <c r="A1761" s="695" t="str">
        <f t="shared" si="24"/>
        <v>333903999031300  Prestação de Serviços Transporte Escolar : Itinerário 13</v>
      </c>
      <c r="C1761" s="631"/>
      <c r="D1761" s="632">
        <v>333903999031300</v>
      </c>
      <c r="E1761" s="696" t="s">
        <v>5354</v>
      </c>
      <c r="F1761" s="696">
        <v>8</v>
      </c>
      <c r="G1761" s="696" t="s">
        <v>5597</v>
      </c>
      <c r="I1761" s="696" t="s">
        <v>5600</v>
      </c>
    </row>
    <row r="1762" spans="1:9" ht="20.100000000000001" customHeight="1" x14ac:dyDescent="0.2">
      <c r="A1762" s="695" t="str">
        <f t="shared" si="24"/>
        <v>333903999031400  Prestação de Serviços Transporte Escolar : Itinerário 14</v>
      </c>
      <c r="C1762" s="631"/>
      <c r="D1762" s="632">
        <v>333903999031400</v>
      </c>
      <c r="E1762" s="696" t="s">
        <v>5355</v>
      </c>
      <c r="F1762" s="696">
        <v>8</v>
      </c>
      <c r="G1762" s="696" t="s">
        <v>5597</v>
      </c>
      <c r="I1762" s="696" t="s">
        <v>5600</v>
      </c>
    </row>
    <row r="1763" spans="1:9" ht="20.100000000000001" customHeight="1" x14ac:dyDescent="0.2">
      <c r="A1763" s="695" t="str">
        <f t="shared" si="24"/>
        <v>333903999031500  Prestação de Serviços Transporte Escolar : Itinerário 15</v>
      </c>
      <c r="C1763" s="631"/>
      <c r="D1763" s="632">
        <v>333903999031500</v>
      </c>
      <c r="E1763" s="696" t="s">
        <v>5356</v>
      </c>
      <c r="F1763" s="696">
        <v>8</v>
      </c>
      <c r="G1763" s="696" t="s">
        <v>5597</v>
      </c>
      <c r="I1763" s="696" t="s">
        <v>5600</v>
      </c>
    </row>
    <row r="1764" spans="1:9" ht="20.100000000000001" customHeight="1" x14ac:dyDescent="0.2">
      <c r="A1764" s="695" t="str">
        <f t="shared" si="24"/>
        <v>333903999031600  Prestação de Serviços Transporte Escolar : Itinerário 16</v>
      </c>
      <c r="C1764" s="631"/>
      <c r="D1764" s="632">
        <v>333903999031600</v>
      </c>
      <c r="E1764" s="696" t="s">
        <v>5357</v>
      </c>
      <c r="F1764" s="696">
        <v>8</v>
      </c>
      <c r="G1764" s="696" t="s">
        <v>5597</v>
      </c>
      <c r="I1764" s="696" t="s">
        <v>5600</v>
      </c>
    </row>
    <row r="1765" spans="1:9" ht="20.100000000000001" customHeight="1" x14ac:dyDescent="0.2">
      <c r="A1765" s="695" t="str">
        <f t="shared" si="24"/>
        <v>333903999031700  Prestação de Serviços Locação de Veículo Substituto Transporte Escolar</v>
      </c>
      <c r="C1765" s="631"/>
      <c r="D1765" s="632">
        <v>333903999031700</v>
      </c>
      <c r="E1765" s="696" t="s">
        <v>5358</v>
      </c>
      <c r="F1765" s="696">
        <v>8</v>
      </c>
      <c r="G1765" s="696" t="s">
        <v>5597</v>
      </c>
      <c r="I1765" s="696" t="s">
        <v>5600</v>
      </c>
    </row>
    <row r="1766" spans="1:9" ht="20.100000000000001" customHeight="1" x14ac:dyDescent="0.2">
      <c r="A1766" s="695" t="str">
        <f t="shared" si="24"/>
        <v>333903999040000  Outros Serviços Pessoa Juridica</v>
      </c>
      <c r="C1766" s="631"/>
      <c r="D1766" s="632">
        <v>333903999040000</v>
      </c>
      <c r="E1766" s="696" t="s">
        <v>1013</v>
      </c>
      <c r="F1766" s="696">
        <v>7</v>
      </c>
      <c r="G1766" s="696" t="s">
        <v>5597</v>
      </c>
      <c r="I1766" s="696"/>
    </row>
    <row r="1767" spans="1:9" ht="20.100000000000001" customHeight="1" x14ac:dyDescent="0.2">
      <c r="A1767" s="695" t="str">
        <f t="shared" si="24"/>
        <v>333903999040100  Outros Serviços Pessoa Juridica - Legislativo</v>
      </c>
      <c r="C1767" s="631"/>
      <c r="D1767" s="632">
        <v>333903999040100</v>
      </c>
      <c r="E1767" s="696" t="s">
        <v>5359</v>
      </c>
      <c r="F1767" s="696">
        <v>9</v>
      </c>
      <c r="G1767" s="696" t="s">
        <v>5597</v>
      </c>
      <c r="I1767" s="696" t="s">
        <v>5600</v>
      </c>
    </row>
    <row r="1768" spans="1:9" ht="20.100000000000001" customHeight="1" x14ac:dyDescent="0.2">
      <c r="A1768" s="695" t="str">
        <f t="shared" si="24"/>
        <v>333903999040200  Outros Serviços Pessoa Juridica - Executivo</v>
      </c>
      <c r="C1768" s="631"/>
      <c r="D1768" s="632">
        <v>333903999040200</v>
      </c>
      <c r="E1768" s="696" t="s">
        <v>5360</v>
      </c>
      <c r="F1768" s="696">
        <v>9</v>
      </c>
      <c r="G1768" s="696" t="s">
        <v>5597</v>
      </c>
      <c r="I1768" s="696" t="s">
        <v>5600</v>
      </c>
    </row>
    <row r="1769" spans="1:9" ht="20.100000000000001" customHeight="1" x14ac:dyDescent="0.2">
      <c r="A1769" s="695" t="str">
        <f t="shared" si="24"/>
        <v>333903999050000  Despesa com Mensalidade Pedagio</v>
      </c>
      <c r="C1769" s="631"/>
      <c r="D1769" s="632">
        <v>333903999050000</v>
      </c>
      <c r="E1769" s="696" t="s">
        <v>1030</v>
      </c>
      <c r="F1769" s="696">
        <v>8</v>
      </c>
      <c r="G1769" s="696" t="s">
        <v>5597</v>
      </c>
      <c r="I1769" s="696" t="s">
        <v>5600</v>
      </c>
    </row>
    <row r="1770" spans="1:9" ht="20.100000000000001" customHeight="1" x14ac:dyDescent="0.2">
      <c r="A1770" s="695" t="str">
        <f t="shared" si="24"/>
        <v>333903999060000  Despesa com Substituicao de Veiculo Transp. Escolar</v>
      </c>
      <c r="C1770" s="631"/>
      <c r="D1770" s="632">
        <v>333903999060000</v>
      </c>
      <c r="E1770" s="696" t="s">
        <v>1167</v>
      </c>
      <c r="F1770" s="696">
        <v>8</v>
      </c>
      <c r="G1770" s="696" t="s">
        <v>5597</v>
      </c>
      <c r="I1770" s="696" t="s">
        <v>5604</v>
      </c>
    </row>
    <row r="1771" spans="1:9" ht="20.100000000000001" customHeight="1" x14ac:dyDescent="0.2">
      <c r="A1771" s="695" t="str">
        <f t="shared" si="24"/>
        <v>333903999070000  Multas de Transito</v>
      </c>
      <c r="C1771" s="631"/>
      <c r="D1771" s="632">
        <v>333903999070000</v>
      </c>
      <c r="E1771" s="696" t="s">
        <v>5361</v>
      </c>
      <c r="F1771" s="696">
        <v>8</v>
      </c>
      <c r="G1771" s="696" t="s">
        <v>5597</v>
      </c>
      <c r="I1771" s="696" t="s">
        <v>5600</v>
      </c>
    </row>
    <row r="1772" spans="1:9" ht="20.100000000000001" customHeight="1" x14ac:dyDescent="0.2">
      <c r="A1772" s="695" t="str">
        <f t="shared" si="24"/>
        <v>333903999070100  Multas Veiculo Placas ITP 0262</v>
      </c>
      <c r="C1772" s="631"/>
      <c r="D1772" s="632">
        <v>333903999070100</v>
      </c>
      <c r="E1772" s="696" t="s">
        <v>5362</v>
      </c>
      <c r="F1772" s="696">
        <v>9</v>
      </c>
      <c r="G1772" s="696" t="s">
        <v>5597</v>
      </c>
      <c r="I1772" s="696" t="s">
        <v>5600</v>
      </c>
    </row>
    <row r="1773" spans="1:9" ht="20.100000000000001" customHeight="1" x14ac:dyDescent="0.2">
      <c r="A1773" s="695" t="str">
        <f t="shared" si="24"/>
        <v>333903999070200  Multas Veiculo Placas IRY 2027</v>
      </c>
      <c r="C1773" s="631"/>
      <c r="D1773" s="632">
        <v>333903999070200</v>
      </c>
      <c r="E1773" s="696" t="s">
        <v>2196</v>
      </c>
      <c r="F1773" s="696">
        <v>9</v>
      </c>
      <c r="G1773" s="696" t="s">
        <v>5597</v>
      </c>
      <c r="I1773" s="696" t="s">
        <v>5600</v>
      </c>
    </row>
    <row r="1774" spans="1:9" ht="20.100000000000001" customHeight="1" x14ac:dyDescent="0.2">
      <c r="A1774" s="695" t="str">
        <f t="shared" si="24"/>
        <v>333903999070300  Multas Veiculo Placas DUA 5272</v>
      </c>
      <c r="C1774" s="631"/>
      <c r="D1774" s="632">
        <v>333903999070300</v>
      </c>
      <c r="E1774" s="696" t="s">
        <v>5363</v>
      </c>
      <c r="F1774" s="696">
        <v>9</v>
      </c>
      <c r="G1774" s="696" t="s">
        <v>5597</v>
      </c>
      <c r="I1774" s="696" t="s">
        <v>5600</v>
      </c>
    </row>
    <row r="1775" spans="1:9" ht="20.100000000000001" customHeight="1" x14ac:dyDescent="0.2">
      <c r="A1775" s="695" t="str">
        <f t="shared" si="24"/>
        <v>333903999070400  Multas Veiculo Placas IRH 9777</v>
      </c>
      <c r="C1775" s="631"/>
      <c r="D1775" s="632">
        <v>333903999070400</v>
      </c>
      <c r="E1775" s="696" t="s">
        <v>5364</v>
      </c>
      <c r="F1775" s="696">
        <v>9</v>
      </c>
      <c r="G1775" s="696" t="s">
        <v>5597</v>
      </c>
      <c r="I1775" s="696" t="s">
        <v>5600</v>
      </c>
    </row>
    <row r="1776" spans="1:9" ht="20.100000000000001" customHeight="1" x14ac:dyDescent="0.2">
      <c r="A1776" s="695" t="str">
        <f t="shared" si="24"/>
        <v>333903999070500  Multas Veiculo Placas IJY 202420</v>
      </c>
      <c r="C1776" s="631"/>
      <c r="D1776" s="632">
        <v>333903999070500</v>
      </c>
      <c r="E1776" s="696" t="s">
        <v>5365</v>
      </c>
      <c r="F1776" s="696">
        <v>9</v>
      </c>
      <c r="G1776" s="696" t="s">
        <v>5597</v>
      </c>
      <c r="I1776" s="696" t="s">
        <v>5600</v>
      </c>
    </row>
    <row r="1777" spans="1:9" ht="20.100000000000001" customHeight="1" x14ac:dyDescent="0.2">
      <c r="A1777" s="695" t="str">
        <f t="shared" ref="A1777:A1840" si="25">CONCATENATE(D1777,"  ",E1777,)</f>
        <v>333903999070600  Multas Veiculo Placas IOB 6926</v>
      </c>
      <c r="C1777" s="631"/>
      <c r="D1777" s="632">
        <v>333903999070600</v>
      </c>
      <c r="E1777" s="696" t="s">
        <v>5366</v>
      </c>
      <c r="F1777" s="696">
        <v>9</v>
      </c>
      <c r="G1777" s="696" t="s">
        <v>5597</v>
      </c>
      <c r="I1777" s="696" t="s">
        <v>5600</v>
      </c>
    </row>
    <row r="1778" spans="1:9" ht="20.100000000000001" customHeight="1" x14ac:dyDescent="0.2">
      <c r="A1778" s="695" t="str">
        <f t="shared" si="25"/>
        <v>333903999070700  Multas Veiculo Placas IVY 8350</v>
      </c>
      <c r="C1778" s="631"/>
      <c r="D1778" s="632">
        <v>333903999070700</v>
      </c>
      <c r="E1778" s="696" t="s">
        <v>5367</v>
      </c>
      <c r="F1778" s="696">
        <v>9</v>
      </c>
      <c r="G1778" s="696" t="s">
        <v>5597</v>
      </c>
      <c r="I1778" s="696" t="s">
        <v>5600</v>
      </c>
    </row>
    <row r="1779" spans="1:9" ht="20.100000000000001" customHeight="1" x14ac:dyDescent="0.2">
      <c r="A1779" s="695" t="str">
        <f t="shared" si="25"/>
        <v>333903999080000  Passe Livre</v>
      </c>
      <c r="C1779" s="631"/>
      <c r="D1779" s="632">
        <v>333903999080000</v>
      </c>
      <c r="E1779" s="696" t="s">
        <v>5368</v>
      </c>
      <c r="F1779" s="696">
        <v>8</v>
      </c>
      <c r="G1779" s="696" t="s">
        <v>5597</v>
      </c>
      <c r="I1779" s="696" t="s">
        <v>5600</v>
      </c>
    </row>
    <row r="1780" spans="1:9" ht="20.100000000000001" customHeight="1" x14ac:dyDescent="0.2">
      <c r="A1780" s="695" t="str">
        <f t="shared" si="25"/>
        <v>333903999090000  Servicos de Transporte - Eleicoes</v>
      </c>
      <c r="C1780" s="631"/>
      <c r="D1780" s="632">
        <v>333903999090000</v>
      </c>
      <c r="E1780" s="696" t="s">
        <v>5369</v>
      </c>
      <c r="F1780" s="696">
        <v>8</v>
      </c>
      <c r="G1780" s="696" t="s">
        <v>5597</v>
      </c>
      <c r="I1780" s="696" t="s">
        <v>5600</v>
      </c>
    </row>
    <row r="1781" spans="1:9" ht="20.100000000000001" customHeight="1" x14ac:dyDescent="0.2">
      <c r="A1781" s="695" t="str">
        <f t="shared" si="25"/>
        <v>333903999100000  Coleta e Transp. e Destino Final de  Resíduos de Saúde</v>
      </c>
      <c r="C1781" s="631"/>
      <c r="D1781" s="632">
        <v>333903999100000</v>
      </c>
      <c r="E1781" s="696" t="s">
        <v>5689</v>
      </c>
      <c r="F1781" s="696">
        <v>8</v>
      </c>
      <c r="G1781" s="696" t="s">
        <v>5597</v>
      </c>
      <c r="I1781" s="696" t="s">
        <v>5600</v>
      </c>
    </row>
    <row r="1782" spans="1:9" ht="20.100000000000001" customHeight="1" x14ac:dyDescent="0.2">
      <c r="A1782" s="695" t="str">
        <f t="shared" si="25"/>
        <v>333903999110000  TARIFA IPE</v>
      </c>
      <c r="C1782" s="631"/>
      <c r="D1782" s="632">
        <v>333903999110000</v>
      </c>
      <c r="E1782" s="696" t="s">
        <v>5370</v>
      </c>
      <c r="F1782" s="696">
        <v>8</v>
      </c>
      <c r="G1782" s="696" t="s">
        <v>5597</v>
      </c>
      <c r="I1782" s="696" t="s">
        <v>5600</v>
      </c>
    </row>
    <row r="1783" spans="1:9" ht="20.100000000000001" customHeight="1" x14ac:dyDescent="0.2">
      <c r="A1783" s="695" t="str">
        <f t="shared" si="25"/>
        <v>333903999120000  Multas Conta Telefone, Energia e Agua</v>
      </c>
      <c r="C1783" s="631"/>
      <c r="D1783" s="632">
        <v>333903999120000</v>
      </c>
      <c r="E1783" s="696" t="s">
        <v>5371</v>
      </c>
      <c r="F1783" s="696">
        <v>8</v>
      </c>
      <c r="G1783" s="696" t="s">
        <v>5597</v>
      </c>
      <c r="I1783" s="696" t="s">
        <v>5600</v>
      </c>
    </row>
    <row r="1784" spans="1:9" ht="20.100000000000001" customHeight="1" x14ac:dyDescent="0.2">
      <c r="A1784" s="695" t="str">
        <f t="shared" si="25"/>
        <v>333903999130000  Serviços de Transporte</v>
      </c>
      <c r="C1784" s="631"/>
      <c r="D1784" s="632">
        <v>333903999130000</v>
      </c>
      <c r="E1784" s="696" t="s">
        <v>4748</v>
      </c>
      <c r="F1784" s="696">
        <v>8</v>
      </c>
      <c r="G1784" s="696" t="s">
        <v>5597</v>
      </c>
      <c r="I1784" s="696" t="s">
        <v>5600</v>
      </c>
    </row>
    <row r="1785" spans="1:9" ht="20.100000000000001" customHeight="1" x14ac:dyDescent="0.2">
      <c r="A1785" s="695" t="str">
        <f t="shared" si="25"/>
        <v>333904100000000  Contribuicoes</v>
      </c>
      <c r="C1785" s="631"/>
      <c r="D1785" s="632">
        <v>333904100000000</v>
      </c>
      <c r="E1785" s="696" t="s">
        <v>1057</v>
      </c>
      <c r="F1785" s="696">
        <v>6</v>
      </c>
      <c r="G1785" s="696" t="s">
        <v>5596</v>
      </c>
      <c r="I1785" s="696"/>
    </row>
    <row r="1786" spans="1:9" ht="20.100000000000001" customHeight="1" x14ac:dyDescent="0.2">
      <c r="A1786" s="695" t="str">
        <f t="shared" si="25"/>
        <v>333904100010000  Contribuicoes As Forcas Auxiliares</v>
      </c>
      <c r="C1786" s="631"/>
      <c r="D1786" s="632">
        <v>333904100010000</v>
      </c>
      <c r="E1786" s="696" t="s">
        <v>5372</v>
      </c>
      <c r="F1786" s="696">
        <v>8</v>
      </c>
      <c r="G1786" s="696" t="s">
        <v>5597</v>
      </c>
      <c r="I1786" s="696"/>
    </row>
    <row r="1787" spans="1:9" ht="20.100000000000001" customHeight="1" x14ac:dyDescent="0.2">
      <c r="A1787" s="695" t="str">
        <f t="shared" si="25"/>
        <v>333904500000000  Equalizacao De Precos E Taxas</v>
      </c>
      <c r="C1787" s="631"/>
      <c r="D1787" s="632">
        <v>333904500000000</v>
      </c>
      <c r="E1787" s="696" t="s">
        <v>5373</v>
      </c>
      <c r="F1787" s="696">
        <v>6</v>
      </c>
      <c r="G1787" s="696" t="s">
        <v>5596</v>
      </c>
      <c r="I1787" s="696"/>
    </row>
    <row r="1788" spans="1:9" ht="20.100000000000001" customHeight="1" x14ac:dyDescent="0.2">
      <c r="A1788" s="695" t="str">
        <f t="shared" si="25"/>
        <v>333904599000000  Outras Equalizacoes De Precos</v>
      </c>
      <c r="C1788" s="631"/>
      <c r="D1788" s="632">
        <v>333904599000000</v>
      </c>
      <c r="E1788" s="696" t="s">
        <v>5374</v>
      </c>
      <c r="F1788" s="696">
        <v>7</v>
      </c>
      <c r="G1788" s="696" t="s">
        <v>5597</v>
      </c>
      <c r="I1788" s="696"/>
    </row>
    <row r="1789" spans="1:9" ht="20.100000000000001" customHeight="1" x14ac:dyDescent="0.2">
      <c r="A1789" s="695" t="str">
        <f t="shared" si="25"/>
        <v>333904600000000  Auxilio-alimentacao</v>
      </c>
      <c r="C1789" s="631"/>
      <c r="D1789" s="632">
        <v>333904600000000</v>
      </c>
      <c r="E1789" s="696" t="s">
        <v>2209</v>
      </c>
      <c r="F1789" s="696">
        <v>6</v>
      </c>
      <c r="G1789" s="696" t="s">
        <v>5596</v>
      </c>
      <c r="I1789" s="696"/>
    </row>
    <row r="1790" spans="1:9" ht="20.100000000000001" customHeight="1" x14ac:dyDescent="0.2">
      <c r="A1790" s="695" t="str">
        <f t="shared" si="25"/>
        <v>333904601000000  Indenizacao Auxilio-alimentacao</v>
      </c>
      <c r="C1790" s="631"/>
      <c r="D1790" s="632">
        <v>333904601000000</v>
      </c>
      <c r="E1790" s="696" t="s">
        <v>2210</v>
      </c>
      <c r="F1790" s="696">
        <v>7</v>
      </c>
      <c r="G1790" s="696" t="s">
        <v>5597</v>
      </c>
      <c r="I1790" s="696"/>
    </row>
    <row r="1791" spans="1:9" ht="20.100000000000001" customHeight="1" x14ac:dyDescent="0.2">
      <c r="A1791" s="695" t="str">
        <f t="shared" si="25"/>
        <v>333904700000000  Obrigacoes Tributarias E Contributivas</v>
      </c>
      <c r="C1791" s="631"/>
      <c r="D1791" s="632">
        <v>333904700000000</v>
      </c>
      <c r="E1791" s="696" t="s">
        <v>990</v>
      </c>
      <c r="F1791" s="696">
        <v>6</v>
      </c>
      <c r="G1791" s="696" t="s">
        <v>5596</v>
      </c>
      <c r="I1791" s="696"/>
    </row>
    <row r="1792" spans="1:9" ht="20.100000000000001" customHeight="1" x14ac:dyDescent="0.2">
      <c r="A1792" s="695" t="str">
        <f t="shared" si="25"/>
        <v>333904702000000  Imposto Sobre Propriedade Predial E Territorial Urbana - Iptu</v>
      </c>
      <c r="C1792" s="631"/>
      <c r="D1792" s="632">
        <v>333904702000000</v>
      </c>
      <c r="E1792" s="696" t="s">
        <v>5375</v>
      </c>
      <c r="F1792" s="696">
        <v>7</v>
      </c>
      <c r="G1792" s="696" t="s">
        <v>5597</v>
      </c>
      <c r="I1792" s="696"/>
    </row>
    <row r="1793" spans="1:9" ht="20.100000000000001" customHeight="1" x14ac:dyDescent="0.2">
      <c r="A1793" s="695" t="str">
        <f t="shared" si="25"/>
        <v>333904703000000  Imposto De Renda</v>
      </c>
      <c r="C1793" s="631"/>
      <c r="D1793" s="632">
        <v>333904703000000</v>
      </c>
      <c r="E1793" s="696" t="s">
        <v>5376</v>
      </c>
      <c r="F1793" s="696">
        <v>7</v>
      </c>
      <c r="G1793" s="696" t="s">
        <v>5597</v>
      </c>
      <c r="I1793" s="696"/>
    </row>
    <row r="1794" spans="1:9" ht="20.100000000000001" customHeight="1" x14ac:dyDescent="0.2">
      <c r="A1794" s="695" t="str">
        <f t="shared" si="25"/>
        <v>333904708000000  Imposto Sobre Serviços De Qualquer Natureza - Issqn</v>
      </c>
      <c r="C1794" s="631"/>
      <c r="D1794" s="632">
        <v>333904708000000</v>
      </c>
      <c r="E1794" s="696" t="s">
        <v>5377</v>
      </c>
      <c r="F1794" s="696">
        <v>7</v>
      </c>
      <c r="G1794" s="696" t="s">
        <v>5597</v>
      </c>
      <c r="I1794" s="696"/>
    </row>
    <row r="1795" spans="1:9" ht="20.100000000000001" customHeight="1" x14ac:dyDescent="0.2">
      <c r="A1795" s="695" t="str">
        <f t="shared" si="25"/>
        <v>333904710000000  Taxas</v>
      </c>
      <c r="C1795" s="631"/>
      <c r="D1795" s="632">
        <v>333904710000000</v>
      </c>
      <c r="E1795" s="696" t="s">
        <v>1960</v>
      </c>
      <c r="F1795" s="696">
        <v>7</v>
      </c>
      <c r="G1795" s="696" t="s">
        <v>5597</v>
      </c>
      <c r="I1795" s="696"/>
    </row>
    <row r="1796" spans="1:9" ht="20.100000000000001" customHeight="1" x14ac:dyDescent="0.2">
      <c r="A1796" s="695" t="str">
        <f t="shared" si="25"/>
        <v>333904712000000  Contribuicao P/  O Pis/pasep</v>
      </c>
      <c r="C1796" s="631"/>
      <c r="D1796" s="632">
        <v>333904712000000</v>
      </c>
      <c r="E1796" s="696" t="s">
        <v>5690</v>
      </c>
      <c r="F1796" s="696">
        <v>7</v>
      </c>
      <c r="G1796" s="696" t="s">
        <v>5597</v>
      </c>
      <c r="I1796" s="696"/>
    </row>
    <row r="1797" spans="1:9" ht="20.100000000000001" customHeight="1" x14ac:dyDescent="0.2">
      <c r="A1797" s="695" t="str">
        <f t="shared" si="25"/>
        <v>333904714000000  Cpmf</v>
      </c>
      <c r="C1797" s="631"/>
      <c r="D1797" s="632">
        <v>333904714000000</v>
      </c>
      <c r="E1797" s="696" t="s">
        <v>5378</v>
      </c>
      <c r="F1797" s="696">
        <v>7</v>
      </c>
      <c r="G1797" s="696" t="s">
        <v>5597</v>
      </c>
      <c r="I1797" s="696"/>
    </row>
    <row r="1798" spans="1:9" ht="20.100000000000001" customHeight="1" x14ac:dyDescent="0.2">
      <c r="A1798" s="695" t="str">
        <f t="shared" si="25"/>
        <v>333904715000000  Multas</v>
      </c>
      <c r="C1798" s="631"/>
      <c r="D1798" s="632">
        <v>333904715000000</v>
      </c>
      <c r="E1798" s="696" t="s">
        <v>1116</v>
      </c>
      <c r="F1798" s="696">
        <v>7</v>
      </c>
      <c r="G1798" s="696" t="s">
        <v>5597</v>
      </c>
      <c r="I1798" s="696"/>
    </row>
    <row r="1799" spans="1:9" ht="20.100000000000001" customHeight="1" x14ac:dyDescent="0.2">
      <c r="A1799" s="695" t="str">
        <f t="shared" si="25"/>
        <v>333904716000000  Juros</v>
      </c>
      <c r="C1799" s="631"/>
      <c r="D1799" s="632">
        <v>333904716000000</v>
      </c>
      <c r="E1799" s="696" t="s">
        <v>1250</v>
      </c>
      <c r="F1799" s="696">
        <v>7</v>
      </c>
      <c r="G1799" s="696" t="s">
        <v>5597</v>
      </c>
      <c r="I1799" s="696"/>
    </row>
    <row r="1800" spans="1:9" ht="20.100000000000001" customHeight="1" x14ac:dyDescent="0.2">
      <c r="A1800" s="695" t="str">
        <f t="shared" si="25"/>
        <v>333904718000000  Contribuicoes  Previdenciarias-servicos De Terceiros</v>
      </c>
      <c r="C1800" s="631"/>
      <c r="D1800" s="632">
        <v>333904718000000</v>
      </c>
      <c r="E1800" s="696" t="s">
        <v>5691</v>
      </c>
      <c r="F1800" s="696">
        <v>7</v>
      </c>
      <c r="G1800" s="696" t="s">
        <v>5597</v>
      </c>
      <c r="I1800" s="696"/>
    </row>
    <row r="1801" spans="1:9" ht="20.100000000000001" customHeight="1" x14ac:dyDescent="0.2">
      <c r="A1801" s="695" t="str">
        <f t="shared" si="25"/>
        <v>333904718010000  Contribuicoes  Previdenciarias Servicos de Terceiros - Legislativo</v>
      </c>
      <c r="C1801" s="631"/>
      <c r="D1801" s="632">
        <v>333904718010000</v>
      </c>
      <c r="E1801" s="696" t="s">
        <v>5692</v>
      </c>
      <c r="F1801" s="696">
        <v>8</v>
      </c>
      <c r="G1801" s="696" t="s">
        <v>5597</v>
      </c>
      <c r="I1801" s="696" t="s">
        <v>5600</v>
      </c>
    </row>
    <row r="1802" spans="1:9" ht="20.100000000000001" customHeight="1" x14ac:dyDescent="0.2">
      <c r="A1802" s="695" t="str">
        <f t="shared" si="25"/>
        <v>333904718020000  Contribuicoes  Previdenciarias Servicos de Terceiros - Executivo</v>
      </c>
      <c r="C1802" s="631"/>
      <c r="D1802" s="632">
        <v>333904718020000</v>
      </c>
      <c r="E1802" s="696" t="s">
        <v>5693</v>
      </c>
      <c r="F1802" s="696">
        <v>8</v>
      </c>
      <c r="G1802" s="696" t="s">
        <v>5597</v>
      </c>
      <c r="I1802" s="696" t="s">
        <v>5600</v>
      </c>
    </row>
    <row r="1803" spans="1:9" ht="20.100000000000001" customHeight="1" x14ac:dyDescent="0.2">
      <c r="A1803" s="695" t="str">
        <f t="shared" si="25"/>
        <v>333904718020100  Cont.  Prev. Serv. de Terceiros - Gabinete Prefeito</v>
      </c>
      <c r="C1803" s="631"/>
      <c r="D1803" s="632">
        <v>333904718020100</v>
      </c>
      <c r="E1803" s="696" t="s">
        <v>5694</v>
      </c>
      <c r="F1803" s="696">
        <v>9</v>
      </c>
      <c r="G1803" s="696" t="s">
        <v>5597</v>
      </c>
      <c r="I1803" s="696" t="s">
        <v>5600</v>
      </c>
    </row>
    <row r="1804" spans="1:9" ht="20.100000000000001" customHeight="1" x14ac:dyDescent="0.2">
      <c r="A1804" s="695" t="str">
        <f t="shared" si="25"/>
        <v>333904718020200  Cont.  Prev. Serv. de Terceiros - SMA</v>
      </c>
      <c r="C1804" s="631"/>
      <c r="D1804" s="632">
        <v>333904718020200</v>
      </c>
      <c r="E1804" s="696" t="s">
        <v>5695</v>
      </c>
      <c r="F1804" s="696">
        <v>9</v>
      </c>
      <c r="G1804" s="696" t="s">
        <v>5597</v>
      </c>
      <c r="I1804" s="696" t="s">
        <v>5600</v>
      </c>
    </row>
    <row r="1805" spans="1:9" ht="20.100000000000001" customHeight="1" x14ac:dyDescent="0.2">
      <c r="A1805" s="695" t="str">
        <f t="shared" si="25"/>
        <v>333904718020300  Cont.  Prev. Serv. de Terceiros - SMF</v>
      </c>
      <c r="C1805" s="631"/>
      <c r="D1805" s="632">
        <v>333904718020300</v>
      </c>
      <c r="E1805" s="696" t="s">
        <v>5696</v>
      </c>
      <c r="F1805" s="696">
        <v>9</v>
      </c>
      <c r="G1805" s="696" t="s">
        <v>5597</v>
      </c>
      <c r="I1805" s="696" t="s">
        <v>5600</v>
      </c>
    </row>
    <row r="1806" spans="1:9" ht="20.100000000000001" customHeight="1" x14ac:dyDescent="0.2">
      <c r="A1806" s="695" t="str">
        <f t="shared" si="25"/>
        <v>333904718020400  Cont.  Prev. Serv. de Terceiros - SMOVSU</v>
      </c>
      <c r="C1806" s="631"/>
      <c r="D1806" s="632">
        <v>333904718020400</v>
      </c>
      <c r="E1806" s="696" t="s">
        <v>5697</v>
      </c>
      <c r="F1806" s="696">
        <v>9</v>
      </c>
      <c r="G1806" s="696" t="s">
        <v>5597</v>
      </c>
      <c r="I1806" s="696" t="s">
        <v>5600</v>
      </c>
    </row>
    <row r="1807" spans="1:9" ht="20.100000000000001" customHeight="1" x14ac:dyDescent="0.2">
      <c r="A1807" s="695" t="str">
        <f t="shared" si="25"/>
        <v>333904720000000  Obrigacoes Patronais Sobre Servicos De  Pessoa Juridica</v>
      </c>
      <c r="C1807" s="631"/>
      <c r="D1807" s="632">
        <v>333904720000000</v>
      </c>
      <c r="E1807" s="696" t="s">
        <v>5698</v>
      </c>
      <c r="F1807" s="696">
        <v>7</v>
      </c>
      <c r="G1807" s="696" t="s">
        <v>5597</v>
      </c>
      <c r="I1807" s="696"/>
    </row>
    <row r="1808" spans="1:9" ht="20.100000000000001" customHeight="1" x14ac:dyDescent="0.2">
      <c r="A1808" s="695" t="str">
        <f t="shared" si="25"/>
        <v>333904720010000  Obrigacoes Patronais Sobre Servicos De Pessoa Juridica - Legislativo</v>
      </c>
      <c r="C1808" s="631"/>
      <c r="D1808" s="632">
        <v>333904720010000</v>
      </c>
      <c r="E1808" s="696" t="s">
        <v>5379</v>
      </c>
      <c r="F1808" s="696">
        <v>8</v>
      </c>
      <c r="G1808" s="696" t="s">
        <v>5597</v>
      </c>
      <c r="I1808" s="696" t="s">
        <v>5600</v>
      </c>
    </row>
    <row r="1809" spans="1:9" ht="20.100000000000001" customHeight="1" x14ac:dyDescent="0.2">
      <c r="A1809" s="695" t="str">
        <f t="shared" si="25"/>
        <v>333904720020000  Obrigacoes Patronais Sobre Servicos De Pessoa Juridica - Executivo</v>
      </c>
      <c r="C1809" s="631"/>
      <c r="D1809" s="632">
        <v>333904720020000</v>
      </c>
      <c r="E1809" s="696" t="s">
        <v>5380</v>
      </c>
      <c r="F1809" s="696">
        <v>8</v>
      </c>
      <c r="G1809" s="696" t="s">
        <v>5597</v>
      </c>
      <c r="I1809" s="696" t="s">
        <v>5600</v>
      </c>
    </row>
    <row r="1810" spans="1:9" ht="20.100000000000001" customHeight="1" x14ac:dyDescent="0.2">
      <c r="A1810" s="695" t="str">
        <f t="shared" si="25"/>
        <v>333904722000000  Contribuicao P/ O  Custeio De Iluminacao Publica</v>
      </c>
      <c r="C1810" s="631"/>
      <c r="D1810" s="632">
        <v>333904722000000</v>
      </c>
      <c r="E1810" s="696" t="s">
        <v>5699</v>
      </c>
      <c r="F1810" s="696">
        <v>7</v>
      </c>
      <c r="G1810" s="696" t="s">
        <v>5597</v>
      </c>
      <c r="I1810" s="696"/>
    </row>
    <row r="1811" spans="1:9" ht="20.100000000000001" customHeight="1" x14ac:dyDescent="0.2">
      <c r="A1811" s="695" t="str">
        <f t="shared" si="25"/>
        <v>333904796000000  Obrigacoes Tributarias - Pagamento Antecipado</v>
      </c>
      <c r="C1811" s="631"/>
      <c r="D1811" s="632">
        <v>333904796000000</v>
      </c>
      <c r="E1811" s="696" t="s">
        <v>5381</v>
      </c>
      <c r="F1811" s="696">
        <v>7</v>
      </c>
      <c r="G1811" s="696" t="s">
        <v>5597</v>
      </c>
      <c r="I1811" s="696"/>
    </row>
    <row r="1812" spans="1:9" ht="20.100000000000001" customHeight="1" x14ac:dyDescent="0.2">
      <c r="A1812" s="695" t="str">
        <f t="shared" si="25"/>
        <v>333904799000000  Outras Obrigacoes Tributarias E Contributivas</v>
      </c>
      <c r="C1812" s="631"/>
      <c r="D1812" s="632">
        <v>333904799000000</v>
      </c>
      <c r="E1812" s="696" t="s">
        <v>5019</v>
      </c>
      <c r="F1812" s="696">
        <v>7</v>
      </c>
      <c r="G1812" s="696" t="s">
        <v>5597</v>
      </c>
      <c r="I1812" s="696"/>
    </row>
    <row r="1813" spans="1:9" ht="20.100000000000001" customHeight="1" x14ac:dyDescent="0.2">
      <c r="A1813" s="695" t="str">
        <f t="shared" si="25"/>
        <v>333904800000000  Outros Auxilios Financeiros A Pessoa Fisica</v>
      </c>
      <c r="C1813" s="631"/>
      <c r="D1813" s="632">
        <v>333904800000000</v>
      </c>
      <c r="E1813" s="696" t="s">
        <v>5382</v>
      </c>
      <c r="F1813" s="696">
        <v>6</v>
      </c>
      <c r="G1813" s="696" t="s">
        <v>5596</v>
      </c>
      <c r="I1813" s="696"/>
    </row>
    <row r="1814" spans="1:9" ht="20.100000000000001" customHeight="1" x14ac:dyDescent="0.2">
      <c r="A1814" s="695" t="str">
        <f t="shared" si="25"/>
        <v>333904801000000  Auxilio A Pessoas Fisicas</v>
      </c>
      <c r="C1814" s="631"/>
      <c r="D1814" s="632">
        <v>333904801000000</v>
      </c>
      <c r="E1814" s="696" t="s">
        <v>5383</v>
      </c>
      <c r="F1814" s="696">
        <v>7</v>
      </c>
      <c r="G1814" s="696" t="s">
        <v>5597</v>
      </c>
      <c r="I1814" s="696"/>
    </row>
    <row r="1815" spans="1:9" ht="20.100000000000001" customHeight="1" x14ac:dyDescent="0.2">
      <c r="A1815" s="695" t="str">
        <f t="shared" si="25"/>
        <v>333904900000000  Auxilio-transporte</v>
      </c>
      <c r="C1815" s="631"/>
      <c r="D1815" s="632">
        <v>333904900000000</v>
      </c>
      <c r="E1815" s="696" t="s">
        <v>1040</v>
      </c>
      <c r="F1815" s="696">
        <v>6</v>
      </c>
      <c r="G1815" s="696" t="s">
        <v>5596</v>
      </c>
      <c r="I1815" s="696"/>
    </row>
    <row r="1816" spans="1:9" ht="20.100000000000001" customHeight="1" x14ac:dyDescent="0.2">
      <c r="A1816" s="695" t="str">
        <f t="shared" si="25"/>
        <v>333904901000000  Indenizacao Auxilio-transporte</v>
      </c>
      <c r="C1816" s="631"/>
      <c r="D1816" s="632">
        <v>333904901000000</v>
      </c>
      <c r="E1816" s="696" t="s">
        <v>1039</v>
      </c>
      <c r="F1816" s="696">
        <v>7</v>
      </c>
      <c r="G1816" s="696" t="s">
        <v>5597</v>
      </c>
      <c r="I1816" s="696"/>
    </row>
    <row r="1817" spans="1:9" ht="20.100000000000001" customHeight="1" x14ac:dyDescent="0.2">
      <c r="A1817" s="695" t="str">
        <f t="shared" si="25"/>
        <v>333906200000000  Aquisição De Produtos Para Revenda</v>
      </c>
      <c r="C1817" s="631"/>
      <c r="D1817" s="632">
        <v>333906200000000</v>
      </c>
      <c r="E1817" s="696" t="s">
        <v>5384</v>
      </c>
      <c r="F1817" s="696">
        <v>6</v>
      </c>
      <c r="G1817" s="696" t="s">
        <v>5597</v>
      </c>
      <c r="I1817" s="696"/>
    </row>
    <row r="1818" spans="1:9" ht="20.100000000000001" customHeight="1" x14ac:dyDescent="0.2">
      <c r="A1818" s="695" t="str">
        <f t="shared" si="25"/>
        <v>333906700000000  Depositos Compulsorios</v>
      </c>
      <c r="C1818" s="631"/>
      <c r="D1818" s="632">
        <v>333906700000000</v>
      </c>
      <c r="E1818" s="696" t="s">
        <v>4935</v>
      </c>
      <c r="F1818" s="696">
        <v>6</v>
      </c>
      <c r="G1818" s="696" t="s">
        <v>5596</v>
      </c>
      <c r="I1818" s="696"/>
    </row>
    <row r="1819" spans="1:9" ht="20.100000000000001" customHeight="1" x14ac:dyDescent="0.2">
      <c r="A1819" s="695" t="str">
        <f t="shared" si="25"/>
        <v>333906701000000  Depositos E Caucoes</v>
      </c>
      <c r="C1819" s="631"/>
      <c r="D1819" s="632">
        <v>333906701000000</v>
      </c>
      <c r="E1819" s="696" t="s">
        <v>5385</v>
      </c>
      <c r="F1819" s="696">
        <v>7</v>
      </c>
      <c r="G1819" s="696" t="s">
        <v>5597</v>
      </c>
      <c r="I1819" s="696"/>
    </row>
    <row r="1820" spans="1:9" ht="20.100000000000001" customHeight="1" x14ac:dyDescent="0.2">
      <c r="A1820" s="695" t="str">
        <f t="shared" si="25"/>
        <v>333906702000000  Depositos Judiciais</v>
      </c>
      <c r="C1820" s="631"/>
      <c r="D1820" s="632">
        <v>333906702000000</v>
      </c>
      <c r="E1820" s="696" t="s">
        <v>4936</v>
      </c>
      <c r="F1820" s="696">
        <v>7</v>
      </c>
      <c r="G1820" s="696" t="s">
        <v>5597</v>
      </c>
      <c r="I1820" s="696"/>
    </row>
    <row r="1821" spans="1:9" ht="20.100000000000001" customHeight="1" x14ac:dyDescent="0.2">
      <c r="A1821" s="695" t="str">
        <f t="shared" si="25"/>
        <v>333906703000000  Depositos P/ Recursos</v>
      </c>
      <c r="C1821" s="631"/>
      <c r="D1821" s="632">
        <v>333906703000000</v>
      </c>
      <c r="E1821" s="696" t="s">
        <v>4937</v>
      </c>
      <c r="F1821" s="696">
        <v>7</v>
      </c>
      <c r="G1821" s="696" t="s">
        <v>5597</v>
      </c>
      <c r="I1821" s="696"/>
    </row>
    <row r="1822" spans="1:9" ht="20.100000000000001" customHeight="1" x14ac:dyDescent="0.2">
      <c r="A1822" s="695" t="str">
        <f t="shared" si="25"/>
        <v>333906799000000  Outros Depositos Compulsorios</v>
      </c>
      <c r="C1822" s="631"/>
      <c r="D1822" s="632">
        <v>333906799000000</v>
      </c>
      <c r="E1822" s="696" t="s">
        <v>4938</v>
      </c>
      <c r="F1822" s="696">
        <v>7</v>
      </c>
      <c r="G1822" s="696" t="s">
        <v>5597</v>
      </c>
      <c r="I1822" s="696"/>
    </row>
    <row r="1823" spans="1:9" ht="20.100000000000001" customHeight="1" x14ac:dyDescent="0.2">
      <c r="A1823" s="695" t="str">
        <f t="shared" si="25"/>
        <v>333909100000000  Sentencas Judiciais</v>
      </c>
      <c r="C1823" s="631"/>
      <c r="D1823" s="632">
        <v>333909100000000</v>
      </c>
      <c r="E1823" s="696" t="s">
        <v>1254</v>
      </c>
      <c r="F1823" s="696">
        <v>6</v>
      </c>
      <c r="G1823" s="696" t="s">
        <v>5596</v>
      </c>
      <c r="I1823" s="696"/>
    </row>
    <row r="1824" spans="1:9" ht="20.100000000000001" customHeight="1" x14ac:dyDescent="0.2">
      <c r="A1824" s="695" t="str">
        <f t="shared" si="25"/>
        <v>333909101000000  Sentencas Judiciais Transitadas Em Julgado</v>
      </c>
      <c r="C1824" s="631"/>
      <c r="D1824" s="632">
        <v>333909101000000</v>
      </c>
      <c r="E1824" s="696" t="s">
        <v>1253</v>
      </c>
      <c r="F1824" s="696">
        <v>7</v>
      </c>
      <c r="G1824" s="696" t="s">
        <v>5597</v>
      </c>
      <c r="I1824" s="696"/>
    </row>
    <row r="1825" spans="1:9" ht="20.100000000000001" customHeight="1" x14ac:dyDescent="0.2">
      <c r="A1825" s="695" t="str">
        <f t="shared" si="25"/>
        <v>333909102000000  Precatorios Incluidos Na Lei Do Orcamento</v>
      </c>
      <c r="C1825" s="631"/>
      <c r="D1825" s="632">
        <v>333909102000000</v>
      </c>
      <c r="E1825" s="696" t="s">
        <v>1252</v>
      </c>
      <c r="F1825" s="696">
        <v>7</v>
      </c>
      <c r="G1825" s="696" t="s">
        <v>5597</v>
      </c>
      <c r="I1825" s="696"/>
    </row>
    <row r="1826" spans="1:9" ht="20.100000000000001" customHeight="1" x14ac:dyDescent="0.2">
      <c r="A1826" s="695" t="str">
        <f t="shared" si="25"/>
        <v>333909103000000  Decisoes Judiciais</v>
      </c>
      <c r="C1826" s="631"/>
      <c r="D1826" s="632">
        <v>333909103000000</v>
      </c>
      <c r="E1826" s="696" t="s">
        <v>5386</v>
      </c>
      <c r="F1826" s="696">
        <v>7</v>
      </c>
      <c r="G1826" s="696" t="s">
        <v>5597</v>
      </c>
      <c r="I1826" s="696"/>
    </row>
    <row r="1827" spans="1:9" ht="20.100000000000001" customHeight="1" x14ac:dyDescent="0.2">
      <c r="A1827" s="695" t="str">
        <f t="shared" si="25"/>
        <v>333909199000000  Diversas Sentencas</v>
      </c>
      <c r="C1827" s="631"/>
      <c r="D1827" s="632">
        <v>333909199000000</v>
      </c>
      <c r="E1827" s="696" t="s">
        <v>1251</v>
      </c>
      <c r="F1827" s="696">
        <v>7</v>
      </c>
      <c r="G1827" s="696" t="s">
        <v>5597</v>
      </c>
      <c r="I1827" s="696"/>
    </row>
    <row r="1828" spans="1:9" ht="20.100000000000001" customHeight="1" x14ac:dyDescent="0.2">
      <c r="A1828" s="695" t="str">
        <f t="shared" si="25"/>
        <v>333909200000000  Despesas De Exercicios Anteriores</v>
      </c>
      <c r="C1828" s="631"/>
      <c r="D1828" s="632">
        <v>333909200000000</v>
      </c>
      <c r="E1828" s="696" t="s">
        <v>1158</v>
      </c>
      <c r="F1828" s="696">
        <v>6</v>
      </c>
      <c r="G1828" s="696" t="s">
        <v>5596</v>
      </c>
      <c r="I1828" s="696"/>
    </row>
    <row r="1829" spans="1:9" ht="20.100000000000001" customHeight="1" x14ac:dyDescent="0.2">
      <c r="A1829" s="695" t="str">
        <f t="shared" si="25"/>
        <v>333909201000000  Aposentadorias E Reformas</v>
      </c>
      <c r="C1829" s="631"/>
      <c r="D1829" s="632">
        <v>333909201000000</v>
      </c>
      <c r="E1829" s="696" t="s">
        <v>4804</v>
      </c>
      <c r="F1829" s="696">
        <v>7</v>
      </c>
      <c r="G1829" s="696" t="s">
        <v>5597</v>
      </c>
      <c r="I1829" s="696"/>
    </row>
    <row r="1830" spans="1:9" ht="20.100000000000001" customHeight="1" x14ac:dyDescent="0.2">
      <c r="A1830" s="695" t="str">
        <f t="shared" si="25"/>
        <v>333909203000000  Pensoes</v>
      </c>
      <c r="C1830" s="631"/>
      <c r="D1830" s="632">
        <v>333909203000000</v>
      </c>
      <c r="E1830" s="696" t="s">
        <v>4808</v>
      </c>
      <c r="F1830" s="696">
        <v>7</v>
      </c>
      <c r="G1830" s="696" t="s">
        <v>5597</v>
      </c>
      <c r="I1830" s="696"/>
    </row>
    <row r="1831" spans="1:9" ht="20.100000000000001" customHeight="1" x14ac:dyDescent="0.2">
      <c r="A1831" s="695" t="str">
        <f t="shared" si="25"/>
        <v>333909204000000  Contratacao Por Tempo Determinado</v>
      </c>
      <c r="C1831" s="631"/>
      <c r="D1831" s="632">
        <v>333909204000000</v>
      </c>
      <c r="E1831" s="696" t="s">
        <v>1012</v>
      </c>
      <c r="F1831" s="696">
        <v>7</v>
      </c>
      <c r="G1831" s="696" t="s">
        <v>5597</v>
      </c>
      <c r="I1831" s="696"/>
    </row>
    <row r="1832" spans="1:9" ht="20.100000000000001" customHeight="1" x14ac:dyDescent="0.2">
      <c r="A1832" s="695" t="str">
        <f t="shared" si="25"/>
        <v>333909205000000  Outros Beneficios Previdenciarios</v>
      </c>
      <c r="C1832" s="631"/>
      <c r="D1832" s="632">
        <v>333909205000000</v>
      </c>
      <c r="E1832" s="696" t="s">
        <v>4826</v>
      </c>
      <c r="F1832" s="696">
        <v>7</v>
      </c>
      <c r="G1832" s="696" t="s">
        <v>5597</v>
      </c>
      <c r="I1832" s="696"/>
    </row>
    <row r="1833" spans="1:9" ht="20.100000000000001" customHeight="1" x14ac:dyDescent="0.2">
      <c r="A1833" s="695" t="str">
        <f t="shared" si="25"/>
        <v>333909208000000  Outros Beneficios Assistenciais</v>
      </c>
      <c r="C1833" s="631"/>
      <c r="D1833" s="632">
        <v>333909208000000</v>
      </c>
      <c r="E1833" s="696" t="s">
        <v>1020</v>
      </c>
      <c r="F1833" s="696">
        <v>7</v>
      </c>
      <c r="G1833" s="696" t="s">
        <v>5597</v>
      </c>
      <c r="I1833" s="696"/>
    </row>
    <row r="1834" spans="1:9" ht="20.100000000000001" customHeight="1" x14ac:dyDescent="0.2">
      <c r="A1834" s="695" t="str">
        <f t="shared" si="25"/>
        <v>333909214000000  Diarias - Pessoal Civil</v>
      </c>
      <c r="C1834" s="631"/>
      <c r="D1834" s="632">
        <v>333909214000000</v>
      </c>
      <c r="E1834" s="696" t="s">
        <v>1046</v>
      </c>
      <c r="F1834" s="696">
        <v>7</v>
      </c>
      <c r="G1834" s="696" t="s">
        <v>5597</v>
      </c>
      <c r="I1834" s="696"/>
    </row>
    <row r="1835" spans="1:9" ht="20.100000000000001" customHeight="1" x14ac:dyDescent="0.2">
      <c r="A1835" s="695" t="str">
        <f t="shared" si="25"/>
        <v>333909218000000  Auxilio Financeiro A Estudantes</v>
      </c>
      <c r="C1835" s="631"/>
      <c r="D1835" s="632">
        <v>333909218000000</v>
      </c>
      <c r="E1835" s="696" t="s">
        <v>5060</v>
      </c>
      <c r="F1835" s="696">
        <v>7</v>
      </c>
      <c r="G1835" s="696" t="s">
        <v>5597</v>
      </c>
      <c r="I1835" s="696"/>
    </row>
    <row r="1836" spans="1:9" ht="20.100000000000001" customHeight="1" x14ac:dyDescent="0.2">
      <c r="A1836" s="695" t="str">
        <f t="shared" si="25"/>
        <v>333909231000000  Premiacoes Culturais, Cientificas,  Artisticas, Desportivas E Outras</v>
      </c>
      <c r="C1836" s="631"/>
      <c r="D1836" s="632">
        <v>333909231000000</v>
      </c>
      <c r="E1836" s="696" t="s">
        <v>5700</v>
      </c>
      <c r="F1836" s="696">
        <v>7</v>
      </c>
      <c r="G1836" s="696" t="s">
        <v>5597</v>
      </c>
      <c r="I1836" s="696"/>
    </row>
    <row r="1837" spans="1:9" ht="20.100000000000001" customHeight="1" x14ac:dyDescent="0.2">
      <c r="A1837" s="695" t="str">
        <f t="shared" si="25"/>
        <v>333909232000000  Material De Distribuicao Gratuita</v>
      </c>
      <c r="C1837" s="631"/>
      <c r="D1837" s="632">
        <v>333909232000000</v>
      </c>
      <c r="E1837" s="696" t="s">
        <v>5387</v>
      </c>
      <c r="F1837" s="696">
        <v>7</v>
      </c>
      <c r="G1837" s="696" t="s">
        <v>5597</v>
      </c>
      <c r="I1837" s="696"/>
    </row>
    <row r="1838" spans="1:9" ht="20.100000000000001" customHeight="1" x14ac:dyDescent="0.2">
      <c r="A1838" s="695" t="str">
        <f t="shared" si="25"/>
        <v>333909233000000  Passagens E Despesas Com Locomocao</v>
      </c>
      <c r="C1838" s="631"/>
      <c r="D1838" s="632">
        <v>333909233000000</v>
      </c>
      <c r="E1838" s="696" t="s">
        <v>1044</v>
      </c>
      <c r="F1838" s="696">
        <v>7</v>
      </c>
      <c r="G1838" s="696" t="s">
        <v>5597</v>
      </c>
      <c r="I1838" s="696"/>
    </row>
    <row r="1839" spans="1:9" ht="20.100000000000001" customHeight="1" x14ac:dyDescent="0.2">
      <c r="A1839" s="695" t="str">
        <f t="shared" si="25"/>
        <v>333909236000000  Servicos De Terceiros - Pessoa Fisica</v>
      </c>
      <c r="C1839" s="631"/>
      <c r="D1839" s="632">
        <v>333909236000000</v>
      </c>
      <c r="E1839" s="696" t="s">
        <v>5388</v>
      </c>
      <c r="F1839" s="696">
        <v>7</v>
      </c>
      <c r="G1839" s="696" t="s">
        <v>5597</v>
      </c>
      <c r="I1839" s="696"/>
    </row>
    <row r="1840" spans="1:9" ht="20.100000000000001" customHeight="1" x14ac:dyDescent="0.2">
      <c r="A1840" s="695" t="str">
        <f t="shared" si="25"/>
        <v>333909237000000  Locacao De Mao-de-obra</v>
      </c>
      <c r="C1840" s="631"/>
      <c r="D1840" s="632">
        <v>333909237000000</v>
      </c>
      <c r="E1840" s="696" t="s">
        <v>5224</v>
      </c>
      <c r="F1840" s="696">
        <v>7</v>
      </c>
      <c r="G1840" s="696" t="s">
        <v>5597</v>
      </c>
      <c r="I1840" s="696"/>
    </row>
    <row r="1841" spans="1:9" ht="20.100000000000001" customHeight="1" x14ac:dyDescent="0.2">
      <c r="A1841" s="695" t="str">
        <f t="shared" ref="A1841:A1904" si="26">CONCATENATE(D1841,"  ",E1841,)</f>
        <v>333909238000000  Arrendamento Mercantil</v>
      </c>
      <c r="C1841" s="631"/>
      <c r="D1841" s="632">
        <v>333909238000000</v>
      </c>
      <c r="E1841" s="696" t="s">
        <v>5234</v>
      </c>
      <c r="F1841" s="696">
        <v>7</v>
      </c>
      <c r="G1841" s="696" t="s">
        <v>5597</v>
      </c>
      <c r="I1841" s="696"/>
    </row>
    <row r="1842" spans="1:9" ht="20.100000000000001" customHeight="1" x14ac:dyDescent="0.2">
      <c r="A1842" s="695" t="str">
        <f t="shared" si="26"/>
        <v>333909239000000  Servicos De Terceiros - Pessoa Juridica</v>
      </c>
      <c r="C1842" s="631"/>
      <c r="D1842" s="632">
        <v>333909239000000</v>
      </c>
      <c r="E1842" s="696" t="s">
        <v>1997</v>
      </c>
      <c r="F1842" s="696">
        <v>7</v>
      </c>
      <c r="G1842" s="696" t="s">
        <v>5597</v>
      </c>
      <c r="I1842" s="696"/>
    </row>
    <row r="1843" spans="1:9" ht="20.100000000000001" customHeight="1" x14ac:dyDescent="0.2">
      <c r="A1843" s="695" t="str">
        <f t="shared" si="26"/>
        <v>333909246000000  Auxilio-alimentacao</v>
      </c>
      <c r="C1843" s="631"/>
      <c r="D1843" s="632">
        <v>333909246000000</v>
      </c>
      <c r="E1843" s="696" t="s">
        <v>2209</v>
      </c>
      <c r="F1843" s="696">
        <v>7</v>
      </c>
      <c r="G1843" s="696" t="s">
        <v>5597</v>
      </c>
      <c r="I1843" s="696"/>
    </row>
    <row r="1844" spans="1:9" ht="20.100000000000001" customHeight="1" x14ac:dyDescent="0.2">
      <c r="A1844" s="695" t="str">
        <f t="shared" si="26"/>
        <v>333909247000000  Obrigacoes Tributarias E Contributivas</v>
      </c>
      <c r="C1844" s="631"/>
      <c r="D1844" s="632">
        <v>333909247000000</v>
      </c>
      <c r="E1844" s="696" t="s">
        <v>990</v>
      </c>
      <c r="F1844" s="696">
        <v>7</v>
      </c>
      <c r="G1844" s="696" t="s">
        <v>5597</v>
      </c>
      <c r="I1844" s="696"/>
    </row>
    <row r="1845" spans="1:9" ht="20.100000000000001" customHeight="1" x14ac:dyDescent="0.2">
      <c r="A1845" s="695" t="str">
        <f t="shared" si="26"/>
        <v>333909249000000  Auxilio-tranporte</v>
      </c>
      <c r="C1845" s="631"/>
      <c r="D1845" s="632">
        <v>333909249000000</v>
      </c>
      <c r="E1845" s="696" t="s">
        <v>5389</v>
      </c>
      <c r="F1845" s="696">
        <v>7</v>
      </c>
      <c r="G1845" s="696" t="s">
        <v>5597</v>
      </c>
      <c r="I1845" s="696"/>
    </row>
    <row r="1846" spans="1:9" ht="20.100000000000001" customHeight="1" x14ac:dyDescent="0.2">
      <c r="A1846" s="695" t="str">
        <f t="shared" si="26"/>
        <v>333909285000000  Servicos De Publicidade Legal</v>
      </c>
      <c r="C1846" s="631"/>
      <c r="D1846" s="632">
        <v>333909285000000</v>
      </c>
      <c r="E1846" s="696" t="s">
        <v>1098</v>
      </c>
      <c r="F1846" s="696">
        <v>7</v>
      </c>
      <c r="G1846" s="696" t="s">
        <v>5597</v>
      </c>
      <c r="I1846" s="696"/>
    </row>
    <row r="1847" spans="1:9" ht="20.100000000000001" customHeight="1" x14ac:dyDescent="0.2">
      <c r="A1847" s="695" t="str">
        <f t="shared" si="26"/>
        <v>333909288000000  Servicos De Publicidade Institucional</v>
      </c>
      <c r="C1847" s="631"/>
      <c r="D1847" s="632">
        <v>333909288000000</v>
      </c>
      <c r="E1847" s="696" t="s">
        <v>1097</v>
      </c>
      <c r="F1847" s="696">
        <v>7</v>
      </c>
      <c r="G1847" s="696" t="s">
        <v>5597</v>
      </c>
      <c r="I1847" s="696"/>
    </row>
    <row r="1848" spans="1:9" ht="20.100000000000001" customHeight="1" x14ac:dyDescent="0.2">
      <c r="A1848" s="695" t="str">
        <f t="shared" si="26"/>
        <v>333909289000000  Servicos De Publicidade De Utilidade Publica</v>
      </c>
      <c r="C1848" s="631"/>
      <c r="D1848" s="632">
        <v>333909289000000</v>
      </c>
      <c r="E1848" s="696" t="s">
        <v>1096</v>
      </c>
      <c r="F1848" s="696">
        <v>7</v>
      </c>
      <c r="G1848" s="696" t="s">
        <v>5597</v>
      </c>
      <c r="I1848" s="696"/>
    </row>
    <row r="1849" spans="1:9" ht="20.100000000000001" customHeight="1" x14ac:dyDescent="0.2">
      <c r="A1849" s="695" t="str">
        <f t="shared" si="26"/>
        <v>333909291000000  Sentencas Judiciais</v>
      </c>
      <c r="C1849" s="631"/>
      <c r="D1849" s="632">
        <v>333909291000000</v>
      </c>
      <c r="E1849" s="696" t="s">
        <v>1254</v>
      </c>
      <c r="F1849" s="696">
        <v>7</v>
      </c>
      <c r="G1849" s="696" t="s">
        <v>5597</v>
      </c>
      <c r="I1849" s="696"/>
    </row>
    <row r="1850" spans="1:9" ht="20.100000000000001" customHeight="1" x14ac:dyDescent="0.2">
      <c r="A1850" s="695" t="str">
        <f t="shared" si="26"/>
        <v>333909292000000  Material De Consumo</v>
      </c>
      <c r="C1850" s="631"/>
      <c r="D1850" s="632">
        <v>333909292000000</v>
      </c>
      <c r="E1850" s="696" t="s">
        <v>996</v>
      </c>
      <c r="F1850" s="696">
        <v>7</v>
      </c>
      <c r="G1850" s="696" t="s">
        <v>5597</v>
      </c>
      <c r="I1850" s="696"/>
    </row>
    <row r="1851" spans="1:9" ht="20.100000000000001" customHeight="1" x14ac:dyDescent="0.2">
      <c r="A1851" s="695" t="str">
        <f t="shared" si="26"/>
        <v>333909293000000  Indenizacoes E Restituicoes</v>
      </c>
      <c r="C1851" s="631"/>
      <c r="D1851" s="632">
        <v>333909293000000</v>
      </c>
      <c r="E1851" s="696" t="s">
        <v>985</v>
      </c>
      <c r="F1851" s="696">
        <v>7</v>
      </c>
      <c r="G1851" s="696" t="s">
        <v>5597</v>
      </c>
      <c r="I1851" s="696"/>
    </row>
    <row r="1852" spans="1:9" ht="20.100000000000001" customHeight="1" x14ac:dyDescent="0.2">
      <c r="A1852" s="695" t="str">
        <f t="shared" si="26"/>
        <v>333909299000000  Outras Despesas Correntes</v>
      </c>
      <c r="C1852" s="631"/>
      <c r="D1852" s="632">
        <v>333909299000000</v>
      </c>
      <c r="E1852" s="696" t="s">
        <v>94</v>
      </c>
      <c r="F1852" s="696">
        <v>7</v>
      </c>
      <c r="G1852" s="696" t="s">
        <v>5597</v>
      </c>
      <c r="I1852" s="696"/>
    </row>
    <row r="1853" spans="1:9" ht="20.100000000000001" customHeight="1" x14ac:dyDescent="0.2">
      <c r="A1853" s="695" t="str">
        <f t="shared" si="26"/>
        <v>333909300000000  Indenizacoes E Restituicoes</v>
      </c>
      <c r="C1853" s="631"/>
      <c r="D1853" s="632">
        <v>333909300000000</v>
      </c>
      <c r="E1853" s="696" t="s">
        <v>985</v>
      </c>
      <c r="F1853" s="696">
        <v>6</v>
      </c>
      <c r="G1853" s="696" t="s">
        <v>5596</v>
      </c>
      <c r="I1853" s="696"/>
    </row>
    <row r="1854" spans="1:9" ht="20.100000000000001" customHeight="1" x14ac:dyDescent="0.2">
      <c r="A1854" s="695" t="str">
        <f t="shared" si="26"/>
        <v>333909301000000  Indenizacoes</v>
      </c>
      <c r="C1854" s="631"/>
      <c r="D1854" s="632">
        <v>333909301000000</v>
      </c>
      <c r="E1854" s="696" t="s">
        <v>1932</v>
      </c>
      <c r="F1854" s="696">
        <v>7</v>
      </c>
      <c r="G1854" s="696" t="s">
        <v>5596</v>
      </c>
      <c r="I1854" s="696"/>
    </row>
    <row r="1855" spans="1:9" ht="20.100000000000001" customHeight="1" x14ac:dyDescent="0.2">
      <c r="A1855" s="695" t="str">
        <f t="shared" si="26"/>
        <v>333909301010000  Indenizacao Imobiliaria</v>
      </c>
      <c r="C1855" s="631"/>
      <c r="D1855" s="632">
        <v>333909301010000</v>
      </c>
      <c r="E1855" s="696" t="s">
        <v>5390</v>
      </c>
      <c r="F1855" s="696">
        <v>8</v>
      </c>
      <c r="G1855" s="696" t="s">
        <v>5597</v>
      </c>
      <c r="I1855" s="696"/>
    </row>
    <row r="1856" spans="1:9" ht="20.100000000000001" customHeight="1" x14ac:dyDescent="0.2">
      <c r="A1856" s="695" t="str">
        <f t="shared" si="26"/>
        <v>333909301020000  Indenizacao Por Danos Materiais A Terceiros</v>
      </c>
      <c r="C1856" s="631"/>
      <c r="D1856" s="632">
        <v>333909301020000</v>
      </c>
      <c r="E1856" s="696" t="s">
        <v>5391</v>
      </c>
      <c r="F1856" s="696">
        <v>8</v>
      </c>
      <c r="G1856" s="696" t="s">
        <v>5597</v>
      </c>
      <c r="I1856" s="696"/>
    </row>
    <row r="1857" spans="1:9" ht="20.100000000000001" customHeight="1" x14ac:dyDescent="0.2">
      <c r="A1857" s="695" t="str">
        <f t="shared" si="26"/>
        <v>333909301030000  Indenizacao Por Locacao De Veiculos De Servidores</v>
      </c>
      <c r="C1857" s="631"/>
      <c r="D1857" s="632">
        <v>333909301030000</v>
      </c>
      <c r="E1857" s="696" t="s">
        <v>5392</v>
      </c>
      <c r="F1857" s="696">
        <v>8</v>
      </c>
      <c r="G1857" s="696" t="s">
        <v>5597</v>
      </c>
      <c r="I1857" s="696"/>
    </row>
    <row r="1858" spans="1:9" ht="20.100000000000001" customHeight="1" x14ac:dyDescent="0.2">
      <c r="A1858" s="695" t="str">
        <f t="shared" si="26"/>
        <v>333909302000000  Restituicoes</v>
      </c>
      <c r="C1858" s="631"/>
      <c r="D1858" s="632">
        <v>333909302000000</v>
      </c>
      <c r="E1858" s="696" t="s">
        <v>986</v>
      </c>
      <c r="F1858" s="696">
        <v>7</v>
      </c>
      <c r="G1858" s="696" t="s">
        <v>5596</v>
      </c>
      <c r="I1858" s="696"/>
    </row>
    <row r="1859" spans="1:9" ht="20.100000000000001" customHeight="1" x14ac:dyDescent="0.2">
      <c r="A1859" s="695" t="str">
        <f t="shared" si="26"/>
        <v>333909302010000  Restituicoes De Despesas  Eventuais Com Alimentacao</v>
      </c>
      <c r="C1859" s="631"/>
      <c r="D1859" s="632">
        <v>333909302010000</v>
      </c>
      <c r="E1859" s="696" t="s">
        <v>5701</v>
      </c>
      <c r="F1859" s="696">
        <v>8</v>
      </c>
      <c r="G1859" s="696" t="s">
        <v>5597</v>
      </c>
      <c r="I1859" s="696"/>
    </row>
    <row r="1860" spans="1:9" ht="20.100000000000001" customHeight="1" x14ac:dyDescent="0.2">
      <c r="A1860" s="695" t="str">
        <f t="shared" si="26"/>
        <v>333909302020000  Restituicoes De Impostos, Taxas E Contribuicoes De Melhoria</v>
      </c>
      <c r="C1860" s="631"/>
      <c r="D1860" s="632">
        <v>333909302020000</v>
      </c>
      <c r="E1860" s="696" t="s">
        <v>1248</v>
      </c>
      <c r="F1860" s="696">
        <v>8</v>
      </c>
      <c r="G1860" s="696" t="s">
        <v>5597</v>
      </c>
      <c r="I1860" s="696"/>
    </row>
    <row r="1861" spans="1:9" ht="20.100000000000001" customHeight="1" x14ac:dyDescent="0.2">
      <c r="A1861" s="695" t="str">
        <f t="shared" si="26"/>
        <v>333909302030000  Restituicoes Do Inss Aos Agentes Politicos</v>
      </c>
      <c r="C1861" s="631"/>
      <c r="D1861" s="632">
        <v>333909302030000</v>
      </c>
      <c r="E1861" s="696" t="s">
        <v>5393</v>
      </c>
      <c r="F1861" s="696">
        <v>8</v>
      </c>
      <c r="G1861" s="696" t="s">
        <v>5597</v>
      </c>
      <c r="I1861" s="696"/>
    </row>
    <row r="1862" spans="1:9" ht="20.100000000000001" customHeight="1" x14ac:dyDescent="0.2">
      <c r="A1862" s="695" t="str">
        <f t="shared" si="26"/>
        <v>333909303000000  Ajuda De Custo - Pessoal Civil</v>
      </c>
      <c r="C1862" s="631"/>
      <c r="D1862" s="632">
        <v>333909303000000</v>
      </c>
      <c r="E1862" s="696" t="s">
        <v>5394</v>
      </c>
      <c r="F1862" s="696">
        <v>7</v>
      </c>
      <c r="G1862" s="696" t="s">
        <v>5597</v>
      </c>
      <c r="I1862" s="696"/>
    </row>
    <row r="1863" spans="1:9" ht="20.100000000000001" customHeight="1" x14ac:dyDescent="0.2">
      <c r="A1863" s="695" t="str">
        <f t="shared" si="26"/>
        <v>333909305000000  Indenizacao De Transporte - Pessoal Civil</v>
      </c>
      <c r="C1863" s="631"/>
      <c r="D1863" s="632">
        <v>333909305000000</v>
      </c>
      <c r="E1863" s="696" t="s">
        <v>5395</v>
      </c>
      <c r="F1863" s="696">
        <v>7</v>
      </c>
      <c r="G1863" s="696" t="s">
        <v>5597</v>
      </c>
      <c r="I1863" s="696"/>
    </row>
    <row r="1864" spans="1:9" ht="20.100000000000001" customHeight="1" x14ac:dyDescent="0.2">
      <c r="A1864" s="695" t="str">
        <f t="shared" si="26"/>
        <v>333909307000000  Indenizacao De Moradia - Pessoal Civil</v>
      </c>
      <c r="C1864" s="631"/>
      <c r="D1864" s="632">
        <v>333909307000000</v>
      </c>
      <c r="E1864" s="696" t="s">
        <v>5396</v>
      </c>
      <c r="F1864" s="696">
        <v>7</v>
      </c>
      <c r="G1864" s="696" t="s">
        <v>5597</v>
      </c>
      <c r="I1864" s="696"/>
    </row>
    <row r="1865" spans="1:9" ht="20.100000000000001" customHeight="1" x14ac:dyDescent="0.2">
      <c r="A1865" s="695" t="str">
        <f t="shared" si="26"/>
        <v>333909308000000  Ressarcimento Assistencia Medica/odontologica</v>
      </c>
      <c r="C1865" s="631"/>
      <c r="D1865" s="632">
        <v>333909308000000</v>
      </c>
      <c r="E1865" s="696" t="s">
        <v>5397</v>
      </c>
      <c r="F1865" s="696">
        <v>7</v>
      </c>
      <c r="G1865" s="696" t="s">
        <v>5597</v>
      </c>
      <c r="I1865" s="696"/>
    </row>
    <row r="1866" spans="1:9" ht="20.100000000000001" customHeight="1" x14ac:dyDescent="0.2">
      <c r="A1866" s="695" t="str">
        <f t="shared" si="26"/>
        <v>333909399000000  Diversas Indenizacoes E Restituicoes</v>
      </c>
      <c r="C1866" s="631"/>
      <c r="D1866" s="632">
        <v>333909399000000</v>
      </c>
      <c r="E1866" s="696" t="s">
        <v>1162</v>
      </c>
      <c r="F1866" s="696">
        <v>7</v>
      </c>
      <c r="G1866" s="696" t="s">
        <v>5597</v>
      </c>
      <c r="I1866" s="696"/>
    </row>
    <row r="1867" spans="1:9" ht="20.100000000000001" customHeight="1" x14ac:dyDescent="0.2">
      <c r="A1867" s="695" t="str">
        <f t="shared" si="26"/>
        <v>333909399010000  Ressarcimentos Diversos</v>
      </c>
      <c r="C1867" s="631"/>
      <c r="D1867" s="632">
        <v>333909399010000</v>
      </c>
      <c r="E1867" s="696" t="s">
        <v>1038</v>
      </c>
      <c r="F1867" s="696">
        <v>7</v>
      </c>
      <c r="G1867" s="696" t="s">
        <v>5597</v>
      </c>
      <c r="I1867" s="696"/>
    </row>
    <row r="1868" spans="1:9" ht="20.100000000000001" customHeight="1" x14ac:dyDescent="0.2">
      <c r="A1868" s="695" t="str">
        <f t="shared" si="26"/>
        <v>333909399010100  Ressarcimentos Diversos - Legislativo</v>
      </c>
      <c r="C1868" s="631"/>
      <c r="D1868" s="632">
        <v>333909399010100</v>
      </c>
      <c r="E1868" s="696" t="s">
        <v>5398</v>
      </c>
      <c r="F1868" s="696">
        <v>9</v>
      </c>
      <c r="G1868" s="696" t="s">
        <v>5597</v>
      </c>
      <c r="I1868" s="696" t="s">
        <v>5600</v>
      </c>
    </row>
    <row r="1869" spans="1:9" ht="20.100000000000001" customHeight="1" x14ac:dyDescent="0.2">
      <c r="A1869" s="695" t="str">
        <f t="shared" si="26"/>
        <v>333909399020000  Devolucao de Receita de Servicos - Hora Maquina</v>
      </c>
      <c r="C1869" s="631"/>
      <c r="D1869" s="632">
        <v>333909399020000</v>
      </c>
      <c r="E1869" s="696" t="s">
        <v>5399</v>
      </c>
      <c r="F1869" s="696">
        <v>7</v>
      </c>
      <c r="G1869" s="696" t="s">
        <v>5597</v>
      </c>
      <c r="I1869" s="696" t="s">
        <v>5600</v>
      </c>
    </row>
    <row r="1870" spans="1:9" ht="20.100000000000001" customHeight="1" x14ac:dyDescent="0.2">
      <c r="A1870" s="695" t="str">
        <f t="shared" si="26"/>
        <v>333909500000000  Indenizacao Pela Execucao Trabalhos De Campo</v>
      </c>
      <c r="C1870" s="631"/>
      <c r="D1870" s="632">
        <v>333909500000000</v>
      </c>
      <c r="E1870" s="696" t="s">
        <v>5400</v>
      </c>
      <c r="F1870" s="696">
        <v>6</v>
      </c>
      <c r="G1870" s="696" t="s">
        <v>5596</v>
      </c>
      <c r="I1870" s="696"/>
    </row>
    <row r="1871" spans="1:9" ht="20.100000000000001" customHeight="1" x14ac:dyDescent="0.2">
      <c r="A1871" s="695" t="str">
        <f t="shared" si="26"/>
        <v>333909501000000  Indenizacoes A Servidores Pela Execucao De  Trabalho De  Campo</v>
      </c>
      <c r="C1871" s="631"/>
      <c r="D1871" s="632">
        <v>333909501000000</v>
      </c>
      <c r="E1871" s="696" t="s">
        <v>5702</v>
      </c>
      <c r="F1871" s="696">
        <v>7</v>
      </c>
      <c r="G1871" s="696" t="s">
        <v>5597</v>
      </c>
      <c r="I1871" s="696"/>
    </row>
    <row r="1872" spans="1:9" ht="20.100000000000001" customHeight="1" x14ac:dyDescent="0.2">
      <c r="A1872" s="695" t="str">
        <f t="shared" si="26"/>
        <v>333910000000000  Aplicação Direta Operações Intra-orçamentárias</v>
      </c>
      <c r="C1872" s="631"/>
      <c r="D1872" s="632">
        <v>333910000000000</v>
      </c>
      <c r="E1872" s="696" t="s">
        <v>5401</v>
      </c>
      <c r="F1872" s="696">
        <v>5</v>
      </c>
      <c r="G1872" s="696" t="s">
        <v>5596</v>
      </c>
      <c r="I1872" s="696"/>
    </row>
    <row r="1873" spans="1:9" ht="20.100000000000001" customHeight="1" x14ac:dyDescent="0.2">
      <c r="A1873" s="695" t="str">
        <f t="shared" si="26"/>
        <v>333913000000000  Material De Consumo - Operações Intra-orçamentarias</v>
      </c>
      <c r="C1873" s="631"/>
      <c r="D1873" s="632">
        <v>333913000000000</v>
      </c>
      <c r="E1873" s="696" t="s">
        <v>5402</v>
      </c>
      <c r="F1873" s="696">
        <v>6</v>
      </c>
      <c r="G1873" s="696" t="s">
        <v>5597</v>
      </c>
      <c r="I1873" s="696"/>
    </row>
    <row r="1874" spans="1:9" ht="20.100000000000001" customHeight="1" x14ac:dyDescent="0.2">
      <c r="A1874" s="695" t="str">
        <f t="shared" si="26"/>
        <v>333913900000000  Outros Servicos De Terceiros-pessoa Juridica</v>
      </c>
      <c r="C1874" s="631"/>
      <c r="D1874" s="632">
        <v>333913900000000</v>
      </c>
      <c r="E1874" s="696" t="s">
        <v>992</v>
      </c>
      <c r="F1874" s="696">
        <v>6</v>
      </c>
      <c r="G1874" s="696" t="s">
        <v>5597</v>
      </c>
      <c r="I1874" s="696"/>
    </row>
    <row r="1875" spans="1:9" ht="20.100000000000001" customHeight="1" x14ac:dyDescent="0.2">
      <c r="A1875" s="695" t="str">
        <f t="shared" si="26"/>
        <v>333913902000000  Condominios</v>
      </c>
      <c r="C1875" s="631"/>
      <c r="D1875" s="632">
        <v>333913902000000</v>
      </c>
      <c r="E1875" s="696" t="s">
        <v>5184</v>
      </c>
      <c r="F1875" s="696">
        <v>7</v>
      </c>
      <c r="G1875" s="696" t="s">
        <v>5597</v>
      </c>
      <c r="I1875" s="696"/>
    </row>
    <row r="1876" spans="1:9" ht="20.100000000000001" customHeight="1" x14ac:dyDescent="0.2">
      <c r="A1876" s="695" t="str">
        <f t="shared" si="26"/>
        <v>333913910000000  Locação De Imoveis</v>
      </c>
      <c r="C1876" s="631"/>
      <c r="D1876" s="632">
        <v>333913910000000</v>
      </c>
      <c r="E1876" s="696" t="s">
        <v>5403</v>
      </c>
      <c r="F1876" s="696">
        <v>7</v>
      </c>
      <c r="G1876" s="696" t="s">
        <v>5597</v>
      </c>
      <c r="I1876" s="696"/>
    </row>
    <row r="1877" spans="1:9" ht="20.100000000000001" customHeight="1" x14ac:dyDescent="0.2">
      <c r="A1877" s="695" t="str">
        <f t="shared" si="26"/>
        <v>333913944000000  Serviço De Agua E Esgoto</v>
      </c>
      <c r="C1877" s="631"/>
      <c r="D1877" s="632">
        <v>333913944000000</v>
      </c>
      <c r="E1877" s="696" t="s">
        <v>5404</v>
      </c>
      <c r="F1877" s="696">
        <v>7</v>
      </c>
      <c r="G1877" s="696" t="s">
        <v>5597</v>
      </c>
      <c r="I1877" s="696"/>
    </row>
    <row r="1878" spans="1:9" ht="20.100000000000001" customHeight="1" x14ac:dyDescent="0.2">
      <c r="A1878" s="695" t="str">
        <f t="shared" si="26"/>
        <v>333913947000000  Serviço De Comunicação Em Geral</v>
      </c>
      <c r="C1878" s="631"/>
      <c r="D1878" s="632">
        <v>333913947000000</v>
      </c>
      <c r="E1878" s="696" t="s">
        <v>5405</v>
      </c>
      <c r="F1878" s="696">
        <v>7</v>
      </c>
      <c r="G1878" s="696" t="s">
        <v>5597</v>
      </c>
      <c r="I1878" s="696"/>
    </row>
    <row r="1879" spans="1:9" ht="20.100000000000001" customHeight="1" x14ac:dyDescent="0.2">
      <c r="A1879" s="695" t="str">
        <f t="shared" si="26"/>
        <v>333913950000000  Serviços Medico-hospitalar, Odontologico E Laboratoriais</v>
      </c>
      <c r="C1879" s="631"/>
      <c r="D1879" s="632">
        <v>333913950000000</v>
      </c>
      <c r="E1879" s="696" t="s">
        <v>5406</v>
      </c>
      <c r="F1879" s="696">
        <v>7</v>
      </c>
      <c r="G1879" s="696" t="s">
        <v>5597</v>
      </c>
      <c r="I1879" s="696"/>
    </row>
    <row r="1880" spans="1:9" ht="20.100000000000001" customHeight="1" x14ac:dyDescent="0.2">
      <c r="A1880" s="695" t="str">
        <f t="shared" si="26"/>
        <v>333913999000000  Outros Serviços De Terceiros - Pessoa Juridica</v>
      </c>
      <c r="C1880" s="631"/>
      <c r="D1880" s="632">
        <v>333913999000000</v>
      </c>
      <c r="E1880" s="696" t="s">
        <v>5407</v>
      </c>
      <c r="F1880" s="696">
        <v>7</v>
      </c>
      <c r="G1880" s="696" t="s">
        <v>5597</v>
      </c>
      <c r="I1880" s="696"/>
    </row>
    <row r="1881" spans="1:9" ht="20.100000000000001" customHeight="1" x14ac:dyDescent="0.2">
      <c r="A1881" s="695" t="str">
        <f t="shared" si="26"/>
        <v>333914700000000  Obrig Tribut E Contrib - Operações Intra-orçamentárias</v>
      </c>
      <c r="C1881" s="631"/>
      <c r="D1881" s="632">
        <v>333914700000000</v>
      </c>
      <c r="E1881" s="696" t="s">
        <v>5408</v>
      </c>
      <c r="F1881" s="696">
        <v>6</v>
      </c>
      <c r="G1881" s="696" t="s">
        <v>5596</v>
      </c>
      <c r="I1881" s="696"/>
    </row>
    <row r="1882" spans="1:9" ht="20.100000000000001" customHeight="1" x14ac:dyDescent="0.2">
      <c r="A1882" s="695" t="str">
        <f t="shared" si="26"/>
        <v>333914712000000  Contribuição Para O Pis/pasep</v>
      </c>
      <c r="C1882" s="631"/>
      <c r="D1882" s="632">
        <v>333914712000000</v>
      </c>
      <c r="E1882" s="696" t="s">
        <v>5409</v>
      </c>
      <c r="F1882" s="696">
        <v>7</v>
      </c>
      <c r="G1882" s="696" t="s">
        <v>5597</v>
      </c>
      <c r="I1882" s="696"/>
    </row>
    <row r="1883" spans="1:9" ht="20.100000000000001" customHeight="1" x14ac:dyDescent="0.2">
      <c r="A1883" s="695" t="str">
        <f t="shared" si="26"/>
        <v>333914790000000  Imposto Sobre Propriedade Predial E Territorial Urbana - Iptu</v>
      </c>
      <c r="C1883" s="631"/>
      <c r="D1883" s="632">
        <v>333914790000000</v>
      </c>
      <c r="E1883" s="696" t="s">
        <v>5375</v>
      </c>
      <c r="F1883" s="696">
        <v>7</v>
      </c>
      <c r="G1883" s="696" t="s">
        <v>5597</v>
      </c>
      <c r="I1883" s="696"/>
    </row>
    <row r="1884" spans="1:9" ht="20.100000000000001" customHeight="1" x14ac:dyDescent="0.2">
      <c r="A1884" s="695" t="str">
        <f t="shared" si="26"/>
        <v>333919200000000  Despesas De Exercicios Anteriores</v>
      </c>
      <c r="C1884" s="631"/>
      <c r="D1884" s="632">
        <v>333919200000000</v>
      </c>
      <c r="E1884" s="696" t="s">
        <v>1158</v>
      </c>
      <c r="F1884" s="696">
        <v>6</v>
      </c>
      <c r="G1884" s="696" t="s">
        <v>5596</v>
      </c>
      <c r="I1884" s="696"/>
    </row>
    <row r="1885" spans="1:9" ht="20.100000000000001" customHeight="1" x14ac:dyDescent="0.2">
      <c r="A1885" s="695" t="str">
        <f t="shared" si="26"/>
        <v>333919239000000  Serviços De Terceiros - Pessoa Juridica</v>
      </c>
      <c r="C1885" s="631"/>
      <c r="D1885" s="632">
        <v>333919239000000</v>
      </c>
      <c r="E1885" s="696" t="s">
        <v>5410</v>
      </c>
      <c r="F1885" s="696">
        <v>7</v>
      </c>
      <c r="G1885" s="696" t="s">
        <v>5597</v>
      </c>
      <c r="I1885" s="696"/>
    </row>
    <row r="1886" spans="1:9" ht="20.100000000000001" customHeight="1" x14ac:dyDescent="0.2">
      <c r="A1886" s="695" t="str">
        <f t="shared" si="26"/>
        <v>333919247000000  Obrigações Tributarias E Contributivas</v>
      </c>
      <c r="C1886" s="631"/>
      <c r="D1886" s="632">
        <v>333919247000000</v>
      </c>
      <c r="E1886" s="696" t="s">
        <v>1117</v>
      </c>
      <c r="F1886" s="696">
        <v>7</v>
      </c>
      <c r="G1886" s="696" t="s">
        <v>5597</v>
      </c>
      <c r="I1886" s="696"/>
    </row>
    <row r="1887" spans="1:9" ht="20.100000000000001" customHeight="1" x14ac:dyDescent="0.2">
      <c r="A1887" s="695" t="str">
        <f t="shared" si="26"/>
        <v>333919293000000  Indenizações E Restituições</v>
      </c>
      <c r="C1887" s="631"/>
      <c r="D1887" s="632">
        <v>333919293000000</v>
      </c>
      <c r="E1887" s="696" t="s">
        <v>5034</v>
      </c>
      <c r="F1887" s="696">
        <v>7</v>
      </c>
      <c r="G1887" s="696" t="s">
        <v>5597</v>
      </c>
      <c r="I1887" s="696"/>
    </row>
    <row r="1888" spans="1:9" ht="20.100000000000001" customHeight="1" x14ac:dyDescent="0.2">
      <c r="A1888" s="695" t="str">
        <f t="shared" si="26"/>
        <v>333919300000000  Indenizações E Restituições</v>
      </c>
      <c r="C1888" s="631"/>
      <c r="D1888" s="632">
        <v>333919300000000</v>
      </c>
      <c r="E1888" s="696" t="s">
        <v>5034</v>
      </c>
      <c r="F1888" s="696">
        <v>6</v>
      </c>
      <c r="G1888" s="696" t="s">
        <v>5596</v>
      </c>
      <c r="I1888" s="696"/>
    </row>
    <row r="1889" spans="1:9" ht="20.100000000000001" customHeight="1" x14ac:dyDescent="0.2">
      <c r="A1889" s="695" t="str">
        <f t="shared" si="26"/>
        <v>333919301000000  Indenizações</v>
      </c>
      <c r="C1889" s="631"/>
      <c r="D1889" s="632">
        <v>333919301000000</v>
      </c>
      <c r="E1889" s="696" t="s">
        <v>5411</v>
      </c>
      <c r="F1889" s="696">
        <v>7</v>
      </c>
      <c r="G1889" s="696" t="s">
        <v>5597</v>
      </c>
      <c r="I1889" s="696"/>
    </row>
    <row r="1890" spans="1:9" ht="20.100000000000001" customHeight="1" x14ac:dyDescent="0.2">
      <c r="A1890" s="695" t="str">
        <f t="shared" si="26"/>
        <v>333919302000000  Restituições</v>
      </c>
      <c r="C1890" s="631"/>
      <c r="D1890" s="632">
        <v>333919302000000</v>
      </c>
      <c r="E1890" s="696" t="s">
        <v>5412</v>
      </c>
      <c r="F1890" s="696">
        <v>7</v>
      </c>
      <c r="G1890" s="696" t="s">
        <v>5597</v>
      </c>
      <c r="I1890" s="696"/>
    </row>
    <row r="1891" spans="1:9" ht="20.100000000000001" customHeight="1" x14ac:dyDescent="0.2">
      <c r="A1891" s="695" t="str">
        <f t="shared" si="26"/>
        <v>333919700000000  Amoritzação Do Passivo Atuarial Com O Rpps - Aporte Periódico</v>
      </c>
      <c r="C1891" s="631"/>
      <c r="D1891" s="632">
        <v>333919700000000</v>
      </c>
      <c r="E1891" s="696" t="s">
        <v>5413</v>
      </c>
      <c r="F1891" s="696">
        <v>6</v>
      </c>
      <c r="G1891" s="696" t="s">
        <v>5597</v>
      </c>
      <c r="I1891" s="696"/>
    </row>
    <row r="1892" spans="1:9" ht="20.100000000000001" customHeight="1" x14ac:dyDescent="0.2">
      <c r="A1892" s="695" t="str">
        <f t="shared" si="26"/>
        <v>333930000000000  APLICAÇÃO DIRETA DECORRENTE DE CONSÓRCIO PÚBLICO</v>
      </c>
      <c r="C1892" s="631"/>
      <c r="D1892" s="632">
        <v>333930000000000</v>
      </c>
      <c r="E1892" s="696" t="s">
        <v>5414</v>
      </c>
      <c r="F1892" s="696">
        <v>4</v>
      </c>
      <c r="G1892" s="696" t="s">
        <v>5596</v>
      </c>
      <c r="I1892" s="696" t="s">
        <v>5600</v>
      </c>
    </row>
    <row r="1893" spans="1:9" ht="20.100000000000001" customHeight="1" x14ac:dyDescent="0.2">
      <c r="A1893" s="695" t="str">
        <f t="shared" si="26"/>
        <v>333933000000000  MATERIAL DE CONSUMO</v>
      </c>
      <c r="C1893" s="631"/>
      <c r="D1893" s="632">
        <v>333933000000000</v>
      </c>
      <c r="E1893" s="696" t="s">
        <v>4790</v>
      </c>
      <c r="F1893" s="696">
        <v>5</v>
      </c>
      <c r="G1893" s="696" t="s">
        <v>5597</v>
      </c>
      <c r="I1893" s="696" t="s">
        <v>5600</v>
      </c>
    </row>
    <row r="1894" spans="1:9" ht="20.100000000000001" customHeight="1" x14ac:dyDescent="0.2">
      <c r="A1894" s="695" t="str">
        <f t="shared" si="26"/>
        <v>333933001000000  Medicamentos</v>
      </c>
      <c r="C1894" s="631"/>
      <c r="D1894" s="632">
        <v>333933001000000</v>
      </c>
      <c r="E1894" s="696" t="s">
        <v>1023</v>
      </c>
      <c r="F1894" s="696">
        <v>6</v>
      </c>
      <c r="G1894" s="696" t="s">
        <v>5597</v>
      </c>
      <c r="I1894" s="696" t="s">
        <v>5600</v>
      </c>
    </row>
    <row r="1895" spans="1:9" ht="20.100000000000001" customHeight="1" x14ac:dyDescent="0.2">
      <c r="A1895" s="695" t="str">
        <f t="shared" si="26"/>
        <v>333933002000000  Material de Expediente</v>
      </c>
      <c r="C1895" s="631"/>
      <c r="D1895" s="632">
        <v>333933002000000</v>
      </c>
      <c r="E1895" s="696" t="s">
        <v>2346</v>
      </c>
      <c r="F1895" s="696">
        <v>6</v>
      </c>
      <c r="G1895" s="696" t="s">
        <v>5597</v>
      </c>
      <c r="I1895" s="696" t="s">
        <v>5600</v>
      </c>
    </row>
    <row r="1896" spans="1:9" ht="20.100000000000001" customHeight="1" x14ac:dyDescent="0.2">
      <c r="A1896" s="695" t="str">
        <f t="shared" si="26"/>
        <v>333933003000000  Material de Limpeza e Higienização</v>
      </c>
      <c r="C1896" s="631"/>
      <c r="D1896" s="632">
        <v>333933003000000</v>
      </c>
      <c r="E1896" s="696" t="s">
        <v>6217</v>
      </c>
      <c r="F1896" s="696">
        <v>6</v>
      </c>
      <c r="G1896" s="696" t="s">
        <v>5597</v>
      </c>
      <c r="I1896" s="696" t="s">
        <v>5600</v>
      </c>
    </row>
    <row r="1897" spans="1:9" ht="20.100000000000001" customHeight="1" x14ac:dyDescent="0.2">
      <c r="A1897" s="695" t="str">
        <f t="shared" si="26"/>
        <v>333933004000000  Autepeças e Materiais</v>
      </c>
      <c r="C1897" s="631"/>
      <c r="D1897" s="632">
        <v>333933004000000</v>
      </c>
      <c r="E1897" s="696" t="s">
        <v>6218</v>
      </c>
      <c r="F1897" s="696">
        <v>6</v>
      </c>
      <c r="G1897" s="696" t="s">
        <v>5597</v>
      </c>
      <c r="I1897" s="696" t="s">
        <v>5600</v>
      </c>
    </row>
    <row r="1898" spans="1:9" ht="20.100000000000001" customHeight="1" x14ac:dyDescent="0.2">
      <c r="A1898" s="695" t="str">
        <f t="shared" si="26"/>
        <v>333933900000000  OUTROS SERVIÇOS DE TERCEIROS - PESSOA JURÍDICA</v>
      </c>
      <c r="C1898" s="631"/>
      <c r="D1898" s="632">
        <v>333933900000000</v>
      </c>
      <c r="E1898" s="696" t="s">
        <v>4791</v>
      </c>
      <c r="F1898" s="696">
        <v>5</v>
      </c>
      <c r="G1898" s="696" t="s">
        <v>5597</v>
      </c>
      <c r="I1898" s="696" t="s">
        <v>5600</v>
      </c>
    </row>
    <row r="1899" spans="1:9" ht="20.100000000000001" customHeight="1" x14ac:dyDescent="0.2">
      <c r="A1899" s="695" t="str">
        <f t="shared" si="26"/>
        <v>333933901000000  Servicos Medico-hospitalar, Odontologicos  E Laboratoriais</v>
      </c>
      <c r="C1899" s="631"/>
      <c r="D1899" s="632">
        <v>333933901000000</v>
      </c>
      <c r="E1899" s="696" t="s">
        <v>5684</v>
      </c>
      <c r="F1899" s="696">
        <v>6</v>
      </c>
      <c r="G1899" s="696" t="s">
        <v>5597</v>
      </c>
      <c r="I1899" s="696" t="s">
        <v>5600</v>
      </c>
    </row>
    <row r="1900" spans="1:9" ht="20.100000000000001" customHeight="1" x14ac:dyDescent="0.2">
      <c r="A1900" s="695" t="str">
        <f t="shared" si="26"/>
        <v>340000000000000  Despesas De Capital</v>
      </c>
      <c r="C1900" s="631"/>
      <c r="D1900" s="632">
        <v>340000000000000</v>
      </c>
      <c r="E1900" s="696" t="s">
        <v>2113</v>
      </c>
      <c r="F1900" s="696">
        <v>2</v>
      </c>
      <c r="G1900" s="696" t="s">
        <v>5596</v>
      </c>
      <c r="I1900" s="696"/>
    </row>
    <row r="1901" spans="1:9" ht="20.100000000000001" customHeight="1" x14ac:dyDescent="0.2">
      <c r="A1901" s="695" t="str">
        <f t="shared" si="26"/>
        <v>344000000000000  Investimentos</v>
      </c>
      <c r="C1901" s="631"/>
      <c r="D1901" s="632">
        <v>344000000000000</v>
      </c>
      <c r="E1901" s="696" t="s">
        <v>95</v>
      </c>
      <c r="F1901" s="696">
        <v>3</v>
      </c>
      <c r="G1901" s="696" t="s">
        <v>5596</v>
      </c>
      <c r="I1901" s="696"/>
    </row>
    <row r="1902" spans="1:9" ht="20.100000000000001" customHeight="1" x14ac:dyDescent="0.2">
      <c r="A1902" s="695" t="str">
        <f t="shared" si="26"/>
        <v>344200000000000  Transferencias A Uniao</v>
      </c>
      <c r="C1902" s="631"/>
      <c r="D1902" s="632">
        <v>344200000000000</v>
      </c>
      <c r="E1902" s="696" t="s">
        <v>2118</v>
      </c>
      <c r="F1902" s="696">
        <v>4</v>
      </c>
      <c r="G1902" s="696" t="s">
        <v>5596</v>
      </c>
      <c r="I1902" s="696"/>
    </row>
    <row r="1903" spans="1:9" ht="20.100000000000001" customHeight="1" x14ac:dyDescent="0.2">
      <c r="A1903" s="695" t="str">
        <f t="shared" si="26"/>
        <v>344204200000000  Auxilios</v>
      </c>
      <c r="C1903" s="631"/>
      <c r="D1903" s="632">
        <v>344204200000000</v>
      </c>
      <c r="E1903" s="696" t="s">
        <v>5415</v>
      </c>
      <c r="F1903" s="696">
        <v>6</v>
      </c>
      <c r="G1903" s="696" t="s">
        <v>5597</v>
      </c>
      <c r="I1903" s="696"/>
    </row>
    <row r="1904" spans="1:9" ht="20.100000000000001" customHeight="1" x14ac:dyDescent="0.2">
      <c r="A1904" s="695" t="str">
        <f t="shared" si="26"/>
        <v>344209300000000  Indenizacoes E Restituicoes</v>
      </c>
      <c r="C1904" s="631"/>
      <c r="D1904" s="632">
        <v>344209300000000</v>
      </c>
      <c r="E1904" s="696" t="s">
        <v>985</v>
      </c>
      <c r="F1904" s="696">
        <v>6</v>
      </c>
      <c r="G1904" s="696" t="s">
        <v>5596</v>
      </c>
      <c r="I1904" s="696"/>
    </row>
    <row r="1905" spans="1:9" ht="20.100000000000001" customHeight="1" x14ac:dyDescent="0.2">
      <c r="A1905" s="695" t="str">
        <f t="shared" ref="A1905:A1968" si="27">CONCATENATE(D1905,"  ",E1905,)</f>
        <v>344209300010000  Restituicao De Convenios E Transferencias  Recebidas Uniao</v>
      </c>
      <c r="C1905" s="631"/>
      <c r="D1905" s="632">
        <v>344209300010000</v>
      </c>
      <c r="E1905" s="696" t="s">
        <v>5703</v>
      </c>
      <c r="F1905" s="696">
        <v>8</v>
      </c>
      <c r="G1905" s="696" t="s">
        <v>5597</v>
      </c>
      <c r="I1905" s="696" t="s">
        <v>5600</v>
      </c>
    </row>
    <row r="1906" spans="1:9" ht="20.100000000000001" customHeight="1" x14ac:dyDescent="0.2">
      <c r="A1906" s="695" t="str">
        <f t="shared" si="27"/>
        <v>344300000000000  Transferencias A Estados E Distrito Federal</v>
      </c>
      <c r="C1906" s="631"/>
      <c r="D1906" s="632">
        <v>344300000000000</v>
      </c>
      <c r="E1906" s="696" t="s">
        <v>2120</v>
      </c>
      <c r="F1906" s="696">
        <v>4</v>
      </c>
      <c r="G1906" s="696" t="s">
        <v>5596</v>
      </c>
      <c r="I1906" s="696"/>
    </row>
    <row r="1907" spans="1:9" ht="20.100000000000001" customHeight="1" x14ac:dyDescent="0.2">
      <c r="A1907" s="695" t="str">
        <f t="shared" si="27"/>
        <v>344304100000000  Contribuicoes</v>
      </c>
      <c r="C1907" s="631"/>
      <c r="D1907" s="632">
        <v>344304100000000</v>
      </c>
      <c r="E1907" s="696" t="s">
        <v>1057</v>
      </c>
      <c r="F1907" s="696">
        <v>6</v>
      </c>
      <c r="G1907" s="696" t="s">
        <v>5596</v>
      </c>
      <c r="I1907" s="696"/>
    </row>
    <row r="1908" spans="1:9" ht="20.100000000000001" customHeight="1" x14ac:dyDescent="0.2">
      <c r="A1908" s="695" t="str">
        <f t="shared" si="27"/>
        <v>344304139000000  Rio Grande Do Sul</v>
      </c>
      <c r="C1908" s="631"/>
      <c r="D1908" s="632">
        <v>344304139000000</v>
      </c>
      <c r="E1908" s="696" t="s">
        <v>1274</v>
      </c>
      <c r="F1908" s="696">
        <v>7</v>
      </c>
      <c r="G1908" s="696" t="s">
        <v>5596</v>
      </c>
      <c r="I1908" s="696"/>
    </row>
    <row r="1909" spans="1:9" ht="20.100000000000001" customHeight="1" x14ac:dyDescent="0.2">
      <c r="A1909" s="695" t="str">
        <f t="shared" si="27"/>
        <v>344304200000000  Auxilios</v>
      </c>
      <c r="C1909" s="631"/>
      <c r="D1909" s="632">
        <v>344304200000000</v>
      </c>
      <c r="E1909" s="696" t="s">
        <v>5415</v>
      </c>
      <c r="F1909" s="696">
        <v>6</v>
      </c>
      <c r="G1909" s="696" t="s">
        <v>5596</v>
      </c>
      <c r="I1909" s="696"/>
    </row>
    <row r="1910" spans="1:9" ht="20.100000000000001" customHeight="1" x14ac:dyDescent="0.2">
      <c r="A1910" s="695" t="str">
        <f t="shared" si="27"/>
        <v>344304239000000  Rio Grande Do Sul</v>
      </c>
      <c r="C1910" s="631"/>
      <c r="D1910" s="632">
        <v>344304239000000</v>
      </c>
      <c r="E1910" s="696" t="s">
        <v>1274</v>
      </c>
      <c r="F1910" s="696">
        <v>7</v>
      </c>
      <c r="G1910" s="696" t="s">
        <v>5596</v>
      </c>
      <c r="I1910" s="696"/>
    </row>
    <row r="1911" spans="1:9" ht="20.100000000000001" customHeight="1" x14ac:dyDescent="0.2">
      <c r="A1911" s="695" t="str">
        <f t="shared" si="27"/>
        <v>344309300000000  Indenizacoes E Restituicoes</v>
      </c>
      <c r="C1911" s="631"/>
      <c r="D1911" s="632">
        <v>344309300000000</v>
      </c>
      <c r="E1911" s="696" t="s">
        <v>985</v>
      </c>
      <c r="F1911" s="696">
        <v>6</v>
      </c>
      <c r="G1911" s="696" t="s">
        <v>5596</v>
      </c>
      <c r="I1911" s="696"/>
    </row>
    <row r="1912" spans="1:9" ht="20.100000000000001" customHeight="1" x14ac:dyDescent="0.2">
      <c r="A1912" s="695" t="str">
        <f t="shared" si="27"/>
        <v>344309300010000  Restituicoes De Convenios E Transferencias Recebidas Do  Estado</v>
      </c>
      <c r="C1912" s="631"/>
      <c r="D1912" s="632">
        <v>344309300010000</v>
      </c>
      <c r="E1912" s="696" t="s">
        <v>5704</v>
      </c>
      <c r="F1912" s="696">
        <v>8</v>
      </c>
      <c r="G1912" s="696" t="s">
        <v>5597</v>
      </c>
      <c r="I1912" s="696"/>
    </row>
    <row r="1913" spans="1:9" ht="20.100000000000001" customHeight="1" x14ac:dyDescent="0.2">
      <c r="A1913" s="695" t="str">
        <f t="shared" si="27"/>
        <v>344400000000000  Transferencias A Municipios</v>
      </c>
      <c r="C1913" s="631"/>
      <c r="D1913" s="632">
        <v>344400000000000</v>
      </c>
      <c r="E1913" s="696" t="s">
        <v>4795</v>
      </c>
      <c r="F1913" s="696">
        <v>4</v>
      </c>
      <c r="G1913" s="696" t="s">
        <v>5596</v>
      </c>
      <c r="I1913" s="696"/>
    </row>
    <row r="1914" spans="1:9" ht="20.100000000000001" customHeight="1" x14ac:dyDescent="0.2">
      <c r="A1914" s="695" t="str">
        <f t="shared" si="27"/>
        <v>344404100000000  Contribuicoes</v>
      </c>
      <c r="C1914" s="631"/>
      <c r="D1914" s="632">
        <v>344404100000000</v>
      </c>
      <c r="E1914" s="696" t="s">
        <v>1057</v>
      </c>
      <c r="F1914" s="696">
        <v>6</v>
      </c>
      <c r="G1914" s="696" t="s">
        <v>5596</v>
      </c>
      <c r="I1914" s="696"/>
    </row>
    <row r="1915" spans="1:9" ht="20.100000000000001" customHeight="1" x14ac:dyDescent="0.2">
      <c r="A1915" s="695" t="str">
        <f t="shared" si="27"/>
        <v>344404139000000  A Municipios Do Estado Do Rio Grande Do Sul</v>
      </c>
      <c r="C1915" s="631"/>
      <c r="D1915" s="632">
        <v>344404139000000</v>
      </c>
      <c r="E1915" s="696" t="s">
        <v>5021</v>
      </c>
      <c r="F1915" s="696">
        <v>7</v>
      </c>
      <c r="G1915" s="696" t="s">
        <v>5596</v>
      </c>
      <c r="I1915" s="696"/>
    </row>
    <row r="1916" spans="1:9" ht="20.100000000000001" customHeight="1" x14ac:dyDescent="0.2">
      <c r="A1916" s="695" t="str">
        <f t="shared" si="27"/>
        <v>344404200000000  Auxilios</v>
      </c>
      <c r="C1916" s="631"/>
      <c r="D1916" s="632">
        <v>344404200000000</v>
      </c>
      <c r="E1916" s="696" t="s">
        <v>5415</v>
      </c>
      <c r="F1916" s="696">
        <v>6</v>
      </c>
      <c r="G1916" s="696" t="s">
        <v>5596</v>
      </c>
      <c r="I1916" s="696"/>
    </row>
    <row r="1917" spans="1:9" ht="20.100000000000001" customHeight="1" x14ac:dyDescent="0.2">
      <c r="A1917" s="695" t="str">
        <f t="shared" si="27"/>
        <v>344404239000000  A Municipios Do Estado Do Rio Grande Do Sul</v>
      </c>
      <c r="C1917" s="631"/>
      <c r="D1917" s="632">
        <v>344404239000000</v>
      </c>
      <c r="E1917" s="696" t="s">
        <v>5021</v>
      </c>
      <c r="F1917" s="696">
        <v>7</v>
      </c>
      <c r="G1917" s="696" t="s">
        <v>5596</v>
      </c>
      <c r="I1917" s="696"/>
    </row>
    <row r="1918" spans="1:9" ht="20.100000000000001" customHeight="1" x14ac:dyDescent="0.2">
      <c r="A1918" s="695" t="str">
        <f t="shared" si="27"/>
        <v>344409300000000  Indenizacoes E Restituicoes</v>
      </c>
      <c r="C1918" s="631"/>
      <c r="D1918" s="632">
        <v>344409300000000</v>
      </c>
      <c r="E1918" s="696" t="s">
        <v>985</v>
      </c>
      <c r="F1918" s="696">
        <v>6</v>
      </c>
      <c r="G1918" s="696" t="s">
        <v>5596</v>
      </c>
      <c r="I1918" s="696"/>
    </row>
    <row r="1919" spans="1:9" ht="20.100000000000001" customHeight="1" x14ac:dyDescent="0.2">
      <c r="A1919" s="695" t="str">
        <f t="shared" si="27"/>
        <v>344409300010000  Restituicoes De Convenios E Transferencias Recebidas Dos Municipios</v>
      </c>
      <c r="C1919" s="631"/>
      <c r="D1919" s="632">
        <v>344409300010000</v>
      </c>
      <c r="E1919" s="696" t="s">
        <v>5416</v>
      </c>
      <c r="F1919" s="696">
        <v>8</v>
      </c>
      <c r="G1919" s="696" t="s">
        <v>5597</v>
      </c>
      <c r="I1919" s="696"/>
    </row>
    <row r="1920" spans="1:9" ht="20.100000000000001" customHeight="1" x14ac:dyDescent="0.2">
      <c r="A1920" s="695" t="str">
        <f t="shared" si="27"/>
        <v>344500000000000  Transferencias A Instituicoes  Privadas  Sem  Fins Lucrativos</v>
      </c>
      <c r="C1920" s="631"/>
      <c r="D1920" s="632">
        <v>344500000000000</v>
      </c>
      <c r="E1920" s="696" t="s">
        <v>5705</v>
      </c>
      <c r="F1920" s="696">
        <v>4</v>
      </c>
      <c r="G1920" s="696" t="s">
        <v>5596</v>
      </c>
      <c r="I1920" s="696"/>
    </row>
    <row r="1921" spans="1:9" ht="20.100000000000001" customHeight="1" x14ac:dyDescent="0.2">
      <c r="A1921" s="695" t="str">
        <f t="shared" si="27"/>
        <v>344503900000000  Outros Servicos De Terceiros-pessoa Juridica</v>
      </c>
      <c r="C1921" s="631"/>
      <c r="D1921" s="632">
        <v>344503900000000</v>
      </c>
      <c r="E1921" s="696" t="s">
        <v>992</v>
      </c>
      <c r="F1921" s="696">
        <v>6</v>
      </c>
      <c r="G1921" s="696" t="s">
        <v>5596</v>
      </c>
      <c r="I1921" s="696"/>
    </row>
    <row r="1922" spans="1:9" ht="20.100000000000001" customHeight="1" x14ac:dyDescent="0.2">
      <c r="A1922" s="695" t="str">
        <f t="shared" si="27"/>
        <v>344503901000000  Instituicoes De Carater Assistencial, Cultural  E Educacional</v>
      </c>
      <c r="C1922" s="631"/>
      <c r="D1922" s="632">
        <v>344503901000000</v>
      </c>
      <c r="E1922" s="696" t="s">
        <v>5706</v>
      </c>
      <c r="F1922" s="696">
        <v>7</v>
      </c>
      <c r="G1922" s="696" t="s">
        <v>5597</v>
      </c>
      <c r="I1922" s="696"/>
    </row>
    <row r="1923" spans="1:9" ht="20.100000000000001" customHeight="1" x14ac:dyDescent="0.2">
      <c r="A1923" s="695" t="str">
        <f t="shared" si="27"/>
        <v>344503902000000  Instituicoes De Carater Industrial</v>
      </c>
      <c r="C1923" s="631"/>
      <c r="D1923" s="632">
        <v>344503902000000</v>
      </c>
      <c r="E1923" s="696" t="s">
        <v>5417</v>
      </c>
      <c r="F1923" s="696">
        <v>7</v>
      </c>
      <c r="G1923" s="696" t="s">
        <v>5597</v>
      </c>
      <c r="I1923" s="696"/>
    </row>
    <row r="1924" spans="1:9" ht="20.100000000000001" customHeight="1" x14ac:dyDescent="0.2">
      <c r="A1924" s="695" t="str">
        <f t="shared" si="27"/>
        <v>344504100000000  Contribuicoes</v>
      </c>
      <c r="C1924" s="631"/>
      <c r="D1924" s="632">
        <v>344504100000000</v>
      </c>
      <c r="E1924" s="696" t="s">
        <v>1057</v>
      </c>
      <c r="F1924" s="696">
        <v>6</v>
      </c>
      <c r="G1924" s="696" t="s">
        <v>5596</v>
      </c>
      <c r="I1924" s="696"/>
    </row>
    <row r="1925" spans="1:9" ht="20.100000000000001" customHeight="1" x14ac:dyDescent="0.2">
      <c r="A1925" s="695" t="str">
        <f t="shared" si="27"/>
        <v>344504101000000  Instituicoes De Carater Assistencial, Cultural Ou Educacional</v>
      </c>
      <c r="C1925" s="631"/>
      <c r="D1925" s="632">
        <v>344504101000000</v>
      </c>
      <c r="E1925" s="696" t="s">
        <v>5418</v>
      </c>
      <c r="F1925" s="696">
        <v>7</v>
      </c>
      <c r="G1925" s="696" t="s">
        <v>5597</v>
      </c>
      <c r="I1925" s="696"/>
    </row>
    <row r="1926" spans="1:9" ht="20.100000000000001" customHeight="1" x14ac:dyDescent="0.2">
      <c r="A1926" s="695" t="str">
        <f t="shared" si="27"/>
        <v>344504102000000  Instituicoes De Carater Comercial Ou Financeiro</v>
      </c>
      <c r="C1926" s="631"/>
      <c r="D1926" s="632">
        <v>344504102000000</v>
      </c>
      <c r="E1926" s="696" t="s">
        <v>5419</v>
      </c>
      <c r="F1926" s="696">
        <v>7</v>
      </c>
      <c r="G1926" s="696" t="s">
        <v>5597</v>
      </c>
      <c r="I1926" s="696"/>
    </row>
    <row r="1927" spans="1:9" ht="20.100000000000001" customHeight="1" x14ac:dyDescent="0.2">
      <c r="A1927" s="695" t="str">
        <f t="shared" si="27"/>
        <v>344504108000000  Entidades Representativas De Classe</v>
      </c>
      <c r="C1927" s="631"/>
      <c r="D1927" s="632">
        <v>344504108000000</v>
      </c>
      <c r="E1927" s="696" t="s">
        <v>5027</v>
      </c>
      <c r="F1927" s="696">
        <v>7</v>
      </c>
      <c r="G1927" s="696" t="s">
        <v>5597</v>
      </c>
      <c r="I1927" s="696"/>
    </row>
    <row r="1928" spans="1:9" ht="20.100000000000001" customHeight="1" x14ac:dyDescent="0.2">
      <c r="A1928" s="695" t="str">
        <f t="shared" si="27"/>
        <v>344504199000000  Outras Instituicoes Privadas</v>
      </c>
      <c r="C1928" s="631"/>
      <c r="D1928" s="632">
        <v>344504199000000</v>
      </c>
      <c r="E1928" s="696" t="s">
        <v>1059</v>
      </c>
      <c r="F1928" s="696">
        <v>7</v>
      </c>
      <c r="G1928" s="696" t="s">
        <v>5597</v>
      </c>
      <c r="I1928" s="696"/>
    </row>
    <row r="1929" spans="1:9" ht="20.100000000000001" customHeight="1" x14ac:dyDescent="0.2">
      <c r="A1929" s="695" t="str">
        <f t="shared" si="27"/>
        <v>344504200000000  Auxilios</v>
      </c>
      <c r="C1929" s="631"/>
      <c r="D1929" s="632">
        <v>344504200000000</v>
      </c>
      <c r="E1929" s="696" t="s">
        <v>5415</v>
      </c>
      <c r="F1929" s="696">
        <v>6</v>
      </c>
      <c r="G1929" s="696" t="s">
        <v>5596</v>
      </c>
      <c r="I1929" s="696"/>
    </row>
    <row r="1930" spans="1:9" ht="20.100000000000001" customHeight="1" x14ac:dyDescent="0.2">
      <c r="A1930" s="695" t="str">
        <f t="shared" si="27"/>
        <v>344504201000000  Instituicoes De Carater Assistencial Ou Cultural</v>
      </c>
      <c r="C1930" s="631"/>
      <c r="D1930" s="632">
        <v>344504201000000</v>
      </c>
      <c r="E1930" s="696" t="s">
        <v>5420</v>
      </c>
      <c r="F1930" s="696">
        <v>7</v>
      </c>
      <c r="G1930" s="696" t="s">
        <v>5597</v>
      </c>
      <c r="I1930" s="696"/>
    </row>
    <row r="1931" spans="1:9" ht="20.100000000000001" customHeight="1" x14ac:dyDescent="0.2">
      <c r="A1931" s="695" t="str">
        <f t="shared" si="27"/>
        <v>344504202000000  Instituicoes De Pesquisa E Desenvolvimento Tecnologico</v>
      </c>
      <c r="C1931" s="631"/>
      <c r="D1931" s="632">
        <v>344504202000000</v>
      </c>
      <c r="E1931" s="696" t="s">
        <v>5421</v>
      </c>
      <c r="F1931" s="696">
        <v>7</v>
      </c>
      <c r="G1931" s="696" t="s">
        <v>5597</v>
      </c>
      <c r="I1931" s="696"/>
    </row>
    <row r="1932" spans="1:9" ht="20.100000000000001" customHeight="1" x14ac:dyDescent="0.2">
      <c r="A1932" s="695" t="str">
        <f t="shared" si="27"/>
        <v>344504299000000  Outras Instituicoes Privadas</v>
      </c>
      <c r="C1932" s="631"/>
      <c r="D1932" s="632">
        <v>344504299000000</v>
      </c>
      <c r="E1932" s="696" t="s">
        <v>1059</v>
      </c>
      <c r="F1932" s="696">
        <v>7</v>
      </c>
      <c r="G1932" s="696" t="s">
        <v>5597</v>
      </c>
      <c r="I1932" s="696"/>
    </row>
    <row r="1933" spans="1:9" ht="20.100000000000001" customHeight="1" x14ac:dyDescent="0.2">
      <c r="A1933" s="695" t="str">
        <f t="shared" si="27"/>
        <v>344600000000000  Transferencias A Instituicoes Privadas Com Fins Lucrativos</v>
      </c>
      <c r="C1933" s="631"/>
      <c r="D1933" s="632">
        <v>344600000000000</v>
      </c>
      <c r="E1933" s="696" t="s">
        <v>5422</v>
      </c>
      <c r="F1933" s="696">
        <v>4</v>
      </c>
      <c r="G1933" s="696" t="s">
        <v>5596</v>
      </c>
      <c r="I1933" s="696"/>
    </row>
    <row r="1934" spans="1:9" ht="20.100000000000001" customHeight="1" x14ac:dyDescent="0.2">
      <c r="A1934" s="695" t="str">
        <f t="shared" si="27"/>
        <v>344604100000000  Contribuicoes</v>
      </c>
      <c r="C1934" s="631"/>
      <c r="D1934" s="632">
        <v>344604100000000</v>
      </c>
      <c r="E1934" s="696" t="s">
        <v>1057</v>
      </c>
      <c r="F1934" s="696">
        <v>6</v>
      </c>
      <c r="G1934" s="696" t="s">
        <v>5596</v>
      </c>
      <c r="I1934" s="696"/>
    </row>
    <row r="1935" spans="1:9" ht="20.100000000000001" customHeight="1" x14ac:dyDescent="0.2">
      <c r="A1935" s="695" t="str">
        <f t="shared" si="27"/>
        <v>344700000000000  Transferencias A Instituicoes Multigovernamentais</v>
      </c>
      <c r="C1935" s="631"/>
      <c r="D1935" s="632">
        <v>344700000000000</v>
      </c>
      <c r="E1935" s="696" t="s">
        <v>5423</v>
      </c>
      <c r="F1935" s="696">
        <v>4</v>
      </c>
      <c r="G1935" s="696" t="s">
        <v>5596</v>
      </c>
      <c r="I1935" s="696"/>
    </row>
    <row r="1936" spans="1:9" ht="20.100000000000001" customHeight="1" x14ac:dyDescent="0.2">
      <c r="A1936" s="695" t="str">
        <f t="shared" si="27"/>
        <v>344704100000000  Contribuicoes</v>
      </c>
      <c r="C1936" s="631"/>
      <c r="D1936" s="632">
        <v>344704100000000</v>
      </c>
      <c r="E1936" s="696" t="s">
        <v>1057</v>
      </c>
      <c r="F1936" s="696">
        <v>6</v>
      </c>
      <c r="G1936" s="696" t="s">
        <v>5596</v>
      </c>
      <c r="I1936" s="696"/>
    </row>
    <row r="1937" spans="1:9" ht="20.100000000000001" customHeight="1" x14ac:dyDescent="0.2">
      <c r="A1937" s="695" t="str">
        <f t="shared" si="27"/>
        <v>344704199000000  Outras Contribuicoes</v>
      </c>
      <c r="C1937" s="631"/>
      <c r="D1937" s="632">
        <v>344704199000000</v>
      </c>
      <c r="E1937" s="696" t="s">
        <v>4843</v>
      </c>
      <c r="F1937" s="696">
        <v>7</v>
      </c>
      <c r="G1937" s="696" t="s">
        <v>5596</v>
      </c>
      <c r="I1937" s="696"/>
    </row>
    <row r="1938" spans="1:9" ht="20.100000000000001" customHeight="1" x14ac:dyDescent="0.2">
      <c r="A1938" s="695" t="str">
        <f t="shared" si="27"/>
        <v>344704199010000  Contribuicoes P/ Consorcios</v>
      </c>
      <c r="C1938" s="631"/>
      <c r="D1938" s="632">
        <v>344704199010000</v>
      </c>
      <c r="E1938" s="696" t="s">
        <v>5424</v>
      </c>
      <c r="F1938" s="696">
        <v>8</v>
      </c>
      <c r="G1938" s="696" t="s">
        <v>5597</v>
      </c>
      <c r="I1938" s="696"/>
    </row>
    <row r="1939" spans="1:9" ht="20.100000000000001" customHeight="1" x14ac:dyDescent="0.2">
      <c r="A1939" s="695" t="str">
        <f t="shared" si="27"/>
        <v>344704199020000  Contribuicoes Para O Ciderca</v>
      </c>
      <c r="C1939" s="631"/>
      <c r="D1939" s="632">
        <v>344704199020000</v>
      </c>
      <c r="E1939" s="696" t="s">
        <v>5425</v>
      </c>
      <c r="F1939" s="696">
        <v>8</v>
      </c>
      <c r="G1939" s="696" t="s">
        <v>5597</v>
      </c>
      <c r="I1939" s="696"/>
    </row>
    <row r="1940" spans="1:9" ht="20.100000000000001" customHeight="1" x14ac:dyDescent="0.2">
      <c r="A1940" s="695" t="str">
        <f t="shared" si="27"/>
        <v>344704200000000  Auxilios</v>
      </c>
      <c r="C1940" s="631"/>
      <c r="D1940" s="632">
        <v>344704200000000</v>
      </c>
      <c r="E1940" s="696" t="s">
        <v>5415</v>
      </c>
      <c r="F1940" s="696">
        <v>6</v>
      </c>
      <c r="G1940" s="696" t="s">
        <v>5596</v>
      </c>
      <c r="I1940" s="696"/>
    </row>
    <row r="1941" spans="1:9" ht="20.100000000000001" customHeight="1" x14ac:dyDescent="0.2">
      <c r="A1941" s="695" t="str">
        <f t="shared" si="27"/>
        <v>344704299000000  Outros Auxilios</v>
      </c>
      <c r="C1941" s="631"/>
      <c r="D1941" s="632">
        <v>344704299000000</v>
      </c>
      <c r="E1941" s="696" t="s">
        <v>5426</v>
      </c>
      <c r="F1941" s="696">
        <v>7</v>
      </c>
      <c r="G1941" s="696" t="s">
        <v>5597</v>
      </c>
      <c r="I1941" s="696"/>
    </row>
    <row r="1942" spans="1:9" ht="20.100000000000001" customHeight="1" x14ac:dyDescent="0.2">
      <c r="A1942" s="695" t="str">
        <f t="shared" si="27"/>
        <v>344710000000000  Transferencias A Consorcios Publicos</v>
      </c>
      <c r="C1942" s="631"/>
      <c r="D1942" s="632">
        <v>344710000000000</v>
      </c>
      <c r="E1942" s="696" t="s">
        <v>5427</v>
      </c>
      <c r="F1942" s="696">
        <v>5</v>
      </c>
      <c r="G1942" s="696" t="s">
        <v>5596</v>
      </c>
      <c r="I1942" s="696"/>
    </row>
    <row r="1943" spans="1:9" ht="20.100000000000001" customHeight="1" x14ac:dyDescent="0.2">
      <c r="A1943" s="695" t="str">
        <f t="shared" si="27"/>
        <v>344714200000000  Auxilios</v>
      </c>
      <c r="C1943" s="631"/>
      <c r="D1943" s="632">
        <v>344714200000000</v>
      </c>
      <c r="E1943" s="696" t="s">
        <v>5415</v>
      </c>
      <c r="F1943" s="696">
        <v>6</v>
      </c>
      <c r="G1943" s="696" t="s">
        <v>5596</v>
      </c>
      <c r="I1943" s="696"/>
    </row>
    <row r="1944" spans="1:9" ht="20.100000000000001" customHeight="1" x14ac:dyDescent="0.2">
      <c r="A1944" s="695" t="str">
        <f t="shared" si="27"/>
        <v>344714299000000  Outros Auxilios</v>
      </c>
      <c r="C1944" s="631"/>
      <c r="D1944" s="632">
        <v>344714299000000</v>
      </c>
      <c r="E1944" s="696" t="s">
        <v>5426</v>
      </c>
      <c r="F1944" s="696">
        <v>7</v>
      </c>
      <c r="G1944" s="696" t="s">
        <v>5597</v>
      </c>
      <c r="I1944" s="696"/>
    </row>
    <row r="1945" spans="1:9" ht="20.100000000000001" customHeight="1" x14ac:dyDescent="0.2">
      <c r="A1945" s="695" t="str">
        <f t="shared" si="27"/>
        <v>344900000000000  Aplicacoes Diretas</v>
      </c>
      <c r="C1945" s="631"/>
      <c r="D1945" s="632">
        <v>344900000000000</v>
      </c>
      <c r="E1945" s="696" t="s">
        <v>2108</v>
      </c>
      <c r="F1945" s="696">
        <v>4</v>
      </c>
      <c r="G1945" s="696" t="s">
        <v>5596</v>
      </c>
      <c r="I1945" s="696"/>
    </row>
    <row r="1946" spans="1:9" ht="20.100000000000001" customHeight="1" x14ac:dyDescent="0.2">
      <c r="A1946" s="695" t="str">
        <f t="shared" si="27"/>
        <v>344901400000000  Diarias - Pessoal Civil</v>
      </c>
      <c r="C1946" s="631"/>
      <c r="D1946" s="632">
        <v>344901400000000</v>
      </c>
      <c r="E1946" s="696" t="s">
        <v>1046</v>
      </c>
      <c r="F1946" s="696">
        <v>6</v>
      </c>
      <c r="G1946" s="696" t="s">
        <v>5596</v>
      </c>
      <c r="I1946" s="696"/>
    </row>
    <row r="1947" spans="1:9" ht="20.100000000000001" customHeight="1" x14ac:dyDescent="0.2">
      <c r="A1947" s="695" t="str">
        <f t="shared" si="27"/>
        <v>344901414000000  Diarias No Pais</v>
      </c>
      <c r="C1947" s="631"/>
      <c r="D1947" s="632">
        <v>344901414000000</v>
      </c>
      <c r="E1947" s="696" t="s">
        <v>5050</v>
      </c>
      <c r="F1947" s="696">
        <v>7</v>
      </c>
      <c r="G1947" s="696" t="s">
        <v>5597</v>
      </c>
      <c r="I1947" s="696"/>
    </row>
    <row r="1948" spans="1:9" ht="20.100000000000001" customHeight="1" x14ac:dyDescent="0.2">
      <c r="A1948" s="695" t="str">
        <f t="shared" si="27"/>
        <v>344901416000000  Diarias No Exterior</v>
      </c>
      <c r="C1948" s="631"/>
      <c r="D1948" s="632">
        <v>344901416000000</v>
      </c>
      <c r="E1948" s="696" t="s">
        <v>5053</v>
      </c>
      <c r="F1948" s="696">
        <v>7</v>
      </c>
      <c r="G1948" s="696" t="s">
        <v>5597</v>
      </c>
      <c r="I1948" s="696"/>
    </row>
    <row r="1949" spans="1:9" ht="20.100000000000001" customHeight="1" x14ac:dyDescent="0.2">
      <c r="A1949" s="695" t="str">
        <f t="shared" si="27"/>
        <v>344901499000000  Outras Diarias</v>
      </c>
      <c r="C1949" s="631"/>
      <c r="D1949" s="632">
        <v>344901499000000</v>
      </c>
      <c r="E1949" s="696" t="s">
        <v>5054</v>
      </c>
      <c r="F1949" s="696">
        <v>7</v>
      </c>
      <c r="G1949" s="696" t="s">
        <v>5597</v>
      </c>
      <c r="I1949" s="696"/>
    </row>
    <row r="1950" spans="1:9" ht="20.100000000000001" customHeight="1" x14ac:dyDescent="0.2">
      <c r="A1950" s="695" t="str">
        <f t="shared" si="27"/>
        <v>344901800000000  Auxilio Financeiro A Estudantes</v>
      </c>
      <c r="C1950" s="631"/>
      <c r="D1950" s="632">
        <v>344901800000000</v>
      </c>
      <c r="E1950" s="696" t="s">
        <v>5060</v>
      </c>
      <c r="F1950" s="696">
        <v>6</v>
      </c>
      <c r="G1950" s="696" t="s">
        <v>5597</v>
      </c>
      <c r="I1950" s="696"/>
    </row>
    <row r="1951" spans="1:9" ht="20.100000000000001" customHeight="1" x14ac:dyDescent="0.2">
      <c r="A1951" s="695" t="str">
        <f t="shared" si="27"/>
        <v>344903000000000  Material De Consumo</v>
      </c>
      <c r="C1951" s="631"/>
      <c r="D1951" s="632">
        <v>344903000000000</v>
      </c>
      <c r="E1951" s="696" t="s">
        <v>996</v>
      </c>
      <c r="F1951" s="696">
        <v>6</v>
      </c>
      <c r="G1951" s="696" t="s">
        <v>5596</v>
      </c>
      <c r="I1951" s="696"/>
    </row>
    <row r="1952" spans="1:9" ht="20.100000000000001" customHeight="1" x14ac:dyDescent="0.2">
      <c r="A1952" s="695" t="str">
        <f t="shared" si="27"/>
        <v>344903016000000  Material De Expediente</v>
      </c>
      <c r="C1952" s="631"/>
      <c r="D1952" s="632">
        <v>344903016000000</v>
      </c>
      <c r="E1952" s="696" t="s">
        <v>1003</v>
      </c>
      <c r="F1952" s="696">
        <v>7</v>
      </c>
      <c r="G1952" s="696" t="s">
        <v>5597</v>
      </c>
      <c r="I1952" s="696"/>
    </row>
    <row r="1953" spans="1:9" ht="20.100000000000001" customHeight="1" x14ac:dyDescent="0.2">
      <c r="A1953" s="695" t="str">
        <f t="shared" si="27"/>
        <v>344903017000000  Material De Processamento De Dados</v>
      </c>
      <c r="C1953" s="631"/>
      <c r="D1953" s="632">
        <v>344903017000000</v>
      </c>
      <c r="E1953" s="696" t="s">
        <v>5106</v>
      </c>
      <c r="F1953" s="696">
        <v>7</v>
      </c>
      <c r="G1953" s="696" t="s">
        <v>5597</v>
      </c>
      <c r="I1953" s="696"/>
    </row>
    <row r="1954" spans="1:9" ht="20.100000000000001" customHeight="1" x14ac:dyDescent="0.2">
      <c r="A1954" s="695" t="str">
        <f t="shared" si="27"/>
        <v>344903024000000  Material De Construção</v>
      </c>
      <c r="C1954" s="631"/>
      <c r="D1954" s="632">
        <v>344903024000000</v>
      </c>
      <c r="E1954" s="696" t="s">
        <v>5428</v>
      </c>
      <c r="F1954" s="696">
        <v>7</v>
      </c>
      <c r="G1954" s="696" t="s">
        <v>5597</v>
      </c>
      <c r="I1954" s="696"/>
    </row>
    <row r="1955" spans="1:9" ht="20.100000000000001" customHeight="1" x14ac:dyDescent="0.2">
      <c r="A1955" s="695" t="str">
        <f t="shared" si="27"/>
        <v>344903024010000  Material De Construção P/ Pontes</v>
      </c>
      <c r="C1955" s="631"/>
      <c r="D1955" s="632">
        <v>344903024010000</v>
      </c>
      <c r="E1955" s="696" t="s">
        <v>5429</v>
      </c>
      <c r="F1955" s="696">
        <v>7</v>
      </c>
      <c r="G1955" s="696" t="s">
        <v>5597</v>
      </c>
      <c r="I1955" s="696" t="s">
        <v>5627</v>
      </c>
    </row>
    <row r="1956" spans="1:9" ht="20.100000000000001" customHeight="1" x14ac:dyDescent="0.2">
      <c r="A1956" s="695" t="str">
        <f t="shared" si="27"/>
        <v>344903024010100  Material P/Ponte Passo das Almas</v>
      </c>
      <c r="C1956" s="631"/>
      <c r="D1956" s="632">
        <v>344903024010100</v>
      </c>
      <c r="E1956" s="696" t="s">
        <v>5430</v>
      </c>
      <c r="F1956" s="696">
        <v>7</v>
      </c>
      <c r="G1956" s="696" t="s">
        <v>5597</v>
      </c>
      <c r="I1956" s="696" t="s">
        <v>5627</v>
      </c>
    </row>
    <row r="1957" spans="1:9" ht="20.100000000000001" customHeight="1" x14ac:dyDescent="0.2">
      <c r="A1957" s="695" t="str">
        <f t="shared" si="27"/>
        <v>344903024010200  Material P/ Ponte Ordalina</v>
      </c>
      <c r="C1957" s="631"/>
      <c r="D1957" s="632">
        <v>344903024010200</v>
      </c>
      <c r="E1957" s="696" t="s">
        <v>5431</v>
      </c>
      <c r="F1957" s="696">
        <v>7</v>
      </c>
      <c r="G1957" s="696" t="s">
        <v>5597</v>
      </c>
      <c r="I1957" s="696" t="s">
        <v>5627</v>
      </c>
    </row>
    <row r="1958" spans="1:9" ht="20.100000000000001" customHeight="1" x14ac:dyDescent="0.2">
      <c r="A1958" s="695" t="str">
        <f t="shared" si="27"/>
        <v>344903024010300  Material P/ Ponte Antonio Carlos</v>
      </c>
      <c r="C1958" s="631"/>
      <c r="D1958" s="632">
        <v>344903024010300</v>
      </c>
      <c r="E1958" s="696" t="s">
        <v>5432</v>
      </c>
      <c r="F1958" s="696">
        <v>7</v>
      </c>
      <c r="G1958" s="696" t="s">
        <v>5597</v>
      </c>
      <c r="I1958" s="696" t="s">
        <v>5627</v>
      </c>
    </row>
    <row r="1959" spans="1:9" ht="20.100000000000001" customHeight="1" x14ac:dyDescent="0.2">
      <c r="A1959" s="695" t="str">
        <f t="shared" si="27"/>
        <v>344903024010400  Material P/ Ponte da Amizade</v>
      </c>
      <c r="C1959" s="631"/>
      <c r="D1959" s="632">
        <v>344903024010400</v>
      </c>
      <c r="E1959" s="696" t="s">
        <v>5433</v>
      </c>
      <c r="F1959" s="696">
        <v>7</v>
      </c>
      <c r="G1959" s="696" t="s">
        <v>5597</v>
      </c>
      <c r="I1959" s="696" t="s">
        <v>5627</v>
      </c>
    </row>
    <row r="1960" spans="1:9" ht="20.100000000000001" customHeight="1" x14ac:dyDescent="0.2">
      <c r="A1960" s="695" t="str">
        <f t="shared" si="27"/>
        <v>344903024010500  Material P/ Ponte da Pitanga</v>
      </c>
      <c r="C1960" s="631"/>
      <c r="D1960" s="632">
        <v>344903024010500</v>
      </c>
      <c r="E1960" s="696" t="s">
        <v>5434</v>
      </c>
      <c r="F1960" s="696">
        <v>7</v>
      </c>
      <c r="G1960" s="696" t="s">
        <v>5597</v>
      </c>
      <c r="I1960" s="696" t="s">
        <v>5627</v>
      </c>
    </row>
    <row r="1961" spans="1:9" ht="20.100000000000001" customHeight="1" x14ac:dyDescent="0.2">
      <c r="A1961" s="695" t="str">
        <f t="shared" si="27"/>
        <v>344903024010600  Material P/ Ponte do Castelo-Pinheiro</v>
      </c>
      <c r="C1961" s="631"/>
      <c r="D1961" s="632">
        <v>344903024010600</v>
      </c>
      <c r="E1961" s="696" t="s">
        <v>5435</v>
      </c>
      <c r="F1961" s="696">
        <v>7</v>
      </c>
      <c r="G1961" s="696" t="s">
        <v>5597</v>
      </c>
      <c r="I1961" s="696" t="s">
        <v>5627</v>
      </c>
    </row>
    <row r="1962" spans="1:9" ht="20.100000000000001" customHeight="1" x14ac:dyDescent="0.2">
      <c r="A1962" s="695" t="str">
        <f t="shared" si="27"/>
        <v>344903024010700  Material P/ Ponte Travessão dos Queiroz</v>
      </c>
      <c r="C1962" s="631"/>
      <c r="D1962" s="632">
        <v>344903024010700</v>
      </c>
      <c r="E1962" s="696" t="s">
        <v>5436</v>
      </c>
      <c r="F1962" s="696">
        <v>7</v>
      </c>
      <c r="G1962" s="696" t="s">
        <v>5597</v>
      </c>
      <c r="I1962" s="696" t="s">
        <v>5627</v>
      </c>
    </row>
    <row r="1963" spans="1:9" ht="20.100000000000001" customHeight="1" x14ac:dyDescent="0.2">
      <c r="A1963" s="695" t="str">
        <f t="shared" si="27"/>
        <v>344903024010800  Material P/Ponte dos Ebel-Sao Braz</v>
      </c>
      <c r="C1963" s="631"/>
      <c r="D1963" s="632">
        <v>344903024010800</v>
      </c>
      <c r="E1963" s="696" t="s">
        <v>5437</v>
      </c>
      <c r="F1963" s="696">
        <v>7</v>
      </c>
      <c r="G1963" s="696" t="s">
        <v>5597</v>
      </c>
      <c r="I1963" s="696" t="s">
        <v>5627</v>
      </c>
    </row>
    <row r="1964" spans="1:9" ht="20.100000000000001" customHeight="1" x14ac:dyDescent="0.2">
      <c r="A1964" s="695" t="str">
        <f t="shared" si="27"/>
        <v>344903024010900  Material P/ Ponte do Guaraxaim</v>
      </c>
      <c r="C1964" s="631"/>
      <c r="D1964" s="632">
        <v>344903024010900</v>
      </c>
      <c r="E1964" s="696" t="s">
        <v>5438</v>
      </c>
      <c r="F1964" s="696">
        <v>7</v>
      </c>
      <c r="G1964" s="696" t="s">
        <v>5597</v>
      </c>
      <c r="I1964" s="696" t="s">
        <v>5627</v>
      </c>
    </row>
    <row r="1965" spans="1:9" ht="20.100000000000001" customHeight="1" x14ac:dyDescent="0.2">
      <c r="A1965" s="695" t="str">
        <f t="shared" si="27"/>
        <v>344903024011000  Material P/ Ponte do Travessão da Marta</v>
      </c>
      <c r="C1965" s="631"/>
      <c r="D1965" s="632">
        <v>344903024011000</v>
      </c>
      <c r="E1965" s="696" t="s">
        <v>5439</v>
      </c>
      <c r="F1965" s="696">
        <v>7</v>
      </c>
      <c r="G1965" s="696" t="s">
        <v>5597</v>
      </c>
      <c r="I1965" s="696" t="s">
        <v>5627</v>
      </c>
    </row>
    <row r="1966" spans="1:9" ht="20.100000000000001" customHeight="1" x14ac:dyDescent="0.2">
      <c r="A1966" s="695" t="str">
        <f t="shared" si="27"/>
        <v>344903024011100  Material P/ Ponte do Martin Tessmann</v>
      </c>
      <c r="C1966" s="631"/>
      <c r="D1966" s="632">
        <v>344903024011100</v>
      </c>
      <c r="E1966" s="696" t="s">
        <v>5440</v>
      </c>
      <c r="F1966" s="696">
        <v>7</v>
      </c>
      <c r="G1966" s="696" t="s">
        <v>5597</v>
      </c>
      <c r="I1966" s="696" t="s">
        <v>5627</v>
      </c>
    </row>
    <row r="1967" spans="1:9" ht="20.100000000000001" customHeight="1" x14ac:dyDescent="0.2">
      <c r="A1967" s="695" t="str">
        <f t="shared" si="27"/>
        <v>344903024011200  Material P/Ponte da Luciana</v>
      </c>
      <c r="C1967" s="631"/>
      <c r="D1967" s="632">
        <v>344903024011200</v>
      </c>
      <c r="E1967" s="696" t="s">
        <v>5441</v>
      </c>
      <c r="F1967" s="696">
        <v>7</v>
      </c>
      <c r="G1967" s="696" t="s">
        <v>5597</v>
      </c>
      <c r="I1967" s="696" t="s">
        <v>5627</v>
      </c>
    </row>
    <row r="1968" spans="1:9" ht="20.100000000000001" customHeight="1" x14ac:dyDescent="0.2">
      <c r="A1968" s="695" t="str">
        <f t="shared" si="27"/>
        <v>344903024011300  Material P/ Ponte Hilson Carlos</v>
      </c>
      <c r="C1968" s="631"/>
      <c r="D1968" s="632">
        <v>344903024011300</v>
      </c>
      <c r="E1968" s="696" t="s">
        <v>5442</v>
      </c>
      <c r="F1968" s="696">
        <v>7</v>
      </c>
      <c r="G1968" s="696" t="s">
        <v>5597</v>
      </c>
      <c r="I1968" s="696" t="s">
        <v>5627</v>
      </c>
    </row>
    <row r="1969" spans="1:9" ht="20.100000000000001" customHeight="1" x14ac:dyDescent="0.2">
      <c r="A1969" s="695" t="str">
        <f t="shared" ref="A1969:A2032" si="28">CONCATENATE(D1969,"  ",E1969,)</f>
        <v>344903024011400  Material P/Ponte Luiz Hubner</v>
      </c>
      <c r="C1969" s="631"/>
      <c r="D1969" s="632">
        <v>344903024011400</v>
      </c>
      <c r="E1969" s="696" t="s">
        <v>5443</v>
      </c>
      <c r="F1969" s="696">
        <v>7</v>
      </c>
      <c r="G1969" s="696" t="s">
        <v>5597</v>
      </c>
      <c r="I1969" s="696" t="s">
        <v>5627</v>
      </c>
    </row>
    <row r="1970" spans="1:9" ht="20.100000000000001" customHeight="1" x14ac:dyDescent="0.2">
      <c r="A1970" s="695" t="str">
        <f t="shared" si="28"/>
        <v>344903024020000  Material para Abrigos</v>
      </c>
      <c r="C1970" s="631"/>
      <c r="D1970" s="632">
        <v>344903024020000</v>
      </c>
      <c r="E1970" s="696" t="s">
        <v>5444</v>
      </c>
      <c r="F1970" s="696">
        <v>7</v>
      </c>
      <c r="G1970" s="696" t="s">
        <v>5597</v>
      </c>
      <c r="I1970" s="696" t="s">
        <v>5600</v>
      </c>
    </row>
    <row r="1971" spans="1:9" ht="20.100000000000001" customHeight="1" x14ac:dyDescent="0.2">
      <c r="A1971" s="695" t="str">
        <f t="shared" si="28"/>
        <v>344903025000000  Material P/  Manutencao De Bens Moveis</v>
      </c>
      <c r="C1971" s="631"/>
      <c r="D1971" s="632">
        <v>344903025000000</v>
      </c>
      <c r="E1971" s="696" t="s">
        <v>5638</v>
      </c>
      <c r="F1971" s="696">
        <v>7</v>
      </c>
      <c r="G1971" s="696" t="s">
        <v>5597</v>
      </c>
      <c r="I1971" s="696"/>
    </row>
    <row r="1972" spans="1:9" ht="20.100000000000001" customHeight="1" x14ac:dyDescent="0.2">
      <c r="A1972" s="695" t="str">
        <f t="shared" si="28"/>
        <v>344903029000000  Material P/  Audio, Video E Foto</v>
      </c>
      <c r="C1972" s="631"/>
      <c r="D1972" s="632">
        <v>344903029000000</v>
      </c>
      <c r="E1972" s="696" t="s">
        <v>5639</v>
      </c>
      <c r="F1972" s="696">
        <v>7</v>
      </c>
      <c r="G1972" s="696" t="s">
        <v>5597</v>
      </c>
      <c r="I1972" s="696"/>
    </row>
    <row r="1973" spans="1:9" ht="20.100000000000001" customHeight="1" x14ac:dyDescent="0.2">
      <c r="A1973" s="695" t="str">
        <f t="shared" si="28"/>
        <v>344903039000000  Material P/  Manutencao De Veiculos</v>
      </c>
      <c r="C1973" s="631"/>
      <c r="D1973" s="632">
        <v>344903039000000</v>
      </c>
      <c r="E1973" s="696" t="s">
        <v>5641</v>
      </c>
      <c r="F1973" s="696">
        <v>7</v>
      </c>
      <c r="G1973" s="696" t="s">
        <v>5597</v>
      </c>
      <c r="I1973" s="696"/>
    </row>
    <row r="1974" spans="1:9" ht="20.100000000000001" customHeight="1" x14ac:dyDescent="0.2">
      <c r="A1974" s="695" t="str">
        <f t="shared" si="28"/>
        <v>344903039010000  Material P/Manutenção da Motoniveladora 845B</v>
      </c>
      <c r="C1974" s="631"/>
      <c r="D1974" s="632">
        <v>344903039010000</v>
      </c>
      <c r="E1974" s="696" t="s">
        <v>5445</v>
      </c>
      <c r="F1974" s="696">
        <v>7</v>
      </c>
      <c r="G1974" s="696" t="s">
        <v>5597</v>
      </c>
      <c r="I1974" s="696" t="s">
        <v>5627</v>
      </c>
    </row>
    <row r="1975" spans="1:9" ht="20.100000000000001" customHeight="1" x14ac:dyDescent="0.2">
      <c r="A1975" s="695" t="str">
        <f t="shared" si="28"/>
        <v>344903099000000  Outros Materiais De Consumo</v>
      </c>
      <c r="C1975" s="631"/>
      <c r="D1975" s="632">
        <v>344903099000000</v>
      </c>
      <c r="E1975" s="696" t="s">
        <v>995</v>
      </c>
      <c r="F1975" s="696">
        <v>7</v>
      </c>
      <c r="G1975" s="696" t="s">
        <v>5597</v>
      </c>
      <c r="I1975" s="696"/>
    </row>
    <row r="1976" spans="1:9" ht="20.100000000000001" customHeight="1" x14ac:dyDescent="0.2">
      <c r="A1976" s="695" t="str">
        <f t="shared" si="28"/>
        <v>344903099010000  Materiais P/Avendia 28 de dezembro</v>
      </c>
      <c r="C1976" s="631"/>
      <c r="D1976" s="632">
        <v>344903099010000</v>
      </c>
      <c r="E1976" s="696" t="s">
        <v>5446</v>
      </c>
      <c r="F1976" s="696">
        <v>8</v>
      </c>
      <c r="G1976" s="696" t="s">
        <v>5597</v>
      </c>
      <c r="I1976" s="696" t="s">
        <v>5600</v>
      </c>
    </row>
    <row r="1977" spans="1:9" ht="20.100000000000001" customHeight="1" x14ac:dyDescent="0.2">
      <c r="A1977" s="695" t="str">
        <f t="shared" si="28"/>
        <v>344903099020000  Materiais P/Rua H</v>
      </c>
      <c r="C1977" s="631"/>
      <c r="D1977" s="632">
        <v>344903099020000</v>
      </c>
      <c r="E1977" s="696" t="s">
        <v>5447</v>
      </c>
      <c r="F1977" s="696">
        <v>8</v>
      </c>
      <c r="G1977" s="696" t="s">
        <v>5597</v>
      </c>
      <c r="I1977" s="696" t="s">
        <v>5600</v>
      </c>
    </row>
    <row r="1978" spans="1:9" ht="20.100000000000001" customHeight="1" x14ac:dyDescent="0.2">
      <c r="A1978" s="695" t="str">
        <f t="shared" si="28"/>
        <v>344903099030000  Materiais P/Rua Q</v>
      </c>
      <c r="C1978" s="631"/>
      <c r="D1978" s="632">
        <v>344903099030000</v>
      </c>
      <c r="E1978" s="696" t="s">
        <v>5448</v>
      </c>
      <c r="F1978" s="696">
        <v>8</v>
      </c>
      <c r="G1978" s="696" t="s">
        <v>5597</v>
      </c>
      <c r="I1978" s="696" t="s">
        <v>5600</v>
      </c>
    </row>
    <row r="1979" spans="1:9" ht="20.100000000000001" customHeight="1" x14ac:dyDescent="0.2">
      <c r="A1979" s="695" t="str">
        <f t="shared" si="28"/>
        <v>344903099040000  Materiais P/Iluminacao Publica</v>
      </c>
      <c r="C1979" s="631"/>
      <c r="D1979" s="632">
        <v>344903099040000</v>
      </c>
      <c r="E1979" s="696" t="s">
        <v>5449</v>
      </c>
      <c r="F1979" s="696">
        <v>8</v>
      </c>
      <c r="G1979" s="696" t="s">
        <v>5597</v>
      </c>
      <c r="I1979" s="696" t="s">
        <v>5600</v>
      </c>
    </row>
    <row r="1980" spans="1:9" ht="20.100000000000001" customHeight="1" x14ac:dyDescent="0.2">
      <c r="A1980" s="695" t="str">
        <f t="shared" si="28"/>
        <v>344903099050000  Material para Instalacao de Equipamentos</v>
      </c>
      <c r="C1980" s="631"/>
      <c r="D1980" s="632">
        <v>344903099050000</v>
      </c>
      <c r="E1980" s="696" t="s">
        <v>2139</v>
      </c>
      <c r="F1980" s="696">
        <v>8</v>
      </c>
      <c r="G1980" s="696" t="s">
        <v>5597</v>
      </c>
      <c r="I1980" s="696" t="s">
        <v>5600</v>
      </c>
    </row>
    <row r="1981" spans="1:9" ht="20.100000000000001" customHeight="1" x14ac:dyDescent="0.2">
      <c r="A1981" s="695" t="str">
        <f t="shared" si="28"/>
        <v>344903099050100  Custo de Aquisição : Instalacao de Equipamentos</v>
      </c>
      <c r="C1981" s="631"/>
      <c r="D1981" s="632">
        <v>344903099050100</v>
      </c>
      <c r="E1981" s="696" t="s">
        <v>5450</v>
      </c>
      <c r="F1981" s="696">
        <v>9</v>
      </c>
      <c r="G1981" s="696" t="s">
        <v>5597</v>
      </c>
      <c r="I1981" s="696" t="s">
        <v>5600</v>
      </c>
    </row>
    <row r="1982" spans="1:9" ht="20.100000000000001" customHeight="1" x14ac:dyDescent="0.2">
      <c r="A1982" s="695" t="str">
        <f t="shared" si="28"/>
        <v>344903099050200  Custo de Aquisição : Equip. E Utensilios Domésticos</v>
      </c>
      <c r="C1982" s="631"/>
      <c r="D1982" s="632">
        <v>344903099050200</v>
      </c>
      <c r="E1982" s="696" t="s">
        <v>5451</v>
      </c>
      <c r="F1982" s="696">
        <v>9</v>
      </c>
      <c r="G1982" s="696" t="s">
        <v>5597</v>
      </c>
      <c r="I1982" s="696" t="s">
        <v>5600</v>
      </c>
    </row>
    <row r="1983" spans="1:9" ht="20.100000000000001" customHeight="1" x14ac:dyDescent="0.2">
      <c r="A1983" s="695" t="str">
        <f t="shared" si="28"/>
        <v>344903099050300  Custo de Aquisição : Equip. de Informática</v>
      </c>
      <c r="C1983" s="631"/>
      <c r="D1983" s="632">
        <v>344903099050300</v>
      </c>
      <c r="E1983" s="696" t="s">
        <v>5452</v>
      </c>
      <c r="F1983" s="696">
        <v>9</v>
      </c>
      <c r="G1983" s="696" t="s">
        <v>5597</v>
      </c>
      <c r="I1983" s="696" t="s">
        <v>5600</v>
      </c>
    </row>
    <row r="1984" spans="1:9" ht="20.100000000000001" customHeight="1" x14ac:dyDescent="0.2">
      <c r="A1984" s="695" t="str">
        <f t="shared" si="28"/>
        <v>344903099050400  Custo de Aquisição : Equip. de Comunicação</v>
      </c>
      <c r="C1984" s="631"/>
      <c r="D1984" s="632">
        <v>344903099050400</v>
      </c>
      <c r="E1984" s="696" t="s">
        <v>5453</v>
      </c>
      <c r="F1984" s="696">
        <v>9</v>
      </c>
      <c r="G1984" s="696" t="s">
        <v>5597</v>
      </c>
      <c r="I1984" s="696" t="s">
        <v>5600</v>
      </c>
    </row>
    <row r="1985" spans="1:9" ht="20.100000000000001" customHeight="1" x14ac:dyDescent="0.2">
      <c r="A1985" s="695" t="str">
        <f t="shared" si="28"/>
        <v>344903099060000  Material P/Manutenção do Pórtico</v>
      </c>
      <c r="C1985" s="631"/>
      <c r="D1985" s="632">
        <v>344903099060000</v>
      </c>
      <c r="E1985" s="696" t="s">
        <v>5454</v>
      </c>
      <c r="F1985" s="696">
        <v>8</v>
      </c>
      <c r="G1985" s="696" t="s">
        <v>5597</v>
      </c>
      <c r="I1985" s="696" t="s">
        <v>5627</v>
      </c>
    </row>
    <row r="1986" spans="1:9" ht="20.100000000000001" customHeight="1" x14ac:dyDescent="0.2">
      <c r="A1986" s="695" t="str">
        <f t="shared" si="28"/>
        <v>344903099070000  Material P/Estradas</v>
      </c>
      <c r="C1986" s="631"/>
      <c r="D1986" s="632">
        <v>344903099070000</v>
      </c>
      <c r="E1986" s="696" t="s">
        <v>5455</v>
      </c>
      <c r="F1986" s="696">
        <v>8</v>
      </c>
      <c r="G1986" s="696" t="s">
        <v>5597</v>
      </c>
      <c r="I1986" s="696" t="s">
        <v>5600</v>
      </c>
    </row>
    <row r="1987" spans="1:9" ht="20.100000000000001" customHeight="1" x14ac:dyDescent="0.2">
      <c r="A1987" s="695" t="str">
        <f t="shared" si="28"/>
        <v>344903099080000  Material P/obras e Instalações</v>
      </c>
      <c r="C1987" s="631"/>
      <c r="D1987" s="632">
        <v>344903099080000</v>
      </c>
      <c r="E1987" s="696" t="s">
        <v>5456</v>
      </c>
      <c r="F1987" s="696">
        <v>8</v>
      </c>
      <c r="G1987" s="696" t="s">
        <v>5597</v>
      </c>
      <c r="I1987" s="696" t="s">
        <v>5600</v>
      </c>
    </row>
    <row r="1988" spans="1:9" ht="20.100000000000001" customHeight="1" x14ac:dyDescent="0.2">
      <c r="A1988" s="695" t="str">
        <f t="shared" si="28"/>
        <v>344903099090000  Materiais P/Aquisição de Veículos</v>
      </c>
      <c r="C1988" s="631"/>
      <c r="D1988" s="632">
        <v>344903099090000</v>
      </c>
      <c r="E1988" s="696" t="s">
        <v>5457</v>
      </c>
      <c r="F1988" s="696">
        <v>8</v>
      </c>
      <c r="G1988" s="696" t="s">
        <v>5597</v>
      </c>
      <c r="I1988" s="696" t="s">
        <v>5600</v>
      </c>
    </row>
    <row r="1989" spans="1:9" ht="20.100000000000001" customHeight="1" x14ac:dyDescent="0.2">
      <c r="A1989" s="695" t="str">
        <f t="shared" si="28"/>
        <v>344903500000000  Servicos De Consultoria</v>
      </c>
      <c r="C1989" s="631"/>
      <c r="D1989" s="632">
        <v>344903500000000</v>
      </c>
      <c r="E1989" s="696" t="s">
        <v>1260</v>
      </c>
      <c r="F1989" s="696">
        <v>6</v>
      </c>
      <c r="G1989" s="696" t="s">
        <v>5596</v>
      </c>
      <c r="I1989" s="696"/>
    </row>
    <row r="1990" spans="1:9" ht="20.100000000000001" customHeight="1" x14ac:dyDescent="0.2">
      <c r="A1990" s="695" t="str">
        <f t="shared" si="28"/>
        <v>344903504000000  Consultoria Em Tecnologia Da Informação</v>
      </c>
      <c r="C1990" s="631"/>
      <c r="D1990" s="632">
        <v>344903504000000</v>
      </c>
      <c r="E1990" s="696" t="s">
        <v>5458</v>
      </c>
      <c r="F1990" s="696">
        <v>7</v>
      </c>
      <c r="G1990" s="696" t="s">
        <v>5597</v>
      </c>
      <c r="I1990" s="696" t="s">
        <v>5647</v>
      </c>
    </row>
    <row r="1991" spans="1:9" ht="20.100000000000001" customHeight="1" x14ac:dyDescent="0.2">
      <c r="A1991" s="695" t="str">
        <f t="shared" si="28"/>
        <v>344903599000000  Outros Servicos De Consultoria</v>
      </c>
      <c r="C1991" s="631"/>
      <c r="D1991" s="632">
        <v>344903599000000</v>
      </c>
      <c r="E1991" s="696" t="s">
        <v>5182</v>
      </c>
      <c r="F1991" s="696">
        <v>7</v>
      </c>
      <c r="G1991" s="696" t="s">
        <v>5597</v>
      </c>
      <c r="I1991" s="696"/>
    </row>
    <row r="1992" spans="1:9" ht="20.100000000000001" customHeight="1" x14ac:dyDescent="0.2">
      <c r="A1992" s="695" t="str">
        <f t="shared" si="28"/>
        <v>344903600000000  Outros Servicos De Terceiros - Pessoa Fisica</v>
      </c>
      <c r="C1992" s="631"/>
      <c r="D1992" s="632">
        <v>344903600000000</v>
      </c>
      <c r="E1992" s="696" t="s">
        <v>993</v>
      </c>
      <c r="F1992" s="696">
        <v>6</v>
      </c>
      <c r="G1992" s="696" t="s">
        <v>5596</v>
      </c>
      <c r="I1992" s="696"/>
    </row>
    <row r="1993" spans="1:9" ht="20.100000000000001" customHeight="1" x14ac:dyDescent="0.2">
      <c r="A1993" s="695" t="str">
        <f t="shared" si="28"/>
        <v>344903645000000  Desenvolvimento De Software</v>
      </c>
      <c r="C1993" s="631"/>
      <c r="D1993" s="632">
        <v>344903645000000</v>
      </c>
      <c r="E1993" s="696" t="s">
        <v>5292</v>
      </c>
      <c r="F1993" s="696">
        <v>7</v>
      </c>
      <c r="G1993" s="696" t="s">
        <v>5597</v>
      </c>
      <c r="I1993" s="696" t="s">
        <v>5647</v>
      </c>
    </row>
    <row r="1994" spans="1:9" ht="20.100000000000001" customHeight="1" x14ac:dyDescent="0.2">
      <c r="A1994" s="695" t="str">
        <f t="shared" si="28"/>
        <v>344903646000000  Aquisição De Software Sob Encomenda</v>
      </c>
      <c r="C1994" s="631"/>
      <c r="D1994" s="632">
        <v>344903646000000</v>
      </c>
      <c r="E1994" s="696" t="s">
        <v>5459</v>
      </c>
      <c r="F1994" s="696">
        <v>7</v>
      </c>
      <c r="G1994" s="696" t="s">
        <v>5597</v>
      </c>
      <c r="I1994" s="696" t="s">
        <v>5647</v>
      </c>
    </row>
    <row r="1995" spans="1:9" ht="20.100000000000001" customHeight="1" x14ac:dyDescent="0.2">
      <c r="A1995" s="695" t="str">
        <f t="shared" si="28"/>
        <v>344903657000000  Serviços Técnicos De Profissionais De T.I.</v>
      </c>
      <c r="C1995" s="631"/>
      <c r="D1995" s="632">
        <v>344903657000000</v>
      </c>
      <c r="E1995" s="696" t="s">
        <v>5219</v>
      </c>
      <c r="F1995" s="696">
        <v>7</v>
      </c>
      <c r="G1995" s="696" t="s">
        <v>5597</v>
      </c>
      <c r="I1995" s="696" t="s">
        <v>5647</v>
      </c>
    </row>
    <row r="1996" spans="1:9" ht="20.100000000000001" customHeight="1" x14ac:dyDescent="0.2">
      <c r="A1996" s="695" t="str">
        <f t="shared" si="28"/>
        <v>344903699000000  Outros Servicos De Terceiros - Pessoa  Fisica</v>
      </c>
      <c r="C1996" s="631"/>
      <c r="D1996" s="632">
        <v>344903699000000</v>
      </c>
      <c r="E1996" s="696" t="s">
        <v>5707</v>
      </c>
      <c r="F1996" s="696">
        <v>7</v>
      </c>
      <c r="G1996" s="696" t="s">
        <v>5597</v>
      </c>
      <c r="I1996" s="696"/>
    </row>
    <row r="1997" spans="1:9" ht="20.100000000000001" customHeight="1" x14ac:dyDescent="0.2">
      <c r="A1997" s="695" t="str">
        <f t="shared" si="28"/>
        <v>344903699010000  Servicos de Instalação de Equipamentos</v>
      </c>
      <c r="C1997" s="631"/>
      <c r="D1997" s="632">
        <v>344903699010000</v>
      </c>
      <c r="E1997" s="696" t="s">
        <v>2140</v>
      </c>
      <c r="F1997" s="696">
        <v>8</v>
      </c>
      <c r="G1997" s="696" t="s">
        <v>5597</v>
      </c>
      <c r="I1997" s="696" t="s">
        <v>5600</v>
      </c>
    </row>
    <row r="1998" spans="1:9" ht="20.100000000000001" customHeight="1" x14ac:dyDescent="0.2">
      <c r="A1998" s="695" t="str">
        <f t="shared" si="28"/>
        <v>344903699020000  Custo de Aquisição: Serv. de Instalação Equip. E Utensilios Domésticos</v>
      </c>
      <c r="C1998" s="631"/>
      <c r="D1998" s="632">
        <v>344903699020000</v>
      </c>
      <c r="E1998" s="696" t="s">
        <v>5460</v>
      </c>
      <c r="F1998" s="696">
        <v>8</v>
      </c>
      <c r="G1998" s="696" t="s">
        <v>5597</v>
      </c>
      <c r="I1998" s="696" t="s">
        <v>5600</v>
      </c>
    </row>
    <row r="1999" spans="1:9" ht="20.100000000000001" customHeight="1" x14ac:dyDescent="0.2">
      <c r="A1999" s="695" t="str">
        <f t="shared" si="28"/>
        <v>344903699030000  Custo de Aquisição: Serv. de Instalação Eqip. Informática</v>
      </c>
      <c r="C1999" s="631"/>
      <c r="D1999" s="632">
        <v>344903699030000</v>
      </c>
      <c r="E1999" s="696" t="s">
        <v>5461</v>
      </c>
      <c r="F1999" s="696">
        <v>8</v>
      </c>
      <c r="G1999" s="696" t="s">
        <v>5597</v>
      </c>
      <c r="I1999" s="696" t="s">
        <v>5600</v>
      </c>
    </row>
    <row r="2000" spans="1:9" ht="20.100000000000001" customHeight="1" x14ac:dyDescent="0.2">
      <c r="A2000" s="695" t="str">
        <f t="shared" si="28"/>
        <v>344903699040000  Custo de Aquisição: Serv. de Instalação Equip. de Comunicação</v>
      </c>
      <c r="C2000" s="631"/>
      <c r="D2000" s="632">
        <v>344903699040000</v>
      </c>
      <c r="E2000" s="696" t="s">
        <v>5462</v>
      </c>
      <c r="F2000" s="696">
        <v>8</v>
      </c>
      <c r="G2000" s="696" t="s">
        <v>5597</v>
      </c>
      <c r="I2000" s="696" t="s">
        <v>5600</v>
      </c>
    </row>
    <row r="2001" spans="1:9" ht="20.100000000000001" customHeight="1" x14ac:dyDescent="0.2">
      <c r="A2001" s="695" t="str">
        <f t="shared" si="28"/>
        <v>344903699050000  Custo de Aquisição: Servicos de Aquisição de Maq., Veiculos e Caminhõe</v>
      </c>
      <c r="C2001" s="631"/>
      <c r="D2001" s="632">
        <v>344903699050000</v>
      </c>
      <c r="E2001" s="696" t="s">
        <v>5463</v>
      </c>
      <c r="F2001" s="696">
        <v>8</v>
      </c>
      <c r="G2001" s="696" t="s">
        <v>5597</v>
      </c>
      <c r="I2001" s="696" t="s">
        <v>5600</v>
      </c>
    </row>
    <row r="2002" spans="1:9" ht="20.100000000000001" customHeight="1" x14ac:dyDescent="0.2">
      <c r="A2002" s="695" t="str">
        <f t="shared" si="28"/>
        <v>344903699060000  Manutencao de pontes e Boeiros</v>
      </c>
      <c r="C2002" s="631"/>
      <c r="D2002" s="632">
        <v>344903699060000</v>
      </c>
      <c r="E2002" s="696" t="s">
        <v>5464</v>
      </c>
      <c r="F2002" s="696">
        <v>8</v>
      </c>
      <c r="G2002" s="696" t="s">
        <v>5597</v>
      </c>
      <c r="I2002" s="696" t="s">
        <v>5600</v>
      </c>
    </row>
    <row r="2003" spans="1:9" ht="20.100000000000001" customHeight="1" x14ac:dyDescent="0.2">
      <c r="A2003" s="695" t="str">
        <f t="shared" si="28"/>
        <v>344903699060100  Manutencao Ponte Passo das Almas</v>
      </c>
      <c r="C2003" s="631"/>
      <c r="D2003" s="632">
        <v>344903699060100</v>
      </c>
      <c r="E2003" s="696" t="s">
        <v>5465</v>
      </c>
      <c r="F2003" s="696">
        <v>9</v>
      </c>
      <c r="G2003" s="696" t="s">
        <v>5597</v>
      </c>
      <c r="I2003" s="696" t="s">
        <v>5600</v>
      </c>
    </row>
    <row r="2004" spans="1:9" ht="20.100000000000001" customHeight="1" x14ac:dyDescent="0.2">
      <c r="A2004" s="695" t="str">
        <f t="shared" si="28"/>
        <v>344903699060200  Manutencao Ponte Ponte Ordalina</v>
      </c>
      <c r="C2004" s="631"/>
      <c r="D2004" s="632">
        <v>344903699060200</v>
      </c>
      <c r="E2004" s="696" t="s">
        <v>5466</v>
      </c>
      <c r="F2004" s="696">
        <v>9</v>
      </c>
      <c r="G2004" s="696" t="s">
        <v>5597</v>
      </c>
      <c r="I2004" s="696" t="s">
        <v>5600</v>
      </c>
    </row>
    <row r="2005" spans="1:9" ht="20.100000000000001" customHeight="1" x14ac:dyDescent="0.2">
      <c r="A2005" s="695" t="str">
        <f t="shared" si="28"/>
        <v>344903699060300  Manutencao Ponte Antonio Carlos</v>
      </c>
      <c r="C2005" s="631"/>
      <c r="D2005" s="632">
        <v>344903699060300</v>
      </c>
      <c r="E2005" s="696" t="s">
        <v>5467</v>
      </c>
      <c r="F2005" s="696">
        <v>9</v>
      </c>
      <c r="G2005" s="696" t="s">
        <v>5597</v>
      </c>
      <c r="I2005" s="696" t="s">
        <v>5600</v>
      </c>
    </row>
    <row r="2006" spans="1:9" ht="20.100000000000001" customHeight="1" x14ac:dyDescent="0.2">
      <c r="A2006" s="695" t="str">
        <f t="shared" si="28"/>
        <v>344903699060400  Manutencao Ponte da Amizade</v>
      </c>
      <c r="C2006" s="631"/>
      <c r="D2006" s="632">
        <v>344903699060400</v>
      </c>
      <c r="E2006" s="696" t="s">
        <v>5468</v>
      </c>
      <c r="F2006" s="696">
        <v>9</v>
      </c>
      <c r="G2006" s="696" t="s">
        <v>5597</v>
      </c>
      <c r="I2006" s="696" t="s">
        <v>5600</v>
      </c>
    </row>
    <row r="2007" spans="1:9" ht="20.100000000000001" customHeight="1" x14ac:dyDescent="0.2">
      <c r="A2007" s="695" t="str">
        <f t="shared" si="28"/>
        <v>344903699060500  Manutencao Ponte da Pitanga</v>
      </c>
      <c r="C2007" s="631"/>
      <c r="D2007" s="632">
        <v>344903699060500</v>
      </c>
      <c r="E2007" s="696" t="s">
        <v>5469</v>
      </c>
      <c r="F2007" s="696">
        <v>9</v>
      </c>
      <c r="G2007" s="696" t="s">
        <v>5597</v>
      </c>
      <c r="I2007" s="696" t="s">
        <v>5600</v>
      </c>
    </row>
    <row r="2008" spans="1:9" ht="20.100000000000001" customHeight="1" x14ac:dyDescent="0.2">
      <c r="A2008" s="695" t="str">
        <f t="shared" si="28"/>
        <v>344903699060600  Manutencao Ponte do Castelo-Pinheiro</v>
      </c>
      <c r="C2008" s="631"/>
      <c r="D2008" s="632">
        <v>344903699060600</v>
      </c>
      <c r="E2008" s="696" t="s">
        <v>5470</v>
      </c>
      <c r="F2008" s="696">
        <v>9</v>
      </c>
      <c r="G2008" s="696" t="s">
        <v>5597</v>
      </c>
      <c r="I2008" s="696" t="s">
        <v>5600</v>
      </c>
    </row>
    <row r="2009" spans="1:9" ht="20.100000000000001" customHeight="1" x14ac:dyDescent="0.2">
      <c r="A2009" s="695" t="str">
        <f t="shared" si="28"/>
        <v>344903699060700  Manutencao Ponte Travessão dos Queiroz</v>
      </c>
      <c r="C2009" s="631"/>
      <c r="D2009" s="632">
        <v>344903699060700</v>
      </c>
      <c r="E2009" s="696" t="s">
        <v>5471</v>
      </c>
      <c r="F2009" s="696">
        <v>9</v>
      </c>
      <c r="G2009" s="696" t="s">
        <v>5597</v>
      </c>
      <c r="I2009" s="696" t="s">
        <v>5600</v>
      </c>
    </row>
    <row r="2010" spans="1:9" ht="20.100000000000001" customHeight="1" x14ac:dyDescent="0.2">
      <c r="A2010" s="695" t="str">
        <f t="shared" si="28"/>
        <v>344903699060800  Manutencao Ponte dos Ebel-Sao Braz</v>
      </c>
      <c r="C2010" s="631"/>
      <c r="D2010" s="632">
        <v>344903699060800</v>
      </c>
      <c r="E2010" s="696" t="s">
        <v>5472</v>
      </c>
      <c r="F2010" s="696">
        <v>9</v>
      </c>
      <c r="G2010" s="696" t="s">
        <v>5597</v>
      </c>
      <c r="I2010" s="696" t="s">
        <v>5600</v>
      </c>
    </row>
    <row r="2011" spans="1:9" ht="20.100000000000001" customHeight="1" x14ac:dyDescent="0.2">
      <c r="A2011" s="695" t="str">
        <f t="shared" si="28"/>
        <v>344903699060900  Manutencao Boeiros</v>
      </c>
      <c r="C2011" s="631"/>
      <c r="D2011" s="632">
        <v>344903699060900</v>
      </c>
      <c r="E2011" s="696" t="s">
        <v>5473</v>
      </c>
      <c r="F2011" s="696">
        <v>9</v>
      </c>
      <c r="G2011" s="696" t="s">
        <v>5597</v>
      </c>
      <c r="I2011" s="696" t="s">
        <v>5600</v>
      </c>
    </row>
    <row r="2012" spans="1:9" ht="20.100000000000001" customHeight="1" x14ac:dyDescent="0.2">
      <c r="A2012" s="695" t="str">
        <f t="shared" si="28"/>
        <v>344903699070000  Manutenção de Estradas Municipais</v>
      </c>
      <c r="C2012" s="631"/>
      <c r="D2012" s="632">
        <v>344903699070000</v>
      </c>
      <c r="E2012" s="696" t="s">
        <v>5474</v>
      </c>
      <c r="F2012" s="696">
        <v>8</v>
      </c>
      <c r="G2012" s="696" t="s">
        <v>5597</v>
      </c>
      <c r="I2012" s="696" t="s">
        <v>5600</v>
      </c>
    </row>
    <row r="2013" spans="1:9" ht="20.100000000000001" customHeight="1" x14ac:dyDescent="0.2">
      <c r="A2013" s="695" t="str">
        <f t="shared" si="28"/>
        <v>344903699080000  Const. e Conserv. de Abrigos de Passageiros</v>
      </c>
      <c r="C2013" s="631"/>
      <c r="D2013" s="632">
        <v>344903699080000</v>
      </c>
      <c r="E2013" s="696" t="s">
        <v>5475</v>
      </c>
      <c r="F2013" s="696">
        <v>8</v>
      </c>
      <c r="G2013" s="696" t="s">
        <v>5597</v>
      </c>
      <c r="I2013" s="696" t="s">
        <v>5600</v>
      </c>
    </row>
    <row r="2014" spans="1:9" ht="20.100000000000001" customHeight="1" x14ac:dyDescent="0.2">
      <c r="A2014" s="695" t="str">
        <f t="shared" si="28"/>
        <v>344903699090000  Servicos P/Obras e Instalações</v>
      </c>
      <c r="C2014" s="631"/>
      <c r="D2014" s="632">
        <v>344903699090000</v>
      </c>
      <c r="E2014" s="696" t="s">
        <v>5476</v>
      </c>
      <c r="F2014" s="696">
        <v>8</v>
      </c>
      <c r="G2014" s="696" t="s">
        <v>5597</v>
      </c>
      <c r="I2014" s="696" t="s">
        <v>5600</v>
      </c>
    </row>
    <row r="2015" spans="1:9" ht="20.100000000000001" customHeight="1" x14ac:dyDescent="0.2">
      <c r="A2015" s="695" t="str">
        <f t="shared" si="28"/>
        <v>344903699100000  Prestação de Serviços Custo de Aquisição de Ar Condicionado</v>
      </c>
      <c r="C2015" s="631"/>
      <c r="D2015" s="632">
        <v>344903699100000</v>
      </c>
      <c r="E2015" s="696" t="s">
        <v>5477</v>
      </c>
      <c r="F2015" s="696">
        <v>8</v>
      </c>
      <c r="G2015" s="696" t="s">
        <v>5597</v>
      </c>
      <c r="I2015" s="696" t="s">
        <v>5600</v>
      </c>
    </row>
    <row r="2016" spans="1:9" ht="20.100000000000001" customHeight="1" x14ac:dyDescent="0.2">
      <c r="A2016" s="695" t="str">
        <f t="shared" si="28"/>
        <v>344903699110000  Prestação de Serviços P/Avenida 28 de Dezembro</v>
      </c>
      <c r="C2016" s="631"/>
      <c r="D2016" s="632">
        <v>344903699110000</v>
      </c>
      <c r="E2016" s="696" t="s">
        <v>5478</v>
      </c>
      <c r="F2016" s="696">
        <v>8</v>
      </c>
      <c r="G2016" s="696" t="s">
        <v>5597</v>
      </c>
      <c r="I2016" s="696" t="s">
        <v>5600</v>
      </c>
    </row>
    <row r="2017" spans="1:9" ht="20.100000000000001" customHeight="1" x14ac:dyDescent="0.2">
      <c r="A2017" s="695" t="str">
        <f t="shared" si="28"/>
        <v>344903699120000  Prestação de Serviços P/Rua Osvaldo Venzke</v>
      </c>
      <c r="C2017" s="631"/>
      <c r="D2017" s="632">
        <v>344903699120000</v>
      </c>
      <c r="E2017" s="696" t="s">
        <v>5479</v>
      </c>
      <c r="F2017" s="696">
        <v>8</v>
      </c>
      <c r="G2017" s="696" t="s">
        <v>5597</v>
      </c>
      <c r="I2017" s="696" t="s">
        <v>5600</v>
      </c>
    </row>
    <row r="2018" spans="1:9" ht="20.100000000000001" customHeight="1" x14ac:dyDescent="0.2">
      <c r="A2018" s="695" t="str">
        <f t="shared" si="28"/>
        <v>344903699130000  Prestação de Serviços P/Rua Henrique Widenhoeft</v>
      </c>
      <c r="C2018" s="631"/>
      <c r="D2018" s="632">
        <v>344903699130000</v>
      </c>
      <c r="E2018" s="696" t="s">
        <v>5480</v>
      </c>
      <c r="F2018" s="696">
        <v>8</v>
      </c>
      <c r="G2018" s="696" t="s">
        <v>5597</v>
      </c>
      <c r="I2018" s="696" t="s">
        <v>5600</v>
      </c>
    </row>
    <row r="2019" spans="1:9" ht="20.100000000000001" customHeight="1" x14ac:dyDescent="0.2">
      <c r="A2019" s="695" t="str">
        <f t="shared" si="28"/>
        <v>344903699140000  Prestação de Serviços P/Rua Centro de Eventos</v>
      </c>
      <c r="C2019" s="631"/>
      <c r="D2019" s="632">
        <v>344903699140000</v>
      </c>
      <c r="E2019" s="696" t="s">
        <v>5481</v>
      </c>
      <c r="F2019" s="696">
        <v>8</v>
      </c>
      <c r="G2019" s="696" t="s">
        <v>5597</v>
      </c>
      <c r="I2019" s="696" t="s">
        <v>5600</v>
      </c>
    </row>
    <row r="2020" spans="1:9" ht="20.100000000000001" customHeight="1" x14ac:dyDescent="0.2">
      <c r="A2020" s="695" t="str">
        <f t="shared" si="28"/>
        <v>344903699150000  Prestação de Serviços P/Rua D2</v>
      </c>
      <c r="C2020" s="631"/>
      <c r="D2020" s="632">
        <v>344903699150000</v>
      </c>
      <c r="E2020" s="696" t="s">
        <v>5482</v>
      </c>
      <c r="F2020" s="696">
        <v>8</v>
      </c>
      <c r="G2020" s="696" t="s">
        <v>5597</v>
      </c>
      <c r="I2020" s="696" t="s">
        <v>5600</v>
      </c>
    </row>
    <row r="2021" spans="1:9" ht="20.100000000000001" customHeight="1" x14ac:dyDescent="0.2">
      <c r="A2021" s="695" t="str">
        <f t="shared" si="28"/>
        <v>344903700000000  Locacao De Mao-de-obra</v>
      </c>
      <c r="C2021" s="631"/>
      <c r="D2021" s="632">
        <v>344903700000000</v>
      </c>
      <c r="E2021" s="696" t="s">
        <v>5224</v>
      </c>
      <c r="F2021" s="696">
        <v>6</v>
      </c>
      <c r="G2021" s="696" t="s">
        <v>5596</v>
      </c>
      <c r="I2021" s="696"/>
    </row>
    <row r="2022" spans="1:9" ht="20.100000000000001" customHeight="1" x14ac:dyDescent="0.2">
      <c r="A2022" s="695" t="str">
        <f t="shared" si="28"/>
        <v>344903799000000  Outras Locacoes De Mao-de-obra</v>
      </c>
      <c r="C2022" s="631"/>
      <c r="D2022" s="632">
        <v>344903799000000</v>
      </c>
      <c r="E2022" s="696" t="s">
        <v>5483</v>
      </c>
      <c r="F2022" s="696">
        <v>7</v>
      </c>
      <c r="G2022" s="696" t="s">
        <v>5597</v>
      </c>
      <c r="I2022" s="696"/>
    </row>
    <row r="2023" spans="1:9" ht="20.100000000000001" customHeight="1" x14ac:dyDescent="0.2">
      <c r="A2023" s="695" t="str">
        <f t="shared" si="28"/>
        <v>344903900000000  Outros Servicos De Terceiros- Pessoa Juridica</v>
      </c>
      <c r="C2023" s="631"/>
      <c r="D2023" s="632">
        <v>344903900000000</v>
      </c>
      <c r="E2023" s="696" t="s">
        <v>1053</v>
      </c>
      <c r="F2023" s="696">
        <v>6</v>
      </c>
      <c r="G2023" s="696" t="s">
        <v>5596</v>
      </c>
      <c r="I2023" s="696"/>
    </row>
    <row r="2024" spans="1:9" ht="20.100000000000001" customHeight="1" x14ac:dyDescent="0.2">
      <c r="A2024" s="695" t="str">
        <f t="shared" si="28"/>
        <v>344903992000000  Desenvolvimento De Software</v>
      </c>
      <c r="C2024" s="631"/>
      <c r="D2024" s="632">
        <v>344903992000000</v>
      </c>
      <c r="E2024" s="696" t="s">
        <v>5292</v>
      </c>
      <c r="F2024" s="696">
        <v>7</v>
      </c>
      <c r="G2024" s="696" t="s">
        <v>5597</v>
      </c>
      <c r="I2024" s="696" t="s">
        <v>5647</v>
      </c>
    </row>
    <row r="2025" spans="1:9" ht="20.100000000000001" customHeight="1" x14ac:dyDescent="0.2">
      <c r="A2025" s="695" t="str">
        <f t="shared" si="28"/>
        <v>344903994000000  Aquisicao De Softwares Sob Encomenda</v>
      </c>
      <c r="C2025" s="631"/>
      <c r="D2025" s="632">
        <v>344903994000000</v>
      </c>
      <c r="E2025" s="696" t="s">
        <v>5484</v>
      </c>
      <c r="F2025" s="696">
        <v>7</v>
      </c>
      <c r="G2025" s="696" t="s">
        <v>5597</v>
      </c>
      <c r="I2025" s="696"/>
    </row>
    <row r="2026" spans="1:9" ht="20.100000000000001" customHeight="1" x14ac:dyDescent="0.2">
      <c r="A2026" s="695" t="str">
        <f t="shared" si="28"/>
        <v>344903997000000  Comunicação De Dados</v>
      </c>
      <c r="C2026" s="631"/>
      <c r="D2026" s="632">
        <v>344903997000000</v>
      </c>
      <c r="E2026" s="696" t="s">
        <v>5485</v>
      </c>
      <c r="F2026" s="696">
        <v>7</v>
      </c>
      <c r="G2026" s="696" t="s">
        <v>5597</v>
      </c>
      <c r="I2026" s="696" t="s">
        <v>5647</v>
      </c>
    </row>
    <row r="2027" spans="1:9" ht="20.100000000000001" customHeight="1" x14ac:dyDescent="0.2">
      <c r="A2027" s="695" t="str">
        <f t="shared" si="28"/>
        <v>344903999000000  Outros Servicos</v>
      </c>
      <c r="C2027" s="631"/>
      <c r="D2027" s="632">
        <v>344903999000000</v>
      </c>
      <c r="E2027" s="696" t="s">
        <v>1742</v>
      </c>
      <c r="F2027" s="696">
        <v>7</v>
      </c>
      <c r="G2027" s="696" t="s">
        <v>5597</v>
      </c>
      <c r="I2027" s="696"/>
    </row>
    <row r="2028" spans="1:9" ht="20.100000000000001" customHeight="1" x14ac:dyDescent="0.2">
      <c r="A2028" s="695" t="str">
        <f t="shared" si="28"/>
        <v>344903999010000  Serviços Bancários</v>
      </c>
      <c r="C2028" s="631"/>
      <c r="D2028" s="632">
        <v>344903999010000</v>
      </c>
      <c r="E2028" s="696" t="s">
        <v>1056</v>
      </c>
      <c r="F2028" s="696">
        <v>8</v>
      </c>
      <c r="G2028" s="696" t="s">
        <v>5597</v>
      </c>
      <c r="I2028" s="696"/>
    </row>
    <row r="2029" spans="1:9" ht="20.100000000000001" customHeight="1" x14ac:dyDescent="0.2">
      <c r="A2029" s="695" t="str">
        <f t="shared" si="28"/>
        <v>344903999020000  Manutencao e Conservacao de Maquinas e Veiculos</v>
      </c>
      <c r="C2029" s="631"/>
      <c r="D2029" s="632">
        <v>344903999020000</v>
      </c>
      <c r="E2029" s="696" t="s">
        <v>5486</v>
      </c>
      <c r="F2029" s="696">
        <v>8</v>
      </c>
      <c r="G2029" s="696" t="s">
        <v>5597</v>
      </c>
      <c r="I2029" s="696" t="s">
        <v>5600</v>
      </c>
    </row>
    <row r="2030" spans="1:9" ht="20.100000000000001" customHeight="1" x14ac:dyDescent="0.2">
      <c r="A2030" s="695" t="str">
        <f t="shared" si="28"/>
        <v>344903999020100  Manutencao Veiculo IVR 0147</v>
      </c>
      <c r="C2030" s="631"/>
      <c r="D2030" s="632">
        <v>344903999020100</v>
      </c>
      <c r="E2030" s="696" t="s">
        <v>5200</v>
      </c>
      <c r="F2030" s="696">
        <v>9</v>
      </c>
      <c r="G2030" s="696" t="s">
        <v>5597</v>
      </c>
      <c r="I2030" s="696" t="s">
        <v>5600</v>
      </c>
    </row>
    <row r="2031" spans="1:9" ht="20.100000000000001" customHeight="1" x14ac:dyDescent="0.2">
      <c r="A2031" s="695" t="str">
        <f t="shared" si="28"/>
        <v>344903999020200  Manutenção Motoniveladora Case 845B</v>
      </c>
      <c r="C2031" s="631"/>
      <c r="D2031" s="632">
        <v>344903999020200</v>
      </c>
      <c r="E2031" s="696" t="s">
        <v>5487</v>
      </c>
      <c r="F2031" s="696">
        <v>9</v>
      </c>
      <c r="G2031" s="696" t="s">
        <v>5597</v>
      </c>
      <c r="I2031" s="696" t="s">
        <v>5627</v>
      </c>
    </row>
    <row r="2032" spans="1:9" ht="20.100000000000001" customHeight="1" x14ac:dyDescent="0.2">
      <c r="A2032" s="695" t="str">
        <f t="shared" si="28"/>
        <v>344903999030000  manutencao de vias urbanas</v>
      </c>
      <c r="C2032" s="631"/>
      <c r="D2032" s="632">
        <v>344903999030000</v>
      </c>
      <c r="E2032" s="696" t="s">
        <v>5488</v>
      </c>
      <c r="F2032" s="696">
        <v>8</v>
      </c>
      <c r="G2032" s="696" t="s">
        <v>5597</v>
      </c>
      <c r="I2032" s="696" t="s">
        <v>5604</v>
      </c>
    </row>
    <row r="2033" spans="1:9" ht="20.100000000000001" customHeight="1" x14ac:dyDescent="0.2">
      <c r="A2033" s="695" t="str">
        <f t="shared" ref="A2033:A2096" si="29">CONCATENATE(D2033,"  ",E2033,)</f>
        <v>344903999040000  Manutenção do Portico</v>
      </c>
      <c r="C2033" s="631"/>
      <c r="D2033" s="632">
        <v>344903999040000</v>
      </c>
      <c r="E2033" s="696" t="s">
        <v>5489</v>
      </c>
      <c r="F2033" s="696">
        <v>8</v>
      </c>
      <c r="G2033" s="696" t="s">
        <v>5597</v>
      </c>
      <c r="I2033" s="696" t="s">
        <v>5627</v>
      </c>
    </row>
    <row r="2034" spans="1:9" ht="20.100000000000001" customHeight="1" x14ac:dyDescent="0.2">
      <c r="A2034" s="695" t="str">
        <f t="shared" si="29"/>
        <v>344903999050000  Servicos de Instalação de Equipamentos</v>
      </c>
      <c r="C2034" s="631"/>
      <c r="D2034" s="632">
        <v>344903999050000</v>
      </c>
      <c r="E2034" s="696" t="s">
        <v>2140</v>
      </c>
      <c r="F2034" s="696">
        <v>8</v>
      </c>
      <c r="G2034" s="696" t="s">
        <v>5597</v>
      </c>
      <c r="I2034" s="696" t="s">
        <v>5600</v>
      </c>
    </row>
    <row r="2035" spans="1:9" ht="20.100000000000001" customHeight="1" x14ac:dyDescent="0.2">
      <c r="A2035" s="695" t="str">
        <f t="shared" si="29"/>
        <v>344903999050100  Custo de Aquisição: Serv. de Instalação Mobiliario</v>
      </c>
      <c r="C2035" s="631"/>
      <c r="D2035" s="632">
        <v>344903999050100</v>
      </c>
      <c r="E2035" s="696" t="s">
        <v>5490</v>
      </c>
      <c r="F2035" s="696">
        <v>9</v>
      </c>
      <c r="G2035" s="696" t="s">
        <v>5597</v>
      </c>
      <c r="I2035" s="696" t="s">
        <v>5600</v>
      </c>
    </row>
    <row r="2036" spans="1:9" ht="20.100000000000001" customHeight="1" x14ac:dyDescent="0.2">
      <c r="A2036" s="695" t="str">
        <f t="shared" si="29"/>
        <v>344903999050200  Custo de Aquisição: Serv. de Instalação Equip. E Utensilios Domésticos</v>
      </c>
      <c r="C2036" s="631"/>
      <c r="D2036" s="632">
        <v>344903999050200</v>
      </c>
      <c r="E2036" s="696" t="s">
        <v>5460</v>
      </c>
      <c r="F2036" s="696">
        <v>9</v>
      </c>
      <c r="G2036" s="696" t="s">
        <v>5597</v>
      </c>
      <c r="I2036" s="696" t="s">
        <v>5600</v>
      </c>
    </row>
    <row r="2037" spans="1:9" ht="20.100000000000001" customHeight="1" x14ac:dyDescent="0.2">
      <c r="A2037" s="695" t="str">
        <f t="shared" si="29"/>
        <v>344903999050300  Custo de Aquisição: Serv. de Instalação Eqip. Informática</v>
      </c>
      <c r="C2037" s="631"/>
      <c r="D2037" s="632">
        <v>344903999050300</v>
      </c>
      <c r="E2037" s="696" t="s">
        <v>5461</v>
      </c>
      <c r="F2037" s="696">
        <v>9</v>
      </c>
      <c r="G2037" s="696" t="s">
        <v>5597</v>
      </c>
      <c r="I2037" s="696" t="s">
        <v>5600</v>
      </c>
    </row>
    <row r="2038" spans="1:9" ht="20.100000000000001" customHeight="1" x14ac:dyDescent="0.2">
      <c r="A2038" s="695" t="str">
        <f t="shared" si="29"/>
        <v>344903999050400  Custo de Aquisição: Serv. de Instalação Equip. de Comunicação</v>
      </c>
      <c r="C2038" s="631"/>
      <c r="D2038" s="632">
        <v>344903999050400</v>
      </c>
      <c r="E2038" s="696" t="s">
        <v>5462</v>
      </c>
      <c r="F2038" s="696">
        <v>9</v>
      </c>
      <c r="G2038" s="696" t="s">
        <v>5597</v>
      </c>
      <c r="I2038" s="696" t="s">
        <v>5600</v>
      </c>
    </row>
    <row r="2039" spans="1:9" ht="20.100000000000001" customHeight="1" x14ac:dyDescent="0.2">
      <c r="A2039" s="695" t="str">
        <f t="shared" si="29"/>
        <v>344903999050500  Custo de Aquisição: Serv. de Instalação de Gerador</v>
      </c>
      <c r="C2039" s="631"/>
      <c r="D2039" s="632">
        <v>344903999050500</v>
      </c>
      <c r="E2039" s="696" t="s">
        <v>5491</v>
      </c>
      <c r="F2039" s="696">
        <v>9</v>
      </c>
      <c r="G2039" s="696" t="s">
        <v>5597</v>
      </c>
      <c r="I2039" s="696" t="s">
        <v>5600</v>
      </c>
    </row>
    <row r="2040" spans="1:9" ht="20.100000000000001" customHeight="1" x14ac:dyDescent="0.2">
      <c r="A2040" s="695" t="str">
        <f t="shared" si="29"/>
        <v>344903999050600  Custo de aquisição: Instalação de Ar Condicionado</v>
      </c>
      <c r="C2040" s="631"/>
      <c r="D2040" s="632">
        <v>344903999050600</v>
      </c>
      <c r="E2040" s="696" t="s">
        <v>6219</v>
      </c>
      <c r="F2040" s="696">
        <v>9</v>
      </c>
      <c r="G2040" s="696" t="s">
        <v>5597</v>
      </c>
      <c r="I2040" s="696" t="s">
        <v>5627</v>
      </c>
    </row>
    <row r="2041" spans="1:9" ht="20.100000000000001" customHeight="1" x14ac:dyDescent="0.2">
      <c r="A2041" s="695" t="str">
        <f t="shared" si="29"/>
        <v>344903999060000  Manutenção de Pontes e Boeiros</v>
      </c>
      <c r="C2041" s="631"/>
      <c r="D2041" s="632">
        <v>344903999060000</v>
      </c>
      <c r="E2041" s="696" t="s">
        <v>5492</v>
      </c>
      <c r="F2041" s="696">
        <v>8</v>
      </c>
      <c r="G2041" s="696" t="s">
        <v>5597</v>
      </c>
      <c r="I2041" s="696" t="s">
        <v>5600</v>
      </c>
    </row>
    <row r="2042" spans="1:9" ht="20.100000000000001" customHeight="1" x14ac:dyDescent="0.2">
      <c r="A2042" s="695" t="str">
        <f t="shared" si="29"/>
        <v>344903999060100  Manutenção Ponte Passo das Almas</v>
      </c>
      <c r="C2042" s="631"/>
      <c r="D2042" s="632">
        <v>344903999060100</v>
      </c>
      <c r="E2042" s="696" t="s">
        <v>2950</v>
      </c>
      <c r="F2042" s="696">
        <v>9</v>
      </c>
      <c r="G2042" s="696" t="s">
        <v>5597</v>
      </c>
      <c r="I2042" s="696" t="s">
        <v>5600</v>
      </c>
    </row>
    <row r="2043" spans="1:9" ht="20.100000000000001" customHeight="1" x14ac:dyDescent="0.2">
      <c r="A2043" s="695" t="str">
        <f t="shared" si="29"/>
        <v>344903999060200  Manutenção Ponte Ordalina</v>
      </c>
      <c r="C2043" s="631"/>
      <c r="D2043" s="632">
        <v>344903999060200</v>
      </c>
      <c r="E2043" s="696" t="s">
        <v>2944</v>
      </c>
      <c r="F2043" s="696">
        <v>9</v>
      </c>
      <c r="G2043" s="696" t="s">
        <v>5597</v>
      </c>
      <c r="I2043" s="696" t="s">
        <v>5600</v>
      </c>
    </row>
    <row r="2044" spans="1:9" ht="20.100000000000001" customHeight="1" x14ac:dyDescent="0.2">
      <c r="A2044" s="695" t="str">
        <f t="shared" si="29"/>
        <v>344903999060300  Manutenção Ponte Antonio Carlos</v>
      </c>
      <c r="C2044" s="631"/>
      <c r="D2044" s="632">
        <v>344903999060300</v>
      </c>
      <c r="E2044" s="696" t="s">
        <v>2948</v>
      </c>
      <c r="F2044" s="696">
        <v>9</v>
      </c>
      <c r="G2044" s="696" t="s">
        <v>5597</v>
      </c>
      <c r="I2044" s="696" t="s">
        <v>5600</v>
      </c>
    </row>
    <row r="2045" spans="1:9" ht="20.100000000000001" customHeight="1" x14ac:dyDescent="0.2">
      <c r="A2045" s="695" t="str">
        <f t="shared" si="29"/>
        <v>344903999060400  Manutenção Ponte da Amizade</v>
      </c>
      <c r="C2045" s="631"/>
      <c r="D2045" s="632">
        <v>344903999060400</v>
      </c>
      <c r="E2045" s="696" t="s">
        <v>2946</v>
      </c>
      <c r="F2045" s="696">
        <v>9</v>
      </c>
      <c r="G2045" s="696" t="s">
        <v>5597</v>
      </c>
      <c r="I2045" s="696" t="s">
        <v>5600</v>
      </c>
    </row>
    <row r="2046" spans="1:9" ht="20.100000000000001" customHeight="1" x14ac:dyDescent="0.2">
      <c r="A2046" s="695" t="str">
        <f t="shared" si="29"/>
        <v>344903999060500  Manutenção Ponte da Pitanga</v>
      </c>
      <c r="C2046" s="631"/>
      <c r="D2046" s="632">
        <v>344903999060500</v>
      </c>
      <c r="E2046" s="696" t="s">
        <v>5493</v>
      </c>
      <c r="F2046" s="696">
        <v>9</v>
      </c>
      <c r="G2046" s="696" t="s">
        <v>5597</v>
      </c>
      <c r="I2046" s="696" t="s">
        <v>5600</v>
      </c>
    </row>
    <row r="2047" spans="1:9" ht="20.100000000000001" customHeight="1" x14ac:dyDescent="0.2">
      <c r="A2047" s="695" t="str">
        <f t="shared" si="29"/>
        <v>344903999060600  Manutenção Ponte do Castelo-Pinheiro</v>
      </c>
      <c r="C2047" s="631"/>
      <c r="D2047" s="632">
        <v>344903999060600</v>
      </c>
      <c r="E2047" s="696" t="s">
        <v>5494</v>
      </c>
      <c r="F2047" s="696">
        <v>9</v>
      </c>
      <c r="G2047" s="696" t="s">
        <v>5597</v>
      </c>
      <c r="I2047" s="696" t="s">
        <v>5600</v>
      </c>
    </row>
    <row r="2048" spans="1:9" ht="20.100000000000001" customHeight="1" x14ac:dyDescent="0.2">
      <c r="A2048" s="695" t="str">
        <f t="shared" si="29"/>
        <v>344903999060700  Manutenção Ponte Travessão dos Queiroz</v>
      </c>
      <c r="C2048" s="631"/>
      <c r="D2048" s="632">
        <v>344903999060700</v>
      </c>
      <c r="E2048" s="696" t="s">
        <v>5495</v>
      </c>
      <c r="F2048" s="696">
        <v>9</v>
      </c>
      <c r="G2048" s="696" t="s">
        <v>5597</v>
      </c>
      <c r="I2048" s="696" t="s">
        <v>5600</v>
      </c>
    </row>
    <row r="2049" spans="1:9" ht="20.100000000000001" customHeight="1" x14ac:dyDescent="0.2">
      <c r="A2049" s="695" t="str">
        <f t="shared" si="29"/>
        <v>344903999060800  Manutenção Ponte dos Ebel-Sao Braz</v>
      </c>
      <c r="C2049" s="631"/>
      <c r="D2049" s="632">
        <v>344903999060800</v>
      </c>
      <c r="E2049" s="696" t="s">
        <v>5496</v>
      </c>
      <c r="F2049" s="696">
        <v>9</v>
      </c>
      <c r="G2049" s="696" t="s">
        <v>5597</v>
      </c>
      <c r="I2049" s="696" t="s">
        <v>5600</v>
      </c>
    </row>
    <row r="2050" spans="1:9" ht="20.100000000000001" customHeight="1" x14ac:dyDescent="0.2">
      <c r="A2050" s="695" t="str">
        <f t="shared" si="29"/>
        <v>344903999060900  Manutenção Boeiros</v>
      </c>
      <c r="C2050" s="631"/>
      <c r="D2050" s="632">
        <v>344903999060900</v>
      </c>
      <c r="E2050" s="696" t="s">
        <v>5497</v>
      </c>
      <c r="F2050" s="696">
        <v>9</v>
      </c>
      <c r="G2050" s="696" t="s">
        <v>5597</v>
      </c>
      <c r="I2050" s="696" t="s">
        <v>5600</v>
      </c>
    </row>
    <row r="2051" spans="1:9" ht="20.100000000000001" customHeight="1" x14ac:dyDescent="0.2">
      <c r="A2051" s="695" t="str">
        <f t="shared" si="29"/>
        <v>344903999070000  Manutenção de Estradas Municipais</v>
      </c>
      <c r="C2051" s="631"/>
      <c r="D2051" s="632">
        <v>344903999070000</v>
      </c>
      <c r="E2051" s="696" t="s">
        <v>5474</v>
      </c>
      <c r="F2051" s="696">
        <v>8</v>
      </c>
      <c r="G2051" s="696" t="s">
        <v>5597</v>
      </c>
      <c r="I2051" s="696" t="s">
        <v>5600</v>
      </c>
    </row>
    <row r="2052" spans="1:9" ht="20.100000000000001" customHeight="1" x14ac:dyDescent="0.2">
      <c r="A2052" s="695" t="str">
        <f t="shared" si="29"/>
        <v>344903999080000  Const. e Manut. de Abrigos de Passageiros</v>
      </c>
      <c r="C2052" s="631"/>
      <c r="D2052" s="632">
        <v>344903999080000</v>
      </c>
      <c r="E2052" s="696" t="s">
        <v>5498</v>
      </c>
      <c r="F2052" s="696">
        <v>8</v>
      </c>
      <c r="G2052" s="696" t="s">
        <v>5597</v>
      </c>
      <c r="I2052" s="696" t="s">
        <v>5600</v>
      </c>
    </row>
    <row r="2053" spans="1:9" ht="20.100000000000001" customHeight="1" x14ac:dyDescent="0.2">
      <c r="A2053" s="695" t="str">
        <f t="shared" si="29"/>
        <v>344903999090000  Servicos P/Obras e Instalações</v>
      </c>
      <c r="C2053" s="631"/>
      <c r="D2053" s="632">
        <v>344903999090000</v>
      </c>
      <c r="E2053" s="696" t="s">
        <v>5476</v>
      </c>
      <c r="F2053" s="696">
        <v>8</v>
      </c>
      <c r="G2053" s="696" t="s">
        <v>5597</v>
      </c>
      <c r="I2053" s="696" t="s">
        <v>5600</v>
      </c>
    </row>
    <row r="2054" spans="1:9" ht="20.100000000000001" customHeight="1" x14ac:dyDescent="0.2">
      <c r="A2054" s="695" t="str">
        <f t="shared" si="29"/>
        <v>344903999100000  Servicos de Aquisição de Veiculos</v>
      </c>
      <c r="C2054" s="631"/>
      <c r="D2054" s="632">
        <v>344903999100000</v>
      </c>
      <c r="E2054" s="696" t="s">
        <v>5499</v>
      </c>
      <c r="F2054" s="696">
        <v>8</v>
      </c>
      <c r="G2054" s="696" t="s">
        <v>5597</v>
      </c>
      <c r="I2054" s="696" t="s">
        <v>5600</v>
      </c>
    </row>
    <row r="2055" spans="1:9" ht="20.100000000000001" customHeight="1" x14ac:dyDescent="0.2">
      <c r="A2055" s="695" t="str">
        <f t="shared" si="29"/>
        <v>344903999990000  Outros Servicos Diversos</v>
      </c>
      <c r="C2055" s="631"/>
      <c r="D2055" s="632">
        <v>344903999990000</v>
      </c>
      <c r="E2055" s="696" t="s">
        <v>1055</v>
      </c>
      <c r="F2055" s="696">
        <v>8</v>
      </c>
      <c r="G2055" s="696" t="s">
        <v>5597</v>
      </c>
      <c r="I2055" s="696"/>
    </row>
    <row r="2056" spans="1:9" ht="20.100000000000001" customHeight="1" x14ac:dyDescent="0.2">
      <c r="A2056" s="695" t="str">
        <f t="shared" si="29"/>
        <v>344904200000000  Auxilios</v>
      </c>
      <c r="C2056" s="631"/>
      <c r="D2056" s="632">
        <v>344904200000000</v>
      </c>
      <c r="E2056" s="696" t="s">
        <v>5415</v>
      </c>
      <c r="F2056" s="696">
        <v>6</v>
      </c>
      <c r="G2056" s="696" t="s">
        <v>5597</v>
      </c>
      <c r="I2056" s="696"/>
    </row>
    <row r="2057" spans="1:9" ht="20.100000000000001" customHeight="1" x14ac:dyDescent="0.2">
      <c r="A2057" s="695" t="str">
        <f t="shared" si="29"/>
        <v>344905100000000  Obras E Instalacoes</v>
      </c>
      <c r="C2057" s="631"/>
      <c r="D2057" s="632">
        <v>344905100000000</v>
      </c>
      <c r="E2057" s="696" t="s">
        <v>1029</v>
      </c>
      <c r="F2057" s="696">
        <v>6</v>
      </c>
      <c r="G2057" s="696" t="s">
        <v>5596</v>
      </c>
      <c r="I2057" s="696"/>
    </row>
    <row r="2058" spans="1:9" ht="20.100000000000001" customHeight="1" x14ac:dyDescent="0.2">
      <c r="A2058" s="695" t="str">
        <f t="shared" si="29"/>
        <v>344905180000000  Estudos E Projetos</v>
      </c>
      <c r="C2058" s="631"/>
      <c r="D2058" s="632">
        <v>344905180000000</v>
      </c>
      <c r="E2058" s="696" t="s">
        <v>5500</v>
      </c>
      <c r="F2058" s="696">
        <v>7</v>
      </c>
      <c r="G2058" s="696" t="s">
        <v>5597</v>
      </c>
      <c r="I2058" s="696"/>
    </row>
    <row r="2059" spans="1:9" ht="20.100000000000001" customHeight="1" x14ac:dyDescent="0.2">
      <c r="A2059" s="695" t="str">
        <f t="shared" si="29"/>
        <v>344905191000000  Obras Em Andamento</v>
      </c>
      <c r="C2059" s="631"/>
      <c r="D2059" s="632">
        <v>344905191000000</v>
      </c>
      <c r="E2059" s="696" t="s">
        <v>5501</v>
      </c>
      <c r="F2059" s="696">
        <v>7</v>
      </c>
      <c r="G2059" s="696" t="s">
        <v>5597</v>
      </c>
      <c r="I2059" s="696"/>
    </row>
    <row r="2060" spans="1:9" ht="20.100000000000001" customHeight="1" x14ac:dyDescent="0.2">
      <c r="A2060" s="695" t="str">
        <f t="shared" si="29"/>
        <v>344905192000000  Instalacoes</v>
      </c>
      <c r="C2060" s="631"/>
      <c r="D2060" s="632">
        <v>344905192000000</v>
      </c>
      <c r="E2060" s="696" t="s">
        <v>5502</v>
      </c>
      <c r="F2060" s="696">
        <v>7</v>
      </c>
      <c r="G2060" s="696" t="s">
        <v>5597</v>
      </c>
      <c r="I2060" s="696"/>
    </row>
    <row r="2061" spans="1:9" ht="20.100000000000001" customHeight="1" x14ac:dyDescent="0.2">
      <c r="A2061" s="695" t="str">
        <f t="shared" si="29"/>
        <v>344905193000000  Benfeitorias Em Propriedades De Terceiros</v>
      </c>
      <c r="C2061" s="631"/>
      <c r="D2061" s="632">
        <v>344905193000000</v>
      </c>
      <c r="E2061" s="696" t="s">
        <v>1247</v>
      </c>
      <c r="F2061" s="696">
        <v>7</v>
      </c>
      <c r="G2061" s="696" t="s">
        <v>5597</v>
      </c>
      <c r="I2061" s="696"/>
    </row>
    <row r="2062" spans="1:9" ht="20.100000000000001" customHeight="1" x14ac:dyDescent="0.2">
      <c r="A2062" s="695" t="str">
        <f t="shared" si="29"/>
        <v>344905196000000  Almoxarifado De Obras</v>
      </c>
      <c r="C2062" s="631"/>
      <c r="D2062" s="632">
        <v>344905196000000</v>
      </c>
      <c r="E2062" s="696" t="s">
        <v>5503</v>
      </c>
      <c r="F2062" s="696">
        <v>7</v>
      </c>
      <c r="G2062" s="696" t="s">
        <v>5597</v>
      </c>
      <c r="I2062" s="696"/>
    </row>
    <row r="2063" spans="1:9" ht="20.100000000000001" customHeight="1" x14ac:dyDescent="0.2">
      <c r="A2063" s="695" t="str">
        <f t="shared" si="29"/>
        <v>344905199000000  Outras Obras E Instalacoes</v>
      </c>
      <c r="C2063" s="631"/>
      <c r="D2063" s="632">
        <v>344905199000000</v>
      </c>
      <c r="E2063" s="696" t="s">
        <v>1028</v>
      </c>
      <c r="F2063" s="696">
        <v>7</v>
      </c>
      <c r="G2063" s="696" t="s">
        <v>5597</v>
      </c>
      <c r="I2063" s="696"/>
    </row>
    <row r="2064" spans="1:9" ht="20.100000000000001" customHeight="1" x14ac:dyDescent="0.2">
      <c r="A2064" s="695" t="str">
        <f t="shared" si="29"/>
        <v>344905199010000  Galpao para Feira do Produtor</v>
      </c>
      <c r="C2064" s="631"/>
      <c r="D2064" s="632">
        <v>344905199010000</v>
      </c>
      <c r="E2064" s="696" t="s">
        <v>5504</v>
      </c>
      <c r="F2064" s="696">
        <v>8</v>
      </c>
      <c r="G2064" s="696" t="s">
        <v>5597</v>
      </c>
      <c r="I2064" s="696" t="s">
        <v>5600</v>
      </c>
    </row>
    <row r="2065" spans="1:9" ht="20.100000000000001" customHeight="1" x14ac:dyDescent="0.2">
      <c r="A2065" s="695" t="str">
        <f t="shared" si="29"/>
        <v>344905199020000  Construção Reforma Predio Poder Legislativo</v>
      </c>
      <c r="C2065" s="631"/>
      <c r="D2065" s="632">
        <v>344905199020000</v>
      </c>
      <c r="E2065" s="696" t="s">
        <v>2137</v>
      </c>
      <c r="F2065" s="696">
        <v>8</v>
      </c>
      <c r="G2065" s="696" t="s">
        <v>5597</v>
      </c>
      <c r="I2065" s="696" t="s">
        <v>5600</v>
      </c>
    </row>
    <row r="2066" spans="1:9" ht="20.100000000000001" customHeight="1" x14ac:dyDescent="0.2">
      <c r="A2066" s="695" t="str">
        <f t="shared" si="29"/>
        <v>344905199030000  Cobertura Quadra Poliesportiva Esc. Arlindo B. Pires</v>
      </c>
      <c r="C2066" s="631"/>
      <c r="D2066" s="632">
        <v>344905199030000</v>
      </c>
      <c r="E2066" s="696" t="s">
        <v>5505</v>
      </c>
      <c r="F2066" s="696">
        <v>8</v>
      </c>
      <c r="G2066" s="696" t="s">
        <v>5597</v>
      </c>
      <c r="I2066" s="696" t="s">
        <v>5600</v>
      </c>
    </row>
    <row r="2067" spans="1:9" ht="20.100000000000001" customHeight="1" x14ac:dyDescent="0.2">
      <c r="A2067" s="695" t="str">
        <f t="shared" si="29"/>
        <v>344905199040000  Const. e Conservacao de Pontes e Boeiros</v>
      </c>
      <c r="C2067" s="631"/>
      <c r="D2067" s="632">
        <v>344905199040000</v>
      </c>
      <c r="E2067" s="696" t="s">
        <v>5506</v>
      </c>
      <c r="F2067" s="696">
        <v>8</v>
      </c>
      <c r="G2067" s="696" t="s">
        <v>5597</v>
      </c>
      <c r="I2067" s="696" t="s">
        <v>5600</v>
      </c>
    </row>
    <row r="2068" spans="1:9" ht="20.100000000000001" customHeight="1" x14ac:dyDescent="0.2">
      <c r="A2068" s="695" t="str">
        <f t="shared" si="29"/>
        <v>344905199040100  Const. e Conservacao Ponte Passo das Almas</v>
      </c>
      <c r="C2068" s="631"/>
      <c r="D2068" s="632">
        <v>344905199040100</v>
      </c>
      <c r="E2068" s="696" t="s">
        <v>5507</v>
      </c>
      <c r="F2068" s="696">
        <v>9</v>
      </c>
      <c r="G2068" s="696" t="s">
        <v>5597</v>
      </c>
      <c r="I2068" s="696" t="s">
        <v>5600</v>
      </c>
    </row>
    <row r="2069" spans="1:9" ht="20.100000000000001" customHeight="1" x14ac:dyDescent="0.2">
      <c r="A2069" s="695" t="str">
        <f t="shared" si="29"/>
        <v>344905199040200  Const. e Conservacao Ponte Ordalina</v>
      </c>
      <c r="C2069" s="631"/>
      <c r="D2069" s="632">
        <v>344905199040200</v>
      </c>
      <c r="E2069" s="696" t="s">
        <v>5508</v>
      </c>
      <c r="F2069" s="696">
        <v>9</v>
      </c>
      <c r="G2069" s="696" t="s">
        <v>5597</v>
      </c>
      <c r="I2069" s="696" t="s">
        <v>5600</v>
      </c>
    </row>
    <row r="2070" spans="1:9" ht="20.100000000000001" customHeight="1" x14ac:dyDescent="0.2">
      <c r="A2070" s="695" t="str">
        <f t="shared" si="29"/>
        <v>344905199040300  Const. e Conservacao Ponte Antonio Carlos</v>
      </c>
      <c r="C2070" s="631"/>
      <c r="D2070" s="632">
        <v>344905199040300</v>
      </c>
      <c r="E2070" s="696" t="s">
        <v>5509</v>
      </c>
      <c r="F2070" s="696">
        <v>9</v>
      </c>
      <c r="G2070" s="696" t="s">
        <v>5597</v>
      </c>
      <c r="I2070" s="696" t="s">
        <v>5600</v>
      </c>
    </row>
    <row r="2071" spans="1:9" ht="20.100000000000001" customHeight="1" x14ac:dyDescent="0.2">
      <c r="A2071" s="695" t="str">
        <f t="shared" si="29"/>
        <v>344905199040400  Const. e Conservacao Ponte da Amizade</v>
      </c>
      <c r="C2071" s="631"/>
      <c r="D2071" s="632">
        <v>344905199040400</v>
      </c>
      <c r="E2071" s="696" t="s">
        <v>5510</v>
      </c>
      <c r="F2071" s="696">
        <v>9</v>
      </c>
      <c r="G2071" s="696" t="s">
        <v>5597</v>
      </c>
      <c r="I2071" s="696" t="s">
        <v>5600</v>
      </c>
    </row>
    <row r="2072" spans="1:9" ht="20.100000000000001" customHeight="1" x14ac:dyDescent="0.2">
      <c r="A2072" s="695" t="str">
        <f t="shared" si="29"/>
        <v>344905199040500  Const. e Conservacao Ponte da Pitanga</v>
      </c>
      <c r="C2072" s="631"/>
      <c r="D2072" s="632">
        <v>344905199040500</v>
      </c>
      <c r="E2072" s="696" t="s">
        <v>5511</v>
      </c>
      <c r="F2072" s="696">
        <v>9</v>
      </c>
      <c r="G2072" s="696" t="s">
        <v>5597</v>
      </c>
      <c r="I2072" s="696" t="s">
        <v>5600</v>
      </c>
    </row>
    <row r="2073" spans="1:9" ht="20.100000000000001" customHeight="1" x14ac:dyDescent="0.2">
      <c r="A2073" s="695" t="str">
        <f t="shared" si="29"/>
        <v>344905199040600  Const. e Conservacao Ponte do Castelo-Pinheiro</v>
      </c>
      <c r="C2073" s="631"/>
      <c r="D2073" s="632">
        <v>344905199040600</v>
      </c>
      <c r="E2073" s="696" t="s">
        <v>5512</v>
      </c>
      <c r="F2073" s="696">
        <v>9</v>
      </c>
      <c r="G2073" s="696" t="s">
        <v>5597</v>
      </c>
      <c r="I2073" s="696" t="s">
        <v>5600</v>
      </c>
    </row>
    <row r="2074" spans="1:9" ht="20.100000000000001" customHeight="1" x14ac:dyDescent="0.2">
      <c r="A2074" s="695" t="str">
        <f t="shared" si="29"/>
        <v>344905199040700  Const. e Conservacao Ponte Travessão dos Queiroz</v>
      </c>
      <c r="C2074" s="631"/>
      <c r="D2074" s="632">
        <v>344905199040700</v>
      </c>
      <c r="E2074" s="696" t="s">
        <v>5513</v>
      </c>
      <c r="F2074" s="696">
        <v>9</v>
      </c>
      <c r="G2074" s="696" t="s">
        <v>5597</v>
      </c>
      <c r="I2074" s="696" t="s">
        <v>5600</v>
      </c>
    </row>
    <row r="2075" spans="1:9" ht="20.100000000000001" customHeight="1" x14ac:dyDescent="0.2">
      <c r="A2075" s="695" t="str">
        <f t="shared" si="29"/>
        <v>344905199040800  Const. e Conservacao Ponte dos Ebel-Sao Braz</v>
      </c>
      <c r="C2075" s="631"/>
      <c r="D2075" s="632">
        <v>344905199040800</v>
      </c>
      <c r="E2075" s="696" t="s">
        <v>5514</v>
      </c>
      <c r="F2075" s="696">
        <v>9</v>
      </c>
      <c r="G2075" s="696" t="s">
        <v>5597</v>
      </c>
      <c r="I2075" s="696" t="s">
        <v>5600</v>
      </c>
    </row>
    <row r="2076" spans="1:9" ht="20.100000000000001" customHeight="1" x14ac:dyDescent="0.2">
      <c r="A2076" s="695" t="str">
        <f t="shared" si="29"/>
        <v>344905199040900  Const. e Conservacao Boeiros</v>
      </c>
      <c r="C2076" s="631"/>
      <c r="D2076" s="632">
        <v>344905199040900</v>
      </c>
      <c r="E2076" s="696" t="s">
        <v>5515</v>
      </c>
      <c r="F2076" s="696">
        <v>9</v>
      </c>
      <c r="G2076" s="696" t="s">
        <v>5597</v>
      </c>
      <c r="I2076" s="696" t="s">
        <v>5600</v>
      </c>
    </row>
    <row r="2077" spans="1:9" ht="20.100000000000001" customHeight="1" x14ac:dyDescent="0.2">
      <c r="A2077" s="695" t="str">
        <f t="shared" si="29"/>
        <v>344905199050000  Const. e Conservação de Estradas Municipais</v>
      </c>
      <c r="C2077" s="631"/>
      <c r="D2077" s="632">
        <v>344905199050000</v>
      </c>
      <c r="E2077" s="696" t="s">
        <v>5516</v>
      </c>
      <c r="F2077" s="696">
        <v>8</v>
      </c>
      <c r="G2077" s="696" t="s">
        <v>5597</v>
      </c>
      <c r="I2077" s="696" t="s">
        <v>5600</v>
      </c>
    </row>
    <row r="2078" spans="1:9" ht="20.100000000000001" customHeight="1" x14ac:dyDescent="0.2">
      <c r="A2078" s="695" t="str">
        <f t="shared" si="29"/>
        <v>344905199060000  Const. e Manutencao de Abrigos de Passageiros</v>
      </c>
      <c r="C2078" s="631"/>
      <c r="D2078" s="632">
        <v>344905199060000</v>
      </c>
      <c r="E2078" s="696" t="s">
        <v>5517</v>
      </c>
      <c r="F2078" s="696">
        <v>8</v>
      </c>
      <c r="G2078" s="696" t="s">
        <v>5597</v>
      </c>
      <c r="I2078" s="696" t="s">
        <v>5600</v>
      </c>
    </row>
    <row r="2079" spans="1:9" ht="20.100000000000001" customHeight="1" x14ac:dyDescent="0.2">
      <c r="A2079" s="695" t="str">
        <f t="shared" si="29"/>
        <v>344905199070000  Manutenção Pracinha do Centro de Eventos</v>
      </c>
      <c r="C2079" s="631"/>
      <c r="D2079" s="632">
        <v>344905199070000</v>
      </c>
      <c r="E2079" s="696" t="s">
        <v>5518</v>
      </c>
      <c r="F2079" s="696">
        <v>8</v>
      </c>
      <c r="G2079" s="696" t="s">
        <v>5597</v>
      </c>
      <c r="I2079" s="696" t="s">
        <v>5627</v>
      </c>
    </row>
    <row r="2080" spans="1:9" ht="20.100000000000001" customHeight="1" x14ac:dyDescent="0.2">
      <c r="A2080" s="695" t="str">
        <f t="shared" si="29"/>
        <v>344905199080000  Obras Rua Q</v>
      </c>
      <c r="C2080" s="631"/>
      <c r="D2080" s="632">
        <v>344905199080000</v>
      </c>
      <c r="E2080" s="696" t="s">
        <v>5519</v>
      </c>
      <c r="F2080" s="696">
        <v>8</v>
      </c>
      <c r="G2080" s="696" t="s">
        <v>5597</v>
      </c>
      <c r="I2080" s="696" t="s">
        <v>5600</v>
      </c>
    </row>
    <row r="2081" spans="1:9" ht="20.100000000000001" customHeight="1" x14ac:dyDescent="0.2">
      <c r="A2081" s="695" t="str">
        <f t="shared" si="29"/>
        <v>344905200000000  Equipamentos E Material Permanente</v>
      </c>
      <c r="C2081" s="631"/>
      <c r="D2081" s="632">
        <v>344905200000000</v>
      </c>
      <c r="E2081" s="696" t="s">
        <v>997</v>
      </c>
      <c r="F2081" s="696">
        <v>6</v>
      </c>
      <c r="G2081" s="696" t="s">
        <v>5596</v>
      </c>
      <c r="I2081" s="696"/>
    </row>
    <row r="2082" spans="1:9" ht="20.100000000000001" customHeight="1" x14ac:dyDescent="0.2">
      <c r="A2082" s="695" t="str">
        <f t="shared" si="29"/>
        <v>344905202000000  Aeronaves</v>
      </c>
      <c r="C2082" s="631"/>
      <c r="D2082" s="632">
        <v>344905202000000</v>
      </c>
      <c r="E2082" s="696" t="s">
        <v>5520</v>
      </c>
      <c r="F2082" s="696">
        <v>7</v>
      </c>
      <c r="G2082" s="696" t="s">
        <v>5597</v>
      </c>
      <c r="I2082" s="696"/>
    </row>
    <row r="2083" spans="1:9" ht="20.100000000000001" customHeight="1" x14ac:dyDescent="0.2">
      <c r="A2083" s="695" t="str">
        <f t="shared" si="29"/>
        <v>344905204000000  Aparelhos De Medicao E Orientacao</v>
      </c>
      <c r="C2083" s="631"/>
      <c r="D2083" s="632">
        <v>344905204000000</v>
      </c>
      <c r="E2083" s="696" t="s">
        <v>5521</v>
      </c>
      <c r="F2083" s="696">
        <v>7</v>
      </c>
      <c r="G2083" s="696" t="s">
        <v>5597</v>
      </c>
      <c r="I2083" s="696"/>
    </row>
    <row r="2084" spans="1:9" ht="20.100000000000001" customHeight="1" x14ac:dyDescent="0.2">
      <c r="A2084" s="695" t="str">
        <f t="shared" si="29"/>
        <v>344905206000000  Aparelhos E Equipamentos De Comunicacao</v>
      </c>
      <c r="C2084" s="631"/>
      <c r="D2084" s="632">
        <v>344905206000000</v>
      </c>
      <c r="E2084" s="696" t="s">
        <v>5522</v>
      </c>
      <c r="F2084" s="696">
        <v>7</v>
      </c>
      <c r="G2084" s="696" t="s">
        <v>5597</v>
      </c>
      <c r="I2084" s="696"/>
    </row>
    <row r="2085" spans="1:9" ht="20.100000000000001" customHeight="1" x14ac:dyDescent="0.2">
      <c r="A2085" s="695" t="str">
        <f t="shared" si="29"/>
        <v>344905208000000  Aparelhos, Equipamentos E Utensilios Medicos, Odontologicos, Laborator</v>
      </c>
      <c r="C2085" s="631"/>
      <c r="D2085" s="632">
        <v>344905208000000</v>
      </c>
      <c r="E2085" s="696" t="s">
        <v>1106</v>
      </c>
      <c r="F2085" s="696">
        <v>7</v>
      </c>
      <c r="G2085" s="696" t="s">
        <v>5597</v>
      </c>
      <c r="I2085" s="696"/>
    </row>
    <row r="2086" spans="1:9" ht="20.100000000000001" customHeight="1" x14ac:dyDescent="0.2">
      <c r="A2086" s="695" t="str">
        <f t="shared" si="29"/>
        <v>344905210000000  Aparelhos E Equipamentos P/  Esportes E Diversoes</v>
      </c>
      <c r="C2086" s="631"/>
      <c r="D2086" s="632">
        <v>344905210000000</v>
      </c>
      <c r="E2086" s="696" t="s">
        <v>5708</v>
      </c>
      <c r="F2086" s="696">
        <v>7</v>
      </c>
      <c r="G2086" s="696" t="s">
        <v>5597</v>
      </c>
      <c r="I2086" s="696"/>
    </row>
    <row r="2087" spans="1:9" ht="20.100000000000001" customHeight="1" x14ac:dyDescent="0.2">
      <c r="A2087" s="695" t="str">
        <f t="shared" si="29"/>
        <v>344905212000000  Aparelhos E Utensilios Domesticos</v>
      </c>
      <c r="C2087" s="631"/>
      <c r="D2087" s="632">
        <v>344905212000000</v>
      </c>
      <c r="E2087" s="696" t="s">
        <v>999</v>
      </c>
      <c r="F2087" s="696">
        <v>7</v>
      </c>
      <c r="G2087" s="696" t="s">
        <v>5597</v>
      </c>
      <c r="I2087" s="696"/>
    </row>
    <row r="2088" spans="1:9" ht="20.100000000000001" customHeight="1" x14ac:dyDescent="0.2">
      <c r="A2088" s="695" t="str">
        <f t="shared" si="29"/>
        <v>344905214000000  Armamentos</v>
      </c>
      <c r="C2088" s="631"/>
      <c r="D2088" s="632">
        <v>344905214000000</v>
      </c>
      <c r="E2088" s="696" t="s">
        <v>5523</v>
      </c>
      <c r="F2088" s="696">
        <v>7</v>
      </c>
      <c r="G2088" s="696" t="s">
        <v>5597</v>
      </c>
      <c r="I2088" s="696"/>
    </row>
    <row r="2089" spans="1:9" ht="20.100000000000001" customHeight="1" x14ac:dyDescent="0.2">
      <c r="A2089" s="695" t="str">
        <f t="shared" si="29"/>
        <v>344905218000000  Colecoes E Materiais Bibliograficos</v>
      </c>
      <c r="C2089" s="631"/>
      <c r="D2089" s="632">
        <v>344905218000000</v>
      </c>
      <c r="E2089" s="696" t="s">
        <v>5524</v>
      </c>
      <c r="F2089" s="696">
        <v>7</v>
      </c>
      <c r="G2089" s="696" t="s">
        <v>5597</v>
      </c>
      <c r="I2089" s="696"/>
    </row>
    <row r="2090" spans="1:9" ht="20.100000000000001" customHeight="1" x14ac:dyDescent="0.2">
      <c r="A2090" s="695" t="str">
        <f t="shared" si="29"/>
        <v>344905219000000  Discotecas E Filmotecas</v>
      </c>
      <c r="C2090" s="631"/>
      <c r="D2090" s="632">
        <v>344905219000000</v>
      </c>
      <c r="E2090" s="696" t="s">
        <v>5525</v>
      </c>
      <c r="F2090" s="696">
        <v>7</v>
      </c>
      <c r="G2090" s="696" t="s">
        <v>5597</v>
      </c>
      <c r="I2090" s="696"/>
    </row>
    <row r="2091" spans="1:9" ht="20.100000000000001" customHeight="1" x14ac:dyDescent="0.2">
      <c r="A2091" s="695" t="str">
        <f t="shared" si="29"/>
        <v>344905220000000  Embarcacoes</v>
      </c>
      <c r="C2091" s="631"/>
      <c r="D2091" s="632">
        <v>344905220000000</v>
      </c>
      <c r="E2091" s="696" t="s">
        <v>5526</v>
      </c>
      <c r="F2091" s="696">
        <v>7</v>
      </c>
      <c r="G2091" s="696" t="s">
        <v>5597</v>
      </c>
      <c r="I2091" s="696"/>
    </row>
    <row r="2092" spans="1:9" ht="20.100000000000001" customHeight="1" x14ac:dyDescent="0.2">
      <c r="A2092" s="695" t="str">
        <f t="shared" si="29"/>
        <v>344905222000000  Equipamentos De Manobra E Patrulhamento</v>
      </c>
      <c r="C2092" s="631"/>
      <c r="D2092" s="632">
        <v>344905222000000</v>
      </c>
      <c r="E2092" s="696" t="s">
        <v>5527</v>
      </c>
      <c r="F2092" s="696">
        <v>7</v>
      </c>
      <c r="G2092" s="696" t="s">
        <v>5597</v>
      </c>
      <c r="I2092" s="696"/>
    </row>
    <row r="2093" spans="1:9" ht="20.100000000000001" customHeight="1" x14ac:dyDescent="0.2">
      <c r="A2093" s="695" t="str">
        <f t="shared" si="29"/>
        <v>344905224000000  Equipamento De Protecao, Seguranca E Socorro</v>
      </c>
      <c r="C2093" s="631"/>
      <c r="D2093" s="632">
        <v>344905224000000</v>
      </c>
      <c r="E2093" s="696" t="s">
        <v>5528</v>
      </c>
      <c r="F2093" s="696">
        <v>7</v>
      </c>
      <c r="G2093" s="696" t="s">
        <v>5597</v>
      </c>
      <c r="I2093" s="696"/>
    </row>
    <row r="2094" spans="1:9" ht="20.100000000000001" customHeight="1" x14ac:dyDescent="0.2">
      <c r="A2094" s="695" t="str">
        <f t="shared" si="29"/>
        <v>344905226000000  Instrumentos Musicais E Artisticos</v>
      </c>
      <c r="C2094" s="631"/>
      <c r="D2094" s="632">
        <v>344905226000000</v>
      </c>
      <c r="E2094" s="696" t="s">
        <v>1154</v>
      </c>
      <c r="F2094" s="696">
        <v>7</v>
      </c>
      <c r="G2094" s="696" t="s">
        <v>5597</v>
      </c>
      <c r="I2094" s="696"/>
    </row>
    <row r="2095" spans="1:9" ht="20.100000000000001" customHeight="1" x14ac:dyDescent="0.2">
      <c r="A2095" s="695" t="str">
        <f t="shared" si="29"/>
        <v>344905228000000  Maquinas E Equipamentos  De Natureza Industrial</v>
      </c>
      <c r="C2095" s="631"/>
      <c r="D2095" s="632">
        <v>344905228000000</v>
      </c>
      <c r="E2095" s="696" t="s">
        <v>5709</v>
      </c>
      <c r="F2095" s="696">
        <v>7</v>
      </c>
      <c r="G2095" s="696" t="s">
        <v>5597</v>
      </c>
      <c r="I2095" s="696"/>
    </row>
    <row r="2096" spans="1:9" ht="20.100000000000001" customHeight="1" x14ac:dyDescent="0.2">
      <c r="A2096" s="695" t="str">
        <f t="shared" si="29"/>
        <v>344905230000000  Maquinas E Equipamentos Energeticos</v>
      </c>
      <c r="C2096" s="631"/>
      <c r="D2096" s="632">
        <v>344905230000000</v>
      </c>
      <c r="E2096" s="696" t="s">
        <v>5529</v>
      </c>
      <c r="F2096" s="696">
        <v>7</v>
      </c>
      <c r="G2096" s="696" t="s">
        <v>5597</v>
      </c>
      <c r="I2096" s="696"/>
    </row>
    <row r="2097" spans="1:9" ht="20.100000000000001" customHeight="1" x14ac:dyDescent="0.2">
      <c r="A2097" s="695" t="str">
        <f t="shared" ref="A2097:A2160" si="30">CONCATENATE(D2097,"  ",E2097,)</f>
        <v>344905232000000  Maquinas E Equipamentos Graficos</v>
      </c>
      <c r="C2097" s="631"/>
      <c r="D2097" s="632">
        <v>344905232000000</v>
      </c>
      <c r="E2097" s="696" t="s">
        <v>5530</v>
      </c>
      <c r="F2097" s="696">
        <v>7</v>
      </c>
      <c r="G2097" s="696" t="s">
        <v>5597</v>
      </c>
      <c r="I2097" s="696"/>
    </row>
    <row r="2098" spans="1:9" ht="20.100000000000001" customHeight="1" x14ac:dyDescent="0.2">
      <c r="A2098" s="695" t="str">
        <f t="shared" si="30"/>
        <v>344905233000000  Equipamentos P/ Audio, Video E Foto</v>
      </c>
      <c r="C2098" s="631"/>
      <c r="D2098" s="632">
        <v>344905233000000</v>
      </c>
      <c r="E2098" s="696" t="s">
        <v>5531</v>
      </c>
      <c r="F2098" s="696">
        <v>7</v>
      </c>
      <c r="G2098" s="696" t="s">
        <v>5597</v>
      </c>
      <c r="I2098" s="696"/>
    </row>
    <row r="2099" spans="1:9" ht="20.100000000000001" customHeight="1" x14ac:dyDescent="0.2">
      <c r="A2099" s="695" t="str">
        <f t="shared" si="30"/>
        <v>344905234000000  Maquinas,  Utensilios E Equipamentos  Diversos</v>
      </c>
      <c r="C2099" s="631"/>
      <c r="D2099" s="632">
        <v>344905234000000</v>
      </c>
      <c r="E2099" s="696" t="s">
        <v>5710</v>
      </c>
      <c r="F2099" s="696">
        <v>7</v>
      </c>
      <c r="G2099" s="696" t="s">
        <v>5597</v>
      </c>
      <c r="I2099" s="696"/>
    </row>
    <row r="2100" spans="1:9" ht="20.100000000000001" customHeight="1" x14ac:dyDescent="0.2">
      <c r="A2100" s="695" t="str">
        <f t="shared" si="30"/>
        <v>344905235000000  Equipamentos De Processamento De Dados</v>
      </c>
      <c r="C2100" s="631"/>
      <c r="D2100" s="632">
        <v>344905235000000</v>
      </c>
      <c r="E2100" s="696" t="s">
        <v>998</v>
      </c>
      <c r="F2100" s="696">
        <v>7</v>
      </c>
      <c r="G2100" s="696" t="s">
        <v>5597</v>
      </c>
      <c r="I2100" s="696"/>
    </row>
    <row r="2101" spans="1:9" ht="20.100000000000001" customHeight="1" x14ac:dyDescent="0.2">
      <c r="A2101" s="695" t="str">
        <f t="shared" si="30"/>
        <v>344905236000000  Maquinas, Instalacoes E Utensilios De Escritorio</v>
      </c>
      <c r="C2101" s="631"/>
      <c r="D2101" s="632">
        <v>344905236000000</v>
      </c>
      <c r="E2101" s="696" t="s">
        <v>1103</v>
      </c>
      <c r="F2101" s="696">
        <v>7</v>
      </c>
      <c r="G2101" s="696" t="s">
        <v>5597</v>
      </c>
      <c r="I2101" s="696"/>
    </row>
    <row r="2102" spans="1:9" ht="20.100000000000001" customHeight="1" x14ac:dyDescent="0.2">
      <c r="A2102" s="695" t="str">
        <f t="shared" si="30"/>
        <v>344905238000000  Maquinas, Ferramentas E Utensilios De Oficina</v>
      </c>
      <c r="C2102" s="631"/>
      <c r="D2102" s="632">
        <v>344905238000000</v>
      </c>
      <c r="E2102" s="696" t="s">
        <v>5532</v>
      </c>
      <c r="F2102" s="696">
        <v>7</v>
      </c>
      <c r="G2102" s="696" t="s">
        <v>5597</v>
      </c>
      <c r="I2102" s="696"/>
    </row>
    <row r="2103" spans="1:9" ht="20.100000000000001" customHeight="1" x14ac:dyDescent="0.2">
      <c r="A2103" s="695" t="str">
        <f t="shared" si="30"/>
        <v>344905239000000  Equipamentos E Utensilios Hidraulicos E Eletricos</v>
      </c>
      <c r="C2103" s="631"/>
      <c r="D2103" s="632">
        <v>344905239000000</v>
      </c>
      <c r="E2103" s="696" t="s">
        <v>1102</v>
      </c>
      <c r="F2103" s="696">
        <v>7</v>
      </c>
      <c r="G2103" s="696" t="s">
        <v>5597</v>
      </c>
      <c r="I2103" s="696"/>
    </row>
    <row r="2104" spans="1:9" ht="20.100000000000001" customHeight="1" x14ac:dyDescent="0.2">
      <c r="A2104" s="695" t="str">
        <f t="shared" si="30"/>
        <v>344905240000000  Maquinas E Equipamentos Agricolas  E Rodoviarios</v>
      </c>
      <c r="C2104" s="631"/>
      <c r="D2104" s="632">
        <v>344905240000000</v>
      </c>
      <c r="E2104" s="696" t="s">
        <v>5711</v>
      </c>
      <c r="F2104" s="696">
        <v>7</v>
      </c>
      <c r="G2104" s="696" t="s">
        <v>5597</v>
      </c>
      <c r="I2104" s="696"/>
    </row>
    <row r="2105" spans="1:9" ht="20.100000000000001" customHeight="1" x14ac:dyDescent="0.2">
      <c r="A2105" s="695" t="str">
        <f t="shared" si="30"/>
        <v>344905242000000  Mobiliario Em Geral</v>
      </c>
      <c r="C2105" s="631"/>
      <c r="D2105" s="632">
        <v>344905242000000</v>
      </c>
      <c r="E2105" s="696" t="s">
        <v>1000</v>
      </c>
      <c r="F2105" s="696">
        <v>7</v>
      </c>
      <c r="G2105" s="696" t="s">
        <v>5597</v>
      </c>
      <c r="I2105" s="696"/>
    </row>
    <row r="2106" spans="1:9" ht="20.100000000000001" customHeight="1" x14ac:dyDescent="0.2">
      <c r="A2106" s="695" t="str">
        <f t="shared" si="30"/>
        <v>344905244000000  Obras De Arte E Pecas P/ Exposicao</v>
      </c>
      <c r="C2106" s="631"/>
      <c r="D2106" s="632">
        <v>344905244000000</v>
      </c>
      <c r="E2106" s="696" t="s">
        <v>5533</v>
      </c>
      <c r="F2106" s="696">
        <v>7</v>
      </c>
      <c r="G2106" s="696" t="s">
        <v>5597</v>
      </c>
      <c r="I2106" s="696"/>
    </row>
    <row r="2107" spans="1:9" ht="20.100000000000001" customHeight="1" x14ac:dyDescent="0.2">
      <c r="A2107" s="695" t="str">
        <f t="shared" si="30"/>
        <v>344905246000000  Semoventes E Equipamentos De Montaria</v>
      </c>
      <c r="C2107" s="631"/>
      <c r="D2107" s="632">
        <v>344905246000000</v>
      </c>
      <c r="E2107" s="696" t="s">
        <v>5534</v>
      </c>
      <c r="F2107" s="696">
        <v>7</v>
      </c>
      <c r="G2107" s="696" t="s">
        <v>5597</v>
      </c>
      <c r="I2107" s="696"/>
    </row>
    <row r="2108" spans="1:9" ht="20.100000000000001" customHeight="1" x14ac:dyDescent="0.2">
      <c r="A2108" s="695" t="str">
        <f t="shared" si="30"/>
        <v>344905248000000  Veiculos Diversos</v>
      </c>
      <c r="C2108" s="631"/>
      <c r="D2108" s="632">
        <v>344905248000000</v>
      </c>
      <c r="E2108" s="696" t="s">
        <v>5535</v>
      </c>
      <c r="F2108" s="696">
        <v>7</v>
      </c>
      <c r="G2108" s="696" t="s">
        <v>5597</v>
      </c>
      <c r="I2108" s="696"/>
    </row>
    <row r="2109" spans="1:9" ht="20.100000000000001" customHeight="1" x14ac:dyDescent="0.2">
      <c r="A2109" s="695" t="str">
        <f t="shared" si="30"/>
        <v>344905250000000  Veiculos Ferroviarios</v>
      </c>
      <c r="C2109" s="631"/>
      <c r="D2109" s="632">
        <v>344905250000000</v>
      </c>
      <c r="E2109" s="696" t="s">
        <v>5536</v>
      </c>
      <c r="F2109" s="696">
        <v>7</v>
      </c>
      <c r="G2109" s="696" t="s">
        <v>5597</v>
      </c>
      <c r="I2109" s="696"/>
    </row>
    <row r="2110" spans="1:9" ht="20.100000000000001" customHeight="1" x14ac:dyDescent="0.2">
      <c r="A2110" s="695" t="str">
        <f t="shared" si="30"/>
        <v>344905251000000  Pecas Nao Incorporaveis A Imoveis</v>
      </c>
      <c r="C2110" s="631"/>
      <c r="D2110" s="632">
        <v>344905251000000</v>
      </c>
      <c r="E2110" s="696" t="s">
        <v>5537</v>
      </c>
      <c r="F2110" s="696">
        <v>7</v>
      </c>
      <c r="G2110" s="696" t="s">
        <v>5597</v>
      </c>
      <c r="I2110" s="696"/>
    </row>
    <row r="2111" spans="1:9" ht="20.100000000000001" customHeight="1" x14ac:dyDescent="0.2">
      <c r="A2111" s="695" t="str">
        <f t="shared" si="30"/>
        <v>344905252000000  Veiculos De Tracao Mecanica</v>
      </c>
      <c r="C2111" s="631"/>
      <c r="D2111" s="632">
        <v>344905252000000</v>
      </c>
      <c r="E2111" s="696" t="s">
        <v>1099</v>
      </c>
      <c r="F2111" s="696">
        <v>7</v>
      </c>
      <c r="G2111" s="696" t="s">
        <v>5597</v>
      </c>
      <c r="I2111" s="696"/>
    </row>
    <row r="2112" spans="1:9" ht="20.100000000000001" customHeight="1" x14ac:dyDescent="0.2">
      <c r="A2112" s="695" t="str">
        <f t="shared" si="30"/>
        <v>344905257000000  Acessorios P/ Automoveis</v>
      </c>
      <c r="C2112" s="631"/>
      <c r="D2112" s="632">
        <v>344905257000000</v>
      </c>
      <c r="E2112" s="696" t="s">
        <v>5538</v>
      </c>
      <c r="F2112" s="696">
        <v>7</v>
      </c>
      <c r="G2112" s="696" t="s">
        <v>5597</v>
      </c>
      <c r="I2112" s="696"/>
    </row>
    <row r="2113" spans="1:9" ht="20.100000000000001" customHeight="1" x14ac:dyDescent="0.2">
      <c r="A2113" s="695" t="str">
        <f t="shared" si="30"/>
        <v>344905258000000  Equipamentos De Mergulho E Salvamento</v>
      </c>
      <c r="C2113" s="631"/>
      <c r="D2113" s="632">
        <v>344905258000000</v>
      </c>
      <c r="E2113" s="696" t="s">
        <v>5539</v>
      </c>
      <c r="F2113" s="696">
        <v>7</v>
      </c>
      <c r="G2113" s="696" t="s">
        <v>5597</v>
      </c>
      <c r="I2113" s="696"/>
    </row>
    <row r="2114" spans="1:9" ht="20.100000000000001" customHeight="1" x14ac:dyDescent="0.2">
      <c r="A2114" s="695" t="str">
        <f t="shared" si="30"/>
        <v>344905283000000  Equipamentos  E Sistemas De Protecao E Vigilancia Ambiental</v>
      </c>
      <c r="C2114" s="631"/>
      <c r="D2114" s="632">
        <v>344905283000000</v>
      </c>
      <c r="E2114" s="696" t="s">
        <v>5712</v>
      </c>
      <c r="F2114" s="696">
        <v>7</v>
      </c>
      <c r="G2114" s="696" t="s">
        <v>5597</v>
      </c>
      <c r="I2114" s="696"/>
    </row>
    <row r="2115" spans="1:9" ht="20.100000000000001" customHeight="1" x14ac:dyDescent="0.2">
      <c r="A2115" s="695" t="str">
        <f t="shared" si="30"/>
        <v>344905287000000  Material De Consumo De Uso Duradouro</v>
      </c>
      <c r="C2115" s="631"/>
      <c r="D2115" s="632">
        <v>344905287000000</v>
      </c>
      <c r="E2115" s="696" t="s">
        <v>5540</v>
      </c>
      <c r="F2115" s="696">
        <v>7</v>
      </c>
      <c r="G2115" s="696" t="s">
        <v>5597</v>
      </c>
      <c r="I2115" s="696"/>
    </row>
    <row r="2116" spans="1:9" ht="20.100000000000001" customHeight="1" x14ac:dyDescent="0.2">
      <c r="A2116" s="695" t="str">
        <f t="shared" si="30"/>
        <v>344905296000000  Equipamento E Material Permanente - Pagamento Antecipado</v>
      </c>
      <c r="C2116" s="631"/>
      <c r="D2116" s="632">
        <v>344905296000000</v>
      </c>
      <c r="E2116" s="696" t="s">
        <v>5541</v>
      </c>
      <c r="F2116" s="696">
        <v>7</v>
      </c>
      <c r="G2116" s="696" t="s">
        <v>5597</v>
      </c>
      <c r="I2116" s="696"/>
    </row>
    <row r="2117" spans="1:9" ht="20.100000000000001" customHeight="1" x14ac:dyDescent="0.2">
      <c r="A2117" s="695" t="str">
        <f t="shared" si="30"/>
        <v>344905299000000  Outros Materiais Permanentes</v>
      </c>
      <c r="C2117" s="631"/>
      <c r="D2117" s="632">
        <v>344905299000000</v>
      </c>
      <c r="E2117" s="696" t="s">
        <v>5542</v>
      </c>
      <c r="F2117" s="696">
        <v>7</v>
      </c>
      <c r="G2117" s="696" t="s">
        <v>5597</v>
      </c>
      <c r="I2117" s="696"/>
    </row>
    <row r="2118" spans="1:9" ht="20.100000000000001" customHeight="1" x14ac:dyDescent="0.2">
      <c r="A2118" s="695" t="str">
        <f t="shared" si="30"/>
        <v>344906100000000  Aquisicao De Imoveis</v>
      </c>
      <c r="C2118" s="631"/>
      <c r="D2118" s="632">
        <v>344906100000000</v>
      </c>
      <c r="E2118" s="696" t="s">
        <v>1192</v>
      </c>
      <c r="F2118" s="696">
        <v>6</v>
      </c>
      <c r="G2118" s="696" t="s">
        <v>5596</v>
      </c>
      <c r="I2118" s="696"/>
    </row>
    <row r="2119" spans="1:9" ht="20.100000000000001" customHeight="1" x14ac:dyDescent="0.2">
      <c r="A2119" s="695" t="str">
        <f t="shared" si="30"/>
        <v>344906101000000  Edificios - Realizacao De Obras</v>
      </c>
      <c r="C2119" s="631"/>
      <c r="D2119" s="632">
        <v>344906101000000</v>
      </c>
      <c r="E2119" s="696" t="s">
        <v>5543</v>
      </c>
      <c r="F2119" s="696">
        <v>7</v>
      </c>
      <c r="G2119" s="696" t="s">
        <v>5597</v>
      </c>
      <c r="I2119" s="696"/>
    </row>
    <row r="2120" spans="1:9" ht="20.100000000000001" customHeight="1" x14ac:dyDescent="0.2">
      <c r="A2120" s="695" t="str">
        <f t="shared" si="30"/>
        <v>344906103000000  Terrenos</v>
      </c>
      <c r="C2120" s="631"/>
      <c r="D2120" s="632">
        <v>344906103000000</v>
      </c>
      <c r="E2120" s="696" t="s">
        <v>1191</v>
      </c>
      <c r="F2120" s="696">
        <v>7</v>
      </c>
      <c r="G2120" s="696" t="s">
        <v>5597</v>
      </c>
      <c r="I2120" s="696"/>
    </row>
    <row r="2121" spans="1:9" ht="20.100000000000001" customHeight="1" x14ac:dyDescent="0.2">
      <c r="A2121" s="695" t="str">
        <f t="shared" si="30"/>
        <v>344906106000000  Salas E Escritorios</v>
      </c>
      <c r="C2121" s="631"/>
      <c r="D2121" s="632">
        <v>344906106000000</v>
      </c>
      <c r="E2121" s="696" t="s">
        <v>5544</v>
      </c>
      <c r="F2121" s="696">
        <v>7</v>
      </c>
      <c r="G2121" s="696" t="s">
        <v>5597</v>
      </c>
      <c r="I2121" s="696"/>
    </row>
    <row r="2122" spans="1:9" ht="20.100000000000001" customHeight="1" x14ac:dyDescent="0.2">
      <c r="A2122" s="695" t="str">
        <f t="shared" si="30"/>
        <v>344906107000000  Casas E Apartamentos</v>
      </c>
      <c r="C2122" s="631"/>
      <c r="D2122" s="632">
        <v>344906107000000</v>
      </c>
      <c r="E2122" s="696" t="s">
        <v>5545</v>
      </c>
      <c r="F2122" s="696">
        <v>7</v>
      </c>
      <c r="G2122" s="696" t="s">
        <v>5597</v>
      </c>
      <c r="I2122" s="696"/>
    </row>
    <row r="2123" spans="1:9" ht="20.100000000000001" customHeight="1" x14ac:dyDescent="0.2">
      <c r="A2123" s="695" t="str">
        <f t="shared" si="30"/>
        <v>344906108000000  Armazens E Silos</v>
      </c>
      <c r="C2123" s="631"/>
      <c r="D2123" s="632">
        <v>344906108000000</v>
      </c>
      <c r="E2123" s="696" t="s">
        <v>5546</v>
      </c>
      <c r="F2123" s="696">
        <v>7</v>
      </c>
      <c r="G2123" s="696" t="s">
        <v>5597</v>
      </c>
      <c r="I2123" s="696"/>
    </row>
    <row r="2124" spans="1:9" ht="20.100000000000001" customHeight="1" x14ac:dyDescent="0.2">
      <c r="A2124" s="695" t="str">
        <f t="shared" si="30"/>
        <v>344906199000000  Outras Aquisicoes De Bens Imoveis</v>
      </c>
      <c r="C2124" s="631"/>
      <c r="D2124" s="632">
        <v>344906199000000</v>
      </c>
      <c r="E2124" s="696" t="s">
        <v>5547</v>
      </c>
      <c r="F2124" s="696">
        <v>7</v>
      </c>
      <c r="G2124" s="696" t="s">
        <v>5597</v>
      </c>
      <c r="I2124" s="696"/>
    </row>
    <row r="2125" spans="1:9" ht="20.100000000000001" customHeight="1" x14ac:dyDescent="0.2">
      <c r="A2125" s="695" t="str">
        <f t="shared" si="30"/>
        <v>344909100000000  Sentencas Judiciais</v>
      </c>
      <c r="C2125" s="631"/>
      <c r="D2125" s="632">
        <v>344909100000000</v>
      </c>
      <c r="E2125" s="696" t="s">
        <v>1254</v>
      </c>
      <c r="F2125" s="696">
        <v>6</v>
      </c>
      <c r="G2125" s="696" t="s">
        <v>5596</v>
      </c>
      <c r="I2125" s="696"/>
    </row>
    <row r="2126" spans="1:9" ht="20.100000000000001" customHeight="1" x14ac:dyDescent="0.2">
      <c r="A2126" s="695" t="str">
        <f t="shared" si="30"/>
        <v>344909103000000  Liminares Em Mandados De Seguranca</v>
      </c>
      <c r="C2126" s="631"/>
      <c r="D2126" s="632">
        <v>344909103000000</v>
      </c>
      <c r="E2126" s="696" t="s">
        <v>5548</v>
      </c>
      <c r="F2126" s="696">
        <v>7</v>
      </c>
      <c r="G2126" s="696" t="s">
        <v>5597</v>
      </c>
      <c r="I2126" s="696"/>
    </row>
    <row r="2127" spans="1:9" ht="20.100000000000001" customHeight="1" x14ac:dyDescent="0.2">
      <c r="A2127" s="695" t="str">
        <f t="shared" si="30"/>
        <v>344909105000000  Sentencas Judiciais Transitadas Em Julgado</v>
      </c>
      <c r="C2127" s="631"/>
      <c r="D2127" s="632">
        <v>344909105000000</v>
      </c>
      <c r="E2127" s="696" t="s">
        <v>1253</v>
      </c>
      <c r="F2127" s="696">
        <v>7</v>
      </c>
      <c r="G2127" s="696" t="s">
        <v>5597</v>
      </c>
      <c r="I2127" s="696"/>
    </row>
    <row r="2128" spans="1:9" ht="20.100000000000001" customHeight="1" x14ac:dyDescent="0.2">
      <c r="A2128" s="695" t="str">
        <f t="shared" si="30"/>
        <v>344909199000000  Diversas Sentencas</v>
      </c>
      <c r="C2128" s="631"/>
      <c r="D2128" s="632">
        <v>344909199000000</v>
      </c>
      <c r="E2128" s="696" t="s">
        <v>1251</v>
      </c>
      <c r="F2128" s="696">
        <v>7</v>
      </c>
      <c r="G2128" s="696" t="s">
        <v>5597</v>
      </c>
      <c r="I2128" s="696"/>
    </row>
    <row r="2129" spans="1:9" ht="20.100000000000001" customHeight="1" x14ac:dyDescent="0.2">
      <c r="A2129" s="695" t="str">
        <f t="shared" si="30"/>
        <v>344909200000000  Despesas De Exercicios Anteriores</v>
      </c>
      <c r="C2129" s="631"/>
      <c r="D2129" s="632">
        <v>344909200000000</v>
      </c>
      <c r="E2129" s="696" t="s">
        <v>1158</v>
      </c>
      <c r="F2129" s="696">
        <v>6</v>
      </c>
      <c r="G2129" s="696" t="s">
        <v>5596</v>
      </c>
      <c r="I2129" s="696"/>
    </row>
    <row r="2130" spans="1:9" ht="20.100000000000001" customHeight="1" x14ac:dyDescent="0.2">
      <c r="A2130" s="695" t="str">
        <f t="shared" si="30"/>
        <v>344909201000000  Obras E Instalacoes</v>
      </c>
      <c r="C2130" s="631"/>
      <c r="D2130" s="632">
        <v>344909201000000</v>
      </c>
      <c r="E2130" s="696" t="s">
        <v>1029</v>
      </c>
      <c r="F2130" s="696">
        <v>7</v>
      </c>
      <c r="G2130" s="696" t="s">
        <v>5597</v>
      </c>
      <c r="I2130" s="696"/>
    </row>
    <row r="2131" spans="1:9" ht="20.100000000000001" customHeight="1" x14ac:dyDescent="0.2">
      <c r="A2131" s="695" t="str">
        <f t="shared" si="30"/>
        <v>344909202000000  Equipamentos E Material Permanente</v>
      </c>
      <c r="C2131" s="631"/>
      <c r="D2131" s="632">
        <v>344909202000000</v>
      </c>
      <c r="E2131" s="696" t="s">
        <v>997</v>
      </c>
      <c r="F2131" s="696">
        <v>7</v>
      </c>
      <c r="G2131" s="696" t="s">
        <v>5597</v>
      </c>
      <c r="I2131" s="696"/>
    </row>
    <row r="2132" spans="1:9" ht="20.100000000000001" customHeight="1" x14ac:dyDescent="0.2">
      <c r="A2132" s="695" t="str">
        <f t="shared" si="30"/>
        <v>344909292000000  Material De Consumo</v>
      </c>
      <c r="C2132" s="631"/>
      <c r="D2132" s="632">
        <v>344909292000000</v>
      </c>
      <c r="E2132" s="696" t="s">
        <v>996</v>
      </c>
      <c r="F2132" s="696">
        <v>7</v>
      </c>
      <c r="G2132" s="696" t="s">
        <v>5597</v>
      </c>
      <c r="I2132" s="696"/>
    </row>
    <row r="2133" spans="1:9" ht="20.100000000000001" customHeight="1" x14ac:dyDescent="0.2">
      <c r="A2133" s="695" t="str">
        <f t="shared" si="30"/>
        <v>344909299000000  Outras Despesas De Exercicios Anteriores</v>
      </c>
      <c r="C2133" s="631"/>
      <c r="D2133" s="632">
        <v>344909299000000</v>
      </c>
      <c r="E2133" s="696" t="s">
        <v>4951</v>
      </c>
      <c r="F2133" s="696">
        <v>7</v>
      </c>
      <c r="G2133" s="696" t="s">
        <v>5597</v>
      </c>
      <c r="I2133" s="696"/>
    </row>
    <row r="2134" spans="1:9" ht="20.100000000000001" customHeight="1" x14ac:dyDescent="0.2">
      <c r="A2134" s="695" t="str">
        <f t="shared" si="30"/>
        <v>344909300000000  Indenizacoes E Restituicoes</v>
      </c>
      <c r="C2134" s="631"/>
      <c r="D2134" s="632">
        <v>344909300000000</v>
      </c>
      <c r="E2134" s="696" t="s">
        <v>985</v>
      </c>
      <c r="F2134" s="696">
        <v>6</v>
      </c>
      <c r="G2134" s="696" t="s">
        <v>5596</v>
      </c>
      <c r="I2134" s="696"/>
    </row>
    <row r="2135" spans="1:9" ht="20.100000000000001" customHeight="1" x14ac:dyDescent="0.2">
      <c r="A2135" s="695" t="str">
        <f t="shared" si="30"/>
        <v>344909301000000  Indenizacao</v>
      </c>
      <c r="C2135" s="631"/>
      <c r="D2135" s="632">
        <v>344909301000000</v>
      </c>
      <c r="E2135" s="696" t="s">
        <v>5549</v>
      </c>
      <c r="F2135" s="696">
        <v>7</v>
      </c>
      <c r="G2135" s="696" t="s">
        <v>5597</v>
      </c>
      <c r="I2135" s="696"/>
    </row>
    <row r="2136" spans="1:9" ht="20.100000000000001" customHeight="1" x14ac:dyDescent="0.2">
      <c r="A2136" s="695" t="str">
        <f t="shared" si="30"/>
        <v>344909302000000  Restituicoes</v>
      </c>
      <c r="C2136" s="631"/>
      <c r="D2136" s="632">
        <v>344909302000000</v>
      </c>
      <c r="E2136" s="696" t="s">
        <v>986</v>
      </c>
      <c r="F2136" s="696">
        <v>7</v>
      </c>
      <c r="G2136" s="696" t="s">
        <v>5597</v>
      </c>
      <c r="I2136" s="696"/>
    </row>
    <row r="2137" spans="1:9" ht="20.100000000000001" customHeight="1" x14ac:dyDescent="0.2">
      <c r="A2137" s="695" t="str">
        <f t="shared" si="30"/>
        <v>344909303000000  Bens Moveis Em Poder De Terceiros</v>
      </c>
      <c r="C2137" s="631"/>
      <c r="D2137" s="632">
        <v>344909303000000</v>
      </c>
      <c r="E2137" s="696" t="s">
        <v>5550</v>
      </c>
      <c r="F2137" s="696">
        <v>7</v>
      </c>
      <c r="G2137" s="696" t="s">
        <v>5597</v>
      </c>
      <c r="I2137" s="696"/>
    </row>
    <row r="2138" spans="1:9" ht="20.100000000000001" customHeight="1" x14ac:dyDescent="0.2">
      <c r="A2138" s="695" t="str">
        <f t="shared" si="30"/>
        <v>344909399000000  Diversas Indenizacoes E Restituicoes</v>
      </c>
      <c r="C2138" s="631"/>
      <c r="D2138" s="632">
        <v>344909399000000</v>
      </c>
      <c r="E2138" s="696" t="s">
        <v>1162</v>
      </c>
      <c r="F2138" s="696">
        <v>7</v>
      </c>
      <c r="G2138" s="696" t="s">
        <v>5597</v>
      </c>
      <c r="I2138" s="696"/>
    </row>
    <row r="2139" spans="1:9" ht="20.100000000000001" customHeight="1" x14ac:dyDescent="0.2">
      <c r="A2139" s="695" t="str">
        <f t="shared" si="30"/>
        <v>345000000000000  Inversoes Financeiras</v>
      </c>
      <c r="C2139" s="631"/>
      <c r="D2139" s="632">
        <v>345000000000000</v>
      </c>
      <c r="E2139" s="696" t="s">
        <v>2078</v>
      </c>
      <c r="F2139" s="696">
        <v>3</v>
      </c>
      <c r="G2139" s="696" t="s">
        <v>5596</v>
      </c>
      <c r="I2139" s="696"/>
    </row>
    <row r="2140" spans="1:9" ht="20.100000000000001" customHeight="1" x14ac:dyDescent="0.2">
      <c r="A2140" s="695" t="str">
        <f t="shared" si="30"/>
        <v>345200000000000  Transferencias A Uniao</v>
      </c>
      <c r="C2140" s="631"/>
      <c r="D2140" s="632">
        <v>345200000000000</v>
      </c>
      <c r="E2140" s="696" t="s">
        <v>2118</v>
      </c>
      <c r="F2140" s="696">
        <v>4</v>
      </c>
      <c r="G2140" s="696" t="s">
        <v>5596</v>
      </c>
      <c r="I2140" s="696"/>
    </row>
    <row r="2141" spans="1:9" ht="20.100000000000001" customHeight="1" x14ac:dyDescent="0.2">
      <c r="A2141" s="695" t="str">
        <f t="shared" si="30"/>
        <v>345204200000000  Auxilios</v>
      </c>
      <c r="C2141" s="631"/>
      <c r="D2141" s="632">
        <v>345204200000000</v>
      </c>
      <c r="E2141" s="696" t="s">
        <v>5415</v>
      </c>
      <c r="F2141" s="696">
        <v>6</v>
      </c>
      <c r="G2141" s="696" t="s">
        <v>5596</v>
      </c>
      <c r="I2141" s="696"/>
    </row>
    <row r="2142" spans="1:9" ht="20.100000000000001" customHeight="1" x14ac:dyDescent="0.2">
      <c r="A2142" s="695" t="str">
        <f t="shared" si="30"/>
        <v>345204299000000  Outros Auxilios</v>
      </c>
      <c r="C2142" s="631"/>
      <c r="D2142" s="632">
        <v>345204299000000</v>
      </c>
      <c r="E2142" s="696" t="s">
        <v>5426</v>
      </c>
      <c r="F2142" s="696">
        <v>7</v>
      </c>
      <c r="G2142" s="696" t="s">
        <v>5597</v>
      </c>
      <c r="I2142" s="696"/>
    </row>
    <row r="2143" spans="1:9" ht="20.100000000000001" customHeight="1" x14ac:dyDescent="0.2">
      <c r="A2143" s="695" t="str">
        <f t="shared" si="30"/>
        <v>345209300000000  Indenizacoes E Restituicoes</v>
      </c>
      <c r="C2143" s="631"/>
      <c r="D2143" s="632">
        <v>345209300000000</v>
      </c>
      <c r="E2143" s="696" t="s">
        <v>985</v>
      </c>
      <c r="F2143" s="696">
        <v>6</v>
      </c>
      <c r="G2143" s="696" t="s">
        <v>5596</v>
      </c>
      <c r="I2143" s="696"/>
    </row>
    <row r="2144" spans="1:9" ht="20.100000000000001" customHeight="1" x14ac:dyDescent="0.2">
      <c r="A2144" s="695" t="str">
        <f t="shared" si="30"/>
        <v>345209399000000  Outras Indenizacoes E Restituicoes</v>
      </c>
      <c r="C2144" s="631"/>
      <c r="D2144" s="632">
        <v>345209399000000</v>
      </c>
      <c r="E2144" s="696" t="s">
        <v>5005</v>
      </c>
      <c r="F2144" s="696">
        <v>7</v>
      </c>
      <c r="G2144" s="696" t="s">
        <v>5596</v>
      </c>
      <c r="I2144" s="696"/>
    </row>
    <row r="2145" spans="1:9" ht="20.100000000000001" customHeight="1" x14ac:dyDescent="0.2">
      <c r="A2145" s="695" t="str">
        <f t="shared" si="30"/>
        <v>345209399010000  Restituicao De Convenios E Transferencias Recebidas Da Uniao</v>
      </c>
      <c r="C2145" s="631"/>
      <c r="D2145" s="632">
        <v>345209399010000</v>
      </c>
      <c r="E2145" s="696" t="s">
        <v>5551</v>
      </c>
      <c r="F2145" s="696">
        <v>8</v>
      </c>
      <c r="G2145" s="696" t="s">
        <v>5597</v>
      </c>
      <c r="I2145" s="696"/>
    </row>
    <row r="2146" spans="1:9" ht="20.100000000000001" customHeight="1" x14ac:dyDescent="0.2">
      <c r="A2146" s="695" t="str">
        <f t="shared" si="30"/>
        <v>345300000000000  Transferencias  A Estados E Ao Distrito Federal</v>
      </c>
      <c r="C2146" s="631"/>
      <c r="D2146" s="632">
        <v>345300000000000</v>
      </c>
      <c r="E2146" s="696" t="s">
        <v>5713</v>
      </c>
      <c r="F2146" s="696">
        <v>4</v>
      </c>
      <c r="G2146" s="696" t="s">
        <v>5596</v>
      </c>
      <c r="I2146" s="696"/>
    </row>
    <row r="2147" spans="1:9" ht="20.100000000000001" customHeight="1" x14ac:dyDescent="0.2">
      <c r="A2147" s="695" t="str">
        <f t="shared" si="30"/>
        <v>345304100000000  Contribuicoes</v>
      </c>
      <c r="C2147" s="631"/>
      <c r="D2147" s="632">
        <v>345304100000000</v>
      </c>
      <c r="E2147" s="696" t="s">
        <v>1057</v>
      </c>
      <c r="F2147" s="696">
        <v>6</v>
      </c>
      <c r="G2147" s="696" t="s">
        <v>5596</v>
      </c>
      <c r="I2147" s="696"/>
    </row>
    <row r="2148" spans="1:9" ht="20.100000000000001" customHeight="1" x14ac:dyDescent="0.2">
      <c r="A2148" s="695" t="str">
        <f t="shared" si="30"/>
        <v>345304139000000  Rio Grande Do Sul</v>
      </c>
      <c r="C2148" s="631"/>
      <c r="D2148" s="632">
        <v>345304139000000</v>
      </c>
      <c r="E2148" s="696" t="s">
        <v>1274</v>
      </c>
      <c r="F2148" s="696">
        <v>7</v>
      </c>
      <c r="G2148" s="696" t="s">
        <v>5596</v>
      </c>
      <c r="I2148" s="696"/>
    </row>
    <row r="2149" spans="1:9" ht="20.100000000000001" customHeight="1" x14ac:dyDescent="0.2">
      <c r="A2149" s="695" t="str">
        <f t="shared" si="30"/>
        <v>345304200000000  Auxilios</v>
      </c>
      <c r="C2149" s="631"/>
      <c r="D2149" s="632">
        <v>345304200000000</v>
      </c>
      <c r="E2149" s="696" t="s">
        <v>5415</v>
      </c>
      <c r="F2149" s="696">
        <v>6</v>
      </c>
      <c r="G2149" s="696" t="s">
        <v>5596</v>
      </c>
      <c r="I2149" s="696"/>
    </row>
    <row r="2150" spans="1:9" ht="20.100000000000001" customHeight="1" x14ac:dyDescent="0.2">
      <c r="A2150" s="695" t="str">
        <f t="shared" si="30"/>
        <v>345304239000000  Rio Grande Do Sul</v>
      </c>
      <c r="C2150" s="631"/>
      <c r="D2150" s="632">
        <v>345304239000000</v>
      </c>
      <c r="E2150" s="696" t="s">
        <v>1274</v>
      </c>
      <c r="F2150" s="696">
        <v>7</v>
      </c>
      <c r="G2150" s="696" t="s">
        <v>5596</v>
      </c>
      <c r="I2150" s="696"/>
    </row>
    <row r="2151" spans="1:9" ht="20.100000000000001" customHeight="1" x14ac:dyDescent="0.2">
      <c r="A2151" s="695" t="str">
        <f t="shared" si="30"/>
        <v>345309300000000  Indenizacoes E Restituicoes</v>
      </c>
      <c r="C2151" s="631"/>
      <c r="D2151" s="632">
        <v>345309300000000</v>
      </c>
      <c r="E2151" s="696" t="s">
        <v>985</v>
      </c>
      <c r="F2151" s="696">
        <v>6</v>
      </c>
      <c r="G2151" s="696" t="s">
        <v>5596</v>
      </c>
      <c r="I2151" s="696"/>
    </row>
    <row r="2152" spans="1:9" ht="20.100000000000001" customHeight="1" x14ac:dyDescent="0.2">
      <c r="A2152" s="695" t="str">
        <f t="shared" si="30"/>
        <v>345309399000000  Diversas Indenizacoes E Restituicoes</v>
      </c>
      <c r="C2152" s="631"/>
      <c r="D2152" s="632">
        <v>345309399000000</v>
      </c>
      <c r="E2152" s="696" t="s">
        <v>1162</v>
      </c>
      <c r="F2152" s="696">
        <v>7</v>
      </c>
      <c r="G2152" s="696" t="s">
        <v>5596</v>
      </c>
      <c r="I2152" s="696"/>
    </row>
    <row r="2153" spans="1:9" ht="20.100000000000001" customHeight="1" x14ac:dyDescent="0.2">
      <c r="A2153" s="695" t="str">
        <f t="shared" si="30"/>
        <v>345309399010000  Restituicao De  Convenios E Transferencias Recebidas Do Estado</v>
      </c>
      <c r="C2153" s="631"/>
      <c r="D2153" s="632">
        <v>345309399010000</v>
      </c>
      <c r="E2153" s="696" t="s">
        <v>5714</v>
      </c>
      <c r="F2153" s="696">
        <v>8</v>
      </c>
      <c r="G2153" s="696" t="s">
        <v>5597</v>
      </c>
      <c r="I2153" s="696"/>
    </row>
    <row r="2154" spans="1:9" ht="20.100000000000001" customHeight="1" x14ac:dyDescent="0.2">
      <c r="A2154" s="695" t="str">
        <f t="shared" si="30"/>
        <v>345400000000000  Transferencias A Municipios</v>
      </c>
      <c r="C2154" s="631"/>
      <c r="D2154" s="632">
        <v>345400000000000</v>
      </c>
      <c r="E2154" s="696" t="s">
        <v>4795</v>
      </c>
      <c r="F2154" s="696">
        <v>4</v>
      </c>
      <c r="G2154" s="696" t="s">
        <v>5596</v>
      </c>
      <c r="I2154" s="696"/>
    </row>
    <row r="2155" spans="1:9" ht="20.100000000000001" customHeight="1" x14ac:dyDescent="0.2">
      <c r="A2155" s="695" t="str">
        <f t="shared" si="30"/>
        <v>345404200000000  Auxilios</v>
      </c>
      <c r="C2155" s="631"/>
      <c r="D2155" s="632">
        <v>345404200000000</v>
      </c>
      <c r="E2155" s="696" t="s">
        <v>5415</v>
      </c>
      <c r="F2155" s="696">
        <v>6</v>
      </c>
      <c r="G2155" s="696" t="s">
        <v>5596</v>
      </c>
      <c r="I2155" s="696"/>
    </row>
    <row r="2156" spans="1:9" ht="20.100000000000001" customHeight="1" x14ac:dyDescent="0.2">
      <c r="A2156" s="695" t="str">
        <f t="shared" si="30"/>
        <v>345404299000000  Outros Auxilios</v>
      </c>
      <c r="C2156" s="631"/>
      <c r="D2156" s="632">
        <v>345404299000000</v>
      </c>
      <c r="E2156" s="696" t="s">
        <v>5426</v>
      </c>
      <c r="F2156" s="696">
        <v>7</v>
      </c>
      <c r="G2156" s="696" t="s">
        <v>5597</v>
      </c>
      <c r="I2156" s="696"/>
    </row>
    <row r="2157" spans="1:9" ht="20.100000000000001" customHeight="1" x14ac:dyDescent="0.2">
      <c r="A2157" s="695" t="str">
        <f t="shared" si="30"/>
        <v>345409300000000  Indenizacoes E Restituicoes</v>
      </c>
      <c r="C2157" s="631"/>
      <c r="D2157" s="632">
        <v>345409300000000</v>
      </c>
      <c r="E2157" s="696" t="s">
        <v>985</v>
      </c>
      <c r="F2157" s="696">
        <v>6</v>
      </c>
      <c r="G2157" s="696" t="s">
        <v>5596</v>
      </c>
      <c r="I2157" s="696"/>
    </row>
    <row r="2158" spans="1:9" ht="20.100000000000001" customHeight="1" x14ac:dyDescent="0.2">
      <c r="A2158" s="695" t="str">
        <f t="shared" si="30"/>
        <v>345409399000000  Diversas Indenizacoes E Restituicoes</v>
      </c>
      <c r="C2158" s="631"/>
      <c r="D2158" s="632">
        <v>345409399000000</v>
      </c>
      <c r="E2158" s="696" t="s">
        <v>1162</v>
      </c>
      <c r="F2158" s="696">
        <v>7</v>
      </c>
      <c r="G2158" s="696" t="s">
        <v>5596</v>
      </c>
      <c r="I2158" s="696"/>
    </row>
    <row r="2159" spans="1:9" ht="20.100000000000001" customHeight="1" x14ac:dyDescent="0.2">
      <c r="A2159" s="695" t="str">
        <f t="shared" si="30"/>
        <v>345409399010000  Restituicoes De Convenios E Transferencias Recebidas Dos Municipios</v>
      </c>
      <c r="C2159" s="631"/>
      <c r="D2159" s="632">
        <v>345409399010000</v>
      </c>
      <c r="E2159" s="696" t="s">
        <v>5416</v>
      </c>
      <c r="F2159" s="696">
        <v>8</v>
      </c>
      <c r="G2159" s="696" t="s">
        <v>5597</v>
      </c>
      <c r="I2159" s="696"/>
    </row>
    <row r="2160" spans="1:9" ht="20.100000000000001" customHeight="1" x14ac:dyDescent="0.2">
      <c r="A2160" s="695" t="str">
        <f t="shared" si="30"/>
        <v>345900000000000  Aplicacoes Diretas</v>
      </c>
      <c r="C2160" s="631"/>
      <c r="D2160" s="632">
        <v>345900000000000</v>
      </c>
      <c r="E2160" s="696" t="s">
        <v>2108</v>
      </c>
      <c r="F2160" s="696">
        <v>4</v>
      </c>
      <c r="G2160" s="696" t="s">
        <v>5596</v>
      </c>
      <c r="I2160" s="696"/>
    </row>
    <row r="2161" spans="1:9" ht="20.100000000000001" customHeight="1" x14ac:dyDescent="0.2">
      <c r="A2161" s="695" t="str">
        <f t="shared" ref="A2161:A2224" si="31">CONCATENATE(D2161,"  ",E2161,)</f>
        <v>345904200000000  Auxilios</v>
      </c>
      <c r="C2161" s="631"/>
      <c r="D2161" s="632">
        <v>345904200000000</v>
      </c>
      <c r="E2161" s="696" t="s">
        <v>5415</v>
      </c>
      <c r="F2161" s="696">
        <v>6</v>
      </c>
      <c r="G2161" s="696" t="s">
        <v>5596</v>
      </c>
      <c r="I2161" s="696"/>
    </row>
    <row r="2162" spans="1:9" ht="20.100000000000001" customHeight="1" x14ac:dyDescent="0.2">
      <c r="A2162" s="695" t="str">
        <f t="shared" si="31"/>
        <v>345904299000000  Outros Auxilios</v>
      </c>
      <c r="C2162" s="631"/>
      <c r="D2162" s="632">
        <v>345904299000000</v>
      </c>
      <c r="E2162" s="696" t="s">
        <v>5426</v>
      </c>
      <c r="F2162" s="696">
        <v>7</v>
      </c>
      <c r="G2162" s="696" t="s">
        <v>5597</v>
      </c>
      <c r="I2162" s="696"/>
    </row>
    <row r="2163" spans="1:9" ht="20.100000000000001" customHeight="1" x14ac:dyDescent="0.2">
      <c r="A2163" s="695" t="str">
        <f t="shared" si="31"/>
        <v>345906100000000  Aquisicao De Imoveis</v>
      </c>
      <c r="C2163" s="631"/>
      <c r="D2163" s="632">
        <v>345906100000000</v>
      </c>
      <c r="E2163" s="696" t="s">
        <v>1192</v>
      </c>
      <c r="F2163" s="696">
        <v>6</v>
      </c>
      <c r="G2163" s="696" t="s">
        <v>5596</v>
      </c>
      <c r="I2163" s="696"/>
    </row>
    <row r="2164" spans="1:9" ht="20.100000000000001" customHeight="1" x14ac:dyDescent="0.2">
      <c r="A2164" s="695" t="str">
        <f t="shared" si="31"/>
        <v>345906101000000  Edificios</v>
      </c>
      <c r="C2164" s="631"/>
      <c r="D2164" s="632">
        <v>345906101000000</v>
      </c>
      <c r="E2164" s="696" t="s">
        <v>5552</v>
      </c>
      <c r="F2164" s="696">
        <v>7</v>
      </c>
      <c r="G2164" s="696" t="s">
        <v>5597</v>
      </c>
      <c r="I2164" s="696"/>
    </row>
    <row r="2165" spans="1:9" ht="20.100000000000001" customHeight="1" x14ac:dyDescent="0.2">
      <c r="A2165" s="695" t="str">
        <f t="shared" si="31"/>
        <v>345906102000000  Glebas E Fazendas</v>
      </c>
      <c r="C2165" s="631"/>
      <c r="D2165" s="632">
        <v>345906102000000</v>
      </c>
      <c r="E2165" s="696" t="s">
        <v>5553</v>
      </c>
      <c r="F2165" s="696">
        <v>7</v>
      </c>
      <c r="G2165" s="696" t="s">
        <v>5597</v>
      </c>
      <c r="I2165" s="696"/>
    </row>
    <row r="2166" spans="1:9" ht="20.100000000000001" customHeight="1" x14ac:dyDescent="0.2">
      <c r="A2166" s="695" t="str">
        <f t="shared" si="31"/>
        <v>345906103000000  Terrenos</v>
      </c>
      <c r="C2166" s="631"/>
      <c r="D2166" s="632">
        <v>345906103000000</v>
      </c>
      <c r="E2166" s="696" t="s">
        <v>1191</v>
      </c>
      <c r="F2166" s="696">
        <v>7</v>
      </c>
      <c r="G2166" s="696" t="s">
        <v>5597</v>
      </c>
      <c r="I2166" s="696"/>
    </row>
    <row r="2167" spans="1:9" ht="20.100000000000001" customHeight="1" x14ac:dyDescent="0.2">
      <c r="A2167" s="695" t="str">
        <f t="shared" si="31"/>
        <v>345906104000000  Florestas</v>
      </c>
      <c r="C2167" s="631"/>
      <c r="D2167" s="632">
        <v>345906104000000</v>
      </c>
      <c r="E2167" s="696" t="s">
        <v>5554</v>
      </c>
      <c r="F2167" s="696">
        <v>7</v>
      </c>
      <c r="G2167" s="696" t="s">
        <v>5597</v>
      </c>
      <c r="I2167" s="696"/>
    </row>
    <row r="2168" spans="1:9" ht="20.100000000000001" customHeight="1" x14ac:dyDescent="0.2">
      <c r="A2168" s="695" t="str">
        <f t="shared" si="31"/>
        <v>345906106000000  Salas E Escritorios</v>
      </c>
      <c r="C2168" s="631"/>
      <c r="D2168" s="632">
        <v>345906106000000</v>
      </c>
      <c r="E2168" s="696" t="s">
        <v>5544</v>
      </c>
      <c r="F2168" s="696">
        <v>7</v>
      </c>
      <c r="G2168" s="696" t="s">
        <v>5597</v>
      </c>
      <c r="I2168" s="696"/>
    </row>
    <row r="2169" spans="1:9" ht="20.100000000000001" customHeight="1" x14ac:dyDescent="0.2">
      <c r="A2169" s="695" t="str">
        <f t="shared" si="31"/>
        <v>345906107000000  Apartamentos</v>
      </c>
      <c r="C2169" s="631"/>
      <c r="D2169" s="632">
        <v>345906107000000</v>
      </c>
      <c r="E2169" s="696" t="s">
        <v>5555</v>
      </c>
      <c r="F2169" s="696">
        <v>7</v>
      </c>
      <c r="G2169" s="696" t="s">
        <v>5597</v>
      </c>
      <c r="I2169" s="696"/>
    </row>
    <row r="2170" spans="1:9" ht="20.100000000000001" customHeight="1" x14ac:dyDescent="0.2">
      <c r="A2170" s="695" t="str">
        <f t="shared" si="31"/>
        <v>345906108000000  Armazens E Silos</v>
      </c>
      <c r="C2170" s="631"/>
      <c r="D2170" s="632">
        <v>345906108000000</v>
      </c>
      <c r="E2170" s="696" t="s">
        <v>5546</v>
      </c>
      <c r="F2170" s="696">
        <v>7</v>
      </c>
      <c r="G2170" s="696" t="s">
        <v>5597</v>
      </c>
      <c r="I2170" s="696"/>
    </row>
    <row r="2171" spans="1:9" ht="20.100000000000001" customHeight="1" x14ac:dyDescent="0.2">
      <c r="A2171" s="695" t="str">
        <f t="shared" si="31"/>
        <v>345906191000000  Obras Em Andamento</v>
      </c>
      <c r="C2171" s="631"/>
      <c r="D2171" s="632">
        <v>345906191000000</v>
      </c>
      <c r="E2171" s="696" t="s">
        <v>5501</v>
      </c>
      <c r="F2171" s="696">
        <v>7</v>
      </c>
      <c r="G2171" s="696" t="s">
        <v>5597</v>
      </c>
      <c r="I2171" s="696"/>
    </row>
    <row r="2172" spans="1:9" ht="20.100000000000001" customHeight="1" x14ac:dyDescent="0.2">
      <c r="A2172" s="695" t="str">
        <f t="shared" si="31"/>
        <v>345906192000000  Instalacoes</v>
      </c>
      <c r="C2172" s="631"/>
      <c r="D2172" s="632">
        <v>345906192000000</v>
      </c>
      <c r="E2172" s="696" t="s">
        <v>5502</v>
      </c>
      <c r="F2172" s="696">
        <v>7</v>
      </c>
      <c r="G2172" s="696" t="s">
        <v>5597</v>
      </c>
      <c r="I2172" s="696"/>
    </row>
    <row r="2173" spans="1:9" ht="20.100000000000001" customHeight="1" x14ac:dyDescent="0.2">
      <c r="A2173" s="695" t="str">
        <f t="shared" si="31"/>
        <v>345906199000000  Outros Bens Imoveis</v>
      </c>
      <c r="C2173" s="631"/>
      <c r="D2173" s="632">
        <v>345906199000000</v>
      </c>
      <c r="E2173" s="696" t="s">
        <v>5556</v>
      </c>
      <c r="F2173" s="696">
        <v>7</v>
      </c>
      <c r="G2173" s="696" t="s">
        <v>5597</v>
      </c>
      <c r="I2173" s="696"/>
    </row>
    <row r="2174" spans="1:9" ht="20.100000000000001" customHeight="1" x14ac:dyDescent="0.2">
      <c r="A2174" s="695" t="str">
        <f t="shared" si="31"/>
        <v>345906200000000  Aquisicao De Bens P/ Revenda</v>
      </c>
      <c r="C2174" s="631"/>
      <c r="D2174" s="632">
        <v>345906200000000</v>
      </c>
      <c r="E2174" s="696" t="s">
        <v>5557</v>
      </c>
      <c r="F2174" s="696">
        <v>6</v>
      </c>
      <c r="G2174" s="696" t="s">
        <v>5596</v>
      </c>
      <c r="I2174" s="696"/>
    </row>
    <row r="2175" spans="1:9" ht="20.100000000000001" customHeight="1" x14ac:dyDescent="0.2">
      <c r="A2175" s="695" t="str">
        <f t="shared" si="31"/>
        <v>345906299000000  Outros Bens P/ Revenda</v>
      </c>
      <c r="C2175" s="631"/>
      <c r="D2175" s="632">
        <v>345906299000000</v>
      </c>
      <c r="E2175" s="696" t="s">
        <v>5558</v>
      </c>
      <c r="F2175" s="696">
        <v>7</v>
      </c>
      <c r="G2175" s="696" t="s">
        <v>5597</v>
      </c>
      <c r="I2175" s="696"/>
    </row>
    <row r="2176" spans="1:9" ht="20.100000000000001" customHeight="1" x14ac:dyDescent="0.2">
      <c r="A2176" s="695" t="str">
        <f t="shared" si="31"/>
        <v>345906300000000  Aquisicao De Titulos De Credito</v>
      </c>
      <c r="C2176" s="631"/>
      <c r="D2176" s="632">
        <v>345906300000000</v>
      </c>
      <c r="E2176" s="696" t="s">
        <v>5559</v>
      </c>
      <c r="F2176" s="696">
        <v>6</v>
      </c>
      <c r="G2176" s="696" t="s">
        <v>5596</v>
      </c>
      <c r="I2176" s="696"/>
    </row>
    <row r="2177" spans="1:9" ht="20.100000000000001" customHeight="1" x14ac:dyDescent="0.2">
      <c r="A2177" s="695" t="str">
        <f t="shared" si="31"/>
        <v>345906399000000  Diversas Aquisicoes De Titulos De Credito</v>
      </c>
      <c r="C2177" s="631"/>
      <c r="D2177" s="632">
        <v>345906399000000</v>
      </c>
      <c r="E2177" s="696" t="s">
        <v>5560</v>
      </c>
      <c r="F2177" s="696">
        <v>7</v>
      </c>
      <c r="G2177" s="696" t="s">
        <v>5597</v>
      </c>
      <c r="I2177" s="696"/>
    </row>
    <row r="2178" spans="1:9" ht="20.100000000000001" customHeight="1" x14ac:dyDescent="0.2">
      <c r="A2178" s="695" t="str">
        <f t="shared" si="31"/>
        <v>345906400000000  Aquisicao De Titulos Representativos De Capital Ja Integralizado</v>
      </c>
      <c r="C2178" s="631"/>
      <c r="D2178" s="632">
        <v>345906400000000</v>
      </c>
      <c r="E2178" s="696" t="s">
        <v>5561</v>
      </c>
      <c r="F2178" s="696">
        <v>6</v>
      </c>
      <c r="G2178" s="696" t="s">
        <v>5596</v>
      </c>
      <c r="I2178" s="696"/>
    </row>
    <row r="2179" spans="1:9" ht="20.100000000000001" customHeight="1" x14ac:dyDescent="0.2">
      <c r="A2179" s="695" t="str">
        <f t="shared" si="31"/>
        <v>345906499000000  Outros Direitos</v>
      </c>
      <c r="C2179" s="631"/>
      <c r="D2179" s="632">
        <v>345906499000000</v>
      </c>
      <c r="E2179" s="696" t="s">
        <v>5562</v>
      </c>
      <c r="F2179" s="696">
        <v>7</v>
      </c>
      <c r="G2179" s="696" t="s">
        <v>5597</v>
      </c>
      <c r="I2179" s="696"/>
    </row>
    <row r="2180" spans="1:9" ht="20.100000000000001" customHeight="1" x14ac:dyDescent="0.2">
      <c r="A2180" s="695" t="str">
        <f t="shared" si="31"/>
        <v>345906500000000  Constituicao  Ou Aumento De Capital De Empresas</v>
      </c>
      <c r="C2180" s="631"/>
      <c r="D2180" s="632">
        <v>345906500000000</v>
      </c>
      <c r="E2180" s="696" t="s">
        <v>5715</v>
      </c>
      <c r="F2180" s="696">
        <v>6</v>
      </c>
      <c r="G2180" s="696" t="s">
        <v>5597</v>
      </c>
      <c r="I2180" s="696"/>
    </row>
    <row r="2181" spans="1:9" ht="20.100000000000001" customHeight="1" x14ac:dyDescent="0.2">
      <c r="A2181" s="695" t="str">
        <f t="shared" si="31"/>
        <v>345906600000000  Concessao De Emprestimos E Financiamentos</v>
      </c>
      <c r="C2181" s="631"/>
      <c r="D2181" s="632">
        <v>345906600000000</v>
      </c>
      <c r="E2181" s="696" t="s">
        <v>5563</v>
      </c>
      <c r="F2181" s="696">
        <v>6</v>
      </c>
      <c r="G2181" s="696" t="s">
        <v>5596</v>
      </c>
      <c r="I2181" s="696"/>
    </row>
    <row r="2182" spans="1:9" ht="20.100000000000001" customHeight="1" x14ac:dyDescent="0.2">
      <c r="A2182" s="695" t="str">
        <f t="shared" si="31"/>
        <v>345906601000000  Emprestimos Concedidos</v>
      </c>
      <c r="C2182" s="631"/>
      <c r="D2182" s="632">
        <v>345906601000000</v>
      </c>
      <c r="E2182" s="696" t="s">
        <v>5564</v>
      </c>
      <c r="F2182" s="696">
        <v>7</v>
      </c>
      <c r="G2182" s="696" t="s">
        <v>5596</v>
      </c>
      <c r="I2182" s="696"/>
    </row>
    <row r="2183" spans="1:9" ht="20.100000000000001" customHeight="1" x14ac:dyDescent="0.2">
      <c r="A2183" s="695" t="str">
        <f t="shared" si="31"/>
        <v>345906601010000  Concessao De Emprestimos A Contribuintes          (art32, §3°,  I, Lrf</v>
      </c>
      <c r="C2183" s="631"/>
      <c r="D2183" s="632">
        <v>345906601010000</v>
      </c>
      <c r="E2183" s="696" t="s">
        <v>5716</v>
      </c>
      <c r="F2183" s="696">
        <v>8</v>
      </c>
      <c r="G2183" s="696" t="s">
        <v>5597</v>
      </c>
      <c r="I2183" s="696"/>
    </row>
    <row r="2184" spans="1:9" ht="20.100000000000001" customHeight="1" x14ac:dyDescent="0.2">
      <c r="A2184" s="695" t="str">
        <f t="shared" si="31"/>
        <v>345906602000000  Financiamentos Concedidos</v>
      </c>
      <c r="C2184" s="631"/>
      <c r="D2184" s="632">
        <v>345906602000000</v>
      </c>
      <c r="E2184" s="696" t="s">
        <v>5565</v>
      </c>
      <c r="F2184" s="696">
        <v>7</v>
      </c>
      <c r="G2184" s="696" t="s">
        <v>5596</v>
      </c>
      <c r="I2184" s="696"/>
    </row>
    <row r="2185" spans="1:9" ht="20.100000000000001" customHeight="1" x14ac:dyDescent="0.2">
      <c r="A2185" s="695" t="str">
        <f t="shared" si="31"/>
        <v>345906602010000  Concessao De Financiamentos A Contribuintes (art32, §3°, I, Lrf)</v>
      </c>
      <c r="C2185" s="631"/>
      <c r="D2185" s="632">
        <v>345906602010000</v>
      </c>
      <c r="E2185" s="696" t="s">
        <v>5566</v>
      </c>
      <c r="F2185" s="696">
        <v>8</v>
      </c>
      <c r="G2185" s="696" t="s">
        <v>5597</v>
      </c>
      <c r="I2185" s="696"/>
    </row>
    <row r="2186" spans="1:9" ht="20.100000000000001" customHeight="1" x14ac:dyDescent="0.2">
      <c r="A2186" s="695" t="str">
        <f t="shared" si="31"/>
        <v>345906602020000  Financiamentos P/ Pequenos Produtores Rurais</v>
      </c>
      <c r="C2186" s="631"/>
      <c r="D2186" s="632">
        <v>345906602020000</v>
      </c>
      <c r="E2186" s="696" t="s">
        <v>5567</v>
      </c>
      <c r="F2186" s="696">
        <v>8</v>
      </c>
      <c r="G2186" s="696" t="s">
        <v>5597</v>
      </c>
      <c r="I2186" s="696"/>
    </row>
    <row r="2187" spans="1:9" ht="20.100000000000001" customHeight="1" x14ac:dyDescent="0.2">
      <c r="A2187" s="695" t="str">
        <f t="shared" si="31"/>
        <v>345906603000000  Financiamentos - Estudante De Ensino Superior</v>
      </c>
      <c r="C2187" s="631"/>
      <c r="D2187" s="632">
        <v>345906603000000</v>
      </c>
      <c r="E2187" s="696" t="s">
        <v>5568</v>
      </c>
      <c r="F2187" s="696">
        <v>7</v>
      </c>
      <c r="G2187" s="696" t="s">
        <v>5597</v>
      </c>
      <c r="I2187" s="696"/>
    </row>
    <row r="2188" spans="1:9" ht="20.100000000000001" customHeight="1" x14ac:dyDescent="0.2">
      <c r="A2188" s="695" t="str">
        <f t="shared" si="31"/>
        <v>345906699000000  Outros Emprestimos E Financiamentos</v>
      </c>
      <c r="C2188" s="631"/>
      <c r="D2188" s="632">
        <v>345906699000000</v>
      </c>
      <c r="E2188" s="696" t="s">
        <v>5569</v>
      </c>
      <c r="F2188" s="696">
        <v>7</v>
      </c>
      <c r="G2188" s="696" t="s">
        <v>5597</v>
      </c>
      <c r="I2188" s="696"/>
    </row>
    <row r="2189" spans="1:9" ht="20.100000000000001" customHeight="1" x14ac:dyDescent="0.2">
      <c r="A2189" s="695" t="str">
        <f t="shared" si="31"/>
        <v>345906700000000  Depositos Compulsorios</v>
      </c>
      <c r="C2189" s="631"/>
      <c r="D2189" s="632">
        <v>345906700000000</v>
      </c>
      <c r="E2189" s="696" t="s">
        <v>4935</v>
      </c>
      <c r="F2189" s="696">
        <v>6</v>
      </c>
      <c r="G2189" s="696" t="s">
        <v>5596</v>
      </c>
      <c r="I2189" s="696"/>
    </row>
    <row r="2190" spans="1:9" ht="20.100000000000001" customHeight="1" x14ac:dyDescent="0.2">
      <c r="A2190" s="695" t="str">
        <f t="shared" si="31"/>
        <v>345906701000000  Depositos Judiciais</v>
      </c>
      <c r="C2190" s="631"/>
      <c r="D2190" s="632">
        <v>345906701000000</v>
      </c>
      <c r="E2190" s="696" t="s">
        <v>4936</v>
      </c>
      <c r="F2190" s="696">
        <v>7</v>
      </c>
      <c r="G2190" s="696" t="s">
        <v>5597</v>
      </c>
      <c r="I2190" s="696"/>
    </row>
    <row r="2191" spans="1:9" ht="20.100000000000001" customHeight="1" x14ac:dyDescent="0.2">
      <c r="A2191" s="695" t="str">
        <f t="shared" si="31"/>
        <v>345906799000000  Diversos Depositos Compulsorios</v>
      </c>
      <c r="C2191" s="631"/>
      <c r="D2191" s="632">
        <v>345906799000000</v>
      </c>
      <c r="E2191" s="696" t="s">
        <v>5570</v>
      </c>
      <c r="F2191" s="696">
        <v>7</v>
      </c>
      <c r="G2191" s="696" t="s">
        <v>5597</v>
      </c>
      <c r="I2191" s="696"/>
    </row>
    <row r="2192" spans="1:9" ht="20.100000000000001" customHeight="1" x14ac:dyDescent="0.2">
      <c r="A2192" s="695" t="str">
        <f t="shared" si="31"/>
        <v>345909100000000  Sentencas Judiciais</v>
      </c>
      <c r="C2192" s="631"/>
      <c r="D2192" s="632">
        <v>345909100000000</v>
      </c>
      <c r="E2192" s="696" t="s">
        <v>1254</v>
      </c>
      <c r="F2192" s="696">
        <v>6</v>
      </c>
      <c r="G2192" s="696" t="s">
        <v>5596</v>
      </c>
      <c r="I2192" s="696"/>
    </row>
    <row r="2193" spans="1:9" ht="20.100000000000001" customHeight="1" x14ac:dyDescent="0.2">
      <c r="A2193" s="695" t="str">
        <f t="shared" si="31"/>
        <v>345909105000000  Sentencas Judiciais Transitadas Em Julgado</v>
      </c>
      <c r="C2193" s="631"/>
      <c r="D2193" s="632">
        <v>345909105000000</v>
      </c>
      <c r="E2193" s="696" t="s">
        <v>1253</v>
      </c>
      <c r="F2193" s="696">
        <v>7</v>
      </c>
      <c r="G2193" s="696" t="s">
        <v>5597</v>
      </c>
      <c r="I2193" s="696"/>
    </row>
    <row r="2194" spans="1:9" ht="20.100000000000001" customHeight="1" x14ac:dyDescent="0.2">
      <c r="A2194" s="695" t="str">
        <f t="shared" si="31"/>
        <v>345909199000000  Diversas Sentencas</v>
      </c>
      <c r="C2194" s="631"/>
      <c r="D2194" s="632">
        <v>345909199000000</v>
      </c>
      <c r="E2194" s="696" t="s">
        <v>1251</v>
      </c>
      <c r="F2194" s="696">
        <v>7</v>
      </c>
      <c r="G2194" s="696" t="s">
        <v>5597</v>
      </c>
      <c r="I2194" s="696"/>
    </row>
    <row r="2195" spans="1:9" ht="20.100000000000001" customHeight="1" x14ac:dyDescent="0.2">
      <c r="A2195" s="695" t="str">
        <f t="shared" si="31"/>
        <v>345909200000000  Despesas De Exercicios Anteriores</v>
      </c>
      <c r="C2195" s="631"/>
      <c r="D2195" s="632">
        <v>345909200000000</v>
      </c>
      <c r="E2195" s="696" t="s">
        <v>1158</v>
      </c>
      <c r="F2195" s="696">
        <v>6</v>
      </c>
      <c r="G2195" s="696" t="s">
        <v>5596</v>
      </c>
      <c r="I2195" s="696"/>
    </row>
    <row r="2196" spans="1:9" ht="20.100000000000001" customHeight="1" x14ac:dyDescent="0.2">
      <c r="A2196" s="695" t="str">
        <f t="shared" si="31"/>
        <v>345909299000000  Outras Despesas De Exercicios Anteriores</v>
      </c>
      <c r="C2196" s="631"/>
      <c r="D2196" s="632">
        <v>345909299000000</v>
      </c>
      <c r="E2196" s="696" t="s">
        <v>4951</v>
      </c>
      <c r="F2196" s="696">
        <v>7</v>
      </c>
      <c r="G2196" s="696" t="s">
        <v>5597</v>
      </c>
      <c r="I2196" s="696"/>
    </row>
    <row r="2197" spans="1:9" ht="20.100000000000001" customHeight="1" x14ac:dyDescent="0.2">
      <c r="A2197" s="695" t="str">
        <f t="shared" si="31"/>
        <v>345909300000000  Indenizacoes E Restituicoes</v>
      </c>
      <c r="C2197" s="631"/>
      <c r="D2197" s="632">
        <v>345909300000000</v>
      </c>
      <c r="E2197" s="696" t="s">
        <v>985</v>
      </c>
      <c r="F2197" s="696">
        <v>6</v>
      </c>
      <c r="G2197" s="696" t="s">
        <v>5596</v>
      </c>
      <c r="I2197" s="696"/>
    </row>
    <row r="2198" spans="1:9" ht="20.100000000000001" customHeight="1" x14ac:dyDescent="0.2">
      <c r="A2198" s="695" t="str">
        <f t="shared" si="31"/>
        <v>345909301000000  Indenizacoes</v>
      </c>
      <c r="C2198" s="631"/>
      <c r="D2198" s="632">
        <v>345909301000000</v>
      </c>
      <c r="E2198" s="696" t="s">
        <v>1932</v>
      </c>
      <c r="F2198" s="696">
        <v>7</v>
      </c>
      <c r="G2198" s="696" t="s">
        <v>5597</v>
      </c>
      <c r="I2198" s="696"/>
    </row>
    <row r="2199" spans="1:9" ht="20.100000000000001" customHeight="1" x14ac:dyDescent="0.2">
      <c r="A2199" s="695" t="str">
        <f t="shared" si="31"/>
        <v>345909302000000  Restituicoes</v>
      </c>
      <c r="C2199" s="631"/>
      <c r="D2199" s="632">
        <v>345909302000000</v>
      </c>
      <c r="E2199" s="696" t="s">
        <v>986</v>
      </c>
      <c r="F2199" s="696">
        <v>7</v>
      </c>
      <c r="G2199" s="696" t="s">
        <v>5597</v>
      </c>
      <c r="I2199" s="696"/>
    </row>
    <row r="2200" spans="1:9" ht="20.100000000000001" customHeight="1" x14ac:dyDescent="0.2">
      <c r="A2200" s="695" t="str">
        <f t="shared" si="31"/>
        <v>345909399000000  Diversas Indenizacoes E Restituicoes</v>
      </c>
      <c r="C2200" s="631"/>
      <c r="D2200" s="632">
        <v>345909399000000</v>
      </c>
      <c r="E2200" s="696" t="s">
        <v>1162</v>
      </c>
      <c r="F2200" s="696">
        <v>7</v>
      </c>
      <c r="G2200" s="696" t="s">
        <v>5597</v>
      </c>
      <c r="I2200" s="696"/>
    </row>
    <row r="2201" spans="1:9" ht="20.100000000000001" customHeight="1" x14ac:dyDescent="0.2">
      <c r="A2201" s="695" t="str">
        <f t="shared" si="31"/>
        <v>345910000000000  Aplicacoes Diretas - Operações Intra-orçamentarias</v>
      </c>
      <c r="C2201" s="631"/>
      <c r="D2201" s="632">
        <v>345910000000000</v>
      </c>
      <c r="E2201" s="696" t="s">
        <v>4961</v>
      </c>
      <c r="F2201" s="696">
        <v>5</v>
      </c>
      <c r="G2201" s="696" t="s">
        <v>5596</v>
      </c>
      <c r="I2201" s="696"/>
    </row>
    <row r="2202" spans="1:9" ht="20.100000000000001" customHeight="1" x14ac:dyDescent="0.2">
      <c r="A2202" s="695" t="str">
        <f t="shared" si="31"/>
        <v>345916100000000  Aquisições De Imoveis</v>
      </c>
      <c r="C2202" s="631"/>
      <c r="D2202" s="632">
        <v>345916100000000</v>
      </c>
      <c r="E2202" s="696" t="s">
        <v>5571</v>
      </c>
      <c r="F2202" s="696">
        <v>6</v>
      </c>
      <c r="G2202" s="696" t="s">
        <v>5596</v>
      </c>
      <c r="I2202" s="696"/>
    </row>
    <row r="2203" spans="1:9" ht="20.100000000000001" customHeight="1" x14ac:dyDescent="0.2">
      <c r="A2203" s="695" t="str">
        <f t="shared" si="31"/>
        <v>345916101000000  Edificios</v>
      </c>
      <c r="C2203" s="631"/>
      <c r="D2203" s="632">
        <v>345916101000000</v>
      </c>
      <c r="E2203" s="696" t="s">
        <v>5552</v>
      </c>
      <c r="F2203" s="696">
        <v>7</v>
      </c>
      <c r="G2203" s="696" t="s">
        <v>5597</v>
      </c>
      <c r="I2203" s="696"/>
    </row>
    <row r="2204" spans="1:9" ht="20.100000000000001" customHeight="1" x14ac:dyDescent="0.2">
      <c r="A2204" s="695" t="str">
        <f t="shared" si="31"/>
        <v>345916103000000  Terrenos</v>
      </c>
      <c r="C2204" s="631"/>
      <c r="D2204" s="632">
        <v>345916103000000</v>
      </c>
      <c r="E2204" s="696" t="s">
        <v>1191</v>
      </c>
      <c r="F2204" s="696">
        <v>7</v>
      </c>
      <c r="G2204" s="696" t="s">
        <v>5597</v>
      </c>
      <c r="I2204" s="696"/>
    </row>
    <row r="2205" spans="1:9" ht="20.100000000000001" customHeight="1" x14ac:dyDescent="0.2">
      <c r="A2205" s="695" t="str">
        <f t="shared" si="31"/>
        <v>345916106000000  Salas E Escritorios</v>
      </c>
      <c r="C2205" s="631"/>
      <c r="D2205" s="632">
        <v>345916106000000</v>
      </c>
      <c r="E2205" s="696" t="s">
        <v>5544</v>
      </c>
      <c r="F2205" s="696">
        <v>7</v>
      </c>
      <c r="G2205" s="696" t="s">
        <v>5597</v>
      </c>
      <c r="I2205" s="696"/>
    </row>
    <row r="2206" spans="1:9" ht="20.100000000000001" customHeight="1" x14ac:dyDescent="0.2">
      <c r="A2206" s="695" t="str">
        <f t="shared" si="31"/>
        <v>345916199000000  Outros Bens Imoveis</v>
      </c>
      <c r="C2206" s="631"/>
      <c r="D2206" s="632">
        <v>345916199000000</v>
      </c>
      <c r="E2206" s="696" t="s">
        <v>5556</v>
      </c>
      <c r="F2206" s="696">
        <v>7</v>
      </c>
      <c r="G2206" s="696" t="s">
        <v>5597</v>
      </c>
      <c r="I2206" s="696"/>
    </row>
    <row r="2207" spans="1:9" ht="20.100000000000001" customHeight="1" x14ac:dyDescent="0.2">
      <c r="A2207" s="695" t="str">
        <f t="shared" si="31"/>
        <v>346000000000000  Amortizacao Da Divida</v>
      </c>
      <c r="C2207" s="631"/>
      <c r="D2207" s="632">
        <v>346000000000000</v>
      </c>
      <c r="E2207" s="696" t="s">
        <v>2079</v>
      </c>
      <c r="F2207" s="696">
        <v>3</v>
      </c>
      <c r="G2207" s="696" t="s">
        <v>5596</v>
      </c>
      <c r="I2207" s="696"/>
    </row>
    <row r="2208" spans="1:9" ht="20.100000000000001" customHeight="1" x14ac:dyDescent="0.2">
      <c r="A2208" s="695" t="str">
        <f t="shared" si="31"/>
        <v>346200000000000  Transferencias A Uniao</v>
      </c>
      <c r="C2208" s="631"/>
      <c r="D2208" s="632">
        <v>346200000000000</v>
      </c>
      <c r="E2208" s="696" t="s">
        <v>2118</v>
      </c>
      <c r="F2208" s="696">
        <v>4</v>
      </c>
      <c r="G2208" s="696" t="s">
        <v>5596</v>
      </c>
      <c r="I2208" s="696"/>
    </row>
    <row r="2209" spans="1:9" ht="20.100000000000001" customHeight="1" x14ac:dyDescent="0.2">
      <c r="A2209" s="695" t="str">
        <f t="shared" si="31"/>
        <v>346204200000000  Auxilios</v>
      </c>
      <c r="C2209" s="631"/>
      <c r="D2209" s="632">
        <v>346204200000000</v>
      </c>
      <c r="E2209" s="696" t="s">
        <v>5415</v>
      </c>
      <c r="F2209" s="696">
        <v>6</v>
      </c>
      <c r="G2209" s="696" t="s">
        <v>5596</v>
      </c>
      <c r="I2209" s="696"/>
    </row>
    <row r="2210" spans="1:9" ht="20.100000000000001" customHeight="1" x14ac:dyDescent="0.2">
      <c r="A2210" s="695" t="str">
        <f t="shared" si="31"/>
        <v>346204299000000  Outros Auxilios</v>
      </c>
      <c r="C2210" s="631"/>
      <c r="D2210" s="632">
        <v>346204299000000</v>
      </c>
      <c r="E2210" s="696" t="s">
        <v>5426</v>
      </c>
      <c r="F2210" s="696">
        <v>7</v>
      </c>
      <c r="G2210" s="696" t="s">
        <v>5597</v>
      </c>
      <c r="I2210" s="696"/>
    </row>
    <row r="2211" spans="1:9" ht="20.100000000000001" customHeight="1" x14ac:dyDescent="0.2">
      <c r="A2211" s="695" t="str">
        <f t="shared" si="31"/>
        <v>346300000000000  Transferencias Ao Estado E Ao Distrito Federal</v>
      </c>
      <c r="C2211" s="631"/>
      <c r="D2211" s="632">
        <v>346300000000000</v>
      </c>
      <c r="E2211" s="696" t="s">
        <v>5572</v>
      </c>
      <c r="F2211" s="696">
        <v>4</v>
      </c>
      <c r="G2211" s="696" t="s">
        <v>5596</v>
      </c>
      <c r="I2211" s="696"/>
    </row>
    <row r="2212" spans="1:9" ht="20.100000000000001" customHeight="1" x14ac:dyDescent="0.2">
      <c r="A2212" s="695" t="str">
        <f t="shared" si="31"/>
        <v>346304200000000  Auxilios</v>
      </c>
      <c r="C2212" s="631"/>
      <c r="D2212" s="632">
        <v>346304200000000</v>
      </c>
      <c r="E2212" s="696" t="s">
        <v>5415</v>
      </c>
      <c r="F2212" s="696">
        <v>6</v>
      </c>
      <c r="G2212" s="696" t="s">
        <v>5596</v>
      </c>
      <c r="I2212" s="696"/>
    </row>
    <row r="2213" spans="1:9" ht="20.100000000000001" customHeight="1" x14ac:dyDescent="0.2">
      <c r="A2213" s="695" t="str">
        <f t="shared" si="31"/>
        <v>346304299000000  Outros Auxilios</v>
      </c>
      <c r="C2213" s="631"/>
      <c r="D2213" s="632">
        <v>346304299000000</v>
      </c>
      <c r="E2213" s="696" t="s">
        <v>5426</v>
      </c>
      <c r="F2213" s="696">
        <v>7</v>
      </c>
      <c r="G2213" s="696" t="s">
        <v>5597</v>
      </c>
      <c r="I2213" s="696"/>
    </row>
    <row r="2214" spans="1:9" ht="20.100000000000001" customHeight="1" x14ac:dyDescent="0.2">
      <c r="A2214" s="695" t="str">
        <f t="shared" si="31"/>
        <v>346400000000000  Transferencias A Municipios</v>
      </c>
      <c r="C2214" s="631"/>
      <c r="D2214" s="632">
        <v>346400000000000</v>
      </c>
      <c r="E2214" s="696" t="s">
        <v>4795</v>
      </c>
      <c r="F2214" s="696">
        <v>4</v>
      </c>
      <c r="G2214" s="696" t="s">
        <v>5596</v>
      </c>
      <c r="I2214" s="696"/>
    </row>
    <row r="2215" spans="1:9" ht="20.100000000000001" customHeight="1" x14ac:dyDescent="0.2">
      <c r="A2215" s="695" t="str">
        <f t="shared" si="31"/>
        <v>346404200000000  Auxilios</v>
      </c>
      <c r="C2215" s="631"/>
      <c r="D2215" s="632">
        <v>346404200000000</v>
      </c>
      <c r="E2215" s="696" t="s">
        <v>5415</v>
      </c>
      <c r="F2215" s="696">
        <v>6</v>
      </c>
      <c r="G2215" s="696" t="s">
        <v>5596</v>
      </c>
      <c r="I2215" s="696"/>
    </row>
    <row r="2216" spans="1:9" ht="20.100000000000001" customHeight="1" x14ac:dyDescent="0.2">
      <c r="A2216" s="695" t="str">
        <f t="shared" si="31"/>
        <v>346404299000000  Outros Auxilios</v>
      </c>
      <c r="C2216" s="631"/>
      <c r="D2216" s="632">
        <v>346404299000000</v>
      </c>
      <c r="E2216" s="696" t="s">
        <v>5426</v>
      </c>
      <c r="F2216" s="696">
        <v>7</v>
      </c>
      <c r="G2216" s="696" t="s">
        <v>5597</v>
      </c>
      <c r="I2216" s="696"/>
    </row>
    <row r="2217" spans="1:9" ht="20.100000000000001" customHeight="1" x14ac:dyDescent="0.2">
      <c r="A2217" s="695" t="str">
        <f t="shared" si="31"/>
        <v>346900000000000  Aplicacoes Diretas</v>
      </c>
      <c r="C2217" s="631"/>
      <c r="D2217" s="632">
        <v>346900000000000</v>
      </c>
      <c r="E2217" s="696" t="s">
        <v>2108</v>
      </c>
      <c r="F2217" s="696">
        <v>4</v>
      </c>
      <c r="G2217" s="696" t="s">
        <v>5596</v>
      </c>
      <c r="I2217" s="696"/>
    </row>
    <row r="2218" spans="1:9" ht="20.100000000000001" customHeight="1" x14ac:dyDescent="0.2">
      <c r="A2218" s="695" t="str">
        <f t="shared" si="31"/>
        <v>346904200000000  Auxilios</v>
      </c>
      <c r="C2218" s="631"/>
      <c r="D2218" s="632">
        <v>346904200000000</v>
      </c>
      <c r="E2218" s="696" t="s">
        <v>5415</v>
      </c>
      <c r="F2218" s="696">
        <v>6</v>
      </c>
      <c r="G2218" s="696" t="s">
        <v>5596</v>
      </c>
      <c r="I2218" s="696"/>
    </row>
    <row r="2219" spans="1:9" ht="20.100000000000001" customHeight="1" x14ac:dyDescent="0.2">
      <c r="A2219" s="695" t="str">
        <f t="shared" si="31"/>
        <v>346904299000000  Outros Auxilios</v>
      </c>
      <c r="C2219" s="631"/>
      <c r="D2219" s="632">
        <v>346904299000000</v>
      </c>
      <c r="E2219" s="696" t="s">
        <v>5426</v>
      </c>
      <c r="F2219" s="696">
        <v>7</v>
      </c>
      <c r="G2219" s="696" t="s">
        <v>5597</v>
      </c>
      <c r="I2219" s="696"/>
    </row>
    <row r="2220" spans="1:9" ht="20.100000000000001" customHeight="1" x14ac:dyDescent="0.2">
      <c r="A2220" s="695" t="str">
        <f t="shared" si="31"/>
        <v>346907100000000  Principal Da Divida Por Contrato</v>
      </c>
      <c r="C2220" s="631"/>
      <c r="D2220" s="632">
        <v>346907100000000</v>
      </c>
      <c r="E2220" s="696" t="s">
        <v>5573</v>
      </c>
      <c r="F2220" s="696">
        <v>6</v>
      </c>
      <c r="G2220" s="696" t="s">
        <v>5596</v>
      </c>
      <c r="I2220" s="696"/>
    </row>
    <row r="2221" spans="1:9" ht="20.100000000000001" customHeight="1" x14ac:dyDescent="0.2">
      <c r="A2221" s="695" t="str">
        <f t="shared" si="31"/>
        <v>346907101000000  Amortizacao Da Divida Contratada Com Instituicoes Financeiras</v>
      </c>
      <c r="C2221" s="631"/>
      <c r="D2221" s="632">
        <v>346907101000000</v>
      </c>
      <c r="E2221" s="696" t="s">
        <v>5574</v>
      </c>
      <c r="F2221" s="696">
        <v>7</v>
      </c>
      <c r="G2221" s="696" t="s">
        <v>5597</v>
      </c>
      <c r="I2221" s="696"/>
    </row>
    <row r="2222" spans="1:9" ht="20.100000000000001" customHeight="1" x14ac:dyDescent="0.2">
      <c r="A2222" s="695" t="str">
        <f t="shared" si="31"/>
        <v>346907102000000  Amortizacao Da Divida Contratada Com Governos</v>
      </c>
      <c r="C2222" s="631"/>
      <c r="D2222" s="632">
        <v>346907102000000</v>
      </c>
      <c r="E2222" s="696" t="s">
        <v>5575</v>
      </c>
      <c r="F2222" s="696">
        <v>7</v>
      </c>
      <c r="G2222" s="696" t="s">
        <v>5597</v>
      </c>
      <c r="I2222" s="696"/>
    </row>
    <row r="2223" spans="1:9" ht="20.100000000000001" customHeight="1" x14ac:dyDescent="0.2">
      <c r="A2223" s="695" t="str">
        <f t="shared" si="31"/>
        <v>346907103000000  Amortizacao Da Divida Contratada No Exterior</v>
      </c>
      <c r="C2223" s="631"/>
      <c r="D2223" s="632">
        <v>346907103000000</v>
      </c>
      <c r="E2223" s="696" t="s">
        <v>5576</v>
      </c>
      <c r="F2223" s="696">
        <v>7</v>
      </c>
      <c r="G2223" s="696" t="s">
        <v>5597</v>
      </c>
      <c r="I2223" s="696"/>
    </row>
    <row r="2224" spans="1:9" ht="20.100000000000001" customHeight="1" x14ac:dyDescent="0.2">
      <c r="A2224" s="695" t="str">
        <f t="shared" si="31"/>
        <v>346907199000000  Outras Amortizacoes Da Divida Contratada</v>
      </c>
      <c r="C2224" s="631"/>
      <c r="D2224" s="632">
        <v>346907199000000</v>
      </c>
      <c r="E2224" s="696" t="s">
        <v>1184</v>
      </c>
      <c r="F2224" s="696">
        <v>7</v>
      </c>
      <c r="G2224" s="696" t="s">
        <v>5596</v>
      </c>
      <c r="I2224" s="696"/>
    </row>
    <row r="2225" spans="1:9" ht="20.100000000000001" customHeight="1" x14ac:dyDescent="0.2">
      <c r="A2225" s="695" t="str">
        <f t="shared" ref="A2225:A2265" si="32">CONCATENATE(D2225,"  ",E2225,)</f>
        <v>346907199010000  Amortização Parecelas Programa Caminhos Da Escola</v>
      </c>
      <c r="C2225" s="631"/>
      <c r="D2225" s="632">
        <v>346907199010000</v>
      </c>
      <c r="E2225" s="696" t="s">
        <v>5577</v>
      </c>
      <c r="F2225" s="696">
        <v>8</v>
      </c>
      <c r="G2225" s="696" t="s">
        <v>5597</v>
      </c>
      <c r="I2225" s="696"/>
    </row>
    <row r="2226" spans="1:9" ht="20.100000000000001" customHeight="1" x14ac:dyDescent="0.2">
      <c r="A2226" s="695" t="str">
        <f t="shared" si="32"/>
        <v>346907199020000  Amortização Parecelas Programa Finame/provias</v>
      </c>
      <c r="C2226" s="631"/>
      <c r="D2226" s="632">
        <v>346907199020000</v>
      </c>
      <c r="E2226" s="696" t="s">
        <v>5578</v>
      </c>
      <c r="F2226" s="696">
        <v>8</v>
      </c>
      <c r="G2226" s="696" t="s">
        <v>5597</v>
      </c>
      <c r="I2226" s="696"/>
    </row>
    <row r="2227" spans="1:9" ht="20.100000000000001" customHeight="1" x14ac:dyDescent="0.2">
      <c r="A2227" s="695" t="str">
        <f t="shared" si="32"/>
        <v>346907200000000  Principal Da Divida Mobiliaria Resgatada</v>
      </c>
      <c r="C2227" s="631"/>
      <c r="D2227" s="632">
        <v>346907200000000</v>
      </c>
      <c r="E2227" s="696" t="s">
        <v>5579</v>
      </c>
      <c r="F2227" s="696">
        <v>6</v>
      </c>
      <c r="G2227" s="696" t="s">
        <v>5596</v>
      </c>
      <c r="I2227" s="696"/>
    </row>
    <row r="2228" spans="1:9" ht="20.100000000000001" customHeight="1" x14ac:dyDescent="0.2">
      <c r="A2228" s="695" t="str">
        <f t="shared" si="32"/>
        <v>346907201000000  Divida Mobiliaria</v>
      </c>
      <c r="C2228" s="631"/>
      <c r="D2228" s="632">
        <v>346907201000000</v>
      </c>
      <c r="E2228" s="696" t="s">
        <v>5580</v>
      </c>
      <c r="F2228" s="696">
        <v>7</v>
      </c>
      <c r="G2228" s="696" t="s">
        <v>5597</v>
      </c>
      <c r="I2228" s="696"/>
    </row>
    <row r="2229" spans="1:9" ht="20.100000000000001" customHeight="1" x14ac:dyDescent="0.2">
      <c r="A2229" s="695" t="str">
        <f t="shared" si="32"/>
        <v>346907300000000  Correcao Monetaria E Cambial Da Divida Por Contrato</v>
      </c>
      <c r="C2229" s="631"/>
      <c r="D2229" s="632">
        <v>346907300000000</v>
      </c>
      <c r="E2229" s="696" t="s">
        <v>5581</v>
      </c>
      <c r="F2229" s="696">
        <v>6</v>
      </c>
      <c r="G2229" s="696" t="s">
        <v>5596</v>
      </c>
      <c r="I2229" s="696"/>
    </row>
    <row r="2230" spans="1:9" ht="20.100000000000001" customHeight="1" x14ac:dyDescent="0.2">
      <c r="A2230" s="695" t="str">
        <f t="shared" si="32"/>
        <v>346907399000000  Correcao Monetaria E Cambial Da Divida Contratada</v>
      </c>
      <c r="C2230" s="631"/>
      <c r="D2230" s="632">
        <v>346907399000000</v>
      </c>
      <c r="E2230" s="696" t="s">
        <v>5582</v>
      </c>
      <c r="F2230" s="696">
        <v>7</v>
      </c>
      <c r="G2230" s="696" t="s">
        <v>5597</v>
      </c>
      <c r="I2230" s="696"/>
    </row>
    <row r="2231" spans="1:9" ht="20.100000000000001" customHeight="1" x14ac:dyDescent="0.2">
      <c r="A2231" s="695" t="str">
        <f t="shared" si="32"/>
        <v>346907400000000  Corrcao Monetaria E Cambial Da Divida Mobiliaria Resgatada</v>
      </c>
      <c r="C2231" s="631"/>
      <c r="D2231" s="632">
        <v>346907400000000</v>
      </c>
      <c r="E2231" s="696" t="s">
        <v>5583</v>
      </c>
      <c r="F2231" s="696">
        <v>6</v>
      </c>
      <c r="G2231" s="696" t="s">
        <v>5596</v>
      </c>
      <c r="I2231" s="696"/>
    </row>
    <row r="2232" spans="1:9" ht="20.100000000000001" customHeight="1" x14ac:dyDescent="0.2">
      <c r="A2232" s="695" t="str">
        <f t="shared" si="32"/>
        <v>346907401000000  Divida Mobiliaria</v>
      </c>
      <c r="C2232" s="631"/>
      <c r="D2232" s="632">
        <v>346907401000000</v>
      </c>
      <c r="E2232" s="696" t="s">
        <v>5580</v>
      </c>
      <c r="F2232" s="696">
        <v>7</v>
      </c>
      <c r="G2232" s="696" t="s">
        <v>5597</v>
      </c>
      <c r="I2232" s="696"/>
    </row>
    <row r="2233" spans="1:9" ht="20.100000000000001" customHeight="1" x14ac:dyDescent="0.2">
      <c r="A2233" s="695" t="str">
        <f t="shared" si="32"/>
        <v>346907500000000  Correcao Monetaria Das Operacoes De Credito Por Antecipacao Da Receita</v>
      </c>
      <c r="C2233" s="631"/>
      <c r="D2233" s="632">
        <v>346907500000000</v>
      </c>
      <c r="E2233" s="696" t="s">
        <v>5584</v>
      </c>
      <c r="F2233" s="696">
        <v>6</v>
      </c>
      <c r="G2233" s="696" t="s">
        <v>5596</v>
      </c>
      <c r="I2233" s="696"/>
    </row>
    <row r="2234" spans="1:9" ht="20.100000000000001" customHeight="1" x14ac:dyDescent="0.2">
      <c r="A2234" s="695" t="str">
        <f t="shared" si="32"/>
        <v>346907599000000  Diversas Correcoes Monetarias De Operacoes De Credito Por Antecipacao</v>
      </c>
      <c r="C2234" s="631"/>
      <c r="D2234" s="632">
        <v>346907599000000</v>
      </c>
      <c r="E2234" s="696" t="s">
        <v>5585</v>
      </c>
      <c r="F2234" s="696">
        <v>7</v>
      </c>
      <c r="G2234" s="696" t="s">
        <v>5597</v>
      </c>
      <c r="I2234" s="696"/>
    </row>
    <row r="2235" spans="1:9" ht="20.100000000000001" customHeight="1" x14ac:dyDescent="0.2">
      <c r="A2235" s="695" t="str">
        <f t="shared" si="32"/>
        <v>346907600000000  Principal Da Divida Mobiliaria Refinanciada</v>
      </c>
      <c r="C2235" s="631"/>
      <c r="D2235" s="632">
        <v>346907600000000</v>
      </c>
      <c r="E2235" s="696" t="s">
        <v>5586</v>
      </c>
      <c r="F2235" s="696">
        <v>6</v>
      </c>
      <c r="G2235" s="696" t="s">
        <v>5596</v>
      </c>
      <c r="I2235" s="696"/>
    </row>
    <row r="2236" spans="1:9" ht="20.100000000000001" customHeight="1" x14ac:dyDescent="0.2">
      <c r="A2236" s="695" t="str">
        <f t="shared" si="32"/>
        <v>346907601000000  Divida Mobiliaria</v>
      </c>
      <c r="C2236" s="631"/>
      <c r="D2236" s="632">
        <v>346907601000000</v>
      </c>
      <c r="E2236" s="696" t="s">
        <v>5580</v>
      </c>
      <c r="F2236" s="696">
        <v>7</v>
      </c>
      <c r="G2236" s="696" t="s">
        <v>5597</v>
      </c>
      <c r="I2236" s="696"/>
    </row>
    <row r="2237" spans="1:9" ht="20.100000000000001" customHeight="1" x14ac:dyDescent="0.2">
      <c r="A2237" s="695" t="str">
        <f t="shared" si="32"/>
        <v>346907601010000  Divida Mobiliaria Interna</v>
      </c>
      <c r="C2237" s="631"/>
      <c r="D2237" s="632">
        <v>346907601010000</v>
      </c>
      <c r="E2237" s="696" t="s">
        <v>5587</v>
      </c>
      <c r="F2237" s="696">
        <v>8</v>
      </c>
      <c r="G2237" s="696" t="s">
        <v>5597</v>
      </c>
      <c r="I2237" s="696" t="s">
        <v>5647</v>
      </c>
    </row>
    <row r="2238" spans="1:9" ht="20.100000000000001" customHeight="1" x14ac:dyDescent="0.2">
      <c r="A2238" s="695" t="str">
        <f t="shared" si="32"/>
        <v>346907601020000  Divida Mobiliaria Externa</v>
      </c>
      <c r="C2238" s="631"/>
      <c r="D2238" s="632">
        <v>346907601020000</v>
      </c>
      <c r="E2238" s="696" t="s">
        <v>5588</v>
      </c>
      <c r="F2238" s="696">
        <v>8</v>
      </c>
      <c r="G2238" s="696" t="s">
        <v>5597</v>
      </c>
      <c r="I2238" s="696" t="s">
        <v>5647</v>
      </c>
    </row>
    <row r="2239" spans="1:9" ht="20.100000000000001" customHeight="1" x14ac:dyDescent="0.2">
      <c r="A2239" s="695" t="str">
        <f t="shared" si="32"/>
        <v>346907700000000  Principal Corrigido Divida Contratual Refinanciado</v>
      </c>
      <c r="C2239" s="631"/>
      <c r="D2239" s="632">
        <v>346907700000000</v>
      </c>
      <c r="E2239" s="696" t="s">
        <v>5589</v>
      </c>
      <c r="F2239" s="696">
        <v>6</v>
      </c>
      <c r="G2239" s="696" t="s">
        <v>5596</v>
      </c>
      <c r="I2239" s="696"/>
    </row>
    <row r="2240" spans="1:9" ht="20.100000000000001" customHeight="1" x14ac:dyDescent="0.2">
      <c r="A2240" s="695" t="str">
        <f t="shared" si="32"/>
        <v>346907701000000  Amortizacao Da Divida Contratual Refinanciada Com Instituicoes Finance</v>
      </c>
      <c r="C2240" s="631"/>
      <c r="D2240" s="632">
        <v>346907701000000</v>
      </c>
      <c r="E2240" s="696" t="s">
        <v>5590</v>
      </c>
      <c r="F2240" s="696">
        <v>7</v>
      </c>
      <c r="G2240" s="696" t="s">
        <v>5597</v>
      </c>
      <c r="I2240" s="696"/>
    </row>
    <row r="2241" spans="1:9" ht="20.100000000000001" customHeight="1" x14ac:dyDescent="0.2">
      <c r="A2241" s="695" t="str">
        <f t="shared" si="32"/>
        <v>346907702000000  Amortizacao Da  Divida Contratual Refinanciada Com Governos</v>
      </c>
      <c r="C2241" s="631"/>
      <c r="D2241" s="632">
        <v>346907702000000</v>
      </c>
      <c r="E2241" s="696" t="s">
        <v>5717</v>
      </c>
      <c r="F2241" s="696">
        <v>7</v>
      </c>
      <c r="G2241" s="696" t="s">
        <v>5597</v>
      </c>
      <c r="I2241" s="696"/>
    </row>
    <row r="2242" spans="1:9" ht="20.100000000000001" customHeight="1" x14ac:dyDescent="0.2">
      <c r="A2242" s="695" t="str">
        <f t="shared" si="32"/>
        <v>346907703000000  Amortizacao Da Divida Contratual Refinanciada No Exterior</v>
      </c>
      <c r="C2242" s="631"/>
      <c r="D2242" s="632">
        <v>346907703000000</v>
      </c>
      <c r="E2242" s="696" t="s">
        <v>5591</v>
      </c>
      <c r="F2242" s="696">
        <v>7</v>
      </c>
      <c r="G2242" s="696" t="s">
        <v>5597</v>
      </c>
      <c r="I2242" s="696"/>
    </row>
    <row r="2243" spans="1:9" ht="20.100000000000001" customHeight="1" x14ac:dyDescent="0.2">
      <c r="A2243" s="695" t="str">
        <f t="shared" si="32"/>
        <v>346909100000000  Sentencas Judiciais</v>
      </c>
      <c r="C2243" s="631"/>
      <c r="D2243" s="632">
        <v>346909100000000</v>
      </c>
      <c r="E2243" s="696" t="s">
        <v>1254</v>
      </c>
      <c r="F2243" s="696">
        <v>6</v>
      </c>
      <c r="G2243" s="696" t="s">
        <v>5596</v>
      </c>
      <c r="I2243" s="696"/>
    </row>
    <row r="2244" spans="1:9" ht="20.100000000000001" customHeight="1" x14ac:dyDescent="0.2">
      <c r="A2244" s="695" t="str">
        <f t="shared" si="32"/>
        <v>346909199000000  Diversas Sentencas</v>
      </c>
      <c r="C2244" s="631"/>
      <c r="D2244" s="632">
        <v>346909199000000</v>
      </c>
      <c r="E2244" s="696" t="s">
        <v>1251</v>
      </c>
      <c r="F2244" s="696">
        <v>7</v>
      </c>
      <c r="G2244" s="696" t="s">
        <v>5597</v>
      </c>
      <c r="I2244" s="696"/>
    </row>
    <row r="2245" spans="1:9" ht="20.100000000000001" customHeight="1" x14ac:dyDescent="0.2">
      <c r="A2245" s="695" t="str">
        <f t="shared" si="32"/>
        <v>346909200000000  Despesas De Exercicios Anteriores</v>
      </c>
      <c r="C2245" s="631"/>
      <c r="D2245" s="632">
        <v>346909200000000</v>
      </c>
      <c r="E2245" s="696" t="s">
        <v>1158</v>
      </c>
      <c r="F2245" s="696">
        <v>6</v>
      </c>
      <c r="G2245" s="696" t="s">
        <v>5596</v>
      </c>
      <c r="I2245" s="696"/>
    </row>
    <row r="2246" spans="1:9" ht="20.100000000000001" customHeight="1" x14ac:dyDescent="0.2">
      <c r="A2246" s="695" t="str">
        <f t="shared" si="32"/>
        <v>346909299000000  Outras Despesas De Exercicios Anteriores</v>
      </c>
      <c r="C2246" s="631"/>
      <c r="D2246" s="632">
        <v>346909299000000</v>
      </c>
      <c r="E2246" s="696" t="s">
        <v>4951</v>
      </c>
      <c r="F2246" s="696">
        <v>7</v>
      </c>
      <c r="G2246" s="696" t="s">
        <v>5597</v>
      </c>
      <c r="I2246" s="696"/>
    </row>
    <row r="2247" spans="1:9" ht="20.100000000000001" customHeight="1" x14ac:dyDescent="0.2">
      <c r="A2247" s="695" t="str">
        <f t="shared" si="32"/>
        <v>346909300000000  Indenizacoes E Restituicoes</v>
      </c>
      <c r="C2247" s="631"/>
      <c r="D2247" s="632">
        <v>346909300000000</v>
      </c>
      <c r="E2247" s="696" t="s">
        <v>985</v>
      </c>
      <c r="F2247" s="696">
        <v>6</v>
      </c>
      <c r="G2247" s="696" t="s">
        <v>5596</v>
      </c>
      <c r="I2247" s="696"/>
    </row>
    <row r="2248" spans="1:9" ht="20.100000000000001" customHeight="1" x14ac:dyDescent="0.2">
      <c r="A2248" s="695" t="str">
        <f t="shared" si="32"/>
        <v>346909301000000  Indenizacoes</v>
      </c>
      <c r="C2248" s="631"/>
      <c r="D2248" s="632">
        <v>346909301000000</v>
      </c>
      <c r="E2248" s="696" t="s">
        <v>1932</v>
      </c>
      <c r="F2248" s="696">
        <v>7</v>
      </c>
      <c r="G2248" s="696" t="s">
        <v>5597</v>
      </c>
      <c r="I2248" s="696"/>
    </row>
    <row r="2249" spans="1:9" ht="20.100000000000001" customHeight="1" x14ac:dyDescent="0.2">
      <c r="A2249" s="695" t="str">
        <f t="shared" si="32"/>
        <v>346909302000000  Restituicoes</v>
      </c>
      <c r="C2249" s="631"/>
      <c r="D2249" s="632">
        <v>346909302000000</v>
      </c>
      <c r="E2249" s="696" t="s">
        <v>986</v>
      </c>
      <c r="F2249" s="696">
        <v>7</v>
      </c>
      <c r="G2249" s="696" t="s">
        <v>5597</v>
      </c>
      <c r="I2249" s="696"/>
    </row>
    <row r="2250" spans="1:9" ht="20.100000000000001" customHeight="1" x14ac:dyDescent="0.2">
      <c r="A2250" s="695" t="str">
        <f t="shared" si="32"/>
        <v>346909399000000  Diversas Indenizacoes E Restituicoes</v>
      </c>
      <c r="C2250" s="631"/>
      <c r="D2250" s="632">
        <v>346909399000000</v>
      </c>
      <c r="E2250" s="696" t="s">
        <v>1162</v>
      </c>
      <c r="F2250" s="696">
        <v>7</v>
      </c>
      <c r="G2250" s="696" t="s">
        <v>5597</v>
      </c>
      <c r="I2250" s="696"/>
    </row>
    <row r="2251" spans="1:9" ht="20.100000000000001" customHeight="1" x14ac:dyDescent="0.2">
      <c r="A2251" s="695" t="str">
        <f t="shared" si="32"/>
        <v>346910000000000  Aplicacoes Diretas - Operações Intra-orçamentarias</v>
      </c>
      <c r="C2251" s="631"/>
      <c r="D2251" s="632">
        <v>346910000000000</v>
      </c>
      <c r="E2251" s="696" t="s">
        <v>4961</v>
      </c>
      <c r="F2251" s="696">
        <v>5</v>
      </c>
      <c r="G2251" s="696" t="s">
        <v>5596</v>
      </c>
      <c r="I2251" s="696"/>
    </row>
    <row r="2252" spans="1:9" ht="20.100000000000001" customHeight="1" x14ac:dyDescent="0.2">
      <c r="A2252" s="695" t="str">
        <f t="shared" si="32"/>
        <v>346917100000000  Principal Da Divida Por Contrato</v>
      </c>
      <c r="D2252" s="632">
        <v>346917100000000</v>
      </c>
      <c r="E2252" s="696" t="s">
        <v>5573</v>
      </c>
      <c r="F2252" s="696">
        <v>6</v>
      </c>
      <c r="G2252" s="696" t="s">
        <v>5596</v>
      </c>
      <c r="I2252" s="696"/>
    </row>
    <row r="2253" spans="1:9" ht="20.100000000000001" customHeight="1" x14ac:dyDescent="0.2">
      <c r="A2253" s="695" t="str">
        <f t="shared" si="32"/>
        <v>346917199000000  Outras Amortizacoes Da Divida Contratada</v>
      </c>
      <c r="D2253" s="632">
        <v>346917199000000</v>
      </c>
      <c r="E2253" s="696" t="s">
        <v>1184</v>
      </c>
      <c r="F2253" s="696">
        <v>7</v>
      </c>
      <c r="G2253" s="696" t="s">
        <v>5597</v>
      </c>
      <c r="I2253" s="696"/>
    </row>
    <row r="2254" spans="1:9" ht="20.100000000000001" customHeight="1" x14ac:dyDescent="0.2">
      <c r="A2254" s="695" t="str">
        <f t="shared" si="32"/>
        <v>370000000000000  Reserva Do Rpps</v>
      </c>
      <c r="D2254" s="632">
        <v>370000000000000</v>
      </c>
      <c r="E2254" s="696" t="s">
        <v>2081</v>
      </c>
      <c r="F2254" s="696">
        <v>2</v>
      </c>
      <c r="G2254" s="696" t="s">
        <v>5596</v>
      </c>
      <c r="I2254" s="696"/>
    </row>
    <row r="2255" spans="1:9" ht="20.100000000000001" customHeight="1" x14ac:dyDescent="0.2">
      <c r="A2255" s="695" t="str">
        <f t="shared" si="32"/>
        <v>377000000000000  Reserva Do Rpps</v>
      </c>
      <c r="D2255" s="632">
        <v>377000000000000</v>
      </c>
      <c r="E2255" s="696" t="s">
        <v>2081</v>
      </c>
      <c r="F2255" s="696">
        <v>3</v>
      </c>
      <c r="G2255" s="696" t="s">
        <v>5596</v>
      </c>
      <c r="I2255" s="696"/>
    </row>
    <row r="2256" spans="1:9" ht="20.100000000000001" customHeight="1" x14ac:dyDescent="0.2">
      <c r="A2256" s="695" t="str">
        <f t="shared" si="32"/>
        <v>377900000000000  Reserva Do Rpps</v>
      </c>
      <c r="D2256" s="632">
        <v>377900000000000</v>
      </c>
      <c r="E2256" s="696" t="s">
        <v>2081</v>
      </c>
      <c r="F2256" s="696">
        <v>4</v>
      </c>
      <c r="G2256" s="696" t="s">
        <v>5596</v>
      </c>
      <c r="I2256" s="696"/>
    </row>
    <row r="2257" spans="1:9" ht="20.100000000000001" customHeight="1" x14ac:dyDescent="0.2">
      <c r="A2257" s="695" t="str">
        <f t="shared" si="32"/>
        <v>377990000000000  Reserva Do Rpps</v>
      </c>
      <c r="D2257" s="632">
        <v>377990000000000</v>
      </c>
      <c r="E2257" s="696" t="s">
        <v>2081</v>
      </c>
      <c r="F2257" s="696">
        <v>5</v>
      </c>
      <c r="G2257" s="696" t="s">
        <v>5596</v>
      </c>
      <c r="I2257" s="696"/>
    </row>
    <row r="2258" spans="1:9" ht="20.100000000000001" customHeight="1" x14ac:dyDescent="0.2">
      <c r="A2258" s="695" t="str">
        <f t="shared" si="32"/>
        <v>377999900000000  Reserva Do Rpps</v>
      </c>
      <c r="D2258" s="632">
        <v>377999900000000</v>
      </c>
      <c r="E2258" s="696" t="s">
        <v>2081</v>
      </c>
      <c r="F2258" s="696">
        <v>6</v>
      </c>
      <c r="G2258" s="696" t="s">
        <v>5596</v>
      </c>
      <c r="I2258" s="696"/>
    </row>
    <row r="2259" spans="1:9" ht="20.100000000000001" customHeight="1" x14ac:dyDescent="0.2">
      <c r="A2259" s="695" t="str">
        <f t="shared" si="32"/>
        <v>377999999000000  Reserva Rpps</v>
      </c>
      <c r="D2259" s="632">
        <v>377999999000000</v>
      </c>
      <c r="E2259" s="696" t="s">
        <v>5592</v>
      </c>
      <c r="F2259" s="696">
        <v>7</v>
      </c>
      <c r="G2259" s="696" t="s">
        <v>5597</v>
      </c>
      <c r="I2259" s="696"/>
    </row>
    <row r="2260" spans="1:9" ht="20.100000000000001" customHeight="1" x14ac:dyDescent="0.2">
      <c r="A2260" s="695" t="str">
        <f t="shared" si="32"/>
        <v>390000000000000  Reserva De Contingencia</v>
      </c>
      <c r="D2260" s="632">
        <v>390000000000000</v>
      </c>
      <c r="E2260" s="696" t="s">
        <v>988</v>
      </c>
      <c r="F2260" s="696">
        <v>2</v>
      </c>
      <c r="G2260" s="696" t="s">
        <v>5596</v>
      </c>
      <c r="I2260" s="696"/>
    </row>
    <row r="2261" spans="1:9" ht="20.100000000000001" customHeight="1" x14ac:dyDescent="0.2">
      <c r="A2261" s="695" t="str">
        <f t="shared" si="32"/>
        <v>399000000000000  Reserva De Contingencia</v>
      </c>
      <c r="D2261" s="632">
        <v>399000000000000</v>
      </c>
      <c r="E2261" s="696" t="s">
        <v>988</v>
      </c>
      <c r="F2261" s="696">
        <v>3</v>
      </c>
      <c r="G2261" s="696" t="s">
        <v>5596</v>
      </c>
      <c r="I2261" s="696"/>
    </row>
    <row r="2262" spans="1:9" ht="20.100000000000001" customHeight="1" x14ac:dyDescent="0.2">
      <c r="A2262" s="695" t="str">
        <f t="shared" si="32"/>
        <v>399900000000000  Reserva De Contingencia</v>
      </c>
      <c r="D2262" s="632">
        <v>399900000000000</v>
      </c>
      <c r="E2262" s="696" t="s">
        <v>988</v>
      </c>
      <c r="F2262" s="696">
        <v>4</v>
      </c>
      <c r="G2262" s="696" t="s">
        <v>5596</v>
      </c>
      <c r="I2262" s="696"/>
    </row>
    <row r="2263" spans="1:9" ht="20.100000000000001" customHeight="1" x14ac:dyDescent="0.2">
      <c r="A2263" s="695" t="str">
        <f t="shared" si="32"/>
        <v>399990000000000  Reserva De Contingencia</v>
      </c>
      <c r="D2263" s="632">
        <v>399990000000000</v>
      </c>
      <c r="E2263" s="696" t="s">
        <v>988</v>
      </c>
      <c r="F2263" s="696">
        <v>5</v>
      </c>
      <c r="G2263" s="696" t="s">
        <v>5596</v>
      </c>
      <c r="I2263" s="696"/>
    </row>
    <row r="2264" spans="1:9" ht="20.100000000000001" customHeight="1" x14ac:dyDescent="0.2">
      <c r="A2264" s="695" t="str">
        <f t="shared" si="32"/>
        <v>399999900000000  Reserva De Contingencia</v>
      </c>
      <c r="D2264" s="632">
        <v>399999900000000</v>
      </c>
      <c r="E2264" s="696" t="s">
        <v>988</v>
      </c>
      <c r="F2264" s="696">
        <v>6</v>
      </c>
      <c r="G2264" s="696" t="s">
        <v>5596</v>
      </c>
      <c r="I2264" s="696"/>
    </row>
    <row r="2265" spans="1:9" ht="20.100000000000001" customHeight="1" x14ac:dyDescent="0.2">
      <c r="A2265" s="695" t="str">
        <f t="shared" si="32"/>
        <v>399999999000000  Reserva De Contingencia</v>
      </c>
      <c r="D2265" s="632">
        <v>399999999000000</v>
      </c>
      <c r="E2265" s="696" t="s">
        <v>988</v>
      </c>
      <c r="F2265" s="696">
        <v>7</v>
      </c>
      <c r="G2265" s="696" t="s">
        <v>5597</v>
      </c>
      <c r="I2265" s="696"/>
    </row>
    <row r="2610" spans="1:9" s="605" customFormat="1" ht="20.100000000000001" customHeight="1" x14ac:dyDescent="0.2">
      <c r="A2610" s="683" t="s">
        <v>2302</v>
      </c>
      <c r="B2610" s="1367" t="s">
        <v>2302</v>
      </c>
      <c r="C2610" s="1367"/>
      <c r="D2610" s="1367"/>
      <c r="E2610" s="1367"/>
      <c r="F2610" s="1367"/>
      <c r="G2610" s="1367"/>
    </row>
    <row r="2611" spans="1:9" s="605" customFormat="1" ht="20.100000000000001" customHeight="1" x14ac:dyDescent="0.2">
      <c r="A2611" s="683" t="s">
        <v>4782</v>
      </c>
      <c r="B2611" s="633" t="s">
        <v>468</v>
      </c>
      <c r="C2611" s="634"/>
      <c r="D2611" s="635" t="s">
        <v>2303</v>
      </c>
      <c r="E2611" s="634"/>
      <c r="F2611" s="634"/>
      <c r="G2611" s="666" t="s">
        <v>2304</v>
      </c>
    </row>
    <row r="2612" spans="1:9" s="605" customFormat="1" ht="20.100000000000001" customHeight="1" x14ac:dyDescent="0.2">
      <c r="A2612" s="683" t="str">
        <f>CONCATENATE(B2612,"  ",D2612,"  ",G2612)</f>
        <v>1  001.000.000  PODER LEGISLATIVO</v>
      </c>
      <c r="B2612" s="636">
        <v>1</v>
      </c>
      <c r="C2612" s="634"/>
      <c r="D2612" s="637" t="s">
        <v>2305</v>
      </c>
      <c r="E2612" s="610"/>
      <c r="F2612" s="634"/>
      <c r="G2612" s="697" t="s">
        <v>937</v>
      </c>
    </row>
    <row r="2613" spans="1:9" s="605" customFormat="1" ht="20.100000000000001" customHeight="1" x14ac:dyDescent="0.2">
      <c r="A2613" s="683" t="str">
        <f t="shared" ref="A2613:A2729" si="33">CONCATENATE(B2613,"  ",D2613,"  ",G2613)</f>
        <v>2  001.001.000  PESSOAL E ENCARGOS SOCIAIS</v>
      </c>
      <c r="B2613" s="636">
        <v>2</v>
      </c>
      <c r="C2613" s="634"/>
      <c r="D2613" s="637" t="s">
        <v>2306</v>
      </c>
      <c r="E2613" s="610"/>
      <c r="F2613" s="634"/>
      <c r="G2613" s="697" t="s">
        <v>2393</v>
      </c>
    </row>
    <row r="2614" spans="1:9" ht="20.100000000000001" customHeight="1" x14ac:dyDescent="0.2">
      <c r="A2614" s="681" t="str">
        <f t="shared" si="33"/>
        <v>3  001.001.001  Vencimentos Servidores Efetivos</v>
      </c>
      <c r="B2614" s="636">
        <v>3</v>
      </c>
      <c r="C2614" s="614"/>
      <c r="D2614" s="638" t="s">
        <v>2307</v>
      </c>
      <c r="E2614" s="165"/>
      <c r="F2614" s="614"/>
      <c r="G2614" s="1369" t="s">
        <v>5991</v>
      </c>
      <c r="H2614" s="1369"/>
      <c r="I2614" s="1369"/>
    </row>
    <row r="2615" spans="1:9" ht="20.100000000000001" customHeight="1" x14ac:dyDescent="0.2">
      <c r="A2615" s="681" t="str">
        <f t="shared" si="33"/>
        <v>4  001.001.002  Vencimentos Servidores Contratados</v>
      </c>
      <c r="B2615" s="636">
        <v>4</v>
      </c>
      <c r="C2615" s="614"/>
      <c r="D2615" s="638" t="s">
        <v>2308</v>
      </c>
      <c r="E2615" s="165"/>
      <c r="F2615" s="614"/>
      <c r="G2615" s="1369" t="s">
        <v>5992</v>
      </c>
      <c r="H2615" s="1369"/>
      <c r="I2615" s="1369"/>
    </row>
    <row r="2616" spans="1:9" ht="20.100000000000001" customHeight="1" x14ac:dyDescent="0.2">
      <c r="A2616" s="681" t="str">
        <f t="shared" si="33"/>
        <v>5  001.001.003  Vencimentos Servidores C.C.</v>
      </c>
      <c r="B2616" s="636">
        <v>5</v>
      </c>
      <c r="C2616" s="614"/>
      <c r="D2616" s="638" t="s">
        <v>2309</v>
      </c>
      <c r="E2616" s="165"/>
      <c r="F2616" s="614"/>
      <c r="G2616" s="1369" t="s">
        <v>5993</v>
      </c>
      <c r="H2616" s="1369"/>
      <c r="I2616" s="1369"/>
    </row>
    <row r="2617" spans="1:9" ht="20.100000000000001" customHeight="1" x14ac:dyDescent="0.2">
      <c r="A2617" s="681" t="str">
        <f t="shared" si="33"/>
        <v>6  001.001.004  Subsidios Agente Politico</v>
      </c>
      <c r="B2617" s="636">
        <v>6</v>
      </c>
      <c r="C2617" s="614"/>
      <c r="D2617" s="638" t="s">
        <v>2310</v>
      </c>
      <c r="E2617" s="165"/>
      <c r="F2617" s="614"/>
      <c r="G2617" s="1369" t="s">
        <v>2253</v>
      </c>
      <c r="H2617" s="1369"/>
      <c r="I2617" s="1369"/>
    </row>
    <row r="2618" spans="1:9" ht="20.100000000000001" customHeight="1" x14ac:dyDescent="0.2">
      <c r="A2618" s="681" t="str">
        <f t="shared" si="33"/>
        <v>1710  001.001.005  Verba de Representação</v>
      </c>
      <c r="B2618" s="639">
        <v>1710</v>
      </c>
      <c r="C2618" s="614"/>
      <c r="D2618" s="1369" t="s">
        <v>5967</v>
      </c>
      <c r="E2618" s="1369"/>
      <c r="F2618" s="614"/>
      <c r="G2618" s="1369" t="s">
        <v>2150</v>
      </c>
      <c r="H2618" s="1369"/>
      <c r="I2618" s="1369"/>
    </row>
    <row r="2619" spans="1:9" ht="20.100000000000001" customHeight="1" x14ac:dyDescent="0.2">
      <c r="A2619" s="681" t="str">
        <f t="shared" si="33"/>
        <v>1711  001.001.006  Férias Servidores Contratados</v>
      </c>
      <c r="B2619" s="639">
        <v>1711</v>
      </c>
      <c r="C2619" s="614"/>
      <c r="D2619" s="1369" t="s">
        <v>5968</v>
      </c>
      <c r="E2619" s="1369"/>
      <c r="F2619" s="614"/>
      <c r="G2619" s="1369" t="s">
        <v>5969</v>
      </c>
      <c r="H2619" s="1369"/>
      <c r="I2619" s="1369"/>
    </row>
    <row r="2620" spans="1:9" ht="20.100000000000001" customHeight="1" x14ac:dyDescent="0.2">
      <c r="A2620" s="681" t="str">
        <f t="shared" si="33"/>
        <v>1712  001.001.007  Férias Servidores Efetivos</v>
      </c>
      <c r="B2620" s="639">
        <v>1712</v>
      </c>
      <c r="C2620" s="614"/>
      <c r="D2620" s="1369" t="s">
        <v>5970</v>
      </c>
      <c r="E2620" s="1369"/>
      <c r="F2620" s="614"/>
      <c r="G2620" s="1369" t="s">
        <v>2146</v>
      </c>
      <c r="H2620" s="1369"/>
      <c r="I2620" s="1369"/>
    </row>
    <row r="2621" spans="1:9" ht="20.100000000000001" customHeight="1" x14ac:dyDescent="0.2">
      <c r="A2621" s="681" t="str">
        <f t="shared" si="33"/>
        <v>1713  001.001.008  Férias Servidores C.C.</v>
      </c>
      <c r="B2621" s="639">
        <v>1713</v>
      </c>
      <c r="C2621" s="614"/>
      <c r="D2621" s="1369" t="s">
        <v>5971</v>
      </c>
      <c r="E2621" s="1369"/>
      <c r="F2621" s="614"/>
      <c r="G2621" s="1369" t="s">
        <v>5733</v>
      </c>
      <c r="H2621" s="1369"/>
      <c r="I2621" s="1369"/>
    </row>
    <row r="2622" spans="1:9" ht="20.100000000000001" customHeight="1" x14ac:dyDescent="0.2">
      <c r="A2622" s="681" t="str">
        <f t="shared" si="33"/>
        <v>1714  001.001.009  Férias Agente Político</v>
      </c>
      <c r="B2622" s="639">
        <v>1714</v>
      </c>
      <c r="C2622" s="614"/>
      <c r="D2622" s="1369" t="s">
        <v>5972</v>
      </c>
      <c r="E2622" s="1369"/>
      <c r="F2622" s="614"/>
      <c r="G2622" s="1369" t="s">
        <v>5930</v>
      </c>
      <c r="H2622" s="1369"/>
      <c r="I2622" s="1369"/>
    </row>
    <row r="2623" spans="1:9" ht="20.100000000000001" customHeight="1" x14ac:dyDescent="0.2">
      <c r="A2623" s="681" t="str">
        <f t="shared" si="33"/>
        <v>1715  001.001.010  13º Salário Servidores Contratados</v>
      </c>
      <c r="B2623" s="639">
        <v>1715</v>
      </c>
      <c r="C2623" s="614"/>
      <c r="D2623" s="1369" t="s">
        <v>5973</v>
      </c>
      <c r="E2623" s="1369"/>
      <c r="F2623" s="614"/>
      <c r="G2623" s="1369" t="s">
        <v>5974</v>
      </c>
      <c r="H2623" s="1369"/>
      <c r="I2623" s="1369"/>
    </row>
    <row r="2624" spans="1:9" ht="20.100000000000001" customHeight="1" x14ac:dyDescent="0.2">
      <c r="A2624" s="681" t="str">
        <f t="shared" si="33"/>
        <v>1716  001.001.011  13º Salário Servidores Efetivos</v>
      </c>
      <c r="B2624" s="639">
        <v>1716</v>
      </c>
      <c r="C2624" s="614"/>
      <c r="D2624" s="1369" t="s">
        <v>5975</v>
      </c>
      <c r="E2624" s="1369"/>
      <c r="F2624" s="614"/>
      <c r="G2624" s="1369" t="s">
        <v>5976</v>
      </c>
      <c r="H2624" s="1369"/>
      <c r="I2624" s="1369"/>
    </row>
    <row r="2625" spans="1:9" ht="20.100000000000001" customHeight="1" x14ac:dyDescent="0.2">
      <c r="A2625" s="681" t="str">
        <f t="shared" si="33"/>
        <v>1717  001.001.012  13º Salário Servidores C.C.</v>
      </c>
      <c r="B2625" s="639">
        <v>1717</v>
      </c>
      <c r="C2625" s="614"/>
      <c r="D2625" s="1369" t="s">
        <v>5977</v>
      </c>
      <c r="E2625" s="1369"/>
      <c r="F2625" s="614"/>
      <c r="G2625" s="1369" t="s">
        <v>5978</v>
      </c>
      <c r="H2625" s="1369"/>
      <c r="I2625" s="1369"/>
    </row>
    <row r="2626" spans="1:9" ht="20.100000000000001" customHeight="1" x14ac:dyDescent="0.2">
      <c r="A2626" s="681" t="str">
        <f t="shared" si="33"/>
        <v>1718  001.001.013  Contribuição Patronal INSS : Serv. Contratados</v>
      </c>
      <c r="B2626" s="639">
        <v>1718</v>
      </c>
      <c r="C2626" s="614"/>
      <c r="D2626" s="1369" t="s">
        <v>5979</v>
      </c>
      <c r="E2626" s="1369"/>
      <c r="F2626" s="614"/>
      <c r="G2626" s="1369" t="s">
        <v>5980</v>
      </c>
      <c r="H2626" s="1369"/>
      <c r="I2626" s="1369"/>
    </row>
    <row r="2627" spans="1:9" ht="20.100000000000001" customHeight="1" x14ac:dyDescent="0.2">
      <c r="A2627" s="681" t="str">
        <f t="shared" si="33"/>
        <v>1719  001.001.014  Contribuição Patronal INSS : Serv. Efetivos</v>
      </c>
      <c r="B2627" s="639">
        <v>1719</v>
      </c>
      <c r="C2627" s="614"/>
      <c r="D2627" s="1369" t="s">
        <v>5981</v>
      </c>
      <c r="E2627" s="1369"/>
      <c r="F2627" s="614"/>
      <c r="G2627" s="1369" t="s">
        <v>5982</v>
      </c>
      <c r="H2627" s="1369"/>
      <c r="I2627" s="1369"/>
    </row>
    <row r="2628" spans="1:9" ht="20.100000000000001" customHeight="1" x14ac:dyDescent="0.2">
      <c r="A2628" s="681" t="str">
        <f t="shared" si="33"/>
        <v>1720  001.001.015  Contribuição Patronal INSS : Serv. C.C.</v>
      </c>
      <c r="B2628" s="639">
        <v>1720</v>
      </c>
      <c r="C2628" s="614"/>
      <c r="D2628" s="1369" t="s">
        <v>5983</v>
      </c>
      <c r="E2628" s="1369"/>
      <c r="F2628" s="614"/>
      <c r="G2628" s="1369" t="s">
        <v>5984</v>
      </c>
      <c r="H2628" s="1369"/>
      <c r="I2628" s="1369"/>
    </row>
    <row r="2629" spans="1:9" ht="20.100000000000001" customHeight="1" x14ac:dyDescent="0.2">
      <c r="A2629" s="681" t="str">
        <f t="shared" si="33"/>
        <v>1721  001.001.016  Contribuição Patronal INSS : Agente Político</v>
      </c>
      <c r="B2629" s="639">
        <v>1721</v>
      </c>
      <c r="C2629" s="614"/>
      <c r="D2629" s="1369" t="s">
        <v>5985</v>
      </c>
      <c r="E2629" s="1369"/>
      <c r="F2629" s="614"/>
      <c r="G2629" s="1369" t="s">
        <v>5986</v>
      </c>
      <c r="H2629" s="1369"/>
      <c r="I2629" s="1369"/>
    </row>
    <row r="2630" spans="1:9" ht="20.100000000000001" customHeight="1" x14ac:dyDescent="0.2">
      <c r="A2630" s="681" t="str">
        <f t="shared" si="33"/>
        <v>1722  001.001.017  Horas Extras : Serv. Contratados</v>
      </c>
      <c r="B2630" s="639">
        <v>1722</v>
      </c>
      <c r="C2630" s="614"/>
      <c r="D2630" s="1369" t="s">
        <v>5987</v>
      </c>
      <c r="E2630" s="1369"/>
      <c r="F2630" s="614"/>
      <c r="G2630" s="1369" t="s">
        <v>5988</v>
      </c>
      <c r="H2630" s="1369"/>
      <c r="I2630" s="1369"/>
    </row>
    <row r="2631" spans="1:9" ht="20.100000000000001" customHeight="1" x14ac:dyDescent="0.2">
      <c r="A2631" s="681" t="str">
        <f t="shared" si="33"/>
        <v>1723  001.001.018  Horas Extras : Serv. Efetivos</v>
      </c>
      <c r="B2631" s="639">
        <v>1723</v>
      </c>
      <c r="C2631" s="614"/>
      <c r="D2631" s="1369" t="s">
        <v>5989</v>
      </c>
      <c r="E2631" s="1369"/>
      <c r="F2631" s="614"/>
      <c r="G2631" s="1369" t="s">
        <v>5990</v>
      </c>
      <c r="H2631" s="1369"/>
      <c r="I2631" s="1369"/>
    </row>
    <row r="2632" spans="1:9" s="605" customFormat="1" ht="20.100000000000001" customHeight="1" x14ac:dyDescent="0.2">
      <c r="A2632" s="683" t="str">
        <f t="shared" si="33"/>
        <v>7  001.002.000  CUSTO DE AQUISIÇÃO DE EQUIPAMENTOS</v>
      </c>
      <c r="B2632" s="636">
        <v>7</v>
      </c>
      <c r="C2632" s="634"/>
      <c r="D2632" s="637" t="s">
        <v>2311</v>
      </c>
      <c r="E2632" s="610"/>
      <c r="F2632" s="634"/>
      <c r="G2632" s="697" t="s">
        <v>4783</v>
      </c>
    </row>
    <row r="2633" spans="1:9" ht="20.100000000000001" customHeight="1" x14ac:dyDescent="0.2">
      <c r="A2633" s="681" t="str">
        <f t="shared" si="33"/>
        <v>8  001.002.001  Informática</v>
      </c>
      <c r="B2633" s="636">
        <v>8</v>
      </c>
      <c r="C2633" s="614"/>
      <c r="D2633" s="638" t="s">
        <v>2312</v>
      </c>
      <c r="E2633" s="165"/>
      <c r="F2633" s="614"/>
      <c r="G2633" s="612" t="s">
        <v>2405</v>
      </c>
    </row>
    <row r="2634" spans="1:9" ht="20.100000000000001" customHeight="1" x14ac:dyDescent="0.2">
      <c r="A2634" s="681" t="str">
        <f t="shared" si="33"/>
        <v>9  001.002.002  Mobiliário</v>
      </c>
      <c r="B2634" s="636">
        <v>9</v>
      </c>
      <c r="C2634" s="614"/>
      <c r="D2634" s="638" t="s">
        <v>2313</v>
      </c>
      <c r="E2634" s="165"/>
      <c r="F2634" s="614"/>
      <c r="G2634" s="612" t="s">
        <v>2301</v>
      </c>
    </row>
    <row r="2635" spans="1:9" ht="20.100000000000001" customHeight="1" x14ac:dyDescent="0.2">
      <c r="A2635" s="681" t="str">
        <f t="shared" si="33"/>
        <v>10  001.002.003  Eletrodomesticos</v>
      </c>
      <c r="B2635" s="636">
        <v>10</v>
      </c>
      <c r="C2635" s="614"/>
      <c r="D2635" s="638" t="s">
        <v>2314</v>
      </c>
      <c r="E2635" s="165"/>
      <c r="F2635" s="614"/>
      <c r="G2635" s="612" t="s">
        <v>2315</v>
      </c>
    </row>
    <row r="2636" spans="1:9" ht="20.100000000000001" customHeight="1" x14ac:dyDescent="0.2">
      <c r="A2636" s="681" t="str">
        <f t="shared" si="33"/>
        <v>11  001.002.004  Ar Condicionado</v>
      </c>
      <c r="B2636" s="636">
        <v>11</v>
      </c>
      <c r="C2636" s="614"/>
      <c r="D2636" s="638" t="s">
        <v>2316</v>
      </c>
      <c r="E2636" s="165"/>
      <c r="F2636" s="614"/>
      <c r="G2636" s="612" t="s">
        <v>2317</v>
      </c>
    </row>
    <row r="2637" spans="1:9" ht="20.100000000000001" customHeight="1" x14ac:dyDescent="0.2">
      <c r="A2637" s="681" t="str">
        <f t="shared" si="33"/>
        <v>12  001.002.005  Equipamentos Eletronicos</v>
      </c>
      <c r="B2637" s="636">
        <v>12</v>
      </c>
      <c r="C2637" s="614"/>
      <c r="D2637" s="638" t="s">
        <v>2318</v>
      </c>
      <c r="E2637" s="165"/>
      <c r="F2637" s="614"/>
      <c r="G2637" s="612" t="s">
        <v>2319</v>
      </c>
    </row>
    <row r="2638" spans="1:9" s="605" customFormat="1" ht="20.100000000000001" customHeight="1" x14ac:dyDescent="0.2">
      <c r="A2638" s="683" t="str">
        <f t="shared" si="33"/>
        <v>13  001.003.000  CUSTO DE OBRAS E INSTALAÇÕES</v>
      </c>
      <c r="B2638" s="636">
        <v>13</v>
      </c>
      <c r="C2638" s="634"/>
      <c r="D2638" s="637" t="s">
        <v>2320</v>
      </c>
      <c r="E2638" s="610"/>
      <c r="F2638" s="634"/>
      <c r="G2638" s="697" t="s">
        <v>2321</v>
      </c>
    </row>
    <row r="2639" spans="1:9" ht="20.100000000000001" customHeight="1" x14ac:dyDescent="0.2">
      <c r="A2639" s="681" t="str">
        <f t="shared" si="33"/>
        <v>14  001.003.001  Construção de Imóveis</v>
      </c>
      <c r="B2639" s="636">
        <v>14</v>
      </c>
      <c r="C2639" s="614"/>
      <c r="D2639" s="638" t="s">
        <v>2322</v>
      </c>
      <c r="E2639" s="165"/>
      <c r="F2639" s="614"/>
      <c r="G2639" s="612" t="s">
        <v>2323</v>
      </c>
    </row>
    <row r="2640" spans="1:9" ht="20.100000000000001" customHeight="1" x14ac:dyDescent="0.2">
      <c r="A2640" s="681" t="str">
        <f t="shared" si="33"/>
        <v>15  001.003.002  Reforma de Imóveis</v>
      </c>
      <c r="B2640" s="636">
        <v>15</v>
      </c>
      <c r="C2640" s="614"/>
      <c r="D2640" s="638" t="s">
        <v>2324</v>
      </c>
      <c r="E2640" s="165"/>
      <c r="F2640" s="614"/>
      <c r="G2640" s="612" t="s">
        <v>2325</v>
      </c>
    </row>
    <row r="2641" spans="1:7" s="605" customFormat="1" ht="20.100000000000001" customHeight="1" x14ac:dyDescent="0.2">
      <c r="A2641" s="683" t="str">
        <f t="shared" si="33"/>
        <v>16  001.004.000  CUSTO AQUIÇÃO DE VEICULOS</v>
      </c>
      <c r="B2641" s="636">
        <v>16</v>
      </c>
      <c r="C2641" s="634"/>
      <c r="D2641" s="637" t="s">
        <v>2326</v>
      </c>
      <c r="E2641" s="610"/>
      <c r="F2641" s="634"/>
      <c r="G2641" s="697" t="s">
        <v>2327</v>
      </c>
    </row>
    <row r="2642" spans="1:7" ht="20.100000000000001" customHeight="1" x14ac:dyDescent="0.2">
      <c r="A2642" s="681" t="str">
        <f t="shared" si="33"/>
        <v>17  001.004.001  Veiculos</v>
      </c>
      <c r="B2642" s="636">
        <v>17</v>
      </c>
      <c r="C2642" s="614"/>
      <c r="D2642" s="638" t="s">
        <v>2328</v>
      </c>
      <c r="E2642" s="165"/>
      <c r="F2642" s="614"/>
      <c r="G2642" s="612" t="s">
        <v>2329</v>
      </c>
    </row>
    <row r="2643" spans="1:7" s="605" customFormat="1" ht="20.100000000000001" customHeight="1" x14ac:dyDescent="0.2">
      <c r="A2643" s="683" t="str">
        <f t="shared" si="33"/>
        <v>18  001.005.000  CUSTEIO OPERACIONAL</v>
      </c>
      <c r="B2643" s="636">
        <v>18</v>
      </c>
      <c r="C2643" s="634"/>
      <c r="D2643" s="637" t="s">
        <v>2330</v>
      </c>
      <c r="E2643" s="610"/>
      <c r="F2643" s="634"/>
      <c r="G2643" s="697" t="s">
        <v>2331</v>
      </c>
    </row>
    <row r="2644" spans="1:7" ht="20.100000000000001" customHeight="1" x14ac:dyDescent="0.2">
      <c r="A2644" s="681" t="str">
        <f t="shared" si="33"/>
        <v>19  001.005.001  Diarias Servidores Efetivos</v>
      </c>
      <c r="B2644" s="636">
        <v>19</v>
      </c>
      <c r="C2644" s="614"/>
      <c r="D2644" s="638" t="s">
        <v>2332</v>
      </c>
      <c r="E2644" s="165"/>
      <c r="F2644" s="614"/>
      <c r="G2644" s="612" t="s">
        <v>2156</v>
      </c>
    </row>
    <row r="2645" spans="1:7" ht="20.100000000000001" customHeight="1" x14ac:dyDescent="0.2">
      <c r="A2645" s="681" t="str">
        <f t="shared" si="33"/>
        <v>20  001.005.002  Diárias Servidores Contratados</v>
      </c>
      <c r="B2645" s="636">
        <v>20</v>
      </c>
      <c r="C2645" s="614"/>
      <c r="D2645" s="638" t="s">
        <v>2333</v>
      </c>
      <c r="E2645" s="165"/>
      <c r="F2645" s="614"/>
      <c r="G2645" s="612" t="s">
        <v>2334</v>
      </c>
    </row>
    <row r="2646" spans="1:7" ht="20.100000000000001" customHeight="1" x14ac:dyDescent="0.2">
      <c r="A2646" s="681" t="str">
        <f t="shared" si="33"/>
        <v>21  001.005.003  Diárias Servidores C.C.</v>
      </c>
      <c r="B2646" s="636">
        <v>21</v>
      </c>
      <c r="C2646" s="614"/>
      <c r="D2646" s="638" t="s">
        <v>2335</v>
      </c>
      <c r="E2646" s="165"/>
      <c r="F2646" s="614"/>
      <c r="G2646" s="612" t="s">
        <v>2336</v>
      </c>
    </row>
    <row r="2647" spans="1:7" ht="20.100000000000001" customHeight="1" x14ac:dyDescent="0.2">
      <c r="A2647" s="681" t="str">
        <f t="shared" si="33"/>
        <v>22  001.005.004  Diárias Agente Politico</v>
      </c>
      <c r="B2647" s="636">
        <v>22</v>
      </c>
      <c r="C2647" s="614"/>
      <c r="D2647" s="638" t="s">
        <v>2337</v>
      </c>
      <c r="E2647" s="165"/>
      <c r="F2647" s="614"/>
      <c r="G2647" s="612" t="s">
        <v>2338</v>
      </c>
    </row>
    <row r="2648" spans="1:7" ht="20.100000000000001" customHeight="1" x14ac:dyDescent="0.2">
      <c r="A2648" s="681" t="str">
        <f t="shared" si="33"/>
        <v>23  001.005.005  Generos Alimenticios</v>
      </c>
      <c r="B2648" s="636">
        <v>23</v>
      </c>
      <c r="C2648" s="614"/>
      <c r="D2648" s="638" t="s">
        <v>2339</v>
      </c>
      <c r="E2648" s="165"/>
      <c r="F2648" s="614"/>
      <c r="G2648" s="612" t="s">
        <v>2340</v>
      </c>
    </row>
    <row r="2649" spans="1:7" ht="20.100000000000001" customHeight="1" x14ac:dyDescent="0.2">
      <c r="A2649" s="681" t="str">
        <f t="shared" si="33"/>
        <v>24  001.005.006  Gas de Cozinha</v>
      </c>
      <c r="B2649" s="636">
        <v>24</v>
      </c>
      <c r="C2649" s="614"/>
      <c r="D2649" s="638" t="s">
        <v>2341</v>
      </c>
      <c r="E2649" s="165"/>
      <c r="F2649" s="614"/>
      <c r="G2649" s="612" t="s">
        <v>2342</v>
      </c>
    </row>
    <row r="2650" spans="1:7" ht="20.100000000000001" customHeight="1" x14ac:dyDescent="0.2">
      <c r="A2650" s="681" t="str">
        <f t="shared" si="33"/>
        <v>25  001.005.007  Suprimentos de Informatica</v>
      </c>
      <c r="B2650" s="636">
        <v>25</v>
      </c>
      <c r="C2650" s="614"/>
      <c r="D2650" s="638" t="s">
        <v>2343</v>
      </c>
      <c r="E2650" s="165"/>
      <c r="F2650" s="614"/>
      <c r="G2650" s="612" t="s">
        <v>2344</v>
      </c>
    </row>
    <row r="2651" spans="1:7" ht="20.100000000000001" customHeight="1" x14ac:dyDescent="0.2">
      <c r="A2651" s="681" t="str">
        <f t="shared" si="33"/>
        <v>26  001.005.008  Material de Expediente</v>
      </c>
      <c r="B2651" s="636">
        <v>26</v>
      </c>
      <c r="C2651" s="614"/>
      <c r="D2651" s="638" t="s">
        <v>2345</v>
      </c>
      <c r="E2651" s="165"/>
      <c r="F2651" s="614"/>
      <c r="G2651" s="612" t="s">
        <v>2346</v>
      </c>
    </row>
    <row r="2652" spans="1:7" ht="20.100000000000001" customHeight="1" x14ac:dyDescent="0.2">
      <c r="A2652" s="681" t="str">
        <f t="shared" si="33"/>
        <v>27  001.005.009  Material de Limpeza e Higienização</v>
      </c>
      <c r="B2652" s="636">
        <v>27</v>
      </c>
      <c r="C2652" s="614"/>
      <c r="D2652" s="638" t="s">
        <v>2347</v>
      </c>
      <c r="E2652" s="165"/>
      <c r="F2652" s="614"/>
      <c r="G2652" s="612" t="s">
        <v>6217</v>
      </c>
    </row>
    <row r="2653" spans="1:7" ht="20.100000000000001" customHeight="1" x14ac:dyDescent="0.2">
      <c r="A2653" s="681" t="str">
        <f t="shared" si="33"/>
        <v>28  001.005.010  Manutenção de Eq. de Informática</v>
      </c>
      <c r="B2653" s="636">
        <v>28</v>
      </c>
      <c r="C2653" s="614"/>
      <c r="D2653" s="638" t="s">
        <v>2349</v>
      </c>
      <c r="E2653" s="165"/>
      <c r="F2653" s="614"/>
      <c r="G2653" s="612" t="s">
        <v>2350</v>
      </c>
    </row>
    <row r="2654" spans="1:7" ht="20.100000000000001" customHeight="1" x14ac:dyDescent="0.2">
      <c r="A2654" s="681" t="str">
        <f t="shared" si="33"/>
        <v>29  001.005.011  Manutenção de Mobiliário</v>
      </c>
      <c r="B2654" s="636">
        <v>29</v>
      </c>
      <c r="C2654" s="614"/>
      <c r="D2654" s="638" t="s">
        <v>2351</v>
      </c>
      <c r="E2654" s="165"/>
      <c r="F2654" s="614"/>
      <c r="G2654" s="612" t="s">
        <v>2352</v>
      </c>
    </row>
    <row r="2655" spans="1:7" ht="20.100000000000001" customHeight="1" x14ac:dyDescent="0.2">
      <c r="A2655" s="681" t="str">
        <f t="shared" si="33"/>
        <v>30  001.005.012  Manutenção de Imóveis</v>
      </c>
      <c r="B2655" s="636">
        <v>30</v>
      </c>
      <c r="C2655" s="614"/>
      <c r="D2655" s="638" t="s">
        <v>2353</v>
      </c>
      <c r="E2655" s="165"/>
      <c r="F2655" s="614"/>
      <c r="G2655" s="612" t="s">
        <v>2354</v>
      </c>
    </row>
    <row r="2656" spans="1:7" ht="20.100000000000001" customHeight="1" x14ac:dyDescent="0.2">
      <c r="A2656" s="681" t="str">
        <f t="shared" si="33"/>
        <v>31  001.005.013  Manutenção de Eletrodomésticos</v>
      </c>
      <c r="B2656" s="636">
        <v>31</v>
      </c>
      <c r="C2656" s="614"/>
      <c r="D2656" s="638" t="s">
        <v>2355</v>
      </c>
      <c r="E2656" s="165"/>
      <c r="F2656" s="614"/>
      <c r="G2656" s="612" t="s">
        <v>2356</v>
      </c>
    </row>
    <row r="2657" spans="1:7" ht="20.100000000000001" customHeight="1" x14ac:dyDescent="0.2">
      <c r="A2657" s="681" t="str">
        <f t="shared" si="33"/>
        <v>32  001.005.014  Manutenção de Ar Condicionado</v>
      </c>
      <c r="B2657" s="636">
        <v>32</v>
      </c>
      <c r="C2657" s="614"/>
      <c r="D2657" s="638" t="s">
        <v>2357</v>
      </c>
      <c r="E2657" s="165"/>
      <c r="F2657" s="614"/>
      <c r="G2657" s="612" t="s">
        <v>2358</v>
      </c>
    </row>
    <row r="2658" spans="1:7" ht="20.100000000000001" customHeight="1" x14ac:dyDescent="0.2">
      <c r="A2658" s="681" t="str">
        <f t="shared" si="33"/>
        <v>33  001.005.015  Manutenção de Eq. de Audio</v>
      </c>
      <c r="B2658" s="636">
        <v>33</v>
      </c>
      <c r="C2658" s="614"/>
      <c r="D2658" s="638" t="s">
        <v>2359</v>
      </c>
      <c r="E2658" s="165"/>
      <c r="F2658" s="614"/>
      <c r="G2658" s="612" t="s">
        <v>2360</v>
      </c>
    </row>
    <row r="2659" spans="1:7" ht="20.100000000000001" customHeight="1" x14ac:dyDescent="0.2">
      <c r="A2659" s="681" t="str">
        <f t="shared" si="33"/>
        <v>34  001.005.016  Manutenção de Eq. Eletrônicos</v>
      </c>
      <c r="B2659" s="636">
        <v>34</v>
      </c>
      <c r="C2659" s="614"/>
      <c r="D2659" s="638" t="s">
        <v>2361</v>
      </c>
      <c r="E2659" s="165"/>
      <c r="F2659" s="614"/>
      <c r="G2659" s="612" t="s">
        <v>2362</v>
      </c>
    </row>
    <row r="2660" spans="1:7" ht="20.100000000000001" customHeight="1" x14ac:dyDescent="0.2">
      <c r="A2660" s="681" t="str">
        <f t="shared" si="33"/>
        <v>35  001.005.017  Energia Elétrica</v>
      </c>
      <c r="B2660" s="636">
        <v>35</v>
      </c>
      <c r="C2660" s="614"/>
      <c r="D2660" s="638" t="s">
        <v>2363</v>
      </c>
      <c r="E2660" s="165"/>
      <c r="F2660" s="614"/>
      <c r="G2660" s="612" t="s">
        <v>700</v>
      </c>
    </row>
    <row r="2661" spans="1:7" ht="20.100000000000001" customHeight="1" x14ac:dyDescent="0.2">
      <c r="A2661" s="681" t="str">
        <f t="shared" si="33"/>
        <v>36  001.005.018  Agua</v>
      </c>
      <c r="B2661" s="636">
        <v>36</v>
      </c>
      <c r="C2661" s="614"/>
      <c r="D2661" s="638" t="s">
        <v>2364</v>
      </c>
      <c r="E2661" s="165"/>
      <c r="F2661" s="614"/>
      <c r="G2661" s="612" t="s">
        <v>2365</v>
      </c>
    </row>
    <row r="2662" spans="1:7" ht="20.100000000000001" customHeight="1" x14ac:dyDescent="0.2">
      <c r="A2662" s="681" t="str">
        <f t="shared" si="33"/>
        <v>37  001.005.019  Telefone Fixo</v>
      </c>
      <c r="B2662" s="636">
        <v>37</v>
      </c>
      <c r="C2662" s="614"/>
      <c r="D2662" s="638" t="s">
        <v>2366</v>
      </c>
      <c r="E2662" s="165"/>
      <c r="F2662" s="614"/>
      <c r="G2662" s="612" t="s">
        <v>1041</v>
      </c>
    </row>
    <row r="2663" spans="1:7" ht="20.100000000000001" customHeight="1" x14ac:dyDescent="0.2">
      <c r="A2663" s="681" t="str">
        <f t="shared" si="33"/>
        <v>38  001.005.020  Telefone Celular</v>
      </c>
      <c r="B2663" s="636">
        <v>38</v>
      </c>
      <c r="C2663" s="614"/>
      <c r="D2663" s="638" t="s">
        <v>2367</v>
      </c>
      <c r="E2663" s="165"/>
      <c r="F2663" s="614"/>
      <c r="G2663" s="612" t="s">
        <v>1150</v>
      </c>
    </row>
    <row r="2664" spans="1:7" ht="20.100000000000001" customHeight="1" x14ac:dyDescent="0.2">
      <c r="A2664" s="681" t="str">
        <f>CONCATENATE(B2664,"  ",D2664,"  ",G2664)</f>
        <v>39  001.005.021  Seleção e Treinamento: Serv. Efetivos</v>
      </c>
      <c r="B2664" s="636">
        <v>39</v>
      </c>
      <c r="C2664" s="614"/>
      <c r="D2664" s="638" t="s">
        <v>2368</v>
      </c>
      <c r="E2664" s="165"/>
      <c r="F2664" s="614"/>
      <c r="G2664" s="612" t="s">
        <v>5857</v>
      </c>
    </row>
    <row r="2665" spans="1:7" ht="20.100000000000001" customHeight="1" x14ac:dyDescent="0.2">
      <c r="A2665" s="681" t="str">
        <f t="shared" si="33"/>
        <v>40  001.005.022  Internet</v>
      </c>
      <c r="B2665" s="636">
        <v>40</v>
      </c>
      <c r="C2665" s="614"/>
      <c r="D2665" s="638" t="s">
        <v>2370</v>
      </c>
      <c r="E2665" s="165"/>
      <c r="F2665" s="614"/>
      <c r="G2665" s="612" t="s">
        <v>2371</v>
      </c>
    </row>
    <row r="2666" spans="1:7" ht="20.100000000000001" customHeight="1" x14ac:dyDescent="0.2">
      <c r="A2666" s="681" t="str">
        <f t="shared" si="33"/>
        <v>41  001.005.023  Estagiarios</v>
      </c>
      <c r="B2666" s="636">
        <v>41</v>
      </c>
      <c r="C2666" s="614"/>
      <c r="D2666" s="638" t="s">
        <v>2372</v>
      </c>
      <c r="E2666" s="165"/>
      <c r="F2666" s="614"/>
      <c r="G2666" s="612" t="s">
        <v>2195</v>
      </c>
    </row>
    <row r="2667" spans="1:7" ht="20.100000000000001" customHeight="1" x14ac:dyDescent="0.2">
      <c r="A2667" s="681" t="str">
        <f t="shared" si="33"/>
        <v>42  001.005.024  Mensalidades (UVERGS, E OUTROS)</v>
      </c>
      <c r="B2667" s="636">
        <v>42</v>
      </c>
      <c r="C2667" s="614"/>
      <c r="D2667" s="638" t="s">
        <v>2373</v>
      </c>
      <c r="E2667" s="165"/>
      <c r="F2667" s="614"/>
      <c r="G2667" s="612" t="s">
        <v>2374</v>
      </c>
    </row>
    <row r="2668" spans="1:7" ht="20.100000000000001" customHeight="1" x14ac:dyDescent="0.2">
      <c r="A2668" s="681" t="str">
        <f t="shared" si="33"/>
        <v>43  001.005.025  Servicos de Tecnologia da Informação</v>
      </c>
      <c r="B2668" s="636">
        <v>43</v>
      </c>
      <c r="C2668" s="614"/>
      <c r="D2668" s="638" t="s">
        <v>2375</v>
      </c>
      <c r="E2668" s="165"/>
      <c r="F2668" s="614"/>
      <c r="G2668" s="612" t="s">
        <v>2376</v>
      </c>
    </row>
    <row r="2669" spans="1:7" ht="20.100000000000001" customHeight="1" x14ac:dyDescent="0.2">
      <c r="A2669" s="681" t="str">
        <f t="shared" si="33"/>
        <v>44  001.005.026  Processamento de Dados</v>
      </c>
      <c r="B2669" s="636">
        <v>44</v>
      </c>
      <c r="C2669" s="614"/>
      <c r="D2669" s="638" t="s">
        <v>2377</v>
      </c>
      <c r="E2669" s="165"/>
      <c r="F2669" s="614"/>
      <c r="G2669" s="612" t="s">
        <v>2378</v>
      </c>
    </row>
    <row r="2670" spans="1:7" ht="20.100000000000001" customHeight="1" x14ac:dyDescent="0.2">
      <c r="A2670" s="681" t="str">
        <f t="shared" si="33"/>
        <v>45  001.005.027  Geral</v>
      </c>
      <c r="B2670" s="636">
        <v>45</v>
      </c>
      <c r="C2670" s="614"/>
      <c r="D2670" s="638" t="s">
        <v>2379</v>
      </c>
      <c r="E2670" s="165"/>
      <c r="F2670" s="614"/>
      <c r="G2670" s="612" t="s">
        <v>2380</v>
      </c>
    </row>
    <row r="2671" spans="1:7" ht="20.100000000000001" customHeight="1" x14ac:dyDescent="0.2">
      <c r="A2671" s="681" t="str">
        <f t="shared" si="33"/>
        <v>1504  001.005.028  Serviços Bancários</v>
      </c>
      <c r="B2671" s="636">
        <v>1504</v>
      </c>
      <c r="C2671" s="614"/>
      <c r="D2671" s="638" t="s">
        <v>2381</v>
      </c>
      <c r="E2671" s="165"/>
      <c r="F2671" s="614"/>
      <c r="G2671" s="612" t="s">
        <v>1056</v>
      </c>
    </row>
    <row r="2672" spans="1:7" ht="20.100000000000001" customHeight="1" x14ac:dyDescent="0.2">
      <c r="A2672" s="681" t="str">
        <f t="shared" si="33"/>
        <v>1691  001.005.029  Despesas com Locomoção Servidores Efetivos</v>
      </c>
      <c r="B2672" s="636">
        <v>1691</v>
      </c>
      <c r="C2672" s="614"/>
      <c r="D2672" s="638" t="s">
        <v>5771</v>
      </c>
      <c r="E2672" s="165"/>
      <c r="F2672" s="614"/>
      <c r="G2672" s="612" t="s">
        <v>5767</v>
      </c>
    </row>
    <row r="2673" spans="1:7" ht="20.100000000000001" customHeight="1" x14ac:dyDescent="0.2">
      <c r="A2673" s="681" t="str">
        <f t="shared" si="33"/>
        <v>1692  001.005.030  Despesas com Locomoção Servidores Contratados</v>
      </c>
      <c r="B2673" s="636">
        <v>1692</v>
      </c>
      <c r="C2673" s="614"/>
      <c r="D2673" s="638" t="s">
        <v>5772</v>
      </c>
      <c r="E2673" s="165"/>
      <c r="F2673" s="614"/>
      <c r="G2673" s="612" t="s">
        <v>5768</v>
      </c>
    </row>
    <row r="2674" spans="1:7" ht="20.100000000000001" customHeight="1" x14ac:dyDescent="0.2">
      <c r="A2674" s="681" t="str">
        <f t="shared" si="33"/>
        <v>1693  001.005.031  Despesas com Locomoção Servidores C.C.</v>
      </c>
      <c r="B2674" s="636">
        <v>1693</v>
      </c>
      <c r="C2674" s="614"/>
      <c r="D2674" s="638" t="s">
        <v>5773</v>
      </c>
      <c r="E2674" s="165"/>
      <c r="F2674" s="614"/>
      <c r="G2674" s="612" t="s">
        <v>5769</v>
      </c>
    </row>
    <row r="2675" spans="1:7" ht="20.100000000000001" customHeight="1" x14ac:dyDescent="0.2">
      <c r="A2675" s="681" t="str">
        <f t="shared" si="33"/>
        <v>1694  001.005.032  Despesas com Locomoção Agente Político</v>
      </c>
      <c r="B2675" s="636">
        <v>1694</v>
      </c>
      <c r="C2675" s="614"/>
      <c r="D2675" s="638" t="s">
        <v>5774</v>
      </c>
      <c r="E2675" s="165"/>
      <c r="F2675" s="614"/>
      <c r="G2675" s="612" t="s">
        <v>5770</v>
      </c>
    </row>
    <row r="2676" spans="1:7" ht="20.100000000000001" customHeight="1" x14ac:dyDescent="0.2">
      <c r="A2676" s="681" t="str">
        <f t="shared" si="33"/>
        <v>1695  001.005.033  Consultoria</v>
      </c>
      <c r="B2676" s="636">
        <v>1695</v>
      </c>
      <c r="C2676" s="614"/>
      <c r="D2676" s="638" t="s">
        <v>5779</v>
      </c>
      <c r="E2676" s="165"/>
      <c r="F2676" s="614"/>
      <c r="G2676" s="612" t="s">
        <v>5780</v>
      </c>
    </row>
    <row r="2677" spans="1:7" ht="20.100000000000001" customHeight="1" x14ac:dyDescent="0.2">
      <c r="A2677" s="681" t="str">
        <f t="shared" si="33"/>
        <v>1696  001.005.034  Prestação de Serviços Autômonos</v>
      </c>
      <c r="B2677" s="636">
        <v>1696</v>
      </c>
      <c r="C2677" s="614"/>
      <c r="D2677" s="638" t="s">
        <v>5782</v>
      </c>
      <c r="E2677" s="165"/>
      <c r="F2677" s="614"/>
      <c r="G2677" s="612" t="s">
        <v>5783</v>
      </c>
    </row>
    <row r="2678" spans="1:7" ht="20.100000000000001" customHeight="1" x14ac:dyDescent="0.2">
      <c r="A2678" s="681" t="str">
        <f t="shared" si="33"/>
        <v>1697  001.005.035  Assinaturas Jornais e Periodicos</v>
      </c>
      <c r="B2678" s="636">
        <v>1697</v>
      </c>
      <c r="C2678" s="614"/>
      <c r="D2678" s="638" t="s">
        <v>5787</v>
      </c>
      <c r="E2678" s="165"/>
      <c r="F2678" s="614"/>
      <c r="G2678" s="612" t="s">
        <v>2269</v>
      </c>
    </row>
    <row r="2679" spans="1:7" ht="20.100000000000001" customHeight="1" x14ac:dyDescent="0.2">
      <c r="A2679" s="681" t="str">
        <f t="shared" si="33"/>
        <v>1698  001.005.036  Serviços Postais</v>
      </c>
      <c r="B2679" s="636">
        <v>1698</v>
      </c>
      <c r="C2679" s="614"/>
      <c r="D2679" s="638" t="s">
        <v>5793</v>
      </c>
      <c r="E2679" s="165"/>
      <c r="F2679" s="614"/>
      <c r="G2679" s="612" t="s">
        <v>2604</v>
      </c>
    </row>
    <row r="2680" spans="1:7" ht="20.100000000000001" customHeight="1" x14ac:dyDescent="0.2">
      <c r="A2680" s="681" t="str">
        <f t="shared" si="33"/>
        <v>1699  001.005.037  Serviços Gráficos</v>
      </c>
      <c r="B2680" s="636">
        <v>1699</v>
      </c>
      <c r="C2680" s="614"/>
      <c r="D2680" s="638" t="s">
        <v>5800</v>
      </c>
      <c r="E2680" s="165"/>
      <c r="F2680" s="614"/>
      <c r="G2680" s="612" t="s">
        <v>5801</v>
      </c>
    </row>
    <row r="2681" spans="1:7" ht="20.100000000000001" customHeight="1" x14ac:dyDescent="0.2">
      <c r="A2681" s="681" t="str">
        <f t="shared" si="33"/>
        <v>1700  001.005.038  Servicos De Publicidade Legal</v>
      </c>
      <c r="B2681" s="636">
        <v>1700</v>
      </c>
      <c r="C2681" s="614"/>
      <c r="D2681" s="638" t="s">
        <v>5805</v>
      </c>
      <c r="E2681" s="165"/>
      <c r="F2681" s="614"/>
      <c r="G2681" s="612" t="s">
        <v>1098</v>
      </c>
    </row>
    <row r="2682" spans="1:7" ht="20.100000000000001" customHeight="1" x14ac:dyDescent="0.2">
      <c r="A2682" s="681" t="str">
        <f t="shared" si="33"/>
        <v>1701  001.005.039  Servicos De Publicidade Institucional</v>
      </c>
      <c r="B2682" s="636">
        <v>1701</v>
      </c>
      <c r="C2682" s="614"/>
      <c r="D2682" s="638" t="s">
        <v>5807</v>
      </c>
      <c r="E2682" s="165"/>
      <c r="F2682" s="614"/>
      <c r="G2682" s="612" t="s">
        <v>1097</v>
      </c>
    </row>
    <row r="2683" spans="1:7" ht="20.100000000000001" customHeight="1" x14ac:dyDescent="0.2">
      <c r="A2683" s="681" t="str">
        <f t="shared" si="33"/>
        <v>1702  001.005.040  Servicos De Publicidade Util. Publica</v>
      </c>
      <c r="B2683" s="636">
        <v>1702</v>
      </c>
      <c r="C2683" s="614"/>
      <c r="D2683" s="638" t="s">
        <v>5809</v>
      </c>
      <c r="E2683" s="165"/>
      <c r="F2683" s="614"/>
      <c r="G2683" s="612" t="s">
        <v>2189</v>
      </c>
    </row>
    <row r="2684" spans="1:7" ht="20.100000000000001" customHeight="1" x14ac:dyDescent="0.2">
      <c r="A2684" s="681" t="str">
        <f t="shared" si="33"/>
        <v>1703  001.005.041  Serviços Diversos</v>
      </c>
      <c r="B2684" s="636">
        <v>1703</v>
      </c>
      <c r="C2684" s="614"/>
      <c r="D2684" s="638" t="s">
        <v>5815</v>
      </c>
      <c r="E2684" s="165"/>
      <c r="F2684" s="614"/>
      <c r="G2684" s="612" t="s">
        <v>5812</v>
      </c>
    </row>
    <row r="2685" spans="1:7" ht="20.100000000000001" customHeight="1" x14ac:dyDescent="0.2">
      <c r="A2685" s="681" t="str">
        <f t="shared" si="33"/>
        <v>1704  001.005.042  Ressarcimentos Diversos</v>
      </c>
      <c r="B2685" s="636">
        <v>1704</v>
      </c>
      <c r="C2685" s="614"/>
      <c r="D2685" s="638" t="s">
        <v>5819</v>
      </c>
      <c r="E2685" s="165"/>
      <c r="F2685" s="614"/>
      <c r="G2685" s="612" t="s">
        <v>1038</v>
      </c>
    </row>
    <row r="2686" spans="1:7" ht="20.100000000000001" customHeight="1" x14ac:dyDescent="0.2">
      <c r="A2686" s="681" t="str">
        <f t="shared" si="33"/>
        <v>1800  001.005.043  Seleção e Treinamento: Serv. Contratado</v>
      </c>
      <c r="B2686" s="636">
        <v>1800</v>
      </c>
      <c r="C2686" s="614"/>
      <c r="D2686" s="638" t="s">
        <v>5858</v>
      </c>
      <c r="E2686" s="165"/>
      <c r="F2686" s="614"/>
      <c r="G2686" s="612" t="s">
        <v>5859</v>
      </c>
    </row>
    <row r="2687" spans="1:7" ht="20.100000000000001" customHeight="1" x14ac:dyDescent="0.2">
      <c r="A2687" s="681" t="str">
        <f>CONCATENATE(B2687,"  ",D2687,"  ",G2687)</f>
        <v>1799  001.005.044  Seleção e Treinamento: Serv. C.C.</v>
      </c>
      <c r="B2687" s="636">
        <v>1799</v>
      </c>
      <c r="C2687" s="614"/>
      <c r="D2687" s="638" t="s">
        <v>5860</v>
      </c>
      <c r="E2687" s="165"/>
      <c r="F2687" s="614"/>
      <c r="G2687" s="612" t="s">
        <v>5861</v>
      </c>
    </row>
    <row r="2688" spans="1:7" ht="20.100000000000001" customHeight="1" x14ac:dyDescent="0.2">
      <c r="A2688" s="681" t="str">
        <f>CONCATENATE(B2688,"  ",D2688,"  ",G2688)</f>
        <v>1801  001.005.045  Seleção e Treinamento: Agente Político</v>
      </c>
      <c r="B2688" s="636">
        <v>1801</v>
      </c>
      <c r="C2688" s="614"/>
      <c r="D2688" s="638" t="s">
        <v>5870</v>
      </c>
      <c r="E2688" s="165"/>
      <c r="F2688" s="614"/>
      <c r="G2688" s="612" t="s">
        <v>5862</v>
      </c>
    </row>
    <row r="2689" spans="1:9" ht="20.100000000000001" customHeight="1" x14ac:dyDescent="0.2">
      <c r="A2689" s="681" t="str">
        <f>CONCATENATE(B2689,"  ",D2689,"  ",G2689)</f>
        <v>1802  001.005.046  Material de Copa e Cozinha</v>
      </c>
      <c r="B2689" s="636">
        <v>1802</v>
      </c>
      <c r="C2689" s="614"/>
      <c r="D2689" s="638" t="s">
        <v>5871</v>
      </c>
      <c r="E2689" s="165"/>
      <c r="F2689" s="614"/>
      <c r="G2689" s="612" t="s">
        <v>2430</v>
      </c>
    </row>
    <row r="2690" spans="1:9" s="605" customFormat="1" ht="20.100000000000001" customHeight="1" x14ac:dyDescent="0.2">
      <c r="A2690" s="683" t="str">
        <f t="shared" si="33"/>
        <v>46  001.006.000  SESSÕES E CONVOCAÇÕES EXTRAORDINÁRIAS</v>
      </c>
      <c r="B2690" s="636">
        <v>46</v>
      </c>
      <c r="C2690" s="634"/>
      <c r="D2690" s="637" t="s">
        <v>2382</v>
      </c>
      <c r="E2690" s="610"/>
      <c r="F2690" s="634"/>
      <c r="G2690" s="697" t="s">
        <v>2383</v>
      </c>
    </row>
    <row r="2691" spans="1:9" ht="20.100000000000001" customHeight="1" x14ac:dyDescent="0.2">
      <c r="A2691" s="681" t="str">
        <f t="shared" si="33"/>
        <v>47  001.006.001  Sessões Extraordinárias</v>
      </c>
      <c r="B2691" s="636">
        <v>47</v>
      </c>
      <c r="C2691" s="614"/>
      <c r="D2691" s="638" t="s">
        <v>2384</v>
      </c>
      <c r="E2691" s="165"/>
      <c r="F2691" s="614"/>
      <c r="G2691" s="612" t="s">
        <v>2169</v>
      </c>
    </row>
    <row r="2692" spans="1:9" ht="20.100000000000001" customHeight="1" x14ac:dyDescent="0.2">
      <c r="A2692" s="681" t="str">
        <f t="shared" si="33"/>
        <v>48  001.006.002  Convocação Extraordinárias</v>
      </c>
      <c r="B2692" s="636">
        <v>48</v>
      </c>
      <c r="C2692" s="614"/>
      <c r="D2692" s="638" t="s">
        <v>2385</v>
      </c>
      <c r="E2692" s="165"/>
      <c r="F2692" s="614"/>
      <c r="G2692" s="612" t="s">
        <v>2386</v>
      </c>
    </row>
    <row r="2693" spans="1:9" s="605" customFormat="1" ht="20.100000000000001" customHeight="1" x14ac:dyDescent="0.2">
      <c r="A2693" s="683" t="str">
        <f t="shared" si="33"/>
        <v>49  001.007.000  PLANO DE SAUDE</v>
      </c>
      <c r="B2693" s="636">
        <v>49</v>
      </c>
      <c r="C2693" s="634"/>
      <c r="D2693" s="637" t="s">
        <v>2387</v>
      </c>
      <c r="E2693" s="610"/>
      <c r="F2693" s="634"/>
      <c r="G2693" s="697" t="s">
        <v>2388</v>
      </c>
    </row>
    <row r="2694" spans="1:9" ht="20.100000000000001" customHeight="1" x14ac:dyDescent="0.2">
      <c r="A2694" s="681" t="str">
        <f t="shared" si="33"/>
        <v>50  001.007.001  Plano de Saúde - IPE</v>
      </c>
      <c r="B2694" s="636">
        <v>50</v>
      </c>
      <c r="C2694" s="614"/>
      <c r="D2694" s="638" t="s">
        <v>2389</v>
      </c>
      <c r="E2694" s="165"/>
      <c r="F2694" s="614"/>
      <c r="G2694" s="612" t="s">
        <v>2390</v>
      </c>
    </row>
    <row r="2695" spans="1:9" s="605" customFormat="1" ht="20.100000000000001" customHeight="1" x14ac:dyDescent="0.2">
      <c r="A2695" s="683" t="str">
        <f t="shared" si="33"/>
        <v>51  002.000.000  GABINETE DO PREFEITO</v>
      </c>
      <c r="B2695" s="636">
        <v>51</v>
      </c>
      <c r="C2695" s="634"/>
      <c r="D2695" s="637" t="s">
        <v>2391</v>
      </c>
      <c r="E2695" s="610"/>
      <c r="F2695" s="634"/>
      <c r="G2695" s="697" t="s">
        <v>111</v>
      </c>
    </row>
    <row r="2696" spans="1:9" s="605" customFormat="1" ht="20.100000000000001" customHeight="1" x14ac:dyDescent="0.2">
      <c r="A2696" s="683" t="str">
        <f t="shared" si="33"/>
        <v>52  002.001.000  PESSOAL E ENCARGOS SOCIAIS</v>
      </c>
      <c r="B2696" s="636">
        <v>52</v>
      </c>
      <c r="C2696" s="634"/>
      <c r="D2696" s="637" t="s">
        <v>2392</v>
      </c>
      <c r="E2696" s="610"/>
      <c r="F2696" s="634"/>
      <c r="G2696" s="697" t="s">
        <v>2393</v>
      </c>
    </row>
    <row r="2697" spans="1:9" ht="20.100000000000001" customHeight="1" x14ac:dyDescent="0.2">
      <c r="A2697" s="681" t="str">
        <f t="shared" si="33"/>
        <v>53  002.001.001  Vencimentos Servidores Efetivos</v>
      </c>
      <c r="B2697" s="636">
        <v>53</v>
      </c>
      <c r="C2697" s="614"/>
      <c r="D2697" s="638" t="s">
        <v>2394</v>
      </c>
      <c r="E2697" s="165"/>
      <c r="F2697" s="614"/>
      <c r="G2697" s="612" t="s">
        <v>5991</v>
      </c>
    </row>
    <row r="2698" spans="1:9" ht="20.100000000000001" customHeight="1" x14ac:dyDescent="0.2">
      <c r="A2698" s="681" t="str">
        <f t="shared" si="33"/>
        <v>54  002.001.002  Vencimentos Servidores Contratados</v>
      </c>
      <c r="B2698" s="636">
        <v>54</v>
      </c>
      <c r="C2698" s="614"/>
      <c r="D2698" s="638" t="s">
        <v>2395</v>
      </c>
      <c r="E2698" s="165"/>
      <c r="F2698" s="614"/>
      <c r="G2698" s="612" t="s">
        <v>5992</v>
      </c>
    </row>
    <row r="2699" spans="1:9" ht="20.100000000000001" customHeight="1" x14ac:dyDescent="0.2">
      <c r="A2699" s="681" t="str">
        <f t="shared" si="33"/>
        <v>55  002.001.003  Vencimentos Sevidores C.C.</v>
      </c>
      <c r="B2699" s="636">
        <v>55</v>
      </c>
      <c r="C2699" s="614"/>
      <c r="D2699" s="638" t="s">
        <v>2397</v>
      </c>
      <c r="E2699" s="165"/>
      <c r="F2699" s="614"/>
      <c r="G2699" s="612" t="s">
        <v>5997</v>
      </c>
    </row>
    <row r="2700" spans="1:9" ht="20.100000000000001" customHeight="1" x14ac:dyDescent="0.2">
      <c r="A2700" s="681" t="str">
        <f t="shared" si="33"/>
        <v>56  002.001.004  Subsídios Agente Politico</v>
      </c>
      <c r="B2700" s="636">
        <v>56</v>
      </c>
      <c r="C2700" s="614"/>
      <c r="D2700" s="638" t="s">
        <v>2398</v>
      </c>
      <c r="E2700" s="165"/>
      <c r="F2700" s="614"/>
      <c r="G2700" s="612" t="s">
        <v>5998</v>
      </c>
    </row>
    <row r="2701" spans="1:9" ht="20.100000000000001" customHeight="1" x14ac:dyDescent="0.2">
      <c r="A2701" s="681" t="str">
        <f t="shared" si="33"/>
        <v>53  002.001.001  Vencimentos Servidores Efetivos</v>
      </c>
      <c r="B2701" s="639">
        <v>53</v>
      </c>
      <c r="C2701" s="614"/>
      <c r="D2701" s="1369" t="s">
        <v>2394</v>
      </c>
      <c r="E2701" s="1369"/>
      <c r="F2701" s="614"/>
      <c r="G2701" s="1369" t="s">
        <v>5991</v>
      </c>
      <c r="H2701" s="1369"/>
      <c r="I2701" s="1369"/>
    </row>
    <row r="2702" spans="1:9" ht="20.100000000000001" customHeight="1" x14ac:dyDescent="0.2">
      <c r="A2702" s="681" t="str">
        <f t="shared" si="33"/>
        <v>54  002.001.002  Vencimentos Servidores Contratados</v>
      </c>
      <c r="B2702" s="639">
        <v>54</v>
      </c>
      <c r="C2702" s="614"/>
      <c r="D2702" s="1369" t="s">
        <v>2395</v>
      </c>
      <c r="E2702" s="1369"/>
      <c r="F2702" s="614"/>
      <c r="G2702" s="1369" t="s">
        <v>5992</v>
      </c>
      <c r="H2702" s="1369"/>
      <c r="I2702" s="1369"/>
    </row>
    <row r="2703" spans="1:9" ht="20.100000000000001" customHeight="1" x14ac:dyDescent="0.2">
      <c r="A2703" s="681" t="str">
        <f t="shared" si="33"/>
        <v>55  002.001.003  Vencimentos  Sevidores C.C.</v>
      </c>
      <c r="B2703" s="639">
        <v>55</v>
      </c>
      <c r="C2703" s="614"/>
      <c r="D2703" s="1369" t="s">
        <v>2397</v>
      </c>
      <c r="E2703" s="1369"/>
      <c r="F2703" s="614"/>
      <c r="G2703" s="1369" t="s">
        <v>5999</v>
      </c>
      <c r="H2703" s="1369"/>
      <c r="I2703" s="1369"/>
    </row>
    <row r="2704" spans="1:9" ht="20.100000000000001" customHeight="1" x14ac:dyDescent="0.2">
      <c r="A2704" s="681" t="str">
        <f t="shared" si="33"/>
        <v>56  002.001.004  Subsídio Agente Politico</v>
      </c>
      <c r="B2704" s="639">
        <v>56</v>
      </c>
      <c r="C2704" s="614"/>
      <c r="D2704" s="1369" t="s">
        <v>2398</v>
      </c>
      <c r="E2704" s="1369"/>
      <c r="F2704" s="614"/>
      <c r="G2704" s="1369" t="s">
        <v>6034</v>
      </c>
      <c r="H2704" s="1369"/>
      <c r="I2704" s="1369"/>
    </row>
    <row r="2705" spans="1:9" ht="20.100000000000001" customHeight="1" x14ac:dyDescent="0.2">
      <c r="A2705" s="681" t="str">
        <f t="shared" si="33"/>
        <v>1383  002.001.005  Gratificacao Lei 463</v>
      </c>
      <c r="B2705" s="639">
        <v>1383</v>
      </c>
      <c r="C2705" s="614"/>
      <c r="D2705" s="1369" t="s">
        <v>2400</v>
      </c>
      <c r="E2705" s="1369"/>
      <c r="F2705" s="614"/>
      <c r="G2705" s="1369" t="s">
        <v>2401</v>
      </c>
      <c r="H2705" s="1369"/>
      <c r="I2705" s="1369"/>
    </row>
    <row r="2706" spans="1:9" ht="20.100000000000001" customHeight="1" x14ac:dyDescent="0.2">
      <c r="A2706" s="681" t="str">
        <f t="shared" si="33"/>
        <v>1724  002.001.006  Férias Servidores Contratados</v>
      </c>
      <c r="B2706" s="639">
        <v>1724</v>
      </c>
      <c r="C2706" s="614"/>
      <c r="D2706" s="1369" t="s">
        <v>6000</v>
      </c>
      <c r="E2706" s="1369"/>
      <c r="F2706" s="614"/>
      <c r="G2706" s="1369" t="s">
        <v>5969</v>
      </c>
      <c r="H2706" s="1369"/>
      <c r="I2706" s="1369"/>
    </row>
    <row r="2707" spans="1:9" ht="20.100000000000001" customHeight="1" x14ac:dyDescent="0.2">
      <c r="A2707" s="681" t="str">
        <f t="shared" si="33"/>
        <v>1725  002.001.007  Férias Servidores Efetivos</v>
      </c>
      <c r="B2707" s="639">
        <v>1725</v>
      </c>
      <c r="C2707" s="614"/>
      <c r="D2707" s="1369" t="s">
        <v>6001</v>
      </c>
      <c r="E2707" s="1369"/>
      <c r="F2707" s="614"/>
      <c r="G2707" s="1369" t="s">
        <v>2146</v>
      </c>
      <c r="H2707" s="1369"/>
      <c r="I2707" s="1369"/>
    </row>
    <row r="2708" spans="1:9" ht="20.100000000000001" customHeight="1" x14ac:dyDescent="0.2">
      <c r="A2708" s="681" t="str">
        <f t="shared" si="33"/>
        <v>1726  002.001.008  Férias Servidores C.C.</v>
      </c>
      <c r="B2708" s="639">
        <v>1726</v>
      </c>
      <c r="C2708" s="614"/>
      <c r="D2708" s="1369" t="s">
        <v>6002</v>
      </c>
      <c r="E2708" s="1369"/>
      <c r="F2708" s="614"/>
      <c r="G2708" s="1369" t="s">
        <v>5733</v>
      </c>
      <c r="H2708" s="1369"/>
      <c r="I2708" s="1369"/>
    </row>
    <row r="2709" spans="1:9" ht="20.100000000000001" customHeight="1" x14ac:dyDescent="0.2">
      <c r="A2709" s="681" t="str">
        <f t="shared" si="33"/>
        <v>1727  002.001.009  Férias Agente Político</v>
      </c>
      <c r="B2709" s="639">
        <v>1727</v>
      </c>
      <c r="C2709" s="614"/>
      <c r="D2709" s="1369" t="s">
        <v>6003</v>
      </c>
      <c r="E2709" s="1369"/>
      <c r="F2709" s="614"/>
      <c r="G2709" s="1369" t="s">
        <v>5930</v>
      </c>
      <c r="H2709" s="1369"/>
      <c r="I2709" s="1369"/>
    </row>
    <row r="2710" spans="1:9" ht="20.100000000000001" customHeight="1" x14ac:dyDescent="0.2">
      <c r="A2710" s="681" t="str">
        <f t="shared" si="33"/>
        <v>1728  002.001.010  13º Salário Servidores Contratados</v>
      </c>
      <c r="B2710" s="639">
        <v>1728</v>
      </c>
      <c r="C2710" s="614"/>
      <c r="D2710" s="1369" t="s">
        <v>6004</v>
      </c>
      <c r="E2710" s="1369"/>
      <c r="F2710" s="614"/>
      <c r="G2710" s="1369" t="s">
        <v>5974</v>
      </c>
      <c r="H2710" s="1369"/>
      <c r="I2710" s="1369"/>
    </row>
    <row r="2711" spans="1:9" ht="20.100000000000001" customHeight="1" x14ac:dyDescent="0.2">
      <c r="A2711" s="681" t="str">
        <f t="shared" si="33"/>
        <v>1729  002.001.011  13º Salário Servidores Efetivos</v>
      </c>
      <c r="B2711" s="639">
        <v>1729</v>
      </c>
      <c r="C2711" s="614"/>
      <c r="D2711" s="1369" t="s">
        <v>6005</v>
      </c>
      <c r="E2711" s="1369"/>
      <c r="F2711" s="614"/>
      <c r="G2711" s="1369" t="s">
        <v>5976</v>
      </c>
      <c r="H2711" s="1369"/>
      <c r="I2711" s="1369"/>
    </row>
    <row r="2712" spans="1:9" ht="20.100000000000001" customHeight="1" x14ac:dyDescent="0.2">
      <c r="A2712" s="681" t="str">
        <f t="shared" si="33"/>
        <v>1730  002.001.012  13º Salário Servidores C.C.</v>
      </c>
      <c r="B2712" s="639">
        <v>1730</v>
      </c>
      <c r="C2712" s="614"/>
      <c r="D2712" s="1369" t="s">
        <v>6006</v>
      </c>
      <c r="E2712" s="1369"/>
      <c r="F2712" s="614"/>
      <c r="G2712" s="1369" t="s">
        <v>5978</v>
      </c>
      <c r="H2712" s="1369"/>
      <c r="I2712" s="1369"/>
    </row>
    <row r="2713" spans="1:9" ht="20.100000000000001" customHeight="1" x14ac:dyDescent="0.2">
      <c r="A2713" s="681" t="str">
        <f t="shared" si="33"/>
        <v>1731  002.001.013  13º Salário Agente Político</v>
      </c>
      <c r="B2713" s="639">
        <v>1731</v>
      </c>
      <c r="C2713" s="614"/>
      <c r="D2713" s="1369" t="s">
        <v>6007</v>
      </c>
      <c r="E2713" s="1369"/>
      <c r="F2713" s="614"/>
      <c r="G2713" s="1369" t="s">
        <v>6008</v>
      </c>
      <c r="H2713" s="1369"/>
      <c r="I2713" s="1369"/>
    </row>
    <row r="2714" spans="1:9" ht="20.100000000000001" customHeight="1" x14ac:dyDescent="0.2">
      <c r="A2714" s="681" t="str">
        <f t="shared" si="33"/>
        <v>1732  002.001.014  Contribuição Patronal INSS: Serv. Contratados</v>
      </c>
      <c r="B2714" s="639">
        <v>1732</v>
      </c>
      <c r="C2714" s="614"/>
      <c r="D2714" s="1369" t="s">
        <v>6009</v>
      </c>
      <c r="E2714" s="1369"/>
      <c r="F2714" s="614"/>
      <c r="G2714" s="1369" t="s">
        <v>6010</v>
      </c>
      <c r="H2714" s="1369"/>
      <c r="I2714" s="1369"/>
    </row>
    <row r="2715" spans="1:9" ht="20.100000000000001" customHeight="1" x14ac:dyDescent="0.2">
      <c r="A2715" s="681" t="str">
        <f t="shared" si="33"/>
        <v>1733  002.001.015  Contribuição Patronal INSS: Serv. Efetivos</v>
      </c>
      <c r="B2715" s="639">
        <v>1733</v>
      </c>
      <c r="C2715" s="614"/>
      <c r="D2715" s="1369" t="s">
        <v>6011</v>
      </c>
      <c r="E2715" s="1369"/>
      <c r="F2715" s="614"/>
      <c r="G2715" s="1369" t="s">
        <v>6012</v>
      </c>
      <c r="H2715" s="1369"/>
      <c r="I2715" s="1369"/>
    </row>
    <row r="2716" spans="1:9" ht="20.100000000000001" customHeight="1" x14ac:dyDescent="0.2">
      <c r="A2716" s="681" t="str">
        <f t="shared" si="33"/>
        <v>1734  002.001.016  Contribuição Patronal INSS: Serv. C.C.</v>
      </c>
      <c r="B2716" s="639">
        <v>1734</v>
      </c>
      <c r="C2716" s="614"/>
      <c r="D2716" s="1369" t="s">
        <v>6013</v>
      </c>
      <c r="E2716" s="1369"/>
      <c r="F2716" s="614"/>
      <c r="G2716" s="1369" t="s">
        <v>6014</v>
      </c>
      <c r="H2716" s="1369"/>
      <c r="I2716" s="1369"/>
    </row>
    <row r="2717" spans="1:9" ht="20.100000000000001" customHeight="1" x14ac:dyDescent="0.2">
      <c r="A2717" s="681" t="str">
        <f t="shared" si="33"/>
        <v>1735  002.001.017  Contribuição Patronal INSS: Agente Político</v>
      </c>
      <c r="B2717" s="639">
        <v>1735</v>
      </c>
      <c r="C2717" s="614"/>
      <c r="D2717" s="1369" t="s">
        <v>6015</v>
      </c>
      <c r="E2717" s="1369"/>
      <c r="F2717" s="614"/>
      <c r="G2717" s="1369" t="s">
        <v>6016</v>
      </c>
      <c r="H2717" s="1369"/>
      <c r="I2717" s="1369"/>
    </row>
    <row r="2718" spans="1:9" ht="20.100000000000001" customHeight="1" x14ac:dyDescent="0.2">
      <c r="A2718" s="681" t="str">
        <f t="shared" si="33"/>
        <v>1736  002.001.018  Horas Extras: Serv. Contratados</v>
      </c>
      <c r="B2718" s="639">
        <v>1736</v>
      </c>
      <c r="C2718" s="614"/>
      <c r="D2718" s="1369" t="s">
        <v>6017</v>
      </c>
      <c r="E2718" s="1369"/>
      <c r="F2718" s="614"/>
      <c r="G2718" s="1369" t="s">
        <v>6018</v>
      </c>
      <c r="H2718" s="1369"/>
      <c r="I2718" s="1369"/>
    </row>
    <row r="2719" spans="1:9" ht="20.100000000000001" customHeight="1" x14ac:dyDescent="0.2">
      <c r="A2719" s="681" t="str">
        <f t="shared" si="33"/>
        <v>1737  002.001.019  Horas Extras: Serv. Efetivos</v>
      </c>
      <c r="B2719" s="639">
        <v>1737</v>
      </c>
      <c r="C2719" s="614"/>
      <c r="D2719" s="1369" t="s">
        <v>6019</v>
      </c>
      <c r="E2719" s="1369"/>
      <c r="F2719" s="614"/>
      <c r="G2719" s="1369" t="s">
        <v>6020</v>
      </c>
      <c r="H2719" s="1369"/>
      <c r="I2719" s="1369"/>
    </row>
    <row r="2720" spans="1:9" ht="20.100000000000001" customHeight="1" x14ac:dyDescent="0.2">
      <c r="A2720" s="681" t="str">
        <f t="shared" si="33"/>
        <v>1738  002.001.020  Função Gratificada</v>
      </c>
      <c r="B2720" s="639">
        <v>1738</v>
      </c>
      <c r="C2720" s="614"/>
      <c r="D2720" s="1369" t="s">
        <v>6021</v>
      </c>
      <c r="E2720" s="1369"/>
      <c r="F2720" s="614"/>
      <c r="G2720" s="1369" t="s">
        <v>2226</v>
      </c>
      <c r="H2720" s="1369"/>
      <c r="I2720" s="1369"/>
    </row>
    <row r="2721" spans="1:9" ht="20.100000000000001" customHeight="1" x14ac:dyDescent="0.2">
      <c r="A2721" s="681" t="str">
        <f t="shared" si="33"/>
        <v>1739  002.001.021  Anuênio</v>
      </c>
      <c r="B2721" s="639">
        <v>1739</v>
      </c>
      <c r="C2721" s="614"/>
      <c r="D2721" s="1369" t="s">
        <v>6022</v>
      </c>
      <c r="E2721" s="1369"/>
      <c r="F2721" s="614"/>
      <c r="G2721" s="1369" t="s">
        <v>5929</v>
      </c>
      <c r="H2721" s="1369"/>
      <c r="I2721" s="1369"/>
    </row>
    <row r="2722" spans="1:9" ht="20.100000000000001" customHeight="1" x14ac:dyDescent="0.2">
      <c r="A2722" s="681" t="str">
        <f t="shared" si="33"/>
        <v>1740  002.001.021  Adicional Noturno</v>
      </c>
      <c r="B2722" s="639">
        <v>1740</v>
      </c>
      <c r="C2722" s="614"/>
      <c r="D2722" s="1369" t="s">
        <v>6022</v>
      </c>
      <c r="E2722" s="1369"/>
      <c r="F2722" s="614"/>
      <c r="G2722" s="1369" t="s">
        <v>1008</v>
      </c>
      <c r="H2722" s="1369"/>
      <c r="I2722" s="1369"/>
    </row>
    <row r="2723" spans="1:9" s="605" customFormat="1" ht="20.100000000000001" customHeight="1" x14ac:dyDescent="0.2">
      <c r="A2723" s="683" t="str">
        <f t="shared" si="33"/>
        <v>57  002.002.000  CUSTO DE AQUISICAO DE EQUIPAMENTOS</v>
      </c>
      <c r="B2723" s="636">
        <v>57</v>
      </c>
      <c r="C2723" s="634"/>
      <c r="D2723" s="637" t="s">
        <v>2402</v>
      </c>
      <c r="E2723" s="610"/>
      <c r="F2723" s="634"/>
      <c r="G2723" s="697" t="s">
        <v>2403</v>
      </c>
    </row>
    <row r="2724" spans="1:9" ht="20.100000000000001" customHeight="1" x14ac:dyDescent="0.2">
      <c r="A2724" s="681" t="str">
        <f t="shared" si="33"/>
        <v>58  002.002.001  Informática</v>
      </c>
      <c r="B2724" s="636">
        <v>58</v>
      </c>
      <c r="C2724" s="614"/>
      <c r="D2724" s="638" t="s">
        <v>2404</v>
      </c>
      <c r="E2724" s="165"/>
      <c r="F2724" s="614"/>
      <c r="G2724" s="612" t="s">
        <v>2405</v>
      </c>
    </row>
    <row r="2725" spans="1:9" ht="20.100000000000001" customHeight="1" x14ac:dyDescent="0.2">
      <c r="A2725" s="681" t="str">
        <f t="shared" si="33"/>
        <v>59  002.002.002  Mobiliário</v>
      </c>
      <c r="B2725" s="636">
        <v>59</v>
      </c>
      <c r="C2725" s="614"/>
      <c r="D2725" s="638" t="s">
        <v>2406</v>
      </c>
      <c r="E2725" s="165"/>
      <c r="F2725" s="614"/>
      <c r="G2725" s="612" t="s">
        <v>2301</v>
      </c>
    </row>
    <row r="2726" spans="1:9" ht="20.100000000000001" customHeight="1" x14ac:dyDescent="0.2">
      <c r="A2726" s="681" t="str">
        <f t="shared" si="33"/>
        <v>60  002.002.003  Eletronicos em Geral</v>
      </c>
      <c r="B2726" s="636">
        <v>60</v>
      </c>
      <c r="C2726" s="614"/>
      <c r="D2726" s="638" t="s">
        <v>2407</v>
      </c>
      <c r="E2726" s="165"/>
      <c r="F2726" s="614"/>
      <c r="G2726" s="612" t="s">
        <v>2408</v>
      </c>
    </row>
    <row r="2727" spans="1:9" ht="20.100000000000001" customHeight="1" x14ac:dyDescent="0.2">
      <c r="A2727" s="681" t="str">
        <f t="shared" si="33"/>
        <v>61  002.002.004  Eletrodomesticos</v>
      </c>
      <c r="B2727" s="636">
        <v>61</v>
      </c>
      <c r="C2727" s="614"/>
      <c r="D2727" s="638" t="s">
        <v>2409</v>
      </c>
      <c r="E2727" s="165"/>
      <c r="F2727" s="614"/>
      <c r="G2727" s="612" t="s">
        <v>2315</v>
      </c>
    </row>
    <row r="2728" spans="1:9" ht="20.100000000000001" customHeight="1" x14ac:dyDescent="0.2">
      <c r="A2728" s="681" t="str">
        <f t="shared" si="33"/>
        <v>62  002.002.005  Ar Condicionado</v>
      </c>
      <c r="B2728" s="636">
        <v>62</v>
      </c>
      <c r="C2728" s="614"/>
      <c r="D2728" s="638" t="s">
        <v>2410</v>
      </c>
      <c r="E2728" s="165"/>
      <c r="F2728" s="614"/>
      <c r="G2728" s="612" t="s">
        <v>2317</v>
      </c>
    </row>
    <row r="2729" spans="1:9" ht="20.100000000000001" customHeight="1" x14ac:dyDescent="0.2">
      <c r="A2729" s="681" t="str">
        <f t="shared" si="33"/>
        <v>136  002.002.006  Equipamentos de Comunicação</v>
      </c>
      <c r="B2729" s="636">
        <v>136</v>
      </c>
      <c r="C2729" s="614"/>
      <c r="D2729" s="638" t="s">
        <v>2411</v>
      </c>
      <c r="E2729" s="165"/>
      <c r="F2729" s="614"/>
      <c r="G2729" s="612" t="s">
        <v>2412</v>
      </c>
    </row>
    <row r="2730" spans="1:9" ht="20.100000000000001" customHeight="1" x14ac:dyDescent="0.2">
      <c r="A2730" s="681" t="str">
        <f>CONCATENATE(B2730,"  ",D2730,"  ",G2730)</f>
        <v>1812  002.002.007  Equip. e Utensilios Domesticos</v>
      </c>
      <c r="B2730" s="636">
        <v>1812</v>
      </c>
      <c r="C2730" s="614"/>
      <c r="D2730" s="638" t="s">
        <v>5956</v>
      </c>
      <c r="E2730" s="698"/>
      <c r="F2730" s="699"/>
      <c r="G2730" s="665" t="s">
        <v>2192</v>
      </c>
      <c r="H2730" s="700"/>
      <c r="I2730" s="700"/>
    </row>
    <row r="2731" spans="1:9" s="605" customFormat="1" ht="20.100000000000001" customHeight="1" x14ac:dyDescent="0.2">
      <c r="A2731" s="683" t="str">
        <f t="shared" ref="A2731:A2817" si="34">CONCATENATE(B2731,"  ",D2731,"  ",G2731)</f>
        <v>63  002.003.000  CUSTO DE AQUISIÇÃO DE VEÍCULOS</v>
      </c>
      <c r="B2731" s="636">
        <v>63</v>
      </c>
      <c r="C2731" s="634"/>
      <c r="D2731" s="637" t="s">
        <v>2413</v>
      </c>
      <c r="E2731" s="610"/>
      <c r="F2731" s="634"/>
      <c r="G2731" s="697" t="s">
        <v>2414</v>
      </c>
    </row>
    <row r="2732" spans="1:9" ht="20.100000000000001" customHeight="1" x14ac:dyDescent="0.2">
      <c r="A2732" s="681" t="str">
        <f t="shared" si="34"/>
        <v>64  002.003.001  Veículos</v>
      </c>
      <c r="B2732" s="636">
        <v>64</v>
      </c>
      <c r="C2732" s="614"/>
      <c r="D2732" s="638" t="s">
        <v>2415</v>
      </c>
      <c r="E2732" s="165"/>
      <c r="F2732" s="614"/>
      <c r="G2732" s="612" t="s">
        <v>2416</v>
      </c>
    </row>
    <row r="2733" spans="1:9" s="605" customFormat="1" ht="20.100000000000001" customHeight="1" x14ac:dyDescent="0.2">
      <c r="A2733" s="683" t="str">
        <f t="shared" si="34"/>
        <v>65  002.004.000  CUSTEIO OPERACIONAL</v>
      </c>
      <c r="B2733" s="636">
        <v>65</v>
      </c>
      <c r="C2733" s="634"/>
      <c r="D2733" s="637" t="s">
        <v>2417</v>
      </c>
      <c r="E2733" s="610"/>
      <c r="F2733" s="634"/>
      <c r="G2733" s="697" t="s">
        <v>2331</v>
      </c>
    </row>
    <row r="2734" spans="1:9" ht="20.100000000000001" customHeight="1" x14ac:dyDescent="0.2">
      <c r="A2734" s="681" t="str">
        <f t="shared" si="34"/>
        <v>66  002.004.001  Diárias Servidores Efetivos</v>
      </c>
      <c r="B2734" s="636">
        <v>66</v>
      </c>
      <c r="C2734" s="614"/>
      <c r="D2734" s="638" t="s">
        <v>2418</v>
      </c>
      <c r="E2734" s="165"/>
      <c r="F2734" s="614"/>
      <c r="G2734" s="612" t="s">
        <v>2419</v>
      </c>
    </row>
    <row r="2735" spans="1:9" ht="20.100000000000001" customHeight="1" x14ac:dyDescent="0.2">
      <c r="A2735" s="681" t="str">
        <f t="shared" si="34"/>
        <v>67  002.004.002  Diárias Servidores Contratados</v>
      </c>
      <c r="B2735" s="636">
        <v>67</v>
      </c>
      <c r="C2735" s="614"/>
      <c r="D2735" s="638" t="s">
        <v>2420</v>
      </c>
      <c r="E2735" s="165"/>
      <c r="F2735" s="614"/>
      <c r="G2735" s="612" t="s">
        <v>2334</v>
      </c>
    </row>
    <row r="2736" spans="1:9" ht="20.100000000000001" customHeight="1" x14ac:dyDescent="0.2">
      <c r="A2736" s="681" t="str">
        <f t="shared" si="34"/>
        <v>68  002.004.003  Diárias Servidores C.C.</v>
      </c>
      <c r="B2736" s="636">
        <v>68</v>
      </c>
      <c r="C2736" s="614"/>
      <c r="D2736" s="638" t="s">
        <v>2421</v>
      </c>
      <c r="E2736" s="165"/>
      <c r="F2736" s="614"/>
      <c r="G2736" s="612" t="s">
        <v>2336</v>
      </c>
    </row>
    <row r="2737" spans="1:7" ht="20.100000000000001" customHeight="1" x14ac:dyDescent="0.2">
      <c r="A2737" s="681" t="str">
        <f t="shared" si="34"/>
        <v>69  002.004.004  Diárias Prefeito</v>
      </c>
      <c r="B2737" s="636">
        <v>69</v>
      </c>
      <c r="C2737" s="614"/>
      <c r="D2737" s="638" t="s">
        <v>2422</v>
      </c>
      <c r="E2737" s="165"/>
      <c r="F2737" s="614"/>
      <c r="G2737" s="612" t="s">
        <v>2423</v>
      </c>
    </row>
    <row r="2738" spans="1:7" ht="20.100000000000001" customHeight="1" x14ac:dyDescent="0.2">
      <c r="A2738" s="681" t="str">
        <f t="shared" si="34"/>
        <v>70  002.004.005  Diárias Vice Prefeito</v>
      </c>
      <c r="B2738" s="636">
        <v>70</v>
      </c>
      <c r="C2738" s="614"/>
      <c r="D2738" s="638" t="s">
        <v>2424</v>
      </c>
      <c r="E2738" s="165"/>
      <c r="F2738" s="614"/>
      <c r="G2738" s="612" t="s">
        <v>2425</v>
      </c>
    </row>
    <row r="2739" spans="1:7" ht="20.100000000000001" customHeight="1" x14ac:dyDescent="0.2">
      <c r="A2739" s="681" t="str">
        <f t="shared" si="34"/>
        <v>71  002.004.006  Generos alimenticios</v>
      </c>
      <c r="B2739" s="636">
        <v>71</v>
      </c>
      <c r="C2739" s="614"/>
      <c r="D2739" s="638" t="s">
        <v>2426</v>
      </c>
      <c r="E2739" s="165"/>
      <c r="F2739" s="614"/>
      <c r="G2739" s="612" t="s">
        <v>2427</v>
      </c>
    </row>
    <row r="2740" spans="1:7" ht="20.100000000000001" customHeight="1" x14ac:dyDescent="0.2">
      <c r="A2740" s="681" t="str">
        <f t="shared" si="34"/>
        <v>72  002.004.007  Gas de Cozinha</v>
      </c>
      <c r="B2740" s="636">
        <v>72</v>
      </c>
      <c r="C2740" s="614"/>
      <c r="D2740" s="638" t="s">
        <v>2428</v>
      </c>
      <c r="E2740" s="165"/>
      <c r="F2740" s="614"/>
      <c r="G2740" s="612" t="s">
        <v>2342</v>
      </c>
    </row>
    <row r="2741" spans="1:7" ht="20.100000000000001" customHeight="1" x14ac:dyDescent="0.2">
      <c r="A2741" s="681" t="str">
        <f t="shared" si="34"/>
        <v>73  002.004.008  Material de Copa e Cozinha</v>
      </c>
      <c r="B2741" s="636">
        <v>73</v>
      </c>
      <c r="C2741" s="614"/>
      <c r="D2741" s="638" t="s">
        <v>2429</v>
      </c>
      <c r="E2741" s="165"/>
      <c r="F2741" s="614"/>
      <c r="G2741" s="612" t="s">
        <v>2430</v>
      </c>
    </row>
    <row r="2742" spans="1:7" ht="20.100000000000001" customHeight="1" x14ac:dyDescent="0.2">
      <c r="A2742" s="681" t="str">
        <f t="shared" si="34"/>
        <v>74  002.004.009  Material de Limpeza</v>
      </c>
      <c r="B2742" s="636">
        <v>74</v>
      </c>
      <c r="C2742" s="614"/>
      <c r="D2742" s="638" t="s">
        <v>2431</v>
      </c>
      <c r="E2742" s="165"/>
      <c r="F2742" s="614"/>
      <c r="G2742" s="612" t="s">
        <v>2348</v>
      </c>
    </row>
    <row r="2743" spans="1:7" ht="20.100000000000001" customHeight="1" x14ac:dyDescent="0.2">
      <c r="A2743" s="681" t="str">
        <f t="shared" si="34"/>
        <v>75  002.004.010  Material Expediente</v>
      </c>
      <c r="B2743" s="636">
        <v>75</v>
      </c>
      <c r="C2743" s="614"/>
      <c r="D2743" s="638" t="s">
        <v>2432</v>
      </c>
      <c r="E2743" s="165"/>
      <c r="F2743" s="614"/>
      <c r="G2743" s="612" t="s">
        <v>2433</v>
      </c>
    </row>
    <row r="2744" spans="1:7" ht="20.100000000000001" customHeight="1" x14ac:dyDescent="0.2">
      <c r="A2744" s="681" t="str">
        <f t="shared" si="34"/>
        <v>76  002.004.011  Suprimentos de Informática</v>
      </c>
      <c r="B2744" s="636">
        <v>76</v>
      </c>
      <c r="C2744" s="614"/>
      <c r="D2744" s="638" t="s">
        <v>2434</v>
      </c>
      <c r="E2744" s="165"/>
      <c r="F2744" s="614"/>
      <c r="G2744" s="612" t="s">
        <v>2435</v>
      </c>
    </row>
    <row r="2745" spans="1:7" ht="20.100000000000001" customHeight="1" x14ac:dyDescent="0.2">
      <c r="A2745" s="681" t="str">
        <f t="shared" si="34"/>
        <v>77  002.004.012  Manutenção de Bens Imóveis</v>
      </c>
      <c r="B2745" s="636">
        <v>77</v>
      </c>
      <c r="C2745" s="614"/>
      <c r="D2745" s="638" t="s">
        <v>2436</v>
      </c>
      <c r="E2745" s="165"/>
      <c r="F2745" s="614"/>
      <c r="G2745" s="612" t="s">
        <v>2437</v>
      </c>
    </row>
    <row r="2746" spans="1:7" ht="20.100000000000001" customHeight="1" x14ac:dyDescent="0.2">
      <c r="A2746" s="681" t="str">
        <f t="shared" si="34"/>
        <v>78  002.004.013  Manutenção de Eq. Informática</v>
      </c>
      <c r="B2746" s="636">
        <v>78</v>
      </c>
      <c r="C2746" s="614"/>
      <c r="D2746" s="638" t="s">
        <v>2438</v>
      </c>
      <c r="E2746" s="165"/>
      <c r="F2746" s="614"/>
      <c r="G2746" s="612" t="s">
        <v>2439</v>
      </c>
    </row>
    <row r="2747" spans="1:7" ht="20.100000000000001" customHeight="1" x14ac:dyDescent="0.2">
      <c r="A2747" s="681" t="str">
        <f t="shared" si="34"/>
        <v>79  002.004.014  Manutenção de Mobiliário</v>
      </c>
      <c r="B2747" s="636">
        <v>79</v>
      </c>
      <c r="C2747" s="614"/>
      <c r="D2747" s="638" t="s">
        <v>2440</v>
      </c>
      <c r="E2747" s="165"/>
      <c r="F2747" s="614"/>
      <c r="G2747" s="612" t="s">
        <v>2352</v>
      </c>
    </row>
    <row r="2748" spans="1:7" ht="20.100000000000001" customHeight="1" x14ac:dyDescent="0.2">
      <c r="A2748" s="681" t="str">
        <f t="shared" si="34"/>
        <v>80  002.004.015  Manutenção de Eletrodomésticos</v>
      </c>
      <c r="B2748" s="636">
        <v>80</v>
      </c>
      <c r="C2748" s="614"/>
      <c r="D2748" s="638" t="s">
        <v>2441</v>
      </c>
      <c r="E2748" s="165"/>
      <c r="F2748" s="614"/>
      <c r="G2748" s="612" t="s">
        <v>2356</v>
      </c>
    </row>
    <row r="2749" spans="1:7" ht="20.100000000000001" customHeight="1" x14ac:dyDescent="0.2">
      <c r="A2749" s="681" t="str">
        <f t="shared" si="34"/>
        <v>81  002.004.016  Manutenção de Eq. Comunicação</v>
      </c>
      <c r="B2749" s="636">
        <v>81</v>
      </c>
      <c r="C2749" s="614"/>
      <c r="D2749" s="638" t="s">
        <v>2442</v>
      </c>
      <c r="E2749" s="165"/>
      <c r="F2749" s="614"/>
      <c r="G2749" s="612" t="s">
        <v>2443</v>
      </c>
    </row>
    <row r="2750" spans="1:7" ht="20.100000000000001" customHeight="1" x14ac:dyDescent="0.2">
      <c r="A2750" s="681" t="str">
        <f t="shared" si="34"/>
        <v>82  002.004.017  Manutenção de Eq. Eletrônicos</v>
      </c>
      <c r="B2750" s="636">
        <v>82</v>
      </c>
      <c r="C2750" s="614"/>
      <c r="D2750" s="638" t="s">
        <v>2444</v>
      </c>
      <c r="E2750" s="165"/>
      <c r="F2750" s="614"/>
      <c r="G2750" s="612" t="s">
        <v>2362</v>
      </c>
    </row>
    <row r="2751" spans="1:7" ht="20.100000000000001" customHeight="1" x14ac:dyDescent="0.2">
      <c r="A2751" s="681" t="str">
        <f t="shared" si="34"/>
        <v>83  002.004.018  Manutenção de Ar Condicionado</v>
      </c>
      <c r="B2751" s="636">
        <v>83</v>
      </c>
      <c r="C2751" s="614"/>
      <c r="D2751" s="638" t="s">
        <v>2445</v>
      </c>
      <c r="E2751" s="165"/>
      <c r="F2751" s="614"/>
      <c r="G2751" s="612" t="s">
        <v>2358</v>
      </c>
    </row>
    <row r="2752" spans="1:7" ht="20.100000000000001" customHeight="1" x14ac:dyDescent="0.2">
      <c r="A2752" s="681" t="str">
        <f t="shared" si="34"/>
        <v>84  002.004.019  Telefone Fixo</v>
      </c>
      <c r="B2752" s="636">
        <v>84</v>
      </c>
      <c r="C2752" s="614"/>
      <c r="D2752" s="638" t="s">
        <v>2446</v>
      </c>
      <c r="E2752" s="165"/>
      <c r="F2752" s="614"/>
      <c r="G2752" s="612" t="s">
        <v>1041</v>
      </c>
    </row>
    <row r="2753" spans="1:7" ht="20.100000000000001" customHeight="1" x14ac:dyDescent="0.2">
      <c r="A2753" s="681" t="str">
        <f t="shared" si="34"/>
        <v>85  002.004.020  Telefone Celular</v>
      </c>
      <c r="B2753" s="636">
        <v>85</v>
      </c>
      <c r="C2753" s="614"/>
      <c r="D2753" s="638" t="s">
        <v>2447</v>
      </c>
      <c r="E2753" s="165"/>
      <c r="F2753" s="614"/>
      <c r="G2753" s="612" t="s">
        <v>1150</v>
      </c>
    </row>
    <row r="2754" spans="1:7" ht="20.100000000000001" customHeight="1" x14ac:dyDescent="0.2">
      <c r="A2754" s="681" t="str">
        <f t="shared" si="34"/>
        <v>86  002.004.021  Estagiários</v>
      </c>
      <c r="B2754" s="636">
        <v>86</v>
      </c>
      <c r="C2754" s="614"/>
      <c r="D2754" s="638" t="s">
        <v>2448</v>
      </c>
      <c r="E2754" s="165"/>
      <c r="F2754" s="614"/>
      <c r="G2754" s="612" t="s">
        <v>2449</v>
      </c>
    </row>
    <row r="2755" spans="1:7" ht="20.100000000000001" customHeight="1" x14ac:dyDescent="0.2">
      <c r="A2755" s="681" t="str">
        <f t="shared" si="34"/>
        <v>87  002.004.022  Seleção e Treinamento</v>
      </c>
      <c r="B2755" s="636">
        <v>87</v>
      </c>
      <c r="C2755" s="614"/>
      <c r="D2755" s="638" t="s">
        <v>2450</v>
      </c>
      <c r="E2755" s="165"/>
      <c r="F2755" s="614"/>
      <c r="G2755" s="612" t="s">
        <v>2369</v>
      </c>
    </row>
    <row r="2756" spans="1:7" ht="20.100000000000001" customHeight="1" x14ac:dyDescent="0.2">
      <c r="A2756" s="681" t="str">
        <f t="shared" si="34"/>
        <v>88  002.004.023  Mensalidade FAMURS</v>
      </c>
      <c r="B2756" s="636">
        <v>88</v>
      </c>
      <c r="C2756" s="614"/>
      <c r="D2756" s="638" t="s">
        <v>2451</v>
      </c>
      <c r="E2756" s="165"/>
      <c r="F2756" s="614"/>
      <c r="G2756" s="612" t="s">
        <v>2452</v>
      </c>
    </row>
    <row r="2757" spans="1:7" ht="20.100000000000001" customHeight="1" x14ac:dyDescent="0.2">
      <c r="A2757" s="681" t="str">
        <f t="shared" si="34"/>
        <v>89  002.004.024  Mensalidade CNM</v>
      </c>
      <c r="B2757" s="636">
        <v>89</v>
      </c>
      <c r="C2757" s="614"/>
      <c r="D2757" s="638" t="s">
        <v>2453</v>
      </c>
      <c r="E2757" s="165"/>
      <c r="F2757" s="614"/>
      <c r="G2757" s="612" t="s">
        <v>2454</v>
      </c>
    </row>
    <row r="2758" spans="1:7" ht="20.100000000000001" customHeight="1" x14ac:dyDescent="0.2">
      <c r="A2758" s="681" t="str">
        <f t="shared" si="34"/>
        <v>90  002.004.025  Mensalidade AMZCS</v>
      </c>
      <c r="B2758" s="636">
        <v>90</v>
      </c>
      <c r="C2758" s="614"/>
      <c r="D2758" s="638" t="s">
        <v>2455</v>
      </c>
      <c r="E2758" s="165"/>
      <c r="F2758" s="614"/>
      <c r="G2758" s="612" t="s">
        <v>2456</v>
      </c>
    </row>
    <row r="2759" spans="1:7" ht="20.100000000000001" customHeight="1" x14ac:dyDescent="0.2">
      <c r="A2759" s="681" t="str">
        <f t="shared" si="34"/>
        <v>91  002.004.026  Servicos Técnicos Profissionais</v>
      </c>
      <c r="B2759" s="636">
        <v>91</v>
      </c>
      <c r="C2759" s="614"/>
      <c r="D2759" s="638" t="s">
        <v>2457</v>
      </c>
      <c r="E2759" s="165"/>
      <c r="F2759" s="614"/>
      <c r="G2759" s="612" t="s">
        <v>2458</v>
      </c>
    </row>
    <row r="2760" spans="1:7" ht="20.100000000000001" customHeight="1" x14ac:dyDescent="0.2">
      <c r="A2760" s="681" t="str">
        <f t="shared" si="34"/>
        <v>92  002.004.027  Servicos de Tecnologia da Informação</v>
      </c>
      <c r="B2760" s="636">
        <v>92</v>
      </c>
      <c r="C2760" s="614"/>
      <c r="D2760" s="638" t="s">
        <v>2459</v>
      </c>
      <c r="E2760" s="165"/>
      <c r="F2760" s="614"/>
      <c r="G2760" s="612" t="s">
        <v>2376</v>
      </c>
    </row>
    <row r="2761" spans="1:7" ht="20.100000000000001" customHeight="1" x14ac:dyDescent="0.2">
      <c r="A2761" s="681" t="str">
        <f t="shared" si="34"/>
        <v>93  002.004.028  Geral</v>
      </c>
      <c r="B2761" s="636">
        <v>93</v>
      </c>
      <c r="C2761" s="614"/>
      <c r="D2761" s="638" t="s">
        <v>2460</v>
      </c>
      <c r="E2761" s="165"/>
      <c r="F2761" s="614"/>
      <c r="G2761" s="612" t="s">
        <v>2380</v>
      </c>
    </row>
    <row r="2762" spans="1:7" ht="20.100000000000001" customHeight="1" x14ac:dyDescent="0.2">
      <c r="A2762" s="681" t="str">
        <f t="shared" si="34"/>
        <v>102  002.004.029  Auxilio Transporte</v>
      </c>
      <c r="B2762" s="636">
        <v>102</v>
      </c>
      <c r="C2762" s="614"/>
      <c r="D2762" s="638" t="s">
        <v>2461</v>
      </c>
      <c r="E2762" s="165"/>
      <c r="F2762" s="614"/>
      <c r="G2762" s="612" t="s">
        <v>2462</v>
      </c>
    </row>
    <row r="2763" spans="1:7" ht="20.100000000000001" customHeight="1" x14ac:dyDescent="0.2">
      <c r="A2763" s="681" t="str">
        <f t="shared" si="34"/>
        <v>103  002.004.030  Subvençoes Sociais - Corede</v>
      </c>
      <c r="B2763" s="636">
        <v>103</v>
      </c>
      <c r="C2763" s="614"/>
      <c r="D2763" s="638" t="s">
        <v>2463</v>
      </c>
      <c r="E2763" s="165"/>
      <c r="F2763" s="614"/>
      <c r="G2763" s="612" t="s">
        <v>6081</v>
      </c>
    </row>
    <row r="2764" spans="1:7" ht="20.100000000000001" customHeight="1" x14ac:dyDescent="0.2">
      <c r="A2764" s="681" t="str">
        <f t="shared" ref="A2764:A2772" si="35">CONCATENATE(B2764,"  ",D2764,"  ",G2764)</f>
        <v>1741  002.004.031  Subvençoes Sociais - Consepro</v>
      </c>
      <c r="B2764" s="636">
        <v>1741</v>
      </c>
      <c r="C2764" s="614"/>
      <c r="D2764" s="638" t="s">
        <v>6082</v>
      </c>
      <c r="E2764" s="165"/>
      <c r="F2764" s="614"/>
      <c r="G2764" s="612" t="s">
        <v>6083</v>
      </c>
    </row>
    <row r="2765" spans="1:7" ht="20.100000000000001" customHeight="1" x14ac:dyDescent="0.2">
      <c r="A2765" s="681" t="str">
        <f t="shared" si="35"/>
        <v>1742  002.004.032  Material Elétrico</v>
      </c>
      <c r="B2765" s="636">
        <v>1742</v>
      </c>
      <c r="C2765" s="614"/>
      <c r="D2765" s="638" t="s">
        <v>6102</v>
      </c>
      <c r="E2765" s="165"/>
      <c r="F2765" s="614"/>
      <c r="G2765" s="612" t="s">
        <v>4200</v>
      </c>
    </row>
    <row r="2766" spans="1:7" ht="20.100000000000001" customHeight="1" x14ac:dyDescent="0.2">
      <c r="A2766" s="681" t="str">
        <f t="shared" si="35"/>
        <v>1743  002.004.033  Materiais de Segurança e Prevenção de Incêndio</v>
      </c>
      <c r="B2766" s="636">
        <v>1743</v>
      </c>
      <c r="C2766" s="614"/>
      <c r="D2766" s="638" t="s">
        <v>6108</v>
      </c>
      <c r="E2766" s="165"/>
      <c r="F2766" s="614"/>
      <c r="G2766" s="612" t="s">
        <v>6103</v>
      </c>
    </row>
    <row r="2767" spans="1:7" ht="20.100000000000001" customHeight="1" x14ac:dyDescent="0.2">
      <c r="A2767" s="681" t="str">
        <f t="shared" si="35"/>
        <v>1744  002.004.034  Materiais Diversos</v>
      </c>
      <c r="B2767" s="636">
        <v>1744</v>
      </c>
      <c r="C2767" s="614"/>
      <c r="D2767" s="638" t="s">
        <v>6109</v>
      </c>
      <c r="E2767" s="165"/>
      <c r="F2767" s="614"/>
      <c r="G2767" s="612" t="s">
        <v>1018</v>
      </c>
    </row>
    <row r="2768" spans="1:7" ht="20.100000000000001" customHeight="1" x14ac:dyDescent="0.2">
      <c r="A2768" s="681" t="str">
        <f t="shared" si="35"/>
        <v>1745  002.004.035  Material de Divulgação</v>
      </c>
      <c r="B2768" s="636">
        <v>1745</v>
      </c>
      <c r="C2768" s="614"/>
      <c r="D2768" s="638" t="s">
        <v>6110</v>
      </c>
      <c r="E2768" s="165"/>
      <c r="F2768" s="614"/>
      <c r="G2768" s="612" t="s">
        <v>6107</v>
      </c>
    </row>
    <row r="2769" spans="1:7" ht="20.100000000000001" customHeight="1" x14ac:dyDescent="0.2">
      <c r="A2769" s="681" t="str">
        <f t="shared" si="35"/>
        <v>1746  002.004.036  Despesas C/Locomoção Serv. Efetivos</v>
      </c>
      <c r="B2769" s="636">
        <v>1746</v>
      </c>
      <c r="C2769" s="614"/>
      <c r="D2769" s="638" t="s">
        <v>6113</v>
      </c>
      <c r="E2769" s="165"/>
      <c r="F2769" s="614"/>
      <c r="G2769" s="612" t="s">
        <v>6117</v>
      </c>
    </row>
    <row r="2770" spans="1:7" ht="20.100000000000001" customHeight="1" x14ac:dyDescent="0.2">
      <c r="A2770" s="681" t="str">
        <f t="shared" si="35"/>
        <v>1747  002.004.037  Despesas C/Locomoção Serv. Contratados</v>
      </c>
      <c r="B2770" s="636">
        <v>1747</v>
      </c>
      <c r="C2770" s="614"/>
      <c r="D2770" s="638" t="s">
        <v>6114</v>
      </c>
      <c r="E2770" s="165"/>
      <c r="F2770" s="614"/>
      <c r="G2770" s="612" t="s">
        <v>6118</v>
      </c>
    </row>
    <row r="2771" spans="1:7" ht="20.100000000000001" customHeight="1" x14ac:dyDescent="0.2">
      <c r="A2771" s="681" t="str">
        <f t="shared" si="35"/>
        <v>1748  002.004.038  Despesas C/Locomoção Serv. C.C.</v>
      </c>
      <c r="B2771" s="636">
        <v>1748</v>
      </c>
      <c r="C2771" s="614"/>
      <c r="D2771" s="638" t="s">
        <v>6115</v>
      </c>
      <c r="E2771" s="165"/>
      <c r="F2771" s="614"/>
      <c r="G2771" s="612" t="s">
        <v>6119</v>
      </c>
    </row>
    <row r="2772" spans="1:7" ht="20.100000000000001" customHeight="1" x14ac:dyDescent="0.2">
      <c r="A2772" s="681" t="str">
        <f t="shared" si="35"/>
        <v>1749  002.004.039  Despesas C/Locomoção  Agente Político</v>
      </c>
      <c r="B2772" s="636">
        <v>1749</v>
      </c>
      <c r="C2772" s="614"/>
      <c r="D2772" s="638" t="s">
        <v>6116</v>
      </c>
      <c r="E2772" s="165"/>
      <c r="F2772" s="614"/>
      <c r="G2772" s="612" t="s">
        <v>6120</v>
      </c>
    </row>
    <row r="2773" spans="1:7" ht="20.100000000000001" customHeight="1" x14ac:dyDescent="0.2">
      <c r="A2773" s="681" t="str">
        <f t="shared" ref="A2773:A2786" si="36">CONCATENATE(B2773,"  ",D2773,"  ",G2773)</f>
        <v>1750  002.004.040  Assessoria e Consultoria</v>
      </c>
      <c r="B2773" s="636">
        <v>1750</v>
      </c>
      <c r="C2773" s="614"/>
      <c r="D2773" s="638" t="s">
        <v>6124</v>
      </c>
      <c r="E2773" s="165"/>
      <c r="F2773" s="614"/>
      <c r="G2773" s="612" t="s">
        <v>6125</v>
      </c>
    </row>
    <row r="2774" spans="1:7" ht="20.100000000000001" customHeight="1" x14ac:dyDescent="0.2">
      <c r="A2774" s="681" t="str">
        <f t="shared" si="36"/>
        <v>1751  002.004.041  Serviços Diversos</v>
      </c>
      <c r="B2774" s="636">
        <v>1751</v>
      </c>
      <c r="C2774" s="614"/>
      <c r="D2774" s="638" t="s">
        <v>6128</v>
      </c>
      <c r="E2774" s="165"/>
      <c r="F2774" s="614"/>
      <c r="G2774" s="612" t="s">
        <v>5812</v>
      </c>
    </row>
    <row r="2775" spans="1:7" ht="20.100000000000001" customHeight="1" x14ac:dyDescent="0.2">
      <c r="A2775" s="681" t="str">
        <f t="shared" si="36"/>
        <v>1752  002.004.042  Prestação de Serviços Autonômos</v>
      </c>
      <c r="B2775" s="636">
        <v>1752</v>
      </c>
      <c r="C2775" s="614"/>
      <c r="D2775" s="638" t="s">
        <v>6129</v>
      </c>
      <c r="E2775" s="165"/>
      <c r="F2775" s="614"/>
      <c r="G2775" s="612" t="s">
        <v>6130</v>
      </c>
    </row>
    <row r="2776" spans="1:7" ht="20.100000000000001" customHeight="1" x14ac:dyDescent="0.2">
      <c r="A2776" s="681" t="str">
        <f t="shared" si="36"/>
        <v>1753  002.004.043  Assinaturas Jornais e Periodicos</v>
      </c>
      <c r="B2776" s="636">
        <v>1753</v>
      </c>
      <c r="C2776" s="614"/>
      <c r="D2776" s="638" t="s">
        <v>6132</v>
      </c>
      <c r="E2776" s="165"/>
      <c r="F2776" s="614"/>
      <c r="G2776" s="612" t="s">
        <v>2269</v>
      </c>
    </row>
    <row r="2777" spans="1:7" ht="20.100000000000001" customHeight="1" x14ac:dyDescent="0.2">
      <c r="A2777" s="681" t="str">
        <f t="shared" si="36"/>
        <v>1754  002.004.044  Serviços Gráficos</v>
      </c>
      <c r="B2777" s="636">
        <v>1754</v>
      </c>
      <c r="C2777" s="614"/>
      <c r="D2777" s="638" t="s">
        <v>6138</v>
      </c>
      <c r="E2777" s="165"/>
      <c r="F2777" s="614"/>
      <c r="G2777" s="612" t="s">
        <v>5801</v>
      </c>
    </row>
    <row r="2778" spans="1:7" ht="20.100000000000001" customHeight="1" x14ac:dyDescent="0.2">
      <c r="A2778" s="681" t="str">
        <f t="shared" si="36"/>
        <v>1755  002.004.045  Servicos De Publicidade Legal</v>
      </c>
      <c r="B2778" s="636">
        <v>1755</v>
      </c>
      <c r="C2778" s="614"/>
      <c r="D2778" s="638" t="s">
        <v>6141</v>
      </c>
      <c r="E2778" s="165"/>
      <c r="F2778" s="614"/>
      <c r="G2778" s="612" t="s">
        <v>1098</v>
      </c>
    </row>
    <row r="2779" spans="1:7" ht="20.100000000000001" customHeight="1" x14ac:dyDescent="0.2">
      <c r="A2779" s="681" t="str">
        <f t="shared" si="36"/>
        <v>1756  002.004.046  Servicos De Publicidade Institucional</v>
      </c>
      <c r="B2779" s="636">
        <v>1756</v>
      </c>
      <c r="C2779" s="614"/>
      <c r="D2779" s="638" t="s">
        <v>6142</v>
      </c>
      <c r="E2779" s="165"/>
      <c r="F2779" s="614"/>
      <c r="G2779" s="612" t="s">
        <v>1097</v>
      </c>
    </row>
    <row r="2780" spans="1:7" ht="20.100000000000001" customHeight="1" x14ac:dyDescent="0.2">
      <c r="A2780" s="681" t="str">
        <f t="shared" si="36"/>
        <v>1757  002.004.047  Servicos De Publicidade Util. Publica</v>
      </c>
      <c r="B2780" s="636">
        <v>1757</v>
      </c>
      <c r="C2780" s="614"/>
      <c r="D2780" s="638" t="s">
        <v>6143</v>
      </c>
      <c r="E2780" s="165"/>
      <c r="F2780" s="614"/>
      <c r="G2780" s="612" t="s">
        <v>2189</v>
      </c>
    </row>
    <row r="2781" spans="1:7" ht="20.100000000000001" customHeight="1" x14ac:dyDescent="0.2">
      <c r="A2781" s="681" t="str">
        <f t="shared" si="36"/>
        <v>1758  002.004.048  Ressarcimentos Diversos</v>
      </c>
      <c r="B2781" s="636">
        <v>1758</v>
      </c>
      <c r="C2781" s="614"/>
      <c r="D2781" s="638" t="s">
        <v>6144</v>
      </c>
      <c r="E2781" s="165"/>
      <c r="F2781" s="614"/>
      <c r="G2781" s="612" t="s">
        <v>1038</v>
      </c>
    </row>
    <row r="2782" spans="1:7" ht="20.100000000000001" customHeight="1" x14ac:dyDescent="0.2">
      <c r="A2782" s="681" t="str">
        <f t="shared" si="36"/>
        <v>1759  002.004.049  Seleção e Treinamento: Serv. Efetivos</v>
      </c>
      <c r="B2782" s="636">
        <v>1759</v>
      </c>
      <c r="C2782" s="614"/>
      <c r="D2782" s="638" t="s">
        <v>6145</v>
      </c>
      <c r="E2782" s="165"/>
      <c r="F2782" s="614"/>
      <c r="G2782" s="612" t="s">
        <v>5857</v>
      </c>
    </row>
    <row r="2783" spans="1:7" ht="20.100000000000001" customHeight="1" x14ac:dyDescent="0.2">
      <c r="A2783" s="681" t="str">
        <f t="shared" si="36"/>
        <v>1760  002.004.050  Seleção e Treinamento: Serv. Contratado</v>
      </c>
      <c r="B2783" s="636">
        <v>1760</v>
      </c>
      <c r="C2783" s="614"/>
      <c r="D2783" s="638" t="s">
        <v>6146</v>
      </c>
      <c r="E2783" s="165"/>
      <c r="F2783" s="614"/>
      <c r="G2783" s="612" t="s">
        <v>5859</v>
      </c>
    </row>
    <row r="2784" spans="1:7" ht="20.100000000000001" customHeight="1" x14ac:dyDescent="0.2">
      <c r="A2784" s="681" t="str">
        <f t="shared" si="36"/>
        <v>1761  002.004.051  Seleção e Treinamento: Serv. C.C.</v>
      </c>
      <c r="B2784" s="636">
        <v>1761</v>
      </c>
      <c r="C2784" s="614"/>
      <c r="D2784" s="638" t="s">
        <v>6147</v>
      </c>
      <c r="E2784" s="165"/>
      <c r="F2784" s="614"/>
      <c r="G2784" s="612" t="s">
        <v>5861</v>
      </c>
    </row>
    <row r="2785" spans="1:7" ht="20.100000000000001" customHeight="1" x14ac:dyDescent="0.2">
      <c r="A2785" s="681" t="str">
        <f t="shared" si="36"/>
        <v>1762  002.004.052  Seleção e Treinamento: Agente Político</v>
      </c>
      <c r="B2785" s="636">
        <v>1762</v>
      </c>
      <c r="C2785" s="614"/>
      <c r="D2785" s="638" t="s">
        <v>6148</v>
      </c>
      <c r="E2785" s="165"/>
      <c r="F2785" s="614"/>
      <c r="G2785" s="612" t="s">
        <v>5862</v>
      </c>
    </row>
    <row r="2786" spans="1:7" ht="20.100000000000001" customHeight="1" x14ac:dyDescent="0.2">
      <c r="A2786" s="681" t="str">
        <f t="shared" si="36"/>
        <v>1763  002.004.053  Auxilio Alimentação</v>
      </c>
      <c r="B2786" s="636">
        <v>1763</v>
      </c>
      <c r="C2786" s="614"/>
      <c r="D2786" s="638" t="s">
        <v>6162</v>
      </c>
      <c r="E2786" s="165"/>
      <c r="F2786" s="614"/>
      <c r="G2786" s="612" t="s">
        <v>2524</v>
      </c>
    </row>
    <row r="2787" spans="1:7" s="605" customFormat="1" ht="20.100000000000001" customHeight="1" x14ac:dyDescent="0.2">
      <c r="A2787" s="683" t="str">
        <f t="shared" si="34"/>
        <v>94  002.005.000  CUSTO FROTA DE VEICULOS</v>
      </c>
      <c r="B2787" s="636">
        <v>94</v>
      </c>
      <c r="C2787" s="634"/>
      <c r="D2787" s="637" t="s">
        <v>2464</v>
      </c>
      <c r="E2787" s="610"/>
      <c r="F2787" s="634"/>
      <c r="G2787" s="697" t="s">
        <v>2465</v>
      </c>
    </row>
    <row r="2788" spans="1:7" ht="20.100000000000001" customHeight="1" x14ac:dyDescent="0.2">
      <c r="A2788" s="681" t="str">
        <f t="shared" si="34"/>
        <v>95  002.005.001  Combustível Veículo IVY 8350</v>
      </c>
      <c r="B2788" s="636">
        <v>95</v>
      </c>
      <c r="C2788" s="614"/>
      <c r="D2788" s="638" t="s">
        <v>2466</v>
      </c>
      <c r="E2788" s="165"/>
      <c r="F2788" s="614"/>
      <c r="G2788" s="612" t="s">
        <v>2467</v>
      </c>
    </row>
    <row r="2789" spans="1:7" ht="20.100000000000001" customHeight="1" x14ac:dyDescent="0.2">
      <c r="A2789" s="681" t="str">
        <f t="shared" si="34"/>
        <v>96  002.005.002  Lubrificantes Veículo IVY 8350</v>
      </c>
      <c r="B2789" s="636">
        <v>96</v>
      </c>
      <c r="C2789" s="614"/>
      <c r="D2789" s="638" t="s">
        <v>2468</v>
      </c>
      <c r="E2789" s="165"/>
      <c r="F2789" s="614"/>
      <c r="G2789" s="612" t="s">
        <v>2469</v>
      </c>
    </row>
    <row r="2790" spans="1:7" ht="20.100000000000001" customHeight="1" x14ac:dyDescent="0.2">
      <c r="A2790" s="681" t="str">
        <f t="shared" si="34"/>
        <v>97  002.005.003  Material e Peças Veículo IVY 8350</v>
      </c>
      <c r="B2790" s="636">
        <v>97</v>
      </c>
      <c r="C2790" s="614"/>
      <c r="D2790" s="638" t="s">
        <v>2470</v>
      </c>
      <c r="E2790" s="165"/>
      <c r="F2790" s="614"/>
      <c r="G2790" s="612" t="s">
        <v>2471</v>
      </c>
    </row>
    <row r="2791" spans="1:7" ht="20.100000000000001" customHeight="1" x14ac:dyDescent="0.2">
      <c r="A2791" s="681" t="str">
        <f t="shared" si="34"/>
        <v>98  002.005.004  Manutenção Veículo IVY 8350</v>
      </c>
      <c r="B2791" s="636">
        <v>98</v>
      </c>
      <c r="C2791" s="614"/>
      <c r="D2791" s="638" t="s">
        <v>2472</v>
      </c>
      <c r="E2791" s="165"/>
      <c r="F2791" s="614"/>
      <c r="G2791" s="612" t="s">
        <v>2473</v>
      </c>
    </row>
    <row r="2792" spans="1:7" ht="20.100000000000001" customHeight="1" x14ac:dyDescent="0.2">
      <c r="A2792" s="681" t="str">
        <f t="shared" si="34"/>
        <v>99  002.005.005  Seguro e Licenciamento Veículo IVY 8350</v>
      </c>
      <c r="B2792" s="636">
        <v>99</v>
      </c>
      <c r="C2792" s="614"/>
      <c r="D2792" s="638" t="s">
        <v>2474</v>
      </c>
      <c r="E2792" s="165"/>
      <c r="F2792" s="614"/>
      <c r="G2792" s="612" t="s">
        <v>2475</v>
      </c>
    </row>
    <row r="2793" spans="1:7" ht="20.100000000000001" customHeight="1" x14ac:dyDescent="0.2">
      <c r="A2793" s="681" t="str">
        <f t="shared" si="34"/>
        <v>100  002.005.006  Multas de Trânsito Veículo IVY 8350</v>
      </c>
      <c r="B2793" s="636">
        <v>100</v>
      </c>
      <c r="C2793" s="614"/>
      <c r="D2793" s="638" t="s">
        <v>2476</v>
      </c>
      <c r="E2793" s="165"/>
      <c r="F2793" s="614"/>
      <c r="G2793" s="612" t="s">
        <v>2477</v>
      </c>
    </row>
    <row r="2794" spans="1:7" ht="20.100000000000001" customHeight="1" x14ac:dyDescent="0.2">
      <c r="A2794" s="681" t="str">
        <f t="shared" si="34"/>
        <v>1682  002.005.007  Combustível Veículo ITP 0262</v>
      </c>
      <c r="B2794" s="636">
        <v>1682</v>
      </c>
      <c r="C2794" s="614"/>
      <c r="D2794" s="638" t="s">
        <v>2478</v>
      </c>
      <c r="E2794" s="165"/>
      <c r="F2794" s="614"/>
      <c r="G2794" s="612" t="s">
        <v>2479</v>
      </c>
    </row>
    <row r="2795" spans="1:7" ht="20.100000000000001" customHeight="1" x14ac:dyDescent="0.2">
      <c r="A2795" s="681" t="str">
        <f t="shared" si="34"/>
        <v>1683  002.005.008  Combustível Veículo IRS 4010</v>
      </c>
      <c r="B2795" s="636">
        <v>1683</v>
      </c>
      <c r="C2795" s="614"/>
      <c r="D2795" s="638" t="s">
        <v>2480</v>
      </c>
      <c r="E2795" s="165"/>
      <c r="F2795" s="614"/>
      <c r="G2795" s="612" t="s">
        <v>2481</v>
      </c>
    </row>
    <row r="2796" spans="1:7" s="605" customFormat="1" ht="20.100000000000001" customHeight="1" x14ac:dyDescent="0.2">
      <c r="A2796" s="683" t="str">
        <f t="shared" si="34"/>
        <v>101  002.006.000  CONSELHO TUTELAR</v>
      </c>
      <c r="B2796" s="636">
        <v>101</v>
      </c>
      <c r="C2796" s="634"/>
      <c r="D2796" s="637" t="s">
        <v>2482</v>
      </c>
      <c r="E2796" s="610"/>
      <c r="F2796" s="634"/>
      <c r="G2796" s="697" t="s">
        <v>1268</v>
      </c>
    </row>
    <row r="2797" spans="1:7" ht="20.100000000000001" customHeight="1" x14ac:dyDescent="0.2">
      <c r="A2797" s="681" t="str">
        <f t="shared" si="34"/>
        <v>104  002.006.001  Pessoal e Encargos Sociais</v>
      </c>
      <c r="B2797" s="636">
        <v>104</v>
      </c>
      <c r="C2797" s="614"/>
      <c r="D2797" s="638" t="s">
        <v>2483</v>
      </c>
      <c r="E2797" s="165"/>
      <c r="F2797" s="614"/>
      <c r="G2797" s="612" t="s">
        <v>93</v>
      </c>
    </row>
    <row r="2798" spans="1:7" ht="20.100000000000001" customHeight="1" x14ac:dyDescent="0.2">
      <c r="A2798" s="681" t="str">
        <f t="shared" si="34"/>
        <v>105  002.006.002  Diárias Conselheiros</v>
      </c>
      <c r="B2798" s="636">
        <v>105</v>
      </c>
      <c r="C2798" s="614"/>
      <c r="D2798" s="638" t="s">
        <v>2484</v>
      </c>
      <c r="E2798" s="165"/>
      <c r="F2798" s="614"/>
      <c r="G2798" s="612" t="s">
        <v>2485</v>
      </c>
    </row>
    <row r="2799" spans="1:7" ht="20.100000000000001" customHeight="1" x14ac:dyDescent="0.2">
      <c r="A2799" s="681" t="str">
        <f t="shared" si="34"/>
        <v>106  002.006.003  Diárias Servidores Efetivos</v>
      </c>
      <c r="B2799" s="636">
        <v>106</v>
      </c>
      <c r="C2799" s="614"/>
      <c r="D2799" s="638" t="s">
        <v>2486</v>
      </c>
      <c r="E2799" s="165"/>
      <c r="F2799" s="614"/>
      <c r="G2799" s="612" t="s">
        <v>2419</v>
      </c>
    </row>
    <row r="2800" spans="1:7" ht="20.100000000000001" customHeight="1" x14ac:dyDescent="0.2">
      <c r="A2800" s="681" t="str">
        <f t="shared" si="34"/>
        <v>107  002.006.004  Diárias Servidores Contratados</v>
      </c>
      <c r="B2800" s="636">
        <v>107</v>
      </c>
      <c r="C2800" s="614"/>
      <c r="D2800" s="638" t="s">
        <v>2487</v>
      </c>
      <c r="E2800" s="165"/>
      <c r="F2800" s="614"/>
      <c r="G2800" s="612" t="s">
        <v>2334</v>
      </c>
    </row>
    <row r="2801" spans="1:7" ht="20.100000000000001" customHeight="1" x14ac:dyDescent="0.2">
      <c r="A2801" s="681" t="str">
        <f t="shared" si="34"/>
        <v>108  002.006.005  Diárias Servidores C.C.</v>
      </c>
      <c r="B2801" s="636">
        <v>108</v>
      </c>
      <c r="C2801" s="614"/>
      <c r="D2801" s="638" t="s">
        <v>2488</v>
      </c>
      <c r="E2801" s="165"/>
      <c r="F2801" s="614"/>
      <c r="G2801" s="612" t="s">
        <v>2336</v>
      </c>
    </row>
    <row r="2802" spans="1:7" ht="20.100000000000001" customHeight="1" x14ac:dyDescent="0.2">
      <c r="A2802" s="681" t="str">
        <f t="shared" si="34"/>
        <v>109  002.006.006  Generos Alimentícios</v>
      </c>
      <c r="B2802" s="636">
        <v>109</v>
      </c>
      <c r="C2802" s="614"/>
      <c r="D2802" s="638" t="s">
        <v>2489</v>
      </c>
      <c r="E2802" s="165"/>
      <c r="F2802" s="614"/>
      <c r="G2802" s="612" t="s">
        <v>2490</v>
      </c>
    </row>
    <row r="2803" spans="1:7" ht="20.100000000000001" customHeight="1" x14ac:dyDescent="0.2">
      <c r="A2803" s="681" t="str">
        <f t="shared" si="34"/>
        <v>110  002.006.007  Material de Limpeza</v>
      </c>
      <c r="B2803" s="636">
        <v>110</v>
      </c>
      <c r="C2803" s="614"/>
      <c r="D2803" s="638" t="s">
        <v>2491</v>
      </c>
      <c r="E2803" s="165"/>
      <c r="F2803" s="614"/>
      <c r="G2803" s="612" t="s">
        <v>2348</v>
      </c>
    </row>
    <row r="2804" spans="1:7" ht="20.100000000000001" customHeight="1" x14ac:dyDescent="0.2">
      <c r="A2804" s="681" t="str">
        <f t="shared" si="34"/>
        <v>111  002.006.008  Material de Expediente</v>
      </c>
      <c r="B2804" s="636">
        <v>111</v>
      </c>
      <c r="C2804" s="614"/>
      <c r="D2804" s="638" t="s">
        <v>2492</v>
      </c>
      <c r="E2804" s="165"/>
      <c r="F2804" s="614"/>
      <c r="G2804" s="612" t="s">
        <v>2346</v>
      </c>
    </row>
    <row r="2805" spans="1:7" ht="20.100000000000001" customHeight="1" x14ac:dyDescent="0.2">
      <c r="A2805" s="681" t="str">
        <f t="shared" si="34"/>
        <v>112  002.006.009  Gas de Cozinha</v>
      </c>
      <c r="B2805" s="636">
        <v>112</v>
      </c>
      <c r="C2805" s="614"/>
      <c r="D2805" s="638" t="s">
        <v>2493</v>
      </c>
      <c r="E2805" s="165"/>
      <c r="F2805" s="614"/>
      <c r="G2805" s="612" t="s">
        <v>2342</v>
      </c>
    </row>
    <row r="2806" spans="1:7" ht="20.100000000000001" customHeight="1" x14ac:dyDescent="0.2">
      <c r="A2806" s="681" t="str">
        <f t="shared" si="34"/>
        <v>113  002.006.010  Combustivel Veiculo IRS 4010</v>
      </c>
      <c r="B2806" s="636">
        <v>113</v>
      </c>
      <c r="C2806" s="614"/>
      <c r="D2806" s="638" t="s">
        <v>2494</v>
      </c>
      <c r="E2806" s="165"/>
      <c r="F2806" s="614"/>
      <c r="G2806" s="612" t="s">
        <v>2495</v>
      </c>
    </row>
    <row r="2807" spans="1:7" ht="20.100000000000001" customHeight="1" x14ac:dyDescent="0.2">
      <c r="A2807" s="681" t="str">
        <f t="shared" si="34"/>
        <v>114  002.006.011  Lubrificantes Veiculo IRS 4010</v>
      </c>
      <c r="B2807" s="636">
        <v>114</v>
      </c>
      <c r="C2807" s="614"/>
      <c r="D2807" s="638" t="s">
        <v>2496</v>
      </c>
      <c r="E2807" s="165"/>
      <c r="F2807" s="614"/>
      <c r="G2807" s="612" t="s">
        <v>2497</v>
      </c>
    </row>
    <row r="2808" spans="1:7" ht="20.100000000000001" customHeight="1" x14ac:dyDescent="0.2">
      <c r="A2808" s="681" t="str">
        <f t="shared" si="34"/>
        <v>115  002.006.012  Material e Peças Veiculo IRS 4010</v>
      </c>
      <c r="B2808" s="636">
        <v>115</v>
      </c>
      <c r="C2808" s="614"/>
      <c r="D2808" s="638" t="s">
        <v>2498</v>
      </c>
      <c r="E2808" s="165"/>
      <c r="F2808" s="614"/>
      <c r="G2808" s="612" t="s">
        <v>2499</v>
      </c>
    </row>
    <row r="2809" spans="1:7" ht="20.100000000000001" customHeight="1" x14ac:dyDescent="0.2">
      <c r="A2809" s="681" t="str">
        <f t="shared" si="34"/>
        <v>116  002.006.013  Manutenção Veiculo IRS 4010</v>
      </c>
      <c r="B2809" s="636">
        <v>116</v>
      </c>
      <c r="C2809" s="614"/>
      <c r="D2809" s="638" t="s">
        <v>2500</v>
      </c>
      <c r="E2809" s="165"/>
      <c r="F2809" s="614"/>
      <c r="G2809" s="612" t="s">
        <v>2501</v>
      </c>
    </row>
    <row r="2810" spans="1:7" ht="20.100000000000001" customHeight="1" x14ac:dyDescent="0.2">
      <c r="A2810" s="681" t="str">
        <f t="shared" si="34"/>
        <v>117  002.006.014  Seguros e Licenciamento Veiculo IRS 4010</v>
      </c>
      <c r="B2810" s="636">
        <v>117</v>
      </c>
      <c r="C2810" s="614"/>
      <c r="D2810" s="638" t="s">
        <v>2502</v>
      </c>
      <c r="E2810" s="165"/>
      <c r="F2810" s="614"/>
      <c r="G2810" s="612" t="s">
        <v>2503</v>
      </c>
    </row>
    <row r="2811" spans="1:7" ht="20.100000000000001" customHeight="1" x14ac:dyDescent="0.2">
      <c r="A2811" s="681" t="str">
        <f t="shared" si="34"/>
        <v>118  002.006.015  Multas de Trânsito Veiculo IRS 4010</v>
      </c>
      <c r="B2811" s="636">
        <v>118</v>
      </c>
      <c r="C2811" s="614"/>
      <c r="D2811" s="638" t="s">
        <v>2504</v>
      </c>
      <c r="E2811" s="165"/>
      <c r="F2811" s="614"/>
      <c r="G2811" s="612" t="s">
        <v>2505</v>
      </c>
    </row>
    <row r="2812" spans="1:7" ht="20.100000000000001" customHeight="1" x14ac:dyDescent="0.2">
      <c r="A2812" s="681" t="str">
        <f t="shared" si="34"/>
        <v>119  002.006.016  Despesas com Locomoção</v>
      </c>
      <c r="B2812" s="636">
        <v>119</v>
      </c>
      <c r="C2812" s="614"/>
      <c r="D2812" s="638" t="s">
        <v>2506</v>
      </c>
      <c r="E2812" s="165"/>
      <c r="F2812" s="614"/>
      <c r="G2812" s="612" t="s">
        <v>2507</v>
      </c>
    </row>
    <row r="2813" spans="1:7" ht="20.100000000000001" customHeight="1" x14ac:dyDescent="0.2">
      <c r="A2813" s="681" t="str">
        <f t="shared" si="34"/>
        <v>120  002.006.017  Serviços Técnicos Profissionais</v>
      </c>
      <c r="B2813" s="636">
        <v>120</v>
      </c>
      <c r="C2813" s="614"/>
      <c r="D2813" s="638" t="s">
        <v>2508</v>
      </c>
      <c r="E2813" s="165"/>
      <c r="F2813" s="614"/>
      <c r="G2813" s="612" t="s">
        <v>2509</v>
      </c>
    </row>
    <row r="2814" spans="1:7" ht="20.100000000000001" customHeight="1" x14ac:dyDescent="0.2">
      <c r="A2814" s="681" t="str">
        <f t="shared" si="34"/>
        <v>121  002.006.018  Locação de Imóvel</v>
      </c>
      <c r="B2814" s="636">
        <v>121</v>
      </c>
      <c r="C2814" s="614"/>
      <c r="D2814" s="638" t="s">
        <v>2510</v>
      </c>
      <c r="E2814" s="165"/>
      <c r="F2814" s="614"/>
      <c r="G2814" s="612" t="s">
        <v>2511</v>
      </c>
    </row>
    <row r="2815" spans="1:7" ht="20.100000000000001" customHeight="1" x14ac:dyDescent="0.2">
      <c r="A2815" s="681" t="str">
        <f t="shared" si="34"/>
        <v>122  002.006.019  Serviço de Limpeza e Conservação</v>
      </c>
      <c r="B2815" s="636">
        <v>122</v>
      </c>
      <c r="C2815" s="614"/>
      <c r="D2815" s="638" t="s">
        <v>2512</v>
      </c>
      <c r="E2815" s="165"/>
      <c r="F2815" s="614"/>
      <c r="G2815" s="612" t="s">
        <v>2513</v>
      </c>
    </row>
    <row r="2816" spans="1:7" ht="20.100000000000001" customHeight="1" x14ac:dyDescent="0.2">
      <c r="A2816" s="681" t="str">
        <f t="shared" si="34"/>
        <v>123  002.006.020  Seleção e Treinamento</v>
      </c>
      <c r="B2816" s="636">
        <v>123</v>
      </c>
      <c r="C2816" s="614"/>
      <c r="D2816" s="638" t="s">
        <v>2514</v>
      </c>
      <c r="E2816" s="165"/>
      <c r="F2816" s="614"/>
      <c r="G2816" s="612" t="s">
        <v>2369</v>
      </c>
    </row>
    <row r="2817" spans="1:7" ht="20.100000000000001" customHeight="1" x14ac:dyDescent="0.2">
      <c r="A2817" s="681" t="str">
        <f t="shared" si="34"/>
        <v>124  002.006.021  Energia Elétrica</v>
      </c>
      <c r="B2817" s="636">
        <v>124</v>
      </c>
      <c r="C2817" s="614"/>
      <c r="D2817" s="638" t="s">
        <v>2515</v>
      </c>
      <c r="E2817" s="165"/>
      <c r="F2817" s="614"/>
      <c r="G2817" s="612" t="s">
        <v>700</v>
      </c>
    </row>
    <row r="2818" spans="1:7" ht="20.100000000000001" customHeight="1" x14ac:dyDescent="0.2">
      <c r="A2818" s="681" t="str">
        <f t="shared" ref="A2818:A2882" si="37">CONCATENATE(B2818,"  ",D2818,"  ",G2818)</f>
        <v>125  002.006.022  Agua</v>
      </c>
      <c r="B2818" s="636">
        <v>125</v>
      </c>
      <c r="C2818" s="614"/>
      <c r="D2818" s="638" t="s">
        <v>2516</v>
      </c>
      <c r="E2818" s="165"/>
      <c r="F2818" s="614"/>
      <c r="G2818" s="612" t="s">
        <v>2365</v>
      </c>
    </row>
    <row r="2819" spans="1:7" ht="20.100000000000001" customHeight="1" x14ac:dyDescent="0.2">
      <c r="A2819" s="681" t="str">
        <f t="shared" si="37"/>
        <v>126  002.006.023  Telefone Fixo</v>
      </c>
      <c r="B2819" s="636">
        <v>126</v>
      </c>
      <c r="C2819" s="614"/>
      <c r="D2819" s="638" t="s">
        <v>2517</v>
      </c>
      <c r="E2819" s="165"/>
      <c r="F2819" s="614"/>
      <c r="G2819" s="612" t="s">
        <v>1041</v>
      </c>
    </row>
    <row r="2820" spans="1:7" ht="20.100000000000001" customHeight="1" x14ac:dyDescent="0.2">
      <c r="A2820" s="681" t="str">
        <f t="shared" si="37"/>
        <v>127  002.006.024  Telefone Celular</v>
      </c>
      <c r="B2820" s="636">
        <v>127</v>
      </c>
      <c r="C2820" s="614"/>
      <c r="D2820" s="638" t="s">
        <v>2518</v>
      </c>
      <c r="E2820" s="165"/>
      <c r="F2820" s="614"/>
      <c r="G2820" s="612" t="s">
        <v>1150</v>
      </c>
    </row>
    <row r="2821" spans="1:7" ht="20.100000000000001" customHeight="1" x14ac:dyDescent="0.2">
      <c r="A2821" s="681" t="str">
        <f t="shared" si="37"/>
        <v>128  002.006.025  Internet</v>
      </c>
      <c r="B2821" s="636">
        <v>128</v>
      </c>
      <c r="C2821" s="614"/>
      <c r="D2821" s="638" t="s">
        <v>2519</v>
      </c>
      <c r="E2821" s="165"/>
      <c r="F2821" s="614"/>
      <c r="G2821" s="612" t="s">
        <v>2371</v>
      </c>
    </row>
    <row r="2822" spans="1:7" ht="20.100000000000001" customHeight="1" x14ac:dyDescent="0.2">
      <c r="A2822" s="681" t="str">
        <f t="shared" si="37"/>
        <v>129  002.006.026  Manutenção de Equipamentos de Informatica</v>
      </c>
      <c r="B2822" s="636">
        <v>129</v>
      </c>
      <c r="C2822" s="614"/>
      <c r="D2822" s="638" t="s">
        <v>2520</v>
      </c>
      <c r="E2822" s="165"/>
      <c r="F2822" s="614"/>
      <c r="G2822" s="612" t="s">
        <v>2521</v>
      </c>
    </row>
    <row r="2823" spans="1:7" ht="20.100000000000001" customHeight="1" x14ac:dyDescent="0.2">
      <c r="A2823" s="681" t="str">
        <f t="shared" si="37"/>
        <v>130  002.006.027  Estagiários</v>
      </c>
      <c r="B2823" s="636">
        <v>130</v>
      </c>
      <c r="C2823" s="614"/>
      <c r="D2823" s="638" t="s">
        <v>2522</v>
      </c>
      <c r="E2823" s="165"/>
      <c r="F2823" s="614"/>
      <c r="G2823" s="612" t="s">
        <v>2449</v>
      </c>
    </row>
    <row r="2824" spans="1:7" ht="20.100000000000001" customHeight="1" x14ac:dyDescent="0.2">
      <c r="A2824" s="681" t="str">
        <f t="shared" si="37"/>
        <v>131  002.006.028  Auxilio Alimentação</v>
      </c>
      <c r="B2824" s="636">
        <v>131</v>
      </c>
      <c r="C2824" s="614"/>
      <c r="D2824" s="638" t="s">
        <v>2523</v>
      </c>
      <c r="E2824" s="165"/>
      <c r="F2824" s="614"/>
      <c r="G2824" s="612" t="s">
        <v>2524</v>
      </c>
    </row>
    <row r="2825" spans="1:7" ht="20.100000000000001" customHeight="1" x14ac:dyDescent="0.2">
      <c r="A2825" s="681" t="str">
        <f t="shared" si="37"/>
        <v>132  002.006.029  Geral</v>
      </c>
      <c r="B2825" s="636">
        <v>132</v>
      </c>
      <c r="C2825" s="614"/>
      <c r="D2825" s="638" t="s">
        <v>2525</v>
      </c>
      <c r="E2825" s="165"/>
      <c r="F2825" s="614"/>
      <c r="G2825" s="612" t="s">
        <v>2380</v>
      </c>
    </row>
    <row r="2826" spans="1:7" ht="20.100000000000001" customHeight="1" x14ac:dyDescent="0.2">
      <c r="A2826" s="681" t="str">
        <f t="shared" si="37"/>
        <v>1479  002.006.030  Agua Mineral</v>
      </c>
      <c r="B2826" s="636">
        <v>1479</v>
      </c>
      <c r="C2826" s="614"/>
      <c r="D2826" s="638" t="s">
        <v>2526</v>
      </c>
      <c r="E2826" s="165"/>
      <c r="F2826" s="614"/>
      <c r="G2826" s="612" t="s">
        <v>2527</v>
      </c>
    </row>
    <row r="2827" spans="1:7" s="605" customFormat="1" ht="20.100000000000001" customHeight="1" x14ac:dyDescent="0.2">
      <c r="A2827" s="683" t="str">
        <f t="shared" si="37"/>
        <v>133  002.007.000  DEFESA CIVIL</v>
      </c>
      <c r="B2827" s="636">
        <v>133</v>
      </c>
      <c r="C2827" s="634"/>
      <c r="D2827" s="637" t="s">
        <v>2528</v>
      </c>
      <c r="E2827" s="610"/>
      <c r="F2827" s="634"/>
      <c r="G2827" s="697" t="s">
        <v>2529</v>
      </c>
    </row>
    <row r="2828" spans="1:7" s="605" customFormat="1" ht="20.100000000000001" customHeight="1" x14ac:dyDescent="0.2">
      <c r="A2828" s="683" t="str">
        <f t="shared" si="37"/>
        <v>134  002.008.000  APOIO A BRIGADA MILITAR</v>
      </c>
      <c r="B2828" s="636">
        <v>134</v>
      </c>
      <c r="C2828" s="634"/>
      <c r="D2828" s="637" t="s">
        <v>2530</v>
      </c>
      <c r="E2828" s="610"/>
      <c r="F2828" s="634"/>
      <c r="G2828" s="697" t="s">
        <v>2531</v>
      </c>
    </row>
    <row r="2829" spans="1:7" ht="20.100000000000001" customHeight="1" x14ac:dyDescent="0.2">
      <c r="A2829" s="681" t="str">
        <f t="shared" si="37"/>
        <v>137  002.008.001  Locação de Imóvel</v>
      </c>
      <c r="B2829" s="636">
        <v>137</v>
      </c>
      <c r="C2829" s="614"/>
      <c r="D2829" s="638" t="s">
        <v>2532</v>
      </c>
      <c r="E2829" s="165"/>
      <c r="F2829" s="614"/>
      <c r="G2829" s="612" t="s">
        <v>2511</v>
      </c>
    </row>
    <row r="2830" spans="1:7" ht="20.100000000000001" customHeight="1" x14ac:dyDescent="0.2">
      <c r="A2830" s="681" t="str">
        <f t="shared" si="37"/>
        <v>138  002.008.002  Manutenção de Veiculo</v>
      </c>
      <c r="B2830" s="636">
        <v>138</v>
      </c>
      <c r="C2830" s="614"/>
      <c r="D2830" s="638" t="s">
        <v>2533</v>
      </c>
      <c r="E2830" s="165"/>
      <c r="F2830" s="614"/>
      <c r="G2830" s="612" t="s">
        <v>2534</v>
      </c>
    </row>
    <row r="2831" spans="1:7" ht="20.100000000000001" customHeight="1" x14ac:dyDescent="0.2">
      <c r="A2831" s="681" t="str">
        <f t="shared" si="37"/>
        <v>139  002.008.003  Energia Elétrica</v>
      </c>
      <c r="B2831" s="636">
        <v>139</v>
      </c>
      <c r="C2831" s="614"/>
      <c r="D2831" s="638" t="s">
        <v>2535</v>
      </c>
      <c r="E2831" s="165"/>
      <c r="F2831" s="614"/>
      <c r="G2831" s="612" t="s">
        <v>700</v>
      </c>
    </row>
    <row r="2832" spans="1:7" ht="20.100000000000001" customHeight="1" x14ac:dyDescent="0.2">
      <c r="A2832" s="681" t="str">
        <f t="shared" si="37"/>
        <v>140  002.008.004  Agua</v>
      </c>
      <c r="B2832" s="636">
        <v>140</v>
      </c>
      <c r="C2832" s="614"/>
      <c r="D2832" s="638" t="s">
        <v>2536</v>
      </c>
      <c r="E2832" s="165"/>
      <c r="F2832" s="614"/>
      <c r="G2832" s="612" t="s">
        <v>2365</v>
      </c>
    </row>
    <row r="2833" spans="1:7" ht="20.100000000000001" customHeight="1" x14ac:dyDescent="0.2">
      <c r="A2833" s="681" t="str">
        <f t="shared" si="37"/>
        <v>141  002.008.005  Telefone Fixo</v>
      </c>
      <c r="B2833" s="636">
        <v>141</v>
      </c>
      <c r="C2833" s="614"/>
      <c r="D2833" s="638" t="s">
        <v>2537</v>
      </c>
      <c r="E2833" s="165"/>
      <c r="F2833" s="614"/>
      <c r="G2833" s="612" t="s">
        <v>1041</v>
      </c>
    </row>
    <row r="2834" spans="1:7" ht="20.100000000000001" customHeight="1" x14ac:dyDescent="0.2">
      <c r="A2834" s="681" t="str">
        <f t="shared" si="37"/>
        <v>142  002.008.006  Internet</v>
      </c>
      <c r="B2834" s="636">
        <v>142</v>
      </c>
      <c r="C2834" s="614"/>
      <c r="D2834" s="638" t="s">
        <v>2538</v>
      </c>
      <c r="E2834" s="165"/>
      <c r="F2834" s="614"/>
      <c r="G2834" s="612" t="s">
        <v>2371</v>
      </c>
    </row>
    <row r="2835" spans="1:7" ht="20.100000000000001" customHeight="1" x14ac:dyDescent="0.2">
      <c r="A2835" s="681" t="str">
        <f t="shared" si="37"/>
        <v>143  002.008.007  Geral</v>
      </c>
      <c r="B2835" s="636">
        <v>143</v>
      </c>
      <c r="C2835" s="614"/>
      <c r="D2835" s="638" t="s">
        <v>2539</v>
      </c>
      <c r="E2835" s="165"/>
      <c r="F2835" s="614"/>
      <c r="G2835" s="612" t="s">
        <v>2380</v>
      </c>
    </row>
    <row r="2836" spans="1:7" ht="20.100000000000001" customHeight="1" x14ac:dyDescent="0.2">
      <c r="A2836" s="681" t="str">
        <f t="shared" si="37"/>
        <v>1764  002.008.008  Combustiveis Veículo</v>
      </c>
      <c r="B2836" s="636">
        <v>1764</v>
      </c>
      <c r="C2836" s="614"/>
      <c r="D2836" s="638" t="s">
        <v>6168</v>
      </c>
      <c r="E2836" s="165"/>
      <c r="F2836" s="614"/>
      <c r="G2836" s="612" t="s">
        <v>6169</v>
      </c>
    </row>
    <row r="2837" spans="1:7" s="605" customFormat="1" ht="20.100000000000001" customHeight="1" x14ac:dyDescent="0.2">
      <c r="A2837" s="683" t="str">
        <f t="shared" si="37"/>
        <v>135  002.009.000  PREVENÇÃO DE DESASTRES</v>
      </c>
      <c r="B2837" s="636">
        <v>135</v>
      </c>
      <c r="C2837" s="634"/>
      <c r="D2837" s="637" t="s">
        <v>2540</v>
      </c>
      <c r="E2837" s="610"/>
      <c r="F2837" s="634"/>
      <c r="G2837" s="697" t="s">
        <v>2541</v>
      </c>
    </row>
    <row r="2838" spans="1:7" s="605" customFormat="1" ht="20.100000000000001" customHeight="1" x14ac:dyDescent="0.2">
      <c r="A2838" s="683" t="str">
        <f t="shared" si="37"/>
        <v>1569  002.010.000  CONSÓRCIO INTERMUNICIPAL CENTRO-SUL</v>
      </c>
      <c r="B2838" s="636">
        <v>1569</v>
      </c>
      <c r="C2838" s="634"/>
      <c r="D2838" s="637" t="s">
        <v>2542</v>
      </c>
      <c r="E2838" s="610"/>
      <c r="F2838" s="634"/>
      <c r="G2838" s="697" t="s">
        <v>2543</v>
      </c>
    </row>
    <row r="2839" spans="1:7" ht="20.100000000000001" customHeight="1" x14ac:dyDescent="0.2">
      <c r="A2839" s="681" t="str">
        <f t="shared" si="37"/>
        <v>1570  002.010.001  Contrato de Rateio P/Despesas com Pessoal</v>
      </c>
      <c r="B2839" s="636">
        <v>1570</v>
      </c>
      <c r="C2839" s="614"/>
      <c r="D2839" s="638" t="s">
        <v>2544</v>
      </c>
      <c r="E2839" s="165"/>
      <c r="F2839" s="614"/>
      <c r="G2839" s="612" t="s">
        <v>2545</v>
      </c>
    </row>
    <row r="2840" spans="1:7" ht="20.100000000000001" customHeight="1" x14ac:dyDescent="0.2">
      <c r="A2840" s="681" t="str">
        <f t="shared" si="37"/>
        <v>144  003.000.000  SECRETARIA MUNICIPAL DA ADMINISTRAÇÃO</v>
      </c>
      <c r="B2840" s="636">
        <v>144</v>
      </c>
      <c r="C2840" s="614"/>
      <c r="D2840" s="638" t="s">
        <v>2546</v>
      </c>
      <c r="E2840" s="165"/>
      <c r="F2840" s="614"/>
      <c r="G2840" s="612" t="s">
        <v>432</v>
      </c>
    </row>
    <row r="2841" spans="1:7" ht="20.100000000000001" customHeight="1" x14ac:dyDescent="0.2">
      <c r="A2841" s="681" t="str">
        <f t="shared" si="37"/>
        <v>145  003.001.000  GESTÃO ADMINISTRATIVA</v>
      </c>
      <c r="B2841" s="636">
        <v>145</v>
      </c>
      <c r="C2841" s="614"/>
      <c r="D2841" s="638" t="s">
        <v>2547</v>
      </c>
      <c r="E2841" s="165"/>
      <c r="F2841" s="614"/>
      <c r="G2841" s="612" t="s">
        <v>1951</v>
      </c>
    </row>
    <row r="2842" spans="1:7" ht="20.100000000000001" customHeight="1" x14ac:dyDescent="0.2">
      <c r="A2842" s="681" t="str">
        <f t="shared" si="37"/>
        <v>146  003.001.001  Pessoal e Encargos Sociais - Serv. Efetivos</v>
      </c>
      <c r="B2842" s="636">
        <v>146</v>
      </c>
      <c r="C2842" s="614"/>
      <c r="D2842" s="638" t="s">
        <v>2548</v>
      </c>
      <c r="E2842" s="165"/>
      <c r="F2842" s="614"/>
      <c r="G2842" s="612" t="s">
        <v>2549</v>
      </c>
    </row>
    <row r="2843" spans="1:7" ht="20.100000000000001" customHeight="1" x14ac:dyDescent="0.2">
      <c r="A2843" s="681" t="str">
        <f t="shared" si="37"/>
        <v>147  003.001.002  Pessoal e Encargos Sociais - Serv. Contratados</v>
      </c>
      <c r="B2843" s="636">
        <v>147</v>
      </c>
      <c r="C2843" s="614"/>
      <c r="D2843" s="638" t="s">
        <v>2550</v>
      </c>
      <c r="E2843" s="165"/>
      <c r="F2843" s="614"/>
      <c r="G2843" s="612" t="s">
        <v>2551</v>
      </c>
    </row>
    <row r="2844" spans="1:7" ht="20.100000000000001" customHeight="1" x14ac:dyDescent="0.2">
      <c r="A2844" s="681" t="str">
        <f t="shared" si="37"/>
        <v>148  003.001.003  Pessoal e Encargos Sociais - Serv. C.C.</v>
      </c>
      <c r="B2844" s="636">
        <v>148</v>
      </c>
      <c r="C2844" s="614"/>
      <c r="D2844" s="638" t="s">
        <v>2552</v>
      </c>
      <c r="E2844" s="165"/>
      <c r="F2844" s="614"/>
      <c r="G2844" s="612" t="s">
        <v>2553</v>
      </c>
    </row>
    <row r="2845" spans="1:7" ht="20.100000000000001" customHeight="1" x14ac:dyDescent="0.2">
      <c r="A2845" s="681" t="str">
        <f t="shared" si="37"/>
        <v>149  003.001.004  Pessoal e Encargos Sociais - Agente Politico</v>
      </c>
      <c r="B2845" s="636">
        <v>149</v>
      </c>
      <c r="C2845" s="614"/>
      <c r="D2845" s="638" t="s">
        <v>2554</v>
      </c>
      <c r="E2845" s="165"/>
      <c r="F2845" s="614"/>
      <c r="G2845" s="612" t="s">
        <v>2555</v>
      </c>
    </row>
    <row r="2846" spans="1:7" ht="20.100000000000001" customHeight="1" x14ac:dyDescent="0.2">
      <c r="A2846" s="681" t="str">
        <f t="shared" si="37"/>
        <v>204  003.001.005  Função Gratificada</v>
      </c>
      <c r="B2846" s="636">
        <v>204</v>
      </c>
      <c r="C2846" s="614"/>
      <c r="D2846" s="638" t="s">
        <v>2556</v>
      </c>
      <c r="E2846" s="165"/>
      <c r="F2846" s="614"/>
      <c r="G2846" s="612" t="s">
        <v>2226</v>
      </c>
    </row>
    <row r="2847" spans="1:7" ht="20.100000000000001" customHeight="1" x14ac:dyDescent="0.2">
      <c r="A2847" s="681" t="str">
        <f t="shared" si="37"/>
        <v>150  003.002.000  CUSTEIO OPERACIONAL</v>
      </c>
      <c r="B2847" s="636">
        <v>150</v>
      </c>
      <c r="C2847" s="614"/>
      <c r="D2847" s="638" t="s">
        <v>2557</v>
      </c>
      <c r="E2847" s="165"/>
      <c r="F2847" s="614"/>
      <c r="G2847" s="612" t="s">
        <v>2331</v>
      </c>
    </row>
    <row r="2848" spans="1:7" ht="20.100000000000001" customHeight="1" x14ac:dyDescent="0.2">
      <c r="A2848" s="681" t="str">
        <f t="shared" si="37"/>
        <v>151  003.002.001  Diárias Servidores Efetivos</v>
      </c>
      <c r="B2848" s="636">
        <v>151</v>
      </c>
      <c r="C2848" s="614"/>
      <c r="D2848" s="638" t="s">
        <v>2558</v>
      </c>
      <c r="E2848" s="165"/>
      <c r="F2848" s="614"/>
      <c r="G2848" s="612" t="s">
        <v>2419</v>
      </c>
    </row>
    <row r="2849" spans="1:7" ht="20.100000000000001" customHeight="1" x14ac:dyDescent="0.2">
      <c r="A2849" s="681" t="str">
        <f t="shared" si="37"/>
        <v>1681  003.002.001  Combustível Veículo IVY 8354</v>
      </c>
      <c r="B2849" s="636">
        <v>1681</v>
      </c>
      <c r="C2849" s="614"/>
      <c r="D2849" s="638" t="s">
        <v>2558</v>
      </c>
      <c r="E2849" s="165"/>
      <c r="F2849" s="614"/>
      <c r="G2849" s="612" t="s">
        <v>2559</v>
      </c>
    </row>
    <row r="2850" spans="1:7" ht="20.100000000000001" customHeight="1" x14ac:dyDescent="0.2">
      <c r="A2850" s="681" t="str">
        <f t="shared" si="37"/>
        <v>152  003.002.002  Diárias Servidores Contratados</v>
      </c>
      <c r="B2850" s="636">
        <v>152</v>
      </c>
      <c r="C2850" s="614"/>
      <c r="D2850" s="638" t="s">
        <v>2560</v>
      </c>
      <c r="E2850" s="165"/>
      <c r="F2850" s="614"/>
      <c r="G2850" s="612" t="s">
        <v>2334</v>
      </c>
    </row>
    <row r="2851" spans="1:7" ht="20.100000000000001" customHeight="1" x14ac:dyDescent="0.2">
      <c r="A2851" s="681" t="str">
        <f t="shared" si="37"/>
        <v>153  003.002.003  Diárias Servidores C.C.</v>
      </c>
      <c r="B2851" s="636">
        <v>153</v>
      </c>
      <c r="C2851" s="614"/>
      <c r="D2851" s="638" t="s">
        <v>2561</v>
      </c>
      <c r="E2851" s="165"/>
      <c r="F2851" s="614"/>
      <c r="G2851" s="612" t="s">
        <v>2336</v>
      </c>
    </row>
    <row r="2852" spans="1:7" ht="20.100000000000001" customHeight="1" x14ac:dyDescent="0.2">
      <c r="A2852" s="681" t="str">
        <f t="shared" si="37"/>
        <v>154  003.002.004  Diárias Secretario Administração</v>
      </c>
      <c r="B2852" s="636">
        <v>154</v>
      </c>
      <c r="C2852" s="614"/>
      <c r="D2852" s="638" t="s">
        <v>2562</v>
      </c>
      <c r="E2852" s="165"/>
      <c r="F2852" s="614"/>
      <c r="G2852" s="612" t="s">
        <v>2563</v>
      </c>
    </row>
    <row r="2853" spans="1:7" ht="20.100000000000001" customHeight="1" x14ac:dyDescent="0.2">
      <c r="A2853" s="681" t="str">
        <f t="shared" si="37"/>
        <v>155  003.002.005  Generos Alimentícios</v>
      </c>
      <c r="B2853" s="636">
        <v>155</v>
      </c>
      <c r="C2853" s="614"/>
      <c r="D2853" s="638" t="s">
        <v>2564</v>
      </c>
      <c r="E2853" s="165"/>
      <c r="F2853" s="614"/>
      <c r="G2853" s="612" t="s">
        <v>2490</v>
      </c>
    </row>
    <row r="2854" spans="1:7" ht="20.100000000000001" customHeight="1" x14ac:dyDescent="0.2">
      <c r="A2854" s="681" t="str">
        <f t="shared" si="37"/>
        <v>156  003.002.006  Gas de Cozinha</v>
      </c>
      <c r="B2854" s="636">
        <v>156</v>
      </c>
      <c r="C2854" s="614"/>
      <c r="D2854" s="638" t="s">
        <v>2565</v>
      </c>
      <c r="E2854" s="165"/>
      <c r="F2854" s="614"/>
      <c r="G2854" s="612" t="s">
        <v>2342</v>
      </c>
    </row>
    <row r="2855" spans="1:7" ht="20.100000000000001" customHeight="1" x14ac:dyDescent="0.2">
      <c r="A2855" s="681" t="str">
        <f t="shared" si="37"/>
        <v>157  003.002.007  Matarial de Copa e Cozinha</v>
      </c>
      <c r="B2855" s="636">
        <v>157</v>
      </c>
      <c r="C2855" s="614"/>
      <c r="D2855" s="638" t="s">
        <v>2566</v>
      </c>
      <c r="E2855" s="165"/>
      <c r="F2855" s="614"/>
      <c r="G2855" s="612" t="s">
        <v>2567</v>
      </c>
    </row>
    <row r="2856" spans="1:7" ht="20.100000000000001" customHeight="1" x14ac:dyDescent="0.2">
      <c r="A2856" s="681" t="str">
        <f t="shared" si="37"/>
        <v>158  003.002.008  Material de Limpeza e Higiene</v>
      </c>
      <c r="B2856" s="636">
        <v>158</v>
      </c>
      <c r="C2856" s="614"/>
      <c r="D2856" s="638" t="s">
        <v>2568</v>
      </c>
      <c r="E2856" s="165"/>
      <c r="F2856" s="614"/>
      <c r="G2856" s="612" t="s">
        <v>2569</v>
      </c>
    </row>
    <row r="2857" spans="1:7" ht="20.100000000000001" customHeight="1" x14ac:dyDescent="0.2">
      <c r="A2857" s="681" t="str">
        <f t="shared" si="37"/>
        <v>159  003.002.009  Material de Expediente</v>
      </c>
      <c r="B2857" s="636">
        <v>159</v>
      </c>
      <c r="C2857" s="614"/>
      <c r="D2857" s="638" t="s">
        <v>2570</v>
      </c>
      <c r="E2857" s="165"/>
      <c r="F2857" s="614"/>
      <c r="G2857" s="612" t="s">
        <v>2346</v>
      </c>
    </row>
    <row r="2858" spans="1:7" ht="20.100000000000001" customHeight="1" x14ac:dyDescent="0.2">
      <c r="A2858" s="681" t="str">
        <f t="shared" si="37"/>
        <v>160  003.002.010  Suprimentos de Informática</v>
      </c>
      <c r="B2858" s="636">
        <v>160</v>
      </c>
      <c r="C2858" s="614"/>
      <c r="D2858" s="638" t="s">
        <v>2571</v>
      </c>
      <c r="E2858" s="165"/>
      <c r="F2858" s="614"/>
      <c r="G2858" s="612" t="s">
        <v>2435</v>
      </c>
    </row>
    <row r="2859" spans="1:7" ht="20.100000000000001" customHeight="1" x14ac:dyDescent="0.2">
      <c r="A2859" s="681" t="str">
        <f t="shared" si="37"/>
        <v>161  003.002.011  Manutenção de Bens Imóveis</v>
      </c>
      <c r="B2859" s="636">
        <v>161</v>
      </c>
      <c r="C2859" s="614"/>
      <c r="D2859" s="638" t="s">
        <v>2572</v>
      </c>
      <c r="E2859" s="165"/>
      <c r="F2859" s="614"/>
      <c r="G2859" s="612" t="s">
        <v>2437</v>
      </c>
    </row>
    <row r="2860" spans="1:7" ht="20.100000000000001" customHeight="1" x14ac:dyDescent="0.2">
      <c r="A2860" s="681" t="str">
        <f t="shared" si="37"/>
        <v>162  003.002.012  Manutenção e Conservação de Equipamentos de Informática</v>
      </c>
      <c r="B2860" s="636">
        <v>162</v>
      </c>
      <c r="C2860" s="614"/>
      <c r="D2860" s="638" t="s">
        <v>2573</v>
      </c>
      <c r="E2860" s="165"/>
      <c r="F2860" s="614"/>
      <c r="G2860" s="612" t="s">
        <v>2574</v>
      </c>
    </row>
    <row r="2861" spans="1:7" ht="20.100000000000001" customHeight="1" x14ac:dyDescent="0.2">
      <c r="A2861" s="681" t="str">
        <f t="shared" si="37"/>
        <v>163  003.002.013  Manutenção e Conservação de Equip. de Comuniação</v>
      </c>
      <c r="B2861" s="636">
        <v>163</v>
      </c>
      <c r="C2861" s="614"/>
      <c r="D2861" s="638" t="s">
        <v>2575</v>
      </c>
      <c r="E2861" s="165"/>
      <c r="F2861" s="614"/>
      <c r="G2861" s="612" t="s">
        <v>2576</v>
      </c>
    </row>
    <row r="2862" spans="1:7" ht="20.100000000000001" customHeight="1" x14ac:dyDescent="0.2">
      <c r="A2862" s="681" t="str">
        <f t="shared" si="37"/>
        <v>164  003.002.014  Manutenção e Conservação de Equipamentos Eletronicos</v>
      </c>
      <c r="B2862" s="636">
        <v>164</v>
      </c>
      <c r="C2862" s="614"/>
      <c r="D2862" s="638" t="s">
        <v>2577</v>
      </c>
      <c r="E2862" s="165"/>
      <c r="F2862" s="614"/>
      <c r="G2862" s="612" t="s">
        <v>2578</v>
      </c>
    </row>
    <row r="2863" spans="1:7" ht="20.100000000000001" customHeight="1" x14ac:dyDescent="0.2">
      <c r="A2863" s="681" t="str">
        <f t="shared" si="37"/>
        <v>165  003.002.015  Manutenção e Conservação de Eletrodomésticos</v>
      </c>
      <c r="B2863" s="636">
        <v>165</v>
      </c>
      <c r="C2863" s="614"/>
      <c r="D2863" s="638" t="s">
        <v>2579</v>
      </c>
      <c r="E2863" s="165"/>
      <c r="F2863" s="614"/>
      <c r="G2863" s="612" t="s">
        <v>2580</v>
      </c>
    </row>
    <row r="2864" spans="1:7" ht="20.100000000000001" customHeight="1" x14ac:dyDescent="0.2">
      <c r="A2864" s="681" t="str">
        <f t="shared" si="37"/>
        <v>166  003.002.016  Manutenção e Conservação de Mobiliário</v>
      </c>
      <c r="B2864" s="636">
        <v>166</v>
      </c>
      <c r="C2864" s="614"/>
      <c r="D2864" s="638" t="s">
        <v>2581</v>
      </c>
      <c r="E2864" s="165"/>
      <c r="F2864" s="614"/>
      <c r="G2864" s="612" t="s">
        <v>2582</v>
      </c>
    </row>
    <row r="2865" spans="1:7" ht="20.100000000000001" customHeight="1" x14ac:dyDescent="0.2">
      <c r="A2865" s="681" t="str">
        <f t="shared" si="37"/>
        <v>167  003.002.017  Manutenção e Conservação de Ar Condicionado</v>
      </c>
      <c r="B2865" s="636">
        <v>167</v>
      </c>
      <c r="C2865" s="614"/>
      <c r="D2865" s="638" t="s">
        <v>2583</v>
      </c>
      <c r="E2865" s="165"/>
      <c r="F2865" s="614"/>
      <c r="G2865" s="612" t="s">
        <v>2584</v>
      </c>
    </row>
    <row r="2866" spans="1:7" ht="20.100000000000001" customHeight="1" x14ac:dyDescent="0.2">
      <c r="A2866" s="681" t="str">
        <f t="shared" si="37"/>
        <v>168  003.002.018  Energia Elétrica</v>
      </c>
      <c r="B2866" s="636">
        <v>168</v>
      </c>
      <c r="C2866" s="614"/>
      <c r="D2866" s="638" t="s">
        <v>2585</v>
      </c>
      <c r="E2866" s="165"/>
      <c r="F2866" s="614"/>
      <c r="G2866" s="612" t="s">
        <v>700</v>
      </c>
    </row>
    <row r="2867" spans="1:7" ht="20.100000000000001" customHeight="1" x14ac:dyDescent="0.2">
      <c r="A2867" s="681" t="str">
        <f t="shared" si="37"/>
        <v>169  003.002.019  Agua</v>
      </c>
      <c r="B2867" s="636">
        <v>169</v>
      </c>
      <c r="C2867" s="614"/>
      <c r="D2867" s="638" t="s">
        <v>2586</v>
      </c>
      <c r="E2867" s="165"/>
      <c r="F2867" s="614"/>
      <c r="G2867" s="612" t="s">
        <v>2365</v>
      </c>
    </row>
    <row r="2868" spans="1:7" ht="20.100000000000001" customHeight="1" x14ac:dyDescent="0.2">
      <c r="A2868" s="681" t="str">
        <f t="shared" si="37"/>
        <v>170  003.002.020  Telefone Fixo</v>
      </c>
      <c r="B2868" s="636">
        <v>170</v>
      </c>
      <c r="C2868" s="614"/>
      <c r="D2868" s="638" t="s">
        <v>2587</v>
      </c>
      <c r="E2868" s="165"/>
      <c r="F2868" s="614"/>
      <c r="G2868" s="612" t="s">
        <v>1041</v>
      </c>
    </row>
    <row r="2869" spans="1:7" ht="20.100000000000001" customHeight="1" x14ac:dyDescent="0.2">
      <c r="A2869" s="681" t="str">
        <f t="shared" si="37"/>
        <v>171  003.002.021  Telefone Celular</v>
      </c>
      <c r="B2869" s="636">
        <v>171</v>
      </c>
      <c r="C2869" s="614"/>
      <c r="D2869" s="638" t="s">
        <v>2588</v>
      </c>
      <c r="E2869" s="165"/>
      <c r="F2869" s="614"/>
      <c r="G2869" s="612" t="s">
        <v>1150</v>
      </c>
    </row>
    <row r="2870" spans="1:7" ht="20.100000000000001" customHeight="1" x14ac:dyDescent="0.2">
      <c r="A2870" s="681" t="str">
        <f t="shared" si="37"/>
        <v>172  003.002.022  Internet</v>
      </c>
      <c r="B2870" s="636">
        <v>172</v>
      </c>
      <c r="C2870" s="614"/>
      <c r="D2870" s="638" t="s">
        <v>2589</v>
      </c>
      <c r="E2870" s="165"/>
      <c r="F2870" s="614"/>
      <c r="G2870" s="612" t="s">
        <v>2371</v>
      </c>
    </row>
    <row r="2871" spans="1:7" ht="20.100000000000001" customHeight="1" x14ac:dyDescent="0.2">
      <c r="A2871" s="681" t="str">
        <f t="shared" si="37"/>
        <v>173  003.002.023  Seleção e Treinamento</v>
      </c>
      <c r="B2871" s="636">
        <v>173</v>
      </c>
      <c r="C2871" s="614"/>
      <c r="D2871" s="638" t="s">
        <v>2590</v>
      </c>
      <c r="E2871" s="165"/>
      <c r="F2871" s="614"/>
      <c r="G2871" s="612" t="s">
        <v>2369</v>
      </c>
    </row>
    <row r="2872" spans="1:7" ht="20.100000000000001" customHeight="1" x14ac:dyDescent="0.2">
      <c r="A2872" s="681" t="str">
        <f t="shared" si="37"/>
        <v>174  003.002.024  Servicos de Assessoria e Consultoria</v>
      </c>
      <c r="B2872" s="636">
        <v>174</v>
      </c>
      <c r="C2872" s="614"/>
      <c r="D2872" s="638" t="s">
        <v>2591</v>
      </c>
      <c r="E2872" s="165"/>
      <c r="F2872" s="614"/>
      <c r="G2872" s="612" t="s">
        <v>2592</v>
      </c>
    </row>
    <row r="2873" spans="1:7" ht="20.100000000000001" customHeight="1" x14ac:dyDescent="0.2">
      <c r="A2873" s="681" t="str">
        <f t="shared" si="37"/>
        <v>175  003.002.025  Auxilio Alimentação</v>
      </c>
      <c r="B2873" s="636">
        <v>175</v>
      </c>
      <c r="C2873" s="614"/>
      <c r="D2873" s="638" t="s">
        <v>2593</v>
      </c>
      <c r="E2873" s="165"/>
      <c r="F2873" s="614"/>
      <c r="G2873" s="612" t="s">
        <v>2524</v>
      </c>
    </row>
    <row r="2874" spans="1:7" ht="20.100000000000001" customHeight="1" x14ac:dyDescent="0.2">
      <c r="A2874" s="681" t="str">
        <f t="shared" si="37"/>
        <v>176  003.002.026  Auxilio Transporte</v>
      </c>
      <c r="B2874" s="636">
        <v>176</v>
      </c>
      <c r="C2874" s="614"/>
      <c r="D2874" s="638" t="s">
        <v>2594</v>
      </c>
      <c r="E2874" s="165"/>
      <c r="F2874" s="614"/>
      <c r="G2874" s="612" t="s">
        <v>2462</v>
      </c>
    </row>
    <row r="2875" spans="1:7" ht="20.100000000000001" customHeight="1" x14ac:dyDescent="0.2">
      <c r="A2875" s="681" t="str">
        <f t="shared" si="37"/>
        <v>177  003.002.027  Estagiários</v>
      </c>
      <c r="B2875" s="636">
        <v>177</v>
      </c>
      <c r="C2875" s="614"/>
      <c r="D2875" s="638" t="s">
        <v>2595</v>
      </c>
      <c r="E2875" s="165"/>
      <c r="F2875" s="614"/>
      <c r="G2875" s="612" t="s">
        <v>2449</v>
      </c>
    </row>
    <row r="2876" spans="1:7" ht="20.100000000000001" customHeight="1" x14ac:dyDescent="0.2">
      <c r="A2876" s="681" t="str">
        <f t="shared" si="37"/>
        <v>178  003.002.028  Servições Técnicos Profissionais</v>
      </c>
      <c r="B2876" s="636">
        <v>178</v>
      </c>
      <c r="C2876" s="614"/>
      <c r="D2876" s="638" t="s">
        <v>2596</v>
      </c>
      <c r="E2876" s="165"/>
      <c r="F2876" s="614"/>
      <c r="G2876" s="612" t="s">
        <v>2597</v>
      </c>
    </row>
    <row r="2877" spans="1:7" ht="20.100000000000001" customHeight="1" x14ac:dyDescent="0.2">
      <c r="A2877" s="681" t="str">
        <f t="shared" si="37"/>
        <v>179  003.002.029  Locação de Imóveis</v>
      </c>
      <c r="B2877" s="636">
        <v>179</v>
      </c>
      <c r="C2877" s="614"/>
      <c r="D2877" s="638" t="s">
        <v>2598</v>
      </c>
      <c r="E2877" s="165"/>
      <c r="F2877" s="614"/>
      <c r="G2877" s="612" t="s">
        <v>2227</v>
      </c>
    </row>
    <row r="2878" spans="1:7" ht="20.100000000000001" customHeight="1" x14ac:dyDescent="0.2">
      <c r="A2878" s="681" t="str">
        <f t="shared" si="37"/>
        <v>180  003.002.030  Locação de Sistema de Processamento de Dados</v>
      </c>
      <c r="B2878" s="636">
        <v>180</v>
      </c>
      <c r="C2878" s="614"/>
      <c r="D2878" s="638" t="s">
        <v>2599</v>
      </c>
      <c r="E2878" s="165"/>
      <c r="F2878" s="614"/>
      <c r="G2878" s="612" t="s">
        <v>2600</v>
      </c>
    </row>
    <row r="2879" spans="1:7" ht="20.100000000000001" customHeight="1" x14ac:dyDescent="0.2">
      <c r="A2879" s="681" t="str">
        <f t="shared" si="37"/>
        <v>181  003.002.031   Geral</v>
      </c>
      <c r="B2879" s="636">
        <v>181</v>
      </c>
      <c r="C2879" s="614"/>
      <c r="D2879" s="638" t="s">
        <v>2601</v>
      </c>
      <c r="E2879" s="165"/>
      <c r="F2879" s="614"/>
      <c r="G2879" s="612" t="s">
        <v>2602</v>
      </c>
    </row>
    <row r="2880" spans="1:7" ht="20.100000000000001" customHeight="1" x14ac:dyDescent="0.2">
      <c r="A2880" s="681" t="str">
        <f t="shared" si="37"/>
        <v>1470  003.002.032  Serviços Postais</v>
      </c>
      <c r="B2880" s="636">
        <v>1470</v>
      </c>
      <c r="C2880" s="614"/>
      <c r="D2880" s="638" t="s">
        <v>2603</v>
      </c>
      <c r="E2880" s="165"/>
      <c r="F2880" s="614"/>
      <c r="G2880" s="612" t="s">
        <v>2604</v>
      </c>
    </row>
    <row r="2881" spans="1:7" ht="20.100000000000001" customHeight="1" x14ac:dyDescent="0.2">
      <c r="A2881" s="681" t="str">
        <f t="shared" si="37"/>
        <v>1480  003.002.033  Agua Mineral</v>
      </c>
      <c r="B2881" s="636">
        <v>1480</v>
      </c>
      <c r="C2881" s="614"/>
      <c r="D2881" s="638" t="s">
        <v>2605</v>
      </c>
      <c r="E2881" s="165"/>
      <c r="F2881" s="614"/>
      <c r="G2881" s="612" t="s">
        <v>2527</v>
      </c>
    </row>
    <row r="2882" spans="1:7" ht="20.100000000000001" customHeight="1" x14ac:dyDescent="0.2">
      <c r="A2882" s="681" t="str">
        <f t="shared" si="37"/>
        <v>1508  003.002.034  INSS Patronal S/Serviços Pessoa Fisica</v>
      </c>
      <c r="B2882" s="636">
        <v>1508</v>
      </c>
      <c r="C2882" s="614"/>
      <c r="D2882" s="638" t="s">
        <v>2606</v>
      </c>
      <c r="E2882" s="165"/>
      <c r="F2882" s="614"/>
      <c r="G2882" s="612" t="s">
        <v>2607</v>
      </c>
    </row>
    <row r="2883" spans="1:7" ht="20.100000000000001" customHeight="1" x14ac:dyDescent="0.2">
      <c r="A2883" s="681" t="str">
        <f t="shared" ref="A2883:A2946" si="38">CONCATENATE(B2883,"  ",D2883,"  ",G2883)</f>
        <v>1509  003.002.035  INSS Patronal S/Serviços Cooperarativas ( Unimed, Etc.)</v>
      </c>
      <c r="B2883" s="636">
        <v>1509</v>
      </c>
      <c r="C2883" s="614"/>
      <c r="D2883" s="638" t="s">
        <v>2608</v>
      </c>
      <c r="E2883" s="165"/>
      <c r="F2883" s="614"/>
      <c r="G2883" s="612" t="s">
        <v>2609</v>
      </c>
    </row>
    <row r="2884" spans="1:7" ht="20.100000000000001" customHeight="1" x14ac:dyDescent="0.2">
      <c r="A2884" s="681" t="str">
        <f t="shared" si="38"/>
        <v>1510  003.002.036  INSS Patronal S/Serviços Pessoa Juridica e M.E.I</v>
      </c>
      <c r="B2884" s="636">
        <v>1510</v>
      </c>
      <c r="C2884" s="614"/>
      <c r="D2884" s="638" t="s">
        <v>2610</v>
      </c>
      <c r="E2884" s="165"/>
      <c r="F2884" s="614"/>
      <c r="G2884" s="612" t="s">
        <v>2611</v>
      </c>
    </row>
    <row r="2885" spans="1:7" ht="20.100000000000001" customHeight="1" x14ac:dyDescent="0.2">
      <c r="A2885" s="681" t="str">
        <f t="shared" si="38"/>
        <v>182  003.003.000  GESTAO DE SISTEMAS DE INFORMÁTICA E COMUNICACAO</v>
      </c>
      <c r="B2885" s="636">
        <v>182</v>
      </c>
      <c r="C2885" s="614"/>
      <c r="D2885" s="638" t="s">
        <v>2612</v>
      </c>
      <c r="E2885" s="165"/>
      <c r="F2885" s="614"/>
      <c r="G2885" s="612" t="s">
        <v>2613</v>
      </c>
    </row>
    <row r="2886" spans="1:7" ht="20.100000000000001" customHeight="1" x14ac:dyDescent="0.2">
      <c r="A2886" s="681" t="str">
        <f t="shared" si="38"/>
        <v>183  003.003.001  Material de Informática</v>
      </c>
      <c r="B2886" s="636">
        <v>183</v>
      </c>
      <c r="C2886" s="614"/>
      <c r="D2886" s="638" t="s">
        <v>2614</v>
      </c>
      <c r="E2886" s="165"/>
      <c r="F2886" s="614"/>
      <c r="G2886" s="612" t="s">
        <v>2615</v>
      </c>
    </row>
    <row r="2887" spans="1:7" ht="20.100000000000001" customHeight="1" x14ac:dyDescent="0.2">
      <c r="A2887" s="681" t="str">
        <f t="shared" si="38"/>
        <v>184  003.003.002  Material de Comunicação</v>
      </c>
      <c r="B2887" s="636">
        <v>184</v>
      </c>
      <c r="C2887" s="614"/>
      <c r="D2887" s="638" t="s">
        <v>2616</v>
      </c>
      <c r="E2887" s="165"/>
      <c r="F2887" s="614"/>
      <c r="G2887" s="612" t="s">
        <v>2617</v>
      </c>
    </row>
    <row r="2888" spans="1:7" ht="20.100000000000001" customHeight="1" x14ac:dyDescent="0.2">
      <c r="A2888" s="681" t="str">
        <f t="shared" si="38"/>
        <v>185  003.003.003  Manutenção e Conservação Eq. Informática</v>
      </c>
      <c r="B2888" s="636">
        <v>185</v>
      </c>
      <c r="C2888" s="614"/>
      <c r="D2888" s="638" t="s">
        <v>2618</v>
      </c>
      <c r="E2888" s="165"/>
      <c r="F2888" s="614"/>
      <c r="G2888" s="612" t="s">
        <v>2619</v>
      </c>
    </row>
    <row r="2889" spans="1:7" ht="20.100000000000001" customHeight="1" x14ac:dyDescent="0.2">
      <c r="A2889" s="681" t="str">
        <f t="shared" si="38"/>
        <v>186  003.003.004  Manutenção e Conservação Eq. Comunicação</v>
      </c>
      <c r="B2889" s="636">
        <v>186</v>
      </c>
      <c r="C2889" s="614"/>
      <c r="D2889" s="638" t="s">
        <v>2620</v>
      </c>
      <c r="E2889" s="165"/>
      <c r="F2889" s="614"/>
      <c r="G2889" s="612" t="s">
        <v>2621</v>
      </c>
    </row>
    <row r="2890" spans="1:7" ht="20.100000000000001" customHeight="1" x14ac:dyDescent="0.2">
      <c r="A2890" s="681" t="str">
        <f t="shared" si="38"/>
        <v>187  003.003.005  Locação de Sistemas</v>
      </c>
      <c r="B2890" s="636">
        <v>187</v>
      </c>
      <c r="C2890" s="614"/>
      <c r="D2890" s="638" t="s">
        <v>2622</v>
      </c>
      <c r="E2890" s="165"/>
      <c r="F2890" s="614"/>
      <c r="G2890" s="612" t="s">
        <v>2623</v>
      </c>
    </row>
    <row r="2891" spans="1:7" ht="20.100000000000001" customHeight="1" x14ac:dyDescent="0.2">
      <c r="A2891" s="681" t="str">
        <f t="shared" si="38"/>
        <v>188  003.003.006  Internet</v>
      </c>
      <c r="B2891" s="636">
        <v>188</v>
      </c>
      <c r="C2891" s="614"/>
      <c r="D2891" s="638" t="s">
        <v>2624</v>
      </c>
      <c r="E2891" s="165"/>
      <c r="F2891" s="614"/>
      <c r="G2891" s="612" t="s">
        <v>2371</v>
      </c>
    </row>
    <row r="2892" spans="1:7" ht="20.100000000000001" customHeight="1" x14ac:dyDescent="0.2">
      <c r="A2892" s="681" t="str">
        <f t="shared" si="38"/>
        <v>189  003.003.007  Geral</v>
      </c>
      <c r="B2892" s="636">
        <v>189</v>
      </c>
      <c r="C2892" s="614"/>
      <c r="D2892" s="638" t="s">
        <v>2625</v>
      </c>
      <c r="E2892" s="165"/>
      <c r="F2892" s="614"/>
      <c r="G2892" s="612" t="s">
        <v>2380</v>
      </c>
    </row>
    <row r="2893" spans="1:7" ht="20.100000000000001" customHeight="1" x14ac:dyDescent="0.2">
      <c r="A2893" s="681" t="str">
        <f t="shared" si="38"/>
        <v>205  003.003.008  Servicos Tecnicos Profissionai</v>
      </c>
      <c r="B2893" s="636">
        <v>205</v>
      </c>
      <c r="C2893" s="614"/>
      <c r="D2893" s="638" t="s">
        <v>2626</v>
      </c>
      <c r="E2893" s="165"/>
      <c r="F2893" s="614"/>
      <c r="G2893" s="612" t="s">
        <v>2627</v>
      </c>
    </row>
    <row r="2894" spans="1:7" ht="20.100000000000001" customHeight="1" x14ac:dyDescent="0.2">
      <c r="A2894" s="681" t="str">
        <f t="shared" si="38"/>
        <v>1420  003.003.009  Hospedagem de Site</v>
      </c>
      <c r="B2894" s="636">
        <v>1420</v>
      </c>
      <c r="C2894" s="614"/>
      <c r="D2894" s="638" t="s">
        <v>2628</v>
      </c>
      <c r="E2894" s="165"/>
      <c r="F2894" s="614"/>
      <c r="G2894" s="612" t="s">
        <v>2629</v>
      </c>
    </row>
    <row r="2895" spans="1:7" ht="20.100000000000001" customHeight="1" x14ac:dyDescent="0.2">
      <c r="A2895" s="681" t="str">
        <f t="shared" si="38"/>
        <v>1511  003.003.010  Apoios Culturaus Radio Comunitaria</v>
      </c>
      <c r="B2895" s="636">
        <v>1511</v>
      </c>
      <c r="C2895" s="614"/>
      <c r="D2895" s="638" t="s">
        <v>2630</v>
      </c>
      <c r="E2895" s="165"/>
      <c r="F2895" s="614"/>
      <c r="G2895" s="612" t="s">
        <v>2631</v>
      </c>
    </row>
    <row r="2896" spans="1:7" ht="20.100000000000001" customHeight="1" x14ac:dyDescent="0.2">
      <c r="A2896" s="681" t="str">
        <f t="shared" si="38"/>
        <v>1557  003.003.011  Sistema de Telefonia Fixa</v>
      </c>
      <c r="B2896" s="636">
        <v>1557</v>
      </c>
      <c r="C2896" s="614"/>
      <c r="D2896" s="638" t="s">
        <v>2632</v>
      </c>
      <c r="E2896" s="165"/>
      <c r="F2896" s="614"/>
      <c r="G2896" s="612" t="s">
        <v>2633</v>
      </c>
    </row>
    <row r="2897" spans="1:7" ht="20.100000000000001" customHeight="1" x14ac:dyDescent="0.2">
      <c r="A2897" s="681" t="str">
        <f t="shared" si="38"/>
        <v>190  003.004.000  GESTÃO DE CONVENIOS E PARCERIAS</v>
      </c>
      <c r="B2897" s="636">
        <v>190</v>
      </c>
      <c r="C2897" s="614"/>
      <c r="D2897" s="638" t="s">
        <v>2634</v>
      </c>
      <c r="E2897" s="165"/>
      <c r="F2897" s="614"/>
      <c r="G2897" s="612" t="s">
        <v>2635</v>
      </c>
    </row>
    <row r="2898" spans="1:7" ht="20.100000000000001" customHeight="1" x14ac:dyDescent="0.2">
      <c r="A2898" s="681" t="str">
        <f t="shared" si="38"/>
        <v>191  003.004.001  Execução Convênios</v>
      </c>
      <c r="B2898" s="636">
        <v>191</v>
      </c>
      <c r="C2898" s="614"/>
      <c r="D2898" s="638" t="s">
        <v>2636</v>
      </c>
      <c r="E2898" s="165"/>
      <c r="F2898" s="614"/>
      <c r="G2898" s="612" t="s">
        <v>2637</v>
      </c>
    </row>
    <row r="2899" spans="1:7" ht="20.100000000000001" customHeight="1" x14ac:dyDescent="0.2">
      <c r="A2899" s="681" t="str">
        <f t="shared" si="38"/>
        <v>192  003.004.002  Execução ContraPartida</v>
      </c>
      <c r="B2899" s="636">
        <v>192</v>
      </c>
      <c r="C2899" s="614"/>
      <c r="D2899" s="638" t="s">
        <v>2638</v>
      </c>
      <c r="E2899" s="165"/>
      <c r="F2899" s="614"/>
      <c r="G2899" s="612" t="s">
        <v>2639</v>
      </c>
    </row>
    <row r="2900" spans="1:7" ht="20.100000000000001" customHeight="1" x14ac:dyDescent="0.2">
      <c r="A2900" s="681" t="str">
        <f t="shared" si="38"/>
        <v>193  003.005.000  CUSTO DE AQUISIÇÃO DE BENS MOVEIS, IMÓVEIS E VEÍCULOS</v>
      </c>
      <c r="B2900" s="636">
        <v>193</v>
      </c>
      <c r="C2900" s="614"/>
      <c r="D2900" s="638" t="s">
        <v>2640</v>
      </c>
      <c r="E2900" s="165"/>
      <c r="F2900" s="614"/>
      <c r="G2900" s="612" t="s">
        <v>2641</v>
      </c>
    </row>
    <row r="2901" spans="1:7" ht="20.100000000000001" customHeight="1" x14ac:dyDescent="0.2">
      <c r="A2901" s="681" t="str">
        <f t="shared" si="38"/>
        <v>194  003.005.001  Mobiliário</v>
      </c>
      <c r="B2901" s="636">
        <v>194</v>
      </c>
      <c r="C2901" s="614"/>
      <c r="D2901" s="638" t="s">
        <v>2642</v>
      </c>
      <c r="E2901" s="165"/>
      <c r="F2901" s="614"/>
      <c r="G2901" s="612" t="s">
        <v>2301</v>
      </c>
    </row>
    <row r="2902" spans="1:7" ht="20.100000000000001" customHeight="1" x14ac:dyDescent="0.2">
      <c r="A2902" s="681" t="str">
        <f t="shared" si="38"/>
        <v>195  003.005.002  Utensílios Domesticos</v>
      </c>
      <c r="B2902" s="636">
        <v>195</v>
      </c>
      <c r="C2902" s="614"/>
      <c r="D2902" s="638" t="s">
        <v>2643</v>
      </c>
      <c r="E2902" s="165"/>
      <c r="F2902" s="614"/>
      <c r="G2902" s="612" t="s">
        <v>2644</v>
      </c>
    </row>
    <row r="2903" spans="1:7" ht="20.100000000000001" customHeight="1" x14ac:dyDescent="0.2">
      <c r="A2903" s="681" t="str">
        <f t="shared" si="38"/>
        <v>196  003.005.003  Informática</v>
      </c>
      <c r="B2903" s="636">
        <v>196</v>
      </c>
      <c r="C2903" s="614"/>
      <c r="D2903" s="638" t="s">
        <v>2645</v>
      </c>
      <c r="E2903" s="165"/>
      <c r="F2903" s="614"/>
      <c r="G2903" s="612" t="s">
        <v>2405</v>
      </c>
    </row>
    <row r="2904" spans="1:7" ht="20.100000000000001" customHeight="1" x14ac:dyDescent="0.2">
      <c r="A2904" s="681" t="str">
        <f t="shared" si="38"/>
        <v>197  003.005.004  Comunicação</v>
      </c>
      <c r="B2904" s="636">
        <v>197</v>
      </c>
      <c r="C2904" s="614"/>
      <c r="D2904" s="638" t="s">
        <v>2646</v>
      </c>
      <c r="E2904" s="165"/>
      <c r="F2904" s="614"/>
      <c r="G2904" s="612" t="s">
        <v>2647</v>
      </c>
    </row>
    <row r="2905" spans="1:7" ht="20.100000000000001" customHeight="1" x14ac:dyDescent="0.2">
      <c r="A2905" s="681" t="str">
        <f t="shared" si="38"/>
        <v>198  003.005.006  Eletronicos em Geral</v>
      </c>
      <c r="B2905" s="636">
        <v>198</v>
      </c>
      <c r="C2905" s="614"/>
      <c r="D2905" s="638" t="s">
        <v>2648</v>
      </c>
      <c r="E2905" s="165"/>
      <c r="F2905" s="614"/>
      <c r="G2905" s="612" t="s">
        <v>2408</v>
      </c>
    </row>
    <row r="2906" spans="1:7" ht="20.100000000000001" customHeight="1" x14ac:dyDescent="0.2">
      <c r="A2906" s="681" t="str">
        <f t="shared" si="38"/>
        <v>199  003.005.007  Reforma de Predios</v>
      </c>
      <c r="B2906" s="636">
        <v>199</v>
      </c>
      <c r="C2906" s="614"/>
      <c r="D2906" s="638" t="s">
        <v>2649</v>
      </c>
      <c r="E2906" s="165"/>
      <c r="F2906" s="614"/>
      <c r="G2906" s="612" t="s">
        <v>2650</v>
      </c>
    </row>
    <row r="2907" spans="1:7" ht="20.100000000000001" customHeight="1" x14ac:dyDescent="0.2">
      <c r="A2907" s="681" t="str">
        <f t="shared" si="38"/>
        <v>200  003.005.008  Construção de Predios</v>
      </c>
      <c r="B2907" s="636">
        <v>200</v>
      </c>
      <c r="C2907" s="614"/>
      <c r="D2907" s="638" t="s">
        <v>2651</v>
      </c>
      <c r="E2907" s="165"/>
      <c r="F2907" s="614"/>
      <c r="G2907" s="612" t="s">
        <v>2652</v>
      </c>
    </row>
    <row r="2908" spans="1:7" ht="20.100000000000001" customHeight="1" x14ac:dyDescent="0.2">
      <c r="A2908" s="681" t="str">
        <f t="shared" si="38"/>
        <v>201  003.005.009  Ampliação de Predios</v>
      </c>
      <c r="B2908" s="636">
        <v>201</v>
      </c>
      <c r="C2908" s="614"/>
      <c r="D2908" s="638" t="s">
        <v>2653</v>
      </c>
      <c r="E2908" s="165"/>
      <c r="F2908" s="614"/>
      <c r="G2908" s="612" t="s">
        <v>2654</v>
      </c>
    </row>
    <row r="2909" spans="1:7" ht="20.100000000000001" customHeight="1" x14ac:dyDescent="0.2">
      <c r="A2909" s="681" t="str">
        <f t="shared" si="38"/>
        <v>202  003.005.010  Aquisição de Terrenos</v>
      </c>
      <c r="B2909" s="636">
        <v>202</v>
      </c>
      <c r="C2909" s="614"/>
      <c r="D2909" s="638" t="s">
        <v>2655</v>
      </c>
      <c r="E2909" s="165"/>
      <c r="F2909" s="614"/>
      <c r="G2909" s="612" t="s">
        <v>2656</v>
      </c>
    </row>
    <row r="2910" spans="1:7" ht="20.100000000000001" customHeight="1" x14ac:dyDescent="0.2">
      <c r="A2910" s="681" t="str">
        <f t="shared" si="38"/>
        <v>203  003.005.011  Veículos</v>
      </c>
      <c r="B2910" s="636">
        <v>203</v>
      </c>
      <c r="C2910" s="614"/>
      <c r="D2910" s="638" t="s">
        <v>2657</v>
      </c>
      <c r="E2910" s="165"/>
      <c r="F2910" s="614"/>
      <c r="G2910" s="612" t="s">
        <v>2416</v>
      </c>
    </row>
    <row r="2911" spans="1:7" ht="20.100000000000001" customHeight="1" x14ac:dyDescent="0.2">
      <c r="A2911" s="681" t="str">
        <f t="shared" si="38"/>
        <v>1001  003.006.006  Outros</v>
      </c>
      <c r="B2911" s="636">
        <v>1001</v>
      </c>
      <c r="C2911" s="614"/>
      <c r="D2911" s="638" t="s">
        <v>2658</v>
      </c>
      <c r="E2911" s="165"/>
      <c r="F2911" s="614"/>
      <c r="G2911" s="612" t="s">
        <v>2659</v>
      </c>
    </row>
    <row r="2912" spans="1:7" ht="20.100000000000001" customHeight="1" x14ac:dyDescent="0.2">
      <c r="A2912" s="681" t="str">
        <f t="shared" si="38"/>
        <v>1089  003.010.007  Generos Alimenticios</v>
      </c>
      <c r="B2912" s="636">
        <v>1089</v>
      </c>
      <c r="C2912" s="614"/>
      <c r="D2912" s="638" t="s">
        <v>2660</v>
      </c>
      <c r="E2912" s="165"/>
      <c r="F2912" s="614"/>
      <c r="G2912" s="612" t="s">
        <v>2340</v>
      </c>
    </row>
    <row r="2913" spans="1:7" ht="20.100000000000001" customHeight="1" x14ac:dyDescent="0.2">
      <c r="A2913" s="681" t="str">
        <f t="shared" si="38"/>
        <v>206  004.000.000  SECRETARIA MUNICIPAL DA FAZENDA</v>
      </c>
      <c r="B2913" s="636">
        <v>206</v>
      </c>
      <c r="C2913" s="614"/>
      <c r="D2913" s="638" t="s">
        <v>2661</v>
      </c>
      <c r="E2913" s="165"/>
      <c r="F2913" s="614"/>
      <c r="G2913" s="612" t="s">
        <v>433</v>
      </c>
    </row>
    <row r="2914" spans="1:7" ht="20.100000000000001" customHeight="1" x14ac:dyDescent="0.2">
      <c r="A2914" s="681" t="str">
        <f t="shared" si="38"/>
        <v>207  004.001.000  PESSOAL E ENCARGOS SOCIAIS</v>
      </c>
      <c r="B2914" s="636">
        <v>207</v>
      </c>
      <c r="C2914" s="614"/>
      <c r="D2914" s="638" t="s">
        <v>2662</v>
      </c>
      <c r="E2914" s="165"/>
      <c r="F2914" s="614"/>
      <c r="G2914" s="612" t="s">
        <v>2393</v>
      </c>
    </row>
    <row r="2915" spans="1:7" ht="20.100000000000001" customHeight="1" x14ac:dyDescent="0.2">
      <c r="A2915" s="681" t="str">
        <f t="shared" si="38"/>
        <v>208  004.001.001  Servidores Contratados</v>
      </c>
      <c r="B2915" s="636">
        <v>208</v>
      </c>
      <c r="C2915" s="614"/>
      <c r="D2915" s="638" t="s">
        <v>2663</v>
      </c>
      <c r="E2915" s="165"/>
      <c r="F2915" s="614"/>
      <c r="G2915" s="612" t="s">
        <v>2396</v>
      </c>
    </row>
    <row r="2916" spans="1:7" ht="20.100000000000001" customHeight="1" x14ac:dyDescent="0.2">
      <c r="A2916" s="681" t="str">
        <f t="shared" si="38"/>
        <v>209  004.001.002  Servidores Efetivos</v>
      </c>
      <c r="B2916" s="636">
        <v>209</v>
      </c>
      <c r="C2916" s="614"/>
      <c r="D2916" s="638" t="s">
        <v>2664</v>
      </c>
      <c r="E2916" s="165"/>
      <c r="F2916" s="614"/>
      <c r="G2916" s="612" t="s">
        <v>2141</v>
      </c>
    </row>
    <row r="2917" spans="1:7" ht="20.100000000000001" customHeight="1" x14ac:dyDescent="0.2">
      <c r="A2917" s="681" t="str">
        <f t="shared" si="38"/>
        <v>210  004.001.003  Servidores C.C.</v>
      </c>
      <c r="B2917" s="636">
        <v>210</v>
      </c>
      <c r="C2917" s="614"/>
      <c r="D2917" s="638" t="s">
        <v>2665</v>
      </c>
      <c r="E2917" s="165"/>
      <c r="F2917" s="614"/>
      <c r="G2917" s="612" t="s">
        <v>2142</v>
      </c>
    </row>
    <row r="2918" spans="1:7" ht="20.100000000000001" customHeight="1" x14ac:dyDescent="0.2">
      <c r="A2918" s="681" t="str">
        <f t="shared" si="38"/>
        <v>211  004.001.004  Agente Politico</v>
      </c>
      <c r="B2918" s="636">
        <v>211</v>
      </c>
      <c r="C2918" s="614"/>
      <c r="D2918" s="638" t="s">
        <v>2666</v>
      </c>
      <c r="E2918" s="165"/>
      <c r="F2918" s="614"/>
      <c r="G2918" s="612" t="s">
        <v>2399</v>
      </c>
    </row>
    <row r="2919" spans="1:7" ht="20.100000000000001" customHeight="1" x14ac:dyDescent="0.2">
      <c r="A2919" s="681" t="str">
        <f t="shared" si="38"/>
        <v>1516  004.001.005  Horas Extras - Serv. Efetivos</v>
      </c>
      <c r="B2919" s="636">
        <v>1516</v>
      </c>
      <c r="C2919" s="614"/>
      <c r="D2919" s="638" t="s">
        <v>2667</v>
      </c>
      <c r="E2919" s="165"/>
      <c r="F2919" s="614"/>
      <c r="G2919" s="612" t="s">
        <v>2668</v>
      </c>
    </row>
    <row r="2920" spans="1:7" ht="20.100000000000001" customHeight="1" x14ac:dyDescent="0.2">
      <c r="A2920" s="681" t="str">
        <f t="shared" si="38"/>
        <v>1517  004.001.006  Horas Extras - Serv. Contratados</v>
      </c>
      <c r="B2920" s="636">
        <v>1517</v>
      </c>
      <c r="C2920" s="614"/>
      <c r="D2920" s="638" t="s">
        <v>2669</v>
      </c>
      <c r="E2920" s="165"/>
      <c r="F2920" s="614"/>
      <c r="G2920" s="612" t="s">
        <v>2670</v>
      </c>
    </row>
    <row r="2921" spans="1:7" ht="20.100000000000001" customHeight="1" x14ac:dyDescent="0.2">
      <c r="A2921" s="681" t="str">
        <f t="shared" si="38"/>
        <v>212  004.002.000  GESTÃO OPERACIONAL</v>
      </c>
      <c r="B2921" s="636">
        <v>212</v>
      </c>
      <c r="C2921" s="614"/>
      <c r="D2921" s="638" t="s">
        <v>2671</v>
      </c>
      <c r="E2921" s="165"/>
      <c r="F2921" s="614"/>
      <c r="G2921" s="612" t="s">
        <v>2672</v>
      </c>
    </row>
    <row r="2922" spans="1:7" ht="20.100000000000001" customHeight="1" x14ac:dyDescent="0.2">
      <c r="A2922" s="681" t="str">
        <f t="shared" si="38"/>
        <v>213  004.002.001  Diarias Servidores Efetivos</v>
      </c>
      <c r="B2922" s="636">
        <v>213</v>
      </c>
      <c r="C2922" s="614"/>
      <c r="D2922" s="638" t="s">
        <v>2673</v>
      </c>
      <c r="E2922" s="165"/>
      <c r="F2922" s="614"/>
      <c r="G2922" s="612" t="s">
        <v>2156</v>
      </c>
    </row>
    <row r="2923" spans="1:7" ht="20.100000000000001" customHeight="1" x14ac:dyDescent="0.2">
      <c r="A2923" s="681" t="str">
        <f t="shared" si="38"/>
        <v>214  004.002.002  Diarias Servidores Contratados</v>
      </c>
      <c r="B2923" s="636">
        <v>214</v>
      </c>
      <c r="C2923" s="614"/>
      <c r="D2923" s="638" t="s">
        <v>2674</v>
      </c>
      <c r="E2923" s="165"/>
      <c r="F2923" s="614"/>
      <c r="G2923" s="612" t="s">
        <v>2263</v>
      </c>
    </row>
    <row r="2924" spans="1:7" ht="20.100000000000001" customHeight="1" x14ac:dyDescent="0.2">
      <c r="A2924" s="681" t="str">
        <f t="shared" si="38"/>
        <v>215  004.002.003  Diarias Servidores C.C.</v>
      </c>
      <c r="B2924" s="636">
        <v>215</v>
      </c>
      <c r="C2924" s="614"/>
      <c r="D2924" s="638" t="s">
        <v>2675</v>
      </c>
      <c r="E2924" s="165"/>
      <c r="F2924" s="614"/>
      <c r="G2924" s="612" t="s">
        <v>2157</v>
      </c>
    </row>
    <row r="2925" spans="1:7" ht="20.100000000000001" customHeight="1" x14ac:dyDescent="0.2">
      <c r="A2925" s="681" t="str">
        <f t="shared" si="38"/>
        <v>216  004.002.004  Diarias Agente Político</v>
      </c>
      <c r="B2925" s="636">
        <v>216</v>
      </c>
      <c r="C2925" s="614"/>
      <c r="D2925" s="638" t="s">
        <v>2676</v>
      </c>
      <c r="E2925" s="165"/>
      <c r="F2925" s="614"/>
      <c r="G2925" s="612" t="s">
        <v>2677</v>
      </c>
    </row>
    <row r="2926" spans="1:7" ht="20.100000000000001" customHeight="1" x14ac:dyDescent="0.2">
      <c r="A2926" s="681" t="str">
        <f t="shared" si="38"/>
        <v>217  004.002.005  Gratif. Controle Interno Lei 233/2001</v>
      </c>
      <c r="B2926" s="636">
        <v>217</v>
      </c>
      <c r="C2926" s="614"/>
      <c r="D2926" s="638" t="s">
        <v>2678</v>
      </c>
      <c r="E2926" s="165"/>
      <c r="F2926" s="614"/>
      <c r="G2926" s="612" t="s">
        <v>2679</v>
      </c>
    </row>
    <row r="2927" spans="1:7" ht="20.100000000000001" customHeight="1" x14ac:dyDescent="0.2">
      <c r="A2927" s="681" t="str">
        <f t="shared" si="38"/>
        <v>218  004.002.006  Gas de Cozinha</v>
      </c>
      <c r="B2927" s="636">
        <v>218</v>
      </c>
      <c r="C2927" s="614"/>
      <c r="D2927" s="638" t="s">
        <v>2680</v>
      </c>
      <c r="E2927" s="165"/>
      <c r="F2927" s="614"/>
      <c r="G2927" s="612" t="s">
        <v>2342</v>
      </c>
    </row>
    <row r="2928" spans="1:7" ht="20.100000000000001" customHeight="1" x14ac:dyDescent="0.2">
      <c r="A2928" s="681" t="str">
        <f t="shared" si="38"/>
        <v>219  004.002.007  Generos Alimentícios</v>
      </c>
      <c r="B2928" s="636">
        <v>219</v>
      </c>
      <c r="C2928" s="614"/>
      <c r="D2928" s="638" t="s">
        <v>2681</v>
      </c>
      <c r="E2928" s="165"/>
      <c r="F2928" s="614"/>
      <c r="G2928" s="612" t="s">
        <v>2490</v>
      </c>
    </row>
    <row r="2929" spans="1:7" ht="20.100000000000001" customHeight="1" x14ac:dyDescent="0.2">
      <c r="A2929" s="681" t="str">
        <f t="shared" si="38"/>
        <v>220  004.002.008  Material de Expediente</v>
      </c>
      <c r="B2929" s="636">
        <v>220</v>
      </c>
      <c r="C2929" s="614"/>
      <c r="D2929" s="638" t="s">
        <v>2682</v>
      </c>
      <c r="E2929" s="165"/>
      <c r="F2929" s="614"/>
      <c r="G2929" s="612" t="s">
        <v>2346</v>
      </c>
    </row>
    <row r="2930" spans="1:7" ht="20.100000000000001" customHeight="1" x14ac:dyDescent="0.2">
      <c r="A2930" s="681" t="str">
        <f t="shared" si="38"/>
        <v>221  004.002.009  Copa e Cozinha</v>
      </c>
      <c r="B2930" s="636">
        <v>221</v>
      </c>
      <c r="C2930" s="614"/>
      <c r="D2930" s="638" t="s">
        <v>2683</v>
      </c>
      <c r="E2930" s="165"/>
      <c r="F2930" s="614"/>
      <c r="G2930" s="612" t="s">
        <v>2684</v>
      </c>
    </row>
    <row r="2931" spans="1:7" ht="20.100000000000001" customHeight="1" x14ac:dyDescent="0.2">
      <c r="A2931" s="681" t="str">
        <f t="shared" si="38"/>
        <v>222  004.002.010  Suprimentos de Informática</v>
      </c>
      <c r="B2931" s="636">
        <v>222</v>
      </c>
      <c r="C2931" s="614"/>
      <c r="D2931" s="638" t="s">
        <v>2685</v>
      </c>
      <c r="E2931" s="165"/>
      <c r="F2931" s="614"/>
      <c r="G2931" s="612" t="s">
        <v>2435</v>
      </c>
    </row>
    <row r="2932" spans="1:7" ht="20.100000000000001" customHeight="1" x14ac:dyDescent="0.2">
      <c r="A2932" s="681" t="str">
        <f t="shared" si="38"/>
        <v>223  004.002.011  Material de Limpeza e Higiene</v>
      </c>
      <c r="B2932" s="636">
        <v>223</v>
      </c>
      <c r="C2932" s="614"/>
      <c r="D2932" s="638" t="s">
        <v>2686</v>
      </c>
      <c r="E2932" s="165"/>
      <c r="F2932" s="614"/>
      <c r="G2932" s="612" t="s">
        <v>2569</v>
      </c>
    </row>
    <row r="2933" spans="1:7" ht="20.100000000000001" customHeight="1" x14ac:dyDescent="0.2">
      <c r="A2933" s="681" t="str">
        <f t="shared" si="38"/>
        <v>224  004.002.012  Manutenção de Bens Imóveis</v>
      </c>
      <c r="B2933" s="636">
        <v>224</v>
      </c>
      <c r="C2933" s="614"/>
      <c r="D2933" s="638" t="s">
        <v>2687</v>
      </c>
      <c r="E2933" s="165"/>
      <c r="F2933" s="614"/>
      <c r="G2933" s="612" t="s">
        <v>2437</v>
      </c>
    </row>
    <row r="2934" spans="1:7" ht="20.100000000000001" customHeight="1" x14ac:dyDescent="0.2">
      <c r="A2934" s="681" t="str">
        <f t="shared" si="38"/>
        <v>225  004.002.013  Manutenção de Bens Móveis e Utensílios</v>
      </c>
      <c r="B2934" s="636">
        <v>225</v>
      </c>
      <c r="C2934" s="614"/>
      <c r="D2934" s="638" t="s">
        <v>2688</v>
      </c>
      <c r="E2934" s="165"/>
      <c r="F2934" s="614"/>
      <c r="G2934" s="612" t="s">
        <v>2689</v>
      </c>
    </row>
    <row r="2935" spans="1:7" ht="20.100000000000001" customHeight="1" x14ac:dyDescent="0.2">
      <c r="A2935" s="681" t="str">
        <f t="shared" si="38"/>
        <v>226  004.002.014  Serviços Técnicos Profissionais</v>
      </c>
      <c r="B2935" s="636">
        <v>226</v>
      </c>
      <c r="C2935" s="614"/>
      <c r="D2935" s="638" t="s">
        <v>2690</v>
      </c>
      <c r="E2935" s="165"/>
      <c r="F2935" s="614"/>
      <c r="G2935" s="612" t="s">
        <v>2509</v>
      </c>
    </row>
    <row r="2936" spans="1:7" ht="20.100000000000001" customHeight="1" x14ac:dyDescent="0.2">
      <c r="A2936" s="681" t="str">
        <f t="shared" si="38"/>
        <v>227  004.002.015  Seleção e Treinamento</v>
      </c>
      <c r="B2936" s="636">
        <v>227</v>
      </c>
      <c r="C2936" s="614"/>
      <c r="D2936" s="638" t="s">
        <v>2691</v>
      </c>
      <c r="E2936" s="165"/>
      <c r="F2936" s="614"/>
      <c r="G2936" s="612" t="s">
        <v>2369</v>
      </c>
    </row>
    <row r="2937" spans="1:7" ht="20.100000000000001" customHeight="1" x14ac:dyDescent="0.2">
      <c r="A2937" s="681" t="str">
        <f t="shared" si="38"/>
        <v>228  004.002.016  Serviços de Informática</v>
      </c>
      <c r="B2937" s="636">
        <v>228</v>
      </c>
      <c r="C2937" s="614"/>
      <c r="D2937" s="638" t="s">
        <v>2692</v>
      </c>
      <c r="E2937" s="165"/>
      <c r="F2937" s="614"/>
      <c r="G2937" s="612" t="s">
        <v>2693</v>
      </c>
    </row>
    <row r="2938" spans="1:7" ht="20.100000000000001" customHeight="1" x14ac:dyDescent="0.2">
      <c r="A2938" s="681" t="str">
        <f t="shared" si="38"/>
        <v>229  004.002.017  Auxilio Alimentação</v>
      </c>
      <c r="B2938" s="636">
        <v>229</v>
      </c>
      <c r="C2938" s="614"/>
      <c r="D2938" s="638" t="s">
        <v>2694</v>
      </c>
      <c r="E2938" s="165"/>
      <c r="F2938" s="614"/>
      <c r="G2938" s="612" t="s">
        <v>2524</v>
      </c>
    </row>
    <row r="2939" spans="1:7" ht="20.100000000000001" customHeight="1" x14ac:dyDescent="0.2">
      <c r="A2939" s="681" t="str">
        <f t="shared" si="38"/>
        <v>230  004.002.018  Auxilio Transporte</v>
      </c>
      <c r="B2939" s="636">
        <v>230</v>
      </c>
      <c r="C2939" s="614"/>
      <c r="D2939" s="638" t="s">
        <v>2695</v>
      </c>
      <c r="E2939" s="165"/>
      <c r="F2939" s="614"/>
      <c r="G2939" s="612" t="s">
        <v>2462</v>
      </c>
    </row>
    <row r="2940" spans="1:7" ht="20.100000000000001" customHeight="1" x14ac:dyDescent="0.2">
      <c r="A2940" s="681" t="str">
        <f t="shared" si="38"/>
        <v>231  004.002.019  Geral</v>
      </c>
      <c r="B2940" s="636">
        <v>231</v>
      </c>
      <c r="C2940" s="614"/>
      <c r="D2940" s="638" t="s">
        <v>2696</v>
      </c>
      <c r="E2940" s="165"/>
      <c r="F2940" s="614"/>
      <c r="G2940" s="612" t="s">
        <v>2380</v>
      </c>
    </row>
    <row r="2941" spans="1:7" ht="20.100000000000001" customHeight="1" x14ac:dyDescent="0.2">
      <c r="A2941" s="681" t="str">
        <f t="shared" si="38"/>
        <v>240  004.002.020  Estagiários</v>
      </c>
      <c r="B2941" s="636">
        <v>240</v>
      </c>
      <c r="C2941" s="614"/>
      <c r="D2941" s="638" t="s">
        <v>2697</v>
      </c>
      <c r="E2941" s="165"/>
      <c r="F2941" s="614"/>
      <c r="G2941" s="612" t="s">
        <v>2449</v>
      </c>
    </row>
    <row r="2942" spans="1:7" ht="20.100000000000001" customHeight="1" x14ac:dyDescent="0.2">
      <c r="A2942" s="681" t="str">
        <f t="shared" si="38"/>
        <v>1481  004.002.021  Agua Mineral</v>
      </c>
      <c r="B2942" s="636">
        <v>1481</v>
      </c>
      <c r="C2942" s="614"/>
      <c r="D2942" s="638" t="s">
        <v>2698</v>
      </c>
      <c r="E2942" s="165"/>
      <c r="F2942" s="614"/>
      <c r="G2942" s="612" t="s">
        <v>2527</v>
      </c>
    </row>
    <row r="2943" spans="1:7" ht="20.100000000000001" customHeight="1" x14ac:dyDescent="0.2">
      <c r="A2943" s="681" t="str">
        <f t="shared" si="38"/>
        <v>232  004.003.000  Programa de Integração Tributaria</v>
      </c>
      <c r="B2943" s="636">
        <v>232</v>
      </c>
      <c r="C2943" s="614"/>
      <c r="D2943" s="638" t="s">
        <v>2699</v>
      </c>
      <c r="E2943" s="165"/>
      <c r="F2943" s="614"/>
      <c r="G2943" s="612" t="s">
        <v>2700</v>
      </c>
    </row>
    <row r="2944" spans="1:7" ht="20.100000000000001" customHeight="1" x14ac:dyDescent="0.2">
      <c r="A2944" s="681" t="str">
        <f t="shared" si="38"/>
        <v>241  004.003.001  Materiais</v>
      </c>
      <c r="B2944" s="636">
        <v>241</v>
      </c>
      <c r="C2944" s="614"/>
      <c r="D2944" s="638" t="s">
        <v>2701</v>
      </c>
      <c r="E2944" s="165"/>
      <c r="F2944" s="614"/>
      <c r="G2944" s="612" t="s">
        <v>2702</v>
      </c>
    </row>
    <row r="2945" spans="1:7" ht="20.100000000000001" customHeight="1" x14ac:dyDescent="0.2">
      <c r="A2945" s="681" t="str">
        <f t="shared" si="38"/>
        <v>242  004.003.002  Premiações</v>
      </c>
      <c r="B2945" s="636">
        <v>242</v>
      </c>
      <c r="C2945" s="614"/>
      <c r="D2945" s="638" t="s">
        <v>2703</v>
      </c>
      <c r="E2945" s="165"/>
      <c r="F2945" s="614"/>
      <c r="G2945" s="612" t="s">
        <v>2704</v>
      </c>
    </row>
    <row r="2946" spans="1:7" ht="20.100000000000001" customHeight="1" x14ac:dyDescent="0.2">
      <c r="A2946" s="681" t="str">
        <f t="shared" si="38"/>
        <v>243  004.003.003  Publicidade</v>
      </c>
      <c r="B2946" s="636">
        <v>243</v>
      </c>
      <c r="C2946" s="614"/>
      <c r="D2946" s="638" t="s">
        <v>2705</v>
      </c>
      <c r="E2946" s="165"/>
      <c r="F2946" s="614"/>
      <c r="G2946" s="612" t="s">
        <v>2706</v>
      </c>
    </row>
    <row r="2947" spans="1:7" ht="20.100000000000001" customHeight="1" x14ac:dyDescent="0.2">
      <c r="A2947" s="681" t="str">
        <f t="shared" ref="A2947:A3011" si="39">CONCATENATE(B2947,"  ",D2947,"  ",G2947)</f>
        <v>244  004.003.004  Serviços P. Física</v>
      </c>
      <c r="B2947" s="636">
        <v>244</v>
      </c>
      <c r="C2947" s="614"/>
      <c r="D2947" s="638" t="s">
        <v>2707</v>
      </c>
      <c r="E2947" s="165"/>
      <c r="F2947" s="614"/>
      <c r="G2947" s="612" t="s">
        <v>2708</v>
      </c>
    </row>
    <row r="2948" spans="1:7" ht="20.100000000000001" customHeight="1" x14ac:dyDescent="0.2">
      <c r="A2948" s="681" t="str">
        <f t="shared" si="39"/>
        <v>245  004.003.005  Serviços P. Juridica e M.E.I.</v>
      </c>
      <c r="B2948" s="636">
        <v>245</v>
      </c>
      <c r="C2948" s="614"/>
      <c r="D2948" s="638" t="s">
        <v>2709</v>
      </c>
      <c r="E2948" s="165"/>
      <c r="F2948" s="614"/>
      <c r="G2948" s="612" t="s">
        <v>2710</v>
      </c>
    </row>
    <row r="2949" spans="1:7" ht="20.100000000000001" customHeight="1" x14ac:dyDescent="0.2">
      <c r="A2949" s="681" t="str">
        <f t="shared" si="39"/>
        <v>233  004.004.000  CUSTO DE AQUISICAO DE EQUIPAMENTOS E MATERIAL PERMANENTE</v>
      </c>
      <c r="B2949" s="636">
        <v>233</v>
      </c>
      <c r="C2949" s="614"/>
      <c r="D2949" s="638" t="s">
        <v>2711</v>
      </c>
      <c r="E2949" s="165"/>
      <c r="F2949" s="614"/>
      <c r="G2949" s="612" t="s">
        <v>2712</v>
      </c>
    </row>
    <row r="2950" spans="1:7" ht="20.100000000000001" customHeight="1" x14ac:dyDescent="0.2">
      <c r="A2950" s="681" t="str">
        <f t="shared" si="39"/>
        <v>234  004.004.001  Mobiliário</v>
      </c>
      <c r="B2950" s="636">
        <v>234</v>
      </c>
      <c r="C2950" s="614"/>
      <c r="D2950" s="638" t="s">
        <v>2713</v>
      </c>
      <c r="E2950" s="165"/>
      <c r="F2950" s="614"/>
      <c r="G2950" s="612" t="s">
        <v>2301</v>
      </c>
    </row>
    <row r="2951" spans="1:7" ht="20.100000000000001" customHeight="1" x14ac:dyDescent="0.2">
      <c r="A2951" s="681" t="str">
        <f t="shared" si="39"/>
        <v>235  004.004.002  Equipamentos de Informática</v>
      </c>
      <c r="B2951" s="636">
        <v>235</v>
      </c>
      <c r="C2951" s="614"/>
      <c r="D2951" s="638" t="s">
        <v>2714</v>
      </c>
      <c r="E2951" s="165"/>
      <c r="F2951" s="614"/>
      <c r="G2951" s="612" t="s">
        <v>2134</v>
      </c>
    </row>
    <row r="2952" spans="1:7" ht="20.100000000000001" customHeight="1" x14ac:dyDescent="0.2">
      <c r="A2952" s="681" t="str">
        <f t="shared" si="39"/>
        <v>236  004.004.003  Equipamentos de Comunicação</v>
      </c>
      <c r="B2952" s="636">
        <v>236</v>
      </c>
      <c r="C2952" s="614"/>
      <c r="D2952" s="638" t="s">
        <v>2715</v>
      </c>
      <c r="E2952" s="165"/>
      <c r="F2952" s="614"/>
      <c r="G2952" s="612" t="s">
        <v>2412</v>
      </c>
    </row>
    <row r="2953" spans="1:7" ht="20.100000000000001" customHeight="1" x14ac:dyDescent="0.2">
      <c r="A2953" s="681" t="str">
        <f t="shared" si="39"/>
        <v>237  004.004.005  Ar Condicionado</v>
      </c>
      <c r="B2953" s="636">
        <v>237</v>
      </c>
      <c r="C2953" s="614"/>
      <c r="D2953" s="638" t="s">
        <v>2716</v>
      </c>
      <c r="E2953" s="165"/>
      <c r="F2953" s="614"/>
      <c r="G2953" s="612" t="s">
        <v>2317</v>
      </c>
    </row>
    <row r="2954" spans="1:7" ht="20.100000000000001" customHeight="1" x14ac:dyDescent="0.2">
      <c r="A2954" s="681" t="str">
        <f t="shared" si="39"/>
        <v>238  004.004.006  Equipamentos e Utensílios Domésticos</v>
      </c>
      <c r="B2954" s="636">
        <v>238</v>
      </c>
      <c r="C2954" s="614"/>
      <c r="D2954" s="638" t="s">
        <v>2717</v>
      </c>
      <c r="E2954" s="165"/>
      <c r="F2954" s="614"/>
      <c r="G2954" s="612" t="s">
        <v>2718</v>
      </c>
    </row>
    <row r="2955" spans="1:7" ht="20.100000000000001" customHeight="1" x14ac:dyDescent="0.2">
      <c r="A2955" s="681" t="str">
        <f t="shared" si="39"/>
        <v>239  004.004.007  Geral</v>
      </c>
      <c r="B2955" s="636">
        <v>239</v>
      </c>
      <c r="C2955" s="614"/>
      <c r="D2955" s="638" t="s">
        <v>2719</v>
      </c>
      <c r="E2955" s="165"/>
      <c r="F2955" s="614"/>
      <c r="G2955" s="612" t="s">
        <v>2380</v>
      </c>
    </row>
    <row r="2956" spans="1:7" ht="20.100000000000001" customHeight="1" x14ac:dyDescent="0.2">
      <c r="A2956" s="681" t="str">
        <f t="shared" si="39"/>
        <v>246  004.005.000  OPERAÇÕES ESPECIAIS</v>
      </c>
      <c r="B2956" s="636">
        <v>246</v>
      </c>
      <c r="C2956" s="614"/>
      <c r="D2956" s="638" t="s">
        <v>2720</v>
      </c>
      <c r="E2956" s="165"/>
      <c r="F2956" s="614"/>
      <c r="G2956" s="612" t="s">
        <v>2721</v>
      </c>
    </row>
    <row r="2957" spans="1:7" ht="20.100000000000001" customHeight="1" x14ac:dyDescent="0.2">
      <c r="A2957" s="681" t="str">
        <f t="shared" si="39"/>
        <v>247  004.005.001  Plano de Saude - IPE</v>
      </c>
      <c r="B2957" s="636">
        <v>247</v>
      </c>
      <c r="C2957" s="614"/>
      <c r="D2957" s="638" t="s">
        <v>2722</v>
      </c>
      <c r="E2957" s="165"/>
      <c r="F2957" s="614"/>
      <c r="G2957" s="612" t="s">
        <v>2723</v>
      </c>
    </row>
    <row r="2958" spans="1:7" ht="20.100000000000001" customHeight="1" x14ac:dyDescent="0.2">
      <c r="A2958" s="681" t="str">
        <f t="shared" si="39"/>
        <v>248  004.005.002  Sentenças Judicias</v>
      </c>
      <c r="B2958" s="636">
        <v>248</v>
      </c>
      <c r="C2958" s="614"/>
      <c r="D2958" s="638" t="s">
        <v>2724</v>
      </c>
      <c r="E2958" s="165"/>
      <c r="F2958" s="614"/>
      <c r="G2958" s="612" t="s">
        <v>2725</v>
      </c>
    </row>
    <row r="2959" spans="1:7" ht="20.100000000000001" customHeight="1" x14ac:dyDescent="0.2">
      <c r="A2959" s="681" t="str">
        <f t="shared" si="39"/>
        <v>249  004.005.003  Convenio  Celular</v>
      </c>
      <c r="B2959" s="636">
        <v>249</v>
      </c>
      <c r="C2959" s="614"/>
      <c r="D2959" s="638" t="s">
        <v>2726</v>
      </c>
      <c r="E2959" s="165"/>
      <c r="F2959" s="614"/>
      <c r="G2959" s="612" t="s">
        <v>2727</v>
      </c>
    </row>
    <row r="2960" spans="1:7" ht="20.100000000000001" customHeight="1" x14ac:dyDescent="0.2">
      <c r="A2960" s="681" t="str">
        <f t="shared" si="39"/>
        <v>250  004.005.004  Serviços Bancários</v>
      </c>
      <c r="B2960" s="636">
        <v>250</v>
      </c>
      <c r="C2960" s="614"/>
      <c r="D2960" s="638" t="s">
        <v>2728</v>
      </c>
      <c r="E2960" s="165"/>
      <c r="F2960" s="614"/>
      <c r="G2960" s="612" t="s">
        <v>1056</v>
      </c>
    </row>
    <row r="2961" spans="1:7" ht="20.100000000000001" customHeight="1" x14ac:dyDescent="0.2">
      <c r="A2961" s="681" t="str">
        <f>CONCATENATE(B2961,"  ",D2961,"  ",G2961)</f>
        <v>251  004.005.005  Convênio Pedagógico</v>
      </c>
      <c r="B2961" s="636">
        <v>251</v>
      </c>
      <c r="C2961" s="614"/>
      <c r="D2961" s="638" t="s">
        <v>2729</v>
      </c>
      <c r="E2961" s="165"/>
      <c r="F2961" s="614"/>
      <c r="G2961" s="612" t="s">
        <v>2730</v>
      </c>
    </row>
    <row r="2962" spans="1:7" ht="20.100000000000001" customHeight="1" x14ac:dyDescent="0.2">
      <c r="A2962" s="681" t="str">
        <f t="shared" si="39"/>
        <v>252  004.005.006  Multas e Juros - Previdênciarias</v>
      </c>
      <c r="B2962" s="636">
        <v>252</v>
      </c>
      <c r="C2962" s="614"/>
      <c r="D2962" s="638" t="s">
        <v>2731</v>
      </c>
      <c r="E2962" s="165"/>
      <c r="F2962" s="614"/>
      <c r="G2962" s="612" t="s">
        <v>2732</v>
      </c>
    </row>
    <row r="2963" spans="1:7" ht="20.100000000000001" customHeight="1" x14ac:dyDescent="0.2">
      <c r="A2963" s="681" t="str">
        <f t="shared" si="39"/>
        <v>253  004.005.007  Devolução de Programa Troca-Troca</v>
      </c>
      <c r="B2963" s="636">
        <v>253</v>
      </c>
      <c r="C2963" s="614"/>
      <c r="D2963" s="638" t="s">
        <v>2733</v>
      </c>
      <c r="E2963" s="165"/>
      <c r="F2963" s="614"/>
      <c r="G2963" s="612" t="s">
        <v>2734</v>
      </c>
    </row>
    <row r="2964" spans="1:7" ht="20.100000000000001" customHeight="1" x14ac:dyDescent="0.2">
      <c r="A2964" s="681" t="str">
        <f t="shared" si="39"/>
        <v>254  004.005.008  Hora Máquina</v>
      </c>
      <c r="B2964" s="636">
        <v>254</v>
      </c>
      <c r="C2964" s="614"/>
      <c r="D2964" s="638" t="s">
        <v>2735</v>
      </c>
      <c r="E2964" s="165"/>
      <c r="F2964" s="614"/>
      <c r="G2964" s="612" t="s">
        <v>2736</v>
      </c>
    </row>
    <row r="2965" spans="1:7" ht="20.100000000000001" customHeight="1" x14ac:dyDescent="0.2">
      <c r="A2965" s="681" t="str">
        <f t="shared" si="39"/>
        <v>255  004.005.009  Multa e Juros - PASEP</v>
      </c>
      <c r="B2965" s="636">
        <v>255</v>
      </c>
      <c r="C2965" s="614"/>
      <c r="D2965" s="638" t="s">
        <v>2737</v>
      </c>
      <c r="E2965" s="165"/>
      <c r="F2965" s="614"/>
      <c r="G2965" s="612" t="s">
        <v>2738</v>
      </c>
    </row>
    <row r="2966" spans="1:7" ht="20.100000000000001" customHeight="1" x14ac:dyDescent="0.2">
      <c r="A2966" s="681" t="str">
        <f t="shared" si="39"/>
        <v>256  004.005.010  Contribuição - PASEP</v>
      </c>
      <c r="B2966" s="636">
        <v>256</v>
      </c>
      <c r="C2966" s="614"/>
      <c r="D2966" s="638" t="s">
        <v>2739</v>
      </c>
      <c r="E2966" s="165"/>
      <c r="F2966" s="614"/>
      <c r="G2966" s="612" t="s">
        <v>2740</v>
      </c>
    </row>
    <row r="2967" spans="1:7" ht="20.100000000000001" customHeight="1" x14ac:dyDescent="0.2">
      <c r="A2967" s="681" t="str">
        <f t="shared" si="39"/>
        <v>260  004.005.011  Devolução Recursos da União</v>
      </c>
      <c r="B2967" s="636">
        <v>260</v>
      </c>
      <c r="C2967" s="614"/>
      <c r="D2967" s="638" t="s">
        <v>2741</v>
      </c>
      <c r="E2967" s="165"/>
      <c r="F2967" s="614"/>
      <c r="G2967" s="612" t="s">
        <v>2742</v>
      </c>
    </row>
    <row r="2968" spans="1:7" ht="20.100000000000001" customHeight="1" x14ac:dyDescent="0.2">
      <c r="A2968" s="681" t="str">
        <f t="shared" si="39"/>
        <v>261  004.005.012  Devolução Recursos do Estado</v>
      </c>
      <c r="B2968" s="636">
        <v>261</v>
      </c>
      <c r="C2968" s="614"/>
      <c r="D2968" s="638" t="s">
        <v>2743</v>
      </c>
      <c r="E2968" s="165"/>
      <c r="F2968" s="614"/>
      <c r="G2968" s="612" t="s">
        <v>2744</v>
      </c>
    </row>
    <row r="2969" spans="1:7" ht="20.100000000000001" customHeight="1" x14ac:dyDescent="0.2">
      <c r="A2969" s="681" t="str">
        <f t="shared" si="39"/>
        <v>257  004.006.000  GESTÃO DE CONVÊNIOS DO PAC</v>
      </c>
      <c r="B2969" s="636">
        <v>257</v>
      </c>
      <c r="C2969" s="614"/>
      <c r="D2969" s="638" t="s">
        <v>2745</v>
      </c>
      <c r="E2969" s="165"/>
      <c r="F2969" s="614"/>
      <c r="G2969" s="612" t="s">
        <v>2746</v>
      </c>
    </row>
    <row r="2970" spans="1:7" ht="20.100000000000001" customHeight="1" x14ac:dyDescent="0.2">
      <c r="A2970" s="681" t="str">
        <f t="shared" si="39"/>
        <v>258  004.006.001  PAC 2 - Melhorias Sanitárias</v>
      </c>
      <c r="B2970" s="636">
        <v>258</v>
      </c>
      <c r="C2970" s="614"/>
      <c r="D2970" s="638" t="s">
        <v>2747</v>
      </c>
      <c r="E2970" s="165"/>
      <c r="F2970" s="614"/>
      <c r="G2970" s="612" t="s">
        <v>2748</v>
      </c>
    </row>
    <row r="2971" spans="1:7" ht="20.100000000000001" customHeight="1" x14ac:dyDescent="0.2">
      <c r="A2971" s="681" t="str">
        <f t="shared" si="39"/>
        <v>259  004.006.002  Programa CCFGS</v>
      </c>
      <c r="B2971" s="636">
        <v>259</v>
      </c>
      <c r="C2971" s="614"/>
      <c r="D2971" s="638" t="s">
        <v>2749</v>
      </c>
      <c r="E2971" s="165"/>
      <c r="F2971" s="614"/>
      <c r="G2971" s="612" t="s">
        <v>2750</v>
      </c>
    </row>
    <row r="2972" spans="1:7" ht="20.100000000000001" customHeight="1" x14ac:dyDescent="0.2">
      <c r="A2972" s="681" t="str">
        <f>CONCATENATE(B2972,"  ",D2972,"  ",G2972)</f>
        <v>1804  004.008.000  GESTAO DE SISTEMAS DE INFORMÁTICA E COMUNICACAO</v>
      </c>
      <c r="B2972" s="636">
        <v>1804</v>
      </c>
      <c r="C2972" s="614"/>
      <c r="D2972" s="665" t="s">
        <v>7185</v>
      </c>
      <c r="E2972" s="165"/>
      <c r="F2972" s="614"/>
      <c r="G2972" s="612" t="s">
        <v>2613</v>
      </c>
    </row>
    <row r="2973" spans="1:7" ht="20.100000000000001" customHeight="1" x14ac:dyDescent="0.2">
      <c r="A2973" s="681" t="str">
        <f t="shared" si="39"/>
        <v>262  005.000.000  SECRETARIA MUN. DE OBRAS, VIAÇÃO E SERV. URBANOS</v>
      </c>
      <c r="B2973" s="636">
        <v>262</v>
      </c>
      <c r="C2973" s="614"/>
      <c r="D2973" s="638" t="s">
        <v>2751</v>
      </c>
      <c r="E2973" s="165"/>
      <c r="F2973" s="614"/>
      <c r="G2973" s="612" t="s">
        <v>1193</v>
      </c>
    </row>
    <row r="2974" spans="1:7" ht="20.100000000000001" customHeight="1" x14ac:dyDescent="0.2">
      <c r="A2974" s="681" t="str">
        <f t="shared" si="39"/>
        <v>263  005.001.000  PESSOAL E ENCARGOS SOCIAIS</v>
      </c>
      <c r="B2974" s="636">
        <v>263</v>
      </c>
      <c r="C2974" s="614"/>
      <c r="D2974" s="638" t="s">
        <v>2752</v>
      </c>
      <c r="E2974" s="165"/>
      <c r="F2974" s="614"/>
      <c r="G2974" s="612" t="s">
        <v>2393</v>
      </c>
    </row>
    <row r="2975" spans="1:7" ht="20.100000000000001" customHeight="1" x14ac:dyDescent="0.2">
      <c r="A2975" s="681" t="str">
        <f t="shared" si="39"/>
        <v>264  005.001.001  Pessoal e Encargos : Serv. Efetivos Gestao Obras e Viação</v>
      </c>
      <c r="B2975" s="636">
        <v>264</v>
      </c>
      <c r="C2975" s="614"/>
      <c r="D2975" s="638" t="s">
        <v>2753</v>
      </c>
      <c r="E2975" s="165"/>
      <c r="F2975" s="614"/>
      <c r="G2975" s="612" t="s">
        <v>2754</v>
      </c>
    </row>
    <row r="2976" spans="1:7" ht="20.100000000000001" customHeight="1" x14ac:dyDescent="0.2">
      <c r="A2976" s="681" t="str">
        <f t="shared" si="39"/>
        <v>265  005.001.002  Pessoal e Encargos : Serv. C.C. Gestao Obras e Viação</v>
      </c>
      <c r="B2976" s="636">
        <v>265</v>
      </c>
      <c r="C2976" s="614"/>
      <c r="D2976" s="638" t="s">
        <v>2755</v>
      </c>
      <c r="E2976" s="165"/>
      <c r="F2976" s="614"/>
      <c r="G2976" s="612" t="s">
        <v>2756</v>
      </c>
    </row>
    <row r="2977" spans="1:7" ht="20.100000000000001" customHeight="1" x14ac:dyDescent="0.2">
      <c r="A2977" s="681" t="str">
        <f t="shared" si="39"/>
        <v>266  005.001.003  Pessoal e Encargos: Serv. Contratados Gestao Obras e Viação</v>
      </c>
      <c r="B2977" s="636">
        <v>266</v>
      </c>
      <c r="C2977" s="614"/>
      <c r="D2977" s="638" t="s">
        <v>2757</v>
      </c>
      <c r="E2977" s="165"/>
      <c r="F2977" s="614"/>
      <c r="G2977" s="612" t="s">
        <v>2758</v>
      </c>
    </row>
    <row r="2978" spans="1:7" ht="20.100000000000001" customHeight="1" x14ac:dyDescent="0.2">
      <c r="A2978" s="681" t="str">
        <f t="shared" si="39"/>
        <v>267  005.001.004  Pessoal e Encargos: Agente Politico</v>
      </c>
      <c r="B2978" s="636">
        <v>267</v>
      </c>
      <c r="C2978" s="614"/>
      <c r="D2978" s="638" t="s">
        <v>2759</v>
      </c>
      <c r="E2978" s="165"/>
      <c r="F2978" s="614"/>
      <c r="G2978" s="612" t="s">
        <v>2760</v>
      </c>
    </row>
    <row r="2979" spans="1:7" ht="20.100000000000001" customHeight="1" x14ac:dyDescent="0.2">
      <c r="A2979" s="681" t="str">
        <f t="shared" si="39"/>
        <v>279  005.001.005  Pessoal e Encargos: F.G. Gestao Obras e Viação</v>
      </c>
      <c r="B2979" s="636">
        <v>279</v>
      </c>
      <c r="C2979" s="614"/>
      <c r="D2979" s="638" t="s">
        <v>2761</v>
      </c>
      <c r="E2979" s="165"/>
      <c r="F2979" s="614"/>
      <c r="G2979" s="612" t="s">
        <v>2762</v>
      </c>
    </row>
    <row r="2980" spans="1:7" ht="20.100000000000001" customHeight="1" x14ac:dyDescent="0.2">
      <c r="A2980" s="681" t="str">
        <f t="shared" si="39"/>
        <v>1514  005.001.006  Horas Extras - Serv. Efetivos SMO</v>
      </c>
      <c r="B2980" s="636">
        <v>1514</v>
      </c>
      <c r="C2980" s="614"/>
      <c r="D2980" s="638" t="s">
        <v>2763</v>
      </c>
      <c r="E2980" s="165"/>
      <c r="F2980" s="614"/>
      <c r="G2980" s="612" t="s">
        <v>2764</v>
      </c>
    </row>
    <row r="2981" spans="1:7" ht="20.100000000000001" customHeight="1" x14ac:dyDescent="0.2">
      <c r="A2981" s="681" t="str">
        <f t="shared" si="39"/>
        <v>1384  005.001.007  Pessoal e Encargos : Serv. Efetivos SMO</v>
      </c>
      <c r="B2981" s="636">
        <v>1384</v>
      </c>
      <c r="C2981" s="614"/>
      <c r="D2981" s="638" t="s">
        <v>2765</v>
      </c>
      <c r="E2981" s="165"/>
      <c r="F2981" s="614"/>
      <c r="G2981" s="612" t="s">
        <v>2766</v>
      </c>
    </row>
    <row r="2982" spans="1:7" ht="20.100000000000001" customHeight="1" x14ac:dyDescent="0.2">
      <c r="A2982" s="681" t="str">
        <f t="shared" si="39"/>
        <v>1377  005.001.008  Pessoal e Encargos : Serv. Contratados  SMO</v>
      </c>
      <c r="B2982" s="636">
        <v>1377</v>
      </c>
      <c r="C2982" s="614"/>
      <c r="D2982" s="638" t="s">
        <v>2767</v>
      </c>
      <c r="E2982" s="165"/>
      <c r="F2982" s="614"/>
      <c r="G2982" s="612" t="s">
        <v>2768</v>
      </c>
    </row>
    <row r="2983" spans="1:7" ht="20.100000000000001" customHeight="1" x14ac:dyDescent="0.2">
      <c r="A2983" s="681" t="str">
        <f t="shared" si="39"/>
        <v>1541  005.001.009  Pessoal e Encargos : Serv. C.C.  SMO</v>
      </c>
      <c r="B2983" s="636">
        <v>1541</v>
      </c>
      <c r="C2983" s="614"/>
      <c r="D2983" s="638" t="s">
        <v>2769</v>
      </c>
      <c r="E2983" s="165"/>
      <c r="F2983" s="614"/>
      <c r="G2983" s="612" t="s">
        <v>2770</v>
      </c>
    </row>
    <row r="2984" spans="1:7" ht="20.100000000000001" customHeight="1" x14ac:dyDescent="0.2">
      <c r="A2984" s="681" t="str">
        <f t="shared" si="39"/>
        <v>1515  005.001.017  Horas Extras - Serv. Contratados Gestao de Obras e Viação</v>
      </c>
      <c r="B2984" s="636">
        <v>1515</v>
      </c>
      <c r="C2984" s="614"/>
      <c r="D2984" s="638" t="s">
        <v>2771</v>
      </c>
      <c r="E2984" s="165"/>
      <c r="F2984" s="614"/>
      <c r="G2984" s="612" t="s">
        <v>2772</v>
      </c>
    </row>
    <row r="2985" spans="1:7" ht="20.100000000000001" customHeight="1" x14ac:dyDescent="0.2">
      <c r="A2985" s="681" t="str">
        <f t="shared" si="39"/>
        <v>268  005.002.000  GESTÃO OPERACIONAL</v>
      </c>
      <c r="B2985" s="636">
        <v>268</v>
      </c>
      <c r="C2985" s="614"/>
      <c r="D2985" s="638" t="s">
        <v>2773</v>
      </c>
      <c r="E2985" s="165"/>
      <c r="F2985" s="614"/>
      <c r="G2985" s="612" t="s">
        <v>2672</v>
      </c>
    </row>
    <row r="2986" spans="1:7" ht="20.100000000000001" customHeight="1" x14ac:dyDescent="0.2">
      <c r="A2986" s="681" t="str">
        <f t="shared" si="39"/>
        <v>269  005.002.001  Custo de Aquisição Equipamentos : Informática</v>
      </c>
      <c r="B2986" s="636">
        <v>269</v>
      </c>
      <c r="C2986" s="614"/>
      <c r="D2986" s="638" t="s">
        <v>2774</v>
      </c>
      <c r="E2986" s="165"/>
      <c r="F2986" s="614"/>
      <c r="G2986" s="612" t="s">
        <v>2775</v>
      </c>
    </row>
    <row r="2987" spans="1:7" ht="20.100000000000001" customHeight="1" x14ac:dyDescent="0.2">
      <c r="A2987" s="681" t="str">
        <f t="shared" si="39"/>
        <v>270  005.002.002  Custo de Aquisição Equipamentos : Mobiliário</v>
      </c>
      <c r="B2987" s="636">
        <v>270</v>
      </c>
      <c r="C2987" s="614"/>
      <c r="D2987" s="638" t="s">
        <v>2776</v>
      </c>
      <c r="E2987" s="165"/>
      <c r="F2987" s="614"/>
      <c r="G2987" s="612" t="s">
        <v>2777</v>
      </c>
    </row>
    <row r="2988" spans="1:7" ht="20.100000000000001" customHeight="1" x14ac:dyDescent="0.2">
      <c r="A2988" s="681" t="str">
        <f t="shared" si="39"/>
        <v>271  005.002.003  Custo de Aquisição Equipamentos : Equip. e Utensílios Domésticos</v>
      </c>
      <c r="B2988" s="636">
        <v>271</v>
      </c>
      <c r="C2988" s="614"/>
      <c r="D2988" s="638" t="s">
        <v>2778</v>
      </c>
      <c r="E2988" s="165"/>
      <c r="F2988" s="614"/>
      <c r="G2988" s="612" t="s">
        <v>2779</v>
      </c>
    </row>
    <row r="2989" spans="1:7" ht="20.100000000000001" customHeight="1" x14ac:dyDescent="0.2">
      <c r="A2989" s="681" t="str">
        <f t="shared" si="39"/>
        <v>272  005.002.004  Custo de Aquisição Equipamentos : Equip. de Comunicação</v>
      </c>
      <c r="B2989" s="636">
        <v>272</v>
      </c>
      <c r="C2989" s="614"/>
      <c r="D2989" s="638" t="s">
        <v>2780</v>
      </c>
      <c r="E2989" s="165"/>
      <c r="F2989" s="614"/>
      <c r="G2989" s="612" t="s">
        <v>2781</v>
      </c>
    </row>
    <row r="2990" spans="1:7" ht="20.100000000000001" customHeight="1" x14ac:dyDescent="0.2">
      <c r="A2990" s="681" t="str">
        <f t="shared" si="39"/>
        <v>273  005.002.005  Custo de Aquisição Equipamentos : Ar Condicionado</v>
      </c>
      <c r="B2990" s="636">
        <v>273</v>
      </c>
      <c r="C2990" s="614"/>
      <c r="D2990" s="638" t="s">
        <v>2782</v>
      </c>
      <c r="E2990" s="165"/>
      <c r="F2990" s="614"/>
      <c r="G2990" s="612" t="s">
        <v>2783</v>
      </c>
    </row>
    <row r="2991" spans="1:7" ht="20.100000000000001" customHeight="1" x14ac:dyDescent="0.2">
      <c r="A2991" s="681" t="str">
        <f t="shared" si="39"/>
        <v>274  005.002.006  Diárias Servidores Efetivos</v>
      </c>
      <c r="B2991" s="636">
        <v>274</v>
      </c>
      <c r="C2991" s="614"/>
      <c r="D2991" s="638" t="s">
        <v>2784</v>
      </c>
      <c r="E2991" s="165"/>
      <c r="F2991" s="614"/>
      <c r="G2991" s="612" t="s">
        <v>2419</v>
      </c>
    </row>
    <row r="2992" spans="1:7" ht="20.100000000000001" customHeight="1" x14ac:dyDescent="0.2">
      <c r="A2992" s="681" t="str">
        <f t="shared" si="39"/>
        <v>275  005.002.007  Diárias Servidores C.C.</v>
      </c>
      <c r="B2992" s="636">
        <v>275</v>
      </c>
      <c r="C2992" s="614"/>
      <c r="D2992" s="638" t="s">
        <v>2785</v>
      </c>
      <c r="E2992" s="165"/>
      <c r="F2992" s="614"/>
      <c r="G2992" s="612" t="s">
        <v>2336</v>
      </c>
    </row>
    <row r="2993" spans="1:7" ht="20.100000000000001" customHeight="1" x14ac:dyDescent="0.2">
      <c r="A2993" s="681" t="str">
        <f t="shared" si="39"/>
        <v>276  005.002.008  Diárias Servidores Contratados</v>
      </c>
      <c r="B2993" s="636">
        <v>276</v>
      </c>
      <c r="C2993" s="614"/>
      <c r="D2993" s="638" t="s">
        <v>2786</v>
      </c>
      <c r="E2993" s="165"/>
      <c r="F2993" s="614"/>
      <c r="G2993" s="612" t="s">
        <v>2334</v>
      </c>
    </row>
    <row r="2994" spans="1:7" ht="20.100000000000001" customHeight="1" x14ac:dyDescent="0.2">
      <c r="A2994" s="681" t="str">
        <f t="shared" si="39"/>
        <v>277  005.002.009  Diárias de Acampamento</v>
      </c>
      <c r="B2994" s="636">
        <v>277</v>
      </c>
      <c r="C2994" s="614"/>
      <c r="D2994" s="638" t="s">
        <v>2787</v>
      </c>
      <c r="E2994" s="165"/>
      <c r="F2994" s="614"/>
      <c r="G2994" s="612" t="s">
        <v>2788</v>
      </c>
    </row>
    <row r="2995" spans="1:7" ht="20.100000000000001" customHeight="1" x14ac:dyDescent="0.2">
      <c r="A2995" s="681" t="str">
        <f t="shared" si="39"/>
        <v>278  005.002.010  Diárias Agente Político</v>
      </c>
      <c r="B2995" s="636">
        <v>278</v>
      </c>
      <c r="C2995" s="614"/>
      <c r="D2995" s="638" t="s">
        <v>2789</v>
      </c>
      <c r="E2995" s="165"/>
      <c r="F2995" s="614"/>
      <c r="G2995" s="612" t="s">
        <v>2790</v>
      </c>
    </row>
    <row r="2996" spans="1:7" ht="20.100000000000001" customHeight="1" x14ac:dyDescent="0.2">
      <c r="A2996" s="681" t="str">
        <f t="shared" si="39"/>
        <v>280  005.002.011  Gás de Cozinha</v>
      </c>
      <c r="B2996" s="636">
        <v>280</v>
      </c>
      <c r="C2996" s="614"/>
      <c r="D2996" s="638" t="s">
        <v>2791</v>
      </c>
      <c r="E2996" s="165"/>
      <c r="F2996" s="614"/>
      <c r="G2996" s="612" t="s">
        <v>2792</v>
      </c>
    </row>
    <row r="2997" spans="1:7" ht="20.100000000000001" customHeight="1" x14ac:dyDescent="0.2">
      <c r="A2997" s="681" t="str">
        <f t="shared" si="39"/>
        <v>281  005.002.012  Generos Alimentícios</v>
      </c>
      <c r="B2997" s="636">
        <v>281</v>
      </c>
      <c r="C2997" s="614"/>
      <c r="D2997" s="638" t="s">
        <v>2793</v>
      </c>
      <c r="E2997" s="165"/>
      <c r="F2997" s="614"/>
      <c r="G2997" s="612" t="s">
        <v>2490</v>
      </c>
    </row>
    <row r="2998" spans="1:7" ht="20.100000000000001" customHeight="1" x14ac:dyDescent="0.2">
      <c r="A2998" s="681" t="str">
        <f t="shared" si="39"/>
        <v>282  005.002.013  Material de Expediente</v>
      </c>
      <c r="B2998" s="636">
        <v>282</v>
      </c>
      <c r="C2998" s="614"/>
      <c r="D2998" s="638" t="s">
        <v>2794</v>
      </c>
      <c r="E2998" s="165"/>
      <c r="F2998" s="614"/>
      <c r="G2998" s="612" t="s">
        <v>2346</v>
      </c>
    </row>
    <row r="2999" spans="1:7" ht="20.100000000000001" customHeight="1" x14ac:dyDescent="0.2">
      <c r="A2999" s="681" t="str">
        <f t="shared" si="39"/>
        <v>283  005.002.014  Suprimentos de Informática</v>
      </c>
      <c r="B2999" s="636">
        <v>283</v>
      </c>
      <c r="C2999" s="614"/>
      <c r="D2999" s="638" t="s">
        <v>2795</v>
      </c>
      <c r="E2999" s="165"/>
      <c r="F2999" s="614"/>
      <c r="G2999" s="612" t="s">
        <v>2435</v>
      </c>
    </row>
    <row r="3000" spans="1:7" ht="20.100000000000001" customHeight="1" x14ac:dyDescent="0.2">
      <c r="A3000" s="681" t="str">
        <f t="shared" si="39"/>
        <v>284  005.002.015  Material de Limpeza e Higiene</v>
      </c>
      <c r="B3000" s="636">
        <v>284</v>
      </c>
      <c r="C3000" s="614"/>
      <c r="D3000" s="638" t="s">
        <v>2796</v>
      </c>
      <c r="E3000" s="165"/>
      <c r="F3000" s="614"/>
      <c r="G3000" s="612" t="s">
        <v>2569</v>
      </c>
    </row>
    <row r="3001" spans="1:7" ht="20.100000000000001" customHeight="1" x14ac:dyDescent="0.2">
      <c r="A3001" s="681" t="str">
        <f t="shared" si="39"/>
        <v>285  005.002.016  Manutenção de Bens Imóveis</v>
      </c>
      <c r="B3001" s="636">
        <v>285</v>
      </c>
      <c r="C3001" s="614"/>
      <c r="D3001" s="638" t="s">
        <v>2797</v>
      </c>
      <c r="E3001" s="165"/>
      <c r="F3001" s="614"/>
      <c r="G3001" s="612" t="s">
        <v>2437</v>
      </c>
    </row>
    <row r="3002" spans="1:7" ht="20.100000000000001" customHeight="1" x14ac:dyDescent="0.2">
      <c r="A3002" s="681" t="str">
        <f t="shared" si="39"/>
        <v>286  005.002.018  Manutenção de bens Móvés e Utensílios</v>
      </c>
      <c r="B3002" s="636">
        <v>286</v>
      </c>
      <c r="C3002" s="614"/>
      <c r="D3002" s="638" t="s">
        <v>2798</v>
      </c>
      <c r="E3002" s="165"/>
      <c r="F3002" s="614"/>
      <c r="G3002" s="612" t="s">
        <v>2799</v>
      </c>
    </row>
    <row r="3003" spans="1:7" ht="20.100000000000001" customHeight="1" x14ac:dyDescent="0.2">
      <c r="A3003" s="681" t="str">
        <f t="shared" si="39"/>
        <v>287  005.002.019  Serviços Técnicos Profissionais</v>
      </c>
      <c r="B3003" s="636">
        <v>287</v>
      </c>
      <c r="C3003" s="614"/>
      <c r="D3003" s="638" t="s">
        <v>2800</v>
      </c>
      <c r="E3003" s="165"/>
      <c r="F3003" s="614"/>
      <c r="G3003" s="612" t="s">
        <v>2509</v>
      </c>
    </row>
    <row r="3004" spans="1:7" ht="20.100000000000001" customHeight="1" x14ac:dyDescent="0.2">
      <c r="A3004" s="681" t="str">
        <f t="shared" si="39"/>
        <v>288  005.002.020  Seleção e Treinamento</v>
      </c>
      <c r="B3004" s="636">
        <v>288</v>
      </c>
      <c r="C3004" s="614"/>
      <c r="D3004" s="638" t="s">
        <v>2801</v>
      </c>
      <c r="E3004" s="165"/>
      <c r="F3004" s="614"/>
      <c r="G3004" s="612" t="s">
        <v>2369</v>
      </c>
    </row>
    <row r="3005" spans="1:7" ht="20.100000000000001" customHeight="1" x14ac:dyDescent="0.2">
      <c r="A3005" s="681" t="str">
        <f t="shared" si="39"/>
        <v>289  005.002.021  Manutenção de Equipementos de Informática</v>
      </c>
      <c r="B3005" s="636">
        <v>289</v>
      </c>
      <c r="C3005" s="614"/>
      <c r="D3005" s="638" t="s">
        <v>2802</v>
      </c>
      <c r="E3005" s="165"/>
      <c r="F3005" s="614"/>
      <c r="G3005" s="612" t="s">
        <v>2803</v>
      </c>
    </row>
    <row r="3006" spans="1:7" ht="20.100000000000001" customHeight="1" x14ac:dyDescent="0.2">
      <c r="A3006" s="681" t="str">
        <f t="shared" si="39"/>
        <v>290  005.002.022  Auxilio Alimentação</v>
      </c>
      <c r="B3006" s="636">
        <v>290</v>
      </c>
      <c r="C3006" s="614"/>
      <c r="D3006" s="638" t="s">
        <v>2804</v>
      </c>
      <c r="E3006" s="165"/>
      <c r="F3006" s="614"/>
      <c r="G3006" s="612" t="s">
        <v>2524</v>
      </c>
    </row>
    <row r="3007" spans="1:7" ht="20.100000000000001" customHeight="1" x14ac:dyDescent="0.2">
      <c r="A3007" s="681" t="str">
        <f t="shared" si="39"/>
        <v>291  005.002.023  Auxilio Transporte</v>
      </c>
      <c r="B3007" s="636">
        <v>291</v>
      </c>
      <c r="C3007" s="614"/>
      <c r="D3007" s="638" t="s">
        <v>2805</v>
      </c>
      <c r="E3007" s="165"/>
      <c r="F3007" s="614"/>
      <c r="G3007" s="612" t="s">
        <v>2462</v>
      </c>
    </row>
    <row r="3008" spans="1:7" ht="20.100000000000001" customHeight="1" x14ac:dyDescent="0.2">
      <c r="A3008" s="681" t="str">
        <f t="shared" si="39"/>
        <v>292  005.002.024  Geral</v>
      </c>
      <c r="B3008" s="636">
        <v>292</v>
      </c>
      <c r="C3008" s="614"/>
      <c r="D3008" s="638" t="s">
        <v>2806</v>
      </c>
      <c r="E3008" s="165"/>
      <c r="F3008" s="614"/>
      <c r="G3008" s="612" t="s">
        <v>2380</v>
      </c>
    </row>
    <row r="3009" spans="1:7" ht="20.100000000000001" customHeight="1" x14ac:dyDescent="0.2">
      <c r="A3009" s="681" t="str">
        <f t="shared" si="39"/>
        <v>406  005.002.025  Locação de Imóveis</v>
      </c>
      <c r="B3009" s="636">
        <v>406</v>
      </c>
      <c r="C3009" s="614"/>
      <c r="D3009" s="638" t="s">
        <v>2807</v>
      </c>
      <c r="E3009" s="165"/>
      <c r="F3009" s="614"/>
      <c r="G3009" s="612" t="s">
        <v>2227</v>
      </c>
    </row>
    <row r="3010" spans="1:7" ht="20.100000000000001" customHeight="1" x14ac:dyDescent="0.2">
      <c r="A3010" s="681" t="str">
        <f t="shared" si="39"/>
        <v>407  005.002.026  Agua</v>
      </c>
      <c r="B3010" s="636">
        <v>407</v>
      </c>
      <c r="C3010" s="614"/>
      <c r="D3010" s="638" t="s">
        <v>2808</v>
      </c>
      <c r="E3010" s="165"/>
      <c r="F3010" s="614"/>
      <c r="G3010" s="612" t="s">
        <v>2365</v>
      </c>
    </row>
    <row r="3011" spans="1:7" ht="20.100000000000001" customHeight="1" x14ac:dyDescent="0.2">
      <c r="A3011" s="681" t="str">
        <f t="shared" si="39"/>
        <v>408  005.002.027  Energia Elétrica</v>
      </c>
      <c r="B3011" s="636">
        <v>408</v>
      </c>
      <c r="C3011" s="614"/>
      <c r="D3011" s="638" t="s">
        <v>2809</v>
      </c>
      <c r="E3011" s="165"/>
      <c r="F3011" s="614"/>
      <c r="G3011" s="612" t="s">
        <v>700</v>
      </c>
    </row>
    <row r="3012" spans="1:7" ht="20.100000000000001" customHeight="1" x14ac:dyDescent="0.2">
      <c r="A3012" s="681" t="str">
        <f t="shared" ref="A3012:A3075" si="40">CONCATENATE(B3012,"  ",D3012,"  ",G3012)</f>
        <v>409  005.002.028  Telefone Fixo</v>
      </c>
      <c r="B3012" s="636">
        <v>409</v>
      </c>
      <c r="C3012" s="614"/>
      <c r="D3012" s="638" t="s">
        <v>2810</v>
      </c>
      <c r="E3012" s="165"/>
      <c r="F3012" s="614"/>
      <c r="G3012" s="612" t="s">
        <v>1041</v>
      </c>
    </row>
    <row r="3013" spans="1:7" ht="20.100000000000001" customHeight="1" x14ac:dyDescent="0.2">
      <c r="A3013" s="681" t="str">
        <f t="shared" si="40"/>
        <v>410  005.002.029  Telefone Celular</v>
      </c>
      <c r="B3013" s="636">
        <v>410</v>
      </c>
      <c r="C3013" s="614"/>
      <c r="D3013" s="638" t="s">
        <v>2811</v>
      </c>
      <c r="E3013" s="165"/>
      <c r="F3013" s="614"/>
      <c r="G3013" s="612" t="s">
        <v>1150</v>
      </c>
    </row>
    <row r="3014" spans="1:7" ht="20.100000000000001" customHeight="1" x14ac:dyDescent="0.2">
      <c r="A3014" s="681" t="str">
        <f t="shared" si="40"/>
        <v>411  005.002.031  Estagiários</v>
      </c>
      <c r="B3014" s="636">
        <v>411</v>
      </c>
      <c r="C3014" s="614"/>
      <c r="D3014" s="638" t="s">
        <v>2812</v>
      </c>
      <c r="E3014" s="165"/>
      <c r="F3014" s="614"/>
      <c r="G3014" s="612" t="s">
        <v>2449</v>
      </c>
    </row>
    <row r="3015" spans="1:7" ht="20.100000000000001" customHeight="1" x14ac:dyDescent="0.2">
      <c r="A3015" s="681" t="str">
        <f t="shared" si="40"/>
        <v>1482  005.002.032  Agua Mineral</v>
      </c>
      <c r="B3015" s="636">
        <v>1482</v>
      </c>
      <c r="C3015" s="614"/>
      <c r="D3015" s="638" t="s">
        <v>2813</v>
      </c>
      <c r="E3015" s="165"/>
      <c r="F3015" s="614"/>
      <c r="G3015" s="612" t="s">
        <v>2527</v>
      </c>
    </row>
    <row r="3016" spans="1:7" ht="20.100000000000001" customHeight="1" x14ac:dyDescent="0.2">
      <c r="A3016" s="681" t="str">
        <f t="shared" si="40"/>
        <v>1658  005.002.033  CUSTO AQUISIÇÃO: rERRAMENTAS E EQUIPAMENTOS</v>
      </c>
      <c r="B3016" s="636">
        <v>1658</v>
      </c>
      <c r="C3016" s="614"/>
      <c r="D3016" s="638" t="s">
        <v>2814</v>
      </c>
      <c r="E3016" s="165"/>
      <c r="F3016" s="614"/>
      <c r="G3016" s="612" t="s">
        <v>2815</v>
      </c>
    </row>
    <row r="3017" spans="1:7" ht="20.100000000000001" customHeight="1" x14ac:dyDescent="0.2">
      <c r="A3017" s="681" t="str">
        <f t="shared" si="40"/>
        <v>1659  005.002.034  MATERIAIL CONSUMO OFICINA</v>
      </c>
      <c r="B3017" s="636">
        <v>1659</v>
      </c>
      <c r="C3017" s="614"/>
      <c r="D3017" s="638" t="s">
        <v>2816</v>
      </c>
      <c r="E3017" s="165"/>
      <c r="F3017" s="614"/>
      <c r="G3017" s="612" t="s">
        <v>2817</v>
      </c>
    </row>
    <row r="3018" spans="1:7" ht="20.100000000000001" customHeight="1" x14ac:dyDescent="0.2">
      <c r="A3018" s="681" t="str">
        <f t="shared" si="40"/>
        <v>293  005.003.000  MANUTENÇÃO DE VEICULO - S.M.O.V.S.U.</v>
      </c>
      <c r="B3018" s="636">
        <v>293</v>
      </c>
      <c r="C3018" s="614"/>
      <c r="D3018" s="638" t="s">
        <v>2818</v>
      </c>
      <c r="E3018" s="165"/>
      <c r="F3018" s="614"/>
      <c r="G3018" s="612" t="s">
        <v>2819</v>
      </c>
    </row>
    <row r="3019" spans="1:7" ht="20.100000000000001" customHeight="1" x14ac:dyDescent="0.2">
      <c r="A3019" s="681" t="str">
        <f t="shared" si="40"/>
        <v>294  005.003.001  Combustivel Veiculo INZ 9457</v>
      </c>
      <c r="B3019" s="636">
        <v>294</v>
      </c>
      <c r="C3019" s="614"/>
      <c r="D3019" s="638" t="s">
        <v>2820</v>
      </c>
      <c r="E3019" s="165"/>
      <c r="F3019" s="614"/>
      <c r="G3019" s="612" t="s">
        <v>2821</v>
      </c>
    </row>
    <row r="3020" spans="1:7" ht="20.100000000000001" customHeight="1" x14ac:dyDescent="0.2">
      <c r="A3020" s="681" t="str">
        <f t="shared" si="40"/>
        <v>295  005.003.002  Material e Auto Peças Veiculo INZ 9457</v>
      </c>
      <c r="B3020" s="636">
        <v>295</v>
      </c>
      <c r="C3020" s="614"/>
      <c r="D3020" s="638" t="s">
        <v>2822</v>
      </c>
      <c r="E3020" s="165"/>
      <c r="F3020" s="614"/>
      <c r="G3020" s="612" t="s">
        <v>2823</v>
      </c>
    </row>
    <row r="3021" spans="1:7" ht="20.100000000000001" customHeight="1" x14ac:dyDescent="0.2">
      <c r="A3021" s="681" t="str">
        <f t="shared" si="40"/>
        <v>296  005.003.003  Manutenção Veículo INZ 9457</v>
      </c>
      <c r="B3021" s="636">
        <v>296</v>
      </c>
      <c r="C3021" s="614"/>
      <c r="D3021" s="638" t="s">
        <v>2824</v>
      </c>
      <c r="E3021" s="165"/>
      <c r="F3021" s="614"/>
      <c r="G3021" s="612" t="s">
        <v>2825</v>
      </c>
    </row>
    <row r="3022" spans="1:7" ht="20.100000000000001" customHeight="1" x14ac:dyDescent="0.2">
      <c r="A3022" s="681" t="str">
        <f t="shared" si="40"/>
        <v>297  005.003.004  Seguros Veículo INZ 9457</v>
      </c>
      <c r="B3022" s="636">
        <v>297</v>
      </c>
      <c r="C3022" s="614"/>
      <c r="D3022" s="638" t="s">
        <v>2826</v>
      </c>
      <c r="E3022" s="165"/>
      <c r="F3022" s="614"/>
      <c r="G3022" s="612" t="s">
        <v>2827</v>
      </c>
    </row>
    <row r="3023" spans="1:7" ht="20.100000000000001" customHeight="1" x14ac:dyDescent="0.2">
      <c r="A3023" s="681" t="str">
        <f t="shared" si="40"/>
        <v>298  005.003.005  Geral</v>
      </c>
      <c r="B3023" s="636">
        <v>298</v>
      </c>
      <c r="C3023" s="614"/>
      <c r="D3023" s="638" t="s">
        <v>2828</v>
      </c>
      <c r="E3023" s="165"/>
      <c r="F3023" s="614"/>
      <c r="G3023" s="612" t="s">
        <v>2380</v>
      </c>
    </row>
    <row r="3024" spans="1:7" ht="20.100000000000001" customHeight="1" x14ac:dyDescent="0.2">
      <c r="A3024" s="681" t="str">
        <f t="shared" si="40"/>
        <v>405  005.003.006  Lubrificantes Veículo INZ 9457</v>
      </c>
      <c r="B3024" s="636">
        <v>405</v>
      </c>
      <c r="C3024" s="614"/>
      <c r="D3024" s="638" t="s">
        <v>2829</v>
      </c>
      <c r="E3024" s="165"/>
      <c r="F3024" s="614"/>
      <c r="G3024" s="612" t="s">
        <v>2830</v>
      </c>
    </row>
    <row r="3025" spans="1:7" ht="20.100000000000001" customHeight="1" x14ac:dyDescent="0.2">
      <c r="A3025" s="681" t="str">
        <f t="shared" si="40"/>
        <v>1680  005.003.007  Combustével Veículo IVY 8354</v>
      </c>
      <c r="B3025" s="636">
        <v>1680</v>
      </c>
      <c r="C3025" s="614"/>
      <c r="D3025" s="638" t="s">
        <v>2831</v>
      </c>
      <c r="E3025" s="165"/>
      <c r="F3025" s="614"/>
      <c r="G3025" s="612" t="s">
        <v>2832</v>
      </c>
    </row>
    <row r="3026" spans="1:7" ht="20.100000000000001" customHeight="1" x14ac:dyDescent="0.2">
      <c r="A3026" s="681" t="str">
        <f t="shared" si="40"/>
        <v>1684  005.003.008  Combustível Veículo IQV 8399</v>
      </c>
      <c r="B3026" s="636">
        <v>1684</v>
      </c>
      <c r="C3026" s="614"/>
      <c r="D3026" s="638" t="s">
        <v>2833</v>
      </c>
      <c r="E3026" s="165"/>
      <c r="F3026" s="614"/>
      <c r="G3026" s="612" t="s">
        <v>2834</v>
      </c>
    </row>
    <row r="3027" spans="1:7" ht="20.100000000000001" customHeight="1" x14ac:dyDescent="0.2">
      <c r="A3027" s="681" t="str">
        <f t="shared" si="40"/>
        <v>299  005.004.000  GESTÃO RECURSO CIDE</v>
      </c>
      <c r="B3027" s="636">
        <v>299</v>
      </c>
      <c r="C3027" s="614"/>
      <c r="D3027" s="638" t="s">
        <v>2835</v>
      </c>
      <c r="E3027" s="165"/>
      <c r="F3027" s="614"/>
      <c r="G3027" s="612" t="s">
        <v>2836</v>
      </c>
    </row>
    <row r="3028" spans="1:7" ht="20.100000000000001" customHeight="1" x14ac:dyDescent="0.2">
      <c r="A3028" s="681" t="str">
        <f t="shared" si="40"/>
        <v>300  005.004.001  Manutenção de Estradas</v>
      </c>
      <c r="B3028" s="636">
        <v>300</v>
      </c>
      <c r="C3028" s="614"/>
      <c r="D3028" s="638" t="s">
        <v>2837</v>
      </c>
      <c r="E3028" s="165"/>
      <c r="F3028" s="614"/>
      <c r="G3028" s="612" t="s">
        <v>2838</v>
      </c>
    </row>
    <row r="3029" spans="1:7" ht="20.100000000000001" customHeight="1" x14ac:dyDescent="0.2">
      <c r="A3029" s="681" t="str">
        <f t="shared" si="40"/>
        <v>301  005.004.002  Manutenção de Pontes</v>
      </c>
      <c r="B3029" s="636">
        <v>301</v>
      </c>
      <c r="C3029" s="614"/>
      <c r="D3029" s="638" t="s">
        <v>2839</v>
      </c>
      <c r="E3029" s="165"/>
      <c r="F3029" s="614"/>
      <c r="G3029" s="612" t="s">
        <v>2840</v>
      </c>
    </row>
    <row r="3030" spans="1:7" ht="20.100000000000001" customHeight="1" x14ac:dyDescent="0.2">
      <c r="A3030" s="681" t="str">
        <f t="shared" si="40"/>
        <v>302  005.004.003  Manutenção de Bueiros</v>
      </c>
      <c r="B3030" s="636">
        <v>302</v>
      </c>
      <c r="C3030" s="614"/>
      <c r="D3030" s="638" t="s">
        <v>2841</v>
      </c>
      <c r="E3030" s="165"/>
      <c r="F3030" s="614"/>
      <c r="G3030" s="612" t="s">
        <v>2842</v>
      </c>
    </row>
    <row r="3031" spans="1:7" ht="20.100000000000001" customHeight="1" x14ac:dyDescent="0.2">
      <c r="A3031" s="681" t="str">
        <f t="shared" si="40"/>
        <v>303  005.004.004  Geral</v>
      </c>
      <c r="B3031" s="636">
        <v>303</v>
      </c>
      <c r="C3031" s="614"/>
      <c r="D3031" s="638" t="s">
        <v>2843</v>
      </c>
      <c r="E3031" s="165"/>
      <c r="F3031" s="614"/>
      <c r="G3031" s="612" t="s">
        <v>2380</v>
      </c>
    </row>
    <row r="3032" spans="1:7" ht="20.100000000000001" customHeight="1" x14ac:dyDescent="0.2">
      <c r="A3032" s="681" t="str">
        <f t="shared" si="40"/>
        <v>304  005.005.000  GESTÃO RECURSO FEPE</v>
      </c>
      <c r="B3032" s="636">
        <v>304</v>
      </c>
      <c r="C3032" s="614"/>
      <c r="D3032" s="638" t="s">
        <v>2844</v>
      </c>
      <c r="E3032" s="165"/>
      <c r="F3032" s="614"/>
      <c r="G3032" s="612" t="s">
        <v>2845</v>
      </c>
    </row>
    <row r="3033" spans="1:7" ht="20.100000000000001" customHeight="1" x14ac:dyDescent="0.2">
      <c r="A3033" s="681" t="str">
        <f t="shared" si="40"/>
        <v>305  005.005.001  Manutenção de Estradas</v>
      </c>
      <c r="B3033" s="636">
        <v>305</v>
      </c>
      <c r="C3033" s="614"/>
      <c r="D3033" s="638" t="s">
        <v>2846</v>
      </c>
      <c r="E3033" s="165"/>
      <c r="F3033" s="614"/>
      <c r="G3033" s="612" t="s">
        <v>2838</v>
      </c>
    </row>
    <row r="3034" spans="1:7" ht="20.100000000000001" customHeight="1" x14ac:dyDescent="0.2">
      <c r="A3034" s="681" t="str">
        <f t="shared" si="40"/>
        <v>306  005.005.002  Manutenção de Pontes</v>
      </c>
      <c r="B3034" s="636">
        <v>306</v>
      </c>
      <c r="C3034" s="614"/>
      <c r="D3034" s="638" t="s">
        <v>2847</v>
      </c>
      <c r="E3034" s="165"/>
      <c r="F3034" s="614"/>
      <c r="G3034" s="612" t="s">
        <v>2840</v>
      </c>
    </row>
    <row r="3035" spans="1:7" ht="20.100000000000001" customHeight="1" x14ac:dyDescent="0.2">
      <c r="A3035" s="681" t="str">
        <f t="shared" si="40"/>
        <v>307  005.005.003  Manutenção de Bueiros</v>
      </c>
      <c r="B3035" s="636">
        <v>307</v>
      </c>
      <c r="C3035" s="614"/>
      <c r="D3035" s="638" t="s">
        <v>2848</v>
      </c>
      <c r="E3035" s="165"/>
      <c r="F3035" s="614"/>
      <c r="G3035" s="612" t="s">
        <v>2842</v>
      </c>
    </row>
    <row r="3036" spans="1:7" ht="20.100000000000001" customHeight="1" x14ac:dyDescent="0.2">
      <c r="A3036" s="681" t="str">
        <f t="shared" si="40"/>
        <v>308  005.005.004  Manutenção Iluminação Pública</v>
      </c>
      <c r="B3036" s="636">
        <v>308</v>
      </c>
      <c r="C3036" s="614"/>
      <c r="D3036" s="638" t="s">
        <v>2849</v>
      </c>
      <c r="E3036" s="165"/>
      <c r="F3036" s="614"/>
      <c r="G3036" s="612" t="s">
        <v>2850</v>
      </c>
    </row>
    <row r="3037" spans="1:7" ht="20.100000000000001" customHeight="1" x14ac:dyDescent="0.2">
      <c r="A3037" s="681" t="str">
        <f t="shared" si="40"/>
        <v>309  005.005.005  Geral</v>
      </c>
      <c r="B3037" s="636">
        <v>309</v>
      </c>
      <c r="C3037" s="614"/>
      <c r="D3037" s="638" t="s">
        <v>2851</v>
      </c>
      <c r="E3037" s="165"/>
      <c r="F3037" s="614"/>
      <c r="G3037" s="612" t="s">
        <v>2380</v>
      </c>
    </row>
    <row r="3038" spans="1:7" ht="20.100000000000001" customHeight="1" x14ac:dyDescent="0.2">
      <c r="A3038" s="681" t="str">
        <f t="shared" si="40"/>
        <v>310  005.006.000  GESTÃO DA FROTA DE VEICULOS E MAQUINAS RODOVIÁRIAS</v>
      </c>
      <c r="B3038" s="636">
        <v>310</v>
      </c>
      <c r="C3038" s="614"/>
      <c r="D3038" s="638" t="s">
        <v>2852</v>
      </c>
      <c r="E3038" s="165"/>
      <c r="F3038" s="614"/>
      <c r="G3038" s="612" t="s">
        <v>2853</v>
      </c>
    </row>
    <row r="3039" spans="1:7" ht="20.100000000000001" customHeight="1" x14ac:dyDescent="0.2">
      <c r="A3039" s="681" t="str">
        <f t="shared" si="40"/>
        <v>311  005.006.001  Combustivel Veículo IHL 6579</v>
      </c>
      <c r="B3039" s="636">
        <v>311</v>
      </c>
      <c r="C3039" s="614"/>
      <c r="D3039" s="638" t="s">
        <v>2854</v>
      </c>
      <c r="E3039" s="165"/>
      <c r="F3039" s="614"/>
      <c r="G3039" s="612" t="s">
        <v>2855</v>
      </c>
    </row>
    <row r="3040" spans="1:7" ht="20.100000000000001" customHeight="1" x14ac:dyDescent="0.2">
      <c r="A3040" s="681" t="str">
        <f t="shared" si="40"/>
        <v>312  005.006.002  Lubrificantes Veículo IHL 6579</v>
      </c>
      <c r="B3040" s="636">
        <v>312</v>
      </c>
      <c r="C3040" s="614"/>
      <c r="D3040" s="638" t="s">
        <v>2856</v>
      </c>
      <c r="E3040" s="165"/>
      <c r="F3040" s="614"/>
      <c r="G3040" s="612" t="s">
        <v>2857</v>
      </c>
    </row>
    <row r="3041" spans="1:7" ht="20.100000000000001" customHeight="1" x14ac:dyDescent="0.2">
      <c r="A3041" s="681" t="str">
        <f t="shared" si="40"/>
        <v>313  005.006.003  Material e Peças Veículo IHL 6579</v>
      </c>
      <c r="B3041" s="636">
        <v>313</v>
      </c>
      <c r="C3041" s="614"/>
      <c r="D3041" s="638" t="s">
        <v>2858</v>
      </c>
      <c r="E3041" s="165"/>
      <c r="F3041" s="614"/>
      <c r="G3041" s="612" t="s">
        <v>2859</v>
      </c>
    </row>
    <row r="3042" spans="1:7" ht="20.100000000000001" customHeight="1" x14ac:dyDescent="0.2">
      <c r="A3042" s="681" t="str">
        <f t="shared" si="40"/>
        <v>314  005.006.004  Manutenção Veículo IHL 6579</v>
      </c>
      <c r="B3042" s="636">
        <v>314</v>
      </c>
      <c r="C3042" s="614"/>
      <c r="D3042" s="638" t="s">
        <v>2860</v>
      </c>
      <c r="E3042" s="165"/>
      <c r="F3042" s="614"/>
      <c r="G3042" s="612" t="s">
        <v>2861</v>
      </c>
    </row>
    <row r="3043" spans="1:7" ht="20.100000000000001" customHeight="1" x14ac:dyDescent="0.2">
      <c r="A3043" s="681" t="str">
        <f t="shared" si="40"/>
        <v>315  005.006.005  Seguros Veículo IHL 6579</v>
      </c>
      <c r="B3043" s="636">
        <v>315</v>
      </c>
      <c r="C3043" s="614"/>
      <c r="D3043" s="638" t="s">
        <v>2862</v>
      </c>
      <c r="E3043" s="165"/>
      <c r="F3043" s="614"/>
      <c r="G3043" s="612" t="s">
        <v>2863</v>
      </c>
    </row>
    <row r="3044" spans="1:7" ht="20.100000000000001" customHeight="1" x14ac:dyDescent="0.2">
      <c r="A3044" s="681" t="str">
        <f t="shared" si="40"/>
        <v>316  005.006.006  Combustivel Veículo IHL 6621</v>
      </c>
      <c r="B3044" s="636">
        <v>316</v>
      </c>
      <c r="C3044" s="614"/>
      <c r="D3044" s="638" t="s">
        <v>2864</v>
      </c>
      <c r="E3044" s="165"/>
      <c r="F3044" s="614"/>
      <c r="G3044" s="612" t="s">
        <v>2865</v>
      </c>
    </row>
    <row r="3045" spans="1:7" ht="20.100000000000001" customHeight="1" x14ac:dyDescent="0.2">
      <c r="A3045" s="681" t="str">
        <f t="shared" si="40"/>
        <v>317  005.006.007  Lubrificantes Veículo IHL 6621</v>
      </c>
      <c r="B3045" s="636">
        <v>317</v>
      </c>
      <c r="C3045" s="614"/>
      <c r="D3045" s="638" t="s">
        <v>2866</v>
      </c>
      <c r="E3045" s="165"/>
      <c r="F3045" s="614"/>
      <c r="G3045" s="612" t="s">
        <v>2867</v>
      </c>
    </row>
    <row r="3046" spans="1:7" ht="20.100000000000001" customHeight="1" x14ac:dyDescent="0.2">
      <c r="A3046" s="681" t="str">
        <f t="shared" si="40"/>
        <v>318  005.006.008  Material e Peças Veículo IHL 6621</v>
      </c>
      <c r="B3046" s="636">
        <v>318</v>
      </c>
      <c r="C3046" s="614"/>
      <c r="D3046" s="638" t="s">
        <v>2868</v>
      </c>
      <c r="E3046" s="165"/>
      <c r="F3046" s="614"/>
      <c r="G3046" s="612" t="s">
        <v>2869</v>
      </c>
    </row>
    <row r="3047" spans="1:7" ht="20.100000000000001" customHeight="1" x14ac:dyDescent="0.2">
      <c r="A3047" s="681" t="str">
        <f t="shared" si="40"/>
        <v>319  005.006.009  Manutenção Veículo IHL 6621</v>
      </c>
      <c r="B3047" s="636">
        <v>319</v>
      </c>
      <c r="C3047" s="614"/>
      <c r="D3047" s="638" t="s">
        <v>2870</v>
      </c>
      <c r="E3047" s="165"/>
      <c r="F3047" s="614"/>
      <c r="G3047" s="612" t="s">
        <v>2871</v>
      </c>
    </row>
    <row r="3048" spans="1:7" ht="20.100000000000001" customHeight="1" x14ac:dyDescent="0.2">
      <c r="A3048" s="681" t="str">
        <f t="shared" si="40"/>
        <v>320  005.006.010  Seguros Veículo IHL 6621</v>
      </c>
      <c r="B3048" s="636">
        <v>320</v>
      </c>
      <c r="C3048" s="614"/>
      <c r="D3048" s="638" t="s">
        <v>2872</v>
      </c>
      <c r="E3048" s="165"/>
      <c r="F3048" s="614"/>
      <c r="G3048" s="612" t="s">
        <v>2873</v>
      </c>
    </row>
    <row r="3049" spans="1:7" ht="20.100000000000001" customHeight="1" x14ac:dyDescent="0.2">
      <c r="A3049" s="681" t="str">
        <f t="shared" si="40"/>
        <v>321  005.006.011  Combustivel Veículo IVR 0147</v>
      </c>
      <c r="B3049" s="636">
        <v>321</v>
      </c>
      <c r="C3049" s="614"/>
      <c r="D3049" s="638" t="s">
        <v>2874</v>
      </c>
      <c r="E3049" s="165"/>
      <c r="F3049" s="614"/>
      <c r="G3049" s="612" t="s">
        <v>2875</v>
      </c>
    </row>
    <row r="3050" spans="1:7" ht="20.100000000000001" customHeight="1" x14ac:dyDescent="0.2">
      <c r="A3050" s="681" t="str">
        <f t="shared" si="40"/>
        <v>322  005.006.012  Lubrificantes Veículo IVR 0147</v>
      </c>
      <c r="B3050" s="636">
        <v>322</v>
      </c>
      <c r="C3050" s="614"/>
      <c r="D3050" s="638" t="s">
        <v>2876</v>
      </c>
      <c r="E3050" s="165"/>
      <c r="F3050" s="614"/>
      <c r="G3050" s="612" t="s">
        <v>2877</v>
      </c>
    </row>
    <row r="3051" spans="1:7" ht="20.100000000000001" customHeight="1" x14ac:dyDescent="0.2">
      <c r="A3051" s="681" t="str">
        <f t="shared" si="40"/>
        <v>323  005.006.013  Material e Peças Veículo IVR 0147</v>
      </c>
      <c r="B3051" s="636">
        <v>323</v>
      </c>
      <c r="C3051" s="614"/>
      <c r="D3051" s="638" t="s">
        <v>2878</v>
      </c>
      <c r="E3051" s="165"/>
      <c r="F3051" s="614"/>
      <c r="G3051" s="612" t="s">
        <v>2879</v>
      </c>
    </row>
    <row r="3052" spans="1:7" ht="20.100000000000001" customHeight="1" x14ac:dyDescent="0.2">
      <c r="A3052" s="681" t="str">
        <f t="shared" si="40"/>
        <v>324  005.006.014  Manutenção Veículo IVR 0147</v>
      </c>
      <c r="B3052" s="636">
        <v>324</v>
      </c>
      <c r="C3052" s="614"/>
      <c r="D3052" s="638" t="s">
        <v>2880</v>
      </c>
      <c r="E3052" s="165"/>
      <c r="F3052" s="614"/>
      <c r="G3052" s="612" t="s">
        <v>2881</v>
      </c>
    </row>
    <row r="3053" spans="1:7" ht="20.100000000000001" customHeight="1" x14ac:dyDescent="0.2">
      <c r="A3053" s="681" t="str">
        <f t="shared" si="40"/>
        <v>325  005.006.015  Seguro Veículo IVR 0147</v>
      </c>
      <c r="B3053" s="636">
        <v>325</v>
      </c>
      <c r="C3053" s="614"/>
      <c r="D3053" s="638" t="s">
        <v>2882</v>
      </c>
      <c r="E3053" s="165"/>
      <c r="F3053" s="614"/>
      <c r="G3053" s="612" t="s">
        <v>2883</v>
      </c>
    </row>
    <row r="3054" spans="1:7" ht="20.100000000000001" customHeight="1" x14ac:dyDescent="0.2">
      <c r="A3054" s="681" t="str">
        <f t="shared" si="40"/>
        <v>326  005.006.016  Combustivel Motoniveladora 120H</v>
      </c>
      <c r="B3054" s="636">
        <v>326</v>
      </c>
      <c r="C3054" s="614"/>
      <c r="D3054" s="638" t="s">
        <v>2884</v>
      </c>
      <c r="E3054" s="165"/>
      <c r="F3054" s="614"/>
      <c r="G3054" s="612" t="s">
        <v>2885</v>
      </c>
    </row>
    <row r="3055" spans="1:7" ht="20.100000000000001" customHeight="1" x14ac:dyDescent="0.2">
      <c r="A3055" s="681" t="str">
        <f t="shared" si="40"/>
        <v>327  005.006.017  Lubrificantes Motoniveladora 120H</v>
      </c>
      <c r="B3055" s="636">
        <v>327</v>
      </c>
      <c r="C3055" s="614"/>
      <c r="D3055" s="638" t="s">
        <v>2886</v>
      </c>
      <c r="E3055" s="165"/>
      <c r="F3055" s="614"/>
      <c r="G3055" s="612" t="s">
        <v>2887</v>
      </c>
    </row>
    <row r="3056" spans="1:7" ht="20.100000000000001" customHeight="1" x14ac:dyDescent="0.2">
      <c r="A3056" s="681" t="str">
        <f t="shared" si="40"/>
        <v>328  005.006.018  Material e Peças Motoniveladora 120H</v>
      </c>
      <c r="B3056" s="636">
        <v>328</v>
      </c>
      <c r="C3056" s="614"/>
      <c r="D3056" s="638" t="s">
        <v>2888</v>
      </c>
      <c r="E3056" s="165"/>
      <c r="F3056" s="614"/>
      <c r="G3056" s="612" t="s">
        <v>2889</v>
      </c>
    </row>
    <row r="3057" spans="1:7" ht="20.100000000000001" customHeight="1" x14ac:dyDescent="0.2">
      <c r="A3057" s="681" t="str">
        <f t="shared" si="40"/>
        <v>329  005.006.019  Manutenção Motoniveladora 120H</v>
      </c>
      <c r="B3057" s="636">
        <v>329</v>
      </c>
      <c r="C3057" s="614"/>
      <c r="D3057" s="638" t="s">
        <v>2890</v>
      </c>
      <c r="E3057" s="165"/>
      <c r="F3057" s="614"/>
      <c r="G3057" s="612" t="s">
        <v>2891</v>
      </c>
    </row>
    <row r="3058" spans="1:7" ht="20.100000000000001" customHeight="1" x14ac:dyDescent="0.2">
      <c r="A3058" s="681" t="str">
        <f t="shared" si="40"/>
        <v>330  005.006.020  Combustivel Motoniveladora 135H</v>
      </c>
      <c r="B3058" s="636">
        <v>330</v>
      </c>
      <c r="C3058" s="614"/>
      <c r="D3058" s="638" t="s">
        <v>2892</v>
      </c>
      <c r="E3058" s="165"/>
      <c r="F3058" s="614"/>
      <c r="G3058" s="612" t="s">
        <v>2893</v>
      </c>
    </row>
    <row r="3059" spans="1:7" ht="20.100000000000001" customHeight="1" x14ac:dyDescent="0.2">
      <c r="A3059" s="681" t="str">
        <f t="shared" si="40"/>
        <v>331  005.006.021  Lubrificante Motoniveladora 135H</v>
      </c>
      <c r="B3059" s="636">
        <v>331</v>
      </c>
      <c r="C3059" s="614"/>
      <c r="D3059" s="638" t="s">
        <v>2894</v>
      </c>
      <c r="E3059" s="165"/>
      <c r="F3059" s="614"/>
      <c r="G3059" s="612" t="s">
        <v>2895</v>
      </c>
    </row>
    <row r="3060" spans="1:7" ht="20.100000000000001" customHeight="1" x14ac:dyDescent="0.2">
      <c r="A3060" s="681" t="str">
        <f t="shared" si="40"/>
        <v>332  005.006.022  Material e Peçasl Motoniveladora 135H</v>
      </c>
      <c r="B3060" s="636">
        <v>332</v>
      </c>
      <c r="C3060" s="614"/>
      <c r="D3060" s="638" t="s">
        <v>2896</v>
      </c>
      <c r="E3060" s="165"/>
      <c r="F3060" s="614"/>
      <c r="G3060" s="612" t="s">
        <v>2897</v>
      </c>
    </row>
    <row r="3061" spans="1:7" ht="20.100000000000001" customHeight="1" x14ac:dyDescent="0.2">
      <c r="A3061" s="681" t="str">
        <f t="shared" si="40"/>
        <v>333  005.006.023  Manutenção Motoniveladora 135H</v>
      </c>
      <c r="B3061" s="636">
        <v>333</v>
      </c>
      <c r="C3061" s="614"/>
      <c r="D3061" s="638" t="s">
        <v>2898</v>
      </c>
      <c r="E3061" s="165"/>
      <c r="F3061" s="614"/>
      <c r="G3061" s="612" t="s">
        <v>2899</v>
      </c>
    </row>
    <row r="3062" spans="1:7" ht="20.100000000000001" customHeight="1" x14ac:dyDescent="0.2">
      <c r="A3062" s="681" t="str">
        <f t="shared" si="40"/>
        <v>334  005.006.024  Combustivel Motoniveladora CASE 845 PAC 2</v>
      </c>
      <c r="B3062" s="636">
        <v>334</v>
      </c>
      <c r="C3062" s="614"/>
      <c r="D3062" s="638" t="s">
        <v>2900</v>
      </c>
      <c r="E3062" s="165"/>
      <c r="F3062" s="614"/>
      <c r="G3062" s="612" t="s">
        <v>2901</v>
      </c>
    </row>
    <row r="3063" spans="1:7" ht="20.100000000000001" customHeight="1" x14ac:dyDescent="0.2">
      <c r="A3063" s="681" t="str">
        <f t="shared" si="40"/>
        <v>335  005.006.025  Lubrificante Motoniveladora CASE 845 PAC 2</v>
      </c>
      <c r="B3063" s="636">
        <v>335</v>
      </c>
      <c r="C3063" s="614"/>
      <c r="D3063" s="638" t="s">
        <v>2902</v>
      </c>
      <c r="E3063" s="165"/>
      <c r="F3063" s="614"/>
      <c r="G3063" s="612" t="s">
        <v>2903</v>
      </c>
    </row>
    <row r="3064" spans="1:7" ht="20.100000000000001" customHeight="1" x14ac:dyDescent="0.2">
      <c r="A3064" s="681" t="str">
        <f t="shared" si="40"/>
        <v>336  005.006.026  Material e Peças  Motoniveladora CASE 845 PAC 2</v>
      </c>
      <c r="B3064" s="636">
        <v>336</v>
      </c>
      <c r="C3064" s="614"/>
      <c r="D3064" s="638" t="s">
        <v>2904</v>
      </c>
      <c r="E3064" s="165"/>
      <c r="F3064" s="614"/>
      <c r="G3064" s="612" t="s">
        <v>2905</v>
      </c>
    </row>
    <row r="3065" spans="1:7" ht="20.100000000000001" customHeight="1" x14ac:dyDescent="0.2">
      <c r="A3065" s="681" t="str">
        <f t="shared" si="40"/>
        <v>337  005.006.027  Manutenção Motoniveladora CASE 845 PAC 2</v>
      </c>
      <c r="B3065" s="636">
        <v>337</v>
      </c>
      <c r="C3065" s="614"/>
      <c r="D3065" s="638" t="s">
        <v>2906</v>
      </c>
      <c r="E3065" s="165"/>
      <c r="F3065" s="614"/>
      <c r="G3065" s="612" t="s">
        <v>2907</v>
      </c>
    </row>
    <row r="3066" spans="1:7" ht="20.100000000000001" customHeight="1" x14ac:dyDescent="0.2">
      <c r="A3066" s="681" t="str">
        <f t="shared" si="40"/>
        <v>338  005.006.029  Combustivel Trator Esteira D5E</v>
      </c>
      <c r="B3066" s="636">
        <v>338</v>
      </c>
      <c r="C3066" s="614"/>
      <c r="D3066" s="638" t="s">
        <v>2908</v>
      </c>
      <c r="E3066" s="165"/>
      <c r="F3066" s="614"/>
      <c r="G3066" s="612" t="s">
        <v>2909</v>
      </c>
    </row>
    <row r="3067" spans="1:7" ht="20.100000000000001" customHeight="1" x14ac:dyDescent="0.2">
      <c r="A3067" s="681" t="str">
        <f t="shared" si="40"/>
        <v>339  005.006.030  Lubrificante Trator Esteira D5E</v>
      </c>
      <c r="B3067" s="636">
        <v>339</v>
      </c>
      <c r="C3067" s="614"/>
      <c r="D3067" s="638" t="s">
        <v>2910</v>
      </c>
      <c r="E3067" s="165"/>
      <c r="F3067" s="614"/>
      <c r="G3067" s="612" t="s">
        <v>2911</v>
      </c>
    </row>
    <row r="3068" spans="1:7" ht="20.100000000000001" customHeight="1" x14ac:dyDescent="0.2">
      <c r="A3068" s="681" t="str">
        <f t="shared" si="40"/>
        <v>340  005.006.031  Material e Peças Trator Esteira D5E</v>
      </c>
      <c r="B3068" s="636">
        <v>340</v>
      </c>
      <c r="C3068" s="614"/>
      <c r="D3068" s="638" t="s">
        <v>2912</v>
      </c>
      <c r="E3068" s="165"/>
      <c r="F3068" s="614"/>
      <c r="G3068" s="612" t="s">
        <v>2913</v>
      </c>
    </row>
    <row r="3069" spans="1:7" ht="20.100000000000001" customHeight="1" x14ac:dyDescent="0.2">
      <c r="A3069" s="681" t="str">
        <f t="shared" si="40"/>
        <v>341  005.006.032  Manutenção Trator Esteira D5E</v>
      </c>
      <c r="B3069" s="636">
        <v>341</v>
      </c>
      <c r="C3069" s="614"/>
      <c r="D3069" s="638" t="s">
        <v>2914</v>
      </c>
      <c r="E3069" s="165"/>
      <c r="F3069" s="614"/>
      <c r="G3069" s="612" t="s">
        <v>2915</v>
      </c>
    </row>
    <row r="3070" spans="1:7" ht="20.100000000000001" customHeight="1" x14ac:dyDescent="0.2">
      <c r="A3070" s="681" t="str">
        <f t="shared" si="40"/>
        <v>342  005.006.033  Combustivel Retroescavadeira Case 580L 4x2</v>
      </c>
      <c r="B3070" s="636">
        <v>342</v>
      </c>
      <c r="C3070" s="614"/>
      <c r="D3070" s="638" t="s">
        <v>2916</v>
      </c>
      <c r="E3070" s="165"/>
      <c r="F3070" s="614"/>
      <c r="G3070" s="612" t="s">
        <v>2917</v>
      </c>
    </row>
    <row r="3071" spans="1:7" ht="20.100000000000001" customHeight="1" x14ac:dyDescent="0.2">
      <c r="A3071" s="681" t="str">
        <f t="shared" si="40"/>
        <v>343  005.006.034  Lubrificante Retroescavadeira Case 580L 4x2</v>
      </c>
      <c r="B3071" s="636">
        <v>343</v>
      </c>
      <c r="C3071" s="614"/>
      <c r="D3071" s="638" t="s">
        <v>2918</v>
      </c>
      <c r="E3071" s="165"/>
      <c r="F3071" s="614"/>
      <c r="G3071" s="612" t="s">
        <v>2919</v>
      </c>
    </row>
    <row r="3072" spans="1:7" ht="20.100000000000001" customHeight="1" x14ac:dyDescent="0.2">
      <c r="A3072" s="681" t="str">
        <f t="shared" si="40"/>
        <v>344  005.006.035  Material e Peças Retroescavadeira Case 580L 4x2</v>
      </c>
      <c r="B3072" s="636">
        <v>344</v>
      </c>
      <c r="C3072" s="614"/>
      <c r="D3072" s="638" t="s">
        <v>2920</v>
      </c>
      <c r="E3072" s="165"/>
      <c r="F3072" s="614"/>
      <c r="G3072" s="612" t="s">
        <v>2921</v>
      </c>
    </row>
    <row r="3073" spans="1:7" ht="20.100000000000001" customHeight="1" x14ac:dyDescent="0.2">
      <c r="A3073" s="681" t="str">
        <f t="shared" si="40"/>
        <v>345  005.006.036  Manutenção Retroescavadeira Case 580L 4x2</v>
      </c>
      <c r="B3073" s="636">
        <v>345</v>
      </c>
      <c r="C3073" s="614"/>
      <c r="D3073" s="638" t="s">
        <v>2922</v>
      </c>
      <c r="E3073" s="165"/>
      <c r="F3073" s="614"/>
      <c r="G3073" s="612" t="s">
        <v>2923</v>
      </c>
    </row>
    <row r="3074" spans="1:7" ht="20.100000000000001" customHeight="1" x14ac:dyDescent="0.2">
      <c r="A3074" s="681" t="str">
        <f t="shared" si="40"/>
        <v>346  005.006.037  Combustivel Retroescavadeira JCB PAC</v>
      </c>
      <c r="B3074" s="636">
        <v>346</v>
      </c>
      <c r="C3074" s="614"/>
      <c r="D3074" s="638" t="s">
        <v>2924</v>
      </c>
      <c r="E3074" s="165"/>
      <c r="F3074" s="614"/>
      <c r="G3074" s="612" t="s">
        <v>2925</v>
      </c>
    </row>
    <row r="3075" spans="1:7" ht="20.100000000000001" customHeight="1" x14ac:dyDescent="0.2">
      <c r="A3075" s="681" t="str">
        <f t="shared" si="40"/>
        <v>347  005.006.038  Lubrificante Retroescavadeira JCB PAC</v>
      </c>
      <c r="B3075" s="636">
        <v>347</v>
      </c>
      <c r="C3075" s="614"/>
      <c r="D3075" s="638" t="s">
        <v>2926</v>
      </c>
      <c r="E3075" s="165"/>
      <c r="F3075" s="614"/>
      <c r="G3075" s="612" t="s">
        <v>2927</v>
      </c>
    </row>
    <row r="3076" spans="1:7" ht="20.100000000000001" customHeight="1" x14ac:dyDescent="0.2">
      <c r="A3076" s="681" t="str">
        <f t="shared" ref="A3076:A3139" si="41">CONCATENATE(B3076,"  ",D3076,"  ",G3076)</f>
        <v>348  005.006.039  Material e Peças Retroescavadeira JCB PAC</v>
      </c>
      <c r="B3076" s="636">
        <v>348</v>
      </c>
      <c r="C3076" s="614"/>
      <c r="D3076" s="638" t="s">
        <v>2928</v>
      </c>
      <c r="E3076" s="165"/>
      <c r="F3076" s="614"/>
      <c r="G3076" s="612" t="s">
        <v>2929</v>
      </c>
    </row>
    <row r="3077" spans="1:7" ht="20.100000000000001" customHeight="1" x14ac:dyDescent="0.2">
      <c r="A3077" s="681" t="str">
        <f t="shared" si="41"/>
        <v>349  005.006.040  Manutenção Retroescavadeira JCB PAC</v>
      </c>
      <c r="B3077" s="636">
        <v>349</v>
      </c>
      <c r="C3077" s="614"/>
      <c r="D3077" s="638" t="s">
        <v>2930</v>
      </c>
      <c r="E3077" s="165"/>
      <c r="F3077" s="614"/>
      <c r="G3077" s="612" t="s">
        <v>2931</v>
      </c>
    </row>
    <row r="3078" spans="1:7" ht="20.100000000000001" customHeight="1" x14ac:dyDescent="0.2">
      <c r="A3078" s="681" t="str">
        <f t="shared" si="41"/>
        <v>350  005.006.041  Custo de Aquisicao de Maquinas Rodoviarias</v>
      </c>
      <c r="B3078" s="636">
        <v>350</v>
      </c>
      <c r="C3078" s="614"/>
      <c r="D3078" s="638" t="s">
        <v>2932</v>
      </c>
      <c r="E3078" s="165"/>
      <c r="F3078" s="614"/>
      <c r="G3078" s="612" t="s">
        <v>2933</v>
      </c>
    </row>
    <row r="3079" spans="1:7" ht="20.100000000000001" customHeight="1" x14ac:dyDescent="0.2">
      <c r="A3079" s="681" t="str">
        <f t="shared" si="41"/>
        <v>351  005.006.042   Custo de Aquisicao de Veículos Rodoviários</v>
      </c>
      <c r="B3079" s="636">
        <v>351</v>
      </c>
      <c r="C3079" s="614"/>
      <c r="D3079" s="638" t="s">
        <v>2934</v>
      </c>
      <c r="E3079" s="165"/>
      <c r="F3079" s="614"/>
      <c r="G3079" s="612" t="s">
        <v>2935</v>
      </c>
    </row>
    <row r="3080" spans="1:7" ht="20.100000000000001" customHeight="1" x14ac:dyDescent="0.2">
      <c r="A3080" s="681" t="str">
        <f t="shared" si="41"/>
        <v>352  005.006.043  Geral</v>
      </c>
      <c r="B3080" s="636">
        <v>352</v>
      </c>
      <c r="C3080" s="614"/>
      <c r="D3080" s="638" t="s">
        <v>2936</v>
      </c>
      <c r="E3080" s="165"/>
      <c r="F3080" s="614"/>
      <c r="G3080" s="612" t="s">
        <v>2380</v>
      </c>
    </row>
    <row r="3081" spans="1:7" ht="20.100000000000001" customHeight="1" x14ac:dyDescent="0.2">
      <c r="A3081" s="681" t="str">
        <f t="shared" si="41"/>
        <v>1620  005.006.044  Material e Peças P/Roçadeira Articulada</v>
      </c>
      <c r="B3081" s="636">
        <v>1620</v>
      </c>
      <c r="C3081" s="614"/>
      <c r="D3081" s="638" t="s">
        <v>2937</v>
      </c>
      <c r="E3081" s="165"/>
      <c r="F3081" s="614"/>
      <c r="G3081" s="612" t="s">
        <v>2938</v>
      </c>
    </row>
    <row r="3082" spans="1:7" ht="20.100000000000001" customHeight="1" x14ac:dyDescent="0.2">
      <c r="A3082" s="681" t="str">
        <f t="shared" si="41"/>
        <v>1673  005.006.045  Material P/ Trator 8030</v>
      </c>
      <c r="B3082" s="636">
        <v>1673</v>
      </c>
      <c r="C3082" s="614"/>
      <c r="D3082" s="638" t="s">
        <v>2939</v>
      </c>
      <c r="E3082" s="165"/>
      <c r="F3082" s="614"/>
      <c r="G3082" s="612" t="s">
        <v>2940</v>
      </c>
    </row>
    <row r="3083" spans="1:7" ht="20.100000000000001" customHeight="1" x14ac:dyDescent="0.2">
      <c r="A3083" s="681" t="str">
        <f t="shared" si="41"/>
        <v>353  005.007.000  CONSTRUÇÃO E CONSERVAÇÃO DE PONTES</v>
      </c>
      <c r="B3083" s="636">
        <v>353</v>
      </c>
      <c r="C3083" s="614"/>
      <c r="D3083" s="638" t="s">
        <v>2941</v>
      </c>
      <c r="E3083" s="165"/>
      <c r="F3083" s="614"/>
      <c r="G3083" s="612" t="s">
        <v>2942</v>
      </c>
    </row>
    <row r="3084" spans="1:7" ht="20.100000000000001" customHeight="1" x14ac:dyDescent="0.2">
      <c r="A3084" s="681" t="str">
        <f t="shared" si="41"/>
        <v>354  005.007.001  Manutenção Ponte Ordalina</v>
      </c>
      <c r="B3084" s="636">
        <v>354</v>
      </c>
      <c r="C3084" s="614"/>
      <c r="D3084" s="638" t="s">
        <v>2943</v>
      </c>
      <c r="E3084" s="165"/>
      <c r="F3084" s="614"/>
      <c r="G3084" s="612" t="s">
        <v>2944</v>
      </c>
    </row>
    <row r="3085" spans="1:7" ht="20.100000000000001" customHeight="1" x14ac:dyDescent="0.2">
      <c r="A3085" s="681" t="str">
        <f t="shared" si="41"/>
        <v>355  005.007.002  Manutenção Ponte da Amizade</v>
      </c>
      <c r="B3085" s="636">
        <v>355</v>
      </c>
      <c r="C3085" s="614"/>
      <c r="D3085" s="638" t="s">
        <v>2945</v>
      </c>
      <c r="E3085" s="165"/>
      <c r="F3085" s="614"/>
      <c r="G3085" s="612" t="s">
        <v>2946</v>
      </c>
    </row>
    <row r="3086" spans="1:7" ht="20.100000000000001" customHeight="1" x14ac:dyDescent="0.2">
      <c r="A3086" s="681" t="str">
        <f t="shared" si="41"/>
        <v>356  005.007.003  Manutenção Ponte Antonio Carlos</v>
      </c>
      <c r="B3086" s="636">
        <v>356</v>
      </c>
      <c r="C3086" s="614"/>
      <c r="D3086" s="638" t="s">
        <v>2947</v>
      </c>
      <c r="E3086" s="165"/>
      <c r="F3086" s="614"/>
      <c r="G3086" s="612" t="s">
        <v>2948</v>
      </c>
    </row>
    <row r="3087" spans="1:7" ht="20.100000000000001" customHeight="1" x14ac:dyDescent="0.2">
      <c r="A3087" s="681" t="str">
        <f t="shared" si="41"/>
        <v>357  005.007.004  Manutenção Ponte Passo das Almas</v>
      </c>
      <c r="B3087" s="636">
        <v>357</v>
      </c>
      <c r="C3087" s="614"/>
      <c r="D3087" s="638" t="s">
        <v>2949</v>
      </c>
      <c r="E3087" s="165"/>
      <c r="F3087" s="614"/>
      <c r="G3087" s="612" t="s">
        <v>2950</v>
      </c>
    </row>
    <row r="3088" spans="1:7" ht="20.100000000000001" customHeight="1" x14ac:dyDescent="0.2">
      <c r="A3088" s="681" t="str">
        <f t="shared" si="41"/>
        <v>358  005.007.005  Manutenção Ponte Travessão-Queiroz</v>
      </c>
      <c r="B3088" s="636">
        <v>358</v>
      </c>
      <c r="C3088" s="614"/>
      <c r="D3088" s="638" t="s">
        <v>2951</v>
      </c>
      <c r="E3088" s="165"/>
      <c r="F3088" s="614"/>
      <c r="G3088" s="612" t="s">
        <v>2952</v>
      </c>
    </row>
    <row r="3089" spans="1:7" ht="20.100000000000001" customHeight="1" x14ac:dyDescent="0.2">
      <c r="A3089" s="681" t="str">
        <f t="shared" si="41"/>
        <v>359  005.007.006  Manutenção Ponte Ebel-São Bras</v>
      </c>
      <c r="B3089" s="636">
        <v>359</v>
      </c>
      <c r="C3089" s="614"/>
      <c r="D3089" s="638" t="s">
        <v>2953</v>
      </c>
      <c r="E3089" s="165"/>
      <c r="F3089" s="614"/>
      <c r="G3089" s="612" t="s">
        <v>2954</v>
      </c>
    </row>
    <row r="3090" spans="1:7" ht="20.100000000000001" customHeight="1" x14ac:dyDescent="0.2">
      <c r="A3090" s="681" t="str">
        <f t="shared" si="41"/>
        <v>360  005.007.007  Manutenção Ponte Castelo-Costa do Pinheiro</v>
      </c>
      <c r="B3090" s="636">
        <v>360</v>
      </c>
      <c r="C3090" s="614"/>
      <c r="D3090" s="638" t="s">
        <v>2955</v>
      </c>
      <c r="E3090" s="165"/>
      <c r="F3090" s="614"/>
      <c r="G3090" s="612" t="s">
        <v>2956</v>
      </c>
    </row>
    <row r="3091" spans="1:7" ht="20.100000000000001" customHeight="1" x14ac:dyDescent="0.2">
      <c r="A3091" s="681" t="str">
        <f t="shared" si="41"/>
        <v>361  005.007.008  Manutenção Ponte Costa da Pitanga</v>
      </c>
      <c r="B3091" s="636">
        <v>361</v>
      </c>
      <c r="C3091" s="614"/>
      <c r="D3091" s="638" t="s">
        <v>2957</v>
      </c>
      <c r="E3091" s="165"/>
      <c r="F3091" s="614"/>
      <c r="G3091" s="612" t="s">
        <v>2958</v>
      </c>
    </row>
    <row r="3092" spans="1:7" ht="20.100000000000001" customHeight="1" x14ac:dyDescent="0.2">
      <c r="A3092" s="681" t="str">
        <f t="shared" si="41"/>
        <v>362  005.007.009  Obras em Execução</v>
      </c>
      <c r="B3092" s="636">
        <v>362</v>
      </c>
      <c r="C3092" s="614"/>
      <c r="D3092" s="638" t="s">
        <v>2959</v>
      </c>
      <c r="E3092" s="165"/>
      <c r="F3092" s="614"/>
      <c r="G3092" s="612" t="s">
        <v>2960</v>
      </c>
    </row>
    <row r="3093" spans="1:7" ht="20.100000000000001" customHeight="1" x14ac:dyDescent="0.2">
      <c r="A3093" s="681" t="str">
        <f t="shared" si="41"/>
        <v>363  005.007.010  Geral</v>
      </c>
      <c r="B3093" s="636">
        <v>363</v>
      </c>
      <c r="C3093" s="614"/>
      <c r="D3093" s="638" t="s">
        <v>2961</v>
      </c>
      <c r="E3093" s="165"/>
      <c r="F3093" s="614"/>
      <c r="G3093" s="612" t="s">
        <v>2380</v>
      </c>
    </row>
    <row r="3094" spans="1:7" ht="20.100000000000001" customHeight="1" x14ac:dyDescent="0.2">
      <c r="A3094" s="681" t="str">
        <f t="shared" si="41"/>
        <v>1623  005.007.011  Manutenção Ponte do Guaraxaim</v>
      </c>
      <c r="B3094" s="636">
        <v>1623</v>
      </c>
      <c r="C3094" s="614"/>
      <c r="D3094" s="638" t="s">
        <v>2962</v>
      </c>
      <c r="E3094" s="165"/>
      <c r="F3094" s="614"/>
      <c r="G3094" s="612" t="s">
        <v>2963</v>
      </c>
    </row>
    <row r="3095" spans="1:7" ht="20.100000000000001" customHeight="1" x14ac:dyDescent="0.2">
      <c r="A3095" s="681" t="str">
        <f t="shared" si="41"/>
        <v>1624  005.007.012  Manutenção Ponte do Martin Tessmann</v>
      </c>
      <c r="B3095" s="636">
        <v>1624</v>
      </c>
      <c r="C3095" s="614"/>
      <c r="D3095" s="638" t="s">
        <v>2964</v>
      </c>
      <c r="E3095" s="165"/>
      <c r="F3095" s="614"/>
      <c r="G3095" s="612" t="s">
        <v>2965</v>
      </c>
    </row>
    <row r="3096" spans="1:7" ht="20.100000000000001" customHeight="1" x14ac:dyDescent="0.2">
      <c r="A3096" s="681" t="str">
        <f t="shared" si="41"/>
        <v>1625  005.007.013  Manutenção ponte do Travessão da marta</v>
      </c>
      <c r="B3096" s="636">
        <v>1625</v>
      </c>
      <c r="C3096" s="614"/>
      <c r="D3096" s="638" t="s">
        <v>2966</v>
      </c>
      <c r="E3096" s="165"/>
      <c r="F3096" s="614"/>
      <c r="G3096" s="612" t="s">
        <v>2967</v>
      </c>
    </row>
    <row r="3097" spans="1:7" ht="20.100000000000001" customHeight="1" x14ac:dyDescent="0.2">
      <c r="A3097" s="681" t="str">
        <f t="shared" si="41"/>
        <v>1626  005.007.014  Manutenção ponte da Luciana</v>
      </c>
      <c r="B3097" s="636">
        <v>1626</v>
      </c>
      <c r="C3097" s="614"/>
      <c r="D3097" s="638" t="s">
        <v>2968</v>
      </c>
      <c r="E3097" s="165"/>
      <c r="F3097" s="614"/>
      <c r="G3097" s="612" t="s">
        <v>2969</v>
      </c>
    </row>
    <row r="3098" spans="1:7" ht="20.100000000000001" customHeight="1" x14ac:dyDescent="0.2">
      <c r="A3098" s="681" t="str">
        <f t="shared" si="41"/>
        <v>1666  005.007.015  Material P/ Manuteção Ponte Hilson Carlos</v>
      </c>
      <c r="B3098" s="636">
        <v>1666</v>
      </c>
      <c r="C3098" s="614"/>
      <c r="D3098" s="638" t="s">
        <v>2970</v>
      </c>
      <c r="E3098" s="165"/>
      <c r="F3098" s="614"/>
      <c r="G3098" s="612" t="s">
        <v>2971</v>
      </c>
    </row>
    <row r="3099" spans="1:7" ht="20.100000000000001" customHeight="1" x14ac:dyDescent="0.2">
      <c r="A3099" s="681" t="str">
        <f t="shared" si="41"/>
        <v>1667  005.007.016  Material P/ Ponte Luiz Hubner</v>
      </c>
      <c r="B3099" s="636">
        <v>1667</v>
      </c>
      <c r="C3099" s="614"/>
      <c r="D3099" s="638" t="s">
        <v>2972</v>
      </c>
      <c r="E3099" s="165"/>
      <c r="F3099" s="614"/>
      <c r="G3099" s="612" t="s">
        <v>2973</v>
      </c>
    </row>
    <row r="3100" spans="1:7" ht="20.100000000000001" customHeight="1" x14ac:dyDescent="0.2">
      <c r="A3100" s="681" t="str">
        <f t="shared" si="41"/>
        <v>364  005.008.000  CONSTRUÇÃO E CONSERVAÇÃO DE BUEIROS</v>
      </c>
      <c r="B3100" s="636">
        <v>364</v>
      </c>
      <c r="C3100" s="614"/>
      <c r="D3100" s="638" t="s">
        <v>2974</v>
      </c>
      <c r="E3100" s="165"/>
      <c r="F3100" s="614"/>
      <c r="G3100" s="612" t="s">
        <v>2975</v>
      </c>
    </row>
    <row r="3101" spans="1:7" ht="20.100000000000001" customHeight="1" x14ac:dyDescent="0.2">
      <c r="A3101" s="681" t="str">
        <f t="shared" si="41"/>
        <v>365  005.008.001  Manutenção de Bueiros</v>
      </c>
      <c r="B3101" s="636">
        <v>365</v>
      </c>
      <c r="C3101" s="614"/>
      <c r="D3101" s="638" t="s">
        <v>2976</v>
      </c>
      <c r="E3101" s="165"/>
      <c r="F3101" s="614"/>
      <c r="G3101" s="612" t="s">
        <v>2842</v>
      </c>
    </row>
    <row r="3102" spans="1:7" ht="20.100000000000001" customHeight="1" x14ac:dyDescent="0.2">
      <c r="A3102" s="681" t="str">
        <f t="shared" si="41"/>
        <v>366  005.008.002  Obras em Andamento</v>
      </c>
      <c r="B3102" s="636">
        <v>366</v>
      </c>
      <c r="C3102" s="614"/>
      <c r="D3102" s="638" t="s">
        <v>2977</v>
      </c>
      <c r="E3102" s="165"/>
      <c r="F3102" s="614"/>
      <c r="G3102" s="612" t="s">
        <v>2978</v>
      </c>
    </row>
    <row r="3103" spans="1:7" ht="20.100000000000001" customHeight="1" x14ac:dyDescent="0.2">
      <c r="A3103" s="681" t="str">
        <f t="shared" si="41"/>
        <v>367  005.008.003  Geral</v>
      </c>
      <c r="B3103" s="636">
        <v>367</v>
      </c>
      <c r="C3103" s="614"/>
      <c r="D3103" s="638" t="s">
        <v>2979</v>
      </c>
      <c r="E3103" s="165"/>
      <c r="F3103" s="614"/>
      <c r="G3103" s="612" t="s">
        <v>2380</v>
      </c>
    </row>
    <row r="3104" spans="1:7" ht="20.100000000000001" customHeight="1" x14ac:dyDescent="0.2">
      <c r="A3104" s="681" t="str">
        <f t="shared" si="41"/>
        <v>368  005.009.000  CONSTRUÇÃO E MANUTENCAO DE VIAS URBANAS</v>
      </c>
      <c r="B3104" s="636">
        <v>368</v>
      </c>
      <c r="C3104" s="614"/>
      <c r="D3104" s="638" t="s">
        <v>2980</v>
      </c>
      <c r="E3104" s="165"/>
      <c r="F3104" s="614"/>
      <c r="G3104" s="612" t="s">
        <v>2981</v>
      </c>
    </row>
    <row r="3105" spans="1:7" ht="20.100000000000001" customHeight="1" x14ac:dyDescent="0.2">
      <c r="A3105" s="681" t="str">
        <f t="shared" si="41"/>
        <v>369  005.009.001  Manutençao e Conservação Rua Osvaldo Venzke</v>
      </c>
      <c r="B3105" s="636">
        <v>369</v>
      </c>
      <c r="C3105" s="614"/>
      <c r="D3105" s="638" t="s">
        <v>2982</v>
      </c>
      <c r="E3105" s="165"/>
      <c r="F3105" s="614"/>
      <c r="G3105" s="612" t="s">
        <v>2983</v>
      </c>
    </row>
    <row r="3106" spans="1:7" ht="20.100000000000001" customHeight="1" x14ac:dyDescent="0.2">
      <c r="A3106" s="681" t="str">
        <f t="shared" si="41"/>
        <v>370  005.009.002  Manutenção e Conservação Avenida 28 de Dezembro</v>
      </c>
      <c r="B3106" s="636">
        <v>370</v>
      </c>
      <c r="C3106" s="614"/>
      <c r="D3106" s="638" t="s">
        <v>2984</v>
      </c>
      <c r="E3106" s="165"/>
      <c r="F3106" s="614"/>
      <c r="G3106" s="612" t="s">
        <v>2985</v>
      </c>
    </row>
    <row r="3107" spans="1:7" ht="20.100000000000001" customHeight="1" x14ac:dyDescent="0.2">
      <c r="A3107" s="681" t="str">
        <f t="shared" si="41"/>
        <v>371  005.009.004  Obras em Andamento Rua Henrique Widenhoeft</v>
      </c>
      <c r="B3107" s="636">
        <v>371</v>
      </c>
      <c r="C3107" s="614"/>
      <c r="D3107" s="638" t="s">
        <v>2986</v>
      </c>
      <c r="E3107" s="165"/>
      <c r="F3107" s="614"/>
      <c r="G3107" s="612" t="s">
        <v>2987</v>
      </c>
    </row>
    <row r="3108" spans="1:7" ht="20.100000000000001" customHeight="1" x14ac:dyDescent="0.2">
      <c r="A3108" s="681" t="str">
        <f t="shared" si="41"/>
        <v>372  005.009.005  Geral</v>
      </c>
      <c r="B3108" s="636">
        <v>372</v>
      </c>
      <c r="C3108" s="614"/>
      <c r="D3108" s="638" t="s">
        <v>2988</v>
      </c>
      <c r="E3108" s="165"/>
      <c r="F3108" s="614"/>
      <c r="G3108" s="612" t="s">
        <v>2380</v>
      </c>
    </row>
    <row r="3109" spans="1:7" ht="20.100000000000001" customHeight="1" x14ac:dyDescent="0.2">
      <c r="A3109" s="681" t="str">
        <f t="shared" si="41"/>
        <v>1648  005.009.006  Manutenção e Conservação Rua D2</v>
      </c>
      <c r="B3109" s="636">
        <v>1648</v>
      </c>
      <c r="C3109" s="614"/>
      <c r="D3109" s="638" t="s">
        <v>2989</v>
      </c>
      <c r="E3109" s="165"/>
      <c r="F3109" s="614"/>
      <c r="G3109" s="612" t="s">
        <v>2990</v>
      </c>
    </row>
    <row r="3110" spans="1:7" ht="20.100000000000001" customHeight="1" x14ac:dyDescent="0.2">
      <c r="A3110" s="681" t="str">
        <f t="shared" si="41"/>
        <v>1679  005.009.006  Obras e Manutenção Rua Q</v>
      </c>
      <c r="B3110" s="636">
        <v>1679</v>
      </c>
      <c r="C3110" s="614"/>
      <c r="D3110" s="638" t="s">
        <v>2989</v>
      </c>
      <c r="E3110" s="165"/>
      <c r="F3110" s="614"/>
      <c r="G3110" s="612" t="s">
        <v>2991</v>
      </c>
    </row>
    <row r="3111" spans="1:7" ht="20.100000000000001" customHeight="1" x14ac:dyDescent="0.2">
      <c r="A3111" s="681" t="str">
        <f t="shared" si="41"/>
        <v>1649  005.009.007  Manutenção e Conservação Rua Centro de Eventos</v>
      </c>
      <c r="B3111" s="636">
        <v>1649</v>
      </c>
      <c r="C3111" s="614"/>
      <c r="D3111" s="638" t="s">
        <v>2992</v>
      </c>
      <c r="E3111" s="165"/>
      <c r="F3111" s="614"/>
      <c r="G3111" s="612" t="s">
        <v>2993</v>
      </c>
    </row>
    <row r="3112" spans="1:7" ht="20.100000000000001" customHeight="1" x14ac:dyDescent="0.2">
      <c r="A3112" s="681" t="str">
        <f t="shared" si="41"/>
        <v>373  005.010.000  GESTÃO COLETA DE LIXO</v>
      </c>
      <c r="B3112" s="636">
        <v>373</v>
      </c>
      <c r="C3112" s="614"/>
      <c r="D3112" s="638" t="s">
        <v>2994</v>
      </c>
      <c r="E3112" s="165"/>
      <c r="F3112" s="614"/>
      <c r="G3112" s="612" t="s">
        <v>2995</v>
      </c>
    </row>
    <row r="3113" spans="1:7" ht="20.100000000000001" customHeight="1" x14ac:dyDescent="0.2">
      <c r="A3113" s="681" t="str">
        <f t="shared" si="41"/>
        <v>374  005.010.001  Combustivel Veículo IHL 6621</v>
      </c>
      <c r="B3113" s="636">
        <v>374</v>
      </c>
      <c r="C3113" s="614"/>
      <c r="D3113" s="638" t="s">
        <v>2996</v>
      </c>
      <c r="E3113" s="165"/>
      <c r="F3113" s="614"/>
      <c r="G3113" s="612" t="s">
        <v>2865</v>
      </c>
    </row>
    <row r="3114" spans="1:7" ht="20.100000000000001" customHeight="1" x14ac:dyDescent="0.2">
      <c r="A3114" s="681" t="str">
        <f t="shared" si="41"/>
        <v>375  005.010.002  Combustivel Veículo IHL 6579</v>
      </c>
      <c r="B3114" s="636">
        <v>375</v>
      </c>
      <c r="C3114" s="614"/>
      <c r="D3114" s="638" t="s">
        <v>2997</v>
      </c>
      <c r="E3114" s="165"/>
      <c r="F3114" s="614"/>
      <c r="G3114" s="612" t="s">
        <v>2855</v>
      </c>
    </row>
    <row r="3115" spans="1:7" ht="20.100000000000001" customHeight="1" x14ac:dyDescent="0.2">
      <c r="A3115" s="681" t="str">
        <f t="shared" si="41"/>
        <v>376  005.010.003  Combustivel Veículo IVR 0147</v>
      </c>
      <c r="B3115" s="636">
        <v>376</v>
      </c>
      <c r="C3115" s="614"/>
      <c r="D3115" s="638" t="s">
        <v>2998</v>
      </c>
      <c r="E3115" s="165"/>
      <c r="F3115" s="614"/>
      <c r="G3115" s="612" t="s">
        <v>2875</v>
      </c>
    </row>
    <row r="3116" spans="1:7" ht="20.100000000000001" customHeight="1" x14ac:dyDescent="0.2">
      <c r="A3116" s="681" t="str">
        <f t="shared" si="41"/>
        <v>377  005.010.004  Manutenção Veículo IHL 6621</v>
      </c>
      <c r="B3116" s="636">
        <v>377</v>
      </c>
      <c r="C3116" s="614"/>
      <c r="D3116" s="638" t="s">
        <v>2999</v>
      </c>
      <c r="E3116" s="165"/>
      <c r="F3116" s="614"/>
      <c r="G3116" s="612" t="s">
        <v>2871</v>
      </c>
    </row>
    <row r="3117" spans="1:7" ht="20.100000000000001" customHeight="1" x14ac:dyDescent="0.2">
      <c r="A3117" s="681" t="str">
        <f t="shared" si="41"/>
        <v>378  005.010.005  Manutenção Veículo IHL 6579</v>
      </c>
      <c r="B3117" s="636">
        <v>378</v>
      </c>
      <c r="C3117" s="614"/>
      <c r="D3117" s="638" t="s">
        <v>3000</v>
      </c>
      <c r="E3117" s="165"/>
      <c r="F3117" s="614"/>
      <c r="G3117" s="612" t="s">
        <v>2861</v>
      </c>
    </row>
    <row r="3118" spans="1:7" ht="20.100000000000001" customHeight="1" x14ac:dyDescent="0.2">
      <c r="A3118" s="681" t="str">
        <f t="shared" si="41"/>
        <v>379  005.010.006  Manutenção Veículo IVR 0147</v>
      </c>
      <c r="B3118" s="636">
        <v>379</v>
      </c>
      <c r="C3118" s="614"/>
      <c r="D3118" s="638" t="s">
        <v>3001</v>
      </c>
      <c r="E3118" s="165"/>
      <c r="F3118" s="614"/>
      <c r="G3118" s="612" t="s">
        <v>2881</v>
      </c>
    </row>
    <row r="3119" spans="1:7" ht="20.100000000000001" customHeight="1" x14ac:dyDescent="0.2">
      <c r="A3119" s="681" t="str">
        <f t="shared" si="41"/>
        <v>380  005.010.007  Pessoal e Encargos</v>
      </c>
      <c r="B3119" s="636">
        <v>380</v>
      </c>
      <c r="C3119" s="614"/>
      <c r="D3119" s="638" t="s">
        <v>3002</v>
      </c>
      <c r="E3119" s="165"/>
      <c r="F3119" s="614"/>
      <c r="G3119" s="612" t="s">
        <v>3003</v>
      </c>
    </row>
    <row r="3120" spans="1:7" ht="20.100000000000001" customHeight="1" x14ac:dyDescent="0.2">
      <c r="A3120" s="681" t="str">
        <f t="shared" si="41"/>
        <v>381  005.010.008  Geral</v>
      </c>
      <c r="B3120" s="636">
        <v>381</v>
      </c>
      <c r="C3120" s="614"/>
      <c r="D3120" s="638" t="s">
        <v>3004</v>
      </c>
      <c r="E3120" s="165"/>
      <c r="F3120" s="614"/>
      <c r="G3120" s="612" t="s">
        <v>2380</v>
      </c>
    </row>
    <row r="3121" spans="1:7" ht="20.100000000000001" customHeight="1" x14ac:dyDescent="0.2">
      <c r="A3121" s="681" t="str">
        <f t="shared" si="41"/>
        <v>1502  005.010.009  Diarias Serv. Contratados</v>
      </c>
      <c r="B3121" s="636">
        <v>1502</v>
      </c>
      <c r="C3121" s="614"/>
      <c r="D3121" s="638" t="s">
        <v>3005</v>
      </c>
      <c r="E3121" s="165"/>
      <c r="F3121" s="614"/>
      <c r="G3121" s="612" t="s">
        <v>3006</v>
      </c>
    </row>
    <row r="3122" spans="1:7" ht="20.100000000000001" customHeight="1" x14ac:dyDescent="0.2">
      <c r="A3122" s="681" t="str">
        <f t="shared" si="41"/>
        <v>1503  005.010.010  Diarias Serv. Efetivos</v>
      </c>
      <c r="B3122" s="636">
        <v>1503</v>
      </c>
      <c r="C3122" s="614"/>
      <c r="D3122" s="638" t="s">
        <v>3007</v>
      </c>
      <c r="E3122" s="165"/>
      <c r="F3122" s="614"/>
      <c r="G3122" s="612" t="s">
        <v>3008</v>
      </c>
    </row>
    <row r="3123" spans="1:7" ht="20.100000000000001" customHeight="1" x14ac:dyDescent="0.2">
      <c r="A3123" s="681" t="str">
        <f t="shared" si="41"/>
        <v>382  005.011.000  GESTÃO DA COLETA SELETIVA DE LIXO</v>
      </c>
      <c r="B3123" s="636">
        <v>382</v>
      </c>
      <c r="C3123" s="614"/>
      <c r="D3123" s="638" t="s">
        <v>3009</v>
      </c>
      <c r="E3123" s="165"/>
      <c r="F3123" s="614"/>
      <c r="G3123" s="612" t="s">
        <v>3010</v>
      </c>
    </row>
    <row r="3124" spans="1:7" ht="20.100000000000001" customHeight="1" x14ac:dyDescent="0.2">
      <c r="A3124" s="681" t="str">
        <f t="shared" si="41"/>
        <v>383  005.012.000  CONSTRUÇÃO, MANUTENÇÃO E CONSERVAÇÃO DE ESTRADAS</v>
      </c>
      <c r="B3124" s="636">
        <v>383</v>
      </c>
      <c r="C3124" s="614"/>
      <c r="D3124" s="638" t="s">
        <v>3011</v>
      </c>
      <c r="E3124" s="165"/>
      <c r="F3124" s="614"/>
      <c r="G3124" s="612" t="s">
        <v>3012</v>
      </c>
    </row>
    <row r="3125" spans="1:7" ht="20.100000000000001" customHeight="1" x14ac:dyDescent="0.2">
      <c r="A3125" s="681" t="str">
        <f t="shared" si="41"/>
        <v>384  005.012.001  Manutenção e Conservação  de Estradas</v>
      </c>
      <c r="B3125" s="636">
        <v>384</v>
      </c>
      <c r="C3125" s="614"/>
      <c r="D3125" s="638" t="s">
        <v>3013</v>
      </c>
      <c r="E3125" s="165"/>
      <c r="F3125" s="614"/>
      <c r="G3125" s="612" t="s">
        <v>3014</v>
      </c>
    </row>
    <row r="3126" spans="1:7" ht="20.100000000000001" customHeight="1" x14ac:dyDescent="0.2">
      <c r="A3126" s="681" t="str">
        <f t="shared" si="41"/>
        <v>385  005.012.002  Manutenção e Conservação  de Abrigos de Passageiros</v>
      </c>
      <c r="B3126" s="636">
        <v>385</v>
      </c>
      <c r="C3126" s="614"/>
      <c r="D3126" s="638" t="s">
        <v>3015</v>
      </c>
      <c r="E3126" s="165"/>
      <c r="F3126" s="614"/>
      <c r="G3126" s="612" t="s">
        <v>3016</v>
      </c>
    </row>
    <row r="3127" spans="1:7" ht="20.100000000000001" customHeight="1" x14ac:dyDescent="0.2">
      <c r="A3127" s="681" t="str">
        <f t="shared" si="41"/>
        <v>386  005.012.003  Manutenção Motosserra</v>
      </c>
      <c r="B3127" s="636">
        <v>386</v>
      </c>
      <c r="C3127" s="614"/>
      <c r="D3127" s="638" t="s">
        <v>3017</v>
      </c>
      <c r="E3127" s="165"/>
      <c r="F3127" s="614"/>
      <c r="G3127" s="612" t="s">
        <v>3018</v>
      </c>
    </row>
    <row r="3128" spans="1:7" ht="20.100000000000001" customHeight="1" x14ac:dyDescent="0.2">
      <c r="A3128" s="681" t="str">
        <f t="shared" si="41"/>
        <v>387  005.012.004  Combustiveis e Lubrificantes Motosserra</v>
      </c>
      <c r="B3128" s="636">
        <v>387</v>
      </c>
      <c r="C3128" s="614"/>
      <c r="D3128" s="638" t="s">
        <v>3019</v>
      </c>
      <c r="E3128" s="165"/>
      <c r="F3128" s="614"/>
      <c r="G3128" s="612" t="s">
        <v>3020</v>
      </c>
    </row>
    <row r="3129" spans="1:7" ht="20.100000000000001" customHeight="1" x14ac:dyDescent="0.2">
      <c r="A3129" s="681" t="str">
        <f t="shared" si="41"/>
        <v>388  005.012.005  Obras em Andamento</v>
      </c>
      <c r="B3129" s="636">
        <v>388</v>
      </c>
      <c r="C3129" s="614"/>
      <c r="D3129" s="638" t="s">
        <v>3021</v>
      </c>
      <c r="E3129" s="165"/>
      <c r="F3129" s="614"/>
      <c r="G3129" s="612" t="s">
        <v>2978</v>
      </c>
    </row>
    <row r="3130" spans="1:7" ht="20.100000000000001" customHeight="1" x14ac:dyDescent="0.2">
      <c r="A3130" s="681" t="str">
        <f t="shared" si="41"/>
        <v>389  005.012.006  Geral</v>
      </c>
      <c r="B3130" s="636">
        <v>389</v>
      </c>
      <c r="C3130" s="614"/>
      <c r="D3130" s="638" t="s">
        <v>3022</v>
      </c>
      <c r="E3130" s="165"/>
      <c r="F3130" s="614"/>
      <c r="G3130" s="612" t="s">
        <v>2380</v>
      </c>
    </row>
    <row r="3131" spans="1:7" ht="20.100000000000001" customHeight="1" x14ac:dyDescent="0.2">
      <c r="A3131" s="681" t="str">
        <f t="shared" si="41"/>
        <v>1468  005.012.007  Manutenção da Roçadeira</v>
      </c>
      <c r="B3131" s="636">
        <v>1468</v>
      </c>
      <c r="C3131" s="614"/>
      <c r="D3131" s="638" t="s">
        <v>3023</v>
      </c>
      <c r="E3131" s="165"/>
      <c r="F3131" s="614"/>
      <c r="G3131" s="612" t="s">
        <v>3024</v>
      </c>
    </row>
    <row r="3132" spans="1:7" ht="20.100000000000001" customHeight="1" x14ac:dyDescent="0.2">
      <c r="A3132" s="681" t="str">
        <f t="shared" si="41"/>
        <v>390  005.013.000  GESTÃO DE RECURSOS DE HORA MAQUINA</v>
      </c>
      <c r="B3132" s="636">
        <v>390</v>
      </c>
      <c r="C3132" s="614"/>
      <c r="D3132" s="638" t="s">
        <v>3025</v>
      </c>
      <c r="E3132" s="165"/>
      <c r="F3132" s="614"/>
      <c r="G3132" s="612" t="s">
        <v>3026</v>
      </c>
    </row>
    <row r="3133" spans="1:7" ht="20.100000000000001" customHeight="1" x14ac:dyDescent="0.2">
      <c r="A3133" s="681" t="str">
        <f t="shared" si="41"/>
        <v>391  005.014.000  MANUTENÇÃO E CONSERVAÇÃO CAPELA MUNICIPAL E CEMITÉRIO</v>
      </c>
      <c r="B3133" s="636">
        <v>391</v>
      </c>
      <c r="C3133" s="614"/>
      <c r="D3133" s="638" t="s">
        <v>3027</v>
      </c>
      <c r="E3133" s="165"/>
      <c r="F3133" s="614"/>
      <c r="G3133" s="612" t="s">
        <v>3028</v>
      </c>
    </row>
    <row r="3134" spans="1:7" ht="20.100000000000001" customHeight="1" x14ac:dyDescent="0.2">
      <c r="A3134" s="681" t="str">
        <f t="shared" si="41"/>
        <v>392  005.014.001  Agua - Capela Municipal</v>
      </c>
      <c r="B3134" s="636">
        <v>392</v>
      </c>
      <c r="C3134" s="614"/>
      <c r="D3134" s="638" t="s">
        <v>3029</v>
      </c>
      <c r="E3134" s="165"/>
      <c r="F3134" s="614"/>
      <c r="G3134" s="612" t="s">
        <v>3030</v>
      </c>
    </row>
    <row r="3135" spans="1:7" ht="20.100000000000001" customHeight="1" x14ac:dyDescent="0.2">
      <c r="A3135" s="681" t="str">
        <f t="shared" si="41"/>
        <v>393  005.014.002  Energia Eletrica -  Capela Municipal</v>
      </c>
      <c r="B3135" s="636">
        <v>393</v>
      </c>
      <c r="C3135" s="614"/>
      <c r="D3135" s="638" t="s">
        <v>3031</v>
      </c>
      <c r="E3135" s="165"/>
      <c r="F3135" s="614"/>
      <c r="G3135" s="612" t="s">
        <v>3032</v>
      </c>
    </row>
    <row r="3136" spans="1:7" ht="20.100000000000001" customHeight="1" x14ac:dyDescent="0.2">
      <c r="A3136" s="681" t="str">
        <f t="shared" si="41"/>
        <v>394  005.014.003  Manutenção Capela Municipal</v>
      </c>
      <c r="B3136" s="636">
        <v>394</v>
      </c>
      <c r="C3136" s="614"/>
      <c r="D3136" s="638" t="s">
        <v>3033</v>
      </c>
      <c r="E3136" s="165"/>
      <c r="F3136" s="614"/>
      <c r="G3136" s="612" t="s">
        <v>3034</v>
      </c>
    </row>
    <row r="3137" spans="1:12" ht="20.100000000000001" customHeight="1" x14ac:dyDescent="0.2">
      <c r="A3137" s="681" t="str">
        <f t="shared" si="41"/>
        <v>395  005.014.004  Geral - Capela Municipal</v>
      </c>
      <c r="B3137" s="636">
        <v>395</v>
      </c>
      <c r="C3137" s="614"/>
      <c r="D3137" s="638" t="s">
        <v>3035</v>
      </c>
      <c r="E3137" s="165"/>
      <c r="F3137" s="614"/>
      <c r="G3137" s="612" t="s">
        <v>3036</v>
      </c>
    </row>
    <row r="3138" spans="1:12" ht="20.100000000000001" customHeight="1" x14ac:dyDescent="0.2">
      <c r="A3138" s="681" t="str">
        <f t="shared" si="41"/>
        <v>396  005.014.005  Manutenção - Cemitério</v>
      </c>
      <c r="B3138" s="636">
        <v>396</v>
      </c>
      <c r="C3138" s="614"/>
      <c r="D3138" s="638" t="s">
        <v>3037</v>
      </c>
      <c r="E3138" s="165"/>
      <c r="F3138" s="614"/>
      <c r="G3138" s="612" t="s">
        <v>3038</v>
      </c>
    </row>
    <row r="3139" spans="1:12" ht="20.100000000000001" customHeight="1" x14ac:dyDescent="0.2">
      <c r="A3139" s="681" t="str">
        <f t="shared" si="41"/>
        <v>397  005.015.000  MANUTENÇÃO DA ILUMINAÇÃO PÚBLICA</v>
      </c>
      <c r="B3139" s="636">
        <v>397</v>
      </c>
      <c r="C3139" s="614"/>
      <c r="D3139" s="638" t="s">
        <v>3039</v>
      </c>
      <c r="E3139" s="165"/>
      <c r="F3139" s="614"/>
      <c r="G3139" s="612" t="s">
        <v>3040</v>
      </c>
    </row>
    <row r="3140" spans="1:12" ht="20.100000000000001" customHeight="1" x14ac:dyDescent="0.2">
      <c r="A3140" s="681" t="str">
        <f t="shared" ref="A3140:A3206" si="42">CONCATENATE(B3140,"  ",D3140,"  ",G3140)</f>
        <v>398  005.015.001  Mantenção da Rede Iluminação Publica Urbana</v>
      </c>
      <c r="B3140" s="636">
        <v>398</v>
      </c>
      <c r="C3140" s="614"/>
      <c r="D3140" s="638" t="s">
        <v>3041</v>
      </c>
      <c r="E3140" s="165"/>
      <c r="F3140" s="614"/>
      <c r="G3140" s="612" t="s">
        <v>3042</v>
      </c>
    </row>
    <row r="3141" spans="1:12" ht="20.100000000000001" customHeight="1" x14ac:dyDescent="0.2">
      <c r="A3141" s="681" t="str">
        <f t="shared" si="42"/>
        <v>399  005.015.002  Mantenção da Rede Iluminação Publica Rural</v>
      </c>
      <c r="B3141" s="636">
        <v>399</v>
      </c>
      <c r="C3141" s="614"/>
      <c r="D3141" s="638" t="s">
        <v>3043</v>
      </c>
      <c r="E3141" s="165"/>
      <c r="F3141" s="614"/>
      <c r="G3141" s="612" t="s">
        <v>3044</v>
      </c>
    </row>
    <row r="3142" spans="1:12" ht="20.100000000000001" customHeight="1" x14ac:dyDescent="0.2">
      <c r="A3142" s="681" t="str">
        <f t="shared" si="42"/>
        <v>400  005.015.003  Energia Elétrica</v>
      </c>
      <c r="B3142" s="636">
        <v>400</v>
      </c>
      <c r="C3142" s="614"/>
      <c r="D3142" s="638" t="s">
        <v>3045</v>
      </c>
      <c r="E3142" s="165"/>
      <c r="F3142" s="614"/>
      <c r="G3142" s="612" t="s">
        <v>700</v>
      </c>
    </row>
    <row r="3143" spans="1:12" ht="20.100000000000001" customHeight="1" x14ac:dyDescent="0.2">
      <c r="A3143" s="681" t="str">
        <f t="shared" si="42"/>
        <v>401  005.016.000  MANUTENÇÃO DO PÓRTICO</v>
      </c>
      <c r="B3143" s="636">
        <v>401</v>
      </c>
      <c r="C3143" s="614"/>
      <c r="D3143" s="638" t="s">
        <v>3046</v>
      </c>
      <c r="E3143" s="165"/>
      <c r="F3143" s="614"/>
      <c r="G3143" s="612" t="s">
        <v>3047</v>
      </c>
    </row>
    <row r="3144" spans="1:12" ht="20.100000000000001" customHeight="1" x14ac:dyDescent="0.2">
      <c r="A3144" s="681" t="str">
        <f t="shared" si="42"/>
        <v>402  005.016.001  Manutenção e Conservação</v>
      </c>
      <c r="B3144" s="636">
        <v>402</v>
      </c>
      <c r="C3144" s="614"/>
      <c r="D3144" s="638" t="s">
        <v>3048</v>
      </c>
      <c r="E3144" s="165"/>
      <c r="F3144" s="614"/>
      <c r="G3144" s="612" t="s">
        <v>3049</v>
      </c>
    </row>
    <row r="3145" spans="1:12" ht="20.100000000000001" customHeight="1" x14ac:dyDescent="0.2">
      <c r="A3145" s="681" t="str">
        <f t="shared" si="42"/>
        <v>403  005.016.002  Agua</v>
      </c>
      <c r="B3145" s="636">
        <v>403</v>
      </c>
      <c r="C3145" s="614"/>
      <c r="D3145" s="638" t="s">
        <v>3050</v>
      </c>
      <c r="E3145" s="165"/>
      <c r="F3145" s="614"/>
      <c r="G3145" s="612" t="s">
        <v>2365</v>
      </c>
    </row>
    <row r="3146" spans="1:12" ht="20.100000000000001" customHeight="1" x14ac:dyDescent="0.2">
      <c r="A3146" s="681" t="str">
        <f t="shared" si="42"/>
        <v>404  005.016.003  Energia Elétrica</v>
      </c>
      <c r="B3146" s="636">
        <v>404</v>
      </c>
      <c r="C3146" s="614"/>
      <c r="D3146" s="638" t="s">
        <v>3051</v>
      </c>
      <c r="E3146" s="165"/>
      <c r="F3146" s="614"/>
      <c r="G3146" s="612" t="s">
        <v>700</v>
      </c>
    </row>
    <row r="3147" spans="1:12" ht="20.100000000000001" customHeight="1" x14ac:dyDescent="0.2">
      <c r="A3147" s="681" t="str">
        <f t="shared" si="42"/>
        <v>1466  005.016.004  Materiais P/ Manutenção</v>
      </c>
      <c r="B3147" s="636">
        <v>1466</v>
      </c>
      <c r="C3147" s="614"/>
      <c r="D3147" s="638" t="s">
        <v>3052</v>
      </c>
      <c r="E3147" s="165"/>
      <c r="F3147" s="614"/>
      <c r="G3147" s="612" t="s">
        <v>3053</v>
      </c>
    </row>
    <row r="3148" spans="1:12" ht="20.100000000000001" customHeight="1" x14ac:dyDescent="0.2">
      <c r="A3148" s="681" t="str">
        <f t="shared" si="42"/>
        <v>1805  005.017.000  GESTAO DE SISTEMAS DE INFORMÁTICA E COMUNICACAO</v>
      </c>
      <c r="B3148" s="696">
        <v>1805</v>
      </c>
      <c r="D3148" s="701" t="s">
        <v>7395</v>
      </c>
      <c r="E3148" s="696"/>
      <c r="F3148" s="696"/>
      <c r="G3148" s="1365" t="s">
        <v>2613</v>
      </c>
      <c r="H3148" s="1365"/>
      <c r="I3148" s="1365"/>
      <c r="J3148" s="1365"/>
      <c r="K3148" s="1365"/>
    </row>
    <row r="3149" spans="1:12" ht="20.100000000000001" customHeight="1" x14ac:dyDescent="0.2">
      <c r="A3149" s="681" t="str">
        <f t="shared" si="42"/>
        <v>1807  005.018.000  CONSTRUÇÃO E MANUTENÇÃO DE ABRIGOS</v>
      </c>
      <c r="B3149" s="696">
        <v>1807</v>
      </c>
      <c r="D3149" s="701" t="s">
        <v>7396</v>
      </c>
      <c r="E3149" s="696"/>
      <c r="F3149" s="696"/>
      <c r="G3149" s="1365" t="s">
        <v>7394</v>
      </c>
      <c r="H3149" s="1365"/>
      <c r="I3149" s="1365"/>
      <c r="J3149" s="1365"/>
      <c r="K3149" s="1365"/>
    </row>
    <row r="3150" spans="1:12" ht="20.100000000000001" customHeight="1" x14ac:dyDescent="0.2">
      <c r="A3150" s="681" t="str">
        <f t="shared" si="42"/>
        <v>1808  005.019.000  CONSTRUÇÃO E MANUTENÇÃO DE PREDIO E PARQUE DE MÁQUINAS</v>
      </c>
      <c r="B3150" s="696">
        <v>1808</v>
      </c>
      <c r="D3150" s="701" t="s">
        <v>7399</v>
      </c>
      <c r="E3150" s="696"/>
      <c r="F3150" s="696"/>
      <c r="G3150" s="1365" t="s">
        <v>7398</v>
      </c>
      <c r="H3150" s="1365"/>
      <c r="I3150" s="1365"/>
      <c r="J3150" s="1365"/>
      <c r="K3150" s="1365"/>
      <c r="L3150" s="1365"/>
    </row>
    <row r="3151" spans="1:12" ht="20.100000000000001" customHeight="1" x14ac:dyDescent="0.2">
      <c r="A3151" s="681" t="str">
        <f t="shared" si="42"/>
        <v>412  006.000.000  SECRETARIA MUNICIPAL DE EDUCAÇÃO</v>
      </c>
      <c r="B3151" s="636">
        <v>412</v>
      </c>
      <c r="C3151" s="614"/>
      <c r="D3151" s="638" t="s">
        <v>3054</v>
      </c>
      <c r="E3151" s="165"/>
      <c r="F3151" s="614"/>
      <c r="G3151" s="612" t="s">
        <v>3055</v>
      </c>
    </row>
    <row r="3152" spans="1:12" ht="20.100000000000001" customHeight="1" x14ac:dyDescent="0.2">
      <c r="A3152" s="681" t="str">
        <f t="shared" si="42"/>
        <v>413  006.001.000  PESSOAL E ENCAROS SOCIAIS</v>
      </c>
      <c r="B3152" s="636">
        <v>413</v>
      </c>
      <c r="C3152" s="614"/>
      <c r="D3152" s="638" t="s">
        <v>3056</v>
      </c>
      <c r="E3152" s="165"/>
      <c r="F3152" s="614"/>
      <c r="G3152" s="612" t="s">
        <v>3057</v>
      </c>
    </row>
    <row r="3153" spans="1:7" ht="20.100000000000001" customHeight="1" x14ac:dyDescent="0.2">
      <c r="A3153" s="681" t="str">
        <f t="shared" si="42"/>
        <v>414  006.001.001  Serv. Efetivos</v>
      </c>
      <c r="B3153" s="636">
        <v>414</v>
      </c>
      <c r="C3153" s="614"/>
      <c r="D3153" s="638" t="s">
        <v>3058</v>
      </c>
      <c r="E3153" s="165"/>
      <c r="F3153" s="614"/>
      <c r="G3153" s="612" t="s">
        <v>3059</v>
      </c>
    </row>
    <row r="3154" spans="1:7" ht="20.100000000000001" customHeight="1" x14ac:dyDescent="0.2">
      <c r="A3154" s="681" t="str">
        <f t="shared" si="42"/>
        <v>415  006.001.002  Serv. C.C.</v>
      </c>
      <c r="B3154" s="636">
        <v>415</v>
      </c>
      <c r="C3154" s="614"/>
      <c r="D3154" s="638" t="s">
        <v>3060</v>
      </c>
      <c r="E3154" s="165"/>
      <c r="F3154" s="614"/>
      <c r="G3154" s="612" t="s">
        <v>3061</v>
      </c>
    </row>
    <row r="3155" spans="1:7" ht="20.100000000000001" customHeight="1" x14ac:dyDescent="0.2">
      <c r="A3155" s="681" t="str">
        <f t="shared" si="42"/>
        <v>416  006.001.003  Serv. Contratados</v>
      </c>
      <c r="B3155" s="636">
        <v>416</v>
      </c>
      <c r="C3155" s="614"/>
      <c r="D3155" s="638" t="s">
        <v>3062</v>
      </c>
      <c r="E3155" s="165"/>
      <c r="F3155" s="614"/>
      <c r="G3155" s="612" t="s">
        <v>3063</v>
      </c>
    </row>
    <row r="3156" spans="1:7" ht="20.100000000000001" customHeight="1" x14ac:dyDescent="0.2">
      <c r="A3156" s="681" t="str">
        <f t="shared" si="42"/>
        <v>417  006.001.005  FGTS</v>
      </c>
      <c r="B3156" s="636">
        <v>417</v>
      </c>
      <c r="C3156" s="614"/>
      <c r="D3156" s="638" t="s">
        <v>3064</v>
      </c>
      <c r="E3156" s="165"/>
      <c r="F3156" s="614"/>
      <c r="G3156" s="612" t="s">
        <v>3065</v>
      </c>
    </row>
    <row r="3157" spans="1:7" ht="20.100000000000001" customHeight="1" x14ac:dyDescent="0.2">
      <c r="A3157" s="681" t="str">
        <f t="shared" si="42"/>
        <v>1323  006.001.006  Pessoal e Encargos Serv. Permutados</v>
      </c>
      <c r="B3157" s="636">
        <v>1323</v>
      </c>
      <c r="C3157" s="614"/>
      <c r="D3157" s="638" t="s">
        <v>3066</v>
      </c>
      <c r="E3157" s="165"/>
      <c r="F3157" s="614"/>
      <c r="G3157" s="612" t="s">
        <v>3067</v>
      </c>
    </row>
    <row r="3158" spans="1:7" ht="20.100000000000001" customHeight="1" x14ac:dyDescent="0.2">
      <c r="A3158" s="681" t="str">
        <f t="shared" si="42"/>
        <v>1386  006.001.007  Agente Politico</v>
      </c>
      <c r="B3158" s="636">
        <v>1386</v>
      </c>
      <c r="C3158" s="614"/>
      <c r="D3158" s="638" t="s">
        <v>3068</v>
      </c>
      <c r="E3158" s="165"/>
      <c r="F3158" s="614"/>
      <c r="G3158" s="612" t="s">
        <v>2399</v>
      </c>
    </row>
    <row r="3159" spans="1:7" ht="20.100000000000001" customHeight="1" x14ac:dyDescent="0.2">
      <c r="A3159" s="681" t="str">
        <f t="shared" si="42"/>
        <v>418  006.002.000  ADMINISTRAÇÃO ESCOLAR</v>
      </c>
      <c r="B3159" s="636">
        <v>418</v>
      </c>
      <c r="C3159" s="614"/>
      <c r="D3159" s="638" t="s">
        <v>3069</v>
      </c>
      <c r="E3159" s="165"/>
      <c r="F3159" s="614"/>
      <c r="G3159" s="612" t="s">
        <v>3070</v>
      </c>
    </row>
    <row r="3160" spans="1:7" ht="20.100000000000001" customHeight="1" x14ac:dyDescent="0.2">
      <c r="A3160" s="681" t="str">
        <f t="shared" si="42"/>
        <v>419  006.002.001  Diarias Serv. Efetivo</v>
      </c>
      <c r="B3160" s="636">
        <v>419</v>
      </c>
      <c r="C3160" s="614"/>
      <c r="D3160" s="638" t="s">
        <v>3071</v>
      </c>
      <c r="E3160" s="165"/>
      <c r="F3160" s="614"/>
      <c r="G3160" s="612" t="s">
        <v>3072</v>
      </c>
    </row>
    <row r="3161" spans="1:7" ht="20.100000000000001" customHeight="1" x14ac:dyDescent="0.2">
      <c r="A3161" s="681" t="str">
        <f t="shared" si="42"/>
        <v>420  006.002.002  Diarias Serv. C.C.</v>
      </c>
      <c r="B3161" s="636">
        <v>420</v>
      </c>
      <c r="C3161" s="614"/>
      <c r="D3161" s="638" t="s">
        <v>3073</v>
      </c>
      <c r="E3161" s="165"/>
      <c r="F3161" s="614"/>
      <c r="G3161" s="612" t="s">
        <v>3074</v>
      </c>
    </row>
    <row r="3162" spans="1:7" ht="20.100000000000001" customHeight="1" x14ac:dyDescent="0.2">
      <c r="A3162" s="681" t="str">
        <f t="shared" si="42"/>
        <v>421  006.002.003  Diarias Serv. Contratado</v>
      </c>
      <c r="B3162" s="636">
        <v>421</v>
      </c>
      <c r="C3162" s="614"/>
      <c r="D3162" s="638" t="s">
        <v>3075</v>
      </c>
      <c r="E3162" s="165"/>
      <c r="F3162" s="614"/>
      <c r="G3162" s="612" t="s">
        <v>3076</v>
      </c>
    </row>
    <row r="3163" spans="1:7" ht="20.100000000000001" customHeight="1" x14ac:dyDescent="0.2">
      <c r="A3163" s="681" t="str">
        <f t="shared" si="42"/>
        <v>422  006.002.004  Diarias Agente Político</v>
      </c>
      <c r="B3163" s="636">
        <v>422</v>
      </c>
      <c r="C3163" s="614"/>
      <c r="D3163" s="638" t="s">
        <v>3077</v>
      </c>
      <c r="E3163" s="165"/>
      <c r="F3163" s="614"/>
      <c r="G3163" s="612" t="s">
        <v>2677</v>
      </c>
    </row>
    <row r="3164" spans="1:7" ht="20.100000000000001" customHeight="1" x14ac:dyDescent="0.2">
      <c r="A3164" s="681" t="str">
        <f t="shared" si="42"/>
        <v>423  006.002.005  Gas de Cozinha</v>
      </c>
      <c r="B3164" s="636">
        <v>423</v>
      </c>
      <c r="C3164" s="614"/>
      <c r="D3164" s="638" t="s">
        <v>3078</v>
      </c>
      <c r="E3164" s="165"/>
      <c r="F3164" s="614"/>
      <c r="G3164" s="612" t="s">
        <v>2342</v>
      </c>
    </row>
    <row r="3165" spans="1:7" ht="20.100000000000001" customHeight="1" x14ac:dyDescent="0.2">
      <c r="A3165" s="681" t="str">
        <f t="shared" si="42"/>
        <v>424  006.002.006  Generos Alimenticios</v>
      </c>
      <c r="B3165" s="636">
        <v>424</v>
      </c>
      <c r="C3165" s="614"/>
      <c r="D3165" s="638" t="s">
        <v>3079</v>
      </c>
      <c r="E3165" s="165"/>
      <c r="F3165" s="614"/>
      <c r="G3165" s="612" t="s">
        <v>2340</v>
      </c>
    </row>
    <row r="3166" spans="1:7" ht="20.100000000000001" customHeight="1" x14ac:dyDescent="0.2">
      <c r="A3166" s="681" t="str">
        <f t="shared" si="42"/>
        <v>425  006.002.007  Material de Expediente</v>
      </c>
      <c r="B3166" s="636">
        <v>425</v>
      </c>
      <c r="C3166" s="614"/>
      <c r="D3166" s="638" t="s">
        <v>3080</v>
      </c>
      <c r="E3166" s="165"/>
      <c r="F3166" s="614"/>
      <c r="G3166" s="612" t="s">
        <v>2346</v>
      </c>
    </row>
    <row r="3167" spans="1:7" ht="20.100000000000001" customHeight="1" x14ac:dyDescent="0.2">
      <c r="A3167" s="681" t="str">
        <f t="shared" si="42"/>
        <v>426  006.002.008  Suprimentos de Informática</v>
      </c>
      <c r="B3167" s="636">
        <v>426</v>
      </c>
      <c r="C3167" s="614"/>
      <c r="D3167" s="638" t="s">
        <v>3081</v>
      </c>
      <c r="E3167" s="165"/>
      <c r="F3167" s="614"/>
      <c r="G3167" s="612" t="s">
        <v>2435</v>
      </c>
    </row>
    <row r="3168" spans="1:7" ht="20.100000000000001" customHeight="1" x14ac:dyDescent="0.2">
      <c r="A3168" s="681" t="str">
        <f t="shared" si="42"/>
        <v>427  006.002.009  Material de Limpeza e Higiene</v>
      </c>
      <c r="B3168" s="636">
        <v>427</v>
      </c>
      <c r="C3168" s="614"/>
      <c r="D3168" s="638" t="s">
        <v>3082</v>
      </c>
      <c r="E3168" s="165"/>
      <c r="F3168" s="614"/>
      <c r="G3168" s="612" t="s">
        <v>2569</v>
      </c>
    </row>
    <row r="3169" spans="1:7" ht="20.100000000000001" customHeight="1" x14ac:dyDescent="0.2">
      <c r="A3169" s="681" t="str">
        <f t="shared" si="42"/>
        <v>428  006.002.010  Manutenção de Prédios</v>
      </c>
      <c r="B3169" s="636">
        <v>428</v>
      </c>
      <c r="C3169" s="614"/>
      <c r="D3169" s="638" t="s">
        <v>3083</v>
      </c>
      <c r="E3169" s="165"/>
      <c r="F3169" s="614"/>
      <c r="G3169" s="612" t="s">
        <v>3084</v>
      </c>
    </row>
    <row r="3170" spans="1:7" ht="20.100000000000001" customHeight="1" x14ac:dyDescent="0.2">
      <c r="A3170" s="681" t="str">
        <f t="shared" si="42"/>
        <v>429  006.002.011  Manutenção de Moveis e Utensílios</v>
      </c>
      <c r="B3170" s="636">
        <v>429</v>
      </c>
      <c r="C3170" s="614"/>
      <c r="D3170" s="638" t="s">
        <v>3085</v>
      </c>
      <c r="E3170" s="165"/>
      <c r="F3170" s="614"/>
      <c r="G3170" s="612" t="s">
        <v>3086</v>
      </c>
    </row>
    <row r="3171" spans="1:7" ht="20.100000000000001" customHeight="1" x14ac:dyDescent="0.2">
      <c r="A3171" s="681" t="str">
        <f t="shared" si="42"/>
        <v>430  006.002.012  Serviços Tecnicos e Profissionais</v>
      </c>
      <c r="B3171" s="636">
        <v>430</v>
      </c>
      <c r="C3171" s="614"/>
      <c r="D3171" s="638" t="s">
        <v>3087</v>
      </c>
      <c r="E3171" s="165"/>
      <c r="F3171" s="614"/>
      <c r="G3171" s="612" t="s">
        <v>3088</v>
      </c>
    </row>
    <row r="3172" spans="1:7" ht="20.100000000000001" customHeight="1" x14ac:dyDescent="0.2">
      <c r="A3172" s="681" t="str">
        <f t="shared" si="42"/>
        <v>431  006.002.013  Seleção e Treinamento</v>
      </c>
      <c r="B3172" s="636">
        <v>431</v>
      </c>
      <c r="C3172" s="614"/>
      <c r="D3172" s="638" t="s">
        <v>3089</v>
      </c>
      <c r="E3172" s="165"/>
      <c r="F3172" s="614"/>
      <c r="G3172" s="612" t="s">
        <v>2369</v>
      </c>
    </row>
    <row r="3173" spans="1:7" ht="20.100000000000001" customHeight="1" x14ac:dyDescent="0.2">
      <c r="A3173" s="681" t="str">
        <f t="shared" si="42"/>
        <v>432  006.002.014  Manuntenção de Equip. de Informática</v>
      </c>
      <c r="B3173" s="636">
        <v>432</v>
      </c>
      <c r="C3173" s="614"/>
      <c r="D3173" s="638" t="s">
        <v>3090</v>
      </c>
      <c r="E3173" s="165"/>
      <c r="F3173" s="614"/>
      <c r="G3173" s="612" t="s">
        <v>3091</v>
      </c>
    </row>
    <row r="3174" spans="1:7" ht="20.100000000000001" customHeight="1" x14ac:dyDescent="0.2">
      <c r="A3174" s="681" t="str">
        <f t="shared" si="42"/>
        <v>433  006.002.015  Auxilio Alimentação</v>
      </c>
      <c r="B3174" s="636">
        <v>433</v>
      </c>
      <c r="C3174" s="614"/>
      <c r="D3174" s="638" t="s">
        <v>3092</v>
      </c>
      <c r="E3174" s="165"/>
      <c r="F3174" s="614"/>
      <c r="G3174" s="612" t="s">
        <v>2524</v>
      </c>
    </row>
    <row r="3175" spans="1:7" ht="20.100000000000001" customHeight="1" x14ac:dyDescent="0.2">
      <c r="A3175" s="681" t="str">
        <f t="shared" si="42"/>
        <v>434  006.002.016  Auxilio Transporte</v>
      </c>
      <c r="B3175" s="636">
        <v>434</v>
      </c>
      <c r="C3175" s="614"/>
      <c r="D3175" s="638" t="s">
        <v>3093</v>
      </c>
      <c r="E3175" s="165"/>
      <c r="F3175" s="614"/>
      <c r="G3175" s="612" t="s">
        <v>2462</v>
      </c>
    </row>
    <row r="3176" spans="1:7" ht="20.100000000000001" customHeight="1" x14ac:dyDescent="0.2">
      <c r="A3176" s="681" t="str">
        <f t="shared" si="42"/>
        <v>435  006.002.017  Locação de Imóveis</v>
      </c>
      <c r="B3176" s="636">
        <v>435</v>
      </c>
      <c r="C3176" s="614"/>
      <c r="D3176" s="638" t="s">
        <v>3094</v>
      </c>
      <c r="E3176" s="165"/>
      <c r="F3176" s="614"/>
      <c r="G3176" s="612" t="s">
        <v>2227</v>
      </c>
    </row>
    <row r="3177" spans="1:7" ht="20.100000000000001" customHeight="1" x14ac:dyDescent="0.2">
      <c r="A3177" s="681" t="str">
        <f t="shared" si="42"/>
        <v>436  006.002.018  Agua</v>
      </c>
      <c r="B3177" s="636">
        <v>436</v>
      </c>
      <c r="C3177" s="614"/>
      <c r="D3177" s="638" t="s">
        <v>3095</v>
      </c>
      <c r="E3177" s="165"/>
      <c r="F3177" s="614"/>
      <c r="G3177" s="612" t="s">
        <v>2365</v>
      </c>
    </row>
    <row r="3178" spans="1:7" ht="20.100000000000001" customHeight="1" x14ac:dyDescent="0.2">
      <c r="A3178" s="681" t="str">
        <f t="shared" si="42"/>
        <v>437  006.002.019  Energia Eletrica</v>
      </c>
      <c r="B3178" s="636">
        <v>437</v>
      </c>
      <c r="C3178" s="614"/>
      <c r="D3178" s="638" t="s">
        <v>3096</v>
      </c>
      <c r="E3178" s="165"/>
      <c r="F3178" s="614"/>
      <c r="G3178" s="612" t="s">
        <v>3097</v>
      </c>
    </row>
    <row r="3179" spans="1:7" ht="20.100000000000001" customHeight="1" x14ac:dyDescent="0.2">
      <c r="A3179" s="681" t="str">
        <f t="shared" si="42"/>
        <v>438  006.002.020  Telefone Fixo</v>
      </c>
      <c r="B3179" s="636">
        <v>438</v>
      </c>
      <c r="C3179" s="614"/>
      <c r="D3179" s="638" t="s">
        <v>3098</v>
      </c>
      <c r="E3179" s="165"/>
      <c r="F3179" s="614"/>
      <c r="G3179" s="612" t="s">
        <v>1041</v>
      </c>
    </row>
    <row r="3180" spans="1:7" ht="20.100000000000001" customHeight="1" x14ac:dyDescent="0.2">
      <c r="A3180" s="681" t="str">
        <f t="shared" si="42"/>
        <v>439  006.002.021  Telefone Celular</v>
      </c>
      <c r="B3180" s="636">
        <v>439</v>
      </c>
      <c r="C3180" s="614"/>
      <c r="D3180" s="638" t="s">
        <v>3099</v>
      </c>
      <c r="E3180" s="165"/>
      <c r="F3180" s="614"/>
      <c r="G3180" s="612" t="s">
        <v>1150</v>
      </c>
    </row>
    <row r="3181" spans="1:7" ht="20.100000000000001" customHeight="1" x14ac:dyDescent="0.2">
      <c r="A3181" s="681" t="str">
        <f t="shared" si="42"/>
        <v>440  006.002.022  Estagiários</v>
      </c>
      <c r="B3181" s="636">
        <v>440</v>
      </c>
      <c r="C3181" s="614"/>
      <c r="D3181" s="638" t="s">
        <v>3100</v>
      </c>
      <c r="E3181" s="165"/>
      <c r="F3181" s="614"/>
      <c r="G3181" s="612" t="s">
        <v>2449</v>
      </c>
    </row>
    <row r="3182" spans="1:7" ht="20.100000000000001" customHeight="1" x14ac:dyDescent="0.2">
      <c r="A3182" s="681" t="str">
        <f t="shared" si="42"/>
        <v>441  006.002.023  Geral</v>
      </c>
      <c r="B3182" s="636">
        <v>441</v>
      </c>
      <c r="C3182" s="614"/>
      <c r="D3182" s="638" t="s">
        <v>3101</v>
      </c>
      <c r="E3182" s="165"/>
      <c r="F3182" s="614"/>
      <c r="G3182" s="612" t="s">
        <v>2380</v>
      </c>
    </row>
    <row r="3183" spans="1:7" ht="20.100000000000001" customHeight="1" x14ac:dyDescent="0.2">
      <c r="A3183" s="681" t="str">
        <f t="shared" si="42"/>
        <v>1462  006.002.024  Serviços Bancarios MDE</v>
      </c>
      <c r="B3183" s="636">
        <v>1462</v>
      </c>
      <c r="C3183" s="614"/>
      <c r="D3183" s="638" t="s">
        <v>3102</v>
      </c>
      <c r="E3183" s="165"/>
      <c r="F3183" s="614"/>
      <c r="G3183" s="612" t="s">
        <v>3103</v>
      </c>
    </row>
    <row r="3184" spans="1:7" ht="20.100000000000001" customHeight="1" x14ac:dyDescent="0.2">
      <c r="A3184" s="681" t="str">
        <f t="shared" si="42"/>
        <v>1463  006.002.025  Serviços Bancarios FUNDEB</v>
      </c>
      <c r="B3184" s="636">
        <v>1463</v>
      </c>
      <c r="C3184" s="614"/>
      <c r="D3184" s="638" t="s">
        <v>3104</v>
      </c>
      <c r="E3184" s="165"/>
      <c r="F3184" s="614"/>
      <c r="G3184" s="612" t="s">
        <v>3105</v>
      </c>
    </row>
    <row r="3185" spans="1:7" ht="20.100000000000001" customHeight="1" x14ac:dyDescent="0.2">
      <c r="A3185" s="681" t="str">
        <f t="shared" si="42"/>
        <v>1464  006.002.026  Serviços Bancarios Q.S.E</v>
      </c>
      <c r="B3185" s="636">
        <v>1464</v>
      </c>
      <c r="C3185" s="614"/>
      <c r="D3185" s="638" t="s">
        <v>3106</v>
      </c>
      <c r="E3185" s="165"/>
      <c r="F3185" s="614"/>
      <c r="G3185" s="612" t="s">
        <v>3107</v>
      </c>
    </row>
    <row r="3186" spans="1:7" ht="20.100000000000001" customHeight="1" x14ac:dyDescent="0.2">
      <c r="A3186" s="681" t="str">
        <f t="shared" si="42"/>
        <v>1469  006.002.027  Locação de Sistemas de Processamento de Dados</v>
      </c>
      <c r="B3186" s="636">
        <v>1469</v>
      </c>
      <c r="C3186" s="614"/>
      <c r="D3186" s="638" t="s">
        <v>3108</v>
      </c>
      <c r="E3186" s="165"/>
      <c r="F3186" s="614"/>
      <c r="G3186" s="612" t="s">
        <v>3109</v>
      </c>
    </row>
    <row r="3187" spans="1:7" ht="20.100000000000001" customHeight="1" x14ac:dyDescent="0.2">
      <c r="A3187" s="681" t="str">
        <f t="shared" si="42"/>
        <v>1483  006.002.028  Agua Mineral</v>
      </c>
      <c r="B3187" s="636">
        <v>1483</v>
      </c>
      <c r="C3187" s="614"/>
      <c r="D3187" s="638" t="s">
        <v>3110</v>
      </c>
      <c r="E3187" s="165"/>
      <c r="F3187" s="614"/>
      <c r="G3187" s="612" t="s">
        <v>2527</v>
      </c>
    </row>
    <row r="3188" spans="1:7" ht="20.100000000000001" customHeight="1" x14ac:dyDescent="0.2">
      <c r="A3188" s="681" t="str">
        <f t="shared" si="42"/>
        <v>1539  006.002.029  Internet</v>
      </c>
      <c r="B3188" s="636">
        <v>1539</v>
      </c>
      <c r="C3188" s="614"/>
      <c r="D3188" s="638" t="s">
        <v>3111</v>
      </c>
      <c r="E3188" s="165"/>
      <c r="F3188" s="614"/>
      <c r="G3188" s="612" t="s">
        <v>2371</v>
      </c>
    </row>
    <row r="3189" spans="1:7" ht="20.100000000000001" customHeight="1" x14ac:dyDescent="0.2">
      <c r="A3189" s="681" t="str">
        <f t="shared" si="42"/>
        <v>1556  006.002.030  Despesas com Locomoção</v>
      </c>
      <c r="B3189" s="636">
        <v>1556</v>
      </c>
      <c r="C3189" s="614"/>
      <c r="D3189" s="638" t="s">
        <v>3112</v>
      </c>
      <c r="E3189" s="165"/>
      <c r="F3189" s="614"/>
      <c r="G3189" s="612" t="s">
        <v>2507</v>
      </c>
    </row>
    <row r="3190" spans="1:7" ht="20.100000000000001" customHeight="1" x14ac:dyDescent="0.2">
      <c r="A3190" s="681" t="str">
        <f t="shared" si="42"/>
        <v>1563  006.002.031  Auxilio Transporte Serv. Permutados</v>
      </c>
      <c r="B3190" s="636">
        <v>1563</v>
      </c>
      <c r="C3190" s="614"/>
      <c r="D3190" s="638" t="s">
        <v>3113</v>
      </c>
      <c r="E3190" s="165"/>
      <c r="F3190" s="614"/>
      <c r="G3190" s="612" t="s">
        <v>3114</v>
      </c>
    </row>
    <row r="3191" spans="1:7" ht="20.100000000000001" customHeight="1" x14ac:dyDescent="0.2">
      <c r="A3191" s="681" t="str">
        <f t="shared" si="42"/>
        <v>1672  006.002.032  Plano Municipal de Educação</v>
      </c>
      <c r="B3191" s="636">
        <v>1672</v>
      </c>
      <c r="C3191" s="614"/>
      <c r="D3191" s="638" t="s">
        <v>3115</v>
      </c>
      <c r="E3191" s="165"/>
      <c r="F3191" s="614"/>
      <c r="G3191" s="612" t="s">
        <v>3116</v>
      </c>
    </row>
    <row r="3192" spans="1:7" ht="20.100000000000001" customHeight="1" x14ac:dyDescent="0.2">
      <c r="A3192" s="681" t="str">
        <f t="shared" si="42"/>
        <v>442  006.003.000  CUSTO DE AQUISICÃO DE BENS MÓVEIS E IMÓVEIS</v>
      </c>
      <c r="B3192" s="636">
        <v>442</v>
      </c>
      <c r="C3192" s="614"/>
      <c r="D3192" s="638" t="s">
        <v>3117</v>
      </c>
      <c r="E3192" s="165"/>
      <c r="F3192" s="614"/>
      <c r="G3192" s="612" t="s">
        <v>3118</v>
      </c>
    </row>
    <row r="3193" spans="1:7" ht="20.100000000000001" customHeight="1" x14ac:dyDescent="0.2">
      <c r="A3193" s="681" t="str">
        <f t="shared" si="42"/>
        <v>443  006.003.001  Custo de Aquisicão de Equipamentos: Informática</v>
      </c>
      <c r="B3193" s="636">
        <v>443</v>
      </c>
      <c r="C3193" s="614"/>
      <c r="D3193" s="638" t="s">
        <v>3119</v>
      </c>
      <c r="E3193" s="165"/>
      <c r="F3193" s="614"/>
      <c r="G3193" s="612" t="s">
        <v>3120</v>
      </c>
    </row>
    <row r="3194" spans="1:7" ht="20.100000000000001" customHeight="1" x14ac:dyDescent="0.2">
      <c r="A3194" s="681" t="str">
        <f t="shared" si="42"/>
        <v>444  006.003.002  Custo de Aquisicão de Equipamentos: Mobiliário</v>
      </c>
      <c r="B3194" s="636">
        <v>444</v>
      </c>
      <c r="C3194" s="614"/>
      <c r="D3194" s="638" t="s">
        <v>3121</v>
      </c>
      <c r="E3194" s="165"/>
      <c r="F3194" s="614"/>
      <c r="G3194" s="612" t="s">
        <v>3122</v>
      </c>
    </row>
    <row r="3195" spans="1:7" ht="20.100000000000001" customHeight="1" x14ac:dyDescent="0.2">
      <c r="A3195" s="681" t="str">
        <f t="shared" si="42"/>
        <v>445  006.003.003  Custo de Aquisicão de Equipamentos: Eq. Comunicação</v>
      </c>
      <c r="B3195" s="636">
        <v>445</v>
      </c>
      <c r="C3195" s="614"/>
      <c r="D3195" s="638" t="s">
        <v>3123</v>
      </c>
      <c r="E3195" s="165"/>
      <c r="F3195" s="614"/>
      <c r="G3195" s="612" t="s">
        <v>3124</v>
      </c>
    </row>
    <row r="3196" spans="1:7" ht="20.100000000000001" customHeight="1" x14ac:dyDescent="0.2">
      <c r="A3196" s="681" t="str">
        <f t="shared" si="42"/>
        <v>446  006.003.004  Custo de Aquisicão de Equipamentos: Ar Condicionado</v>
      </c>
      <c r="B3196" s="636">
        <v>446</v>
      </c>
      <c r="C3196" s="614"/>
      <c r="D3196" s="638" t="s">
        <v>3125</v>
      </c>
      <c r="E3196" s="165"/>
      <c r="F3196" s="614"/>
      <c r="G3196" s="612" t="s">
        <v>3126</v>
      </c>
    </row>
    <row r="3197" spans="1:7" ht="20.100000000000001" customHeight="1" x14ac:dyDescent="0.2">
      <c r="A3197" s="681" t="str">
        <f t="shared" si="42"/>
        <v>447  006.003.005  Custo de Aquisicão de Equipamentos: Equip. e Utensilios Domésticos</v>
      </c>
      <c r="B3197" s="636">
        <v>447</v>
      </c>
      <c r="C3197" s="614"/>
      <c r="D3197" s="638" t="s">
        <v>3127</v>
      </c>
      <c r="E3197" s="165"/>
      <c r="F3197" s="614"/>
      <c r="G3197" s="612" t="s">
        <v>3128</v>
      </c>
    </row>
    <row r="3198" spans="1:7" ht="20.100000000000001" customHeight="1" x14ac:dyDescent="0.2">
      <c r="A3198" s="681" t="str">
        <f t="shared" si="42"/>
        <v>448  006.004.000  MANUTENÇÃO DE VEICULOS</v>
      </c>
      <c r="B3198" s="636">
        <v>448</v>
      </c>
      <c r="C3198" s="614"/>
      <c r="D3198" s="638" t="s">
        <v>3129</v>
      </c>
      <c r="E3198" s="165"/>
      <c r="F3198" s="614"/>
      <c r="G3198" s="612" t="s">
        <v>3130</v>
      </c>
    </row>
    <row r="3199" spans="1:7" ht="20.100000000000001" customHeight="1" x14ac:dyDescent="0.2">
      <c r="A3199" s="681" t="str">
        <f t="shared" si="42"/>
        <v>449  006.004.001  Custo de Aquisição de Veiculos</v>
      </c>
      <c r="B3199" s="636">
        <v>449</v>
      </c>
      <c r="C3199" s="614"/>
      <c r="D3199" s="638" t="s">
        <v>3131</v>
      </c>
      <c r="E3199" s="165"/>
      <c r="F3199" s="614"/>
      <c r="G3199" s="612" t="s">
        <v>3132</v>
      </c>
    </row>
    <row r="3200" spans="1:7" ht="20.100000000000001" customHeight="1" x14ac:dyDescent="0.2">
      <c r="A3200" s="681" t="str">
        <f t="shared" si="42"/>
        <v>450  006.004.002  Combustivel Veículo</v>
      </c>
      <c r="B3200" s="636">
        <v>450</v>
      </c>
      <c r="C3200" s="614"/>
      <c r="D3200" s="638" t="s">
        <v>3133</v>
      </c>
      <c r="E3200" s="165"/>
      <c r="F3200" s="614"/>
      <c r="G3200" s="612" t="s">
        <v>3134</v>
      </c>
    </row>
    <row r="3201" spans="1:7" ht="20.100000000000001" customHeight="1" x14ac:dyDescent="0.2">
      <c r="A3201" s="681" t="str">
        <f t="shared" si="42"/>
        <v>451  006.004.003  Autopeças Veículo</v>
      </c>
      <c r="B3201" s="636">
        <v>451</v>
      </c>
      <c r="C3201" s="614"/>
      <c r="D3201" s="638" t="s">
        <v>3135</v>
      </c>
      <c r="E3201" s="165"/>
      <c r="F3201" s="614"/>
      <c r="G3201" s="612" t="s">
        <v>3136</v>
      </c>
    </row>
    <row r="3202" spans="1:7" ht="20.100000000000001" customHeight="1" x14ac:dyDescent="0.2">
      <c r="A3202" s="681" t="str">
        <f t="shared" si="42"/>
        <v>452  006.004.004  Lubrificantes Veiculo</v>
      </c>
      <c r="B3202" s="636">
        <v>452</v>
      </c>
      <c r="C3202" s="614"/>
      <c r="D3202" s="638" t="s">
        <v>3137</v>
      </c>
      <c r="E3202" s="165"/>
      <c r="F3202" s="614"/>
      <c r="G3202" s="612" t="s">
        <v>3138</v>
      </c>
    </row>
    <row r="3203" spans="1:7" ht="20.100000000000001" customHeight="1" x14ac:dyDescent="0.2">
      <c r="A3203" s="681" t="str">
        <f t="shared" si="42"/>
        <v>453  006.004.005  Manuntenção Veiculo</v>
      </c>
      <c r="B3203" s="636">
        <v>453</v>
      </c>
      <c r="C3203" s="614"/>
      <c r="D3203" s="638" t="s">
        <v>3139</v>
      </c>
      <c r="E3203" s="165"/>
      <c r="F3203" s="614"/>
      <c r="G3203" s="612" t="s">
        <v>3140</v>
      </c>
    </row>
    <row r="3204" spans="1:7" ht="20.100000000000001" customHeight="1" x14ac:dyDescent="0.2">
      <c r="A3204" s="681" t="str">
        <f t="shared" si="42"/>
        <v>454  006.004.006  Seguros Veiculo</v>
      </c>
      <c r="B3204" s="636">
        <v>454</v>
      </c>
      <c r="C3204" s="614"/>
      <c r="D3204" s="638" t="s">
        <v>3141</v>
      </c>
      <c r="E3204" s="165"/>
      <c r="F3204" s="614"/>
      <c r="G3204" s="612" t="s">
        <v>3142</v>
      </c>
    </row>
    <row r="3205" spans="1:7" ht="20.100000000000001" customHeight="1" x14ac:dyDescent="0.2">
      <c r="A3205" s="681" t="str">
        <f t="shared" si="42"/>
        <v>455  006.004.007  Geral</v>
      </c>
      <c r="B3205" s="636">
        <v>455</v>
      </c>
      <c r="C3205" s="614"/>
      <c r="D3205" s="638" t="s">
        <v>3143</v>
      </c>
      <c r="E3205" s="165"/>
      <c r="F3205" s="614"/>
      <c r="G3205" s="612" t="s">
        <v>2380</v>
      </c>
    </row>
    <row r="3206" spans="1:7" ht="20.100000000000001" customHeight="1" x14ac:dyDescent="0.2">
      <c r="A3206" s="681" t="str">
        <f t="shared" si="42"/>
        <v>456  007.000.000  ESCOLA MUNICIPAL SANTA LUZIA</v>
      </c>
      <c r="B3206" s="636">
        <v>456</v>
      </c>
      <c r="C3206" s="614"/>
      <c r="D3206" s="638" t="s">
        <v>3144</v>
      </c>
      <c r="E3206" s="165"/>
      <c r="F3206" s="614"/>
      <c r="G3206" s="612" t="s">
        <v>3145</v>
      </c>
    </row>
    <row r="3207" spans="1:7" ht="20.100000000000001" customHeight="1" x14ac:dyDescent="0.2">
      <c r="A3207" s="681" t="str">
        <f t="shared" ref="A3207:A3270" si="43">CONCATENATE(B3207,"  ",D3207,"  ",G3207)</f>
        <v>457  007.001.000  EDUCAÇÃO BÁSICA - Ensino Fundamental</v>
      </c>
      <c r="B3207" s="636">
        <v>457</v>
      </c>
      <c r="C3207" s="614"/>
      <c r="D3207" s="638" t="s">
        <v>3146</v>
      </c>
      <c r="E3207" s="165"/>
      <c r="F3207" s="614"/>
      <c r="G3207" s="612" t="s">
        <v>3147</v>
      </c>
    </row>
    <row r="3208" spans="1:7" ht="20.100000000000001" customHeight="1" x14ac:dyDescent="0.2">
      <c r="A3208" s="681" t="str">
        <f t="shared" si="43"/>
        <v>458  007.001.001  Serv. Contratados</v>
      </c>
      <c r="B3208" s="636">
        <v>458</v>
      </c>
      <c r="C3208" s="614"/>
      <c r="D3208" s="638" t="s">
        <v>3148</v>
      </c>
      <c r="E3208" s="165"/>
      <c r="F3208" s="614"/>
      <c r="G3208" s="612" t="s">
        <v>3063</v>
      </c>
    </row>
    <row r="3209" spans="1:7" ht="20.100000000000001" customHeight="1" x14ac:dyDescent="0.2">
      <c r="A3209" s="681" t="str">
        <f t="shared" si="43"/>
        <v>459  007.001.002  Serv. Efetivos</v>
      </c>
      <c r="B3209" s="636">
        <v>459</v>
      </c>
      <c r="C3209" s="614"/>
      <c r="D3209" s="638" t="s">
        <v>3149</v>
      </c>
      <c r="E3209" s="165"/>
      <c r="F3209" s="614"/>
      <c r="G3209" s="612" t="s">
        <v>3059</v>
      </c>
    </row>
    <row r="3210" spans="1:7" ht="20.100000000000001" customHeight="1" x14ac:dyDescent="0.2">
      <c r="A3210" s="681" t="str">
        <f t="shared" si="43"/>
        <v>460  007.001.003  Serv. C.C.</v>
      </c>
      <c r="B3210" s="636">
        <v>460</v>
      </c>
      <c r="C3210" s="614"/>
      <c r="D3210" s="638" t="s">
        <v>3150</v>
      </c>
      <c r="E3210" s="165"/>
      <c r="F3210" s="614"/>
      <c r="G3210" s="612" t="s">
        <v>3061</v>
      </c>
    </row>
    <row r="3211" spans="1:7" ht="20.100000000000001" customHeight="1" x14ac:dyDescent="0.2">
      <c r="A3211" s="681" t="str">
        <f t="shared" si="43"/>
        <v>461  007.001.004  Diárias Servidores Efetivos</v>
      </c>
      <c r="B3211" s="636">
        <v>461</v>
      </c>
      <c r="C3211" s="614"/>
      <c r="D3211" s="638" t="s">
        <v>3151</v>
      </c>
      <c r="E3211" s="165"/>
      <c r="F3211" s="614"/>
      <c r="G3211" s="612" t="s">
        <v>2419</v>
      </c>
    </row>
    <row r="3212" spans="1:7" ht="20.100000000000001" customHeight="1" x14ac:dyDescent="0.2">
      <c r="A3212" s="681" t="str">
        <f t="shared" si="43"/>
        <v>462  007.001.005  Diárias Servidores Contratados</v>
      </c>
      <c r="B3212" s="636">
        <v>462</v>
      </c>
      <c r="C3212" s="614"/>
      <c r="D3212" s="638" t="s">
        <v>3152</v>
      </c>
      <c r="E3212" s="165"/>
      <c r="F3212" s="614"/>
      <c r="G3212" s="612" t="s">
        <v>2334</v>
      </c>
    </row>
    <row r="3213" spans="1:7" ht="20.100000000000001" customHeight="1" x14ac:dyDescent="0.2">
      <c r="A3213" s="681" t="str">
        <f t="shared" si="43"/>
        <v>463  007.001.006  Diárias Servidores C.C.</v>
      </c>
      <c r="B3213" s="636">
        <v>463</v>
      </c>
      <c r="C3213" s="614"/>
      <c r="D3213" s="638" t="s">
        <v>3153</v>
      </c>
      <c r="E3213" s="165"/>
      <c r="F3213" s="614"/>
      <c r="G3213" s="612" t="s">
        <v>2336</v>
      </c>
    </row>
    <row r="3214" spans="1:7" ht="20.100000000000001" customHeight="1" x14ac:dyDescent="0.2">
      <c r="A3214" s="681" t="str">
        <f t="shared" si="43"/>
        <v>464  007.001.007  Gas de Cozinha</v>
      </c>
      <c r="B3214" s="636">
        <v>464</v>
      </c>
      <c r="C3214" s="614"/>
      <c r="D3214" s="638" t="s">
        <v>3154</v>
      </c>
      <c r="E3214" s="165"/>
      <c r="F3214" s="614"/>
      <c r="G3214" s="612" t="s">
        <v>2342</v>
      </c>
    </row>
    <row r="3215" spans="1:7" ht="20.100000000000001" customHeight="1" x14ac:dyDescent="0.2">
      <c r="A3215" s="681" t="str">
        <f t="shared" si="43"/>
        <v>465  007.001.008  Material de Expediente</v>
      </c>
      <c r="B3215" s="636">
        <v>465</v>
      </c>
      <c r="C3215" s="614"/>
      <c r="D3215" s="638" t="s">
        <v>3155</v>
      </c>
      <c r="E3215" s="165"/>
      <c r="F3215" s="614"/>
      <c r="G3215" s="612" t="s">
        <v>2346</v>
      </c>
    </row>
    <row r="3216" spans="1:7" ht="20.100000000000001" customHeight="1" x14ac:dyDescent="0.2">
      <c r="A3216" s="681" t="str">
        <f t="shared" si="43"/>
        <v>466  007.001.009  Suprimentos de Informática</v>
      </c>
      <c r="B3216" s="636">
        <v>466</v>
      </c>
      <c r="C3216" s="614"/>
      <c r="D3216" s="638" t="s">
        <v>3156</v>
      </c>
      <c r="E3216" s="165"/>
      <c r="F3216" s="614"/>
      <c r="G3216" s="612" t="s">
        <v>2435</v>
      </c>
    </row>
    <row r="3217" spans="1:7" ht="20.100000000000001" customHeight="1" x14ac:dyDescent="0.2">
      <c r="A3217" s="681" t="str">
        <f t="shared" si="43"/>
        <v>467  007.001.010  Material de Limpeza e Higiene</v>
      </c>
      <c r="B3217" s="636">
        <v>467</v>
      </c>
      <c r="C3217" s="614"/>
      <c r="D3217" s="638" t="s">
        <v>3157</v>
      </c>
      <c r="E3217" s="165"/>
      <c r="F3217" s="614"/>
      <c r="G3217" s="612" t="s">
        <v>2569</v>
      </c>
    </row>
    <row r="3218" spans="1:7" ht="20.100000000000001" customHeight="1" x14ac:dyDescent="0.2">
      <c r="A3218" s="681" t="str">
        <f t="shared" si="43"/>
        <v>468  007.001.011  Manutenção de Prédios</v>
      </c>
      <c r="B3218" s="636">
        <v>468</v>
      </c>
      <c r="C3218" s="614"/>
      <c r="D3218" s="638" t="s">
        <v>3158</v>
      </c>
      <c r="E3218" s="165"/>
      <c r="F3218" s="614"/>
      <c r="G3218" s="612" t="s">
        <v>3084</v>
      </c>
    </row>
    <row r="3219" spans="1:7" ht="20.100000000000001" customHeight="1" x14ac:dyDescent="0.2">
      <c r="A3219" s="681" t="str">
        <f t="shared" si="43"/>
        <v>469  007.001.012  Manutenção de Moveis e Utensílios</v>
      </c>
      <c r="B3219" s="636">
        <v>469</v>
      </c>
      <c r="C3219" s="614"/>
      <c r="D3219" s="638" t="s">
        <v>3159</v>
      </c>
      <c r="E3219" s="165"/>
      <c r="F3219" s="614"/>
      <c r="G3219" s="612" t="s">
        <v>3086</v>
      </c>
    </row>
    <row r="3220" spans="1:7" ht="20.100000000000001" customHeight="1" x14ac:dyDescent="0.2">
      <c r="A3220" s="681" t="str">
        <f t="shared" si="43"/>
        <v>470  007.001.013  Serviços Tecnicos Profissionais</v>
      </c>
      <c r="B3220" s="636">
        <v>470</v>
      </c>
      <c r="C3220" s="614"/>
      <c r="D3220" s="638" t="s">
        <v>3160</v>
      </c>
      <c r="E3220" s="165"/>
      <c r="F3220" s="614"/>
      <c r="G3220" s="612" t="s">
        <v>3161</v>
      </c>
    </row>
    <row r="3221" spans="1:7" ht="20.100000000000001" customHeight="1" x14ac:dyDescent="0.2">
      <c r="A3221" s="681" t="str">
        <f t="shared" si="43"/>
        <v>471  007.001.014  Seleção e Treinamento</v>
      </c>
      <c r="B3221" s="636">
        <v>471</v>
      </c>
      <c r="C3221" s="614"/>
      <c r="D3221" s="638" t="s">
        <v>3162</v>
      </c>
      <c r="E3221" s="165"/>
      <c r="F3221" s="614"/>
      <c r="G3221" s="612" t="s">
        <v>2369</v>
      </c>
    </row>
    <row r="3222" spans="1:7" ht="20.100000000000001" customHeight="1" x14ac:dyDescent="0.2">
      <c r="A3222" s="681" t="str">
        <f t="shared" si="43"/>
        <v>472  007.001.015  Manutenção de Equip. de Informática</v>
      </c>
      <c r="B3222" s="636">
        <v>472</v>
      </c>
      <c r="C3222" s="614"/>
      <c r="D3222" s="638" t="s">
        <v>3163</v>
      </c>
      <c r="E3222" s="165"/>
      <c r="F3222" s="614"/>
      <c r="G3222" s="612" t="s">
        <v>3164</v>
      </c>
    </row>
    <row r="3223" spans="1:7" ht="20.100000000000001" customHeight="1" x14ac:dyDescent="0.2">
      <c r="A3223" s="681" t="str">
        <f t="shared" si="43"/>
        <v>473  007.001.016  Auxilio Alimentação</v>
      </c>
      <c r="B3223" s="636">
        <v>473</v>
      </c>
      <c r="C3223" s="614"/>
      <c r="D3223" s="638" t="s">
        <v>3165</v>
      </c>
      <c r="E3223" s="165"/>
      <c r="F3223" s="614"/>
      <c r="G3223" s="612" t="s">
        <v>2524</v>
      </c>
    </row>
    <row r="3224" spans="1:7" ht="20.100000000000001" customHeight="1" x14ac:dyDescent="0.2">
      <c r="A3224" s="681" t="str">
        <f t="shared" si="43"/>
        <v>474  007.001.017  Auxilio Transporte</v>
      </c>
      <c r="B3224" s="636">
        <v>474</v>
      </c>
      <c r="C3224" s="614"/>
      <c r="D3224" s="638" t="s">
        <v>3166</v>
      </c>
      <c r="E3224" s="165"/>
      <c r="F3224" s="614"/>
      <c r="G3224" s="612" t="s">
        <v>2462</v>
      </c>
    </row>
    <row r="3225" spans="1:7" ht="20.100000000000001" customHeight="1" x14ac:dyDescent="0.2">
      <c r="A3225" s="681" t="str">
        <f t="shared" si="43"/>
        <v>475  007.001.018  Adicional Dificil Acesso</v>
      </c>
      <c r="B3225" s="636">
        <v>475</v>
      </c>
      <c r="C3225" s="614"/>
      <c r="D3225" s="638" t="s">
        <v>3167</v>
      </c>
      <c r="E3225" s="165"/>
      <c r="F3225" s="614"/>
      <c r="G3225" s="612" t="s">
        <v>3168</v>
      </c>
    </row>
    <row r="3226" spans="1:7" ht="20.100000000000001" customHeight="1" x14ac:dyDescent="0.2">
      <c r="A3226" s="681" t="str">
        <f t="shared" si="43"/>
        <v>476  007.001.019  Agua</v>
      </c>
      <c r="B3226" s="636">
        <v>476</v>
      </c>
      <c r="C3226" s="614"/>
      <c r="D3226" s="638" t="s">
        <v>3169</v>
      </c>
      <c r="E3226" s="165"/>
      <c r="F3226" s="614"/>
      <c r="G3226" s="612" t="s">
        <v>2365</v>
      </c>
    </row>
    <row r="3227" spans="1:7" ht="20.100000000000001" customHeight="1" x14ac:dyDescent="0.2">
      <c r="A3227" s="681" t="str">
        <f t="shared" si="43"/>
        <v>477  007.001.020  Energia Eletrica</v>
      </c>
      <c r="B3227" s="636">
        <v>477</v>
      </c>
      <c r="C3227" s="614"/>
      <c r="D3227" s="638" t="s">
        <v>3170</v>
      </c>
      <c r="E3227" s="165"/>
      <c r="F3227" s="614"/>
      <c r="G3227" s="612" t="s">
        <v>3097</v>
      </c>
    </row>
    <row r="3228" spans="1:7" ht="20.100000000000001" customHeight="1" x14ac:dyDescent="0.2">
      <c r="A3228" s="681" t="str">
        <f t="shared" si="43"/>
        <v>478  007.001.021  Telefone Fixo</v>
      </c>
      <c r="B3228" s="636">
        <v>478</v>
      </c>
      <c r="C3228" s="614"/>
      <c r="D3228" s="638" t="s">
        <v>3171</v>
      </c>
      <c r="E3228" s="165"/>
      <c r="F3228" s="614"/>
      <c r="G3228" s="612" t="s">
        <v>1041</v>
      </c>
    </row>
    <row r="3229" spans="1:7" ht="20.100000000000001" customHeight="1" x14ac:dyDescent="0.2">
      <c r="A3229" s="681" t="str">
        <f t="shared" si="43"/>
        <v>479  007.001.022  Telefone Celular</v>
      </c>
      <c r="B3229" s="636">
        <v>479</v>
      </c>
      <c r="C3229" s="614"/>
      <c r="D3229" s="638" t="s">
        <v>3172</v>
      </c>
      <c r="E3229" s="165"/>
      <c r="F3229" s="614"/>
      <c r="G3229" s="612" t="s">
        <v>1150</v>
      </c>
    </row>
    <row r="3230" spans="1:7" ht="20.100000000000001" customHeight="1" x14ac:dyDescent="0.2">
      <c r="A3230" s="681" t="str">
        <f t="shared" si="43"/>
        <v>480  007.001.023  Estagiários</v>
      </c>
      <c r="B3230" s="636">
        <v>480</v>
      </c>
      <c r="C3230" s="614"/>
      <c r="D3230" s="638" t="s">
        <v>3173</v>
      </c>
      <c r="E3230" s="165"/>
      <c r="F3230" s="614"/>
      <c r="G3230" s="612" t="s">
        <v>2449</v>
      </c>
    </row>
    <row r="3231" spans="1:7" ht="20.100000000000001" customHeight="1" x14ac:dyDescent="0.2">
      <c r="A3231" s="681" t="str">
        <f t="shared" si="43"/>
        <v>481  007.001.024  Custo de Aquisicão de Equipamentos: Informática</v>
      </c>
      <c r="B3231" s="636">
        <v>481</v>
      </c>
      <c r="C3231" s="614"/>
      <c r="D3231" s="638" t="s">
        <v>3174</v>
      </c>
      <c r="E3231" s="165"/>
      <c r="F3231" s="614"/>
      <c r="G3231" s="612" t="s">
        <v>3120</v>
      </c>
    </row>
    <row r="3232" spans="1:7" ht="20.100000000000001" customHeight="1" x14ac:dyDescent="0.2">
      <c r="A3232" s="681" t="str">
        <f t="shared" si="43"/>
        <v>482  007.001.025  Custo de Aquisicão de Equipamentos: Mobiliário</v>
      </c>
      <c r="B3232" s="636">
        <v>482</v>
      </c>
      <c r="C3232" s="614"/>
      <c r="D3232" s="638" t="s">
        <v>3175</v>
      </c>
      <c r="E3232" s="165"/>
      <c r="F3232" s="614"/>
      <c r="G3232" s="612" t="s">
        <v>3122</v>
      </c>
    </row>
    <row r="3233" spans="1:7" ht="20.100000000000001" customHeight="1" x14ac:dyDescent="0.2">
      <c r="A3233" s="681" t="str">
        <f t="shared" si="43"/>
        <v>483  007.001.026  Custo de Aquisicão de Equipamentos: Eq. Comunicação</v>
      </c>
      <c r="B3233" s="636">
        <v>483</v>
      </c>
      <c r="C3233" s="614"/>
      <c r="D3233" s="638" t="s">
        <v>3176</v>
      </c>
      <c r="E3233" s="165"/>
      <c r="F3233" s="614"/>
      <c r="G3233" s="612" t="s">
        <v>3124</v>
      </c>
    </row>
    <row r="3234" spans="1:7" ht="20.100000000000001" customHeight="1" x14ac:dyDescent="0.2">
      <c r="A3234" s="681" t="str">
        <f t="shared" si="43"/>
        <v>484  007.001.027  Custo de Aquisicão de Equipamentos: Ar Condicionado</v>
      </c>
      <c r="B3234" s="636">
        <v>484</v>
      </c>
      <c r="C3234" s="614"/>
      <c r="D3234" s="638" t="s">
        <v>3177</v>
      </c>
      <c r="E3234" s="165"/>
      <c r="F3234" s="614"/>
      <c r="G3234" s="612" t="s">
        <v>3126</v>
      </c>
    </row>
    <row r="3235" spans="1:7" ht="20.100000000000001" customHeight="1" x14ac:dyDescent="0.2">
      <c r="A3235" s="681" t="str">
        <f t="shared" si="43"/>
        <v>485  007.001.028  Custo de Aquisicão de Equipamentos: Equip. e Utensilios Domésticos</v>
      </c>
      <c r="B3235" s="636">
        <v>485</v>
      </c>
      <c r="C3235" s="614"/>
      <c r="D3235" s="638" t="s">
        <v>3178</v>
      </c>
      <c r="E3235" s="165"/>
      <c r="F3235" s="614"/>
      <c r="G3235" s="612" t="s">
        <v>3128</v>
      </c>
    </row>
    <row r="3236" spans="1:7" ht="20.100000000000001" customHeight="1" x14ac:dyDescent="0.2">
      <c r="A3236" s="681" t="str">
        <f t="shared" si="43"/>
        <v>486  007.001.029  Geral</v>
      </c>
      <c r="B3236" s="636">
        <v>486</v>
      </c>
      <c r="C3236" s="614"/>
      <c r="D3236" s="638" t="s">
        <v>3179</v>
      </c>
      <c r="E3236" s="165"/>
      <c r="F3236" s="614"/>
      <c r="G3236" s="612" t="s">
        <v>2380</v>
      </c>
    </row>
    <row r="3237" spans="1:7" ht="20.100000000000001" customHeight="1" x14ac:dyDescent="0.2">
      <c r="A3237" s="681" t="str">
        <f t="shared" si="43"/>
        <v>1322  007.001.030  Pessoal e Encargos Sociais : Sev. CLT</v>
      </c>
      <c r="B3237" s="636">
        <v>1322</v>
      </c>
      <c r="C3237" s="614"/>
      <c r="D3237" s="638" t="s">
        <v>3180</v>
      </c>
      <c r="E3237" s="165"/>
      <c r="F3237" s="614"/>
      <c r="G3237" s="612" t="s">
        <v>3181</v>
      </c>
    </row>
    <row r="3238" spans="1:7" ht="20.100000000000001" customHeight="1" x14ac:dyDescent="0.2">
      <c r="A3238" s="681" t="str">
        <f t="shared" si="43"/>
        <v>1379  007.001.031  Internet</v>
      </c>
      <c r="B3238" s="636">
        <v>1379</v>
      </c>
      <c r="C3238" s="614"/>
      <c r="D3238" s="638" t="s">
        <v>3182</v>
      </c>
      <c r="E3238" s="165"/>
      <c r="F3238" s="614"/>
      <c r="G3238" s="612" t="s">
        <v>2371</v>
      </c>
    </row>
    <row r="3239" spans="1:7" ht="20.100000000000001" customHeight="1" x14ac:dyDescent="0.2">
      <c r="A3239" s="681" t="str">
        <f t="shared" si="43"/>
        <v>1484  007.001.031  Agua Mineral</v>
      </c>
      <c r="B3239" s="636">
        <v>1484</v>
      </c>
      <c r="C3239" s="614"/>
      <c r="D3239" s="638" t="s">
        <v>3182</v>
      </c>
      <c r="E3239" s="165"/>
      <c r="F3239" s="614"/>
      <c r="G3239" s="612" t="s">
        <v>2527</v>
      </c>
    </row>
    <row r="3240" spans="1:7" ht="20.100000000000001" customHeight="1" x14ac:dyDescent="0.2">
      <c r="A3240" s="681" t="str">
        <f t="shared" si="43"/>
        <v>1520  007.001.032  Pessoal e Encargos Professores Efetivos</v>
      </c>
      <c r="B3240" s="636">
        <v>1520</v>
      </c>
      <c r="C3240" s="614"/>
      <c r="D3240" s="638" t="s">
        <v>3183</v>
      </c>
      <c r="E3240" s="165"/>
      <c r="F3240" s="614"/>
      <c r="G3240" s="612" t="s">
        <v>3184</v>
      </c>
    </row>
    <row r="3241" spans="1:7" ht="20.100000000000001" customHeight="1" x14ac:dyDescent="0.2">
      <c r="A3241" s="681" t="str">
        <f t="shared" si="43"/>
        <v>1521  007.001.033  Pessoal e Encargos Professores Contratados</v>
      </c>
      <c r="B3241" s="636">
        <v>1521</v>
      </c>
      <c r="C3241" s="614"/>
      <c r="D3241" s="638" t="s">
        <v>3185</v>
      </c>
      <c r="E3241" s="165"/>
      <c r="F3241" s="614"/>
      <c r="G3241" s="612" t="s">
        <v>3186</v>
      </c>
    </row>
    <row r="3242" spans="1:7" ht="20.100000000000001" customHeight="1" x14ac:dyDescent="0.2">
      <c r="A3242" s="681" t="str">
        <f t="shared" si="43"/>
        <v>1562  007.001.034  Material P/ Manutenção de Predios</v>
      </c>
      <c r="B3242" s="636">
        <v>1562</v>
      </c>
      <c r="C3242" s="614"/>
      <c r="D3242" s="638" t="s">
        <v>3187</v>
      </c>
      <c r="E3242" s="165"/>
      <c r="F3242" s="614"/>
      <c r="G3242" s="612" t="s">
        <v>3188</v>
      </c>
    </row>
    <row r="3243" spans="1:7" ht="20.100000000000001" customHeight="1" x14ac:dyDescent="0.2">
      <c r="A3243" s="681" t="str">
        <f t="shared" si="43"/>
        <v>1574  007.001.035  Serviços Graficos</v>
      </c>
      <c r="B3243" s="636">
        <v>1574</v>
      </c>
      <c r="C3243" s="614"/>
      <c r="D3243" s="638" t="s">
        <v>3189</v>
      </c>
      <c r="E3243" s="165"/>
      <c r="F3243" s="614"/>
      <c r="G3243" s="612" t="s">
        <v>3190</v>
      </c>
    </row>
    <row r="3244" spans="1:7" ht="20.100000000000001" customHeight="1" x14ac:dyDescent="0.2">
      <c r="A3244" s="681" t="str">
        <f t="shared" si="43"/>
        <v>1605  007.001.036  Material Esportivo</v>
      </c>
      <c r="B3244" s="636">
        <v>1605</v>
      </c>
      <c r="C3244" s="614"/>
      <c r="D3244" s="638" t="s">
        <v>3191</v>
      </c>
      <c r="E3244" s="165"/>
      <c r="F3244" s="614"/>
      <c r="G3244" s="612" t="s">
        <v>3192</v>
      </c>
    </row>
    <row r="3245" spans="1:7" ht="20.100000000000001" customHeight="1" x14ac:dyDescent="0.2">
      <c r="A3245" s="681" t="str">
        <f t="shared" si="43"/>
        <v>1618  007.001.037  Generos Alimentícios</v>
      </c>
      <c r="B3245" s="636">
        <v>1618</v>
      </c>
      <c r="C3245" s="614"/>
      <c r="D3245" s="638" t="s">
        <v>3193</v>
      </c>
      <c r="E3245" s="165"/>
      <c r="F3245" s="614"/>
      <c r="G3245" s="612" t="s">
        <v>2490</v>
      </c>
    </row>
    <row r="3246" spans="1:7" ht="20.100000000000001" customHeight="1" x14ac:dyDescent="0.2">
      <c r="A3246" s="681" t="str">
        <f t="shared" si="43"/>
        <v>1655  007.001.038  Passagens e Despesas com Locomoção</v>
      </c>
      <c r="B3246" s="636">
        <v>1655</v>
      </c>
      <c r="C3246" s="614"/>
      <c r="D3246" s="638" t="s">
        <v>3194</v>
      </c>
      <c r="E3246" s="165"/>
      <c r="F3246" s="614"/>
      <c r="G3246" s="612" t="s">
        <v>3195</v>
      </c>
    </row>
    <row r="3247" spans="1:7" ht="20.100000000000001" customHeight="1" x14ac:dyDescent="0.2">
      <c r="A3247" s="681" t="str">
        <f t="shared" si="43"/>
        <v>487  007.002.000  EDUCAÇÃO BÁSICA - EDUCAÇÃO INFANTIL</v>
      </c>
      <c r="B3247" s="636">
        <v>487</v>
      </c>
      <c r="C3247" s="614"/>
      <c r="D3247" s="638" t="s">
        <v>3196</v>
      </c>
      <c r="E3247" s="165"/>
      <c r="F3247" s="614"/>
      <c r="G3247" s="612" t="s">
        <v>3197</v>
      </c>
    </row>
    <row r="3248" spans="1:7" ht="20.100000000000001" customHeight="1" x14ac:dyDescent="0.2">
      <c r="A3248" s="681" t="str">
        <f t="shared" si="43"/>
        <v>488  007.002.001  Serv. Contratados</v>
      </c>
      <c r="B3248" s="636">
        <v>488</v>
      </c>
      <c r="C3248" s="614"/>
      <c r="D3248" s="638" t="s">
        <v>3198</v>
      </c>
      <c r="E3248" s="165"/>
      <c r="F3248" s="614"/>
      <c r="G3248" s="612" t="s">
        <v>3063</v>
      </c>
    </row>
    <row r="3249" spans="1:7" ht="20.100000000000001" customHeight="1" x14ac:dyDescent="0.2">
      <c r="A3249" s="681" t="str">
        <f t="shared" si="43"/>
        <v>489  007.002.002  Serv. Efetivos</v>
      </c>
      <c r="B3249" s="636">
        <v>489</v>
      </c>
      <c r="C3249" s="614"/>
      <c r="D3249" s="638" t="s">
        <v>3199</v>
      </c>
      <c r="E3249" s="165"/>
      <c r="F3249" s="614"/>
      <c r="G3249" s="612" t="s">
        <v>3059</v>
      </c>
    </row>
    <row r="3250" spans="1:7" ht="20.100000000000001" customHeight="1" x14ac:dyDescent="0.2">
      <c r="A3250" s="681" t="str">
        <f t="shared" si="43"/>
        <v>490  007.002.003  Serv. C.C.</v>
      </c>
      <c r="B3250" s="636">
        <v>490</v>
      </c>
      <c r="C3250" s="614"/>
      <c r="D3250" s="638" t="s">
        <v>3200</v>
      </c>
      <c r="E3250" s="165"/>
      <c r="F3250" s="614"/>
      <c r="G3250" s="612" t="s">
        <v>3061</v>
      </c>
    </row>
    <row r="3251" spans="1:7" ht="20.100000000000001" customHeight="1" x14ac:dyDescent="0.2">
      <c r="A3251" s="681" t="str">
        <f t="shared" si="43"/>
        <v>491  007.002.004  Diárias Servidores Efetivos</v>
      </c>
      <c r="B3251" s="636">
        <v>491</v>
      </c>
      <c r="C3251" s="614"/>
      <c r="D3251" s="638" t="s">
        <v>3201</v>
      </c>
      <c r="E3251" s="165"/>
      <c r="F3251" s="614"/>
      <c r="G3251" s="612" t="s">
        <v>2419</v>
      </c>
    </row>
    <row r="3252" spans="1:7" ht="20.100000000000001" customHeight="1" x14ac:dyDescent="0.2">
      <c r="A3252" s="681" t="str">
        <f t="shared" si="43"/>
        <v>492  007.002.005  Diárias Servidores Contratados</v>
      </c>
      <c r="B3252" s="636">
        <v>492</v>
      </c>
      <c r="C3252" s="614"/>
      <c r="D3252" s="638" t="s">
        <v>3202</v>
      </c>
      <c r="E3252" s="165"/>
      <c r="F3252" s="614"/>
      <c r="G3252" s="612" t="s">
        <v>2334</v>
      </c>
    </row>
    <row r="3253" spans="1:7" ht="20.100000000000001" customHeight="1" x14ac:dyDescent="0.2">
      <c r="A3253" s="681" t="str">
        <f t="shared" si="43"/>
        <v>493  007.002.006  Diárias Servidores C.C.</v>
      </c>
      <c r="B3253" s="636">
        <v>493</v>
      </c>
      <c r="C3253" s="614"/>
      <c r="D3253" s="638" t="s">
        <v>3203</v>
      </c>
      <c r="E3253" s="165"/>
      <c r="F3253" s="614"/>
      <c r="G3253" s="612" t="s">
        <v>2336</v>
      </c>
    </row>
    <row r="3254" spans="1:7" ht="20.100000000000001" customHeight="1" x14ac:dyDescent="0.2">
      <c r="A3254" s="681" t="str">
        <f t="shared" si="43"/>
        <v>494  007.002.007  Gas de Cozinha</v>
      </c>
      <c r="B3254" s="636">
        <v>494</v>
      </c>
      <c r="C3254" s="614"/>
      <c r="D3254" s="638" t="s">
        <v>3204</v>
      </c>
      <c r="E3254" s="165"/>
      <c r="F3254" s="614"/>
      <c r="G3254" s="612" t="s">
        <v>2342</v>
      </c>
    </row>
    <row r="3255" spans="1:7" ht="20.100000000000001" customHeight="1" x14ac:dyDescent="0.2">
      <c r="A3255" s="681" t="str">
        <f t="shared" si="43"/>
        <v>495  007.002.008  Material de Expediente</v>
      </c>
      <c r="B3255" s="636">
        <v>495</v>
      </c>
      <c r="C3255" s="614"/>
      <c r="D3255" s="638" t="s">
        <v>3205</v>
      </c>
      <c r="E3255" s="165"/>
      <c r="F3255" s="614"/>
      <c r="G3255" s="612" t="s">
        <v>2346</v>
      </c>
    </row>
    <row r="3256" spans="1:7" ht="20.100000000000001" customHeight="1" x14ac:dyDescent="0.2">
      <c r="A3256" s="681" t="str">
        <f t="shared" si="43"/>
        <v>496  007.002.009  Material de Informática</v>
      </c>
      <c r="B3256" s="636">
        <v>496</v>
      </c>
      <c r="C3256" s="614"/>
      <c r="D3256" s="638" t="s">
        <v>3206</v>
      </c>
      <c r="E3256" s="165"/>
      <c r="F3256" s="614"/>
      <c r="G3256" s="612" t="s">
        <v>2615</v>
      </c>
    </row>
    <row r="3257" spans="1:7" ht="20.100000000000001" customHeight="1" x14ac:dyDescent="0.2">
      <c r="A3257" s="681" t="str">
        <f t="shared" si="43"/>
        <v>497  007.002.010  Material de Limpeza e Higiene</v>
      </c>
      <c r="B3257" s="636">
        <v>497</v>
      </c>
      <c r="C3257" s="614"/>
      <c r="D3257" s="638" t="s">
        <v>3207</v>
      </c>
      <c r="E3257" s="165"/>
      <c r="F3257" s="614"/>
      <c r="G3257" s="612" t="s">
        <v>2569</v>
      </c>
    </row>
    <row r="3258" spans="1:7" ht="20.100000000000001" customHeight="1" x14ac:dyDescent="0.2">
      <c r="A3258" s="681" t="str">
        <f t="shared" si="43"/>
        <v>498  007.002.011  Manutenção de Prédios</v>
      </c>
      <c r="B3258" s="636">
        <v>498</v>
      </c>
      <c r="C3258" s="614"/>
      <c r="D3258" s="638" t="s">
        <v>3208</v>
      </c>
      <c r="E3258" s="165"/>
      <c r="F3258" s="614"/>
      <c r="G3258" s="612" t="s">
        <v>3084</v>
      </c>
    </row>
    <row r="3259" spans="1:7" ht="20.100000000000001" customHeight="1" x14ac:dyDescent="0.2">
      <c r="A3259" s="681" t="str">
        <f t="shared" si="43"/>
        <v>499  007.002.012  Manutenção de Moveis e Utensilios</v>
      </c>
      <c r="B3259" s="636">
        <v>499</v>
      </c>
      <c r="C3259" s="614"/>
      <c r="D3259" s="638" t="s">
        <v>3209</v>
      </c>
      <c r="E3259" s="165"/>
      <c r="F3259" s="614"/>
      <c r="G3259" s="612" t="s">
        <v>3210</v>
      </c>
    </row>
    <row r="3260" spans="1:7" ht="20.100000000000001" customHeight="1" x14ac:dyDescent="0.2">
      <c r="A3260" s="681" t="str">
        <f t="shared" si="43"/>
        <v>500  007.002.013  Serviços Tecnicos Profissionais</v>
      </c>
      <c r="B3260" s="636">
        <v>500</v>
      </c>
      <c r="C3260" s="614"/>
      <c r="D3260" s="638" t="s">
        <v>3211</v>
      </c>
      <c r="E3260" s="165"/>
      <c r="F3260" s="614"/>
      <c r="G3260" s="612" t="s">
        <v>3161</v>
      </c>
    </row>
    <row r="3261" spans="1:7" ht="20.100000000000001" customHeight="1" x14ac:dyDescent="0.2">
      <c r="A3261" s="681" t="str">
        <f t="shared" si="43"/>
        <v>501  007.002.014  Seleção e Treinamento</v>
      </c>
      <c r="B3261" s="636">
        <v>501</v>
      </c>
      <c r="C3261" s="614"/>
      <c r="D3261" s="638" t="s">
        <v>3212</v>
      </c>
      <c r="E3261" s="165"/>
      <c r="F3261" s="614"/>
      <c r="G3261" s="612" t="s">
        <v>2369</v>
      </c>
    </row>
    <row r="3262" spans="1:7" ht="20.100000000000001" customHeight="1" x14ac:dyDescent="0.2">
      <c r="A3262" s="681" t="str">
        <f t="shared" si="43"/>
        <v>502  007.002.015  Manutenção de Equip. de Informática</v>
      </c>
      <c r="B3262" s="636">
        <v>502</v>
      </c>
      <c r="C3262" s="614"/>
      <c r="D3262" s="638" t="s">
        <v>3213</v>
      </c>
      <c r="E3262" s="165"/>
      <c r="F3262" s="614"/>
      <c r="G3262" s="612" t="s">
        <v>3164</v>
      </c>
    </row>
    <row r="3263" spans="1:7" ht="20.100000000000001" customHeight="1" x14ac:dyDescent="0.2">
      <c r="A3263" s="681" t="str">
        <f t="shared" si="43"/>
        <v>503  007.002.016  Auxilio Alimentação</v>
      </c>
      <c r="B3263" s="636">
        <v>503</v>
      </c>
      <c r="C3263" s="614"/>
      <c r="D3263" s="638" t="s">
        <v>3214</v>
      </c>
      <c r="E3263" s="165"/>
      <c r="F3263" s="614"/>
      <c r="G3263" s="612" t="s">
        <v>2524</v>
      </c>
    </row>
    <row r="3264" spans="1:7" ht="20.100000000000001" customHeight="1" x14ac:dyDescent="0.2">
      <c r="A3264" s="681" t="str">
        <f t="shared" si="43"/>
        <v>504  007.002.017  Auxilio Transporte</v>
      </c>
      <c r="B3264" s="636">
        <v>504</v>
      </c>
      <c r="C3264" s="614"/>
      <c r="D3264" s="638" t="s">
        <v>3215</v>
      </c>
      <c r="E3264" s="165"/>
      <c r="F3264" s="614"/>
      <c r="G3264" s="612" t="s">
        <v>2462</v>
      </c>
    </row>
    <row r="3265" spans="1:7" ht="20.100000000000001" customHeight="1" x14ac:dyDescent="0.2">
      <c r="A3265" s="681" t="str">
        <f t="shared" si="43"/>
        <v>505  007.002.018  Adicional Dificil Acesso</v>
      </c>
      <c r="B3265" s="636">
        <v>505</v>
      </c>
      <c r="C3265" s="614"/>
      <c r="D3265" s="638" t="s">
        <v>3216</v>
      </c>
      <c r="E3265" s="165"/>
      <c r="F3265" s="614"/>
      <c r="G3265" s="612" t="s">
        <v>3168</v>
      </c>
    </row>
    <row r="3266" spans="1:7" ht="20.100000000000001" customHeight="1" x14ac:dyDescent="0.2">
      <c r="A3266" s="681" t="str">
        <f t="shared" si="43"/>
        <v>506  007.002.019  Agua</v>
      </c>
      <c r="B3266" s="636">
        <v>506</v>
      </c>
      <c r="C3266" s="614"/>
      <c r="D3266" s="638" t="s">
        <v>3217</v>
      </c>
      <c r="E3266" s="165"/>
      <c r="F3266" s="614"/>
      <c r="G3266" s="612" t="s">
        <v>2365</v>
      </c>
    </row>
    <row r="3267" spans="1:7" ht="20.100000000000001" customHeight="1" x14ac:dyDescent="0.2">
      <c r="A3267" s="681" t="str">
        <f t="shared" si="43"/>
        <v>507  007.002.020  Energia Elétrica</v>
      </c>
      <c r="B3267" s="636">
        <v>507</v>
      </c>
      <c r="C3267" s="614"/>
      <c r="D3267" s="638" t="s">
        <v>3218</v>
      </c>
      <c r="E3267" s="165"/>
      <c r="F3267" s="614"/>
      <c r="G3267" s="612" t="s">
        <v>700</v>
      </c>
    </row>
    <row r="3268" spans="1:7" ht="20.100000000000001" customHeight="1" x14ac:dyDescent="0.2">
      <c r="A3268" s="681" t="str">
        <f t="shared" si="43"/>
        <v>508  007.002.021  Telefone Fixo</v>
      </c>
      <c r="B3268" s="636">
        <v>508</v>
      </c>
      <c r="C3268" s="614"/>
      <c r="D3268" s="638" t="s">
        <v>3219</v>
      </c>
      <c r="E3268" s="165"/>
      <c r="F3268" s="614"/>
      <c r="G3268" s="612" t="s">
        <v>1041</v>
      </c>
    </row>
    <row r="3269" spans="1:7" ht="20.100000000000001" customHeight="1" x14ac:dyDescent="0.2">
      <c r="A3269" s="681" t="str">
        <f t="shared" si="43"/>
        <v>509  007.002.022  Telefone Celular</v>
      </c>
      <c r="B3269" s="636">
        <v>509</v>
      </c>
      <c r="C3269" s="614"/>
      <c r="D3269" s="638" t="s">
        <v>3220</v>
      </c>
      <c r="E3269" s="165"/>
      <c r="F3269" s="614"/>
      <c r="G3269" s="612" t="s">
        <v>1150</v>
      </c>
    </row>
    <row r="3270" spans="1:7" ht="20.100000000000001" customHeight="1" x14ac:dyDescent="0.2">
      <c r="A3270" s="681" t="str">
        <f t="shared" si="43"/>
        <v>510  007.002.023  Estagiários</v>
      </c>
      <c r="B3270" s="636">
        <v>510</v>
      </c>
      <c r="C3270" s="614"/>
      <c r="D3270" s="638" t="s">
        <v>3221</v>
      </c>
      <c r="E3270" s="165"/>
      <c r="F3270" s="614"/>
      <c r="G3270" s="612" t="s">
        <v>2449</v>
      </c>
    </row>
    <row r="3271" spans="1:7" ht="20.100000000000001" customHeight="1" x14ac:dyDescent="0.2">
      <c r="A3271" s="681" t="str">
        <f t="shared" ref="A3271:A3334" si="44">CONCATENATE(B3271,"  ",D3271,"  ",G3271)</f>
        <v>511  007.002.024  Custo de Aquisicão de Equipamentos: Informática</v>
      </c>
      <c r="B3271" s="636">
        <v>511</v>
      </c>
      <c r="C3271" s="614"/>
      <c r="D3271" s="638" t="s">
        <v>3222</v>
      </c>
      <c r="E3271" s="165"/>
      <c r="F3271" s="614"/>
      <c r="G3271" s="612" t="s">
        <v>3120</v>
      </c>
    </row>
    <row r="3272" spans="1:7" ht="20.100000000000001" customHeight="1" x14ac:dyDescent="0.2">
      <c r="A3272" s="681" t="str">
        <f t="shared" si="44"/>
        <v>512  007.002.025  Custo de Aquisicão de Equipamentos: Mobiliário</v>
      </c>
      <c r="B3272" s="636">
        <v>512</v>
      </c>
      <c r="C3272" s="614"/>
      <c r="D3272" s="638" t="s">
        <v>3223</v>
      </c>
      <c r="E3272" s="165"/>
      <c r="F3272" s="614"/>
      <c r="G3272" s="612" t="s">
        <v>3122</v>
      </c>
    </row>
    <row r="3273" spans="1:7" ht="20.100000000000001" customHeight="1" x14ac:dyDescent="0.2">
      <c r="A3273" s="681" t="str">
        <f t="shared" si="44"/>
        <v>513  007.002.026  Custo de Aquisicão de Equipamentos: Eq. Comunicação</v>
      </c>
      <c r="B3273" s="636">
        <v>513</v>
      </c>
      <c r="C3273" s="614"/>
      <c r="D3273" s="638" t="s">
        <v>3224</v>
      </c>
      <c r="E3273" s="165"/>
      <c r="F3273" s="614"/>
      <c r="G3273" s="612" t="s">
        <v>3124</v>
      </c>
    </row>
    <row r="3274" spans="1:7" ht="20.100000000000001" customHeight="1" x14ac:dyDescent="0.2">
      <c r="A3274" s="681" t="str">
        <f t="shared" si="44"/>
        <v>514  007.002.027  Custo de Aquisicão de Equipamentos: Ar Condicionado</v>
      </c>
      <c r="B3274" s="636">
        <v>514</v>
      </c>
      <c r="C3274" s="614"/>
      <c r="D3274" s="638" t="s">
        <v>3225</v>
      </c>
      <c r="E3274" s="165"/>
      <c r="F3274" s="614"/>
      <c r="G3274" s="612" t="s">
        <v>3126</v>
      </c>
    </row>
    <row r="3275" spans="1:7" ht="20.100000000000001" customHeight="1" x14ac:dyDescent="0.2">
      <c r="A3275" s="681" t="str">
        <f t="shared" si="44"/>
        <v>515  007.002.028  Custo de Aquisicão de Equipamentos: Equip. e Utensilios Domésticos</v>
      </c>
      <c r="B3275" s="636">
        <v>515</v>
      </c>
      <c r="C3275" s="614"/>
      <c r="D3275" s="638" t="s">
        <v>3226</v>
      </c>
      <c r="E3275" s="165"/>
      <c r="F3275" s="614"/>
      <c r="G3275" s="612" t="s">
        <v>3128</v>
      </c>
    </row>
    <row r="3276" spans="1:7" ht="20.100000000000001" customHeight="1" x14ac:dyDescent="0.2">
      <c r="A3276" s="681" t="str">
        <f t="shared" si="44"/>
        <v>516  007.002.029  Geral</v>
      </c>
      <c r="B3276" s="636">
        <v>516</v>
      </c>
      <c r="C3276" s="614"/>
      <c r="D3276" s="638" t="s">
        <v>3227</v>
      </c>
      <c r="E3276" s="165"/>
      <c r="F3276" s="614"/>
      <c r="G3276" s="612" t="s">
        <v>2380</v>
      </c>
    </row>
    <row r="3277" spans="1:7" ht="20.100000000000001" customHeight="1" x14ac:dyDescent="0.2">
      <c r="A3277" s="681" t="str">
        <f t="shared" si="44"/>
        <v>1522  007.002.030  Pessoal e Encargos Professores Efetivos</v>
      </c>
      <c r="B3277" s="636">
        <v>1522</v>
      </c>
      <c r="C3277" s="614"/>
      <c r="D3277" s="638" t="s">
        <v>3228</v>
      </c>
      <c r="E3277" s="165"/>
      <c r="F3277" s="614"/>
      <c r="G3277" s="612" t="s">
        <v>3184</v>
      </c>
    </row>
    <row r="3278" spans="1:7" ht="20.100000000000001" customHeight="1" x14ac:dyDescent="0.2">
      <c r="A3278" s="681" t="str">
        <f t="shared" si="44"/>
        <v>1523  007.002.031  Pessoal e Encargos Professores Contratados</v>
      </c>
      <c r="B3278" s="636">
        <v>1523</v>
      </c>
      <c r="C3278" s="614"/>
      <c r="D3278" s="638" t="s">
        <v>3229</v>
      </c>
      <c r="E3278" s="165"/>
      <c r="F3278" s="614"/>
      <c r="G3278" s="612" t="s">
        <v>3186</v>
      </c>
    </row>
    <row r="3279" spans="1:7" ht="20.100000000000001" customHeight="1" x14ac:dyDescent="0.2">
      <c r="A3279" s="681" t="str">
        <f t="shared" si="44"/>
        <v>517  007.003.000  EDUCAÇÃO BÁSICA - EDUCAÇÃO ESPECIAL</v>
      </c>
      <c r="B3279" s="636">
        <v>517</v>
      </c>
      <c r="C3279" s="614"/>
      <c r="D3279" s="638" t="s">
        <v>3230</v>
      </c>
      <c r="E3279" s="165"/>
      <c r="F3279" s="614"/>
      <c r="G3279" s="612" t="s">
        <v>3231</v>
      </c>
    </row>
    <row r="3280" spans="1:7" ht="20.100000000000001" customHeight="1" x14ac:dyDescent="0.2">
      <c r="A3280" s="681" t="str">
        <f t="shared" si="44"/>
        <v>518  007.003.001  Serv. Contratados</v>
      </c>
      <c r="B3280" s="636">
        <v>518</v>
      </c>
      <c r="C3280" s="614"/>
      <c r="D3280" s="638" t="s">
        <v>3232</v>
      </c>
      <c r="E3280" s="165"/>
      <c r="F3280" s="614"/>
      <c r="G3280" s="612" t="s">
        <v>3063</v>
      </c>
    </row>
    <row r="3281" spans="1:7" ht="20.100000000000001" customHeight="1" x14ac:dyDescent="0.2">
      <c r="A3281" s="681" t="str">
        <f t="shared" si="44"/>
        <v>519  007.003.002  Serv. Efetivos</v>
      </c>
      <c r="B3281" s="636">
        <v>519</v>
      </c>
      <c r="C3281" s="614"/>
      <c r="D3281" s="638" t="s">
        <v>3233</v>
      </c>
      <c r="E3281" s="165"/>
      <c r="F3281" s="614"/>
      <c r="G3281" s="612" t="s">
        <v>3059</v>
      </c>
    </row>
    <row r="3282" spans="1:7" ht="20.100000000000001" customHeight="1" x14ac:dyDescent="0.2">
      <c r="A3282" s="681" t="str">
        <f t="shared" si="44"/>
        <v>520  007.003.003  Serv. C.C.</v>
      </c>
      <c r="B3282" s="636">
        <v>520</v>
      </c>
      <c r="C3282" s="614"/>
      <c r="D3282" s="638" t="s">
        <v>3234</v>
      </c>
      <c r="E3282" s="165"/>
      <c r="F3282" s="614"/>
      <c r="G3282" s="612" t="s">
        <v>3061</v>
      </c>
    </row>
    <row r="3283" spans="1:7" ht="20.100000000000001" customHeight="1" x14ac:dyDescent="0.2">
      <c r="A3283" s="681" t="str">
        <f t="shared" si="44"/>
        <v>521  007.003.004  Diárias Servidores Efetivos</v>
      </c>
      <c r="B3283" s="636">
        <v>521</v>
      </c>
      <c r="C3283" s="614"/>
      <c r="D3283" s="638" t="s">
        <v>3235</v>
      </c>
      <c r="E3283" s="165"/>
      <c r="F3283" s="614"/>
      <c r="G3283" s="612" t="s">
        <v>2419</v>
      </c>
    </row>
    <row r="3284" spans="1:7" ht="20.100000000000001" customHeight="1" x14ac:dyDescent="0.2">
      <c r="A3284" s="681" t="str">
        <f t="shared" si="44"/>
        <v>522  007.003.005  Diárias Servidores Contratados</v>
      </c>
      <c r="B3284" s="636">
        <v>522</v>
      </c>
      <c r="C3284" s="614"/>
      <c r="D3284" s="638" t="s">
        <v>3236</v>
      </c>
      <c r="E3284" s="165"/>
      <c r="F3284" s="614"/>
      <c r="G3284" s="612" t="s">
        <v>2334</v>
      </c>
    </row>
    <row r="3285" spans="1:7" ht="20.100000000000001" customHeight="1" x14ac:dyDescent="0.2">
      <c r="A3285" s="681" t="str">
        <f t="shared" si="44"/>
        <v>523  007.003.006  Diárias Servidores C.C.</v>
      </c>
      <c r="B3285" s="636">
        <v>523</v>
      </c>
      <c r="C3285" s="614"/>
      <c r="D3285" s="638" t="s">
        <v>3237</v>
      </c>
      <c r="E3285" s="165"/>
      <c r="F3285" s="614"/>
      <c r="G3285" s="612" t="s">
        <v>2336</v>
      </c>
    </row>
    <row r="3286" spans="1:7" ht="20.100000000000001" customHeight="1" x14ac:dyDescent="0.2">
      <c r="A3286" s="681" t="str">
        <f t="shared" si="44"/>
        <v>524  007.003.007  Gas de Cozinha</v>
      </c>
      <c r="B3286" s="636">
        <v>524</v>
      </c>
      <c r="C3286" s="614"/>
      <c r="D3286" s="638" t="s">
        <v>3238</v>
      </c>
      <c r="E3286" s="165"/>
      <c r="F3286" s="614"/>
      <c r="G3286" s="612" t="s">
        <v>2342</v>
      </c>
    </row>
    <row r="3287" spans="1:7" ht="20.100000000000001" customHeight="1" x14ac:dyDescent="0.2">
      <c r="A3287" s="681" t="str">
        <f t="shared" si="44"/>
        <v>525  007.003.008  Material de Expediente</v>
      </c>
      <c r="B3287" s="636">
        <v>525</v>
      </c>
      <c r="C3287" s="614"/>
      <c r="D3287" s="638" t="s">
        <v>3239</v>
      </c>
      <c r="E3287" s="165"/>
      <c r="F3287" s="614"/>
      <c r="G3287" s="612" t="s">
        <v>2346</v>
      </c>
    </row>
    <row r="3288" spans="1:7" ht="20.100000000000001" customHeight="1" x14ac:dyDescent="0.2">
      <c r="A3288" s="681" t="str">
        <f t="shared" si="44"/>
        <v>526  007.003.009  Suprimentos de Informática</v>
      </c>
      <c r="B3288" s="636">
        <v>526</v>
      </c>
      <c r="C3288" s="614"/>
      <c r="D3288" s="638" t="s">
        <v>3240</v>
      </c>
      <c r="E3288" s="165"/>
      <c r="F3288" s="614"/>
      <c r="G3288" s="612" t="s">
        <v>2435</v>
      </c>
    </row>
    <row r="3289" spans="1:7" ht="20.100000000000001" customHeight="1" x14ac:dyDescent="0.2">
      <c r="A3289" s="681" t="str">
        <f t="shared" si="44"/>
        <v>527  007.003.010  Material de Limpeza e Higiene</v>
      </c>
      <c r="B3289" s="636">
        <v>527</v>
      </c>
      <c r="C3289" s="614"/>
      <c r="D3289" s="638" t="s">
        <v>3241</v>
      </c>
      <c r="E3289" s="165"/>
      <c r="F3289" s="614"/>
      <c r="G3289" s="612" t="s">
        <v>2569</v>
      </c>
    </row>
    <row r="3290" spans="1:7" ht="20.100000000000001" customHeight="1" x14ac:dyDescent="0.2">
      <c r="A3290" s="681" t="str">
        <f t="shared" si="44"/>
        <v>528  007.003.011  Manuntenção de Prédios</v>
      </c>
      <c r="B3290" s="636">
        <v>528</v>
      </c>
      <c r="C3290" s="614"/>
      <c r="D3290" s="638" t="s">
        <v>3242</v>
      </c>
      <c r="E3290" s="165"/>
      <c r="F3290" s="614"/>
      <c r="G3290" s="612" t="s">
        <v>3243</v>
      </c>
    </row>
    <row r="3291" spans="1:7" ht="20.100000000000001" customHeight="1" x14ac:dyDescent="0.2">
      <c r="A3291" s="681" t="str">
        <f t="shared" si="44"/>
        <v>529  007.003.012  Manutenção de Moveis e Utensílios</v>
      </c>
      <c r="B3291" s="636">
        <v>529</v>
      </c>
      <c r="C3291" s="614"/>
      <c r="D3291" s="638" t="s">
        <v>3244</v>
      </c>
      <c r="E3291" s="165"/>
      <c r="F3291" s="614"/>
      <c r="G3291" s="612" t="s">
        <v>3086</v>
      </c>
    </row>
    <row r="3292" spans="1:7" ht="20.100000000000001" customHeight="1" x14ac:dyDescent="0.2">
      <c r="A3292" s="681" t="str">
        <f t="shared" si="44"/>
        <v>530  007.003.013  Serviços Tecnicos Profissionais</v>
      </c>
      <c r="B3292" s="636">
        <v>530</v>
      </c>
      <c r="C3292" s="614"/>
      <c r="D3292" s="638" t="s">
        <v>3245</v>
      </c>
      <c r="E3292" s="165"/>
      <c r="F3292" s="614"/>
      <c r="G3292" s="612" t="s">
        <v>3161</v>
      </c>
    </row>
    <row r="3293" spans="1:7" ht="20.100000000000001" customHeight="1" x14ac:dyDescent="0.2">
      <c r="A3293" s="681" t="str">
        <f t="shared" si="44"/>
        <v>531  007.003.014  Seleção e Treinamento</v>
      </c>
      <c r="B3293" s="636">
        <v>531</v>
      </c>
      <c r="C3293" s="614"/>
      <c r="D3293" s="638" t="s">
        <v>3246</v>
      </c>
      <c r="E3293" s="165"/>
      <c r="F3293" s="614"/>
      <c r="G3293" s="612" t="s">
        <v>2369</v>
      </c>
    </row>
    <row r="3294" spans="1:7" ht="20.100000000000001" customHeight="1" x14ac:dyDescent="0.2">
      <c r="A3294" s="681" t="str">
        <f t="shared" si="44"/>
        <v>532  007.003.015  Manutenção de Equip. de Informática</v>
      </c>
      <c r="B3294" s="636">
        <v>532</v>
      </c>
      <c r="C3294" s="614"/>
      <c r="D3294" s="638" t="s">
        <v>3247</v>
      </c>
      <c r="E3294" s="165"/>
      <c r="F3294" s="614"/>
      <c r="G3294" s="612" t="s">
        <v>3164</v>
      </c>
    </row>
    <row r="3295" spans="1:7" ht="20.100000000000001" customHeight="1" x14ac:dyDescent="0.2">
      <c r="A3295" s="681" t="str">
        <f t="shared" si="44"/>
        <v>533  007.003.016  Auxilio Alimentação</v>
      </c>
      <c r="B3295" s="636">
        <v>533</v>
      </c>
      <c r="C3295" s="614"/>
      <c r="D3295" s="638" t="s">
        <v>3248</v>
      </c>
      <c r="E3295" s="165"/>
      <c r="F3295" s="614"/>
      <c r="G3295" s="612" t="s">
        <v>2524</v>
      </c>
    </row>
    <row r="3296" spans="1:7" ht="20.100000000000001" customHeight="1" x14ac:dyDescent="0.2">
      <c r="A3296" s="681" t="str">
        <f t="shared" si="44"/>
        <v>534  007.003.017  Auxilio Transporte</v>
      </c>
      <c r="B3296" s="636">
        <v>534</v>
      </c>
      <c r="C3296" s="614"/>
      <c r="D3296" s="638" t="s">
        <v>3249</v>
      </c>
      <c r="E3296" s="165"/>
      <c r="F3296" s="614"/>
      <c r="G3296" s="612" t="s">
        <v>2462</v>
      </c>
    </row>
    <row r="3297" spans="1:7" ht="20.100000000000001" customHeight="1" x14ac:dyDescent="0.2">
      <c r="A3297" s="681" t="str">
        <f t="shared" si="44"/>
        <v>535  007.003.018  Adicional de Dificil Acesso</v>
      </c>
      <c r="B3297" s="636">
        <v>535</v>
      </c>
      <c r="C3297" s="614"/>
      <c r="D3297" s="638" t="s">
        <v>3250</v>
      </c>
      <c r="E3297" s="165"/>
      <c r="F3297" s="614"/>
      <c r="G3297" s="612" t="s">
        <v>3251</v>
      </c>
    </row>
    <row r="3298" spans="1:7" ht="20.100000000000001" customHeight="1" x14ac:dyDescent="0.2">
      <c r="A3298" s="681" t="str">
        <f t="shared" si="44"/>
        <v>536  007.003.019  Estagiarios</v>
      </c>
      <c r="B3298" s="636">
        <v>536</v>
      </c>
      <c r="C3298" s="614"/>
      <c r="D3298" s="638" t="s">
        <v>3252</v>
      </c>
      <c r="E3298" s="165"/>
      <c r="F3298" s="614"/>
      <c r="G3298" s="612" t="s">
        <v>2195</v>
      </c>
    </row>
    <row r="3299" spans="1:7" ht="20.100000000000001" customHeight="1" x14ac:dyDescent="0.2">
      <c r="A3299" s="681" t="str">
        <f t="shared" si="44"/>
        <v>537  007.003.020  Custo de Aquisicão de Equipamentos: Informática</v>
      </c>
      <c r="B3299" s="636">
        <v>537</v>
      </c>
      <c r="C3299" s="614"/>
      <c r="D3299" s="638" t="s">
        <v>3253</v>
      </c>
      <c r="E3299" s="165"/>
      <c r="F3299" s="614"/>
      <c r="G3299" s="612" t="s">
        <v>3120</v>
      </c>
    </row>
    <row r="3300" spans="1:7" ht="20.100000000000001" customHeight="1" x14ac:dyDescent="0.2">
      <c r="A3300" s="681" t="str">
        <f t="shared" si="44"/>
        <v>538  007.003.021  Custo de Aquisicão de Equipamentos: Mobiliário</v>
      </c>
      <c r="B3300" s="636">
        <v>538</v>
      </c>
      <c r="C3300" s="614"/>
      <c r="D3300" s="638" t="s">
        <v>3254</v>
      </c>
      <c r="E3300" s="165"/>
      <c r="F3300" s="614"/>
      <c r="G3300" s="612" t="s">
        <v>3122</v>
      </c>
    </row>
    <row r="3301" spans="1:7" ht="20.100000000000001" customHeight="1" x14ac:dyDescent="0.2">
      <c r="A3301" s="681" t="str">
        <f t="shared" si="44"/>
        <v>539  007.003.022  Custo de Aquisicão de Equipamentos: Eq, Comunicação</v>
      </c>
      <c r="B3301" s="636">
        <v>539</v>
      </c>
      <c r="C3301" s="614"/>
      <c r="D3301" s="638" t="s">
        <v>3255</v>
      </c>
      <c r="E3301" s="165"/>
      <c r="F3301" s="614"/>
      <c r="G3301" s="612" t="s">
        <v>3256</v>
      </c>
    </row>
    <row r="3302" spans="1:7" ht="20.100000000000001" customHeight="1" x14ac:dyDescent="0.2">
      <c r="A3302" s="681" t="str">
        <f t="shared" si="44"/>
        <v>540  007.003.023  Custo de Aquisicão de Equipamentos: Ar Condicionado</v>
      </c>
      <c r="B3302" s="636">
        <v>540</v>
      </c>
      <c r="C3302" s="614"/>
      <c r="D3302" s="638" t="s">
        <v>3257</v>
      </c>
      <c r="E3302" s="165"/>
      <c r="F3302" s="614"/>
      <c r="G3302" s="612" t="s">
        <v>3126</v>
      </c>
    </row>
    <row r="3303" spans="1:7" ht="20.100000000000001" customHeight="1" x14ac:dyDescent="0.2">
      <c r="A3303" s="681" t="str">
        <f t="shared" si="44"/>
        <v>541  007.003.024  Custo de Aquisicão de Equipamentos: Equip. e Utensílios Domésticos</v>
      </c>
      <c r="B3303" s="636">
        <v>541</v>
      </c>
      <c r="C3303" s="614"/>
      <c r="D3303" s="638" t="s">
        <v>3258</v>
      </c>
      <c r="E3303" s="165"/>
      <c r="F3303" s="614"/>
      <c r="G3303" s="612" t="s">
        <v>3259</v>
      </c>
    </row>
    <row r="3304" spans="1:7" ht="20.100000000000001" customHeight="1" x14ac:dyDescent="0.2">
      <c r="A3304" s="681" t="str">
        <f t="shared" si="44"/>
        <v>542  007.003.025  Geral</v>
      </c>
      <c r="B3304" s="636">
        <v>542</v>
      </c>
      <c r="C3304" s="614"/>
      <c r="D3304" s="638" t="s">
        <v>3260</v>
      </c>
      <c r="E3304" s="165"/>
      <c r="F3304" s="614"/>
      <c r="G3304" s="612" t="s">
        <v>2380</v>
      </c>
    </row>
    <row r="3305" spans="1:7" ht="20.100000000000001" customHeight="1" x14ac:dyDescent="0.2">
      <c r="A3305" s="681" t="str">
        <f t="shared" si="44"/>
        <v>543  007.004.000  EDUCAÇÃO BÁSICA - EDUCAÇÃO DE JOVENS E ADULTOS</v>
      </c>
      <c r="B3305" s="636">
        <v>543</v>
      </c>
      <c r="C3305" s="614"/>
      <c r="D3305" s="638" t="s">
        <v>3261</v>
      </c>
      <c r="E3305" s="165"/>
      <c r="F3305" s="614"/>
      <c r="G3305" s="612" t="s">
        <v>3262</v>
      </c>
    </row>
    <row r="3306" spans="1:7" ht="20.100000000000001" customHeight="1" x14ac:dyDescent="0.2">
      <c r="A3306" s="681" t="str">
        <f t="shared" si="44"/>
        <v>544  007.004.001  Serv. Contratados</v>
      </c>
      <c r="B3306" s="636">
        <v>544</v>
      </c>
      <c r="C3306" s="614"/>
      <c r="D3306" s="638" t="s">
        <v>3263</v>
      </c>
      <c r="E3306" s="165"/>
      <c r="F3306" s="614"/>
      <c r="G3306" s="612" t="s">
        <v>3063</v>
      </c>
    </row>
    <row r="3307" spans="1:7" ht="20.100000000000001" customHeight="1" x14ac:dyDescent="0.2">
      <c r="A3307" s="681" t="str">
        <f t="shared" si="44"/>
        <v>545  007.004.002  Serv. Efetivos</v>
      </c>
      <c r="B3307" s="636">
        <v>545</v>
      </c>
      <c r="C3307" s="614"/>
      <c r="D3307" s="638" t="s">
        <v>3264</v>
      </c>
      <c r="E3307" s="165"/>
      <c r="F3307" s="614"/>
      <c r="G3307" s="612" t="s">
        <v>3059</v>
      </c>
    </row>
    <row r="3308" spans="1:7" ht="20.100000000000001" customHeight="1" x14ac:dyDescent="0.2">
      <c r="A3308" s="681" t="str">
        <f t="shared" si="44"/>
        <v>546  007.004.003  Serv. C.C.</v>
      </c>
      <c r="B3308" s="636">
        <v>546</v>
      </c>
      <c r="C3308" s="614"/>
      <c r="D3308" s="638" t="s">
        <v>3265</v>
      </c>
      <c r="E3308" s="165"/>
      <c r="F3308" s="614"/>
      <c r="G3308" s="612" t="s">
        <v>3061</v>
      </c>
    </row>
    <row r="3309" spans="1:7" ht="20.100000000000001" customHeight="1" x14ac:dyDescent="0.2">
      <c r="A3309" s="681" t="str">
        <f t="shared" si="44"/>
        <v>547  007.004.004  Diárias Servidores Efetivos</v>
      </c>
      <c r="B3309" s="636">
        <v>547</v>
      </c>
      <c r="C3309" s="614"/>
      <c r="D3309" s="638" t="s">
        <v>3266</v>
      </c>
      <c r="E3309" s="165"/>
      <c r="F3309" s="614"/>
      <c r="G3309" s="612" t="s">
        <v>2419</v>
      </c>
    </row>
    <row r="3310" spans="1:7" ht="20.100000000000001" customHeight="1" x14ac:dyDescent="0.2">
      <c r="A3310" s="681" t="str">
        <f t="shared" si="44"/>
        <v>548  007.004.005  Diárias Servidores Contratados</v>
      </c>
      <c r="B3310" s="636">
        <v>548</v>
      </c>
      <c r="C3310" s="614"/>
      <c r="D3310" s="638" t="s">
        <v>3267</v>
      </c>
      <c r="E3310" s="165"/>
      <c r="F3310" s="614"/>
      <c r="G3310" s="612" t="s">
        <v>2334</v>
      </c>
    </row>
    <row r="3311" spans="1:7" ht="20.100000000000001" customHeight="1" x14ac:dyDescent="0.2">
      <c r="A3311" s="681" t="str">
        <f t="shared" si="44"/>
        <v>549  007.004.006  Diárias Servidores C.C.</v>
      </c>
      <c r="B3311" s="636">
        <v>549</v>
      </c>
      <c r="C3311" s="614"/>
      <c r="D3311" s="638" t="s">
        <v>3268</v>
      </c>
      <c r="E3311" s="165"/>
      <c r="F3311" s="614"/>
      <c r="G3311" s="612" t="s">
        <v>2336</v>
      </c>
    </row>
    <row r="3312" spans="1:7" ht="20.100000000000001" customHeight="1" x14ac:dyDescent="0.2">
      <c r="A3312" s="681" t="str">
        <f t="shared" si="44"/>
        <v>550  007.004.007  Gas de Cozinha</v>
      </c>
      <c r="B3312" s="636">
        <v>550</v>
      </c>
      <c r="C3312" s="614"/>
      <c r="D3312" s="638" t="s">
        <v>3269</v>
      </c>
      <c r="E3312" s="165"/>
      <c r="F3312" s="614"/>
      <c r="G3312" s="612" t="s">
        <v>2342</v>
      </c>
    </row>
    <row r="3313" spans="1:7" ht="20.100000000000001" customHeight="1" x14ac:dyDescent="0.2">
      <c r="A3313" s="681" t="str">
        <f t="shared" si="44"/>
        <v>551  007.004.008  Material de Expediente</v>
      </c>
      <c r="B3313" s="636">
        <v>551</v>
      </c>
      <c r="C3313" s="614"/>
      <c r="D3313" s="638" t="s">
        <v>3270</v>
      </c>
      <c r="E3313" s="165"/>
      <c r="F3313" s="614"/>
      <c r="G3313" s="612" t="s">
        <v>2346</v>
      </c>
    </row>
    <row r="3314" spans="1:7" ht="20.100000000000001" customHeight="1" x14ac:dyDescent="0.2">
      <c r="A3314" s="681" t="str">
        <f t="shared" si="44"/>
        <v>552  007.004.009  Suprimentos de Informática</v>
      </c>
      <c r="B3314" s="636">
        <v>552</v>
      </c>
      <c r="C3314" s="614"/>
      <c r="D3314" s="638" t="s">
        <v>3271</v>
      </c>
      <c r="E3314" s="165"/>
      <c r="F3314" s="614"/>
      <c r="G3314" s="612" t="s">
        <v>2435</v>
      </c>
    </row>
    <row r="3315" spans="1:7" ht="20.100000000000001" customHeight="1" x14ac:dyDescent="0.2">
      <c r="A3315" s="681" t="str">
        <f t="shared" si="44"/>
        <v>553  007.004.010  Material de Limpeza e Higiene</v>
      </c>
      <c r="B3315" s="636">
        <v>553</v>
      </c>
      <c r="C3315" s="614"/>
      <c r="D3315" s="638" t="s">
        <v>3272</v>
      </c>
      <c r="E3315" s="165"/>
      <c r="F3315" s="614"/>
      <c r="G3315" s="612" t="s">
        <v>2569</v>
      </c>
    </row>
    <row r="3316" spans="1:7" ht="20.100000000000001" customHeight="1" x14ac:dyDescent="0.2">
      <c r="A3316" s="681" t="str">
        <f t="shared" si="44"/>
        <v>1524  007.004.011  Pessoal e Encargos Professores Efetivos</v>
      </c>
      <c r="B3316" s="636">
        <v>1524</v>
      </c>
      <c r="C3316" s="614"/>
      <c r="D3316" s="638" t="s">
        <v>3273</v>
      </c>
      <c r="E3316" s="165"/>
      <c r="F3316" s="614"/>
      <c r="G3316" s="612" t="s">
        <v>3184</v>
      </c>
    </row>
    <row r="3317" spans="1:7" ht="20.100000000000001" customHeight="1" x14ac:dyDescent="0.2">
      <c r="A3317" s="681" t="str">
        <f t="shared" si="44"/>
        <v>1525  007.004.012  Pessoal e Encargos Professores Contratados</v>
      </c>
      <c r="B3317" s="636">
        <v>1525</v>
      </c>
      <c r="C3317" s="614"/>
      <c r="D3317" s="638" t="s">
        <v>3274</v>
      </c>
      <c r="E3317" s="165"/>
      <c r="F3317" s="614"/>
      <c r="G3317" s="612" t="s">
        <v>3186</v>
      </c>
    </row>
    <row r="3318" spans="1:7" ht="20.100000000000001" customHeight="1" x14ac:dyDescent="0.2">
      <c r="A3318" s="681" t="str">
        <f t="shared" si="44"/>
        <v>554  007.004.020  Geral</v>
      </c>
      <c r="B3318" s="636">
        <v>554</v>
      </c>
      <c r="C3318" s="614"/>
      <c r="D3318" s="638" t="s">
        <v>3275</v>
      </c>
      <c r="E3318" s="165"/>
      <c r="F3318" s="614"/>
      <c r="G3318" s="612" t="s">
        <v>2380</v>
      </c>
    </row>
    <row r="3319" spans="1:7" ht="20.100000000000001" customHeight="1" x14ac:dyDescent="0.2">
      <c r="A3319" s="681" t="str">
        <f t="shared" si="44"/>
        <v>1561  007.004.021  Auxilio Transporte</v>
      </c>
      <c r="B3319" s="636">
        <v>1561</v>
      </c>
      <c r="C3319" s="614"/>
      <c r="D3319" s="638" t="s">
        <v>3276</v>
      </c>
      <c r="E3319" s="165"/>
      <c r="F3319" s="614"/>
      <c r="G3319" s="612" t="s">
        <v>2462</v>
      </c>
    </row>
    <row r="3320" spans="1:7" ht="20.100000000000001" customHeight="1" x14ac:dyDescent="0.2">
      <c r="A3320" s="681" t="str">
        <f t="shared" si="44"/>
        <v>555  008.000.000  ESCOLA MUNICIPAL ARLINDO B. PIRES</v>
      </c>
      <c r="B3320" s="636">
        <v>555</v>
      </c>
      <c r="C3320" s="614"/>
      <c r="D3320" s="638" t="s">
        <v>3277</v>
      </c>
      <c r="E3320" s="165"/>
      <c r="F3320" s="614"/>
      <c r="G3320" s="612" t="s">
        <v>3278</v>
      </c>
    </row>
    <row r="3321" spans="1:7" ht="20.100000000000001" customHeight="1" x14ac:dyDescent="0.2">
      <c r="A3321" s="681" t="str">
        <f t="shared" si="44"/>
        <v>556  008.001.000  EDUCAÇÃO BÁSICA - Ensino Fundamental</v>
      </c>
      <c r="B3321" s="636">
        <v>556</v>
      </c>
      <c r="C3321" s="614"/>
      <c r="D3321" s="638" t="s">
        <v>3279</v>
      </c>
      <c r="E3321" s="165"/>
      <c r="F3321" s="614"/>
      <c r="G3321" s="612" t="s">
        <v>3147</v>
      </c>
    </row>
    <row r="3322" spans="1:7" ht="20.100000000000001" customHeight="1" x14ac:dyDescent="0.2">
      <c r="A3322" s="681" t="str">
        <f t="shared" si="44"/>
        <v>557  008.001.001  Serv. Contratados</v>
      </c>
      <c r="B3322" s="636">
        <v>557</v>
      </c>
      <c r="C3322" s="614"/>
      <c r="D3322" s="638" t="s">
        <v>3280</v>
      </c>
      <c r="E3322" s="165"/>
      <c r="F3322" s="614"/>
      <c r="G3322" s="612" t="s">
        <v>3063</v>
      </c>
    </row>
    <row r="3323" spans="1:7" ht="20.100000000000001" customHeight="1" x14ac:dyDescent="0.2">
      <c r="A3323" s="681" t="str">
        <f t="shared" si="44"/>
        <v>558  008.001.002  Serv. Efetivos</v>
      </c>
      <c r="B3323" s="636">
        <v>558</v>
      </c>
      <c r="C3323" s="614"/>
      <c r="D3323" s="638" t="s">
        <v>3281</v>
      </c>
      <c r="E3323" s="165"/>
      <c r="F3323" s="614"/>
      <c r="G3323" s="612" t="s">
        <v>3059</v>
      </c>
    </row>
    <row r="3324" spans="1:7" ht="20.100000000000001" customHeight="1" x14ac:dyDescent="0.2">
      <c r="A3324" s="681" t="str">
        <f t="shared" si="44"/>
        <v>559  008.001.003  Serv. C.C.</v>
      </c>
      <c r="B3324" s="636">
        <v>559</v>
      </c>
      <c r="C3324" s="614"/>
      <c r="D3324" s="638" t="s">
        <v>3282</v>
      </c>
      <c r="E3324" s="165"/>
      <c r="F3324" s="614"/>
      <c r="G3324" s="612" t="s">
        <v>3061</v>
      </c>
    </row>
    <row r="3325" spans="1:7" ht="20.100000000000001" customHeight="1" x14ac:dyDescent="0.2">
      <c r="A3325" s="681" t="str">
        <f t="shared" si="44"/>
        <v>560  008.001.004  Diárias Servidores Efetivos</v>
      </c>
      <c r="B3325" s="636">
        <v>560</v>
      </c>
      <c r="C3325" s="614"/>
      <c r="D3325" s="638" t="s">
        <v>3283</v>
      </c>
      <c r="E3325" s="165"/>
      <c r="F3325" s="614"/>
      <c r="G3325" s="612" t="s">
        <v>2419</v>
      </c>
    </row>
    <row r="3326" spans="1:7" ht="20.100000000000001" customHeight="1" x14ac:dyDescent="0.2">
      <c r="A3326" s="681" t="str">
        <f t="shared" si="44"/>
        <v>561  008.001.005  Diárias Servidores Contratados</v>
      </c>
      <c r="B3326" s="636">
        <v>561</v>
      </c>
      <c r="C3326" s="614"/>
      <c r="D3326" s="638" t="s">
        <v>3284</v>
      </c>
      <c r="E3326" s="165"/>
      <c r="F3326" s="614"/>
      <c r="G3326" s="612" t="s">
        <v>2334</v>
      </c>
    </row>
    <row r="3327" spans="1:7" ht="20.100000000000001" customHeight="1" x14ac:dyDescent="0.2">
      <c r="A3327" s="681" t="str">
        <f t="shared" si="44"/>
        <v>562  008.001.006  Diárias Servidores C.C.</v>
      </c>
      <c r="B3327" s="636">
        <v>562</v>
      </c>
      <c r="C3327" s="614"/>
      <c r="D3327" s="638" t="s">
        <v>3285</v>
      </c>
      <c r="E3327" s="165"/>
      <c r="F3327" s="614"/>
      <c r="G3327" s="612" t="s">
        <v>2336</v>
      </c>
    </row>
    <row r="3328" spans="1:7" ht="20.100000000000001" customHeight="1" x14ac:dyDescent="0.2">
      <c r="A3328" s="681" t="str">
        <f t="shared" si="44"/>
        <v>563  008.001.007  Gas de Cozinha</v>
      </c>
      <c r="B3328" s="636">
        <v>563</v>
      </c>
      <c r="C3328" s="614"/>
      <c r="D3328" s="638" t="s">
        <v>3286</v>
      </c>
      <c r="E3328" s="165"/>
      <c r="F3328" s="614"/>
      <c r="G3328" s="612" t="s">
        <v>2342</v>
      </c>
    </row>
    <row r="3329" spans="1:7" ht="20.100000000000001" customHeight="1" x14ac:dyDescent="0.2">
      <c r="A3329" s="681" t="str">
        <f t="shared" si="44"/>
        <v>564  008.001.008  Material de Expediente</v>
      </c>
      <c r="B3329" s="636">
        <v>564</v>
      </c>
      <c r="C3329" s="614"/>
      <c r="D3329" s="638" t="s">
        <v>3287</v>
      </c>
      <c r="E3329" s="165"/>
      <c r="F3329" s="614"/>
      <c r="G3329" s="612" t="s">
        <v>2346</v>
      </c>
    </row>
    <row r="3330" spans="1:7" ht="20.100000000000001" customHeight="1" x14ac:dyDescent="0.2">
      <c r="A3330" s="681" t="str">
        <f t="shared" si="44"/>
        <v>565  008.001.009  Suprimentos de Informática</v>
      </c>
      <c r="B3330" s="636">
        <v>565</v>
      </c>
      <c r="C3330" s="614"/>
      <c r="D3330" s="638" t="s">
        <v>3288</v>
      </c>
      <c r="E3330" s="165"/>
      <c r="F3330" s="614"/>
      <c r="G3330" s="612" t="s">
        <v>2435</v>
      </c>
    </row>
    <row r="3331" spans="1:7" ht="20.100000000000001" customHeight="1" x14ac:dyDescent="0.2">
      <c r="A3331" s="681" t="str">
        <f t="shared" si="44"/>
        <v>566  008.001.010  Material de Limpeza e Higiene</v>
      </c>
      <c r="B3331" s="636">
        <v>566</v>
      </c>
      <c r="C3331" s="614"/>
      <c r="D3331" s="638" t="s">
        <v>3289</v>
      </c>
      <c r="E3331" s="165"/>
      <c r="F3331" s="614"/>
      <c r="G3331" s="612" t="s">
        <v>2569</v>
      </c>
    </row>
    <row r="3332" spans="1:7" ht="20.100000000000001" customHeight="1" x14ac:dyDescent="0.2">
      <c r="A3332" s="681" t="str">
        <f t="shared" si="44"/>
        <v>567  008.001.011  Manutenção de Prédios</v>
      </c>
      <c r="B3332" s="636">
        <v>567</v>
      </c>
      <c r="C3332" s="614"/>
      <c r="D3332" s="638" t="s">
        <v>3290</v>
      </c>
      <c r="E3332" s="165"/>
      <c r="F3332" s="614"/>
      <c r="G3332" s="612" t="s">
        <v>3084</v>
      </c>
    </row>
    <row r="3333" spans="1:7" ht="20.100000000000001" customHeight="1" x14ac:dyDescent="0.2">
      <c r="A3333" s="681" t="str">
        <f t="shared" si="44"/>
        <v>568  008.001.012  Manuntenção de Moveis e Utensilios</v>
      </c>
      <c r="B3333" s="636">
        <v>568</v>
      </c>
      <c r="C3333" s="614"/>
      <c r="D3333" s="638" t="s">
        <v>3291</v>
      </c>
      <c r="E3333" s="165"/>
      <c r="F3333" s="614"/>
      <c r="G3333" s="612" t="s">
        <v>3292</v>
      </c>
    </row>
    <row r="3334" spans="1:7" ht="20.100000000000001" customHeight="1" x14ac:dyDescent="0.2">
      <c r="A3334" s="681" t="str">
        <f t="shared" si="44"/>
        <v>569  008.001.013  Serviços Tecnicos Profissionais</v>
      </c>
      <c r="B3334" s="636">
        <v>569</v>
      </c>
      <c r="C3334" s="614"/>
      <c r="D3334" s="638" t="s">
        <v>3293</v>
      </c>
      <c r="E3334" s="165"/>
      <c r="F3334" s="614"/>
      <c r="G3334" s="612" t="s">
        <v>3161</v>
      </c>
    </row>
    <row r="3335" spans="1:7" ht="20.100000000000001" customHeight="1" x14ac:dyDescent="0.2">
      <c r="A3335" s="681" t="str">
        <f t="shared" ref="A3335:A3398" si="45">CONCATENATE(B3335,"  ",D3335,"  ",G3335)</f>
        <v>570  008.001.014  Seleção e Treinamento</v>
      </c>
      <c r="B3335" s="636">
        <v>570</v>
      </c>
      <c r="C3335" s="614"/>
      <c r="D3335" s="638" t="s">
        <v>3294</v>
      </c>
      <c r="E3335" s="165"/>
      <c r="F3335" s="614"/>
      <c r="G3335" s="612" t="s">
        <v>2369</v>
      </c>
    </row>
    <row r="3336" spans="1:7" ht="20.100000000000001" customHeight="1" x14ac:dyDescent="0.2">
      <c r="A3336" s="681" t="str">
        <f t="shared" si="45"/>
        <v>571  008.001.015  Manuntenção de Equip. de Informática</v>
      </c>
      <c r="B3336" s="636">
        <v>571</v>
      </c>
      <c r="C3336" s="614"/>
      <c r="D3336" s="638" t="s">
        <v>3295</v>
      </c>
      <c r="E3336" s="165"/>
      <c r="F3336" s="614"/>
      <c r="G3336" s="612" t="s">
        <v>3091</v>
      </c>
    </row>
    <row r="3337" spans="1:7" ht="20.100000000000001" customHeight="1" x14ac:dyDescent="0.2">
      <c r="A3337" s="681" t="str">
        <f t="shared" si="45"/>
        <v>572  008.001.016  Auxilio Alimentação</v>
      </c>
      <c r="B3337" s="636">
        <v>572</v>
      </c>
      <c r="C3337" s="614"/>
      <c r="D3337" s="638" t="s">
        <v>3296</v>
      </c>
      <c r="E3337" s="165"/>
      <c r="F3337" s="614"/>
      <c r="G3337" s="612" t="s">
        <v>2524</v>
      </c>
    </row>
    <row r="3338" spans="1:7" ht="20.100000000000001" customHeight="1" x14ac:dyDescent="0.2">
      <c r="A3338" s="681" t="str">
        <f t="shared" si="45"/>
        <v>573  008.001.017  Auxilio Transporte</v>
      </c>
      <c r="B3338" s="636">
        <v>573</v>
      </c>
      <c r="C3338" s="614"/>
      <c r="D3338" s="638" t="s">
        <v>3297</v>
      </c>
      <c r="E3338" s="165"/>
      <c r="F3338" s="614"/>
      <c r="G3338" s="612" t="s">
        <v>2462</v>
      </c>
    </row>
    <row r="3339" spans="1:7" ht="20.100000000000001" customHeight="1" x14ac:dyDescent="0.2">
      <c r="A3339" s="681" t="str">
        <f t="shared" si="45"/>
        <v>574  008.001.018  Adicional de Dificil Acesso</v>
      </c>
      <c r="B3339" s="636">
        <v>574</v>
      </c>
      <c r="C3339" s="614"/>
      <c r="D3339" s="638" t="s">
        <v>3298</v>
      </c>
      <c r="E3339" s="165"/>
      <c r="F3339" s="614"/>
      <c r="G3339" s="612" t="s">
        <v>3251</v>
      </c>
    </row>
    <row r="3340" spans="1:7" ht="20.100000000000001" customHeight="1" x14ac:dyDescent="0.2">
      <c r="A3340" s="681" t="str">
        <f t="shared" si="45"/>
        <v>575  008.001.019  Agua</v>
      </c>
      <c r="B3340" s="636">
        <v>575</v>
      </c>
      <c r="C3340" s="614"/>
      <c r="D3340" s="638" t="s">
        <v>3299</v>
      </c>
      <c r="E3340" s="165"/>
      <c r="F3340" s="614"/>
      <c r="G3340" s="612" t="s">
        <v>2365</v>
      </c>
    </row>
    <row r="3341" spans="1:7" ht="20.100000000000001" customHeight="1" x14ac:dyDescent="0.2">
      <c r="A3341" s="681" t="str">
        <f t="shared" si="45"/>
        <v>576  008.001.020  Energia Eletrica</v>
      </c>
      <c r="B3341" s="636">
        <v>576</v>
      </c>
      <c r="C3341" s="614"/>
      <c r="D3341" s="638" t="s">
        <v>3300</v>
      </c>
      <c r="E3341" s="165"/>
      <c r="F3341" s="614"/>
      <c r="G3341" s="612" t="s">
        <v>3097</v>
      </c>
    </row>
    <row r="3342" spans="1:7" ht="20.100000000000001" customHeight="1" x14ac:dyDescent="0.2">
      <c r="A3342" s="681" t="str">
        <f t="shared" si="45"/>
        <v>577  008.001.021  Telefone Fixo</v>
      </c>
      <c r="B3342" s="636">
        <v>577</v>
      </c>
      <c r="C3342" s="614"/>
      <c r="D3342" s="638" t="s">
        <v>3301</v>
      </c>
      <c r="E3342" s="165"/>
      <c r="F3342" s="614"/>
      <c r="G3342" s="612" t="s">
        <v>1041</v>
      </c>
    </row>
    <row r="3343" spans="1:7" ht="20.100000000000001" customHeight="1" x14ac:dyDescent="0.2">
      <c r="A3343" s="681" t="str">
        <f t="shared" si="45"/>
        <v>578  008.001.022  Teleone Celular</v>
      </c>
      <c r="B3343" s="636">
        <v>578</v>
      </c>
      <c r="C3343" s="614"/>
      <c r="D3343" s="638" t="s">
        <v>3302</v>
      </c>
      <c r="E3343" s="165"/>
      <c r="F3343" s="614"/>
      <c r="G3343" s="612" t="s">
        <v>3303</v>
      </c>
    </row>
    <row r="3344" spans="1:7" ht="20.100000000000001" customHeight="1" x14ac:dyDescent="0.2">
      <c r="A3344" s="681" t="str">
        <f t="shared" si="45"/>
        <v>579  008.001.023  Estagiários</v>
      </c>
      <c r="B3344" s="636">
        <v>579</v>
      </c>
      <c r="C3344" s="614"/>
      <c r="D3344" s="638" t="s">
        <v>3304</v>
      </c>
      <c r="E3344" s="165"/>
      <c r="F3344" s="614"/>
      <c r="G3344" s="612" t="s">
        <v>2449</v>
      </c>
    </row>
    <row r="3345" spans="1:7" ht="20.100000000000001" customHeight="1" x14ac:dyDescent="0.2">
      <c r="A3345" s="681" t="str">
        <f t="shared" si="45"/>
        <v>580  008.001.024  Custo de Aquisicão de Equipamentos: Informática</v>
      </c>
      <c r="B3345" s="636">
        <v>580</v>
      </c>
      <c r="C3345" s="614"/>
      <c r="D3345" s="638" t="s">
        <v>3305</v>
      </c>
      <c r="E3345" s="165"/>
      <c r="F3345" s="614"/>
      <c r="G3345" s="612" t="s">
        <v>3120</v>
      </c>
    </row>
    <row r="3346" spans="1:7" ht="20.100000000000001" customHeight="1" x14ac:dyDescent="0.2">
      <c r="A3346" s="681" t="str">
        <f t="shared" si="45"/>
        <v>581  008.001.025  Custo de Aquisicão de Equipamentos: Mobiliário</v>
      </c>
      <c r="B3346" s="636">
        <v>581</v>
      </c>
      <c r="C3346" s="614"/>
      <c r="D3346" s="638" t="s">
        <v>3306</v>
      </c>
      <c r="E3346" s="165"/>
      <c r="F3346" s="614"/>
      <c r="G3346" s="612" t="s">
        <v>3122</v>
      </c>
    </row>
    <row r="3347" spans="1:7" ht="20.100000000000001" customHeight="1" x14ac:dyDescent="0.2">
      <c r="A3347" s="681" t="str">
        <f t="shared" si="45"/>
        <v>582  008.001.026  Custo de Aquisicão de Equipamentos: Eq. Comunicação</v>
      </c>
      <c r="B3347" s="636">
        <v>582</v>
      </c>
      <c r="C3347" s="614"/>
      <c r="D3347" s="638" t="s">
        <v>3307</v>
      </c>
      <c r="E3347" s="165"/>
      <c r="F3347" s="614"/>
      <c r="G3347" s="612" t="s">
        <v>3124</v>
      </c>
    </row>
    <row r="3348" spans="1:7" ht="20.100000000000001" customHeight="1" x14ac:dyDescent="0.2">
      <c r="A3348" s="681" t="str">
        <f t="shared" si="45"/>
        <v>583  008.001.027  Custo de Aquisicão de Equipamentos: Ar Condicionado</v>
      </c>
      <c r="B3348" s="636">
        <v>583</v>
      </c>
      <c r="C3348" s="614"/>
      <c r="D3348" s="638" t="s">
        <v>3308</v>
      </c>
      <c r="E3348" s="165"/>
      <c r="F3348" s="614"/>
      <c r="G3348" s="612" t="s">
        <v>3126</v>
      </c>
    </row>
    <row r="3349" spans="1:7" ht="20.100000000000001" customHeight="1" x14ac:dyDescent="0.2">
      <c r="A3349" s="681" t="str">
        <f t="shared" si="45"/>
        <v>584  008.001.028  Custo de Aquisicão de Equipamentos: Equip. e Utensílios Domésticos</v>
      </c>
      <c r="B3349" s="636">
        <v>584</v>
      </c>
      <c r="C3349" s="614"/>
      <c r="D3349" s="638" t="s">
        <v>3309</v>
      </c>
      <c r="E3349" s="165"/>
      <c r="F3349" s="614"/>
      <c r="G3349" s="612" t="s">
        <v>3259</v>
      </c>
    </row>
    <row r="3350" spans="1:7" ht="20.100000000000001" customHeight="1" x14ac:dyDescent="0.2">
      <c r="A3350" s="681" t="str">
        <f t="shared" si="45"/>
        <v>585  008.001.029  Geral</v>
      </c>
      <c r="B3350" s="636">
        <v>585</v>
      </c>
      <c r="C3350" s="614"/>
      <c r="D3350" s="638" t="s">
        <v>3310</v>
      </c>
      <c r="E3350" s="165"/>
      <c r="F3350" s="614"/>
      <c r="G3350" s="612" t="s">
        <v>2380</v>
      </c>
    </row>
    <row r="3351" spans="1:7" ht="20.100000000000001" customHeight="1" x14ac:dyDescent="0.2">
      <c r="A3351" s="681" t="str">
        <f t="shared" si="45"/>
        <v>1485  008.001.030  Agua Mineral</v>
      </c>
      <c r="B3351" s="636">
        <v>1485</v>
      </c>
      <c r="C3351" s="614"/>
      <c r="D3351" s="638" t="s">
        <v>3311</v>
      </c>
      <c r="E3351" s="165"/>
      <c r="F3351" s="614"/>
      <c r="G3351" s="612" t="s">
        <v>2527</v>
      </c>
    </row>
    <row r="3352" spans="1:7" ht="20.100000000000001" customHeight="1" x14ac:dyDescent="0.2">
      <c r="A3352" s="681" t="str">
        <f t="shared" si="45"/>
        <v>1380  008.001.031  Internet</v>
      </c>
      <c r="B3352" s="636">
        <v>1380</v>
      </c>
      <c r="C3352" s="614"/>
      <c r="D3352" s="638" t="s">
        <v>3312</v>
      </c>
      <c r="E3352" s="165"/>
      <c r="F3352" s="614"/>
      <c r="G3352" s="612" t="s">
        <v>2371</v>
      </c>
    </row>
    <row r="3353" spans="1:7" ht="20.100000000000001" customHeight="1" x14ac:dyDescent="0.2">
      <c r="A3353" s="681" t="str">
        <f t="shared" si="45"/>
        <v>1527  008.001.032  Pessoal e Encargos Professores Contratados</v>
      </c>
      <c r="B3353" s="636">
        <v>1527</v>
      </c>
      <c r="C3353" s="614"/>
      <c r="D3353" s="638" t="s">
        <v>3313</v>
      </c>
      <c r="E3353" s="165"/>
      <c r="F3353" s="614"/>
      <c r="G3353" s="612" t="s">
        <v>3186</v>
      </c>
    </row>
    <row r="3354" spans="1:7" ht="20.100000000000001" customHeight="1" x14ac:dyDescent="0.2">
      <c r="A3354" s="681" t="str">
        <f t="shared" si="45"/>
        <v>1560  008.001.033  Hora Extra Serv. Efetivos</v>
      </c>
      <c r="B3354" s="636">
        <v>1560</v>
      </c>
      <c r="C3354" s="614"/>
      <c r="D3354" s="638" t="s">
        <v>3314</v>
      </c>
      <c r="E3354" s="165"/>
      <c r="F3354" s="614"/>
      <c r="G3354" s="612" t="s">
        <v>2155</v>
      </c>
    </row>
    <row r="3355" spans="1:7" ht="20.100000000000001" customHeight="1" x14ac:dyDescent="0.2">
      <c r="A3355" s="681" t="str">
        <f t="shared" si="45"/>
        <v>1606  008.001.034  material esportivo</v>
      </c>
      <c r="B3355" s="636">
        <v>1606</v>
      </c>
      <c r="C3355" s="614"/>
      <c r="D3355" s="638" t="s">
        <v>3315</v>
      </c>
      <c r="E3355" s="165"/>
      <c r="F3355" s="614"/>
      <c r="G3355" s="612" t="s">
        <v>3316</v>
      </c>
    </row>
    <row r="3356" spans="1:7" ht="20.100000000000001" customHeight="1" x14ac:dyDescent="0.2">
      <c r="A3356" s="681" t="str">
        <f t="shared" si="45"/>
        <v>1619  008.001.035  Generos Alimenticios</v>
      </c>
      <c r="B3356" s="636">
        <v>1619</v>
      </c>
      <c r="C3356" s="614"/>
      <c r="D3356" s="638" t="s">
        <v>3317</v>
      </c>
      <c r="E3356" s="165"/>
      <c r="F3356" s="614"/>
      <c r="G3356" s="612" t="s">
        <v>2340</v>
      </c>
    </row>
    <row r="3357" spans="1:7" ht="20.100000000000001" customHeight="1" x14ac:dyDescent="0.2">
      <c r="A3357" s="681" t="str">
        <f t="shared" si="45"/>
        <v>1540  008.001.036  Material P/ Manutenção de prédios</v>
      </c>
      <c r="B3357" s="636">
        <v>1540</v>
      </c>
      <c r="C3357" s="614"/>
      <c r="D3357" s="638" t="s">
        <v>3318</v>
      </c>
      <c r="E3357" s="165"/>
      <c r="F3357" s="614"/>
      <c r="G3357" s="612" t="s">
        <v>3319</v>
      </c>
    </row>
    <row r="3358" spans="1:7" ht="20.100000000000001" customHeight="1" x14ac:dyDescent="0.2">
      <c r="A3358" s="681" t="str">
        <f t="shared" si="45"/>
        <v>1526  008.001.037  Pessoal e Encargos Professores Efetivos</v>
      </c>
      <c r="B3358" s="636">
        <v>1526</v>
      </c>
      <c r="C3358" s="614"/>
      <c r="D3358" s="638" t="s">
        <v>3320</v>
      </c>
      <c r="E3358" s="165"/>
      <c r="F3358" s="614"/>
      <c r="G3358" s="612" t="s">
        <v>3184</v>
      </c>
    </row>
    <row r="3359" spans="1:7" ht="20.100000000000001" customHeight="1" x14ac:dyDescent="0.2">
      <c r="A3359" s="681" t="str">
        <f t="shared" si="45"/>
        <v>1656  008.001.038  Passagens de Despesas com Locomoção</v>
      </c>
      <c r="B3359" s="636">
        <v>1656</v>
      </c>
      <c r="C3359" s="614"/>
      <c r="D3359" s="638" t="s">
        <v>3321</v>
      </c>
      <c r="E3359" s="165"/>
      <c r="F3359" s="614"/>
      <c r="G3359" s="612" t="s">
        <v>3322</v>
      </c>
    </row>
    <row r="3360" spans="1:7" ht="20.100000000000001" customHeight="1" x14ac:dyDescent="0.2">
      <c r="A3360" s="681" t="str">
        <f t="shared" si="45"/>
        <v>1670  008.001.039  Locação de Impressoras</v>
      </c>
      <c r="B3360" s="636">
        <v>1670</v>
      </c>
      <c r="C3360" s="614"/>
      <c r="D3360" s="638" t="s">
        <v>3323</v>
      </c>
      <c r="E3360" s="165"/>
      <c r="F3360" s="614"/>
      <c r="G3360" s="612" t="s">
        <v>3324</v>
      </c>
    </row>
    <row r="3361" spans="1:7" ht="20.100000000000001" customHeight="1" x14ac:dyDescent="0.2">
      <c r="A3361" s="681" t="str">
        <f t="shared" si="45"/>
        <v>586  008.002.000  EDUCAÇÃO BÁSICA - EDUCAÇÃO INFANTIL</v>
      </c>
      <c r="B3361" s="636">
        <v>586</v>
      </c>
      <c r="C3361" s="614"/>
      <c r="D3361" s="638" t="s">
        <v>3325</v>
      </c>
      <c r="E3361" s="165"/>
      <c r="F3361" s="614"/>
      <c r="G3361" s="612" t="s">
        <v>3197</v>
      </c>
    </row>
    <row r="3362" spans="1:7" ht="20.100000000000001" customHeight="1" x14ac:dyDescent="0.2">
      <c r="A3362" s="681" t="str">
        <f t="shared" si="45"/>
        <v>587  008.002.001  Serv. Contratados</v>
      </c>
      <c r="B3362" s="636">
        <v>587</v>
      </c>
      <c r="C3362" s="614"/>
      <c r="D3362" s="638" t="s">
        <v>3326</v>
      </c>
      <c r="E3362" s="165"/>
      <c r="F3362" s="614"/>
      <c r="G3362" s="612" t="s">
        <v>3063</v>
      </c>
    </row>
    <row r="3363" spans="1:7" ht="20.100000000000001" customHeight="1" x14ac:dyDescent="0.2">
      <c r="A3363" s="681" t="str">
        <f t="shared" si="45"/>
        <v>588  008.002.002  Serv. Efetivos</v>
      </c>
      <c r="B3363" s="636">
        <v>588</v>
      </c>
      <c r="C3363" s="614"/>
      <c r="D3363" s="638" t="s">
        <v>3327</v>
      </c>
      <c r="E3363" s="165"/>
      <c r="F3363" s="614"/>
      <c r="G3363" s="612" t="s">
        <v>3059</v>
      </c>
    </row>
    <row r="3364" spans="1:7" ht="20.100000000000001" customHeight="1" x14ac:dyDescent="0.2">
      <c r="A3364" s="681" t="str">
        <f t="shared" si="45"/>
        <v>589  008.002.003  Serv. C.C.</v>
      </c>
      <c r="B3364" s="636">
        <v>589</v>
      </c>
      <c r="C3364" s="614"/>
      <c r="D3364" s="638" t="s">
        <v>3328</v>
      </c>
      <c r="E3364" s="165"/>
      <c r="F3364" s="614"/>
      <c r="G3364" s="612" t="s">
        <v>3061</v>
      </c>
    </row>
    <row r="3365" spans="1:7" ht="20.100000000000001" customHeight="1" x14ac:dyDescent="0.2">
      <c r="A3365" s="681" t="str">
        <f t="shared" si="45"/>
        <v>590  008.002.004  Diárias Servidores Efetivos</v>
      </c>
      <c r="B3365" s="636">
        <v>590</v>
      </c>
      <c r="C3365" s="614"/>
      <c r="D3365" s="638" t="s">
        <v>3329</v>
      </c>
      <c r="E3365" s="165"/>
      <c r="F3365" s="614"/>
      <c r="G3365" s="612" t="s">
        <v>2419</v>
      </c>
    </row>
    <row r="3366" spans="1:7" ht="20.100000000000001" customHeight="1" x14ac:dyDescent="0.2">
      <c r="A3366" s="681" t="str">
        <f t="shared" si="45"/>
        <v>591  008.002.005  Diárias Servidores Contratados</v>
      </c>
      <c r="B3366" s="636">
        <v>591</v>
      </c>
      <c r="C3366" s="614"/>
      <c r="D3366" s="638" t="s">
        <v>3330</v>
      </c>
      <c r="E3366" s="165"/>
      <c r="F3366" s="614"/>
      <c r="G3366" s="612" t="s">
        <v>2334</v>
      </c>
    </row>
    <row r="3367" spans="1:7" ht="20.100000000000001" customHeight="1" x14ac:dyDescent="0.2">
      <c r="A3367" s="681" t="str">
        <f t="shared" si="45"/>
        <v>592  008.002.006  Diárias Servidores C.C.</v>
      </c>
      <c r="B3367" s="636">
        <v>592</v>
      </c>
      <c r="C3367" s="614"/>
      <c r="D3367" s="638" t="s">
        <v>3331</v>
      </c>
      <c r="E3367" s="165"/>
      <c r="F3367" s="614"/>
      <c r="G3367" s="612" t="s">
        <v>2336</v>
      </c>
    </row>
    <row r="3368" spans="1:7" ht="20.100000000000001" customHeight="1" x14ac:dyDescent="0.2">
      <c r="A3368" s="681" t="str">
        <f t="shared" si="45"/>
        <v>593  008.002.007  Gas de Cozinhas</v>
      </c>
      <c r="B3368" s="636">
        <v>593</v>
      </c>
      <c r="C3368" s="614"/>
      <c r="D3368" s="638" t="s">
        <v>3332</v>
      </c>
      <c r="E3368" s="165"/>
      <c r="F3368" s="614"/>
      <c r="G3368" s="612" t="s">
        <v>3333</v>
      </c>
    </row>
    <row r="3369" spans="1:7" ht="20.100000000000001" customHeight="1" x14ac:dyDescent="0.2">
      <c r="A3369" s="681" t="str">
        <f t="shared" si="45"/>
        <v>594  008.002.008  Material de Expediente</v>
      </c>
      <c r="B3369" s="636">
        <v>594</v>
      </c>
      <c r="C3369" s="614"/>
      <c r="D3369" s="638" t="s">
        <v>3334</v>
      </c>
      <c r="E3369" s="165"/>
      <c r="F3369" s="614"/>
      <c r="G3369" s="612" t="s">
        <v>2346</v>
      </c>
    </row>
    <row r="3370" spans="1:7" ht="20.100000000000001" customHeight="1" x14ac:dyDescent="0.2">
      <c r="A3370" s="681" t="str">
        <f t="shared" si="45"/>
        <v>595  008.002.009  Suprimentos de Informática</v>
      </c>
      <c r="B3370" s="636">
        <v>595</v>
      </c>
      <c r="C3370" s="614"/>
      <c r="D3370" s="638" t="s">
        <v>3335</v>
      </c>
      <c r="E3370" s="165"/>
      <c r="F3370" s="614"/>
      <c r="G3370" s="612" t="s">
        <v>2435</v>
      </c>
    </row>
    <row r="3371" spans="1:7" ht="20.100000000000001" customHeight="1" x14ac:dyDescent="0.2">
      <c r="A3371" s="681" t="str">
        <f t="shared" si="45"/>
        <v>596  008.002.010  Material de Limpeza e Higiene</v>
      </c>
      <c r="B3371" s="636">
        <v>596</v>
      </c>
      <c r="C3371" s="614"/>
      <c r="D3371" s="638" t="s">
        <v>3336</v>
      </c>
      <c r="E3371" s="165"/>
      <c r="F3371" s="614"/>
      <c r="G3371" s="612" t="s">
        <v>2569</v>
      </c>
    </row>
    <row r="3372" spans="1:7" ht="20.100000000000001" customHeight="1" x14ac:dyDescent="0.2">
      <c r="A3372" s="681" t="str">
        <f t="shared" si="45"/>
        <v>597  008.002.011  Manutenção de Prédios</v>
      </c>
      <c r="B3372" s="636">
        <v>597</v>
      </c>
      <c r="C3372" s="614"/>
      <c r="D3372" s="638" t="s">
        <v>3337</v>
      </c>
      <c r="E3372" s="165"/>
      <c r="F3372" s="614"/>
      <c r="G3372" s="612" t="s">
        <v>3084</v>
      </c>
    </row>
    <row r="3373" spans="1:7" ht="20.100000000000001" customHeight="1" x14ac:dyDescent="0.2">
      <c r="A3373" s="681" t="str">
        <f t="shared" si="45"/>
        <v>598  008.002.012  Manutenção de Moveis e Utensilios</v>
      </c>
      <c r="B3373" s="636">
        <v>598</v>
      </c>
      <c r="C3373" s="614"/>
      <c r="D3373" s="638" t="s">
        <v>3338</v>
      </c>
      <c r="E3373" s="165"/>
      <c r="F3373" s="614"/>
      <c r="G3373" s="612" t="s">
        <v>3210</v>
      </c>
    </row>
    <row r="3374" spans="1:7" ht="20.100000000000001" customHeight="1" x14ac:dyDescent="0.2">
      <c r="A3374" s="681" t="str">
        <f t="shared" si="45"/>
        <v>599  008.002.013  Serviços Tecnicos Profissionais</v>
      </c>
      <c r="B3374" s="636">
        <v>599</v>
      </c>
      <c r="C3374" s="614"/>
      <c r="D3374" s="638" t="s">
        <v>3339</v>
      </c>
      <c r="E3374" s="165"/>
      <c r="F3374" s="614"/>
      <c r="G3374" s="612" t="s">
        <v>3161</v>
      </c>
    </row>
    <row r="3375" spans="1:7" ht="20.100000000000001" customHeight="1" x14ac:dyDescent="0.2">
      <c r="A3375" s="681" t="str">
        <f t="shared" si="45"/>
        <v>600  008.002.014  Seleção e Treinamento</v>
      </c>
      <c r="B3375" s="636">
        <v>600</v>
      </c>
      <c r="C3375" s="614"/>
      <c r="D3375" s="638" t="s">
        <v>3340</v>
      </c>
      <c r="E3375" s="165"/>
      <c r="F3375" s="614"/>
      <c r="G3375" s="612" t="s">
        <v>2369</v>
      </c>
    </row>
    <row r="3376" spans="1:7" ht="20.100000000000001" customHeight="1" x14ac:dyDescent="0.2">
      <c r="A3376" s="681" t="str">
        <f t="shared" si="45"/>
        <v>601  008.002.015  Manuntenção de Equip. de Informática</v>
      </c>
      <c r="B3376" s="636">
        <v>601</v>
      </c>
      <c r="C3376" s="614"/>
      <c r="D3376" s="638" t="s">
        <v>3341</v>
      </c>
      <c r="E3376" s="165"/>
      <c r="F3376" s="614"/>
      <c r="G3376" s="612" t="s">
        <v>3091</v>
      </c>
    </row>
    <row r="3377" spans="1:7" ht="20.100000000000001" customHeight="1" x14ac:dyDescent="0.2">
      <c r="A3377" s="681" t="str">
        <f t="shared" si="45"/>
        <v>602  008.002.016  Auxilio Alimentação</v>
      </c>
      <c r="B3377" s="636">
        <v>602</v>
      </c>
      <c r="C3377" s="614"/>
      <c r="D3377" s="638" t="s">
        <v>3342</v>
      </c>
      <c r="E3377" s="165"/>
      <c r="F3377" s="614"/>
      <c r="G3377" s="612" t="s">
        <v>2524</v>
      </c>
    </row>
    <row r="3378" spans="1:7" ht="20.100000000000001" customHeight="1" x14ac:dyDescent="0.2">
      <c r="A3378" s="681" t="str">
        <f t="shared" si="45"/>
        <v>603  008.002.017  Auxilio Transporte</v>
      </c>
      <c r="B3378" s="636">
        <v>603</v>
      </c>
      <c r="C3378" s="614"/>
      <c r="D3378" s="638" t="s">
        <v>3343</v>
      </c>
      <c r="E3378" s="165"/>
      <c r="F3378" s="614"/>
      <c r="G3378" s="612" t="s">
        <v>2462</v>
      </c>
    </row>
    <row r="3379" spans="1:7" ht="20.100000000000001" customHeight="1" x14ac:dyDescent="0.2">
      <c r="A3379" s="681" t="str">
        <f t="shared" si="45"/>
        <v>604  008.002.018  Adicional de Dificil Acesso</v>
      </c>
      <c r="B3379" s="636">
        <v>604</v>
      </c>
      <c r="C3379" s="614"/>
      <c r="D3379" s="638" t="s">
        <v>3344</v>
      </c>
      <c r="E3379" s="165"/>
      <c r="F3379" s="614"/>
      <c r="G3379" s="612" t="s">
        <v>3251</v>
      </c>
    </row>
    <row r="3380" spans="1:7" ht="20.100000000000001" customHeight="1" x14ac:dyDescent="0.2">
      <c r="A3380" s="681" t="str">
        <f t="shared" si="45"/>
        <v>605  008.002.019  Agua</v>
      </c>
      <c r="B3380" s="636">
        <v>605</v>
      </c>
      <c r="C3380" s="614"/>
      <c r="D3380" s="638" t="s">
        <v>3345</v>
      </c>
      <c r="E3380" s="165"/>
      <c r="F3380" s="614"/>
      <c r="G3380" s="612" t="s">
        <v>2365</v>
      </c>
    </row>
    <row r="3381" spans="1:7" ht="20.100000000000001" customHeight="1" x14ac:dyDescent="0.2">
      <c r="A3381" s="681" t="str">
        <f t="shared" si="45"/>
        <v>606  008.002.020  Energia Eletrica</v>
      </c>
      <c r="B3381" s="636">
        <v>606</v>
      </c>
      <c r="C3381" s="614"/>
      <c r="D3381" s="638" t="s">
        <v>3346</v>
      </c>
      <c r="E3381" s="165"/>
      <c r="F3381" s="614"/>
      <c r="G3381" s="612" t="s">
        <v>3097</v>
      </c>
    </row>
    <row r="3382" spans="1:7" ht="20.100000000000001" customHeight="1" x14ac:dyDescent="0.2">
      <c r="A3382" s="681" t="str">
        <f t="shared" si="45"/>
        <v>607  008.002.021  Telefone Fixo</v>
      </c>
      <c r="B3382" s="636">
        <v>607</v>
      </c>
      <c r="C3382" s="614"/>
      <c r="D3382" s="638" t="s">
        <v>3347</v>
      </c>
      <c r="E3382" s="165"/>
      <c r="F3382" s="614"/>
      <c r="G3382" s="612" t="s">
        <v>1041</v>
      </c>
    </row>
    <row r="3383" spans="1:7" ht="20.100000000000001" customHeight="1" x14ac:dyDescent="0.2">
      <c r="A3383" s="681" t="str">
        <f t="shared" si="45"/>
        <v>608  008.002.022  Telefone Celular</v>
      </c>
      <c r="B3383" s="636">
        <v>608</v>
      </c>
      <c r="C3383" s="614"/>
      <c r="D3383" s="638" t="s">
        <v>3348</v>
      </c>
      <c r="E3383" s="165"/>
      <c r="F3383" s="614"/>
      <c r="G3383" s="612" t="s">
        <v>1150</v>
      </c>
    </row>
    <row r="3384" spans="1:7" ht="20.100000000000001" customHeight="1" x14ac:dyDescent="0.2">
      <c r="A3384" s="681" t="str">
        <f t="shared" si="45"/>
        <v>609  008.002.023  Estagiários</v>
      </c>
      <c r="B3384" s="636">
        <v>609</v>
      </c>
      <c r="C3384" s="614"/>
      <c r="D3384" s="638" t="s">
        <v>3349</v>
      </c>
      <c r="E3384" s="165"/>
      <c r="F3384" s="614"/>
      <c r="G3384" s="612" t="s">
        <v>2449</v>
      </c>
    </row>
    <row r="3385" spans="1:7" ht="20.100000000000001" customHeight="1" x14ac:dyDescent="0.2">
      <c r="A3385" s="681" t="str">
        <f t="shared" si="45"/>
        <v>610  008.002.024  Custo de Aquisicão de Equipamentos: Informática</v>
      </c>
      <c r="B3385" s="636">
        <v>610</v>
      </c>
      <c r="C3385" s="614"/>
      <c r="D3385" s="638" t="s">
        <v>3350</v>
      </c>
      <c r="E3385" s="165"/>
      <c r="F3385" s="614"/>
      <c r="G3385" s="612" t="s">
        <v>3120</v>
      </c>
    </row>
    <row r="3386" spans="1:7" ht="20.100000000000001" customHeight="1" x14ac:dyDescent="0.2">
      <c r="A3386" s="681" t="str">
        <f t="shared" si="45"/>
        <v>611  008.002.025  Custo de Aquisicão de Equipamentos: Mobiliário</v>
      </c>
      <c r="B3386" s="636">
        <v>611</v>
      </c>
      <c r="C3386" s="614"/>
      <c r="D3386" s="638" t="s">
        <v>3351</v>
      </c>
      <c r="E3386" s="165"/>
      <c r="F3386" s="614"/>
      <c r="G3386" s="612" t="s">
        <v>3122</v>
      </c>
    </row>
    <row r="3387" spans="1:7" ht="20.100000000000001" customHeight="1" x14ac:dyDescent="0.2">
      <c r="A3387" s="681" t="str">
        <f t="shared" si="45"/>
        <v>612  008.002.026  Custo de Aquisicão de Equipamentos: Eq. Comunicação</v>
      </c>
      <c r="B3387" s="636">
        <v>612</v>
      </c>
      <c r="C3387" s="614"/>
      <c r="D3387" s="638" t="s">
        <v>3352</v>
      </c>
      <c r="E3387" s="165"/>
      <c r="F3387" s="614"/>
      <c r="G3387" s="612" t="s">
        <v>3124</v>
      </c>
    </row>
    <row r="3388" spans="1:7" ht="20.100000000000001" customHeight="1" x14ac:dyDescent="0.2">
      <c r="A3388" s="681" t="str">
        <f t="shared" si="45"/>
        <v>613  008.002.027  Custo de Aquisicão de Equipamentos: Ar Condicionado</v>
      </c>
      <c r="B3388" s="636">
        <v>613</v>
      </c>
      <c r="C3388" s="614"/>
      <c r="D3388" s="638" t="s">
        <v>3353</v>
      </c>
      <c r="E3388" s="165"/>
      <c r="F3388" s="614"/>
      <c r="G3388" s="612" t="s">
        <v>3126</v>
      </c>
    </row>
    <row r="3389" spans="1:7" ht="20.100000000000001" customHeight="1" x14ac:dyDescent="0.2">
      <c r="A3389" s="681" t="str">
        <f t="shared" si="45"/>
        <v>614  008.002.028  Custo de Aquisicão de Equipamentos: Equip. E Utensilíos Domésticos</v>
      </c>
      <c r="B3389" s="636">
        <v>614</v>
      </c>
      <c r="C3389" s="614"/>
      <c r="D3389" s="638" t="s">
        <v>3354</v>
      </c>
      <c r="E3389" s="165"/>
      <c r="F3389" s="614"/>
      <c r="G3389" s="612" t="s">
        <v>3355</v>
      </c>
    </row>
    <row r="3390" spans="1:7" ht="20.100000000000001" customHeight="1" x14ac:dyDescent="0.2">
      <c r="A3390" s="681" t="str">
        <f t="shared" si="45"/>
        <v>615  008.002.029  Geral</v>
      </c>
      <c r="B3390" s="636">
        <v>615</v>
      </c>
      <c r="C3390" s="614"/>
      <c r="D3390" s="638" t="s">
        <v>3356</v>
      </c>
      <c r="E3390" s="165"/>
      <c r="F3390" s="614"/>
      <c r="G3390" s="612" t="s">
        <v>2380</v>
      </c>
    </row>
    <row r="3391" spans="1:7" ht="20.100000000000001" customHeight="1" x14ac:dyDescent="0.2">
      <c r="A3391" s="681" t="str">
        <f t="shared" si="45"/>
        <v>1528  008.002.030  Pessoal e Encargos Professores Efetivos</v>
      </c>
      <c r="B3391" s="636">
        <v>1528</v>
      </c>
      <c r="C3391" s="614"/>
      <c r="D3391" s="638" t="s">
        <v>3357</v>
      </c>
      <c r="E3391" s="165"/>
      <c r="F3391" s="614"/>
      <c r="G3391" s="612" t="s">
        <v>3184</v>
      </c>
    </row>
    <row r="3392" spans="1:7" ht="20.100000000000001" customHeight="1" x14ac:dyDescent="0.2">
      <c r="A3392" s="681" t="str">
        <f t="shared" si="45"/>
        <v>1529  008.002.031  Pessoal e Encargos Professores Contratados</v>
      </c>
      <c r="B3392" s="636">
        <v>1529</v>
      </c>
      <c r="C3392" s="614"/>
      <c r="D3392" s="638" t="s">
        <v>3358</v>
      </c>
      <c r="E3392" s="165"/>
      <c r="F3392" s="614"/>
      <c r="G3392" s="612" t="s">
        <v>3186</v>
      </c>
    </row>
    <row r="3393" spans="1:7" ht="20.100000000000001" customHeight="1" x14ac:dyDescent="0.2">
      <c r="A3393" s="681" t="str">
        <f t="shared" si="45"/>
        <v>1627  008.002.032  Aquisição de Mobiliario</v>
      </c>
      <c r="B3393" s="636">
        <v>1627</v>
      </c>
      <c r="C3393" s="614"/>
      <c r="D3393" s="638" t="s">
        <v>3359</v>
      </c>
      <c r="E3393" s="165"/>
      <c r="F3393" s="614"/>
      <c r="G3393" s="612" t="s">
        <v>3360</v>
      </c>
    </row>
    <row r="3394" spans="1:7" ht="20.100000000000001" customHeight="1" x14ac:dyDescent="0.2">
      <c r="A3394" s="681" t="str">
        <f t="shared" si="45"/>
        <v>616  008.003.000  EDUCAÇÃO BÁSICA - EDUCAÇÃO ESPECIAL</v>
      </c>
      <c r="B3394" s="636">
        <v>616</v>
      </c>
      <c r="C3394" s="614"/>
      <c r="D3394" s="638" t="s">
        <v>3361</v>
      </c>
      <c r="E3394" s="165"/>
      <c r="F3394" s="614"/>
      <c r="G3394" s="612" t="s">
        <v>3231</v>
      </c>
    </row>
    <row r="3395" spans="1:7" ht="20.100000000000001" customHeight="1" x14ac:dyDescent="0.2">
      <c r="A3395" s="681" t="str">
        <f t="shared" si="45"/>
        <v>617  008.003.001  Serv. Contratados</v>
      </c>
      <c r="B3395" s="636">
        <v>617</v>
      </c>
      <c r="C3395" s="614"/>
      <c r="D3395" s="638" t="s">
        <v>3362</v>
      </c>
      <c r="E3395" s="165"/>
      <c r="F3395" s="614"/>
      <c r="G3395" s="612" t="s">
        <v>3063</v>
      </c>
    </row>
    <row r="3396" spans="1:7" ht="20.100000000000001" customHeight="1" x14ac:dyDescent="0.2">
      <c r="A3396" s="681" t="str">
        <f t="shared" si="45"/>
        <v>618  008.003.002  Serv. Efetivos</v>
      </c>
      <c r="B3396" s="636">
        <v>618</v>
      </c>
      <c r="C3396" s="614"/>
      <c r="D3396" s="638" t="s">
        <v>3363</v>
      </c>
      <c r="E3396" s="165"/>
      <c r="F3396" s="614"/>
      <c r="G3396" s="612" t="s">
        <v>3059</v>
      </c>
    </row>
    <row r="3397" spans="1:7" ht="20.100000000000001" customHeight="1" x14ac:dyDescent="0.2">
      <c r="A3397" s="681" t="str">
        <f t="shared" si="45"/>
        <v>619  008.003.003  Serv. C.C.</v>
      </c>
      <c r="B3397" s="636">
        <v>619</v>
      </c>
      <c r="C3397" s="614"/>
      <c r="D3397" s="638" t="s">
        <v>3364</v>
      </c>
      <c r="E3397" s="165"/>
      <c r="F3397" s="614"/>
      <c r="G3397" s="612" t="s">
        <v>3061</v>
      </c>
    </row>
    <row r="3398" spans="1:7" ht="20.100000000000001" customHeight="1" x14ac:dyDescent="0.2">
      <c r="A3398" s="681" t="str">
        <f t="shared" si="45"/>
        <v>620  008.003.004  Diárias Servidores Efetivos</v>
      </c>
      <c r="B3398" s="636">
        <v>620</v>
      </c>
      <c r="C3398" s="614"/>
      <c r="D3398" s="638" t="s">
        <v>3365</v>
      </c>
      <c r="E3398" s="165"/>
      <c r="F3398" s="614"/>
      <c r="G3398" s="612" t="s">
        <v>2419</v>
      </c>
    </row>
    <row r="3399" spans="1:7" ht="20.100000000000001" customHeight="1" x14ac:dyDescent="0.2">
      <c r="A3399" s="681" t="str">
        <f t="shared" ref="A3399:A3462" si="46">CONCATENATE(B3399,"  ",D3399,"  ",G3399)</f>
        <v>621  008.003.005  Diárias Servidores Contratados</v>
      </c>
      <c r="B3399" s="636">
        <v>621</v>
      </c>
      <c r="C3399" s="614"/>
      <c r="D3399" s="638" t="s">
        <v>3366</v>
      </c>
      <c r="E3399" s="165"/>
      <c r="F3399" s="614"/>
      <c r="G3399" s="612" t="s">
        <v>2334</v>
      </c>
    </row>
    <row r="3400" spans="1:7" ht="20.100000000000001" customHeight="1" x14ac:dyDescent="0.2">
      <c r="A3400" s="681" t="str">
        <f t="shared" si="46"/>
        <v>622  008.003.006  Diárias Servidores C.C.</v>
      </c>
      <c r="B3400" s="636">
        <v>622</v>
      </c>
      <c r="C3400" s="614"/>
      <c r="D3400" s="638" t="s">
        <v>3367</v>
      </c>
      <c r="E3400" s="165"/>
      <c r="F3400" s="614"/>
      <c r="G3400" s="612" t="s">
        <v>2336</v>
      </c>
    </row>
    <row r="3401" spans="1:7" ht="20.100000000000001" customHeight="1" x14ac:dyDescent="0.2">
      <c r="A3401" s="681" t="str">
        <f t="shared" si="46"/>
        <v>623  008.003.007  Gas de Cozinha</v>
      </c>
      <c r="B3401" s="636">
        <v>623</v>
      </c>
      <c r="C3401" s="614"/>
      <c r="D3401" s="638" t="s">
        <v>3368</v>
      </c>
      <c r="E3401" s="165"/>
      <c r="F3401" s="614"/>
      <c r="G3401" s="612" t="s">
        <v>2342</v>
      </c>
    </row>
    <row r="3402" spans="1:7" ht="20.100000000000001" customHeight="1" x14ac:dyDescent="0.2">
      <c r="A3402" s="681" t="str">
        <f t="shared" si="46"/>
        <v>624  008.003.008  Material de Expediente</v>
      </c>
      <c r="B3402" s="636">
        <v>624</v>
      </c>
      <c r="C3402" s="614"/>
      <c r="D3402" s="638" t="s">
        <v>3369</v>
      </c>
      <c r="E3402" s="165"/>
      <c r="F3402" s="614"/>
      <c r="G3402" s="612" t="s">
        <v>2346</v>
      </c>
    </row>
    <row r="3403" spans="1:7" ht="20.100000000000001" customHeight="1" x14ac:dyDescent="0.2">
      <c r="A3403" s="681" t="str">
        <f t="shared" si="46"/>
        <v>625  008.003.009  Suprimentos De Informatica</v>
      </c>
      <c r="B3403" s="636">
        <v>625</v>
      </c>
      <c r="C3403" s="614"/>
      <c r="D3403" s="638" t="s">
        <v>3370</v>
      </c>
      <c r="E3403" s="165"/>
      <c r="F3403" s="614"/>
      <c r="G3403" s="612" t="s">
        <v>3371</v>
      </c>
    </row>
    <row r="3404" spans="1:7" ht="20.100000000000001" customHeight="1" x14ac:dyDescent="0.2">
      <c r="A3404" s="681" t="str">
        <f t="shared" si="46"/>
        <v>626  008.003.010  Material de Limpeza e Higiene</v>
      </c>
      <c r="B3404" s="636">
        <v>626</v>
      </c>
      <c r="C3404" s="614"/>
      <c r="D3404" s="638" t="s">
        <v>3372</v>
      </c>
      <c r="E3404" s="165"/>
      <c r="F3404" s="614"/>
      <c r="G3404" s="612" t="s">
        <v>2569</v>
      </c>
    </row>
    <row r="3405" spans="1:7" ht="20.100000000000001" customHeight="1" x14ac:dyDescent="0.2">
      <c r="A3405" s="681" t="str">
        <f t="shared" si="46"/>
        <v>627  008.003.011  Manutenção de Prédios</v>
      </c>
      <c r="B3405" s="636">
        <v>627</v>
      </c>
      <c r="C3405" s="614"/>
      <c r="D3405" s="638" t="s">
        <v>3373</v>
      </c>
      <c r="E3405" s="165"/>
      <c r="F3405" s="614"/>
      <c r="G3405" s="612" t="s">
        <v>3084</v>
      </c>
    </row>
    <row r="3406" spans="1:7" ht="20.100000000000001" customHeight="1" x14ac:dyDescent="0.2">
      <c r="A3406" s="681" t="str">
        <f t="shared" si="46"/>
        <v>628  008.003.012  Manutenção de Equip. de Informática</v>
      </c>
      <c r="B3406" s="636">
        <v>628</v>
      </c>
      <c r="C3406" s="614"/>
      <c r="D3406" s="638" t="s">
        <v>3374</v>
      </c>
      <c r="E3406" s="165"/>
      <c r="F3406" s="614"/>
      <c r="G3406" s="612" t="s">
        <v>3164</v>
      </c>
    </row>
    <row r="3407" spans="1:7" ht="20.100000000000001" customHeight="1" x14ac:dyDescent="0.2">
      <c r="A3407" s="681" t="str">
        <f t="shared" si="46"/>
        <v>629  008.003.016  Auxilio Alimentação</v>
      </c>
      <c r="B3407" s="636">
        <v>629</v>
      </c>
      <c r="C3407" s="614"/>
      <c r="D3407" s="638" t="s">
        <v>3375</v>
      </c>
      <c r="E3407" s="165"/>
      <c r="F3407" s="614"/>
      <c r="G3407" s="612" t="s">
        <v>2524</v>
      </c>
    </row>
    <row r="3408" spans="1:7" ht="20.100000000000001" customHeight="1" x14ac:dyDescent="0.2">
      <c r="A3408" s="681" t="str">
        <f t="shared" si="46"/>
        <v>630  008.003.017  Auxilio Transporte</v>
      </c>
      <c r="B3408" s="636">
        <v>630</v>
      </c>
      <c r="C3408" s="614"/>
      <c r="D3408" s="638" t="s">
        <v>3376</v>
      </c>
      <c r="E3408" s="165"/>
      <c r="F3408" s="614"/>
      <c r="G3408" s="612" t="s">
        <v>2462</v>
      </c>
    </row>
    <row r="3409" spans="1:7" ht="20.100000000000001" customHeight="1" x14ac:dyDescent="0.2">
      <c r="A3409" s="681" t="str">
        <f t="shared" si="46"/>
        <v>635  008.003.018  Adicional de Dificil Acesso</v>
      </c>
      <c r="B3409" s="636">
        <v>635</v>
      </c>
      <c r="C3409" s="614"/>
      <c r="D3409" s="638" t="s">
        <v>3377</v>
      </c>
      <c r="E3409" s="165"/>
      <c r="F3409" s="614"/>
      <c r="G3409" s="612" t="s">
        <v>3251</v>
      </c>
    </row>
    <row r="3410" spans="1:7" ht="20.100000000000001" customHeight="1" x14ac:dyDescent="0.2">
      <c r="A3410" s="681" t="str">
        <f t="shared" si="46"/>
        <v>636  008.003.019  Estagiários</v>
      </c>
      <c r="B3410" s="636">
        <v>636</v>
      </c>
      <c r="C3410" s="614"/>
      <c r="D3410" s="638" t="s">
        <v>3378</v>
      </c>
      <c r="E3410" s="165"/>
      <c r="F3410" s="614"/>
      <c r="G3410" s="612" t="s">
        <v>2449</v>
      </c>
    </row>
    <row r="3411" spans="1:7" ht="20.100000000000001" customHeight="1" x14ac:dyDescent="0.2">
      <c r="A3411" s="681" t="str">
        <f t="shared" si="46"/>
        <v>637  008.003.020  Custo de Aquisição de Equipamentos: Informática</v>
      </c>
      <c r="B3411" s="636">
        <v>637</v>
      </c>
      <c r="C3411" s="614"/>
      <c r="D3411" s="638" t="s">
        <v>3379</v>
      </c>
      <c r="E3411" s="165"/>
      <c r="F3411" s="614"/>
      <c r="G3411" s="612" t="s">
        <v>3380</v>
      </c>
    </row>
    <row r="3412" spans="1:7" ht="20.100000000000001" customHeight="1" x14ac:dyDescent="0.2">
      <c r="A3412" s="681" t="str">
        <f t="shared" si="46"/>
        <v>638  008.003.021  Custo de Aquisição de Equipamentos: Mobiliário</v>
      </c>
      <c r="B3412" s="636">
        <v>638</v>
      </c>
      <c r="C3412" s="614"/>
      <c r="D3412" s="638" t="s">
        <v>3381</v>
      </c>
      <c r="E3412" s="165"/>
      <c r="F3412" s="614"/>
      <c r="G3412" s="612" t="s">
        <v>3382</v>
      </c>
    </row>
    <row r="3413" spans="1:7" ht="20.100000000000001" customHeight="1" x14ac:dyDescent="0.2">
      <c r="A3413" s="681" t="str">
        <f t="shared" si="46"/>
        <v>639  008.003.022  Custo de Aquisição de Equipamentos: Eq. Comunicação</v>
      </c>
      <c r="B3413" s="636">
        <v>639</v>
      </c>
      <c r="C3413" s="614"/>
      <c r="D3413" s="638" t="s">
        <v>3383</v>
      </c>
      <c r="E3413" s="165"/>
      <c r="F3413" s="614"/>
      <c r="G3413" s="612" t="s">
        <v>3384</v>
      </c>
    </row>
    <row r="3414" spans="1:7" ht="20.100000000000001" customHeight="1" x14ac:dyDescent="0.2">
      <c r="A3414" s="681" t="str">
        <f t="shared" si="46"/>
        <v>640  008.003.023  Custo de Aquisição de Equipamentos: Ar. Condicionado</v>
      </c>
      <c r="B3414" s="636">
        <v>640</v>
      </c>
      <c r="C3414" s="614"/>
      <c r="D3414" s="638" t="s">
        <v>3385</v>
      </c>
      <c r="E3414" s="165"/>
      <c r="F3414" s="614"/>
      <c r="G3414" s="612" t="s">
        <v>3386</v>
      </c>
    </row>
    <row r="3415" spans="1:7" ht="20.100000000000001" customHeight="1" x14ac:dyDescent="0.2">
      <c r="A3415" s="681" t="str">
        <f t="shared" si="46"/>
        <v>641  008.003.024  Custo de Aquisição de Equipamentos: Equip. e Utensilios Domésticos</v>
      </c>
      <c r="B3415" s="636">
        <v>641</v>
      </c>
      <c r="C3415" s="614"/>
      <c r="D3415" s="638" t="s">
        <v>3387</v>
      </c>
      <c r="E3415" s="165"/>
      <c r="F3415" s="614"/>
      <c r="G3415" s="612" t="s">
        <v>3388</v>
      </c>
    </row>
    <row r="3416" spans="1:7" ht="20.100000000000001" customHeight="1" x14ac:dyDescent="0.2">
      <c r="A3416" s="681" t="str">
        <f t="shared" si="46"/>
        <v>642  008.003.025  Geral</v>
      </c>
      <c r="B3416" s="636">
        <v>642</v>
      </c>
      <c r="C3416" s="614"/>
      <c r="D3416" s="638" t="s">
        <v>3389</v>
      </c>
      <c r="E3416" s="165"/>
      <c r="F3416" s="614"/>
      <c r="G3416" s="612" t="s">
        <v>2380</v>
      </c>
    </row>
    <row r="3417" spans="1:7" ht="20.100000000000001" customHeight="1" x14ac:dyDescent="0.2">
      <c r="A3417" s="681" t="str">
        <f t="shared" si="46"/>
        <v>1530  008.003.026  Pessoal e Encargos Professores Efetivos</v>
      </c>
      <c r="B3417" s="636">
        <v>1530</v>
      </c>
      <c r="C3417" s="614"/>
      <c r="D3417" s="638" t="s">
        <v>3390</v>
      </c>
      <c r="E3417" s="165"/>
      <c r="F3417" s="614"/>
      <c r="G3417" s="612" t="s">
        <v>3184</v>
      </c>
    </row>
    <row r="3418" spans="1:7" ht="20.100000000000001" customHeight="1" x14ac:dyDescent="0.2">
      <c r="A3418" s="681" t="str">
        <f t="shared" si="46"/>
        <v>1531  008.003.027  Pessoal e Encargos Professores Contratados</v>
      </c>
      <c r="B3418" s="636">
        <v>1531</v>
      </c>
      <c r="C3418" s="614"/>
      <c r="D3418" s="638" t="s">
        <v>3391</v>
      </c>
      <c r="E3418" s="165"/>
      <c r="F3418" s="614"/>
      <c r="G3418" s="612" t="s">
        <v>3186</v>
      </c>
    </row>
    <row r="3419" spans="1:7" ht="20.100000000000001" customHeight="1" x14ac:dyDescent="0.2">
      <c r="A3419" s="681" t="str">
        <f t="shared" si="46"/>
        <v>643  008.004.000  EDUCAÇÃO BÁSICA - EDUCAÇÃO DE JOVENS E ADULTOS</v>
      </c>
      <c r="B3419" s="636">
        <v>643</v>
      </c>
      <c r="C3419" s="614"/>
      <c r="D3419" s="638" t="s">
        <v>3392</v>
      </c>
      <c r="E3419" s="165"/>
      <c r="F3419" s="614"/>
      <c r="G3419" s="612" t="s">
        <v>3262</v>
      </c>
    </row>
    <row r="3420" spans="1:7" ht="20.100000000000001" customHeight="1" x14ac:dyDescent="0.2">
      <c r="A3420" s="681" t="str">
        <f t="shared" si="46"/>
        <v>644  008.004.001  Serv. Contratados</v>
      </c>
      <c r="B3420" s="636">
        <v>644</v>
      </c>
      <c r="C3420" s="614"/>
      <c r="D3420" s="638" t="s">
        <v>3393</v>
      </c>
      <c r="E3420" s="165"/>
      <c r="F3420" s="614"/>
      <c r="G3420" s="612" t="s">
        <v>3063</v>
      </c>
    </row>
    <row r="3421" spans="1:7" ht="20.100000000000001" customHeight="1" x14ac:dyDescent="0.2">
      <c r="A3421" s="681" t="str">
        <f t="shared" si="46"/>
        <v>645  008.004.002  Serv. Efetivos</v>
      </c>
      <c r="B3421" s="636">
        <v>645</v>
      </c>
      <c r="C3421" s="614"/>
      <c r="D3421" s="638" t="s">
        <v>3394</v>
      </c>
      <c r="E3421" s="165"/>
      <c r="F3421" s="614"/>
      <c r="G3421" s="612" t="s">
        <v>3059</v>
      </c>
    </row>
    <row r="3422" spans="1:7" ht="20.100000000000001" customHeight="1" x14ac:dyDescent="0.2">
      <c r="A3422" s="681" t="str">
        <f t="shared" si="46"/>
        <v>646  008.004.003  Serv. C.C.</v>
      </c>
      <c r="B3422" s="636">
        <v>646</v>
      </c>
      <c r="C3422" s="614"/>
      <c r="D3422" s="638" t="s">
        <v>3395</v>
      </c>
      <c r="E3422" s="165"/>
      <c r="F3422" s="614"/>
      <c r="G3422" s="612" t="s">
        <v>3061</v>
      </c>
    </row>
    <row r="3423" spans="1:7" ht="20.100000000000001" customHeight="1" x14ac:dyDescent="0.2">
      <c r="A3423" s="681" t="str">
        <f t="shared" si="46"/>
        <v>647  008.004.004  Diárias Servidores Efetivos</v>
      </c>
      <c r="B3423" s="636">
        <v>647</v>
      </c>
      <c r="C3423" s="614"/>
      <c r="D3423" s="638" t="s">
        <v>3396</v>
      </c>
      <c r="E3423" s="165"/>
      <c r="F3423" s="614"/>
      <c r="G3423" s="612" t="s">
        <v>2419</v>
      </c>
    </row>
    <row r="3424" spans="1:7" ht="20.100000000000001" customHeight="1" x14ac:dyDescent="0.2">
      <c r="A3424" s="681" t="str">
        <f t="shared" si="46"/>
        <v>648  008.004.005  Diárias Servidores Contratados</v>
      </c>
      <c r="B3424" s="636">
        <v>648</v>
      </c>
      <c r="C3424" s="614"/>
      <c r="D3424" s="638" t="s">
        <v>3397</v>
      </c>
      <c r="E3424" s="165"/>
      <c r="F3424" s="614"/>
      <c r="G3424" s="612" t="s">
        <v>2334</v>
      </c>
    </row>
    <row r="3425" spans="1:7" ht="20.100000000000001" customHeight="1" x14ac:dyDescent="0.2">
      <c r="A3425" s="681" t="str">
        <f t="shared" si="46"/>
        <v>649  008.004.006  Gas de Cozinha</v>
      </c>
      <c r="B3425" s="636">
        <v>649</v>
      </c>
      <c r="C3425" s="614"/>
      <c r="D3425" s="638" t="s">
        <v>3398</v>
      </c>
      <c r="E3425" s="165"/>
      <c r="F3425" s="614"/>
      <c r="G3425" s="612" t="s">
        <v>2342</v>
      </c>
    </row>
    <row r="3426" spans="1:7" ht="20.100000000000001" customHeight="1" x14ac:dyDescent="0.2">
      <c r="A3426" s="681" t="str">
        <f t="shared" si="46"/>
        <v>650  008.004.007  Material de Expediente</v>
      </c>
      <c r="B3426" s="636">
        <v>650</v>
      </c>
      <c r="C3426" s="614"/>
      <c r="D3426" s="638" t="s">
        <v>3399</v>
      </c>
      <c r="E3426" s="165"/>
      <c r="F3426" s="614"/>
      <c r="G3426" s="612" t="s">
        <v>2346</v>
      </c>
    </row>
    <row r="3427" spans="1:7" ht="20.100000000000001" customHeight="1" x14ac:dyDescent="0.2">
      <c r="A3427" s="681" t="str">
        <f t="shared" si="46"/>
        <v>651  008.004.008  Suprimentos de Informática</v>
      </c>
      <c r="B3427" s="636">
        <v>651</v>
      </c>
      <c r="C3427" s="614"/>
      <c r="D3427" s="638" t="s">
        <v>3400</v>
      </c>
      <c r="E3427" s="165"/>
      <c r="F3427" s="614"/>
      <c r="G3427" s="612" t="s">
        <v>2435</v>
      </c>
    </row>
    <row r="3428" spans="1:7" ht="20.100000000000001" customHeight="1" x14ac:dyDescent="0.2">
      <c r="A3428" s="681" t="str">
        <f t="shared" si="46"/>
        <v>652  008.004.009  Material de Limpeza e Higiene</v>
      </c>
      <c r="B3428" s="636">
        <v>652</v>
      </c>
      <c r="C3428" s="614"/>
      <c r="D3428" s="638" t="s">
        <v>3401</v>
      </c>
      <c r="E3428" s="165"/>
      <c r="F3428" s="614"/>
      <c r="G3428" s="612" t="s">
        <v>2569</v>
      </c>
    </row>
    <row r="3429" spans="1:7" ht="20.100000000000001" customHeight="1" x14ac:dyDescent="0.2">
      <c r="A3429" s="681" t="str">
        <f t="shared" si="46"/>
        <v>653  008.004.020  Geral</v>
      </c>
      <c r="B3429" s="636">
        <v>653</v>
      </c>
      <c r="C3429" s="614"/>
      <c r="D3429" s="638" t="s">
        <v>3402</v>
      </c>
      <c r="E3429" s="165"/>
      <c r="F3429" s="614"/>
      <c r="G3429" s="612" t="s">
        <v>2380</v>
      </c>
    </row>
    <row r="3430" spans="1:7" ht="20.100000000000001" customHeight="1" x14ac:dyDescent="0.2">
      <c r="A3430" s="681" t="str">
        <f t="shared" si="46"/>
        <v>1632  008.005.000  CUSTO DE CONTRUÇÃO DE IMOVEIS</v>
      </c>
      <c r="B3430" s="636">
        <v>1632</v>
      </c>
      <c r="C3430" s="614"/>
      <c r="D3430" s="638" t="s">
        <v>3403</v>
      </c>
      <c r="E3430" s="165"/>
      <c r="F3430" s="614"/>
      <c r="G3430" s="612" t="s">
        <v>3404</v>
      </c>
    </row>
    <row r="3431" spans="1:7" ht="20.100000000000001" customHeight="1" x14ac:dyDescent="0.2">
      <c r="A3431" s="681" t="str">
        <f t="shared" si="46"/>
        <v>1633  008.005.001  Custo de Cobertura de  Quadra Poliesportiva</v>
      </c>
      <c r="B3431" s="636">
        <v>1633</v>
      </c>
      <c r="C3431" s="614"/>
      <c r="D3431" s="638" t="s">
        <v>3405</v>
      </c>
      <c r="E3431" s="165"/>
      <c r="F3431" s="614"/>
      <c r="G3431" s="612" t="s">
        <v>3406</v>
      </c>
    </row>
    <row r="3432" spans="1:7" ht="20.100000000000001" customHeight="1" x14ac:dyDescent="0.2">
      <c r="A3432" s="681" t="str">
        <f t="shared" si="46"/>
        <v>1660  008.005.002  Custo de  Obras e Instalações</v>
      </c>
      <c r="B3432" s="636">
        <v>1660</v>
      </c>
      <c r="C3432" s="614"/>
      <c r="D3432" s="638" t="s">
        <v>3407</v>
      </c>
      <c r="E3432" s="165"/>
      <c r="F3432" s="614"/>
      <c r="G3432" s="612" t="s">
        <v>3408</v>
      </c>
    </row>
    <row r="3433" spans="1:7" ht="20.100000000000001" customHeight="1" x14ac:dyDescent="0.2">
      <c r="A3433" s="681" t="str">
        <f t="shared" si="46"/>
        <v>654  009.000.000  TRANSPORTE ESCOLAR</v>
      </c>
      <c r="B3433" s="636">
        <v>654</v>
      </c>
      <c r="C3433" s="614"/>
      <c r="D3433" s="638" t="s">
        <v>3409</v>
      </c>
      <c r="E3433" s="165"/>
      <c r="F3433" s="614"/>
      <c r="G3433" s="612" t="s">
        <v>3410</v>
      </c>
    </row>
    <row r="3434" spans="1:7" ht="20.100000000000001" customHeight="1" x14ac:dyDescent="0.2">
      <c r="A3434" s="681" t="str">
        <f t="shared" si="46"/>
        <v>655  009.001.000  GESTAO DO TRANSPORTE ESCOLAR</v>
      </c>
      <c r="B3434" s="636">
        <v>655</v>
      </c>
      <c r="C3434" s="614"/>
      <c r="D3434" s="638" t="s">
        <v>3411</v>
      </c>
      <c r="E3434" s="165"/>
      <c r="F3434" s="614"/>
      <c r="G3434" s="612" t="s">
        <v>3412</v>
      </c>
    </row>
    <row r="3435" spans="1:7" ht="20.100000000000001" customHeight="1" x14ac:dyDescent="0.2">
      <c r="A3435" s="681" t="str">
        <f t="shared" si="46"/>
        <v>656  009.001.001  Pessoal e Encargos Sociais - Serv, Efetivo</v>
      </c>
      <c r="B3435" s="636">
        <v>656</v>
      </c>
      <c r="C3435" s="614"/>
      <c r="D3435" s="638" t="s">
        <v>3413</v>
      </c>
      <c r="E3435" s="165"/>
      <c r="F3435" s="614"/>
      <c r="G3435" s="612" t="s">
        <v>3414</v>
      </c>
    </row>
    <row r="3436" spans="1:7" ht="20.100000000000001" customHeight="1" x14ac:dyDescent="0.2">
      <c r="A3436" s="681" t="str">
        <f t="shared" si="46"/>
        <v>657  009.001.002  Pessoal e Encargos Sociais - Serv. Contratado</v>
      </c>
      <c r="B3436" s="636">
        <v>657</v>
      </c>
      <c r="C3436" s="614"/>
      <c r="D3436" s="638" t="s">
        <v>3415</v>
      </c>
      <c r="E3436" s="165"/>
      <c r="F3436" s="614"/>
      <c r="G3436" s="612" t="s">
        <v>3416</v>
      </c>
    </row>
    <row r="3437" spans="1:7" ht="20.100000000000001" customHeight="1" x14ac:dyDescent="0.2">
      <c r="A3437" s="681" t="str">
        <f t="shared" si="46"/>
        <v>658  009.001.003  Combustivel Veiculo IPP 9013</v>
      </c>
      <c r="B3437" s="636">
        <v>658</v>
      </c>
      <c r="C3437" s="614"/>
      <c r="D3437" s="638" t="s">
        <v>3417</v>
      </c>
      <c r="E3437" s="165"/>
      <c r="F3437" s="614"/>
      <c r="G3437" s="612" t="s">
        <v>3418</v>
      </c>
    </row>
    <row r="3438" spans="1:7" ht="20.100000000000001" customHeight="1" x14ac:dyDescent="0.2">
      <c r="A3438" s="681" t="str">
        <f t="shared" si="46"/>
        <v>659  009.001.004  Combustivel Veiculo IPP 9043</v>
      </c>
      <c r="B3438" s="636">
        <v>659</v>
      </c>
      <c r="C3438" s="614"/>
      <c r="D3438" s="638" t="s">
        <v>3419</v>
      </c>
      <c r="E3438" s="165"/>
      <c r="F3438" s="614"/>
      <c r="G3438" s="612" t="s">
        <v>3420</v>
      </c>
    </row>
    <row r="3439" spans="1:7" ht="20.100000000000001" customHeight="1" x14ac:dyDescent="0.2">
      <c r="A3439" s="681" t="str">
        <f t="shared" si="46"/>
        <v>660  009.001.005  Combustivel Veiculo IPN 4843</v>
      </c>
      <c r="B3439" s="636">
        <v>660</v>
      </c>
      <c r="C3439" s="614"/>
      <c r="D3439" s="638" t="s">
        <v>3421</v>
      </c>
      <c r="E3439" s="165"/>
      <c r="F3439" s="614"/>
      <c r="G3439" s="612" t="s">
        <v>3422</v>
      </c>
    </row>
    <row r="3440" spans="1:7" ht="20.100000000000001" customHeight="1" x14ac:dyDescent="0.2">
      <c r="A3440" s="681" t="str">
        <f t="shared" si="46"/>
        <v>661  009.001.006  Lubrificante Veiculo IPP 9013</v>
      </c>
      <c r="B3440" s="636">
        <v>661</v>
      </c>
      <c r="C3440" s="614"/>
      <c r="D3440" s="638" t="s">
        <v>3423</v>
      </c>
      <c r="E3440" s="165"/>
      <c r="F3440" s="614"/>
      <c r="G3440" s="612" t="s">
        <v>3424</v>
      </c>
    </row>
    <row r="3441" spans="1:7" ht="20.100000000000001" customHeight="1" x14ac:dyDescent="0.2">
      <c r="A3441" s="681" t="str">
        <f t="shared" si="46"/>
        <v>662  009.001.007  Lubrificante Veiculo IPP 9043</v>
      </c>
      <c r="B3441" s="636">
        <v>662</v>
      </c>
      <c r="C3441" s="614"/>
      <c r="D3441" s="638" t="s">
        <v>3425</v>
      </c>
      <c r="E3441" s="165"/>
      <c r="F3441" s="614"/>
      <c r="G3441" s="612" t="s">
        <v>3426</v>
      </c>
    </row>
    <row r="3442" spans="1:7" ht="20.100000000000001" customHeight="1" x14ac:dyDescent="0.2">
      <c r="A3442" s="681" t="str">
        <f t="shared" si="46"/>
        <v>663  009.001.008  Lubrificante Veiculo IPN 4843</v>
      </c>
      <c r="B3442" s="636">
        <v>663</v>
      </c>
      <c r="C3442" s="614"/>
      <c r="D3442" s="638" t="s">
        <v>3427</v>
      </c>
      <c r="E3442" s="165"/>
      <c r="F3442" s="614"/>
      <c r="G3442" s="612" t="s">
        <v>3428</v>
      </c>
    </row>
    <row r="3443" spans="1:7" ht="20.100000000000001" customHeight="1" x14ac:dyDescent="0.2">
      <c r="A3443" s="681" t="str">
        <f t="shared" si="46"/>
        <v>664  009.001.009  Material e Autopeças Veiculo IPP 9013</v>
      </c>
      <c r="B3443" s="636">
        <v>664</v>
      </c>
      <c r="C3443" s="614"/>
      <c r="D3443" s="638" t="s">
        <v>3429</v>
      </c>
      <c r="E3443" s="165"/>
      <c r="F3443" s="614"/>
      <c r="G3443" s="612" t="s">
        <v>3430</v>
      </c>
    </row>
    <row r="3444" spans="1:7" ht="20.100000000000001" customHeight="1" x14ac:dyDescent="0.2">
      <c r="A3444" s="681" t="str">
        <f t="shared" si="46"/>
        <v>665  009.001.010  Material e Autopeças Veiculo IPP 9043</v>
      </c>
      <c r="B3444" s="636">
        <v>665</v>
      </c>
      <c r="C3444" s="614"/>
      <c r="D3444" s="638" t="s">
        <v>3431</v>
      </c>
      <c r="E3444" s="165"/>
      <c r="F3444" s="614"/>
      <c r="G3444" s="612" t="s">
        <v>3432</v>
      </c>
    </row>
    <row r="3445" spans="1:7" ht="20.100000000000001" customHeight="1" x14ac:dyDescent="0.2">
      <c r="A3445" s="681" t="str">
        <f t="shared" si="46"/>
        <v>666  009.001.011  Material e Autopeças Veiculo IPN 4843</v>
      </c>
      <c r="B3445" s="636">
        <v>666</v>
      </c>
      <c r="C3445" s="614"/>
      <c r="D3445" s="638" t="s">
        <v>3433</v>
      </c>
      <c r="E3445" s="165"/>
      <c r="F3445" s="614"/>
      <c r="G3445" s="612" t="s">
        <v>3434</v>
      </c>
    </row>
    <row r="3446" spans="1:7" ht="20.100000000000001" customHeight="1" x14ac:dyDescent="0.2">
      <c r="A3446" s="681" t="str">
        <f t="shared" si="46"/>
        <v>667  009.001.012  Manutenção Veiculo IPP 9013</v>
      </c>
      <c r="B3446" s="636">
        <v>667</v>
      </c>
      <c r="C3446" s="614"/>
      <c r="D3446" s="638" t="s">
        <v>3435</v>
      </c>
      <c r="E3446" s="165"/>
      <c r="F3446" s="614"/>
      <c r="G3446" s="612" t="s">
        <v>3436</v>
      </c>
    </row>
    <row r="3447" spans="1:7" ht="20.100000000000001" customHeight="1" x14ac:dyDescent="0.2">
      <c r="A3447" s="681" t="str">
        <f t="shared" si="46"/>
        <v>668  009.001.013  Manutenção Veiculo IPP 9043</v>
      </c>
      <c r="B3447" s="636">
        <v>668</v>
      </c>
      <c r="C3447" s="614"/>
      <c r="D3447" s="638" t="s">
        <v>3437</v>
      </c>
      <c r="E3447" s="165"/>
      <c r="F3447" s="614"/>
      <c r="G3447" s="612" t="s">
        <v>3438</v>
      </c>
    </row>
    <row r="3448" spans="1:7" ht="20.100000000000001" customHeight="1" x14ac:dyDescent="0.2">
      <c r="A3448" s="681" t="str">
        <f t="shared" si="46"/>
        <v>669  009.001.014  Manutenção Veiculo IPN 4843</v>
      </c>
      <c r="B3448" s="636">
        <v>669</v>
      </c>
      <c r="C3448" s="614"/>
      <c r="D3448" s="638" t="s">
        <v>3439</v>
      </c>
      <c r="E3448" s="165"/>
      <c r="F3448" s="614"/>
      <c r="G3448" s="612" t="s">
        <v>3440</v>
      </c>
    </row>
    <row r="3449" spans="1:7" ht="20.100000000000001" customHeight="1" x14ac:dyDescent="0.2">
      <c r="A3449" s="681" t="str">
        <f t="shared" si="46"/>
        <v>670  009.001.015  Seguros Veiculo IPP 9013</v>
      </c>
      <c r="B3449" s="636">
        <v>670</v>
      </c>
      <c r="C3449" s="614"/>
      <c r="D3449" s="638" t="s">
        <v>3441</v>
      </c>
      <c r="E3449" s="165"/>
      <c r="F3449" s="614"/>
      <c r="G3449" s="612" t="s">
        <v>3442</v>
      </c>
    </row>
    <row r="3450" spans="1:7" ht="20.100000000000001" customHeight="1" x14ac:dyDescent="0.2">
      <c r="A3450" s="681" t="str">
        <f t="shared" si="46"/>
        <v>671  009.001.016  Seguros Veiculo IPP 9043</v>
      </c>
      <c r="B3450" s="636">
        <v>671</v>
      </c>
      <c r="C3450" s="614"/>
      <c r="D3450" s="638" t="s">
        <v>3443</v>
      </c>
      <c r="E3450" s="165"/>
      <c r="F3450" s="614"/>
      <c r="G3450" s="612" t="s">
        <v>3444</v>
      </c>
    </row>
    <row r="3451" spans="1:7" ht="20.100000000000001" customHeight="1" x14ac:dyDescent="0.2">
      <c r="A3451" s="681" t="str">
        <f t="shared" si="46"/>
        <v>672  009.001.017  Seguros Veiculo IPN 4843</v>
      </c>
      <c r="B3451" s="636">
        <v>672</v>
      </c>
      <c r="C3451" s="614"/>
      <c r="D3451" s="638" t="s">
        <v>3445</v>
      </c>
      <c r="E3451" s="165"/>
      <c r="F3451" s="614"/>
      <c r="G3451" s="612" t="s">
        <v>3446</v>
      </c>
    </row>
    <row r="3452" spans="1:7" ht="20.100000000000001" customHeight="1" x14ac:dyDescent="0.2">
      <c r="A3452" s="681" t="str">
        <f t="shared" si="46"/>
        <v>673  009.001.018  Geral Veiculo IPP 9013</v>
      </c>
      <c r="B3452" s="636">
        <v>673</v>
      </c>
      <c r="C3452" s="614"/>
      <c r="D3452" s="638" t="s">
        <v>3447</v>
      </c>
      <c r="E3452" s="165"/>
      <c r="F3452" s="614"/>
      <c r="G3452" s="612" t="s">
        <v>3448</v>
      </c>
    </row>
    <row r="3453" spans="1:7" ht="20.100000000000001" customHeight="1" x14ac:dyDescent="0.2">
      <c r="A3453" s="681" t="str">
        <f t="shared" si="46"/>
        <v>674  009.001.019  Geral Veiculo IPP 9043</v>
      </c>
      <c r="B3453" s="636">
        <v>674</v>
      </c>
      <c r="C3453" s="614"/>
      <c r="D3453" s="638" t="s">
        <v>3449</v>
      </c>
      <c r="E3453" s="165"/>
      <c r="F3453" s="614"/>
      <c r="G3453" s="612" t="s">
        <v>3450</v>
      </c>
    </row>
    <row r="3454" spans="1:7" ht="20.100000000000001" customHeight="1" x14ac:dyDescent="0.2">
      <c r="A3454" s="681" t="str">
        <f t="shared" si="46"/>
        <v>675  009.001.020  Geral Veiculo IPN 4843</v>
      </c>
      <c r="B3454" s="636">
        <v>675</v>
      </c>
      <c r="C3454" s="614"/>
      <c r="D3454" s="638" t="s">
        <v>3451</v>
      </c>
      <c r="E3454" s="165"/>
      <c r="F3454" s="614"/>
      <c r="G3454" s="612" t="s">
        <v>3452</v>
      </c>
    </row>
    <row r="3455" spans="1:7" ht="20.100000000000001" customHeight="1" x14ac:dyDescent="0.2">
      <c r="A3455" s="681" t="str">
        <f t="shared" si="46"/>
        <v>1492  009.001.021  Diárias Servidores Contratados</v>
      </c>
      <c r="B3455" s="636">
        <v>1492</v>
      </c>
      <c r="C3455" s="614"/>
      <c r="D3455" s="638" t="s">
        <v>3453</v>
      </c>
      <c r="E3455" s="165"/>
      <c r="F3455" s="614"/>
      <c r="G3455" s="612" t="s">
        <v>2334</v>
      </c>
    </row>
    <row r="3456" spans="1:7" ht="20.100000000000001" customHeight="1" x14ac:dyDescent="0.2">
      <c r="A3456" s="681" t="str">
        <f t="shared" si="46"/>
        <v>1493  009.001.022  Diárias Servidores Efetivos</v>
      </c>
      <c r="B3456" s="636">
        <v>1493</v>
      </c>
      <c r="C3456" s="614"/>
      <c r="D3456" s="638" t="s">
        <v>3454</v>
      </c>
      <c r="E3456" s="165"/>
      <c r="F3456" s="614"/>
      <c r="G3456" s="612" t="s">
        <v>2419</v>
      </c>
    </row>
    <row r="3457" spans="1:7" ht="20.100000000000001" customHeight="1" x14ac:dyDescent="0.2">
      <c r="A3457" s="681" t="str">
        <f t="shared" si="46"/>
        <v>1495  009.001.023  Ressarcimento de Despesas Serv. Contratados</v>
      </c>
      <c r="B3457" s="636">
        <v>1495</v>
      </c>
      <c r="C3457" s="614"/>
      <c r="D3457" s="638" t="s">
        <v>3455</v>
      </c>
      <c r="E3457" s="165"/>
      <c r="F3457" s="614"/>
      <c r="G3457" s="612" t="s">
        <v>3456</v>
      </c>
    </row>
    <row r="3458" spans="1:7" ht="20.100000000000001" customHeight="1" x14ac:dyDescent="0.2">
      <c r="A3458" s="681" t="str">
        <f t="shared" si="46"/>
        <v>1496  009.001.024  Ressarcimento de Despesas Serv. Efetivos</v>
      </c>
      <c r="B3458" s="636">
        <v>1496</v>
      </c>
      <c r="C3458" s="614"/>
      <c r="D3458" s="638" t="s">
        <v>3457</v>
      </c>
      <c r="E3458" s="165"/>
      <c r="F3458" s="614"/>
      <c r="G3458" s="612" t="s">
        <v>3458</v>
      </c>
    </row>
    <row r="3459" spans="1:7" ht="20.100000000000001" customHeight="1" x14ac:dyDescent="0.2">
      <c r="A3459" s="681" t="str">
        <f t="shared" si="46"/>
        <v>1497  009.001.025  Auxilio Transporte</v>
      </c>
      <c r="B3459" s="636">
        <v>1497</v>
      </c>
      <c r="C3459" s="614"/>
      <c r="D3459" s="638" t="s">
        <v>3459</v>
      </c>
      <c r="E3459" s="165"/>
      <c r="F3459" s="614"/>
      <c r="G3459" s="612" t="s">
        <v>2462</v>
      </c>
    </row>
    <row r="3460" spans="1:7" ht="20.100000000000001" customHeight="1" x14ac:dyDescent="0.2">
      <c r="A3460" s="681" t="str">
        <f t="shared" si="46"/>
        <v>1498  009.001.026  Hora Extra Serv, Contratados</v>
      </c>
      <c r="B3460" s="636">
        <v>1498</v>
      </c>
      <c r="C3460" s="614"/>
      <c r="D3460" s="638" t="s">
        <v>3460</v>
      </c>
      <c r="E3460" s="165"/>
      <c r="F3460" s="614"/>
      <c r="G3460" s="612" t="s">
        <v>3461</v>
      </c>
    </row>
    <row r="3461" spans="1:7" ht="20.100000000000001" customHeight="1" x14ac:dyDescent="0.2">
      <c r="A3461" s="681" t="str">
        <f t="shared" si="46"/>
        <v>1519  009.001.027  Hora Extra - Servidores Efetivos</v>
      </c>
      <c r="B3461" s="636">
        <v>1519</v>
      </c>
      <c r="C3461" s="614"/>
      <c r="D3461" s="638" t="s">
        <v>3462</v>
      </c>
      <c r="E3461" s="165"/>
      <c r="F3461" s="614"/>
      <c r="G3461" s="612" t="s">
        <v>3463</v>
      </c>
    </row>
    <row r="3462" spans="1:7" ht="20.100000000000001" customHeight="1" x14ac:dyDescent="0.2">
      <c r="A3462" s="681" t="str">
        <f t="shared" si="46"/>
        <v>1558  009.001.028  Vistorias de Veiculos Transporte Escolar - Prórprios</v>
      </c>
      <c r="B3462" s="636">
        <v>1558</v>
      </c>
      <c r="C3462" s="614"/>
      <c r="D3462" s="638" t="s">
        <v>3464</v>
      </c>
      <c r="E3462" s="165"/>
      <c r="F3462" s="614"/>
      <c r="G3462" s="612" t="s">
        <v>3465</v>
      </c>
    </row>
    <row r="3463" spans="1:7" ht="20.100000000000001" customHeight="1" x14ac:dyDescent="0.2">
      <c r="A3463" s="681" t="str">
        <f t="shared" ref="A3463:A3526" si="47">CONCATENATE(B3463,"  ",D3463,"  ",G3463)</f>
        <v>1559  009.001.029  Vistorias de Veiculos Transporte Escolar - Terceirizados</v>
      </c>
      <c r="B3463" s="636">
        <v>1559</v>
      </c>
      <c r="C3463" s="614"/>
      <c r="D3463" s="638" t="s">
        <v>3466</v>
      </c>
      <c r="E3463" s="165"/>
      <c r="F3463" s="614"/>
      <c r="G3463" s="612" t="s">
        <v>3467</v>
      </c>
    </row>
    <row r="3464" spans="1:7" ht="20.100000000000001" customHeight="1" x14ac:dyDescent="0.2">
      <c r="A3464" s="681" t="str">
        <f t="shared" si="47"/>
        <v>1654  009.001.030  Passagens e Despesas Com Locomoção</v>
      </c>
      <c r="B3464" s="636">
        <v>1654</v>
      </c>
      <c r="C3464" s="614"/>
      <c r="D3464" s="638" t="s">
        <v>3468</v>
      </c>
      <c r="E3464" s="165"/>
      <c r="F3464" s="614"/>
      <c r="G3464" s="612" t="s">
        <v>3469</v>
      </c>
    </row>
    <row r="3465" spans="1:7" ht="20.100000000000001" customHeight="1" x14ac:dyDescent="0.2">
      <c r="A3465" s="681" t="str">
        <f t="shared" si="47"/>
        <v>1688  009.001.031  Locação Substituição de Veículo IPP 9043</v>
      </c>
      <c r="B3465" s="636">
        <v>1688</v>
      </c>
      <c r="C3465" s="614"/>
      <c r="D3465" s="638" t="s">
        <v>3470</v>
      </c>
      <c r="E3465" s="165"/>
      <c r="F3465" s="614"/>
      <c r="G3465" s="612" t="s">
        <v>3471</v>
      </c>
    </row>
    <row r="3466" spans="1:7" ht="20.100000000000001" customHeight="1" x14ac:dyDescent="0.2">
      <c r="A3466" s="681" t="str">
        <f t="shared" si="47"/>
        <v>1689  009.001.032  Locação Substituição de Veículo IPP 9013</v>
      </c>
      <c r="B3466" s="636">
        <v>1689</v>
      </c>
      <c r="C3466" s="614"/>
      <c r="D3466" s="638" t="s">
        <v>3472</v>
      </c>
      <c r="E3466" s="165"/>
      <c r="F3466" s="614"/>
      <c r="G3466" s="612" t="s">
        <v>3473</v>
      </c>
    </row>
    <row r="3467" spans="1:7" ht="20.100000000000001" customHeight="1" x14ac:dyDescent="0.2">
      <c r="A3467" s="681" t="str">
        <f t="shared" si="47"/>
        <v>1690  009.001.033  Locação Substituição de Veículo IPN 4843</v>
      </c>
      <c r="B3467" s="636">
        <v>1690</v>
      </c>
      <c r="C3467" s="614"/>
      <c r="D3467" s="638" t="s">
        <v>3474</v>
      </c>
      <c r="E3467" s="165"/>
      <c r="F3467" s="614"/>
      <c r="G3467" s="612" t="s">
        <v>3475</v>
      </c>
    </row>
    <row r="3468" spans="1:7" ht="20.100000000000001" customHeight="1" x14ac:dyDescent="0.2">
      <c r="A3468" s="681" t="str">
        <f t="shared" si="47"/>
        <v>676  009.002.000  TRANSPORTE ESCOLAR - ESSINO FUNDAMENTAL</v>
      </c>
      <c r="B3468" s="636">
        <v>676</v>
      </c>
      <c r="C3468" s="614"/>
      <c r="D3468" s="638" t="s">
        <v>3476</v>
      </c>
      <c r="E3468" s="165"/>
      <c r="F3468" s="614"/>
      <c r="G3468" s="612" t="s">
        <v>3477</v>
      </c>
    </row>
    <row r="3469" spans="1:7" ht="20.100000000000001" customHeight="1" x14ac:dyDescent="0.2">
      <c r="A3469" s="681" t="str">
        <f t="shared" si="47"/>
        <v>677  009.002.001  Transporte Escolar Terceirizado Itinerario 01</v>
      </c>
      <c r="B3469" s="636">
        <v>677</v>
      </c>
      <c r="C3469" s="614"/>
      <c r="D3469" s="638" t="s">
        <v>3478</v>
      </c>
      <c r="E3469" s="165"/>
      <c r="F3469" s="614"/>
      <c r="G3469" s="612" t="s">
        <v>3479</v>
      </c>
    </row>
    <row r="3470" spans="1:7" ht="20.100000000000001" customHeight="1" x14ac:dyDescent="0.2">
      <c r="A3470" s="681" t="str">
        <f t="shared" si="47"/>
        <v>678  009.002.002  Transporte Escolar Terceirizado Itinerario 02</v>
      </c>
      <c r="B3470" s="636">
        <v>678</v>
      </c>
      <c r="C3470" s="614"/>
      <c r="D3470" s="638" t="s">
        <v>3480</v>
      </c>
      <c r="E3470" s="165"/>
      <c r="F3470" s="614"/>
      <c r="G3470" s="612" t="s">
        <v>3481</v>
      </c>
    </row>
    <row r="3471" spans="1:7" ht="20.100000000000001" customHeight="1" x14ac:dyDescent="0.2">
      <c r="A3471" s="681" t="str">
        <f t="shared" si="47"/>
        <v>679  009.002.003  Transporte Escolar Terceirizado Itinerario 03</v>
      </c>
      <c r="B3471" s="636">
        <v>679</v>
      </c>
      <c r="C3471" s="614"/>
      <c r="D3471" s="638" t="s">
        <v>3482</v>
      </c>
      <c r="E3471" s="165"/>
      <c r="F3471" s="614"/>
      <c r="G3471" s="612" t="s">
        <v>3483</v>
      </c>
    </row>
    <row r="3472" spans="1:7" ht="20.100000000000001" customHeight="1" x14ac:dyDescent="0.2">
      <c r="A3472" s="681" t="str">
        <f t="shared" si="47"/>
        <v>680  009.002.004  Transporte Escolar Terceirizado Itinerario 04</v>
      </c>
      <c r="B3472" s="636">
        <v>680</v>
      </c>
      <c r="C3472" s="614"/>
      <c r="D3472" s="638" t="s">
        <v>3484</v>
      </c>
      <c r="E3472" s="165"/>
      <c r="F3472" s="614"/>
      <c r="G3472" s="612" t="s">
        <v>3485</v>
      </c>
    </row>
    <row r="3473" spans="1:7" ht="20.100000000000001" customHeight="1" x14ac:dyDescent="0.2">
      <c r="A3473" s="681" t="str">
        <f t="shared" si="47"/>
        <v>681  009.002.005  Transporte Escolar Terceirizado Itinerario 05</v>
      </c>
      <c r="B3473" s="636">
        <v>681</v>
      </c>
      <c r="C3473" s="614"/>
      <c r="D3473" s="638" t="s">
        <v>3486</v>
      </c>
      <c r="E3473" s="165"/>
      <c r="F3473" s="614"/>
      <c r="G3473" s="612" t="s">
        <v>3487</v>
      </c>
    </row>
    <row r="3474" spans="1:7" ht="20.100000000000001" customHeight="1" x14ac:dyDescent="0.2">
      <c r="A3474" s="681" t="str">
        <f t="shared" si="47"/>
        <v>682  009.002.006  Transporte Escolar Terceirizado Itinerario 06</v>
      </c>
      <c r="B3474" s="636">
        <v>682</v>
      </c>
      <c r="C3474" s="614"/>
      <c r="D3474" s="638" t="s">
        <v>3488</v>
      </c>
      <c r="E3474" s="165"/>
      <c r="F3474" s="614"/>
      <c r="G3474" s="612" t="s">
        <v>3489</v>
      </c>
    </row>
    <row r="3475" spans="1:7" ht="20.100000000000001" customHeight="1" x14ac:dyDescent="0.2">
      <c r="A3475" s="681" t="str">
        <f t="shared" si="47"/>
        <v>683  009.002.007  Transporte Escolar Terceirizado Itinerario 07</v>
      </c>
      <c r="B3475" s="636">
        <v>683</v>
      </c>
      <c r="C3475" s="614"/>
      <c r="D3475" s="638" t="s">
        <v>3490</v>
      </c>
      <c r="E3475" s="165"/>
      <c r="F3475" s="614"/>
      <c r="G3475" s="612" t="s">
        <v>3491</v>
      </c>
    </row>
    <row r="3476" spans="1:7" ht="20.100000000000001" customHeight="1" x14ac:dyDescent="0.2">
      <c r="A3476" s="681" t="str">
        <f t="shared" si="47"/>
        <v>684  009.002.008  Transporte Escolar Terceirizado Itinerario 08</v>
      </c>
      <c r="B3476" s="636">
        <v>684</v>
      </c>
      <c r="C3476" s="614"/>
      <c r="D3476" s="638" t="s">
        <v>3492</v>
      </c>
      <c r="E3476" s="165"/>
      <c r="F3476" s="614"/>
      <c r="G3476" s="612" t="s">
        <v>3493</v>
      </c>
    </row>
    <row r="3477" spans="1:7" ht="20.100000000000001" customHeight="1" x14ac:dyDescent="0.2">
      <c r="A3477" s="681" t="str">
        <f t="shared" si="47"/>
        <v>685  009.002.009  Transporte Escolar Terceirizado Itinerario 09</v>
      </c>
      <c r="B3477" s="636">
        <v>685</v>
      </c>
      <c r="C3477" s="614"/>
      <c r="D3477" s="638" t="s">
        <v>3494</v>
      </c>
      <c r="E3477" s="165"/>
      <c r="F3477" s="614"/>
      <c r="G3477" s="612" t="s">
        <v>3495</v>
      </c>
    </row>
    <row r="3478" spans="1:7" ht="20.100000000000001" customHeight="1" x14ac:dyDescent="0.2">
      <c r="A3478" s="681" t="str">
        <f t="shared" si="47"/>
        <v>686  009.002.010  Transporte Escolar Terceirizado Itinerario 10</v>
      </c>
      <c r="B3478" s="636">
        <v>686</v>
      </c>
      <c r="C3478" s="614"/>
      <c r="D3478" s="638" t="s">
        <v>3496</v>
      </c>
      <c r="E3478" s="165"/>
      <c r="F3478" s="614"/>
      <c r="G3478" s="612" t="s">
        <v>3497</v>
      </c>
    </row>
    <row r="3479" spans="1:7" ht="20.100000000000001" customHeight="1" x14ac:dyDescent="0.2">
      <c r="A3479" s="681" t="str">
        <f t="shared" si="47"/>
        <v>687  009.002.011  Transporte Escolar Terceirizado Itinerario 11</v>
      </c>
      <c r="B3479" s="636">
        <v>687</v>
      </c>
      <c r="C3479" s="614"/>
      <c r="D3479" s="638" t="s">
        <v>3498</v>
      </c>
      <c r="E3479" s="165"/>
      <c r="F3479" s="614"/>
      <c r="G3479" s="612" t="s">
        <v>3499</v>
      </c>
    </row>
    <row r="3480" spans="1:7" ht="20.100000000000001" customHeight="1" x14ac:dyDescent="0.2">
      <c r="A3480" s="681" t="str">
        <f t="shared" si="47"/>
        <v>688  009.002.012  Transporte Escolar Terceirizado Itinerario 12</v>
      </c>
      <c r="B3480" s="636">
        <v>688</v>
      </c>
      <c r="C3480" s="614"/>
      <c r="D3480" s="638" t="s">
        <v>3500</v>
      </c>
      <c r="E3480" s="165"/>
      <c r="F3480" s="614"/>
      <c r="G3480" s="612" t="s">
        <v>3501</v>
      </c>
    </row>
    <row r="3481" spans="1:7" ht="20.100000000000001" customHeight="1" x14ac:dyDescent="0.2">
      <c r="A3481" s="681" t="str">
        <f t="shared" si="47"/>
        <v>689  009.002.013  Transporte Escolar Terceirizado Itinerario 13</v>
      </c>
      <c r="B3481" s="636">
        <v>689</v>
      </c>
      <c r="C3481" s="614"/>
      <c r="D3481" s="638" t="s">
        <v>3502</v>
      </c>
      <c r="E3481" s="165"/>
      <c r="F3481" s="614"/>
      <c r="G3481" s="612" t="s">
        <v>3503</v>
      </c>
    </row>
    <row r="3482" spans="1:7" ht="20.100000000000001" customHeight="1" x14ac:dyDescent="0.2">
      <c r="A3482" s="681" t="str">
        <f t="shared" si="47"/>
        <v>690  009.002.014  Transporte Escolar Terceirizado Itinerario 14</v>
      </c>
      <c r="B3482" s="636">
        <v>690</v>
      </c>
      <c r="C3482" s="614"/>
      <c r="D3482" s="638" t="s">
        <v>3504</v>
      </c>
      <c r="E3482" s="165"/>
      <c r="F3482" s="614"/>
      <c r="G3482" s="612" t="s">
        <v>3505</v>
      </c>
    </row>
    <row r="3483" spans="1:7" ht="20.100000000000001" customHeight="1" x14ac:dyDescent="0.2">
      <c r="A3483" s="681" t="str">
        <f t="shared" si="47"/>
        <v>691  009.002.015  Transporte Escolar Terceirizado Itinerario 15</v>
      </c>
      <c r="B3483" s="636">
        <v>691</v>
      </c>
      <c r="C3483" s="614"/>
      <c r="D3483" s="638" t="s">
        <v>3506</v>
      </c>
      <c r="E3483" s="165"/>
      <c r="F3483" s="614"/>
      <c r="G3483" s="612" t="s">
        <v>3507</v>
      </c>
    </row>
    <row r="3484" spans="1:7" ht="20.100000000000001" customHeight="1" x14ac:dyDescent="0.2">
      <c r="A3484" s="681" t="str">
        <f t="shared" si="47"/>
        <v>692  009.002.016  Transporte Escolar Terceirizado Itinerario 16</v>
      </c>
      <c r="B3484" s="636">
        <v>692</v>
      </c>
      <c r="C3484" s="614"/>
      <c r="D3484" s="638" t="s">
        <v>3508</v>
      </c>
      <c r="E3484" s="165"/>
      <c r="F3484" s="614"/>
      <c r="G3484" s="612" t="s">
        <v>3509</v>
      </c>
    </row>
    <row r="3485" spans="1:7" ht="20.100000000000001" customHeight="1" x14ac:dyDescent="0.2">
      <c r="A3485" s="681" t="str">
        <f t="shared" si="47"/>
        <v>693  009.002.017  Transporte Escolar Terceirizado Itinerario 17</v>
      </c>
      <c r="B3485" s="636">
        <v>693</v>
      </c>
      <c r="C3485" s="614"/>
      <c r="D3485" s="638" t="s">
        <v>3510</v>
      </c>
      <c r="E3485" s="165"/>
      <c r="F3485" s="614"/>
      <c r="G3485" s="612" t="s">
        <v>3511</v>
      </c>
    </row>
    <row r="3486" spans="1:7" ht="20.100000000000001" customHeight="1" x14ac:dyDescent="0.2">
      <c r="A3486" s="681" t="str">
        <f t="shared" si="47"/>
        <v>694  009.002.018  Transporte Escolar Terceirizado Itinerario 18</v>
      </c>
      <c r="B3486" s="636">
        <v>694</v>
      </c>
      <c r="C3486" s="614"/>
      <c r="D3486" s="638" t="s">
        <v>3512</v>
      </c>
      <c r="E3486" s="165"/>
      <c r="F3486" s="614"/>
      <c r="G3486" s="612" t="s">
        <v>3513</v>
      </c>
    </row>
    <row r="3487" spans="1:7" ht="20.100000000000001" customHeight="1" x14ac:dyDescent="0.2">
      <c r="A3487" s="681" t="str">
        <f t="shared" si="47"/>
        <v>695  009.002.019  Transporte Escolar Terceirizado Itinerario 19</v>
      </c>
      <c r="B3487" s="636">
        <v>695</v>
      </c>
      <c r="C3487" s="614"/>
      <c r="D3487" s="638" t="s">
        <v>3514</v>
      </c>
      <c r="E3487" s="165"/>
      <c r="F3487" s="614"/>
      <c r="G3487" s="612" t="s">
        <v>3515</v>
      </c>
    </row>
    <row r="3488" spans="1:7" ht="20.100000000000001" customHeight="1" x14ac:dyDescent="0.2">
      <c r="A3488" s="681" t="str">
        <f t="shared" si="47"/>
        <v>696  009.002.020  Transporte Escolar Terceirizado Itinerario 20</v>
      </c>
      <c r="B3488" s="636">
        <v>696</v>
      </c>
      <c r="C3488" s="614"/>
      <c r="D3488" s="638" t="s">
        <v>3516</v>
      </c>
      <c r="E3488" s="165"/>
      <c r="F3488" s="614"/>
      <c r="G3488" s="612" t="s">
        <v>3517</v>
      </c>
    </row>
    <row r="3489" spans="1:7" ht="20.100000000000001" customHeight="1" x14ac:dyDescent="0.2">
      <c r="A3489" s="681" t="str">
        <f t="shared" si="47"/>
        <v>697  009.003.000  TRANSPORTE ESCOLAR - EDUC. INFANTIL</v>
      </c>
      <c r="B3489" s="636">
        <v>697</v>
      </c>
      <c r="C3489" s="614"/>
      <c r="D3489" s="638" t="s">
        <v>3518</v>
      </c>
      <c r="E3489" s="165"/>
      <c r="F3489" s="614"/>
      <c r="G3489" s="612" t="s">
        <v>3519</v>
      </c>
    </row>
    <row r="3490" spans="1:7" ht="20.100000000000001" customHeight="1" x14ac:dyDescent="0.2">
      <c r="A3490" s="681" t="str">
        <f t="shared" si="47"/>
        <v>1575  009.003.001  Transporte Escolar Terceirizado Itinerario 02</v>
      </c>
      <c r="B3490" s="636">
        <v>1575</v>
      </c>
      <c r="C3490" s="614"/>
      <c r="D3490" s="638" t="s">
        <v>3520</v>
      </c>
      <c r="E3490" s="165"/>
      <c r="F3490" s="614"/>
      <c r="G3490" s="612" t="s">
        <v>3481</v>
      </c>
    </row>
    <row r="3491" spans="1:7" ht="20.100000000000001" customHeight="1" x14ac:dyDescent="0.2">
      <c r="A3491" s="681" t="str">
        <f t="shared" si="47"/>
        <v>1580  009.003.002  Transporte Escolar Terceirizado Itinerario 03</v>
      </c>
      <c r="B3491" s="636">
        <v>1580</v>
      </c>
      <c r="C3491" s="614"/>
      <c r="D3491" s="638" t="s">
        <v>3521</v>
      </c>
      <c r="E3491" s="165"/>
      <c r="F3491" s="614"/>
      <c r="G3491" s="612" t="s">
        <v>3483</v>
      </c>
    </row>
    <row r="3492" spans="1:7" ht="20.100000000000001" customHeight="1" x14ac:dyDescent="0.2">
      <c r="A3492" s="681" t="str">
        <f t="shared" si="47"/>
        <v>1577  009.003.003  Transporte Escolar Terceirizado Itinerario 04</v>
      </c>
      <c r="B3492" s="636">
        <v>1577</v>
      </c>
      <c r="C3492" s="614"/>
      <c r="D3492" s="638" t="s">
        <v>3522</v>
      </c>
      <c r="E3492" s="165"/>
      <c r="F3492" s="614"/>
      <c r="G3492" s="612" t="s">
        <v>3485</v>
      </c>
    </row>
    <row r="3493" spans="1:7" ht="20.100000000000001" customHeight="1" x14ac:dyDescent="0.2">
      <c r="A3493" s="681" t="str">
        <f t="shared" si="47"/>
        <v>1584  009.003.004  Transporte Escolar Terceirizado Itinerario 05</v>
      </c>
      <c r="B3493" s="636">
        <v>1584</v>
      </c>
      <c r="C3493" s="614"/>
      <c r="D3493" s="638" t="s">
        <v>3523</v>
      </c>
      <c r="E3493" s="165"/>
      <c r="F3493" s="614"/>
      <c r="G3493" s="612" t="s">
        <v>3487</v>
      </c>
    </row>
    <row r="3494" spans="1:7" ht="20.100000000000001" customHeight="1" x14ac:dyDescent="0.2">
      <c r="A3494" s="681" t="str">
        <f t="shared" si="47"/>
        <v>1585  009.003.005  Transporte Escolar Terceirizado Itinerario 06</v>
      </c>
      <c r="B3494" s="636">
        <v>1585</v>
      </c>
      <c r="C3494" s="614"/>
      <c r="D3494" s="638" t="s">
        <v>3524</v>
      </c>
      <c r="E3494" s="165"/>
      <c r="F3494" s="614"/>
      <c r="G3494" s="612" t="s">
        <v>3489</v>
      </c>
    </row>
    <row r="3495" spans="1:7" ht="20.100000000000001" customHeight="1" x14ac:dyDescent="0.2">
      <c r="A3495" s="681" t="str">
        <f t="shared" si="47"/>
        <v>1588  009.003.006  Transporte Escolar Terceirizado Itinerario 07</v>
      </c>
      <c r="B3495" s="636">
        <v>1588</v>
      </c>
      <c r="C3495" s="614"/>
      <c r="D3495" s="638" t="s">
        <v>3525</v>
      </c>
      <c r="E3495" s="165"/>
      <c r="F3495" s="614"/>
      <c r="G3495" s="612" t="s">
        <v>3491</v>
      </c>
    </row>
    <row r="3496" spans="1:7" ht="20.100000000000001" customHeight="1" x14ac:dyDescent="0.2">
      <c r="A3496" s="681" t="str">
        <f t="shared" si="47"/>
        <v>1590  009.003.007  Transporte Escolar Terceirizado Itinerario 08</v>
      </c>
      <c r="B3496" s="636">
        <v>1590</v>
      </c>
      <c r="C3496" s="614"/>
      <c r="D3496" s="638" t="s">
        <v>3526</v>
      </c>
      <c r="E3496" s="165"/>
      <c r="F3496" s="614"/>
      <c r="G3496" s="612" t="s">
        <v>3493</v>
      </c>
    </row>
    <row r="3497" spans="1:7" ht="20.100000000000001" customHeight="1" x14ac:dyDescent="0.2">
      <c r="A3497" s="681" t="str">
        <f t="shared" si="47"/>
        <v>1594  009.003.008  Transporte Escolar Terceirizado Itinerario 11</v>
      </c>
      <c r="B3497" s="636">
        <v>1594</v>
      </c>
      <c r="C3497" s="614"/>
      <c r="D3497" s="638" t="s">
        <v>3527</v>
      </c>
      <c r="E3497" s="165"/>
      <c r="F3497" s="614"/>
      <c r="G3497" s="612" t="s">
        <v>3499</v>
      </c>
    </row>
    <row r="3498" spans="1:7" ht="20.100000000000001" customHeight="1" x14ac:dyDescent="0.2">
      <c r="A3498" s="681" t="str">
        <f t="shared" si="47"/>
        <v>1595  009.003.009  Transporte Escolar Terceirizado Itinerario 12</v>
      </c>
      <c r="B3498" s="636">
        <v>1595</v>
      </c>
      <c r="C3498" s="614"/>
      <c r="D3498" s="638" t="s">
        <v>3528</v>
      </c>
      <c r="E3498" s="165"/>
      <c r="F3498" s="614"/>
      <c r="G3498" s="612" t="s">
        <v>3501</v>
      </c>
    </row>
    <row r="3499" spans="1:7" ht="20.100000000000001" customHeight="1" x14ac:dyDescent="0.2">
      <c r="A3499" s="681" t="str">
        <f t="shared" si="47"/>
        <v>1596  009.003.010  Transporte Escolar Terceirizado Itinerario 13</v>
      </c>
      <c r="B3499" s="636">
        <v>1596</v>
      </c>
      <c r="C3499" s="614"/>
      <c r="D3499" s="638" t="s">
        <v>3529</v>
      </c>
      <c r="E3499" s="165"/>
      <c r="F3499" s="614"/>
      <c r="G3499" s="612" t="s">
        <v>3503</v>
      </c>
    </row>
    <row r="3500" spans="1:7" ht="20.100000000000001" customHeight="1" x14ac:dyDescent="0.2">
      <c r="A3500" s="681" t="str">
        <f t="shared" si="47"/>
        <v>1601  009.003.011  Transporte Escolar Terceirizado Itinerario 14</v>
      </c>
      <c r="B3500" s="636">
        <v>1601</v>
      </c>
      <c r="C3500" s="614"/>
      <c r="D3500" s="638" t="s">
        <v>3530</v>
      </c>
      <c r="E3500" s="165"/>
      <c r="F3500" s="614"/>
      <c r="G3500" s="612" t="s">
        <v>3505</v>
      </c>
    </row>
    <row r="3501" spans="1:7" ht="20.100000000000001" customHeight="1" x14ac:dyDescent="0.2">
      <c r="A3501" s="681" t="str">
        <f t="shared" si="47"/>
        <v>1602  009.003.012  Transporte Escolar Terceirizado Itinerario 01</v>
      </c>
      <c r="B3501" s="636">
        <v>1602</v>
      </c>
      <c r="C3501" s="614"/>
      <c r="D3501" s="638" t="s">
        <v>3531</v>
      </c>
      <c r="E3501" s="165"/>
      <c r="F3501" s="614"/>
      <c r="G3501" s="612" t="s">
        <v>3479</v>
      </c>
    </row>
    <row r="3502" spans="1:7" ht="20.100000000000001" customHeight="1" x14ac:dyDescent="0.2">
      <c r="A3502" s="681" t="str">
        <f t="shared" si="47"/>
        <v>1604  009.003.013  Transporte Escolar Terceirizado Itinerario 16</v>
      </c>
      <c r="B3502" s="636">
        <v>1604</v>
      </c>
      <c r="C3502" s="614"/>
      <c r="D3502" s="638" t="s">
        <v>3532</v>
      </c>
      <c r="E3502" s="165"/>
      <c r="F3502" s="614"/>
      <c r="G3502" s="612" t="s">
        <v>3509</v>
      </c>
    </row>
    <row r="3503" spans="1:7" ht="20.100000000000001" customHeight="1" x14ac:dyDescent="0.2">
      <c r="A3503" s="681" t="str">
        <f t="shared" si="47"/>
        <v>698  009.004.000  TRANSPORTE ESCOLAR - EDUC. ESPECIAL</v>
      </c>
      <c r="B3503" s="636">
        <v>698</v>
      </c>
      <c r="C3503" s="614"/>
      <c r="D3503" s="638" t="s">
        <v>3533</v>
      </c>
      <c r="E3503" s="165"/>
      <c r="F3503" s="614"/>
      <c r="G3503" s="612" t="s">
        <v>3534</v>
      </c>
    </row>
    <row r="3504" spans="1:7" ht="20.100000000000001" customHeight="1" x14ac:dyDescent="0.2">
      <c r="A3504" s="681" t="str">
        <f t="shared" si="47"/>
        <v>700  009.004.001  Transporte Escolar Terceirizado Itinerario 03</v>
      </c>
      <c r="B3504" s="636">
        <v>700</v>
      </c>
      <c r="C3504" s="614"/>
      <c r="D3504" s="638" t="s">
        <v>3535</v>
      </c>
      <c r="E3504" s="165"/>
      <c r="F3504" s="614"/>
      <c r="G3504" s="612" t="s">
        <v>3483</v>
      </c>
    </row>
    <row r="3505" spans="1:7" ht="20.100000000000001" customHeight="1" x14ac:dyDescent="0.2">
      <c r="A3505" s="681" t="str">
        <f t="shared" si="47"/>
        <v>1586  009.004.002  Transporte Escolar Terceirizado Itinerario 05</v>
      </c>
      <c r="B3505" s="636">
        <v>1586</v>
      </c>
      <c r="C3505" s="614"/>
      <c r="D3505" s="638" t="s">
        <v>3536</v>
      </c>
      <c r="E3505" s="165"/>
      <c r="F3505" s="614"/>
      <c r="G3505" s="612" t="s">
        <v>3487</v>
      </c>
    </row>
    <row r="3506" spans="1:7" ht="20.100000000000001" customHeight="1" x14ac:dyDescent="0.2">
      <c r="A3506" s="681" t="str">
        <f t="shared" si="47"/>
        <v>1589  009.004.003  Transporte Escolar Terceirizado Itinerario 07</v>
      </c>
      <c r="B3506" s="636">
        <v>1589</v>
      </c>
      <c r="C3506" s="614"/>
      <c r="D3506" s="638" t="s">
        <v>3537</v>
      </c>
      <c r="E3506" s="165"/>
      <c r="F3506" s="614"/>
      <c r="G3506" s="612" t="s">
        <v>3491</v>
      </c>
    </row>
    <row r="3507" spans="1:7" ht="20.100000000000001" customHeight="1" x14ac:dyDescent="0.2">
      <c r="A3507" s="681" t="str">
        <f t="shared" si="47"/>
        <v>1597  009.004.004  Transporte Escolar Terceirizado Itinerario 11</v>
      </c>
      <c r="B3507" s="636">
        <v>1597</v>
      </c>
      <c r="C3507" s="614"/>
      <c r="D3507" s="638" t="s">
        <v>3538</v>
      </c>
      <c r="E3507" s="165"/>
      <c r="F3507" s="614"/>
      <c r="G3507" s="612" t="s">
        <v>3499</v>
      </c>
    </row>
    <row r="3508" spans="1:7" ht="20.100000000000001" customHeight="1" x14ac:dyDescent="0.2">
      <c r="A3508" s="681" t="str">
        <f t="shared" si="47"/>
        <v>1598  009.004.005  Transporte Escolar Terceirizado Itinerario 12</v>
      </c>
      <c r="B3508" s="636">
        <v>1598</v>
      </c>
      <c r="C3508" s="614"/>
      <c r="D3508" s="638" t="s">
        <v>3539</v>
      </c>
      <c r="E3508" s="165"/>
      <c r="F3508" s="614"/>
      <c r="G3508" s="612" t="s">
        <v>3501</v>
      </c>
    </row>
    <row r="3509" spans="1:7" ht="20.100000000000001" customHeight="1" x14ac:dyDescent="0.2">
      <c r="A3509" s="681" t="str">
        <f t="shared" si="47"/>
        <v>1599  009.004.006  Transporte Escolar Terceirizado Itinerario 13</v>
      </c>
      <c r="B3509" s="636">
        <v>1599</v>
      </c>
      <c r="C3509" s="614"/>
      <c r="D3509" s="638" t="s">
        <v>3540</v>
      </c>
      <c r="E3509" s="165"/>
      <c r="F3509" s="614"/>
      <c r="G3509" s="612" t="s">
        <v>3503</v>
      </c>
    </row>
    <row r="3510" spans="1:7" ht="20.100000000000001" customHeight="1" x14ac:dyDescent="0.2">
      <c r="A3510" s="681" t="str">
        <f t="shared" si="47"/>
        <v>1600  009.004.007  Transporte Escolar Terceirizado Itinerario 14</v>
      </c>
      <c r="B3510" s="636">
        <v>1600</v>
      </c>
      <c r="C3510" s="614"/>
      <c r="D3510" s="638" t="s">
        <v>3541</v>
      </c>
      <c r="E3510" s="165"/>
      <c r="F3510" s="614"/>
      <c r="G3510" s="612" t="s">
        <v>3505</v>
      </c>
    </row>
    <row r="3511" spans="1:7" ht="20.100000000000001" customHeight="1" x14ac:dyDescent="0.2">
      <c r="A3511" s="681" t="str">
        <f t="shared" si="47"/>
        <v>699  009.005.000  TRANSPORTE ESCOLAR - EDUC. EJA FUNDAMENTAL</v>
      </c>
      <c r="B3511" s="636">
        <v>699</v>
      </c>
      <c r="C3511" s="614"/>
      <c r="D3511" s="638" t="s">
        <v>3542</v>
      </c>
      <c r="E3511" s="165"/>
      <c r="F3511" s="614"/>
      <c r="G3511" s="612" t="s">
        <v>3543</v>
      </c>
    </row>
    <row r="3512" spans="1:7" ht="20.100000000000001" customHeight="1" x14ac:dyDescent="0.2">
      <c r="A3512" s="681" t="str">
        <f t="shared" si="47"/>
        <v>1576  009.005.001  Transporte Escolar Terceirizado Itinerario 02</v>
      </c>
      <c r="B3512" s="636">
        <v>1576</v>
      </c>
      <c r="C3512" s="614"/>
      <c r="D3512" s="638" t="s">
        <v>3544</v>
      </c>
      <c r="E3512" s="165"/>
      <c r="F3512" s="614"/>
      <c r="G3512" s="612" t="s">
        <v>3481</v>
      </c>
    </row>
    <row r="3513" spans="1:7" ht="20.100000000000001" customHeight="1" x14ac:dyDescent="0.2">
      <c r="A3513" s="681" t="str">
        <f t="shared" si="47"/>
        <v>701  009.007.000  TRANSPORTE ESCOLAR - ENSINO MÉDIO</v>
      </c>
      <c r="B3513" s="636">
        <v>701</v>
      </c>
      <c r="C3513" s="614"/>
      <c r="D3513" s="638" t="s">
        <v>3545</v>
      </c>
      <c r="E3513" s="165"/>
      <c r="F3513" s="614"/>
      <c r="G3513" s="612" t="s">
        <v>3546</v>
      </c>
    </row>
    <row r="3514" spans="1:7" ht="20.100000000000001" customHeight="1" x14ac:dyDescent="0.2">
      <c r="A3514" s="681" t="str">
        <f t="shared" si="47"/>
        <v>1578  009.007.001  Transporte Escolar Terceirizado Itinerario 02</v>
      </c>
      <c r="B3514" s="636">
        <v>1578</v>
      </c>
      <c r="C3514" s="614"/>
      <c r="D3514" s="638" t="s">
        <v>3547</v>
      </c>
      <c r="E3514" s="165"/>
      <c r="F3514" s="614"/>
      <c r="G3514" s="612" t="s">
        <v>3481</v>
      </c>
    </row>
    <row r="3515" spans="1:7" ht="20.100000000000001" customHeight="1" x14ac:dyDescent="0.2">
      <c r="A3515" s="681" t="str">
        <f t="shared" si="47"/>
        <v>1579  009.007.002  Transporte Escolar Terceirizado Itinerario 03</v>
      </c>
      <c r="B3515" s="636">
        <v>1579</v>
      </c>
      <c r="C3515" s="614"/>
      <c r="D3515" s="638" t="s">
        <v>3548</v>
      </c>
      <c r="E3515" s="165"/>
      <c r="F3515" s="614"/>
      <c r="G3515" s="612" t="s">
        <v>3483</v>
      </c>
    </row>
    <row r="3516" spans="1:7" ht="20.100000000000001" customHeight="1" x14ac:dyDescent="0.2">
      <c r="A3516" s="681" t="str">
        <f t="shared" si="47"/>
        <v>1581  009.007.003  Transporte Escolar Terceirizado Itinerario 04</v>
      </c>
      <c r="B3516" s="636">
        <v>1581</v>
      </c>
      <c r="C3516" s="614"/>
      <c r="D3516" s="638" t="s">
        <v>3549</v>
      </c>
      <c r="E3516" s="165"/>
      <c r="F3516" s="614"/>
      <c r="G3516" s="612" t="s">
        <v>3485</v>
      </c>
    </row>
    <row r="3517" spans="1:7" ht="20.100000000000001" customHeight="1" x14ac:dyDescent="0.2">
      <c r="A3517" s="681" t="str">
        <f t="shared" si="47"/>
        <v>1582  009.007.004  Transporte Escolar Terceirizado Itinerario 05</v>
      </c>
      <c r="B3517" s="636">
        <v>1582</v>
      </c>
      <c r="C3517" s="614"/>
      <c r="D3517" s="638" t="s">
        <v>3550</v>
      </c>
      <c r="E3517" s="165"/>
      <c r="F3517" s="614"/>
      <c r="G3517" s="612" t="s">
        <v>3487</v>
      </c>
    </row>
    <row r="3518" spans="1:7" ht="20.100000000000001" customHeight="1" x14ac:dyDescent="0.2">
      <c r="A3518" s="681" t="str">
        <f t="shared" si="47"/>
        <v>1583  009.007.005  Transporte Escolar Terceirizado Itinerario 06</v>
      </c>
      <c r="B3518" s="636">
        <v>1583</v>
      </c>
      <c r="C3518" s="614"/>
      <c r="D3518" s="638" t="s">
        <v>3551</v>
      </c>
      <c r="E3518" s="165"/>
      <c r="F3518" s="614"/>
      <c r="G3518" s="612" t="s">
        <v>3489</v>
      </c>
    </row>
    <row r="3519" spans="1:7" ht="20.100000000000001" customHeight="1" x14ac:dyDescent="0.2">
      <c r="A3519" s="681" t="str">
        <f t="shared" si="47"/>
        <v>1587  009.007.006  Transporte Escolar Terceirizado Itinerario 07</v>
      </c>
      <c r="B3519" s="636">
        <v>1587</v>
      </c>
      <c r="C3519" s="614"/>
      <c r="D3519" s="638" t="s">
        <v>3552</v>
      </c>
      <c r="E3519" s="165"/>
      <c r="F3519" s="614"/>
      <c r="G3519" s="612" t="s">
        <v>3491</v>
      </c>
    </row>
    <row r="3520" spans="1:7" ht="20.100000000000001" customHeight="1" x14ac:dyDescent="0.2">
      <c r="A3520" s="681" t="str">
        <f t="shared" si="47"/>
        <v>1591  009.007.007  Transporte Escolar Terceirizado Itinerario 08</v>
      </c>
      <c r="B3520" s="636">
        <v>1591</v>
      </c>
      <c r="C3520" s="614"/>
      <c r="D3520" s="638" t="s">
        <v>3553</v>
      </c>
      <c r="E3520" s="165"/>
      <c r="F3520" s="614"/>
      <c r="G3520" s="612" t="s">
        <v>3493</v>
      </c>
    </row>
    <row r="3521" spans="1:7" ht="20.100000000000001" customHeight="1" x14ac:dyDescent="0.2">
      <c r="A3521" s="681" t="str">
        <f t="shared" si="47"/>
        <v>1592  009.007.008  Transporte Escolar Terceirizado Itinerario 09</v>
      </c>
      <c r="B3521" s="636">
        <v>1592</v>
      </c>
      <c r="C3521" s="614"/>
      <c r="D3521" s="638" t="s">
        <v>3554</v>
      </c>
      <c r="E3521" s="165"/>
      <c r="F3521" s="614"/>
      <c r="G3521" s="612" t="s">
        <v>3495</v>
      </c>
    </row>
    <row r="3522" spans="1:7" ht="20.100000000000001" customHeight="1" x14ac:dyDescent="0.2">
      <c r="A3522" s="681" t="str">
        <f t="shared" si="47"/>
        <v>1593  009.007.009  Transporte Escolar Terceirizado Itinerario 10</v>
      </c>
      <c r="B3522" s="636">
        <v>1593</v>
      </c>
      <c r="C3522" s="614"/>
      <c r="D3522" s="638" t="s">
        <v>3555</v>
      </c>
      <c r="E3522" s="165"/>
      <c r="F3522" s="614"/>
      <c r="G3522" s="612" t="s">
        <v>3497</v>
      </c>
    </row>
    <row r="3523" spans="1:7" ht="20.100000000000001" customHeight="1" x14ac:dyDescent="0.2">
      <c r="A3523" s="681" t="str">
        <f t="shared" si="47"/>
        <v>1603  009.007.010  Transporte Escolar Terceirizado Itinerario 01</v>
      </c>
      <c r="B3523" s="636">
        <v>1603</v>
      </c>
      <c r="C3523" s="614"/>
      <c r="D3523" s="638" t="s">
        <v>3556</v>
      </c>
      <c r="E3523" s="165"/>
      <c r="F3523" s="614"/>
      <c r="G3523" s="612" t="s">
        <v>3479</v>
      </c>
    </row>
    <row r="3524" spans="1:7" ht="20.100000000000001" customHeight="1" x14ac:dyDescent="0.2">
      <c r="A3524" s="681" t="str">
        <f t="shared" si="47"/>
        <v>702  009.008.000  TRANSPORTE ESCOLAR - ENSINO SUPERIOR</v>
      </c>
      <c r="B3524" s="636">
        <v>702</v>
      </c>
      <c r="C3524" s="614"/>
      <c r="D3524" s="638" t="s">
        <v>3557</v>
      </c>
      <c r="E3524" s="165"/>
      <c r="F3524" s="614"/>
      <c r="G3524" s="612" t="s">
        <v>3558</v>
      </c>
    </row>
    <row r="3525" spans="1:7" ht="20.100000000000001" customHeight="1" x14ac:dyDescent="0.2">
      <c r="A3525" s="681" t="str">
        <f t="shared" si="47"/>
        <v>704  009.010.000  TRANSPORTE ESCOLAR - ENSINO PROFISSIONALIZANTE</v>
      </c>
      <c r="B3525" s="636">
        <v>704</v>
      </c>
      <c r="C3525" s="614"/>
      <c r="D3525" s="638" t="s">
        <v>3559</v>
      </c>
      <c r="E3525" s="165"/>
      <c r="F3525" s="614"/>
      <c r="G3525" s="612" t="s">
        <v>3560</v>
      </c>
    </row>
    <row r="3526" spans="1:7" ht="20.100000000000001" customHeight="1" x14ac:dyDescent="0.2">
      <c r="A3526" s="681" t="str">
        <f t="shared" si="47"/>
        <v>705  009.011.000  TRANSPORTE ESCOLAR - DOCENTES</v>
      </c>
      <c r="B3526" s="636">
        <v>705</v>
      </c>
      <c r="C3526" s="614"/>
      <c r="D3526" s="638" t="s">
        <v>3561</v>
      </c>
      <c r="E3526" s="165"/>
      <c r="F3526" s="614"/>
      <c r="G3526" s="612" t="s">
        <v>3562</v>
      </c>
    </row>
    <row r="3527" spans="1:7" ht="20.100000000000001" customHeight="1" x14ac:dyDescent="0.2">
      <c r="A3527" s="681" t="str">
        <f t="shared" ref="A3527:A3590" si="48">CONCATENATE(B3527,"  ",D3527,"  ",G3527)</f>
        <v>1622  009.012.000  TRANSPORTE ESCOLAR PREVESTIBULAR</v>
      </c>
      <c r="B3527" s="636">
        <v>1622</v>
      </c>
      <c r="C3527" s="614"/>
      <c r="D3527" s="638" t="s">
        <v>3563</v>
      </c>
      <c r="E3527" s="165"/>
      <c r="F3527" s="614"/>
      <c r="G3527" s="612" t="s">
        <v>3564</v>
      </c>
    </row>
    <row r="3528" spans="1:7" ht="20.100000000000001" customHeight="1" x14ac:dyDescent="0.2">
      <c r="A3528" s="681" t="str">
        <f t="shared" si="48"/>
        <v>706  010.000.000  ESCOLA JORGE HASS</v>
      </c>
      <c r="B3528" s="636">
        <v>706</v>
      </c>
      <c r="C3528" s="614"/>
      <c r="D3528" s="638" t="s">
        <v>3565</v>
      </c>
      <c r="E3528" s="165"/>
      <c r="F3528" s="614"/>
      <c r="G3528" s="612" t="s">
        <v>3566</v>
      </c>
    </row>
    <row r="3529" spans="1:7" ht="20.100000000000001" customHeight="1" x14ac:dyDescent="0.2">
      <c r="A3529" s="681" t="str">
        <f t="shared" si="48"/>
        <v>710  010.001.000  Energia Elétrica</v>
      </c>
      <c r="B3529" s="636">
        <v>710</v>
      </c>
      <c r="C3529" s="614"/>
      <c r="D3529" s="638" t="s">
        <v>3567</v>
      </c>
      <c r="E3529" s="165"/>
      <c r="F3529" s="614"/>
      <c r="G3529" s="612" t="s">
        <v>700</v>
      </c>
    </row>
    <row r="3530" spans="1:7" ht="20.100000000000001" customHeight="1" x14ac:dyDescent="0.2">
      <c r="A3530" s="681" t="str">
        <f t="shared" si="48"/>
        <v>711  011.000.000  ESCOLA ALVINO NICKEL</v>
      </c>
      <c r="B3530" s="636">
        <v>711</v>
      </c>
      <c r="C3530" s="614"/>
      <c r="D3530" s="638" t="s">
        <v>3568</v>
      </c>
      <c r="E3530" s="165"/>
      <c r="F3530" s="614"/>
      <c r="G3530" s="612" t="s">
        <v>3569</v>
      </c>
    </row>
    <row r="3531" spans="1:7" ht="20.100000000000001" customHeight="1" x14ac:dyDescent="0.2">
      <c r="A3531" s="681" t="str">
        <f t="shared" si="48"/>
        <v>712  011.001.000  Energia Elétrica</v>
      </c>
      <c r="B3531" s="636">
        <v>712</v>
      </c>
      <c r="C3531" s="614"/>
      <c r="D3531" s="638" t="s">
        <v>3570</v>
      </c>
      <c r="E3531" s="165"/>
      <c r="F3531" s="614"/>
      <c r="G3531" s="612" t="s">
        <v>700</v>
      </c>
    </row>
    <row r="3532" spans="1:7" ht="20.100000000000001" customHeight="1" x14ac:dyDescent="0.2">
      <c r="A3532" s="681" t="str">
        <f t="shared" si="48"/>
        <v>713  012.000.000  ESCOLA MARECHAL DEODORO</v>
      </c>
      <c r="B3532" s="636">
        <v>713</v>
      </c>
      <c r="C3532" s="614"/>
      <c r="D3532" s="638" t="s">
        <v>3571</v>
      </c>
      <c r="E3532" s="165"/>
      <c r="F3532" s="614"/>
      <c r="G3532" s="612" t="s">
        <v>3572</v>
      </c>
    </row>
    <row r="3533" spans="1:7" ht="20.100000000000001" customHeight="1" x14ac:dyDescent="0.2">
      <c r="A3533" s="681" t="str">
        <f t="shared" si="48"/>
        <v>714  012.001.000  Energia Elétrica</v>
      </c>
      <c r="B3533" s="636">
        <v>714</v>
      </c>
      <c r="C3533" s="614"/>
      <c r="D3533" s="638" t="s">
        <v>3573</v>
      </c>
      <c r="E3533" s="165"/>
      <c r="F3533" s="614"/>
      <c r="G3533" s="612" t="s">
        <v>700</v>
      </c>
    </row>
    <row r="3534" spans="1:7" ht="20.100000000000001" customHeight="1" x14ac:dyDescent="0.2">
      <c r="A3534" s="681" t="str">
        <f t="shared" si="48"/>
        <v>715  013.000.00  ESCOLA JOSÉ ANTONIO HUGO</v>
      </c>
      <c r="B3534" s="636">
        <v>715</v>
      </c>
      <c r="C3534" s="614"/>
      <c r="D3534" s="638" t="s">
        <v>3574</v>
      </c>
      <c r="E3534" s="165"/>
      <c r="F3534" s="614"/>
      <c r="G3534" s="612" t="s">
        <v>3575</v>
      </c>
    </row>
    <row r="3535" spans="1:7" ht="20.100000000000001" customHeight="1" x14ac:dyDescent="0.2">
      <c r="A3535" s="681" t="str">
        <f t="shared" si="48"/>
        <v>716  013.001.000  Energia Elétrica</v>
      </c>
      <c r="B3535" s="636">
        <v>716</v>
      </c>
      <c r="C3535" s="614"/>
      <c r="D3535" s="638" t="s">
        <v>3576</v>
      </c>
      <c r="E3535" s="165"/>
      <c r="F3535" s="614"/>
      <c r="G3535" s="612" t="s">
        <v>700</v>
      </c>
    </row>
    <row r="3536" spans="1:7" ht="20.100000000000001" customHeight="1" x14ac:dyDescent="0.2">
      <c r="A3536" s="681" t="str">
        <f t="shared" si="48"/>
        <v>717  014.000.000  ESCOLA WILSON LUIS DA SILVA</v>
      </c>
      <c r="B3536" s="636">
        <v>717</v>
      </c>
      <c r="C3536" s="614"/>
      <c r="D3536" s="638" t="s">
        <v>3577</v>
      </c>
      <c r="E3536" s="165"/>
      <c r="F3536" s="614"/>
      <c r="G3536" s="612" t="s">
        <v>3578</v>
      </c>
    </row>
    <row r="3537" spans="1:7" ht="20.100000000000001" customHeight="1" x14ac:dyDescent="0.2">
      <c r="A3537" s="681" t="str">
        <f t="shared" si="48"/>
        <v>718  014.001.000  Energia Elétrica</v>
      </c>
      <c r="B3537" s="636">
        <v>718</v>
      </c>
      <c r="C3537" s="614"/>
      <c r="D3537" s="638" t="s">
        <v>3579</v>
      </c>
      <c r="E3537" s="165"/>
      <c r="F3537" s="614"/>
      <c r="G3537" s="612" t="s">
        <v>700</v>
      </c>
    </row>
    <row r="3538" spans="1:7" ht="20.100000000000001" customHeight="1" x14ac:dyDescent="0.2">
      <c r="A3538" s="681" t="str">
        <f t="shared" si="48"/>
        <v>719  015.000.000  ESCOLA CEC. ROSA TEIXEIRA</v>
      </c>
      <c r="B3538" s="636">
        <v>719</v>
      </c>
      <c r="C3538" s="614"/>
      <c r="D3538" s="638" t="s">
        <v>3580</v>
      </c>
      <c r="E3538" s="165"/>
      <c r="F3538" s="614"/>
      <c r="G3538" s="612" t="s">
        <v>3581</v>
      </c>
    </row>
    <row r="3539" spans="1:7" ht="20.100000000000001" customHeight="1" x14ac:dyDescent="0.2">
      <c r="A3539" s="681" t="str">
        <f t="shared" si="48"/>
        <v>720  015.001.000  Energia Elétrica</v>
      </c>
      <c r="B3539" s="636">
        <v>720</v>
      </c>
      <c r="C3539" s="614"/>
      <c r="D3539" s="638" t="s">
        <v>3582</v>
      </c>
      <c r="E3539" s="165"/>
      <c r="F3539" s="614"/>
      <c r="G3539" s="612" t="s">
        <v>700</v>
      </c>
    </row>
    <row r="3540" spans="1:7" ht="20.100000000000001" customHeight="1" x14ac:dyDescent="0.2">
      <c r="A3540" s="681" t="str">
        <f t="shared" si="48"/>
        <v>1471  016.000.000  ESCOLA CEC. AGENOR RIBEIRO DA ROCHA</v>
      </c>
      <c r="B3540" s="636">
        <v>1471</v>
      </c>
      <c r="C3540" s="614"/>
      <c r="D3540" s="638" t="s">
        <v>3583</v>
      </c>
      <c r="E3540" s="165"/>
      <c r="F3540" s="614"/>
      <c r="G3540" s="612" t="s">
        <v>3584</v>
      </c>
    </row>
    <row r="3541" spans="1:7" ht="20.100000000000001" customHeight="1" x14ac:dyDescent="0.2">
      <c r="A3541" s="681" t="str">
        <f t="shared" si="48"/>
        <v>1472  016.001.000  Energia Elétrica</v>
      </c>
      <c r="B3541" s="636">
        <v>1472</v>
      </c>
      <c r="C3541" s="614"/>
      <c r="D3541" s="638" t="s">
        <v>3585</v>
      </c>
      <c r="E3541" s="165"/>
      <c r="F3541" s="614"/>
      <c r="G3541" s="612" t="s">
        <v>700</v>
      </c>
    </row>
    <row r="3542" spans="1:7" ht="20.100000000000001" customHeight="1" x14ac:dyDescent="0.2">
      <c r="A3542" s="681" t="str">
        <f t="shared" si="48"/>
        <v>1544  017.000.000  CRECHE</v>
      </c>
      <c r="B3542" s="636">
        <v>1544</v>
      </c>
      <c r="C3542" s="614"/>
      <c r="D3542" s="638" t="s">
        <v>3586</v>
      </c>
      <c r="E3542" s="165"/>
      <c r="F3542" s="614"/>
      <c r="G3542" s="612" t="s">
        <v>3587</v>
      </c>
    </row>
    <row r="3543" spans="1:7" ht="20.100000000000001" customHeight="1" x14ac:dyDescent="0.2">
      <c r="A3543" s="681" t="str">
        <f t="shared" si="48"/>
        <v>1545  017.001.000  PESSOAL E ENCARGOS SOCIAIS</v>
      </c>
      <c r="B3543" s="636">
        <v>1545</v>
      </c>
      <c r="C3543" s="614"/>
      <c r="D3543" s="638" t="s">
        <v>3588</v>
      </c>
      <c r="E3543" s="165"/>
      <c r="F3543" s="614"/>
      <c r="G3543" s="612" t="s">
        <v>2393</v>
      </c>
    </row>
    <row r="3544" spans="1:7" ht="20.100000000000001" customHeight="1" x14ac:dyDescent="0.2">
      <c r="A3544" s="681" t="str">
        <f t="shared" si="48"/>
        <v>1546  017.002.000  CUSTEIO OPERACIONAL CRECHE</v>
      </c>
      <c r="B3544" s="636">
        <v>1546</v>
      </c>
      <c r="C3544" s="614"/>
      <c r="D3544" s="638" t="s">
        <v>3589</v>
      </c>
      <c r="E3544" s="165"/>
      <c r="F3544" s="614"/>
      <c r="G3544" s="612" t="s">
        <v>3590</v>
      </c>
    </row>
    <row r="3545" spans="1:7" ht="20.100000000000001" customHeight="1" x14ac:dyDescent="0.2">
      <c r="A3545" s="681" t="str">
        <f t="shared" si="48"/>
        <v>1547  017.002.001  Aquisição de Imóveis</v>
      </c>
      <c r="B3545" s="636">
        <v>1547</v>
      </c>
      <c r="C3545" s="614"/>
      <c r="D3545" s="638" t="s">
        <v>3591</v>
      </c>
      <c r="E3545" s="165"/>
      <c r="F3545" s="614"/>
      <c r="G3545" s="612" t="s">
        <v>3592</v>
      </c>
    </row>
    <row r="3546" spans="1:7" ht="20.100000000000001" customHeight="1" x14ac:dyDescent="0.2">
      <c r="A3546" s="681" t="str">
        <f t="shared" si="48"/>
        <v>721  030.000.000  ALIMENTAÇÃO ESCOLAR</v>
      </c>
      <c r="B3546" s="636">
        <v>721</v>
      </c>
      <c r="C3546" s="614"/>
      <c r="D3546" s="638" t="s">
        <v>3593</v>
      </c>
      <c r="E3546" s="165"/>
      <c r="F3546" s="614"/>
      <c r="G3546" s="612" t="s">
        <v>3594</v>
      </c>
    </row>
    <row r="3547" spans="1:7" ht="20.100000000000001" customHeight="1" x14ac:dyDescent="0.2">
      <c r="A3547" s="681" t="str">
        <f t="shared" si="48"/>
        <v>722  030.001.000  PESSOAL E ENCARGOS SOCIAIS</v>
      </c>
      <c r="B3547" s="636">
        <v>722</v>
      </c>
      <c r="C3547" s="614"/>
      <c r="D3547" s="638" t="s">
        <v>3595</v>
      </c>
      <c r="E3547" s="165"/>
      <c r="F3547" s="614"/>
      <c r="G3547" s="612" t="s">
        <v>2393</v>
      </c>
    </row>
    <row r="3548" spans="1:7" ht="20.100000000000001" customHeight="1" x14ac:dyDescent="0.2">
      <c r="A3548" s="681" t="str">
        <f t="shared" si="48"/>
        <v>723  030.001.001  Servidores Efetivos</v>
      </c>
      <c r="B3548" s="636">
        <v>723</v>
      </c>
      <c r="C3548" s="614"/>
      <c r="D3548" s="638" t="s">
        <v>3596</v>
      </c>
      <c r="E3548" s="165"/>
      <c r="F3548" s="614"/>
      <c r="G3548" s="612" t="s">
        <v>2141</v>
      </c>
    </row>
    <row r="3549" spans="1:7" ht="20.100000000000001" customHeight="1" x14ac:dyDescent="0.2">
      <c r="A3549" s="681" t="str">
        <f t="shared" si="48"/>
        <v>724  030.001.002  Servidores Contratados</v>
      </c>
      <c r="B3549" s="636">
        <v>724</v>
      </c>
      <c r="C3549" s="614"/>
      <c r="D3549" s="638" t="s">
        <v>3597</v>
      </c>
      <c r="E3549" s="165"/>
      <c r="F3549" s="614"/>
      <c r="G3549" s="612" t="s">
        <v>2396</v>
      </c>
    </row>
    <row r="3550" spans="1:7" ht="20.100000000000001" customHeight="1" x14ac:dyDescent="0.2">
      <c r="A3550" s="681" t="str">
        <f t="shared" si="48"/>
        <v>725  030.001.003  Servidores C.C.</v>
      </c>
      <c r="B3550" s="636">
        <v>725</v>
      </c>
      <c r="C3550" s="614"/>
      <c r="D3550" s="638" t="s">
        <v>3598</v>
      </c>
      <c r="E3550" s="165"/>
      <c r="F3550" s="614"/>
      <c r="G3550" s="612" t="s">
        <v>2142</v>
      </c>
    </row>
    <row r="3551" spans="1:7" ht="20.100000000000001" customHeight="1" x14ac:dyDescent="0.2">
      <c r="A3551" s="681" t="str">
        <f t="shared" si="48"/>
        <v>726  030.002.000  ADMINISTRATIVO</v>
      </c>
      <c r="B3551" s="636">
        <v>726</v>
      </c>
      <c r="C3551" s="614"/>
      <c r="D3551" s="638" t="s">
        <v>3599</v>
      </c>
      <c r="E3551" s="165"/>
      <c r="F3551" s="614"/>
      <c r="G3551" s="612" t="s">
        <v>3600</v>
      </c>
    </row>
    <row r="3552" spans="1:7" ht="20.100000000000001" customHeight="1" x14ac:dyDescent="0.2">
      <c r="A3552" s="681" t="str">
        <f t="shared" si="48"/>
        <v>727  030.002.001  Diárias Serv. Efetivos</v>
      </c>
      <c r="B3552" s="636">
        <v>727</v>
      </c>
      <c r="C3552" s="614"/>
      <c r="D3552" s="638" t="s">
        <v>3601</v>
      </c>
      <c r="E3552" s="165"/>
      <c r="F3552" s="614"/>
      <c r="G3552" s="612" t="s">
        <v>3602</v>
      </c>
    </row>
    <row r="3553" spans="1:7" ht="20.100000000000001" customHeight="1" x14ac:dyDescent="0.2">
      <c r="A3553" s="681" t="str">
        <f t="shared" si="48"/>
        <v>728  030.002.002  Diárias Serv. Contratados</v>
      </c>
      <c r="B3553" s="636">
        <v>728</v>
      </c>
      <c r="C3553" s="614"/>
      <c r="D3553" s="638" t="s">
        <v>3603</v>
      </c>
      <c r="E3553" s="165"/>
      <c r="F3553" s="614"/>
      <c r="G3553" s="612" t="s">
        <v>3604</v>
      </c>
    </row>
    <row r="3554" spans="1:7" ht="20.100000000000001" customHeight="1" x14ac:dyDescent="0.2">
      <c r="A3554" s="681" t="str">
        <f t="shared" si="48"/>
        <v>729  030.002.003  Diárias Serv. C.C.</v>
      </c>
      <c r="B3554" s="636">
        <v>729</v>
      </c>
      <c r="C3554" s="614"/>
      <c r="D3554" s="638" t="s">
        <v>3605</v>
      </c>
      <c r="E3554" s="165"/>
      <c r="F3554" s="614"/>
      <c r="G3554" s="612" t="s">
        <v>3606</v>
      </c>
    </row>
    <row r="3555" spans="1:7" ht="20.100000000000001" customHeight="1" x14ac:dyDescent="0.2">
      <c r="A3555" s="681" t="str">
        <f t="shared" si="48"/>
        <v>730  030.002.004  Material de Expediente</v>
      </c>
      <c r="B3555" s="636">
        <v>730</v>
      </c>
      <c r="C3555" s="614"/>
      <c r="D3555" s="638" t="s">
        <v>3607</v>
      </c>
      <c r="E3555" s="165"/>
      <c r="F3555" s="614"/>
      <c r="G3555" s="612" t="s">
        <v>2346</v>
      </c>
    </row>
    <row r="3556" spans="1:7" ht="20.100000000000001" customHeight="1" x14ac:dyDescent="0.2">
      <c r="A3556" s="681" t="str">
        <f t="shared" si="48"/>
        <v>731  030.002.005  Manutenção de Eq. Informática</v>
      </c>
      <c r="B3556" s="636">
        <v>731</v>
      </c>
      <c r="C3556" s="614"/>
      <c r="D3556" s="638" t="s">
        <v>3608</v>
      </c>
      <c r="E3556" s="165"/>
      <c r="F3556" s="614"/>
      <c r="G3556" s="612" t="s">
        <v>2439</v>
      </c>
    </row>
    <row r="3557" spans="1:7" ht="20.100000000000001" customHeight="1" x14ac:dyDescent="0.2">
      <c r="A3557" s="681" t="str">
        <f t="shared" si="48"/>
        <v>732  030.002.006  Seleção e Treinamento</v>
      </c>
      <c r="B3557" s="636">
        <v>732</v>
      </c>
      <c r="C3557" s="614"/>
      <c r="D3557" s="638" t="s">
        <v>3609</v>
      </c>
      <c r="E3557" s="165"/>
      <c r="F3557" s="614"/>
      <c r="G3557" s="612" t="s">
        <v>2369</v>
      </c>
    </row>
    <row r="3558" spans="1:7" ht="20.100000000000001" customHeight="1" x14ac:dyDescent="0.2">
      <c r="A3558" s="681" t="str">
        <f t="shared" si="48"/>
        <v>733  030.002.007  Suprimentos de Informática</v>
      </c>
      <c r="B3558" s="636">
        <v>733</v>
      </c>
      <c r="C3558" s="614"/>
      <c r="D3558" s="638" t="s">
        <v>3610</v>
      </c>
      <c r="E3558" s="165"/>
      <c r="F3558" s="614"/>
      <c r="G3558" s="612" t="s">
        <v>2435</v>
      </c>
    </row>
    <row r="3559" spans="1:7" ht="20.100000000000001" customHeight="1" x14ac:dyDescent="0.2">
      <c r="A3559" s="681" t="str">
        <f t="shared" si="48"/>
        <v>734  030.002.008  Auxilio Alimentação</v>
      </c>
      <c r="B3559" s="636">
        <v>734</v>
      </c>
      <c r="C3559" s="614"/>
      <c r="D3559" s="638" t="s">
        <v>3611</v>
      </c>
      <c r="E3559" s="165"/>
      <c r="F3559" s="614"/>
      <c r="G3559" s="612" t="s">
        <v>2524</v>
      </c>
    </row>
    <row r="3560" spans="1:7" ht="20.100000000000001" customHeight="1" x14ac:dyDescent="0.2">
      <c r="A3560" s="681" t="str">
        <f t="shared" si="48"/>
        <v>735  030.002.009  Auxilio Transporte</v>
      </c>
      <c r="B3560" s="636">
        <v>735</v>
      </c>
      <c r="C3560" s="614"/>
      <c r="D3560" s="638" t="s">
        <v>3612</v>
      </c>
      <c r="E3560" s="165"/>
      <c r="F3560" s="614"/>
      <c r="G3560" s="612" t="s">
        <v>2462</v>
      </c>
    </row>
    <row r="3561" spans="1:7" ht="20.100000000000001" customHeight="1" x14ac:dyDescent="0.2">
      <c r="A3561" s="681" t="str">
        <f t="shared" si="48"/>
        <v>736  030.002.010  Geral</v>
      </c>
      <c r="B3561" s="636">
        <v>736</v>
      </c>
      <c r="C3561" s="614"/>
      <c r="D3561" s="638" t="s">
        <v>3613</v>
      </c>
      <c r="E3561" s="165"/>
      <c r="F3561" s="614"/>
      <c r="G3561" s="612" t="s">
        <v>2380</v>
      </c>
    </row>
    <row r="3562" spans="1:7" ht="20.100000000000001" customHeight="1" x14ac:dyDescent="0.2">
      <c r="A3562" s="681" t="str">
        <f t="shared" si="48"/>
        <v>1564  030.002.011  Hora Extra</v>
      </c>
      <c r="B3562" s="636">
        <v>1564</v>
      </c>
      <c r="C3562" s="614"/>
      <c r="D3562" s="638" t="s">
        <v>3614</v>
      </c>
      <c r="E3562" s="165"/>
      <c r="F3562" s="614"/>
      <c r="G3562" s="612" t="s">
        <v>3615</v>
      </c>
    </row>
    <row r="3563" spans="1:7" ht="20.100000000000001" customHeight="1" x14ac:dyDescent="0.2">
      <c r="A3563" s="681" t="str">
        <f t="shared" si="48"/>
        <v>737  030.003.000  ALIMENTAÇÃO ESCOLAR</v>
      </c>
      <c r="B3563" s="636">
        <v>737</v>
      </c>
      <c r="C3563" s="614"/>
      <c r="D3563" s="638" t="s">
        <v>3616</v>
      </c>
      <c r="E3563" s="165"/>
      <c r="F3563" s="614"/>
      <c r="G3563" s="612" t="s">
        <v>3594</v>
      </c>
    </row>
    <row r="3564" spans="1:7" ht="20.100000000000001" customHeight="1" x14ac:dyDescent="0.2">
      <c r="A3564" s="681" t="str">
        <f t="shared" si="48"/>
        <v>738  030.003.001  Gas de Cozinha</v>
      </c>
      <c r="B3564" s="636">
        <v>738</v>
      </c>
      <c r="C3564" s="614"/>
      <c r="D3564" s="638" t="s">
        <v>3617</v>
      </c>
      <c r="E3564" s="165"/>
      <c r="F3564" s="614"/>
      <c r="G3564" s="612" t="s">
        <v>2342</v>
      </c>
    </row>
    <row r="3565" spans="1:7" ht="20.100000000000001" customHeight="1" x14ac:dyDescent="0.2">
      <c r="A3565" s="681" t="str">
        <f t="shared" si="48"/>
        <v>739  030.003.002  Generos Alimenticios PNAE</v>
      </c>
      <c r="B3565" s="636">
        <v>739</v>
      </c>
      <c r="C3565" s="614"/>
      <c r="D3565" s="638" t="s">
        <v>3618</v>
      </c>
      <c r="E3565" s="165"/>
      <c r="F3565" s="614"/>
      <c r="G3565" s="612" t="s">
        <v>3619</v>
      </c>
    </row>
    <row r="3566" spans="1:7" ht="20.100000000000001" customHeight="1" x14ac:dyDescent="0.2">
      <c r="A3566" s="681" t="str">
        <f t="shared" si="48"/>
        <v>740  030.003.003  Generos Alimenticios PNAE AGRIC. FAMILIAR</v>
      </c>
      <c r="B3566" s="636">
        <v>740</v>
      </c>
      <c r="C3566" s="614"/>
      <c r="D3566" s="638" t="s">
        <v>3620</v>
      </c>
      <c r="E3566" s="165"/>
      <c r="F3566" s="614"/>
      <c r="G3566" s="612" t="s">
        <v>3621</v>
      </c>
    </row>
    <row r="3567" spans="1:7" ht="20.100000000000001" customHeight="1" x14ac:dyDescent="0.2">
      <c r="A3567" s="681" t="str">
        <f t="shared" si="48"/>
        <v>741  030.003.004  Generos Alimenticios PMAE</v>
      </c>
      <c r="B3567" s="636">
        <v>741</v>
      </c>
      <c r="C3567" s="614"/>
      <c r="D3567" s="638" t="s">
        <v>3622</v>
      </c>
      <c r="E3567" s="165"/>
      <c r="F3567" s="614"/>
      <c r="G3567" s="612" t="s">
        <v>3623</v>
      </c>
    </row>
    <row r="3568" spans="1:7" ht="20.100000000000001" customHeight="1" x14ac:dyDescent="0.2">
      <c r="A3568" s="681" t="str">
        <f t="shared" si="48"/>
        <v>742  030.003.005  Generos Alimenticios PMAE AGRIC. FAMILIAR</v>
      </c>
      <c r="B3568" s="636">
        <v>742</v>
      </c>
      <c r="C3568" s="614"/>
      <c r="D3568" s="638" t="s">
        <v>3624</v>
      </c>
      <c r="E3568" s="165"/>
      <c r="F3568" s="614"/>
      <c r="G3568" s="612" t="s">
        <v>3625</v>
      </c>
    </row>
    <row r="3569" spans="1:7" ht="20.100000000000001" customHeight="1" x14ac:dyDescent="0.2">
      <c r="A3569" s="681" t="str">
        <f t="shared" si="48"/>
        <v>743  030.003.006  Material de Copa e Cozinha</v>
      </c>
      <c r="B3569" s="636">
        <v>743</v>
      </c>
      <c r="C3569" s="614"/>
      <c r="D3569" s="638" t="s">
        <v>3626</v>
      </c>
      <c r="E3569" s="165"/>
      <c r="F3569" s="614"/>
      <c r="G3569" s="612" t="s">
        <v>2430</v>
      </c>
    </row>
    <row r="3570" spans="1:7" ht="20.100000000000001" customHeight="1" x14ac:dyDescent="0.2">
      <c r="A3570" s="681" t="str">
        <f t="shared" si="48"/>
        <v>744  030.003.007  Geral</v>
      </c>
      <c r="B3570" s="636">
        <v>744</v>
      </c>
      <c r="C3570" s="614"/>
      <c r="D3570" s="638" t="s">
        <v>3627</v>
      </c>
      <c r="E3570" s="165"/>
      <c r="F3570" s="614"/>
      <c r="G3570" s="612" t="s">
        <v>2380</v>
      </c>
    </row>
    <row r="3571" spans="1:7" ht="20.100000000000001" customHeight="1" x14ac:dyDescent="0.2">
      <c r="A3571" s="681" t="str">
        <f t="shared" si="48"/>
        <v>1319  030.003.008  Pessoal e Encargos: Serv. Efetivos</v>
      </c>
      <c r="B3571" s="636">
        <v>1319</v>
      </c>
      <c r="C3571" s="614"/>
      <c r="D3571" s="638" t="s">
        <v>3628</v>
      </c>
      <c r="E3571" s="165"/>
      <c r="F3571" s="614"/>
      <c r="G3571" s="612" t="s">
        <v>3629</v>
      </c>
    </row>
    <row r="3572" spans="1:7" ht="20.100000000000001" customHeight="1" x14ac:dyDescent="0.2">
      <c r="A3572" s="681" t="str">
        <f t="shared" si="48"/>
        <v>1553  030.003.009  Aquisição de Mobiliario</v>
      </c>
      <c r="B3572" s="636">
        <v>1553</v>
      </c>
      <c r="C3572" s="614"/>
      <c r="D3572" s="638" t="s">
        <v>3630</v>
      </c>
      <c r="E3572" s="165"/>
      <c r="F3572" s="614"/>
      <c r="G3572" s="612" t="s">
        <v>3360</v>
      </c>
    </row>
    <row r="3573" spans="1:7" ht="20.100000000000001" customHeight="1" x14ac:dyDescent="0.2">
      <c r="A3573" s="681" t="str">
        <f t="shared" si="48"/>
        <v>745  031.000.000  CULTURA</v>
      </c>
      <c r="B3573" s="636">
        <v>745</v>
      </c>
      <c r="C3573" s="614"/>
      <c r="D3573" s="638" t="s">
        <v>3631</v>
      </c>
      <c r="E3573" s="165"/>
      <c r="F3573" s="614"/>
      <c r="G3573" s="612" t="s">
        <v>3632</v>
      </c>
    </row>
    <row r="3574" spans="1:7" ht="20.100000000000001" customHeight="1" x14ac:dyDescent="0.2">
      <c r="A3574" s="681" t="str">
        <f t="shared" si="48"/>
        <v>746  031.001.000  PESSOAL E ENCARGOS</v>
      </c>
      <c r="B3574" s="636">
        <v>746</v>
      </c>
      <c r="C3574" s="614"/>
      <c r="D3574" s="638" t="s">
        <v>3633</v>
      </c>
      <c r="E3574" s="165"/>
      <c r="F3574" s="614"/>
      <c r="G3574" s="612" t="s">
        <v>3634</v>
      </c>
    </row>
    <row r="3575" spans="1:7" ht="20.100000000000001" customHeight="1" x14ac:dyDescent="0.2">
      <c r="A3575" s="681" t="str">
        <f t="shared" si="48"/>
        <v>747  031.001.001  Servidores Efetivos</v>
      </c>
      <c r="B3575" s="636">
        <v>747</v>
      </c>
      <c r="C3575" s="614"/>
      <c r="D3575" s="638" t="s">
        <v>3635</v>
      </c>
      <c r="E3575" s="165"/>
      <c r="F3575" s="614"/>
      <c r="G3575" s="612" t="s">
        <v>2141</v>
      </c>
    </row>
    <row r="3576" spans="1:7" ht="20.100000000000001" customHeight="1" x14ac:dyDescent="0.2">
      <c r="A3576" s="681" t="str">
        <f t="shared" si="48"/>
        <v>748  031.001.002  Servidores Contratdos</v>
      </c>
      <c r="B3576" s="636">
        <v>748</v>
      </c>
      <c r="C3576" s="614"/>
      <c r="D3576" s="638" t="s">
        <v>3636</v>
      </c>
      <c r="E3576" s="165"/>
      <c r="F3576" s="614"/>
      <c r="G3576" s="612" t="s">
        <v>3637</v>
      </c>
    </row>
    <row r="3577" spans="1:7" ht="20.100000000000001" customHeight="1" x14ac:dyDescent="0.2">
      <c r="A3577" s="681" t="str">
        <f t="shared" si="48"/>
        <v>749  031.001.003  Servidores C.C.</v>
      </c>
      <c r="B3577" s="636">
        <v>749</v>
      </c>
      <c r="C3577" s="614"/>
      <c r="D3577" s="638" t="s">
        <v>3638</v>
      </c>
      <c r="E3577" s="165"/>
      <c r="F3577" s="614"/>
      <c r="G3577" s="612" t="s">
        <v>2142</v>
      </c>
    </row>
    <row r="3578" spans="1:7" ht="20.100000000000001" customHeight="1" x14ac:dyDescent="0.2">
      <c r="A3578" s="681" t="str">
        <f t="shared" si="48"/>
        <v>750  031.002.000  ADMINISTRATIVO</v>
      </c>
      <c r="B3578" s="636">
        <v>750</v>
      </c>
      <c r="C3578" s="614"/>
      <c r="D3578" s="638" t="s">
        <v>3639</v>
      </c>
      <c r="E3578" s="165"/>
      <c r="F3578" s="614"/>
      <c r="G3578" s="612" t="s">
        <v>3600</v>
      </c>
    </row>
    <row r="3579" spans="1:7" ht="20.100000000000001" customHeight="1" x14ac:dyDescent="0.2">
      <c r="A3579" s="681" t="str">
        <f t="shared" si="48"/>
        <v>751  031.002.001  Gas de Cozinha</v>
      </c>
      <c r="B3579" s="636">
        <v>751</v>
      </c>
      <c r="C3579" s="614"/>
      <c r="D3579" s="638" t="s">
        <v>3640</v>
      </c>
      <c r="E3579" s="165"/>
      <c r="F3579" s="614"/>
      <c r="G3579" s="612" t="s">
        <v>2342</v>
      </c>
    </row>
    <row r="3580" spans="1:7" ht="20.100000000000001" customHeight="1" x14ac:dyDescent="0.2">
      <c r="A3580" s="681" t="str">
        <f t="shared" si="48"/>
        <v>752  031.002.002  Generos Alimenticios</v>
      </c>
      <c r="B3580" s="636">
        <v>752</v>
      </c>
      <c r="C3580" s="614"/>
      <c r="D3580" s="638" t="s">
        <v>3641</v>
      </c>
      <c r="E3580" s="165"/>
      <c r="F3580" s="614"/>
      <c r="G3580" s="612" t="s">
        <v>2340</v>
      </c>
    </row>
    <row r="3581" spans="1:7" ht="20.100000000000001" customHeight="1" x14ac:dyDescent="0.2">
      <c r="A3581" s="681" t="str">
        <f t="shared" si="48"/>
        <v>753  031.002.003  Material de Copa e Cozinha</v>
      </c>
      <c r="B3581" s="636">
        <v>753</v>
      </c>
      <c r="C3581" s="614"/>
      <c r="D3581" s="638" t="s">
        <v>3642</v>
      </c>
      <c r="E3581" s="165"/>
      <c r="F3581" s="614"/>
      <c r="G3581" s="612" t="s">
        <v>2430</v>
      </c>
    </row>
    <row r="3582" spans="1:7" ht="20.100000000000001" customHeight="1" x14ac:dyDescent="0.2">
      <c r="A3582" s="681" t="str">
        <f t="shared" si="48"/>
        <v>754  031.002.004  Diárias Serv. Efetivos</v>
      </c>
      <c r="B3582" s="636">
        <v>754</v>
      </c>
      <c r="C3582" s="614"/>
      <c r="D3582" s="638" t="s">
        <v>3643</v>
      </c>
      <c r="E3582" s="165"/>
      <c r="F3582" s="614"/>
      <c r="G3582" s="612" t="s">
        <v>3602</v>
      </c>
    </row>
    <row r="3583" spans="1:7" ht="20.100000000000001" customHeight="1" x14ac:dyDescent="0.2">
      <c r="A3583" s="681" t="str">
        <f t="shared" si="48"/>
        <v>755  031.002.005  Diárias Serv. Contratados</v>
      </c>
      <c r="B3583" s="636">
        <v>755</v>
      </c>
      <c r="C3583" s="614"/>
      <c r="D3583" s="638" t="s">
        <v>3644</v>
      </c>
      <c r="E3583" s="165"/>
      <c r="F3583" s="614"/>
      <c r="G3583" s="612" t="s">
        <v>3604</v>
      </c>
    </row>
    <row r="3584" spans="1:7" ht="20.100000000000001" customHeight="1" x14ac:dyDescent="0.2">
      <c r="A3584" s="681" t="str">
        <f t="shared" si="48"/>
        <v>756  031.002.006  Diárias Serv. C.C.</v>
      </c>
      <c r="B3584" s="636">
        <v>756</v>
      </c>
      <c r="C3584" s="614"/>
      <c r="D3584" s="638" t="s">
        <v>3645</v>
      </c>
      <c r="E3584" s="165"/>
      <c r="F3584" s="614"/>
      <c r="G3584" s="612" t="s">
        <v>3606</v>
      </c>
    </row>
    <row r="3585" spans="1:7" ht="20.100000000000001" customHeight="1" x14ac:dyDescent="0.2">
      <c r="A3585" s="681" t="str">
        <f t="shared" si="48"/>
        <v>757  031.002.007  Material de Expediente</v>
      </c>
      <c r="B3585" s="636">
        <v>757</v>
      </c>
      <c r="C3585" s="614"/>
      <c r="D3585" s="638" t="s">
        <v>3646</v>
      </c>
      <c r="E3585" s="165"/>
      <c r="F3585" s="614"/>
      <c r="G3585" s="612" t="s">
        <v>2346</v>
      </c>
    </row>
    <row r="3586" spans="1:7" ht="20.100000000000001" customHeight="1" x14ac:dyDescent="0.2">
      <c r="A3586" s="681" t="str">
        <f t="shared" si="48"/>
        <v>758  031.002.008  Manutenção de Eq. Informática</v>
      </c>
      <c r="B3586" s="636">
        <v>758</v>
      </c>
      <c r="C3586" s="614"/>
      <c r="D3586" s="638" t="s">
        <v>3647</v>
      </c>
      <c r="E3586" s="165"/>
      <c r="F3586" s="614"/>
      <c r="G3586" s="612" t="s">
        <v>2439</v>
      </c>
    </row>
    <row r="3587" spans="1:7" ht="20.100000000000001" customHeight="1" x14ac:dyDescent="0.2">
      <c r="A3587" s="681" t="str">
        <f t="shared" si="48"/>
        <v>759  031.002.009  Seleção e Treinamento</v>
      </c>
      <c r="B3587" s="636">
        <v>759</v>
      </c>
      <c r="C3587" s="614"/>
      <c r="D3587" s="638" t="s">
        <v>3648</v>
      </c>
      <c r="E3587" s="165"/>
      <c r="F3587" s="614"/>
      <c r="G3587" s="612" t="s">
        <v>2369</v>
      </c>
    </row>
    <row r="3588" spans="1:7" ht="20.100000000000001" customHeight="1" x14ac:dyDescent="0.2">
      <c r="A3588" s="681" t="str">
        <f t="shared" si="48"/>
        <v>760  031.002.010  Suprimentos de Informática</v>
      </c>
      <c r="B3588" s="636">
        <v>760</v>
      </c>
      <c r="C3588" s="614"/>
      <c r="D3588" s="638" t="s">
        <v>3649</v>
      </c>
      <c r="E3588" s="165"/>
      <c r="F3588" s="614"/>
      <c r="G3588" s="612" t="s">
        <v>2435</v>
      </c>
    </row>
    <row r="3589" spans="1:7" ht="20.100000000000001" customHeight="1" x14ac:dyDescent="0.2">
      <c r="A3589" s="681" t="str">
        <f t="shared" si="48"/>
        <v>761  031.002.011  Auxilio Alimentação</v>
      </c>
      <c r="B3589" s="636">
        <v>761</v>
      </c>
      <c r="C3589" s="614"/>
      <c r="D3589" s="638" t="s">
        <v>3650</v>
      </c>
      <c r="E3589" s="165"/>
      <c r="F3589" s="614"/>
      <c r="G3589" s="612" t="s">
        <v>2524</v>
      </c>
    </row>
    <row r="3590" spans="1:7" ht="20.100000000000001" customHeight="1" x14ac:dyDescent="0.2">
      <c r="A3590" s="681" t="str">
        <f t="shared" si="48"/>
        <v>762  031.002.012  Auxilio Transporte</v>
      </c>
      <c r="B3590" s="636">
        <v>762</v>
      </c>
      <c r="C3590" s="614"/>
      <c r="D3590" s="638" t="s">
        <v>3651</v>
      </c>
      <c r="E3590" s="165"/>
      <c r="F3590" s="614"/>
      <c r="G3590" s="612" t="s">
        <v>2462</v>
      </c>
    </row>
    <row r="3591" spans="1:7" ht="20.100000000000001" customHeight="1" x14ac:dyDescent="0.2">
      <c r="A3591" s="681" t="str">
        <f t="shared" ref="A3591:A3654" si="49">CONCATENATE(B3591,"  ",D3591,"  ",G3591)</f>
        <v>763  031.002.013  Custo de Aquisição Eq. Informática</v>
      </c>
      <c r="B3591" s="636">
        <v>763</v>
      </c>
      <c r="C3591" s="614"/>
      <c r="D3591" s="638" t="s">
        <v>3652</v>
      </c>
      <c r="E3591" s="165"/>
      <c r="F3591" s="614"/>
      <c r="G3591" s="612" t="s">
        <v>3653</v>
      </c>
    </row>
    <row r="3592" spans="1:7" ht="20.100000000000001" customHeight="1" x14ac:dyDescent="0.2">
      <c r="A3592" s="681" t="str">
        <f t="shared" si="49"/>
        <v>764  031.002.014  Custo de Aquisição Mobiliario</v>
      </c>
      <c r="B3592" s="636">
        <v>764</v>
      </c>
      <c r="C3592" s="614"/>
      <c r="D3592" s="638" t="s">
        <v>3654</v>
      </c>
      <c r="E3592" s="165"/>
      <c r="F3592" s="614"/>
      <c r="G3592" s="612" t="s">
        <v>3655</v>
      </c>
    </row>
    <row r="3593" spans="1:7" ht="20.100000000000001" customHeight="1" x14ac:dyDescent="0.2">
      <c r="A3593" s="681" t="str">
        <f t="shared" si="49"/>
        <v>765  031.002.015  Custo de Aquisição Moveis e Utensilios</v>
      </c>
      <c r="B3593" s="636">
        <v>765</v>
      </c>
      <c r="C3593" s="614"/>
      <c r="D3593" s="638" t="s">
        <v>3656</v>
      </c>
      <c r="E3593" s="165"/>
      <c r="F3593" s="614"/>
      <c r="G3593" s="612" t="s">
        <v>3657</v>
      </c>
    </row>
    <row r="3594" spans="1:7" ht="20.100000000000001" customHeight="1" x14ac:dyDescent="0.2">
      <c r="A3594" s="681" t="str">
        <f t="shared" si="49"/>
        <v>766  031.002.016  Geral</v>
      </c>
      <c r="B3594" s="636">
        <v>766</v>
      </c>
      <c r="C3594" s="614"/>
      <c r="D3594" s="638" t="s">
        <v>3658</v>
      </c>
      <c r="E3594" s="165"/>
      <c r="F3594" s="614"/>
      <c r="G3594" s="612" t="s">
        <v>2380</v>
      </c>
    </row>
    <row r="3595" spans="1:7" ht="20.100000000000001" customHeight="1" x14ac:dyDescent="0.2">
      <c r="A3595" s="681" t="str">
        <f t="shared" si="49"/>
        <v>1572  031.002.017  Material P/ Manutenção de Imóveis</v>
      </c>
      <c r="B3595" s="636">
        <v>1572</v>
      </c>
      <c r="C3595" s="614"/>
      <c r="D3595" s="638" t="s">
        <v>3659</v>
      </c>
      <c r="E3595" s="165"/>
      <c r="F3595" s="614"/>
      <c r="G3595" s="612" t="s">
        <v>3660</v>
      </c>
    </row>
    <row r="3596" spans="1:7" ht="20.100000000000001" customHeight="1" x14ac:dyDescent="0.2">
      <c r="A3596" s="681" t="str">
        <f t="shared" si="49"/>
        <v>767  031.003.000  AGROTURISMO</v>
      </c>
      <c r="B3596" s="636">
        <v>767</v>
      </c>
      <c r="C3596" s="614"/>
      <c r="D3596" s="638" t="s">
        <v>3661</v>
      </c>
      <c r="E3596" s="165"/>
      <c r="F3596" s="614"/>
      <c r="G3596" s="612" t="s">
        <v>3662</v>
      </c>
    </row>
    <row r="3597" spans="1:7" ht="20.100000000000001" customHeight="1" x14ac:dyDescent="0.2">
      <c r="A3597" s="681" t="str">
        <f t="shared" si="49"/>
        <v>768  031.003.001  Material de Consumo</v>
      </c>
      <c r="B3597" s="636">
        <v>768</v>
      </c>
      <c r="C3597" s="614"/>
      <c r="D3597" s="638" t="s">
        <v>3663</v>
      </c>
      <c r="E3597" s="165"/>
      <c r="F3597" s="614"/>
      <c r="G3597" s="612" t="s">
        <v>1955</v>
      </c>
    </row>
    <row r="3598" spans="1:7" ht="20.100000000000001" customHeight="1" x14ac:dyDescent="0.2">
      <c r="A3598" s="681" t="str">
        <f t="shared" si="49"/>
        <v>769  031.003.002  Prestação de Serviços</v>
      </c>
      <c r="B3598" s="636">
        <v>769</v>
      </c>
      <c r="C3598" s="614"/>
      <c r="D3598" s="638" t="s">
        <v>3664</v>
      </c>
      <c r="E3598" s="165"/>
      <c r="F3598" s="614"/>
      <c r="G3598" s="612" t="s">
        <v>3665</v>
      </c>
    </row>
    <row r="3599" spans="1:7" ht="20.100000000000001" customHeight="1" x14ac:dyDescent="0.2">
      <c r="A3599" s="681" t="str">
        <f t="shared" si="49"/>
        <v>770  031.003.003  Geral</v>
      </c>
      <c r="B3599" s="636">
        <v>770</v>
      </c>
      <c r="C3599" s="614"/>
      <c r="D3599" s="638" t="s">
        <v>3666</v>
      </c>
      <c r="E3599" s="165"/>
      <c r="F3599" s="614"/>
      <c r="G3599" s="612" t="s">
        <v>2380</v>
      </c>
    </row>
    <row r="3600" spans="1:7" ht="20.100000000000001" customHeight="1" x14ac:dyDescent="0.2">
      <c r="A3600" s="681" t="str">
        <f t="shared" si="49"/>
        <v>771  031.004.000  BIBLIOTECA PUBLICA</v>
      </c>
      <c r="B3600" s="636">
        <v>771</v>
      </c>
      <c r="C3600" s="614"/>
      <c r="D3600" s="638" t="s">
        <v>3667</v>
      </c>
      <c r="E3600" s="165"/>
      <c r="F3600" s="614"/>
      <c r="G3600" s="612" t="s">
        <v>3668</v>
      </c>
    </row>
    <row r="3601" spans="1:7" ht="20.100000000000001" customHeight="1" x14ac:dyDescent="0.2">
      <c r="A3601" s="681" t="str">
        <f t="shared" si="49"/>
        <v>772  031.004.001  Material de Consumo</v>
      </c>
      <c r="B3601" s="636">
        <v>772</v>
      </c>
      <c r="C3601" s="614"/>
      <c r="D3601" s="638" t="s">
        <v>3669</v>
      </c>
      <c r="E3601" s="165"/>
      <c r="F3601" s="614"/>
      <c r="G3601" s="612" t="s">
        <v>1955</v>
      </c>
    </row>
    <row r="3602" spans="1:7" ht="20.100000000000001" customHeight="1" x14ac:dyDescent="0.2">
      <c r="A3602" s="681" t="str">
        <f t="shared" si="49"/>
        <v>773  031.004.002  Prestação de Serviços</v>
      </c>
      <c r="B3602" s="636">
        <v>773</v>
      </c>
      <c r="C3602" s="614"/>
      <c r="D3602" s="638" t="s">
        <v>3670</v>
      </c>
      <c r="E3602" s="165"/>
      <c r="F3602" s="614"/>
      <c r="G3602" s="612" t="s">
        <v>3665</v>
      </c>
    </row>
    <row r="3603" spans="1:7" ht="20.100000000000001" customHeight="1" x14ac:dyDescent="0.2">
      <c r="A3603" s="681" t="str">
        <f t="shared" si="49"/>
        <v>774  031.004.003  Agua</v>
      </c>
      <c r="B3603" s="636">
        <v>774</v>
      </c>
      <c r="C3603" s="614"/>
      <c r="D3603" s="638" t="s">
        <v>3671</v>
      </c>
      <c r="E3603" s="165"/>
      <c r="F3603" s="614"/>
      <c r="G3603" s="612" t="s">
        <v>2365</v>
      </c>
    </row>
    <row r="3604" spans="1:7" ht="20.100000000000001" customHeight="1" x14ac:dyDescent="0.2">
      <c r="A3604" s="681" t="str">
        <f t="shared" si="49"/>
        <v>775  031.004.004  Energia Elétrica</v>
      </c>
      <c r="B3604" s="636">
        <v>775</v>
      </c>
      <c r="C3604" s="614"/>
      <c r="D3604" s="638" t="s">
        <v>3672</v>
      </c>
      <c r="E3604" s="165"/>
      <c r="F3604" s="614"/>
      <c r="G3604" s="612" t="s">
        <v>700</v>
      </c>
    </row>
    <row r="3605" spans="1:7" ht="20.100000000000001" customHeight="1" x14ac:dyDescent="0.2">
      <c r="A3605" s="681" t="str">
        <f t="shared" si="49"/>
        <v>776  031.004.005  Geral</v>
      </c>
      <c r="B3605" s="636">
        <v>776</v>
      </c>
      <c r="C3605" s="614"/>
      <c r="D3605" s="638" t="s">
        <v>3673</v>
      </c>
      <c r="E3605" s="165"/>
      <c r="F3605" s="614"/>
      <c r="G3605" s="612" t="s">
        <v>2380</v>
      </c>
    </row>
    <row r="3606" spans="1:7" ht="20.100000000000001" customHeight="1" x14ac:dyDescent="0.2">
      <c r="A3606" s="681" t="str">
        <f t="shared" si="49"/>
        <v>1665  031.004.006  Devolucao de Recursos Recebidos do Estado</v>
      </c>
      <c r="B3606" s="636">
        <v>1665</v>
      </c>
      <c r="C3606" s="614"/>
      <c r="D3606" s="638" t="s">
        <v>3674</v>
      </c>
      <c r="E3606" s="165"/>
      <c r="F3606" s="614"/>
      <c r="G3606" s="612" t="s">
        <v>3675</v>
      </c>
    </row>
    <row r="3607" spans="1:7" ht="20.100000000000001" customHeight="1" x14ac:dyDescent="0.2">
      <c r="A3607" s="681" t="str">
        <f t="shared" si="49"/>
        <v>777  031.005.000  SEMANA FARROUPILHA</v>
      </c>
      <c r="B3607" s="636">
        <v>777</v>
      </c>
      <c r="C3607" s="614"/>
      <c r="D3607" s="638" t="s">
        <v>3676</v>
      </c>
      <c r="E3607" s="165"/>
      <c r="F3607" s="614"/>
      <c r="G3607" s="612" t="s">
        <v>1157</v>
      </c>
    </row>
    <row r="3608" spans="1:7" ht="20.100000000000001" customHeight="1" x14ac:dyDescent="0.2">
      <c r="A3608" s="681" t="str">
        <f t="shared" si="49"/>
        <v>778  031.005.001  Material de Consumo</v>
      </c>
      <c r="B3608" s="636">
        <v>778</v>
      </c>
      <c r="C3608" s="614"/>
      <c r="D3608" s="638" t="s">
        <v>3677</v>
      </c>
      <c r="E3608" s="165"/>
      <c r="F3608" s="614"/>
      <c r="G3608" s="612" t="s">
        <v>1955</v>
      </c>
    </row>
    <row r="3609" spans="1:7" ht="20.100000000000001" customHeight="1" x14ac:dyDescent="0.2">
      <c r="A3609" s="681" t="str">
        <f t="shared" si="49"/>
        <v>782  031.005.001  Material de Consumo</v>
      </c>
      <c r="B3609" s="636">
        <v>782</v>
      </c>
      <c r="C3609" s="614"/>
      <c r="D3609" s="638" t="s">
        <v>3677</v>
      </c>
      <c r="E3609" s="165"/>
      <c r="F3609" s="614"/>
      <c r="G3609" s="612" t="s">
        <v>1955</v>
      </c>
    </row>
    <row r="3610" spans="1:7" ht="20.100000000000001" customHeight="1" x14ac:dyDescent="0.2">
      <c r="A3610" s="681" t="str">
        <f t="shared" si="49"/>
        <v>779  031.005.002  Prestação de Serviços</v>
      </c>
      <c r="B3610" s="636">
        <v>779</v>
      </c>
      <c r="C3610" s="614"/>
      <c r="D3610" s="638" t="s">
        <v>3678</v>
      </c>
      <c r="E3610" s="165"/>
      <c r="F3610" s="614"/>
      <c r="G3610" s="612" t="s">
        <v>3665</v>
      </c>
    </row>
    <row r="3611" spans="1:7" ht="20.100000000000001" customHeight="1" x14ac:dyDescent="0.2">
      <c r="A3611" s="681" t="str">
        <f t="shared" si="49"/>
        <v>780  031.005.003  Geral</v>
      </c>
      <c r="B3611" s="636">
        <v>780</v>
      </c>
      <c r="C3611" s="614"/>
      <c r="D3611" s="638" t="s">
        <v>3679</v>
      </c>
      <c r="E3611" s="165"/>
      <c r="F3611" s="614"/>
      <c r="G3611" s="612" t="s">
        <v>2380</v>
      </c>
    </row>
    <row r="3612" spans="1:7" ht="20.100000000000001" customHeight="1" x14ac:dyDescent="0.2">
      <c r="A3612" s="681" t="str">
        <f t="shared" si="49"/>
        <v>781  031.006.000  FEIRA DO LIVRO</v>
      </c>
      <c r="B3612" s="636">
        <v>781</v>
      </c>
      <c r="C3612" s="614"/>
      <c r="D3612" s="638" t="s">
        <v>3680</v>
      </c>
      <c r="E3612" s="165"/>
      <c r="F3612" s="614"/>
      <c r="G3612" s="612" t="s">
        <v>1156</v>
      </c>
    </row>
    <row r="3613" spans="1:7" ht="20.100000000000001" customHeight="1" x14ac:dyDescent="0.2">
      <c r="A3613" s="681" t="str">
        <f t="shared" si="49"/>
        <v>783  031.006.001  Material de Consumo</v>
      </c>
      <c r="B3613" s="636">
        <v>783</v>
      </c>
      <c r="C3613" s="614"/>
      <c r="D3613" s="638" t="s">
        <v>3681</v>
      </c>
      <c r="E3613" s="165"/>
      <c r="F3613" s="614"/>
      <c r="G3613" s="612" t="s">
        <v>1955</v>
      </c>
    </row>
    <row r="3614" spans="1:7" ht="20.100000000000001" customHeight="1" x14ac:dyDescent="0.2">
      <c r="A3614" s="681" t="str">
        <f t="shared" si="49"/>
        <v>784  031.006.002  Prestação de Serviços</v>
      </c>
      <c r="B3614" s="636">
        <v>784</v>
      </c>
      <c r="C3614" s="614"/>
      <c r="D3614" s="638" t="s">
        <v>3682</v>
      </c>
      <c r="E3614" s="165"/>
      <c r="F3614" s="614"/>
      <c r="G3614" s="612" t="s">
        <v>3665</v>
      </c>
    </row>
    <row r="3615" spans="1:7" ht="20.100000000000001" customHeight="1" x14ac:dyDescent="0.2">
      <c r="A3615" s="681" t="str">
        <f t="shared" si="49"/>
        <v>785  031.006.003  Geral</v>
      </c>
      <c r="B3615" s="636">
        <v>785</v>
      </c>
      <c r="C3615" s="614"/>
      <c r="D3615" s="638" t="s">
        <v>3683</v>
      </c>
      <c r="E3615" s="165"/>
      <c r="F3615" s="614"/>
      <c r="G3615" s="612" t="s">
        <v>2380</v>
      </c>
    </row>
    <row r="3616" spans="1:7" ht="20.100000000000001" customHeight="1" x14ac:dyDescent="0.2">
      <c r="A3616" s="681" t="str">
        <f t="shared" si="49"/>
        <v>786  031.007.000  FESTIVAL DE MUSICA SACRA</v>
      </c>
      <c r="B3616" s="636">
        <v>786</v>
      </c>
      <c r="C3616" s="614"/>
      <c r="D3616" s="638" t="s">
        <v>3684</v>
      </c>
      <c r="E3616" s="165"/>
      <c r="F3616" s="614"/>
      <c r="G3616" s="612" t="s">
        <v>1160</v>
      </c>
    </row>
    <row r="3617" spans="1:7" ht="20.100000000000001" customHeight="1" x14ac:dyDescent="0.2">
      <c r="A3617" s="681" t="str">
        <f t="shared" si="49"/>
        <v>787  031.007.001  Material de Consumo</v>
      </c>
      <c r="B3617" s="636">
        <v>787</v>
      </c>
      <c r="C3617" s="614"/>
      <c r="D3617" s="638" t="s">
        <v>3685</v>
      </c>
      <c r="E3617" s="165"/>
      <c r="F3617" s="614"/>
      <c r="G3617" s="612" t="s">
        <v>1955</v>
      </c>
    </row>
    <row r="3618" spans="1:7" ht="20.100000000000001" customHeight="1" x14ac:dyDescent="0.2">
      <c r="A3618" s="681" t="str">
        <f t="shared" si="49"/>
        <v>788  031.007.002  Prestação de Serviços</v>
      </c>
      <c r="B3618" s="636">
        <v>788</v>
      </c>
      <c r="C3618" s="614"/>
      <c r="D3618" s="638" t="s">
        <v>3686</v>
      </c>
      <c r="E3618" s="165"/>
      <c r="F3618" s="614"/>
      <c r="G3618" s="612" t="s">
        <v>3665</v>
      </c>
    </row>
    <row r="3619" spans="1:7" ht="20.100000000000001" customHeight="1" x14ac:dyDescent="0.2">
      <c r="A3619" s="681" t="str">
        <f t="shared" si="49"/>
        <v>789  031.007.003  Geral</v>
      </c>
      <c r="B3619" s="636">
        <v>789</v>
      </c>
      <c r="C3619" s="614"/>
      <c r="D3619" s="638" t="s">
        <v>3687</v>
      </c>
      <c r="E3619" s="165"/>
      <c r="F3619" s="614"/>
      <c r="G3619" s="612" t="s">
        <v>2380</v>
      </c>
    </row>
    <row r="3620" spans="1:7" ht="20.100000000000001" customHeight="1" x14ac:dyDescent="0.2">
      <c r="A3620" s="681" t="str">
        <f t="shared" si="49"/>
        <v>790  031.008.000  CURSOS DE ARTES</v>
      </c>
      <c r="B3620" s="636">
        <v>790</v>
      </c>
      <c r="C3620" s="614"/>
      <c r="D3620" s="638" t="s">
        <v>3688</v>
      </c>
      <c r="E3620" s="165"/>
      <c r="F3620" s="614"/>
      <c r="G3620" s="612" t="s">
        <v>3689</v>
      </c>
    </row>
    <row r="3621" spans="1:7" ht="20.100000000000001" customHeight="1" x14ac:dyDescent="0.2">
      <c r="A3621" s="681" t="str">
        <f t="shared" si="49"/>
        <v>791  031.009.000  FESTIVAL DE TALENTOS</v>
      </c>
      <c r="B3621" s="636">
        <v>791</v>
      </c>
      <c r="C3621" s="614"/>
      <c r="D3621" s="638" t="s">
        <v>3690</v>
      </c>
      <c r="E3621" s="165"/>
      <c r="F3621" s="614"/>
      <c r="G3621" s="612" t="s">
        <v>3691</v>
      </c>
    </row>
    <row r="3622" spans="1:7" ht="20.100000000000001" customHeight="1" x14ac:dyDescent="0.2">
      <c r="A3622" s="681" t="str">
        <f t="shared" si="49"/>
        <v>792  031.009.001  Material de Consumo</v>
      </c>
      <c r="B3622" s="636">
        <v>792</v>
      </c>
      <c r="C3622" s="614"/>
      <c r="D3622" s="638" t="s">
        <v>3692</v>
      </c>
      <c r="E3622" s="165"/>
      <c r="F3622" s="614"/>
      <c r="G3622" s="612" t="s">
        <v>1955</v>
      </c>
    </row>
    <row r="3623" spans="1:7" ht="20.100000000000001" customHeight="1" x14ac:dyDescent="0.2">
      <c r="A3623" s="681" t="str">
        <f t="shared" si="49"/>
        <v>793  031.009.002  Prestação de Serviços</v>
      </c>
      <c r="B3623" s="636">
        <v>793</v>
      </c>
      <c r="C3623" s="614"/>
      <c r="D3623" s="638" t="s">
        <v>3693</v>
      </c>
      <c r="E3623" s="165"/>
      <c r="F3623" s="614"/>
      <c r="G3623" s="612" t="s">
        <v>3665</v>
      </c>
    </row>
    <row r="3624" spans="1:7" ht="20.100000000000001" customHeight="1" x14ac:dyDescent="0.2">
      <c r="A3624" s="681" t="str">
        <f t="shared" si="49"/>
        <v>794  031.009.003  Geral</v>
      </c>
      <c r="B3624" s="636">
        <v>794</v>
      </c>
      <c r="C3624" s="614"/>
      <c r="D3624" s="638" t="s">
        <v>3694</v>
      </c>
      <c r="E3624" s="165"/>
      <c r="F3624" s="614"/>
      <c r="G3624" s="612" t="s">
        <v>2380</v>
      </c>
    </row>
    <row r="3625" spans="1:7" ht="20.100000000000001" customHeight="1" x14ac:dyDescent="0.2">
      <c r="A3625" s="681" t="str">
        <f t="shared" si="49"/>
        <v>795  031.010.000  FESTA DO PRADROEIRO</v>
      </c>
      <c r="B3625" s="636">
        <v>795</v>
      </c>
      <c r="C3625" s="614"/>
      <c r="D3625" s="638" t="s">
        <v>3695</v>
      </c>
      <c r="E3625" s="165"/>
      <c r="F3625" s="614"/>
      <c r="G3625" s="612" t="s">
        <v>3696</v>
      </c>
    </row>
    <row r="3626" spans="1:7" ht="20.100000000000001" customHeight="1" x14ac:dyDescent="0.2">
      <c r="A3626" s="681" t="str">
        <f t="shared" si="49"/>
        <v>796  031.010.001  Material de Consumo</v>
      </c>
      <c r="B3626" s="636">
        <v>796</v>
      </c>
      <c r="C3626" s="614"/>
      <c r="D3626" s="638" t="s">
        <v>3697</v>
      </c>
      <c r="E3626" s="165"/>
      <c r="F3626" s="614"/>
      <c r="G3626" s="612" t="s">
        <v>1955</v>
      </c>
    </row>
    <row r="3627" spans="1:7" ht="20.100000000000001" customHeight="1" x14ac:dyDescent="0.2">
      <c r="A3627" s="681" t="str">
        <f t="shared" si="49"/>
        <v>797  031.010.002  Prestação de Serviços</v>
      </c>
      <c r="B3627" s="636">
        <v>797</v>
      </c>
      <c r="C3627" s="614"/>
      <c r="D3627" s="638" t="s">
        <v>3698</v>
      </c>
      <c r="E3627" s="165"/>
      <c r="F3627" s="614"/>
      <c r="G3627" s="612" t="s">
        <v>3665</v>
      </c>
    </row>
    <row r="3628" spans="1:7" ht="20.100000000000001" customHeight="1" x14ac:dyDescent="0.2">
      <c r="A3628" s="681" t="str">
        <f t="shared" si="49"/>
        <v>798  031.010.003  Geral</v>
      </c>
      <c r="B3628" s="636">
        <v>798</v>
      </c>
      <c r="C3628" s="614"/>
      <c r="D3628" s="638" t="s">
        <v>3699</v>
      </c>
      <c r="E3628" s="165"/>
      <c r="F3628" s="614"/>
      <c r="G3628" s="612" t="s">
        <v>2380</v>
      </c>
    </row>
    <row r="3629" spans="1:7" ht="20.100000000000001" customHeight="1" x14ac:dyDescent="0.2">
      <c r="A3629" s="681" t="str">
        <f t="shared" si="49"/>
        <v>1617  031.010.004  Shows e Sonorização</v>
      </c>
      <c r="B3629" s="636">
        <v>1617</v>
      </c>
      <c r="C3629" s="614"/>
      <c r="D3629" s="638" t="s">
        <v>3700</v>
      </c>
      <c r="E3629" s="165"/>
      <c r="F3629" s="614"/>
      <c r="G3629" s="612" t="s">
        <v>3701</v>
      </c>
    </row>
    <row r="3630" spans="1:7" ht="20.100000000000001" customHeight="1" x14ac:dyDescent="0.2">
      <c r="A3630" s="681" t="str">
        <f t="shared" si="49"/>
        <v>799  031.011.000  BANDA MUNICIPAL</v>
      </c>
      <c r="B3630" s="636">
        <v>799</v>
      </c>
      <c r="C3630" s="614"/>
      <c r="D3630" s="638" t="s">
        <v>3702</v>
      </c>
      <c r="E3630" s="165"/>
      <c r="F3630" s="614"/>
      <c r="G3630" s="612" t="s">
        <v>1155</v>
      </c>
    </row>
    <row r="3631" spans="1:7" ht="20.100000000000001" customHeight="1" x14ac:dyDescent="0.2">
      <c r="A3631" s="681" t="str">
        <f t="shared" si="49"/>
        <v>800  031.011.001  Material de Consumo</v>
      </c>
      <c r="B3631" s="636">
        <v>800</v>
      </c>
      <c r="C3631" s="614"/>
      <c r="D3631" s="638" t="s">
        <v>3703</v>
      </c>
      <c r="E3631" s="165"/>
      <c r="F3631" s="614"/>
      <c r="G3631" s="612" t="s">
        <v>1955</v>
      </c>
    </row>
    <row r="3632" spans="1:7" ht="20.100000000000001" customHeight="1" x14ac:dyDescent="0.2">
      <c r="A3632" s="681" t="str">
        <f t="shared" si="49"/>
        <v>801  031.011.002  Prestação de Serviços</v>
      </c>
      <c r="B3632" s="636">
        <v>801</v>
      </c>
      <c r="C3632" s="614"/>
      <c r="D3632" s="638" t="s">
        <v>3704</v>
      </c>
      <c r="E3632" s="165"/>
      <c r="F3632" s="614"/>
      <c r="G3632" s="612" t="s">
        <v>3665</v>
      </c>
    </row>
    <row r="3633" spans="1:7" ht="20.100000000000001" customHeight="1" x14ac:dyDescent="0.2">
      <c r="A3633" s="681" t="str">
        <f t="shared" si="49"/>
        <v>802  031.011.003  Geral</v>
      </c>
      <c r="B3633" s="636">
        <v>802</v>
      </c>
      <c r="C3633" s="614"/>
      <c r="D3633" s="638" t="s">
        <v>3705</v>
      </c>
      <c r="E3633" s="165"/>
      <c r="F3633" s="614"/>
      <c r="G3633" s="612" t="s">
        <v>2380</v>
      </c>
    </row>
    <row r="3634" spans="1:7" ht="20.100000000000001" customHeight="1" x14ac:dyDescent="0.2">
      <c r="A3634" s="681" t="str">
        <f t="shared" si="49"/>
        <v>803  031.012.000  GRUPO DE DANÇAS UNIAO DOS PAGOS</v>
      </c>
      <c r="B3634" s="636">
        <v>803</v>
      </c>
      <c r="C3634" s="614"/>
      <c r="D3634" s="638" t="s">
        <v>3706</v>
      </c>
      <c r="E3634" s="165"/>
      <c r="F3634" s="614"/>
      <c r="G3634" s="612" t="s">
        <v>3707</v>
      </c>
    </row>
    <row r="3635" spans="1:7" ht="20.100000000000001" customHeight="1" x14ac:dyDescent="0.2">
      <c r="A3635" s="681" t="str">
        <f t="shared" si="49"/>
        <v>804  031.012.001  Material de Consumo</v>
      </c>
      <c r="B3635" s="636">
        <v>804</v>
      </c>
      <c r="C3635" s="614"/>
      <c r="D3635" s="638" t="s">
        <v>3708</v>
      </c>
      <c r="E3635" s="165"/>
      <c r="F3635" s="614"/>
      <c r="G3635" s="612" t="s">
        <v>1955</v>
      </c>
    </row>
    <row r="3636" spans="1:7" ht="20.100000000000001" customHeight="1" x14ac:dyDescent="0.2">
      <c r="A3636" s="681" t="str">
        <f t="shared" si="49"/>
        <v>805  031.012.002  Prestação de Serviços</v>
      </c>
      <c r="B3636" s="636">
        <v>805</v>
      </c>
      <c r="C3636" s="614"/>
      <c r="D3636" s="638" t="s">
        <v>3709</v>
      </c>
      <c r="E3636" s="165"/>
      <c r="F3636" s="614"/>
      <c r="G3636" s="612" t="s">
        <v>3665</v>
      </c>
    </row>
    <row r="3637" spans="1:7" ht="20.100000000000001" customHeight="1" x14ac:dyDescent="0.2">
      <c r="A3637" s="681" t="str">
        <f t="shared" si="49"/>
        <v>806  031.012.003  Geral</v>
      </c>
      <c r="B3637" s="636">
        <v>806</v>
      </c>
      <c r="C3637" s="614"/>
      <c r="D3637" s="638" t="s">
        <v>3710</v>
      </c>
      <c r="E3637" s="165"/>
      <c r="F3637" s="614"/>
      <c r="G3637" s="612" t="s">
        <v>2380</v>
      </c>
    </row>
    <row r="3638" spans="1:7" ht="20.100000000000001" customHeight="1" x14ac:dyDescent="0.2">
      <c r="A3638" s="681" t="str">
        <f t="shared" si="49"/>
        <v>807  031.013.000  CENTRO DE EVENTOS</v>
      </c>
      <c r="B3638" s="636">
        <v>807</v>
      </c>
      <c r="C3638" s="614"/>
      <c r="D3638" s="638" t="s">
        <v>3711</v>
      </c>
      <c r="E3638" s="165"/>
      <c r="F3638" s="614"/>
      <c r="G3638" s="612" t="s">
        <v>3712</v>
      </c>
    </row>
    <row r="3639" spans="1:7" ht="20.100000000000001" customHeight="1" x14ac:dyDescent="0.2">
      <c r="A3639" s="681" t="str">
        <f t="shared" si="49"/>
        <v>808  031.013.001  Material de Consumo</v>
      </c>
      <c r="B3639" s="636">
        <v>808</v>
      </c>
      <c r="C3639" s="614"/>
      <c r="D3639" s="638" t="s">
        <v>3713</v>
      </c>
      <c r="E3639" s="165"/>
      <c r="F3639" s="614"/>
      <c r="G3639" s="612" t="s">
        <v>1955</v>
      </c>
    </row>
    <row r="3640" spans="1:7" ht="20.100000000000001" customHeight="1" x14ac:dyDescent="0.2">
      <c r="A3640" s="681" t="str">
        <f t="shared" si="49"/>
        <v>809  031.013.002  Prestação de Serviços</v>
      </c>
      <c r="B3640" s="636">
        <v>809</v>
      </c>
      <c r="C3640" s="614"/>
      <c r="D3640" s="638" t="s">
        <v>3714</v>
      </c>
      <c r="E3640" s="165"/>
      <c r="F3640" s="614"/>
      <c r="G3640" s="612" t="s">
        <v>3665</v>
      </c>
    </row>
    <row r="3641" spans="1:7" ht="20.100000000000001" customHeight="1" x14ac:dyDescent="0.2">
      <c r="A3641" s="681" t="str">
        <f t="shared" si="49"/>
        <v>810  031.013.003  Agua</v>
      </c>
      <c r="B3641" s="636">
        <v>810</v>
      </c>
      <c r="C3641" s="614"/>
      <c r="D3641" s="638" t="s">
        <v>3715</v>
      </c>
      <c r="E3641" s="165"/>
      <c r="F3641" s="614"/>
      <c r="G3641" s="612" t="s">
        <v>2365</v>
      </c>
    </row>
    <row r="3642" spans="1:7" ht="20.100000000000001" customHeight="1" x14ac:dyDescent="0.2">
      <c r="A3642" s="681" t="str">
        <f t="shared" si="49"/>
        <v>811  031.013.004  Energia Elétrica</v>
      </c>
      <c r="B3642" s="636">
        <v>811</v>
      </c>
      <c r="C3642" s="614"/>
      <c r="D3642" s="638" t="s">
        <v>3716</v>
      </c>
      <c r="E3642" s="165"/>
      <c r="F3642" s="614"/>
      <c r="G3642" s="612" t="s">
        <v>700</v>
      </c>
    </row>
    <row r="3643" spans="1:7" ht="20.100000000000001" customHeight="1" x14ac:dyDescent="0.2">
      <c r="A3643" s="681" t="str">
        <f t="shared" si="49"/>
        <v>812  031.013.005  Geral</v>
      </c>
      <c r="B3643" s="636">
        <v>812</v>
      </c>
      <c r="C3643" s="614"/>
      <c r="D3643" s="638" t="s">
        <v>3717</v>
      </c>
      <c r="E3643" s="165"/>
      <c r="F3643" s="614"/>
      <c r="G3643" s="612" t="s">
        <v>2380</v>
      </c>
    </row>
    <row r="3644" spans="1:7" ht="20.100000000000001" customHeight="1" x14ac:dyDescent="0.2">
      <c r="A3644" s="681" t="str">
        <f t="shared" si="49"/>
        <v>1491  031.013.006  Gas de Cozinha</v>
      </c>
      <c r="B3644" s="636">
        <v>1491</v>
      </c>
      <c r="C3644" s="614"/>
      <c r="D3644" s="638" t="s">
        <v>3718</v>
      </c>
      <c r="E3644" s="165"/>
      <c r="F3644" s="614"/>
      <c r="G3644" s="612" t="s">
        <v>2342</v>
      </c>
    </row>
    <row r="3645" spans="1:7" ht="20.100000000000001" customHeight="1" x14ac:dyDescent="0.2">
      <c r="A3645" s="681" t="str">
        <f t="shared" si="49"/>
        <v>1634  031.013.007  Material de Proteção e Segurança</v>
      </c>
      <c r="B3645" s="636">
        <v>1634</v>
      </c>
      <c r="C3645" s="614"/>
      <c r="D3645" s="638" t="s">
        <v>3719</v>
      </c>
      <c r="E3645" s="165"/>
      <c r="F3645" s="614"/>
      <c r="G3645" s="612" t="s">
        <v>3720</v>
      </c>
    </row>
    <row r="3646" spans="1:7" ht="20.100000000000001" customHeight="1" x14ac:dyDescent="0.2">
      <c r="A3646" s="681" t="str">
        <f t="shared" si="49"/>
        <v>1635  031.013.008  Manutenção de Predios Centro de Eventos</v>
      </c>
      <c r="B3646" s="636">
        <v>1635</v>
      </c>
      <c r="C3646" s="614"/>
      <c r="D3646" s="638" t="s">
        <v>3721</v>
      </c>
      <c r="E3646" s="165"/>
      <c r="F3646" s="614"/>
      <c r="G3646" s="612" t="s">
        <v>3722</v>
      </c>
    </row>
    <row r="3647" spans="1:7" ht="20.100000000000001" customHeight="1" x14ac:dyDescent="0.2">
      <c r="A3647" s="681" t="str">
        <f t="shared" si="49"/>
        <v>1663  031.013.009  Portico Centro de Eventos</v>
      </c>
      <c r="B3647" s="636">
        <v>1663</v>
      </c>
      <c r="C3647" s="614"/>
      <c r="D3647" s="638" t="s">
        <v>3723</v>
      </c>
      <c r="E3647" s="165"/>
      <c r="F3647" s="614"/>
      <c r="G3647" s="612" t="s">
        <v>3724</v>
      </c>
    </row>
    <row r="3648" spans="1:7" ht="20.100000000000001" customHeight="1" x14ac:dyDescent="0.2">
      <c r="A3648" s="681" t="str">
        <f t="shared" si="49"/>
        <v>813  031.014.000  SEMANA DA PATRIA</v>
      </c>
      <c r="B3648" s="636">
        <v>813</v>
      </c>
      <c r="C3648" s="614"/>
      <c r="D3648" s="638" t="s">
        <v>3725</v>
      </c>
      <c r="E3648" s="165"/>
      <c r="F3648" s="614"/>
      <c r="G3648" s="612" t="s">
        <v>1159</v>
      </c>
    </row>
    <row r="3649" spans="1:7" ht="20.100000000000001" customHeight="1" x14ac:dyDescent="0.2">
      <c r="A3649" s="681" t="str">
        <f t="shared" si="49"/>
        <v>814  031.014.001  Material de Consumo</v>
      </c>
      <c r="B3649" s="636">
        <v>814</v>
      </c>
      <c r="C3649" s="614"/>
      <c r="D3649" s="638" t="s">
        <v>3726</v>
      </c>
      <c r="E3649" s="165"/>
      <c r="F3649" s="614"/>
      <c r="G3649" s="612" t="s">
        <v>1955</v>
      </c>
    </row>
    <row r="3650" spans="1:7" ht="20.100000000000001" customHeight="1" x14ac:dyDescent="0.2">
      <c r="A3650" s="681" t="str">
        <f t="shared" si="49"/>
        <v>815  031.014.002  Prestação de Serviços</v>
      </c>
      <c r="B3650" s="636">
        <v>815</v>
      </c>
      <c r="C3650" s="614"/>
      <c r="D3650" s="638" t="s">
        <v>3727</v>
      </c>
      <c r="E3650" s="165"/>
      <c r="F3650" s="614"/>
      <c r="G3650" s="612" t="s">
        <v>3665</v>
      </c>
    </row>
    <row r="3651" spans="1:7" ht="20.100000000000001" customHeight="1" x14ac:dyDescent="0.2">
      <c r="A3651" s="681" t="str">
        <f t="shared" si="49"/>
        <v>816  031.014.003  Geral</v>
      </c>
      <c r="B3651" s="636">
        <v>816</v>
      </c>
      <c r="C3651" s="614"/>
      <c r="D3651" s="638" t="s">
        <v>3728</v>
      </c>
      <c r="E3651" s="165"/>
      <c r="F3651" s="614"/>
      <c r="G3651" s="612" t="s">
        <v>2380</v>
      </c>
    </row>
    <row r="3652" spans="1:7" ht="20.100000000000001" customHeight="1" x14ac:dyDescent="0.2">
      <c r="A3652" s="681" t="str">
        <f t="shared" si="49"/>
        <v>817  031.015.000  BALNEÁRIOS</v>
      </c>
      <c r="B3652" s="636">
        <v>817</v>
      </c>
      <c r="C3652" s="614"/>
      <c r="D3652" s="638" t="s">
        <v>3729</v>
      </c>
      <c r="E3652" s="165"/>
      <c r="F3652" s="614"/>
      <c r="G3652" s="612" t="s">
        <v>3730</v>
      </c>
    </row>
    <row r="3653" spans="1:7" ht="20.100000000000001" customHeight="1" x14ac:dyDescent="0.2">
      <c r="A3653" s="681" t="str">
        <f t="shared" si="49"/>
        <v>818  031.015.001  Material de Consumo</v>
      </c>
      <c r="B3653" s="636">
        <v>818</v>
      </c>
      <c r="C3653" s="614"/>
      <c r="D3653" s="638" t="s">
        <v>3731</v>
      </c>
      <c r="E3653" s="165"/>
      <c r="F3653" s="614"/>
      <c r="G3653" s="612" t="s">
        <v>1955</v>
      </c>
    </row>
    <row r="3654" spans="1:7" ht="20.100000000000001" customHeight="1" x14ac:dyDescent="0.2">
      <c r="A3654" s="681" t="str">
        <f t="shared" si="49"/>
        <v>819  031.015.002  Prestação de Serviços</v>
      </c>
      <c r="B3654" s="636">
        <v>819</v>
      </c>
      <c r="C3654" s="614"/>
      <c r="D3654" s="638" t="s">
        <v>3732</v>
      </c>
      <c r="E3654" s="165"/>
      <c r="F3654" s="614"/>
      <c r="G3654" s="612" t="s">
        <v>3665</v>
      </c>
    </row>
    <row r="3655" spans="1:7" ht="20.100000000000001" customHeight="1" x14ac:dyDescent="0.2">
      <c r="A3655" s="681" t="str">
        <f t="shared" ref="A3655:A3718" si="50">CONCATENATE(B3655,"  ",D3655,"  ",G3655)</f>
        <v>820  031.015.003  Geral</v>
      </c>
      <c r="B3655" s="636">
        <v>820</v>
      </c>
      <c r="C3655" s="614"/>
      <c r="D3655" s="638" t="s">
        <v>3733</v>
      </c>
      <c r="E3655" s="165"/>
      <c r="F3655" s="614"/>
      <c r="G3655" s="612" t="s">
        <v>2380</v>
      </c>
    </row>
    <row r="3656" spans="1:7" ht="20.100000000000001" customHeight="1" x14ac:dyDescent="0.2">
      <c r="A3656" s="681" t="str">
        <f t="shared" si="50"/>
        <v>821  031.016.000  AGRIFEST/FESTA DO FUMO</v>
      </c>
      <c r="B3656" s="636">
        <v>821</v>
      </c>
      <c r="C3656" s="614"/>
      <c r="D3656" s="638" t="s">
        <v>3734</v>
      </c>
      <c r="E3656" s="165"/>
      <c r="F3656" s="614"/>
      <c r="G3656" s="612" t="s">
        <v>3735</v>
      </c>
    </row>
    <row r="3657" spans="1:7" ht="20.100000000000001" customHeight="1" x14ac:dyDescent="0.2">
      <c r="A3657" s="681" t="str">
        <f t="shared" si="50"/>
        <v>822  031.016.001  Material de Consumo Diversos</v>
      </c>
      <c r="B3657" s="636">
        <v>822</v>
      </c>
      <c r="C3657" s="614"/>
      <c r="D3657" s="638" t="s">
        <v>3736</v>
      </c>
      <c r="E3657" s="165"/>
      <c r="F3657" s="614"/>
      <c r="G3657" s="612" t="s">
        <v>3737</v>
      </c>
    </row>
    <row r="3658" spans="1:7" ht="20.100000000000001" customHeight="1" x14ac:dyDescent="0.2">
      <c r="A3658" s="681" t="str">
        <f t="shared" si="50"/>
        <v>823  031.016.002  Prestação de Serviços</v>
      </c>
      <c r="B3658" s="636">
        <v>823</v>
      </c>
      <c r="C3658" s="614"/>
      <c r="D3658" s="638" t="s">
        <v>3738</v>
      </c>
      <c r="E3658" s="165"/>
      <c r="F3658" s="614"/>
      <c r="G3658" s="612" t="s">
        <v>3665</v>
      </c>
    </row>
    <row r="3659" spans="1:7" ht="20.100000000000001" customHeight="1" x14ac:dyDescent="0.2">
      <c r="A3659" s="681" t="str">
        <f t="shared" si="50"/>
        <v>824  031.016.003  Geral</v>
      </c>
      <c r="B3659" s="636">
        <v>824</v>
      </c>
      <c r="C3659" s="614"/>
      <c r="D3659" s="638" t="s">
        <v>3739</v>
      </c>
      <c r="E3659" s="165"/>
      <c r="F3659" s="614"/>
      <c r="G3659" s="612" t="s">
        <v>2380</v>
      </c>
    </row>
    <row r="3660" spans="1:7" ht="20.100000000000001" customHeight="1" x14ac:dyDescent="0.2">
      <c r="A3660" s="681" t="str">
        <f t="shared" si="50"/>
        <v>1609  031.016.004  Shows e Sonorização FEFUMO/AGRIFEST</v>
      </c>
      <c r="B3660" s="636">
        <v>1609</v>
      </c>
      <c r="C3660" s="614"/>
      <c r="D3660" s="638" t="s">
        <v>3740</v>
      </c>
      <c r="E3660" s="165"/>
      <c r="F3660" s="614"/>
      <c r="G3660" s="612" t="s">
        <v>3741</v>
      </c>
    </row>
    <row r="3661" spans="1:7" ht="20.100000000000001" customHeight="1" x14ac:dyDescent="0.2">
      <c r="A3661" s="681" t="str">
        <f t="shared" si="50"/>
        <v>1551  031.016.005  Baile Escolha Soberanas AGrifest/FEFUMO</v>
      </c>
      <c r="B3661" s="636">
        <v>1551</v>
      </c>
      <c r="C3661" s="614"/>
      <c r="D3661" s="638" t="s">
        <v>3742</v>
      </c>
      <c r="E3661" s="165"/>
      <c r="F3661" s="614"/>
      <c r="G3661" s="612" t="s">
        <v>3743</v>
      </c>
    </row>
    <row r="3662" spans="1:7" ht="20.100000000000001" customHeight="1" x14ac:dyDescent="0.2">
      <c r="A3662" s="681" t="str">
        <f t="shared" si="50"/>
        <v>1653  031.016.006  Locação de Area de Terras</v>
      </c>
      <c r="B3662" s="636">
        <v>1653</v>
      </c>
      <c r="C3662" s="614"/>
      <c r="D3662" s="638" t="s">
        <v>3744</v>
      </c>
      <c r="E3662" s="165"/>
      <c r="F3662" s="614"/>
      <c r="G3662" s="612" t="s">
        <v>3745</v>
      </c>
    </row>
    <row r="3663" spans="1:7" ht="20.100000000000001" customHeight="1" x14ac:dyDescent="0.2">
      <c r="A3663" s="681" t="str">
        <f t="shared" si="50"/>
        <v>1657  031.016.007  Premiações - Sorteios</v>
      </c>
      <c r="B3663" s="636">
        <v>1657</v>
      </c>
      <c r="C3663" s="614"/>
      <c r="D3663" s="638" t="s">
        <v>3746</v>
      </c>
      <c r="E3663" s="165"/>
      <c r="F3663" s="614"/>
      <c r="G3663" s="612" t="s">
        <v>3747</v>
      </c>
    </row>
    <row r="3664" spans="1:7" ht="20.100000000000001" customHeight="1" x14ac:dyDescent="0.2">
      <c r="A3664" s="681" t="str">
        <f t="shared" si="50"/>
        <v>1668  031.016.008  Gêneros Alimenticios</v>
      </c>
      <c r="B3664" s="636">
        <v>1668</v>
      </c>
      <c r="C3664" s="614"/>
      <c r="D3664" s="638" t="s">
        <v>3748</v>
      </c>
      <c r="E3664" s="165"/>
      <c r="F3664" s="614"/>
      <c r="G3664" s="612" t="s">
        <v>3749</v>
      </c>
    </row>
    <row r="3665" spans="1:7" ht="20.100000000000001" customHeight="1" x14ac:dyDescent="0.2">
      <c r="A3665" s="681" t="str">
        <f t="shared" si="50"/>
        <v>1669  031.016.009  Bebidas</v>
      </c>
      <c r="B3665" s="636">
        <v>1669</v>
      </c>
      <c r="C3665" s="614"/>
      <c r="D3665" s="638" t="s">
        <v>3750</v>
      </c>
      <c r="E3665" s="165"/>
      <c r="F3665" s="614"/>
      <c r="G3665" s="612" t="s">
        <v>3751</v>
      </c>
    </row>
    <row r="3666" spans="1:7" ht="20.100000000000001" customHeight="1" x14ac:dyDescent="0.2">
      <c r="A3666" s="681" t="str">
        <f t="shared" si="50"/>
        <v>825  031.017.000  PORTICO</v>
      </c>
      <c r="B3666" s="636">
        <v>825</v>
      </c>
      <c r="C3666" s="614"/>
      <c r="D3666" s="638" t="s">
        <v>3752</v>
      </c>
      <c r="E3666" s="165"/>
      <c r="F3666" s="614"/>
      <c r="G3666" s="612" t="s">
        <v>3753</v>
      </c>
    </row>
    <row r="3667" spans="1:7" ht="20.100000000000001" customHeight="1" x14ac:dyDescent="0.2">
      <c r="A3667" s="681" t="str">
        <f t="shared" si="50"/>
        <v>826  031.017.001  Material de Consumo</v>
      </c>
      <c r="B3667" s="636">
        <v>826</v>
      </c>
      <c r="C3667" s="614"/>
      <c r="D3667" s="638" t="s">
        <v>3754</v>
      </c>
      <c r="E3667" s="165"/>
      <c r="F3667" s="614"/>
      <c r="G3667" s="612" t="s">
        <v>1955</v>
      </c>
    </row>
    <row r="3668" spans="1:7" ht="20.100000000000001" customHeight="1" x14ac:dyDescent="0.2">
      <c r="A3668" s="681" t="str">
        <f t="shared" si="50"/>
        <v>827  031.017.002  Prestação de Serviços</v>
      </c>
      <c r="B3668" s="636">
        <v>827</v>
      </c>
      <c r="C3668" s="614"/>
      <c r="D3668" s="638" t="s">
        <v>3755</v>
      </c>
      <c r="E3668" s="165"/>
      <c r="F3668" s="614"/>
      <c r="G3668" s="612" t="s">
        <v>3665</v>
      </c>
    </row>
    <row r="3669" spans="1:7" ht="20.100000000000001" customHeight="1" x14ac:dyDescent="0.2">
      <c r="A3669" s="681" t="str">
        <f t="shared" si="50"/>
        <v>828  031.017.003  Agua</v>
      </c>
      <c r="B3669" s="636">
        <v>828</v>
      </c>
      <c r="C3669" s="614"/>
      <c r="D3669" s="638" t="s">
        <v>3756</v>
      </c>
      <c r="E3669" s="165"/>
      <c r="F3669" s="614"/>
      <c r="G3669" s="612" t="s">
        <v>2365</v>
      </c>
    </row>
    <row r="3670" spans="1:7" ht="20.100000000000001" customHeight="1" x14ac:dyDescent="0.2">
      <c r="A3670" s="681" t="str">
        <f t="shared" si="50"/>
        <v>829  031.017.004  Energia Elétrica</v>
      </c>
      <c r="B3670" s="636">
        <v>829</v>
      </c>
      <c r="C3670" s="614"/>
      <c r="D3670" s="638" t="s">
        <v>3757</v>
      </c>
      <c r="E3670" s="165"/>
      <c r="F3670" s="614"/>
      <c r="G3670" s="612" t="s">
        <v>700</v>
      </c>
    </row>
    <row r="3671" spans="1:7" ht="20.100000000000001" customHeight="1" x14ac:dyDescent="0.2">
      <c r="A3671" s="681" t="str">
        <f t="shared" si="50"/>
        <v>830  031.017.005  Geral</v>
      </c>
      <c r="B3671" s="636">
        <v>830</v>
      </c>
      <c r="C3671" s="614"/>
      <c r="D3671" s="638" t="s">
        <v>3758</v>
      </c>
      <c r="E3671" s="165"/>
      <c r="F3671" s="614"/>
      <c r="G3671" s="612" t="s">
        <v>2380</v>
      </c>
    </row>
    <row r="3672" spans="1:7" ht="20.100000000000001" customHeight="1" x14ac:dyDescent="0.2">
      <c r="A3672" s="681" t="str">
        <f t="shared" si="50"/>
        <v>831  031.018.000  DER OSTER BAUN</v>
      </c>
      <c r="B3672" s="636">
        <v>831</v>
      </c>
      <c r="C3672" s="614"/>
      <c r="D3672" s="638" t="s">
        <v>3759</v>
      </c>
      <c r="E3672" s="165"/>
      <c r="F3672" s="614"/>
      <c r="G3672" s="612" t="s">
        <v>3760</v>
      </c>
    </row>
    <row r="3673" spans="1:7" ht="20.100000000000001" customHeight="1" x14ac:dyDescent="0.2">
      <c r="A3673" s="681" t="str">
        <f t="shared" si="50"/>
        <v>832  031.018.001  Material de Consumo</v>
      </c>
      <c r="B3673" s="636">
        <v>832</v>
      </c>
      <c r="C3673" s="614"/>
      <c r="D3673" s="638" t="s">
        <v>3761</v>
      </c>
      <c r="E3673" s="165"/>
      <c r="F3673" s="614"/>
      <c r="G3673" s="612" t="s">
        <v>1955</v>
      </c>
    </row>
    <row r="3674" spans="1:7" ht="20.100000000000001" customHeight="1" x14ac:dyDescent="0.2">
      <c r="A3674" s="681" t="str">
        <f t="shared" si="50"/>
        <v>833  031.018.002  Prestação de Serviços</v>
      </c>
      <c r="B3674" s="636">
        <v>833</v>
      </c>
      <c r="C3674" s="614"/>
      <c r="D3674" s="638" t="s">
        <v>3762</v>
      </c>
      <c r="E3674" s="165"/>
      <c r="F3674" s="614"/>
      <c r="G3674" s="612" t="s">
        <v>3665</v>
      </c>
    </row>
    <row r="3675" spans="1:7" ht="20.100000000000001" customHeight="1" x14ac:dyDescent="0.2">
      <c r="A3675" s="681" t="str">
        <f t="shared" si="50"/>
        <v>834  031.018.003  Geral</v>
      </c>
      <c r="B3675" s="636">
        <v>834</v>
      </c>
      <c r="C3675" s="614"/>
      <c r="D3675" s="638" t="s">
        <v>3763</v>
      </c>
      <c r="E3675" s="165"/>
      <c r="F3675" s="614"/>
      <c r="G3675" s="612" t="s">
        <v>2380</v>
      </c>
    </row>
    <row r="3676" spans="1:7" ht="20.100000000000001" customHeight="1" x14ac:dyDescent="0.2">
      <c r="A3676" s="681" t="str">
        <f t="shared" si="50"/>
        <v>835  031.019.000  FESTA NATALINA</v>
      </c>
      <c r="B3676" s="636">
        <v>835</v>
      </c>
      <c r="C3676" s="614"/>
      <c r="D3676" s="638" t="s">
        <v>3764</v>
      </c>
      <c r="E3676" s="165"/>
      <c r="F3676" s="614"/>
      <c r="G3676" s="612" t="s">
        <v>3765</v>
      </c>
    </row>
    <row r="3677" spans="1:7" ht="20.100000000000001" customHeight="1" x14ac:dyDescent="0.2">
      <c r="A3677" s="681" t="str">
        <f t="shared" si="50"/>
        <v>836  031.019.001  Material de Consumo</v>
      </c>
      <c r="B3677" s="636">
        <v>836</v>
      </c>
      <c r="C3677" s="614"/>
      <c r="D3677" s="638" t="s">
        <v>3766</v>
      </c>
      <c r="E3677" s="165"/>
      <c r="F3677" s="614"/>
      <c r="G3677" s="612" t="s">
        <v>1955</v>
      </c>
    </row>
    <row r="3678" spans="1:7" ht="20.100000000000001" customHeight="1" x14ac:dyDescent="0.2">
      <c r="A3678" s="681" t="str">
        <f t="shared" si="50"/>
        <v>837  031.019.002  Prestação de Serviços</v>
      </c>
      <c r="B3678" s="636">
        <v>837</v>
      </c>
      <c r="C3678" s="614"/>
      <c r="D3678" s="638" t="s">
        <v>3767</v>
      </c>
      <c r="E3678" s="165"/>
      <c r="F3678" s="614"/>
      <c r="G3678" s="612" t="s">
        <v>3665</v>
      </c>
    </row>
    <row r="3679" spans="1:7" ht="20.100000000000001" customHeight="1" x14ac:dyDescent="0.2">
      <c r="A3679" s="681" t="str">
        <f t="shared" si="50"/>
        <v>838  031.019.003  Geral</v>
      </c>
      <c r="B3679" s="636">
        <v>838</v>
      </c>
      <c r="C3679" s="614"/>
      <c r="D3679" s="638" t="s">
        <v>3768</v>
      </c>
      <c r="E3679" s="165"/>
      <c r="F3679" s="614"/>
      <c r="G3679" s="612" t="s">
        <v>2380</v>
      </c>
    </row>
    <row r="3680" spans="1:7" ht="20.100000000000001" customHeight="1" x14ac:dyDescent="0.2">
      <c r="A3680" s="681" t="str">
        <f t="shared" si="50"/>
        <v>839  031.020.000  FESTA DE ANIVERSÁRIO MUNICIPIO</v>
      </c>
      <c r="B3680" s="636">
        <v>839</v>
      </c>
      <c r="C3680" s="614"/>
      <c r="D3680" s="638" t="s">
        <v>3769</v>
      </c>
      <c r="E3680" s="165"/>
      <c r="F3680" s="614"/>
      <c r="G3680" s="612" t="s">
        <v>3770</v>
      </c>
    </row>
    <row r="3681" spans="1:7" ht="20.100000000000001" customHeight="1" x14ac:dyDescent="0.2">
      <c r="A3681" s="681" t="str">
        <f t="shared" si="50"/>
        <v>840  031.020.001  Material de Consumo</v>
      </c>
      <c r="B3681" s="636">
        <v>840</v>
      </c>
      <c r="C3681" s="614"/>
      <c r="D3681" s="638" t="s">
        <v>3771</v>
      </c>
      <c r="E3681" s="165"/>
      <c r="F3681" s="614"/>
      <c r="G3681" s="612" t="s">
        <v>1955</v>
      </c>
    </row>
    <row r="3682" spans="1:7" ht="20.100000000000001" customHeight="1" x14ac:dyDescent="0.2">
      <c r="A3682" s="681" t="str">
        <f t="shared" si="50"/>
        <v>841  031.020.002  Prestação de Serviços</v>
      </c>
      <c r="B3682" s="636">
        <v>841</v>
      </c>
      <c r="C3682" s="614"/>
      <c r="D3682" s="638" t="s">
        <v>3772</v>
      </c>
      <c r="E3682" s="165"/>
      <c r="F3682" s="614"/>
      <c r="G3682" s="612" t="s">
        <v>3665</v>
      </c>
    </row>
    <row r="3683" spans="1:7" ht="20.100000000000001" customHeight="1" x14ac:dyDescent="0.2">
      <c r="A3683" s="681" t="str">
        <f t="shared" si="50"/>
        <v>842  031.020.003  Geral</v>
      </c>
      <c r="B3683" s="636">
        <v>842</v>
      </c>
      <c r="C3683" s="614"/>
      <c r="D3683" s="638" t="s">
        <v>3773</v>
      </c>
      <c r="E3683" s="165"/>
      <c r="F3683" s="614"/>
      <c r="G3683" s="612" t="s">
        <v>2380</v>
      </c>
    </row>
    <row r="3684" spans="1:7" ht="20.100000000000001" customHeight="1" x14ac:dyDescent="0.2">
      <c r="A3684" s="681" t="str">
        <f t="shared" si="50"/>
        <v>1650  031.021.000  CENTRO DE INFORMAÇÕES TURISTICAS</v>
      </c>
      <c r="B3684" s="636">
        <v>1650</v>
      </c>
      <c r="C3684" s="614"/>
      <c r="D3684" s="638" t="s">
        <v>3774</v>
      </c>
      <c r="E3684" s="165"/>
      <c r="F3684" s="614"/>
      <c r="G3684" s="612" t="s">
        <v>3775</v>
      </c>
    </row>
    <row r="3685" spans="1:7" ht="20.100000000000001" customHeight="1" x14ac:dyDescent="0.2">
      <c r="A3685" s="681" t="str">
        <f t="shared" si="50"/>
        <v>1651  031.021.001  Manutenção do Centro de Informações Turisticas</v>
      </c>
      <c r="B3685" s="636">
        <v>1651</v>
      </c>
      <c r="C3685" s="614"/>
      <c r="D3685" s="638" t="s">
        <v>3776</v>
      </c>
      <c r="E3685" s="165"/>
      <c r="F3685" s="614"/>
      <c r="G3685" s="612" t="s">
        <v>3777</v>
      </c>
    </row>
    <row r="3686" spans="1:7" ht="20.100000000000001" customHeight="1" x14ac:dyDescent="0.2">
      <c r="A3686" s="681" t="str">
        <f t="shared" si="50"/>
        <v>843  032.000.000  DESPORTO</v>
      </c>
      <c r="B3686" s="636">
        <v>843</v>
      </c>
      <c r="C3686" s="614"/>
      <c r="D3686" s="638" t="s">
        <v>3778</v>
      </c>
      <c r="E3686" s="165"/>
      <c r="F3686" s="614"/>
      <c r="G3686" s="612" t="s">
        <v>3779</v>
      </c>
    </row>
    <row r="3687" spans="1:7" ht="20.100000000000001" customHeight="1" x14ac:dyDescent="0.2">
      <c r="A3687" s="681" t="str">
        <f t="shared" si="50"/>
        <v>844  032.003.000  PESSOAL E ENCARGOS</v>
      </c>
      <c r="B3687" s="636">
        <v>844</v>
      </c>
      <c r="C3687" s="614"/>
      <c r="D3687" s="638" t="s">
        <v>3780</v>
      </c>
      <c r="E3687" s="165"/>
      <c r="F3687" s="614"/>
      <c r="G3687" s="612" t="s">
        <v>3634</v>
      </c>
    </row>
    <row r="3688" spans="1:7" ht="20.100000000000001" customHeight="1" x14ac:dyDescent="0.2">
      <c r="A3688" s="681" t="str">
        <f t="shared" si="50"/>
        <v>845  032.003.001  Servidores Efetivos</v>
      </c>
      <c r="B3688" s="636">
        <v>845</v>
      </c>
      <c r="C3688" s="614"/>
      <c r="D3688" s="638" t="s">
        <v>3781</v>
      </c>
      <c r="E3688" s="165"/>
      <c r="F3688" s="614"/>
      <c r="G3688" s="612" t="s">
        <v>2141</v>
      </c>
    </row>
    <row r="3689" spans="1:7" ht="20.100000000000001" customHeight="1" x14ac:dyDescent="0.2">
      <c r="A3689" s="681" t="str">
        <f t="shared" si="50"/>
        <v>846  032.003.002  Servidores Contratados</v>
      </c>
      <c r="B3689" s="636">
        <v>846</v>
      </c>
      <c r="C3689" s="614"/>
      <c r="D3689" s="638" t="s">
        <v>3782</v>
      </c>
      <c r="E3689" s="165"/>
      <c r="F3689" s="614"/>
      <c r="G3689" s="612" t="s">
        <v>2396</v>
      </c>
    </row>
    <row r="3690" spans="1:7" ht="20.100000000000001" customHeight="1" x14ac:dyDescent="0.2">
      <c r="A3690" s="681" t="str">
        <f t="shared" si="50"/>
        <v>847  032.003.003  Servidores C.C.</v>
      </c>
      <c r="B3690" s="636">
        <v>847</v>
      </c>
      <c r="C3690" s="614"/>
      <c r="D3690" s="638" t="s">
        <v>3783</v>
      </c>
      <c r="E3690" s="165"/>
      <c r="F3690" s="614"/>
      <c r="G3690" s="612" t="s">
        <v>2142</v>
      </c>
    </row>
    <row r="3691" spans="1:7" ht="20.100000000000001" customHeight="1" x14ac:dyDescent="0.2">
      <c r="A3691" s="681" t="str">
        <f t="shared" si="50"/>
        <v>848  032.004.000  ADMINISTRATIVO</v>
      </c>
      <c r="B3691" s="636">
        <v>848</v>
      </c>
      <c r="C3691" s="614"/>
      <c r="D3691" s="638" t="s">
        <v>3784</v>
      </c>
      <c r="E3691" s="165"/>
      <c r="F3691" s="614"/>
      <c r="G3691" s="612" t="s">
        <v>3600</v>
      </c>
    </row>
    <row r="3692" spans="1:7" ht="20.100000000000001" customHeight="1" x14ac:dyDescent="0.2">
      <c r="A3692" s="681" t="str">
        <f t="shared" si="50"/>
        <v>849  032.004.001  Gas de Cozinha</v>
      </c>
      <c r="B3692" s="636">
        <v>849</v>
      </c>
      <c r="C3692" s="614"/>
      <c r="D3692" s="638" t="s">
        <v>3785</v>
      </c>
      <c r="E3692" s="165"/>
      <c r="F3692" s="614"/>
      <c r="G3692" s="612" t="s">
        <v>2342</v>
      </c>
    </row>
    <row r="3693" spans="1:7" ht="20.100000000000001" customHeight="1" x14ac:dyDescent="0.2">
      <c r="A3693" s="681" t="str">
        <f t="shared" si="50"/>
        <v>850  032.004.002  Generos Alimenticios</v>
      </c>
      <c r="B3693" s="636">
        <v>850</v>
      </c>
      <c r="C3693" s="614"/>
      <c r="D3693" s="638" t="s">
        <v>3786</v>
      </c>
      <c r="E3693" s="165"/>
      <c r="F3693" s="614"/>
      <c r="G3693" s="612" t="s">
        <v>2340</v>
      </c>
    </row>
    <row r="3694" spans="1:7" ht="20.100000000000001" customHeight="1" x14ac:dyDescent="0.2">
      <c r="A3694" s="681" t="str">
        <f t="shared" si="50"/>
        <v>851  032.004.003  Material de Copa e Cozinha</v>
      </c>
      <c r="B3694" s="636">
        <v>851</v>
      </c>
      <c r="C3694" s="614"/>
      <c r="D3694" s="638" t="s">
        <v>3787</v>
      </c>
      <c r="E3694" s="165"/>
      <c r="F3694" s="614"/>
      <c r="G3694" s="612" t="s">
        <v>2430</v>
      </c>
    </row>
    <row r="3695" spans="1:7" ht="20.100000000000001" customHeight="1" x14ac:dyDescent="0.2">
      <c r="A3695" s="681" t="str">
        <f t="shared" si="50"/>
        <v>852  032.004.004  Diárias Serv. Efetivos</v>
      </c>
      <c r="B3695" s="636">
        <v>852</v>
      </c>
      <c r="C3695" s="614"/>
      <c r="D3695" s="638" t="s">
        <v>3788</v>
      </c>
      <c r="E3695" s="165"/>
      <c r="F3695" s="614"/>
      <c r="G3695" s="612" t="s">
        <v>3602</v>
      </c>
    </row>
    <row r="3696" spans="1:7" ht="20.100000000000001" customHeight="1" x14ac:dyDescent="0.2">
      <c r="A3696" s="681" t="str">
        <f t="shared" si="50"/>
        <v>853  032.004.005  Diárias Serv. Contratados</v>
      </c>
      <c r="B3696" s="636">
        <v>853</v>
      </c>
      <c r="C3696" s="614"/>
      <c r="D3696" s="638" t="s">
        <v>3789</v>
      </c>
      <c r="E3696" s="165"/>
      <c r="F3696" s="614"/>
      <c r="G3696" s="612" t="s">
        <v>3604</v>
      </c>
    </row>
    <row r="3697" spans="1:7" ht="20.100000000000001" customHeight="1" x14ac:dyDescent="0.2">
      <c r="A3697" s="681" t="str">
        <f t="shared" si="50"/>
        <v>854  032.004.006  Diárias Serv. C.C.</v>
      </c>
      <c r="B3697" s="636">
        <v>854</v>
      </c>
      <c r="C3697" s="614"/>
      <c r="D3697" s="638" t="s">
        <v>3790</v>
      </c>
      <c r="E3697" s="165"/>
      <c r="F3697" s="614"/>
      <c r="G3697" s="612" t="s">
        <v>3606</v>
      </c>
    </row>
    <row r="3698" spans="1:7" ht="20.100000000000001" customHeight="1" x14ac:dyDescent="0.2">
      <c r="A3698" s="681" t="str">
        <f t="shared" si="50"/>
        <v>855  032.004.007  Material de Expediente</v>
      </c>
      <c r="B3698" s="636">
        <v>855</v>
      </c>
      <c r="C3698" s="614"/>
      <c r="D3698" s="638" t="s">
        <v>3791</v>
      </c>
      <c r="E3698" s="165"/>
      <c r="F3698" s="614"/>
      <c r="G3698" s="612" t="s">
        <v>2346</v>
      </c>
    </row>
    <row r="3699" spans="1:7" ht="20.100000000000001" customHeight="1" x14ac:dyDescent="0.2">
      <c r="A3699" s="681" t="str">
        <f t="shared" si="50"/>
        <v>856  032.004.008  Manutenção de Eq. Informática</v>
      </c>
      <c r="B3699" s="636">
        <v>856</v>
      </c>
      <c r="C3699" s="614"/>
      <c r="D3699" s="638" t="s">
        <v>3792</v>
      </c>
      <c r="E3699" s="165"/>
      <c r="F3699" s="614"/>
      <c r="G3699" s="612" t="s">
        <v>2439</v>
      </c>
    </row>
    <row r="3700" spans="1:7" ht="20.100000000000001" customHeight="1" x14ac:dyDescent="0.2">
      <c r="A3700" s="681" t="str">
        <f t="shared" si="50"/>
        <v>857  032.004.009  Seleção e Treinamento</v>
      </c>
      <c r="B3700" s="636">
        <v>857</v>
      </c>
      <c r="C3700" s="614"/>
      <c r="D3700" s="638" t="s">
        <v>3793</v>
      </c>
      <c r="E3700" s="165"/>
      <c r="F3700" s="614"/>
      <c r="G3700" s="612" t="s">
        <v>2369</v>
      </c>
    </row>
    <row r="3701" spans="1:7" ht="20.100000000000001" customHeight="1" x14ac:dyDescent="0.2">
      <c r="A3701" s="681" t="str">
        <f t="shared" si="50"/>
        <v>858  032.004.010  Suprimenrtos de Informática</v>
      </c>
      <c r="B3701" s="636">
        <v>858</v>
      </c>
      <c r="C3701" s="614"/>
      <c r="D3701" s="638" t="s">
        <v>3794</v>
      </c>
      <c r="E3701" s="165"/>
      <c r="F3701" s="614"/>
      <c r="G3701" s="612" t="s">
        <v>3795</v>
      </c>
    </row>
    <row r="3702" spans="1:7" ht="20.100000000000001" customHeight="1" x14ac:dyDescent="0.2">
      <c r="A3702" s="681" t="str">
        <f t="shared" si="50"/>
        <v>859  032.004.011  Auxilio Alimentação</v>
      </c>
      <c r="B3702" s="636">
        <v>859</v>
      </c>
      <c r="C3702" s="614"/>
      <c r="D3702" s="638" t="s">
        <v>3796</v>
      </c>
      <c r="E3702" s="165"/>
      <c r="F3702" s="614"/>
      <c r="G3702" s="612" t="s">
        <v>2524</v>
      </c>
    </row>
    <row r="3703" spans="1:7" ht="20.100000000000001" customHeight="1" x14ac:dyDescent="0.2">
      <c r="A3703" s="681" t="str">
        <f t="shared" si="50"/>
        <v>860  032.004.012  Auxilio Transporte</v>
      </c>
      <c r="B3703" s="636">
        <v>860</v>
      </c>
      <c r="C3703" s="614"/>
      <c r="D3703" s="638" t="s">
        <v>3797</v>
      </c>
      <c r="E3703" s="165"/>
      <c r="F3703" s="614"/>
      <c r="G3703" s="612" t="s">
        <v>2462</v>
      </c>
    </row>
    <row r="3704" spans="1:7" ht="20.100000000000001" customHeight="1" x14ac:dyDescent="0.2">
      <c r="A3704" s="681" t="str">
        <f t="shared" si="50"/>
        <v>861  032.004.013  Custo de Aquisição Eq. Informática</v>
      </c>
      <c r="B3704" s="636">
        <v>861</v>
      </c>
      <c r="C3704" s="614"/>
      <c r="D3704" s="638" t="s">
        <v>3798</v>
      </c>
      <c r="E3704" s="165"/>
      <c r="F3704" s="614"/>
      <c r="G3704" s="612" t="s">
        <v>3653</v>
      </c>
    </row>
    <row r="3705" spans="1:7" ht="20.100000000000001" customHeight="1" x14ac:dyDescent="0.2">
      <c r="A3705" s="681" t="str">
        <f t="shared" si="50"/>
        <v>862  032.004.014  Custo de Aquisição Mobiliario</v>
      </c>
      <c r="B3705" s="636">
        <v>862</v>
      </c>
      <c r="C3705" s="614"/>
      <c r="D3705" s="638" t="s">
        <v>3799</v>
      </c>
      <c r="E3705" s="165"/>
      <c r="F3705" s="614"/>
      <c r="G3705" s="612" t="s">
        <v>3655</v>
      </c>
    </row>
    <row r="3706" spans="1:7" ht="20.100000000000001" customHeight="1" x14ac:dyDescent="0.2">
      <c r="A3706" s="681" t="str">
        <f t="shared" si="50"/>
        <v>863  032.004.015  Custo de Aquisição Moveis e Utensilios</v>
      </c>
      <c r="B3706" s="636">
        <v>863</v>
      </c>
      <c r="C3706" s="614"/>
      <c r="D3706" s="638" t="s">
        <v>3800</v>
      </c>
      <c r="E3706" s="165"/>
      <c r="F3706" s="614"/>
      <c r="G3706" s="612" t="s">
        <v>3657</v>
      </c>
    </row>
    <row r="3707" spans="1:7" ht="20.100000000000001" customHeight="1" x14ac:dyDescent="0.2">
      <c r="A3707" s="681" t="str">
        <f t="shared" si="50"/>
        <v>864  032.004.016  Geral</v>
      </c>
      <c r="B3707" s="636">
        <v>864</v>
      </c>
      <c r="C3707" s="614"/>
      <c r="D3707" s="638" t="s">
        <v>3801</v>
      </c>
      <c r="E3707" s="165"/>
      <c r="F3707" s="614"/>
      <c r="G3707" s="612" t="s">
        <v>2380</v>
      </c>
    </row>
    <row r="3708" spans="1:7" ht="20.100000000000001" customHeight="1" x14ac:dyDescent="0.2">
      <c r="A3708" s="681" t="str">
        <f t="shared" si="50"/>
        <v>1552  032.004.017  Aquisição de Equip. Permanente</v>
      </c>
      <c r="B3708" s="636">
        <v>1552</v>
      </c>
      <c r="C3708" s="614"/>
      <c r="D3708" s="638" t="s">
        <v>3802</v>
      </c>
      <c r="E3708" s="165"/>
      <c r="F3708" s="614"/>
      <c r="G3708" s="612" t="s">
        <v>3803</v>
      </c>
    </row>
    <row r="3709" spans="1:7" ht="20.100000000000001" customHeight="1" x14ac:dyDescent="0.2">
      <c r="A3709" s="681" t="str">
        <f t="shared" si="50"/>
        <v>1685  032.004.018  Combustível Veículo ISK 1256</v>
      </c>
      <c r="B3709" s="636">
        <v>1685</v>
      </c>
      <c r="C3709" s="614"/>
      <c r="D3709" s="638" t="s">
        <v>3804</v>
      </c>
      <c r="E3709" s="165"/>
      <c r="F3709" s="614"/>
      <c r="G3709" s="612" t="s">
        <v>3805</v>
      </c>
    </row>
    <row r="3710" spans="1:7" ht="20.100000000000001" customHeight="1" x14ac:dyDescent="0.2">
      <c r="A3710" s="681" t="str">
        <f t="shared" si="50"/>
        <v>865  032.005.000  ESPORTE AO AR LIVRE</v>
      </c>
      <c r="B3710" s="636">
        <v>865</v>
      </c>
      <c r="C3710" s="614"/>
      <c r="D3710" s="638" t="s">
        <v>3806</v>
      </c>
      <c r="E3710" s="165"/>
      <c r="F3710" s="614"/>
      <c r="G3710" s="612" t="s">
        <v>3807</v>
      </c>
    </row>
    <row r="3711" spans="1:7" ht="20.100000000000001" customHeight="1" x14ac:dyDescent="0.2">
      <c r="A3711" s="681" t="str">
        <f t="shared" si="50"/>
        <v>866  032.005.001  Material de Consumo</v>
      </c>
      <c r="B3711" s="636">
        <v>866</v>
      </c>
      <c r="C3711" s="614"/>
      <c r="D3711" s="638" t="s">
        <v>3808</v>
      </c>
      <c r="E3711" s="165"/>
      <c r="F3711" s="614"/>
      <c r="G3711" s="612" t="s">
        <v>1955</v>
      </c>
    </row>
    <row r="3712" spans="1:7" ht="20.100000000000001" customHeight="1" x14ac:dyDescent="0.2">
      <c r="A3712" s="681" t="str">
        <f t="shared" si="50"/>
        <v>867  032.005.002  Prestação de Serviços</v>
      </c>
      <c r="B3712" s="636">
        <v>867</v>
      </c>
      <c r="C3712" s="614"/>
      <c r="D3712" s="638" t="s">
        <v>3809</v>
      </c>
      <c r="E3712" s="165"/>
      <c r="F3712" s="614"/>
      <c r="G3712" s="612" t="s">
        <v>3665</v>
      </c>
    </row>
    <row r="3713" spans="1:7" ht="20.100000000000001" customHeight="1" x14ac:dyDescent="0.2">
      <c r="A3713" s="681" t="str">
        <f t="shared" si="50"/>
        <v>868  032.005.003  Geral</v>
      </c>
      <c r="B3713" s="636">
        <v>868</v>
      </c>
      <c r="C3713" s="614"/>
      <c r="D3713" s="638" t="s">
        <v>3810</v>
      </c>
      <c r="E3713" s="165"/>
      <c r="F3713" s="614"/>
      <c r="G3713" s="612" t="s">
        <v>2380</v>
      </c>
    </row>
    <row r="3714" spans="1:7" ht="20.100000000000001" customHeight="1" x14ac:dyDescent="0.2">
      <c r="A3714" s="681" t="str">
        <f t="shared" si="50"/>
        <v>869  032.006.000  QUADRAS ESPORTIVAS</v>
      </c>
      <c r="B3714" s="636">
        <v>869</v>
      </c>
      <c r="C3714" s="614"/>
      <c r="D3714" s="638" t="s">
        <v>3811</v>
      </c>
      <c r="E3714" s="165"/>
      <c r="F3714" s="614"/>
      <c r="G3714" s="612" t="s">
        <v>3812</v>
      </c>
    </row>
    <row r="3715" spans="1:7" ht="20.100000000000001" customHeight="1" x14ac:dyDescent="0.2">
      <c r="A3715" s="681" t="str">
        <f t="shared" si="50"/>
        <v>870  032.006.001  Material de Consumo</v>
      </c>
      <c r="B3715" s="636">
        <v>870</v>
      </c>
      <c r="C3715" s="614"/>
      <c r="D3715" s="638" t="s">
        <v>3813</v>
      </c>
      <c r="E3715" s="165"/>
      <c r="F3715" s="614"/>
      <c r="G3715" s="612" t="s">
        <v>1955</v>
      </c>
    </row>
    <row r="3716" spans="1:7" ht="20.100000000000001" customHeight="1" x14ac:dyDescent="0.2">
      <c r="A3716" s="681" t="str">
        <f t="shared" si="50"/>
        <v>871  032.006.002  Prestação de Serviços</v>
      </c>
      <c r="B3716" s="636">
        <v>871</v>
      </c>
      <c r="C3716" s="614"/>
      <c r="D3716" s="638" t="s">
        <v>3814</v>
      </c>
      <c r="E3716" s="165"/>
      <c r="F3716" s="614"/>
      <c r="G3716" s="612" t="s">
        <v>3665</v>
      </c>
    </row>
    <row r="3717" spans="1:7" ht="20.100000000000001" customHeight="1" x14ac:dyDescent="0.2">
      <c r="A3717" s="681" t="str">
        <f t="shared" si="50"/>
        <v>872  032.006.003  Geral</v>
      </c>
      <c r="B3717" s="636">
        <v>872</v>
      </c>
      <c r="C3717" s="614"/>
      <c r="D3717" s="638" t="s">
        <v>3815</v>
      </c>
      <c r="E3717" s="165"/>
      <c r="F3717" s="614"/>
      <c r="G3717" s="612" t="s">
        <v>2380</v>
      </c>
    </row>
    <row r="3718" spans="1:7" ht="20.100000000000001" customHeight="1" x14ac:dyDescent="0.2">
      <c r="A3718" s="681" t="str">
        <f t="shared" si="50"/>
        <v>873  032.007.000  CONVENIOS</v>
      </c>
      <c r="B3718" s="636">
        <v>873</v>
      </c>
      <c r="C3718" s="614"/>
      <c r="D3718" s="638" t="s">
        <v>3816</v>
      </c>
      <c r="E3718" s="165"/>
      <c r="F3718" s="614"/>
      <c r="G3718" s="612" t="s">
        <v>3817</v>
      </c>
    </row>
    <row r="3719" spans="1:7" ht="20.100000000000001" customHeight="1" x14ac:dyDescent="0.2">
      <c r="A3719" s="681" t="str">
        <f t="shared" ref="A3719:A3782" si="51">CONCATENATE(B3719,"  ",D3719,"  ",G3719)</f>
        <v>874  032.007.001  Execução de Convenios - União</v>
      </c>
      <c r="B3719" s="636">
        <v>874</v>
      </c>
      <c r="C3719" s="614"/>
      <c r="D3719" s="638" t="s">
        <v>3818</v>
      </c>
      <c r="E3719" s="165"/>
      <c r="F3719" s="614"/>
      <c r="G3719" s="612" t="s">
        <v>3819</v>
      </c>
    </row>
    <row r="3720" spans="1:7" ht="20.100000000000001" customHeight="1" x14ac:dyDescent="0.2">
      <c r="A3720" s="681" t="str">
        <f t="shared" si="51"/>
        <v>875  032.007.002  Execução de Convenios - Estado</v>
      </c>
      <c r="B3720" s="636">
        <v>875</v>
      </c>
      <c r="C3720" s="614"/>
      <c r="D3720" s="638" t="s">
        <v>3820</v>
      </c>
      <c r="E3720" s="165"/>
      <c r="F3720" s="614"/>
      <c r="G3720" s="612" t="s">
        <v>3821</v>
      </c>
    </row>
    <row r="3721" spans="1:7" ht="20.100000000000001" customHeight="1" x14ac:dyDescent="0.2">
      <c r="A3721" s="681" t="str">
        <f t="shared" si="51"/>
        <v>876  032.007.003  Geral</v>
      </c>
      <c r="B3721" s="636">
        <v>876</v>
      </c>
      <c r="C3721" s="614"/>
      <c r="D3721" s="638" t="s">
        <v>3822</v>
      </c>
      <c r="E3721" s="165"/>
      <c r="F3721" s="614"/>
      <c r="G3721" s="612" t="s">
        <v>2380</v>
      </c>
    </row>
    <row r="3722" spans="1:7" ht="20.100000000000001" customHeight="1" x14ac:dyDescent="0.2">
      <c r="A3722" s="681" t="str">
        <f t="shared" si="51"/>
        <v>877  032.008.000  Campeonato Praiano</v>
      </c>
      <c r="B3722" s="636">
        <v>877</v>
      </c>
      <c r="C3722" s="614"/>
      <c r="D3722" s="638" t="s">
        <v>3823</v>
      </c>
      <c r="E3722" s="165"/>
      <c r="F3722" s="614"/>
      <c r="G3722" s="612" t="s">
        <v>3824</v>
      </c>
    </row>
    <row r="3723" spans="1:7" ht="20.100000000000001" customHeight="1" x14ac:dyDescent="0.2">
      <c r="A3723" s="681" t="str">
        <f t="shared" si="51"/>
        <v>878  032.008.001  Material de Consumo</v>
      </c>
      <c r="B3723" s="636">
        <v>878</v>
      </c>
      <c r="C3723" s="614"/>
      <c r="D3723" s="638" t="s">
        <v>3825</v>
      </c>
      <c r="E3723" s="165"/>
      <c r="F3723" s="614"/>
      <c r="G3723" s="612" t="s">
        <v>1955</v>
      </c>
    </row>
    <row r="3724" spans="1:7" ht="20.100000000000001" customHeight="1" x14ac:dyDescent="0.2">
      <c r="A3724" s="681" t="str">
        <f t="shared" si="51"/>
        <v>879  032.008.002  Prestação de Serviços</v>
      </c>
      <c r="B3724" s="636">
        <v>879</v>
      </c>
      <c r="C3724" s="614"/>
      <c r="D3724" s="638" t="s">
        <v>3826</v>
      </c>
      <c r="E3724" s="165"/>
      <c r="F3724" s="614"/>
      <c r="G3724" s="612" t="s">
        <v>3665</v>
      </c>
    </row>
    <row r="3725" spans="1:7" ht="20.100000000000001" customHeight="1" x14ac:dyDescent="0.2">
      <c r="A3725" s="681" t="str">
        <f t="shared" si="51"/>
        <v>880  032.008.003  Premiação</v>
      </c>
      <c r="B3725" s="636">
        <v>880</v>
      </c>
      <c r="C3725" s="614"/>
      <c r="D3725" s="638" t="s">
        <v>3827</v>
      </c>
      <c r="E3725" s="165"/>
      <c r="F3725" s="614"/>
      <c r="G3725" s="612" t="s">
        <v>3828</v>
      </c>
    </row>
    <row r="3726" spans="1:7" ht="20.100000000000001" customHeight="1" x14ac:dyDescent="0.2">
      <c r="A3726" s="681" t="str">
        <f t="shared" si="51"/>
        <v>881  032.008.004  Geral</v>
      </c>
      <c r="B3726" s="636">
        <v>881</v>
      </c>
      <c r="C3726" s="614"/>
      <c r="D3726" s="638" t="s">
        <v>3829</v>
      </c>
      <c r="E3726" s="165"/>
      <c r="F3726" s="614"/>
      <c r="G3726" s="612" t="s">
        <v>2380</v>
      </c>
    </row>
    <row r="3727" spans="1:7" ht="20.100000000000001" customHeight="1" x14ac:dyDescent="0.2">
      <c r="A3727" s="681" t="str">
        <f t="shared" si="51"/>
        <v>882  032.009.000  CAMPEONATO INTERCOLONIAL</v>
      </c>
      <c r="B3727" s="636">
        <v>882</v>
      </c>
      <c r="C3727" s="614"/>
      <c r="D3727" s="638" t="s">
        <v>3830</v>
      </c>
      <c r="E3727" s="165"/>
      <c r="F3727" s="614"/>
      <c r="G3727" s="612" t="s">
        <v>3831</v>
      </c>
    </row>
    <row r="3728" spans="1:7" ht="20.100000000000001" customHeight="1" x14ac:dyDescent="0.2">
      <c r="A3728" s="681" t="str">
        <f t="shared" si="51"/>
        <v>883  032.009.001  Material de Consumo</v>
      </c>
      <c r="B3728" s="636">
        <v>883</v>
      </c>
      <c r="C3728" s="614"/>
      <c r="D3728" s="638" t="s">
        <v>3832</v>
      </c>
      <c r="E3728" s="165"/>
      <c r="F3728" s="614"/>
      <c r="G3728" s="612" t="s">
        <v>1955</v>
      </c>
    </row>
    <row r="3729" spans="1:7" ht="20.100000000000001" customHeight="1" x14ac:dyDescent="0.2">
      <c r="A3729" s="681" t="str">
        <f t="shared" si="51"/>
        <v>884  032.009.002  Prestação de Serviços</v>
      </c>
      <c r="B3729" s="636">
        <v>884</v>
      </c>
      <c r="C3729" s="614"/>
      <c r="D3729" s="638" t="s">
        <v>3833</v>
      </c>
      <c r="E3729" s="165"/>
      <c r="F3729" s="614"/>
      <c r="G3729" s="612" t="s">
        <v>3665</v>
      </c>
    </row>
    <row r="3730" spans="1:7" ht="20.100000000000001" customHeight="1" x14ac:dyDescent="0.2">
      <c r="A3730" s="681" t="str">
        <f t="shared" si="51"/>
        <v>885  032.009.003  Premiação</v>
      </c>
      <c r="B3730" s="636">
        <v>885</v>
      </c>
      <c r="C3730" s="614"/>
      <c r="D3730" s="638" t="s">
        <v>3834</v>
      </c>
      <c r="E3730" s="165"/>
      <c r="F3730" s="614"/>
      <c r="G3730" s="612" t="s">
        <v>3828</v>
      </c>
    </row>
    <row r="3731" spans="1:7" ht="20.100000000000001" customHeight="1" x14ac:dyDescent="0.2">
      <c r="A3731" s="681" t="str">
        <f t="shared" si="51"/>
        <v>886  032.009.004  Geral</v>
      </c>
      <c r="B3731" s="636">
        <v>886</v>
      </c>
      <c r="C3731" s="614"/>
      <c r="D3731" s="638" t="s">
        <v>3835</v>
      </c>
      <c r="E3731" s="165"/>
      <c r="F3731" s="614"/>
      <c r="G3731" s="612" t="s">
        <v>2380</v>
      </c>
    </row>
    <row r="3732" spans="1:7" ht="20.100000000000001" customHeight="1" x14ac:dyDescent="0.2">
      <c r="A3732" s="681" t="str">
        <f t="shared" si="51"/>
        <v>887  032.010.000  COPA CHUVISCA DE FUTEBOL DE CAMPO</v>
      </c>
      <c r="B3732" s="636">
        <v>887</v>
      </c>
      <c r="C3732" s="614"/>
      <c r="D3732" s="638" t="s">
        <v>3836</v>
      </c>
      <c r="E3732" s="165"/>
      <c r="F3732" s="614"/>
      <c r="G3732" s="612" t="s">
        <v>3837</v>
      </c>
    </row>
    <row r="3733" spans="1:7" ht="20.100000000000001" customHeight="1" x14ac:dyDescent="0.2">
      <c r="A3733" s="681" t="str">
        <f t="shared" si="51"/>
        <v>888  032.010.001  Material de Consumo</v>
      </c>
      <c r="B3733" s="636">
        <v>888</v>
      </c>
      <c r="C3733" s="614"/>
      <c r="D3733" s="638" t="s">
        <v>3838</v>
      </c>
      <c r="E3733" s="165"/>
      <c r="F3733" s="614"/>
      <c r="G3733" s="612" t="s">
        <v>1955</v>
      </c>
    </row>
    <row r="3734" spans="1:7" ht="20.100000000000001" customHeight="1" x14ac:dyDescent="0.2">
      <c r="A3734" s="681" t="str">
        <f t="shared" si="51"/>
        <v>889  032.010.002  Prestação de Serviços</v>
      </c>
      <c r="B3734" s="636">
        <v>889</v>
      </c>
      <c r="C3734" s="614"/>
      <c r="D3734" s="638" t="s">
        <v>3839</v>
      </c>
      <c r="E3734" s="165"/>
      <c r="F3734" s="614"/>
      <c r="G3734" s="612" t="s">
        <v>3665</v>
      </c>
    </row>
    <row r="3735" spans="1:7" ht="20.100000000000001" customHeight="1" x14ac:dyDescent="0.2">
      <c r="A3735" s="681" t="str">
        <f t="shared" si="51"/>
        <v>890  032.010.003  Premiação</v>
      </c>
      <c r="B3735" s="636">
        <v>890</v>
      </c>
      <c r="C3735" s="614"/>
      <c r="D3735" s="638" t="s">
        <v>3840</v>
      </c>
      <c r="E3735" s="165"/>
      <c r="F3735" s="614"/>
      <c r="G3735" s="612" t="s">
        <v>3828</v>
      </c>
    </row>
    <row r="3736" spans="1:7" ht="20.100000000000001" customHeight="1" x14ac:dyDescent="0.2">
      <c r="A3736" s="681" t="str">
        <f t="shared" si="51"/>
        <v>891  032.010.004  Geral</v>
      </c>
      <c r="B3736" s="636">
        <v>891</v>
      </c>
      <c r="C3736" s="614"/>
      <c r="D3736" s="638" t="s">
        <v>3841</v>
      </c>
      <c r="E3736" s="165"/>
      <c r="F3736" s="614"/>
      <c r="G3736" s="612" t="s">
        <v>2380</v>
      </c>
    </row>
    <row r="3737" spans="1:7" ht="20.100000000000001" customHeight="1" x14ac:dyDescent="0.2">
      <c r="A3737" s="681" t="str">
        <f t="shared" si="51"/>
        <v>892  032.011.000  PROJETO VELOCROSS</v>
      </c>
      <c r="B3737" s="636">
        <v>892</v>
      </c>
      <c r="C3737" s="614"/>
      <c r="D3737" s="638" t="s">
        <v>3842</v>
      </c>
      <c r="E3737" s="165"/>
      <c r="F3737" s="614"/>
      <c r="G3737" s="612" t="s">
        <v>3843</v>
      </c>
    </row>
    <row r="3738" spans="1:7" ht="20.100000000000001" customHeight="1" x14ac:dyDescent="0.2">
      <c r="A3738" s="681" t="str">
        <f t="shared" si="51"/>
        <v>893  032.011.001  Material de Consumo</v>
      </c>
      <c r="B3738" s="636">
        <v>893</v>
      </c>
      <c r="C3738" s="614"/>
      <c r="D3738" s="638" t="s">
        <v>3844</v>
      </c>
      <c r="E3738" s="165"/>
      <c r="F3738" s="614"/>
      <c r="G3738" s="612" t="s">
        <v>1955</v>
      </c>
    </row>
    <row r="3739" spans="1:7" ht="20.100000000000001" customHeight="1" x14ac:dyDescent="0.2">
      <c r="A3739" s="681" t="str">
        <f t="shared" si="51"/>
        <v>894  032.011.002  Prestação de Serviços</v>
      </c>
      <c r="B3739" s="636">
        <v>894</v>
      </c>
      <c r="C3739" s="614"/>
      <c r="D3739" s="638" t="s">
        <v>3845</v>
      </c>
      <c r="E3739" s="165"/>
      <c r="F3739" s="614"/>
      <c r="G3739" s="612" t="s">
        <v>3665</v>
      </c>
    </row>
    <row r="3740" spans="1:7" ht="20.100000000000001" customHeight="1" x14ac:dyDescent="0.2">
      <c r="A3740" s="681" t="str">
        <f t="shared" si="51"/>
        <v>895  032.011.003  Premiação</v>
      </c>
      <c r="B3740" s="636">
        <v>895</v>
      </c>
      <c r="C3740" s="614"/>
      <c r="D3740" s="638" t="s">
        <v>3846</v>
      </c>
      <c r="E3740" s="165"/>
      <c r="F3740" s="614"/>
      <c r="G3740" s="612" t="s">
        <v>3828</v>
      </c>
    </row>
    <row r="3741" spans="1:7" ht="20.100000000000001" customHeight="1" x14ac:dyDescent="0.2">
      <c r="A3741" s="681" t="str">
        <f t="shared" si="51"/>
        <v>896  032.011.004  Geral</v>
      </c>
      <c r="B3741" s="636">
        <v>896</v>
      </c>
      <c r="C3741" s="614"/>
      <c r="D3741" s="638" t="s">
        <v>3847</v>
      </c>
      <c r="E3741" s="165"/>
      <c r="F3741" s="614"/>
      <c r="G3741" s="612" t="s">
        <v>2380</v>
      </c>
    </row>
    <row r="3742" spans="1:7" ht="20.100000000000001" customHeight="1" x14ac:dyDescent="0.2">
      <c r="A3742" s="681" t="str">
        <f t="shared" si="51"/>
        <v>897  032.012.000  DIA DO DESAFIO</v>
      </c>
      <c r="B3742" s="636">
        <v>897</v>
      </c>
      <c r="C3742" s="614"/>
      <c r="D3742" s="638" t="s">
        <v>3848</v>
      </c>
      <c r="E3742" s="165"/>
      <c r="F3742" s="614"/>
      <c r="G3742" s="612" t="s">
        <v>3849</v>
      </c>
    </row>
    <row r="3743" spans="1:7" ht="20.100000000000001" customHeight="1" x14ac:dyDescent="0.2">
      <c r="A3743" s="681" t="str">
        <f t="shared" si="51"/>
        <v>898  032.012.001  Material de Consumo</v>
      </c>
      <c r="B3743" s="636">
        <v>898</v>
      </c>
      <c r="C3743" s="614"/>
      <c r="D3743" s="638" t="s">
        <v>3850</v>
      </c>
      <c r="E3743" s="165"/>
      <c r="F3743" s="614"/>
      <c r="G3743" s="612" t="s">
        <v>1955</v>
      </c>
    </row>
    <row r="3744" spans="1:7" ht="20.100000000000001" customHeight="1" x14ac:dyDescent="0.2">
      <c r="A3744" s="681" t="str">
        <f t="shared" si="51"/>
        <v>899  032.012.002  Prestação de Serviços</v>
      </c>
      <c r="B3744" s="636">
        <v>899</v>
      </c>
      <c r="C3744" s="614"/>
      <c r="D3744" s="638" t="s">
        <v>3851</v>
      </c>
      <c r="E3744" s="165"/>
      <c r="F3744" s="614"/>
      <c r="G3744" s="612" t="s">
        <v>3665</v>
      </c>
    </row>
    <row r="3745" spans="1:7" ht="20.100000000000001" customHeight="1" x14ac:dyDescent="0.2">
      <c r="A3745" s="681" t="str">
        <f t="shared" si="51"/>
        <v>900  032.012.003  Premiação</v>
      </c>
      <c r="B3745" s="636">
        <v>900</v>
      </c>
      <c r="C3745" s="614"/>
      <c r="D3745" s="638" t="s">
        <v>3852</v>
      </c>
      <c r="E3745" s="165"/>
      <c r="F3745" s="614"/>
      <c r="G3745" s="612" t="s">
        <v>3828</v>
      </c>
    </row>
    <row r="3746" spans="1:7" ht="20.100000000000001" customHeight="1" x14ac:dyDescent="0.2">
      <c r="A3746" s="681" t="str">
        <f t="shared" si="51"/>
        <v>901  032.012.004  Geral</v>
      </c>
      <c r="B3746" s="636">
        <v>901</v>
      </c>
      <c r="C3746" s="614"/>
      <c r="D3746" s="638" t="s">
        <v>3853</v>
      </c>
      <c r="E3746" s="165"/>
      <c r="F3746" s="614"/>
      <c r="G3746" s="612" t="s">
        <v>2380</v>
      </c>
    </row>
    <row r="3747" spans="1:7" ht="20.100000000000001" customHeight="1" x14ac:dyDescent="0.2">
      <c r="A3747" s="681" t="str">
        <f t="shared" si="51"/>
        <v>902  032.013.000  OLIMPIADAS RURAIS</v>
      </c>
      <c r="B3747" s="636">
        <v>902</v>
      </c>
      <c r="C3747" s="614"/>
      <c r="D3747" s="638" t="s">
        <v>3854</v>
      </c>
      <c r="E3747" s="165"/>
      <c r="F3747" s="614"/>
      <c r="G3747" s="612" t="s">
        <v>3855</v>
      </c>
    </row>
    <row r="3748" spans="1:7" ht="20.100000000000001" customHeight="1" x14ac:dyDescent="0.2">
      <c r="A3748" s="681" t="str">
        <f t="shared" si="51"/>
        <v>903  032.013.001  Material de Consumo</v>
      </c>
      <c r="B3748" s="636">
        <v>903</v>
      </c>
      <c r="C3748" s="614"/>
      <c r="D3748" s="638" t="s">
        <v>3856</v>
      </c>
      <c r="E3748" s="165"/>
      <c r="F3748" s="614"/>
      <c r="G3748" s="612" t="s">
        <v>1955</v>
      </c>
    </row>
    <row r="3749" spans="1:7" ht="20.100000000000001" customHeight="1" x14ac:dyDescent="0.2">
      <c r="A3749" s="681" t="str">
        <f t="shared" si="51"/>
        <v>904  032.013.002  Prestação de Serviços</v>
      </c>
      <c r="B3749" s="636">
        <v>904</v>
      </c>
      <c r="C3749" s="614"/>
      <c r="D3749" s="638" t="s">
        <v>3857</v>
      </c>
      <c r="E3749" s="165"/>
      <c r="F3749" s="614"/>
      <c r="G3749" s="612" t="s">
        <v>3665</v>
      </c>
    </row>
    <row r="3750" spans="1:7" ht="20.100000000000001" customHeight="1" x14ac:dyDescent="0.2">
      <c r="A3750" s="681" t="str">
        <f t="shared" si="51"/>
        <v>905  032.013.003  Premiação</v>
      </c>
      <c r="B3750" s="636">
        <v>905</v>
      </c>
      <c r="C3750" s="614"/>
      <c r="D3750" s="638" t="s">
        <v>3858</v>
      </c>
      <c r="E3750" s="165"/>
      <c r="F3750" s="614"/>
      <c r="G3750" s="612" t="s">
        <v>3828</v>
      </c>
    </row>
    <row r="3751" spans="1:7" ht="20.100000000000001" customHeight="1" x14ac:dyDescent="0.2">
      <c r="A3751" s="681" t="str">
        <f t="shared" si="51"/>
        <v>906  032.013.004  Geral</v>
      </c>
      <c r="B3751" s="636">
        <v>906</v>
      </c>
      <c r="C3751" s="614"/>
      <c r="D3751" s="638" t="s">
        <v>3859</v>
      </c>
      <c r="E3751" s="165"/>
      <c r="F3751" s="614"/>
      <c r="G3751" s="612" t="s">
        <v>2380</v>
      </c>
    </row>
    <row r="3752" spans="1:7" ht="20.100000000000001" customHeight="1" x14ac:dyDescent="0.2">
      <c r="A3752" s="681" t="str">
        <f t="shared" si="51"/>
        <v>907  032.014.000  JIRGS</v>
      </c>
      <c r="B3752" s="636">
        <v>907</v>
      </c>
      <c r="C3752" s="614"/>
      <c r="D3752" s="638" t="s">
        <v>3860</v>
      </c>
      <c r="E3752" s="165"/>
      <c r="F3752" s="614"/>
      <c r="G3752" s="612" t="s">
        <v>3861</v>
      </c>
    </row>
    <row r="3753" spans="1:7" ht="20.100000000000001" customHeight="1" x14ac:dyDescent="0.2">
      <c r="A3753" s="681" t="str">
        <f t="shared" si="51"/>
        <v>908  032.014.001  Material de Consumo</v>
      </c>
      <c r="B3753" s="636">
        <v>908</v>
      </c>
      <c r="C3753" s="614"/>
      <c r="D3753" s="638" t="s">
        <v>3862</v>
      </c>
      <c r="E3753" s="165"/>
      <c r="F3753" s="614"/>
      <c r="G3753" s="612" t="s">
        <v>1955</v>
      </c>
    </row>
    <row r="3754" spans="1:7" ht="20.100000000000001" customHeight="1" x14ac:dyDescent="0.2">
      <c r="A3754" s="681" t="str">
        <f t="shared" si="51"/>
        <v>909  032.014.002  Prestação de Serviços</v>
      </c>
      <c r="B3754" s="636">
        <v>909</v>
      </c>
      <c r="C3754" s="614"/>
      <c r="D3754" s="638" t="s">
        <v>3863</v>
      </c>
      <c r="E3754" s="165"/>
      <c r="F3754" s="614"/>
      <c r="G3754" s="612" t="s">
        <v>3665</v>
      </c>
    </row>
    <row r="3755" spans="1:7" ht="20.100000000000001" customHeight="1" x14ac:dyDescent="0.2">
      <c r="A3755" s="681" t="str">
        <f t="shared" si="51"/>
        <v>910  032.014.003  Premiação</v>
      </c>
      <c r="B3755" s="636">
        <v>910</v>
      </c>
      <c r="C3755" s="614"/>
      <c r="D3755" s="638" t="s">
        <v>3864</v>
      </c>
      <c r="E3755" s="165"/>
      <c r="F3755" s="614"/>
      <c r="G3755" s="612" t="s">
        <v>3828</v>
      </c>
    </row>
    <row r="3756" spans="1:7" ht="20.100000000000001" customHeight="1" x14ac:dyDescent="0.2">
      <c r="A3756" s="681" t="str">
        <f t="shared" si="51"/>
        <v>911  032.014.004  Geral</v>
      </c>
      <c r="B3756" s="636">
        <v>911</v>
      </c>
      <c r="C3756" s="614"/>
      <c r="D3756" s="638" t="s">
        <v>3865</v>
      </c>
      <c r="E3756" s="165"/>
      <c r="F3756" s="614"/>
      <c r="G3756" s="612" t="s">
        <v>2380</v>
      </c>
    </row>
    <row r="3757" spans="1:7" ht="20.100000000000001" customHeight="1" x14ac:dyDescent="0.2">
      <c r="A3757" s="681" t="str">
        <f t="shared" si="51"/>
        <v>912  032.015.000  CAMPEONATO DE FUTSAL</v>
      </c>
      <c r="B3757" s="636">
        <v>912</v>
      </c>
      <c r="C3757" s="614"/>
      <c r="D3757" s="638" t="s">
        <v>3866</v>
      </c>
      <c r="E3757" s="165"/>
      <c r="F3757" s="614"/>
      <c r="G3757" s="612" t="s">
        <v>3867</v>
      </c>
    </row>
    <row r="3758" spans="1:7" ht="20.100000000000001" customHeight="1" x14ac:dyDescent="0.2">
      <c r="A3758" s="681" t="str">
        <f t="shared" si="51"/>
        <v>913  032.015.001  Material de Consumo</v>
      </c>
      <c r="B3758" s="636">
        <v>913</v>
      </c>
      <c r="C3758" s="614"/>
      <c r="D3758" s="638" t="s">
        <v>3868</v>
      </c>
      <c r="E3758" s="165"/>
      <c r="F3758" s="614"/>
      <c r="G3758" s="612" t="s">
        <v>1955</v>
      </c>
    </row>
    <row r="3759" spans="1:7" ht="20.100000000000001" customHeight="1" x14ac:dyDescent="0.2">
      <c r="A3759" s="681" t="str">
        <f t="shared" si="51"/>
        <v>914  032.015.002  Prestação de Serviços</v>
      </c>
      <c r="B3759" s="636">
        <v>914</v>
      </c>
      <c r="C3759" s="614"/>
      <c r="D3759" s="638" t="s">
        <v>3869</v>
      </c>
      <c r="E3759" s="165"/>
      <c r="F3759" s="614"/>
      <c r="G3759" s="612" t="s">
        <v>3665</v>
      </c>
    </row>
    <row r="3760" spans="1:7" ht="20.100000000000001" customHeight="1" x14ac:dyDescent="0.2">
      <c r="A3760" s="681" t="str">
        <f t="shared" si="51"/>
        <v>915  032.015.003  Premiação</v>
      </c>
      <c r="B3760" s="636">
        <v>915</v>
      </c>
      <c r="C3760" s="614"/>
      <c r="D3760" s="638" t="s">
        <v>3870</v>
      </c>
      <c r="E3760" s="165"/>
      <c r="F3760" s="614"/>
      <c r="G3760" s="612" t="s">
        <v>3828</v>
      </c>
    </row>
    <row r="3761" spans="1:7" ht="20.100000000000001" customHeight="1" x14ac:dyDescent="0.2">
      <c r="A3761" s="681" t="str">
        <f t="shared" si="51"/>
        <v>916  032.015.004  Geral</v>
      </c>
      <c r="B3761" s="636">
        <v>916</v>
      </c>
      <c r="C3761" s="614"/>
      <c r="D3761" s="638" t="s">
        <v>3871</v>
      </c>
      <c r="E3761" s="165"/>
      <c r="F3761" s="614"/>
      <c r="G3761" s="612" t="s">
        <v>2380</v>
      </c>
    </row>
    <row r="3762" spans="1:7" ht="20.100000000000001" customHeight="1" x14ac:dyDescent="0.2">
      <c r="A3762" s="681" t="str">
        <f t="shared" si="51"/>
        <v>631  033.000.000  SECRETARIA MUNICIPAL DA SAUDE</v>
      </c>
      <c r="B3762" s="636">
        <v>631</v>
      </c>
      <c r="C3762" s="614"/>
      <c r="D3762" s="638" t="s">
        <v>3872</v>
      </c>
      <c r="E3762" s="165"/>
      <c r="F3762" s="614"/>
      <c r="G3762" s="612" t="s">
        <v>3873</v>
      </c>
    </row>
    <row r="3763" spans="1:7" ht="20.100000000000001" customHeight="1" x14ac:dyDescent="0.2">
      <c r="A3763" s="681" t="str">
        <f t="shared" si="51"/>
        <v>632  033.001.000  PESSOAL E ENCARGOS SOCIAIS</v>
      </c>
      <c r="B3763" s="636">
        <v>632</v>
      </c>
      <c r="C3763" s="614"/>
      <c r="D3763" s="638" t="s">
        <v>3874</v>
      </c>
      <c r="E3763" s="165"/>
      <c r="F3763" s="614"/>
      <c r="G3763" s="612" t="s">
        <v>2393</v>
      </c>
    </row>
    <row r="3764" spans="1:7" ht="20.100000000000001" customHeight="1" x14ac:dyDescent="0.2">
      <c r="A3764" s="681" t="str">
        <f t="shared" si="51"/>
        <v>917  033.001.001  Servidores Efetivos</v>
      </c>
      <c r="B3764" s="636">
        <v>917</v>
      </c>
      <c r="C3764" s="614"/>
      <c r="D3764" s="638" t="s">
        <v>3875</v>
      </c>
      <c r="E3764" s="165"/>
      <c r="F3764" s="614"/>
      <c r="G3764" s="612" t="s">
        <v>2141</v>
      </c>
    </row>
    <row r="3765" spans="1:7" ht="20.100000000000001" customHeight="1" x14ac:dyDescent="0.2">
      <c r="A3765" s="681" t="str">
        <f t="shared" si="51"/>
        <v>918  033.001.002  Servidores Contratados</v>
      </c>
      <c r="B3765" s="636">
        <v>918</v>
      </c>
      <c r="C3765" s="614"/>
      <c r="D3765" s="638" t="s">
        <v>3876</v>
      </c>
      <c r="E3765" s="165"/>
      <c r="F3765" s="614"/>
      <c r="G3765" s="612" t="s">
        <v>2396</v>
      </c>
    </row>
    <row r="3766" spans="1:7" ht="20.100000000000001" customHeight="1" x14ac:dyDescent="0.2">
      <c r="A3766" s="681" t="str">
        <f t="shared" si="51"/>
        <v>919  033.001.003  Servidores C.C.</v>
      </c>
      <c r="B3766" s="636">
        <v>919</v>
      </c>
      <c r="C3766" s="614"/>
      <c r="D3766" s="638" t="s">
        <v>3877</v>
      </c>
      <c r="E3766" s="165"/>
      <c r="F3766" s="614"/>
      <c r="G3766" s="612" t="s">
        <v>2142</v>
      </c>
    </row>
    <row r="3767" spans="1:7" ht="20.100000000000001" customHeight="1" x14ac:dyDescent="0.2">
      <c r="A3767" s="681" t="str">
        <f t="shared" si="51"/>
        <v>920  033.001.004  Agente Politico</v>
      </c>
      <c r="B3767" s="636">
        <v>920</v>
      </c>
      <c r="C3767" s="614"/>
      <c r="D3767" s="638" t="s">
        <v>3878</v>
      </c>
      <c r="E3767" s="165"/>
      <c r="F3767" s="614"/>
      <c r="G3767" s="612" t="s">
        <v>2399</v>
      </c>
    </row>
    <row r="3768" spans="1:7" ht="20.100000000000001" customHeight="1" x14ac:dyDescent="0.2">
      <c r="A3768" s="681" t="str">
        <f t="shared" si="51"/>
        <v>1532  033.001.005  Hora Extra Servidores Efetivos</v>
      </c>
      <c r="B3768" s="636">
        <v>1532</v>
      </c>
      <c r="C3768" s="614"/>
      <c r="D3768" s="638" t="s">
        <v>3879</v>
      </c>
      <c r="E3768" s="165"/>
      <c r="F3768" s="614"/>
      <c r="G3768" s="612" t="s">
        <v>3880</v>
      </c>
    </row>
    <row r="3769" spans="1:7" ht="20.100000000000001" customHeight="1" x14ac:dyDescent="0.2">
      <c r="A3769" s="681" t="str">
        <f t="shared" si="51"/>
        <v>1533  033.001.006  Hora Extra Servidores Contratados</v>
      </c>
      <c r="B3769" s="636">
        <v>1533</v>
      </c>
      <c r="C3769" s="614"/>
      <c r="D3769" s="638" t="s">
        <v>3881</v>
      </c>
      <c r="E3769" s="165"/>
      <c r="F3769" s="614"/>
      <c r="G3769" s="612" t="s">
        <v>3882</v>
      </c>
    </row>
    <row r="3770" spans="1:7" ht="20.100000000000001" customHeight="1" x14ac:dyDescent="0.2">
      <c r="A3770" s="681" t="str">
        <f t="shared" si="51"/>
        <v>633  033.002.000  ADMINISTRATIVO</v>
      </c>
      <c r="B3770" s="636">
        <v>633</v>
      </c>
      <c r="C3770" s="614"/>
      <c r="D3770" s="638" t="s">
        <v>3883</v>
      </c>
      <c r="E3770" s="165"/>
      <c r="F3770" s="614"/>
      <c r="G3770" s="612" t="s">
        <v>3600</v>
      </c>
    </row>
    <row r="3771" spans="1:7" ht="20.100000000000001" customHeight="1" x14ac:dyDescent="0.2">
      <c r="A3771" s="681" t="str">
        <f t="shared" si="51"/>
        <v>921  033.002.001  Diárias Serv. Efetivos</v>
      </c>
      <c r="B3771" s="636">
        <v>921</v>
      </c>
      <c r="C3771" s="614"/>
      <c r="D3771" s="638" t="s">
        <v>3884</v>
      </c>
      <c r="E3771" s="165"/>
      <c r="F3771" s="614"/>
      <c r="G3771" s="612" t="s">
        <v>3602</v>
      </c>
    </row>
    <row r="3772" spans="1:7" ht="20.100000000000001" customHeight="1" x14ac:dyDescent="0.2">
      <c r="A3772" s="681" t="str">
        <f t="shared" si="51"/>
        <v>922  033.002.002  Diárias Serv. Contratados</v>
      </c>
      <c r="B3772" s="636">
        <v>922</v>
      </c>
      <c r="C3772" s="614"/>
      <c r="D3772" s="638" t="s">
        <v>3885</v>
      </c>
      <c r="E3772" s="165"/>
      <c r="F3772" s="614"/>
      <c r="G3772" s="612" t="s">
        <v>3604</v>
      </c>
    </row>
    <row r="3773" spans="1:7" ht="20.100000000000001" customHeight="1" x14ac:dyDescent="0.2">
      <c r="A3773" s="681" t="str">
        <f t="shared" si="51"/>
        <v>923  033.002.003  Diárias Serv. C.C.</v>
      </c>
      <c r="B3773" s="636">
        <v>923</v>
      </c>
      <c r="C3773" s="614"/>
      <c r="D3773" s="638" t="s">
        <v>3886</v>
      </c>
      <c r="E3773" s="165"/>
      <c r="F3773" s="614"/>
      <c r="G3773" s="612" t="s">
        <v>3606</v>
      </c>
    </row>
    <row r="3774" spans="1:7" ht="20.100000000000001" customHeight="1" x14ac:dyDescent="0.2">
      <c r="A3774" s="681" t="str">
        <f t="shared" si="51"/>
        <v>924  033.002.004  Diárias Agente Político</v>
      </c>
      <c r="B3774" s="636">
        <v>924</v>
      </c>
      <c r="C3774" s="614"/>
      <c r="D3774" s="638" t="s">
        <v>3887</v>
      </c>
      <c r="E3774" s="165"/>
      <c r="F3774" s="614"/>
      <c r="G3774" s="612" t="s">
        <v>2790</v>
      </c>
    </row>
    <row r="3775" spans="1:7" ht="20.100000000000001" customHeight="1" x14ac:dyDescent="0.2">
      <c r="A3775" s="681" t="str">
        <f t="shared" si="51"/>
        <v>925  033.002.005  Gas de Cozinha</v>
      </c>
      <c r="B3775" s="636">
        <v>925</v>
      </c>
      <c r="C3775" s="614"/>
      <c r="D3775" s="638" t="s">
        <v>3888</v>
      </c>
      <c r="E3775" s="165"/>
      <c r="F3775" s="614"/>
      <c r="G3775" s="612" t="s">
        <v>2342</v>
      </c>
    </row>
    <row r="3776" spans="1:7" ht="20.100000000000001" customHeight="1" x14ac:dyDescent="0.2">
      <c r="A3776" s="681" t="str">
        <f t="shared" si="51"/>
        <v>926  033.002.006  Gen. Alimenticios</v>
      </c>
      <c r="B3776" s="636">
        <v>926</v>
      </c>
      <c r="C3776" s="614"/>
      <c r="D3776" s="638" t="s">
        <v>3889</v>
      </c>
      <c r="E3776" s="165"/>
      <c r="F3776" s="614"/>
      <c r="G3776" s="612" t="s">
        <v>3890</v>
      </c>
    </row>
    <row r="3777" spans="1:7" ht="20.100000000000001" customHeight="1" x14ac:dyDescent="0.2">
      <c r="A3777" s="681" t="str">
        <f t="shared" si="51"/>
        <v>927  033.002.007  Suprimentos de Informática</v>
      </c>
      <c r="B3777" s="636">
        <v>927</v>
      </c>
      <c r="C3777" s="614"/>
      <c r="D3777" s="638" t="s">
        <v>3891</v>
      </c>
      <c r="E3777" s="165"/>
      <c r="F3777" s="614"/>
      <c r="G3777" s="612" t="s">
        <v>2435</v>
      </c>
    </row>
    <row r="3778" spans="1:7" ht="20.100000000000001" customHeight="1" x14ac:dyDescent="0.2">
      <c r="A3778" s="681" t="str">
        <f t="shared" si="51"/>
        <v>928  033.002.008  Suprimentos de Impressão</v>
      </c>
      <c r="B3778" s="636">
        <v>928</v>
      </c>
      <c r="C3778" s="614"/>
      <c r="D3778" s="638" t="s">
        <v>3892</v>
      </c>
      <c r="E3778" s="165"/>
      <c r="F3778" s="614"/>
      <c r="G3778" s="612" t="s">
        <v>3893</v>
      </c>
    </row>
    <row r="3779" spans="1:7" ht="20.100000000000001" customHeight="1" x14ac:dyDescent="0.2">
      <c r="A3779" s="681" t="str">
        <f t="shared" si="51"/>
        <v>929  033.002.009  Material de Expediente</v>
      </c>
      <c r="B3779" s="636">
        <v>929</v>
      </c>
      <c r="C3779" s="614"/>
      <c r="D3779" s="638" t="s">
        <v>3894</v>
      </c>
      <c r="E3779" s="165"/>
      <c r="F3779" s="614"/>
      <c r="G3779" s="612" t="s">
        <v>2346</v>
      </c>
    </row>
    <row r="3780" spans="1:7" ht="20.100000000000001" customHeight="1" x14ac:dyDescent="0.2">
      <c r="A3780" s="681" t="str">
        <f t="shared" si="51"/>
        <v>930  033.002.010  Material de Limpeza e Higiene</v>
      </c>
      <c r="B3780" s="636">
        <v>930</v>
      </c>
      <c r="C3780" s="614"/>
      <c r="D3780" s="638" t="s">
        <v>3895</v>
      </c>
      <c r="E3780" s="165"/>
      <c r="F3780" s="614"/>
      <c r="G3780" s="612" t="s">
        <v>2569</v>
      </c>
    </row>
    <row r="3781" spans="1:7" ht="20.100000000000001" customHeight="1" x14ac:dyDescent="0.2">
      <c r="A3781" s="681" t="str">
        <f t="shared" si="51"/>
        <v>931  033.002.011  Manutenção de Prédios</v>
      </c>
      <c r="B3781" s="636">
        <v>931</v>
      </c>
      <c r="C3781" s="614"/>
      <c r="D3781" s="638" t="s">
        <v>3896</v>
      </c>
      <c r="E3781" s="165"/>
      <c r="F3781" s="614"/>
      <c r="G3781" s="612" t="s">
        <v>3084</v>
      </c>
    </row>
    <row r="3782" spans="1:7" ht="20.100000000000001" customHeight="1" x14ac:dyDescent="0.2">
      <c r="A3782" s="681" t="str">
        <f t="shared" si="51"/>
        <v>932  033.002.012  Manutenção de Moveis e Utensilios</v>
      </c>
      <c r="B3782" s="636">
        <v>932</v>
      </c>
      <c r="C3782" s="614"/>
      <c r="D3782" s="638" t="s">
        <v>3897</v>
      </c>
      <c r="E3782" s="165"/>
      <c r="F3782" s="614"/>
      <c r="G3782" s="612" t="s">
        <v>3210</v>
      </c>
    </row>
    <row r="3783" spans="1:7" ht="20.100000000000001" customHeight="1" x14ac:dyDescent="0.2">
      <c r="A3783" s="681" t="str">
        <f t="shared" ref="A3783:A3846" si="52">CONCATENATE(B3783,"  ",D3783,"  ",G3783)</f>
        <v>933  033.002.013  Serviços Tecnicos Profissionais</v>
      </c>
      <c r="B3783" s="636">
        <v>933</v>
      </c>
      <c r="C3783" s="614"/>
      <c r="D3783" s="638" t="s">
        <v>3898</v>
      </c>
      <c r="E3783" s="165"/>
      <c r="F3783" s="614"/>
      <c r="G3783" s="612" t="s">
        <v>3161</v>
      </c>
    </row>
    <row r="3784" spans="1:7" ht="20.100000000000001" customHeight="1" x14ac:dyDescent="0.2">
      <c r="A3784" s="681" t="str">
        <f t="shared" si="52"/>
        <v>934  033.002.014  Seleção e Treinamento</v>
      </c>
      <c r="B3784" s="636">
        <v>934</v>
      </c>
      <c r="C3784" s="614"/>
      <c r="D3784" s="638" t="s">
        <v>3899</v>
      </c>
      <c r="E3784" s="165"/>
      <c r="F3784" s="614"/>
      <c r="G3784" s="612" t="s">
        <v>2369</v>
      </c>
    </row>
    <row r="3785" spans="1:7" ht="20.100000000000001" customHeight="1" x14ac:dyDescent="0.2">
      <c r="A3785" s="681" t="str">
        <f t="shared" si="52"/>
        <v>935  033.002.015  Manutenção de Equip.  de Informática</v>
      </c>
      <c r="B3785" s="636">
        <v>935</v>
      </c>
      <c r="C3785" s="614"/>
      <c r="D3785" s="638" t="s">
        <v>3900</v>
      </c>
      <c r="E3785" s="165"/>
      <c r="F3785" s="614"/>
      <c r="G3785" s="612" t="s">
        <v>3901</v>
      </c>
    </row>
    <row r="3786" spans="1:7" ht="20.100000000000001" customHeight="1" x14ac:dyDescent="0.2">
      <c r="A3786" s="681" t="str">
        <f t="shared" si="52"/>
        <v>936  033.002.016  Manutenção de Equip. Impressão</v>
      </c>
      <c r="B3786" s="636">
        <v>936</v>
      </c>
      <c r="C3786" s="614"/>
      <c r="D3786" s="638" t="s">
        <v>3902</v>
      </c>
      <c r="E3786" s="165"/>
      <c r="F3786" s="614"/>
      <c r="G3786" s="612" t="s">
        <v>3903</v>
      </c>
    </row>
    <row r="3787" spans="1:7" ht="20.100000000000001" customHeight="1" x14ac:dyDescent="0.2">
      <c r="A3787" s="681" t="str">
        <f t="shared" si="52"/>
        <v>937  033.002.017  Auxilio Alimentação</v>
      </c>
      <c r="B3787" s="636">
        <v>937</v>
      </c>
      <c r="C3787" s="614"/>
      <c r="D3787" s="638" t="s">
        <v>3904</v>
      </c>
      <c r="E3787" s="165"/>
      <c r="F3787" s="614"/>
      <c r="G3787" s="612" t="s">
        <v>2524</v>
      </c>
    </row>
    <row r="3788" spans="1:7" ht="20.100000000000001" customHeight="1" x14ac:dyDescent="0.2">
      <c r="A3788" s="681" t="str">
        <f t="shared" si="52"/>
        <v>938  033.002.018  Auxilio Transporte</v>
      </c>
      <c r="B3788" s="636">
        <v>938</v>
      </c>
      <c r="C3788" s="614"/>
      <c r="D3788" s="638" t="s">
        <v>3905</v>
      </c>
      <c r="E3788" s="165"/>
      <c r="F3788" s="614"/>
      <c r="G3788" s="612" t="s">
        <v>2462</v>
      </c>
    </row>
    <row r="3789" spans="1:7" ht="20.100000000000001" customHeight="1" x14ac:dyDescent="0.2">
      <c r="A3789" s="681" t="str">
        <f t="shared" si="52"/>
        <v>939  033.002.019  Locação de Imóveis</v>
      </c>
      <c r="B3789" s="636">
        <v>939</v>
      </c>
      <c r="C3789" s="614"/>
      <c r="D3789" s="638" t="s">
        <v>3906</v>
      </c>
      <c r="E3789" s="165"/>
      <c r="F3789" s="614"/>
      <c r="G3789" s="612" t="s">
        <v>2227</v>
      </c>
    </row>
    <row r="3790" spans="1:7" ht="20.100000000000001" customHeight="1" x14ac:dyDescent="0.2">
      <c r="A3790" s="681" t="str">
        <f t="shared" si="52"/>
        <v>940  033.002.020  Agua</v>
      </c>
      <c r="B3790" s="636">
        <v>940</v>
      </c>
      <c r="C3790" s="614"/>
      <c r="D3790" s="638" t="s">
        <v>3907</v>
      </c>
      <c r="E3790" s="165"/>
      <c r="F3790" s="614"/>
      <c r="G3790" s="612" t="s">
        <v>2365</v>
      </c>
    </row>
    <row r="3791" spans="1:7" ht="20.100000000000001" customHeight="1" x14ac:dyDescent="0.2">
      <c r="A3791" s="681" t="str">
        <f t="shared" si="52"/>
        <v>941  033.002.021  Energia Eletrica</v>
      </c>
      <c r="B3791" s="636">
        <v>941</v>
      </c>
      <c r="C3791" s="614"/>
      <c r="D3791" s="638" t="s">
        <v>3908</v>
      </c>
      <c r="E3791" s="165"/>
      <c r="F3791" s="614"/>
      <c r="G3791" s="612" t="s">
        <v>3097</v>
      </c>
    </row>
    <row r="3792" spans="1:7" ht="20.100000000000001" customHeight="1" x14ac:dyDescent="0.2">
      <c r="A3792" s="681" t="str">
        <f t="shared" si="52"/>
        <v>942  033.002.022  Telefone Fixo</v>
      </c>
      <c r="B3792" s="636">
        <v>942</v>
      </c>
      <c r="C3792" s="614"/>
      <c r="D3792" s="638" t="s">
        <v>3909</v>
      </c>
      <c r="E3792" s="165"/>
      <c r="F3792" s="614"/>
      <c r="G3792" s="612" t="s">
        <v>1041</v>
      </c>
    </row>
    <row r="3793" spans="1:7" ht="20.100000000000001" customHeight="1" x14ac:dyDescent="0.2">
      <c r="A3793" s="681" t="str">
        <f t="shared" si="52"/>
        <v>943  033.002.023  Telefone Celular</v>
      </c>
      <c r="B3793" s="636">
        <v>943</v>
      </c>
      <c r="C3793" s="614"/>
      <c r="D3793" s="638" t="s">
        <v>3910</v>
      </c>
      <c r="E3793" s="165"/>
      <c r="F3793" s="614"/>
      <c r="G3793" s="612" t="s">
        <v>1150</v>
      </c>
    </row>
    <row r="3794" spans="1:7" ht="20.100000000000001" customHeight="1" x14ac:dyDescent="0.2">
      <c r="A3794" s="681" t="str">
        <f t="shared" si="52"/>
        <v>944  033.002.024  Estagiários</v>
      </c>
      <c r="B3794" s="636">
        <v>944</v>
      </c>
      <c r="C3794" s="614"/>
      <c r="D3794" s="638" t="s">
        <v>3911</v>
      </c>
      <c r="E3794" s="165"/>
      <c r="F3794" s="614"/>
      <c r="G3794" s="612" t="s">
        <v>2449</v>
      </c>
    </row>
    <row r="3795" spans="1:7" ht="20.100000000000001" customHeight="1" x14ac:dyDescent="0.2">
      <c r="A3795" s="681" t="str">
        <f t="shared" si="52"/>
        <v>634  033.002.025  Serviços Bancários</v>
      </c>
      <c r="B3795" s="636">
        <v>634</v>
      </c>
      <c r="C3795" s="614"/>
      <c r="D3795" s="638" t="s">
        <v>3912</v>
      </c>
      <c r="E3795" s="165"/>
      <c r="F3795" s="614"/>
      <c r="G3795" s="612" t="s">
        <v>1056</v>
      </c>
    </row>
    <row r="3796" spans="1:7" ht="20.100000000000001" customHeight="1" x14ac:dyDescent="0.2">
      <c r="A3796" s="681" t="str">
        <f t="shared" si="52"/>
        <v>945  033.002.026  Geral</v>
      </c>
      <c r="B3796" s="636">
        <v>945</v>
      </c>
      <c r="C3796" s="614"/>
      <c r="D3796" s="638" t="s">
        <v>3913</v>
      </c>
      <c r="E3796" s="165"/>
      <c r="F3796" s="614"/>
      <c r="G3796" s="612" t="s">
        <v>2380</v>
      </c>
    </row>
    <row r="3797" spans="1:7" ht="20.100000000000001" customHeight="1" x14ac:dyDescent="0.2">
      <c r="A3797" s="681" t="str">
        <f t="shared" si="52"/>
        <v>1305  033.002.027  Locação de Sistemas de Processamento de Dados</v>
      </c>
      <c r="B3797" s="636">
        <v>1305</v>
      </c>
      <c r="C3797" s="614"/>
      <c r="D3797" s="638" t="s">
        <v>3914</v>
      </c>
      <c r="E3797" s="165"/>
      <c r="F3797" s="614"/>
      <c r="G3797" s="612" t="s">
        <v>3109</v>
      </c>
    </row>
    <row r="3798" spans="1:7" ht="20.100000000000001" customHeight="1" x14ac:dyDescent="0.2">
      <c r="A3798" s="681" t="str">
        <f t="shared" si="52"/>
        <v>1486  033.002.028  Agua Mineral</v>
      </c>
      <c r="B3798" s="636">
        <v>1486</v>
      </c>
      <c r="C3798" s="614"/>
      <c r="D3798" s="638" t="s">
        <v>3915</v>
      </c>
      <c r="E3798" s="165"/>
      <c r="F3798" s="614"/>
      <c r="G3798" s="612" t="s">
        <v>2527</v>
      </c>
    </row>
    <row r="3799" spans="1:7" ht="20.100000000000001" customHeight="1" x14ac:dyDescent="0.2">
      <c r="A3799" s="681" t="str">
        <f t="shared" si="52"/>
        <v>1548  033.002.029  Plano de Saude - IPE</v>
      </c>
      <c r="B3799" s="636">
        <v>1548</v>
      </c>
      <c r="C3799" s="614"/>
      <c r="D3799" s="638" t="s">
        <v>3916</v>
      </c>
      <c r="E3799" s="165"/>
      <c r="F3799" s="614"/>
      <c r="G3799" s="612" t="s">
        <v>2723</v>
      </c>
    </row>
    <row r="3800" spans="1:7" ht="20.100000000000001" customHeight="1" x14ac:dyDescent="0.2">
      <c r="A3800" s="681" t="str">
        <f t="shared" si="52"/>
        <v>1501  033.002.030  Material P/ Manutenção de imóveis</v>
      </c>
      <c r="B3800" s="636">
        <v>1501</v>
      </c>
      <c r="C3800" s="614"/>
      <c r="D3800" s="638" t="s">
        <v>3917</v>
      </c>
      <c r="E3800" s="165"/>
      <c r="F3800" s="614"/>
      <c r="G3800" s="612" t="s">
        <v>3918</v>
      </c>
    </row>
    <row r="3801" spans="1:7" ht="20.100000000000001" customHeight="1" x14ac:dyDescent="0.2">
      <c r="A3801" s="681" t="str">
        <f t="shared" si="52"/>
        <v>1550  033.002.031  Aquisição de Equipamento Permanente</v>
      </c>
      <c r="B3801" s="636">
        <v>1550</v>
      </c>
      <c r="C3801" s="614"/>
      <c r="D3801" s="638" t="s">
        <v>3919</v>
      </c>
      <c r="E3801" s="165"/>
      <c r="F3801" s="614"/>
      <c r="G3801" s="612" t="s">
        <v>3920</v>
      </c>
    </row>
    <row r="3802" spans="1:7" ht="20.100000000000001" customHeight="1" x14ac:dyDescent="0.2">
      <c r="A3802" s="681" t="str">
        <f t="shared" si="52"/>
        <v>1629  033.002.032  Material P/Distribuição Gratuita</v>
      </c>
      <c r="B3802" s="636">
        <v>1629</v>
      </c>
      <c r="C3802" s="614"/>
      <c r="D3802" s="638" t="s">
        <v>3921</v>
      </c>
      <c r="E3802" s="165"/>
      <c r="F3802" s="614"/>
      <c r="G3802" s="612" t="s">
        <v>3922</v>
      </c>
    </row>
    <row r="3803" spans="1:7" ht="20.100000000000001" customHeight="1" x14ac:dyDescent="0.2">
      <c r="A3803" s="681" t="str">
        <f t="shared" si="52"/>
        <v>1674  033.002.033  Devolucao de Saldo Convenios</v>
      </c>
      <c r="B3803" s="636">
        <v>1674</v>
      </c>
      <c r="C3803" s="614"/>
      <c r="D3803" s="638" t="s">
        <v>3923</v>
      </c>
      <c r="E3803" s="165"/>
      <c r="F3803" s="614"/>
      <c r="G3803" s="612" t="s">
        <v>3924</v>
      </c>
    </row>
    <row r="3804" spans="1:7" ht="20.100000000000001" customHeight="1" x14ac:dyDescent="0.2">
      <c r="A3804" s="681" t="str">
        <f t="shared" si="52"/>
        <v>703  033.003.000  CUSTO DE AQUISICAO DE BENS MOVEIS E IMÓVEIS</v>
      </c>
      <c r="B3804" s="636">
        <v>703</v>
      </c>
      <c r="C3804" s="614"/>
      <c r="D3804" s="638" t="s">
        <v>3925</v>
      </c>
      <c r="E3804" s="165"/>
      <c r="F3804" s="614"/>
      <c r="G3804" s="612" t="s">
        <v>3926</v>
      </c>
    </row>
    <row r="3805" spans="1:7" ht="20.100000000000001" customHeight="1" x14ac:dyDescent="0.2">
      <c r="A3805" s="681" t="str">
        <f t="shared" si="52"/>
        <v>946  033.003.001  Custo de Aquisição de Equipamentos: Informática</v>
      </c>
      <c r="B3805" s="636">
        <v>946</v>
      </c>
      <c r="C3805" s="614"/>
      <c r="D3805" s="638" t="s">
        <v>3927</v>
      </c>
      <c r="E3805" s="165"/>
      <c r="F3805" s="614"/>
      <c r="G3805" s="612" t="s">
        <v>3380</v>
      </c>
    </row>
    <row r="3806" spans="1:7" ht="20.100000000000001" customHeight="1" x14ac:dyDescent="0.2">
      <c r="A3806" s="681" t="str">
        <f t="shared" si="52"/>
        <v>947  033.003.002  Custo de Aquisição de Equipamentos: Mobiliario</v>
      </c>
      <c r="B3806" s="636">
        <v>947</v>
      </c>
      <c r="C3806" s="614"/>
      <c r="D3806" s="638" t="s">
        <v>3928</v>
      </c>
      <c r="E3806" s="165"/>
      <c r="F3806" s="614"/>
      <c r="G3806" s="612" t="s">
        <v>3929</v>
      </c>
    </row>
    <row r="3807" spans="1:7" ht="20.100000000000001" customHeight="1" x14ac:dyDescent="0.2">
      <c r="A3807" s="681" t="str">
        <f t="shared" si="52"/>
        <v>948  033.003.003  Custo de Aquisição de Equipamentos: Eq. Comunicação</v>
      </c>
      <c r="B3807" s="636">
        <v>948</v>
      </c>
      <c r="C3807" s="614"/>
      <c r="D3807" s="638" t="s">
        <v>3930</v>
      </c>
      <c r="E3807" s="165"/>
      <c r="F3807" s="614"/>
      <c r="G3807" s="612" t="s">
        <v>3384</v>
      </c>
    </row>
    <row r="3808" spans="1:7" ht="20.100000000000001" customHeight="1" x14ac:dyDescent="0.2">
      <c r="A3808" s="681" t="str">
        <f t="shared" si="52"/>
        <v>949  033.003.004  Custo de Aquisição de Equipamentos: Ar Condicionado</v>
      </c>
      <c r="B3808" s="636">
        <v>949</v>
      </c>
      <c r="C3808" s="614"/>
      <c r="D3808" s="638" t="s">
        <v>3931</v>
      </c>
      <c r="E3808" s="165"/>
      <c r="F3808" s="614"/>
      <c r="G3808" s="612" t="s">
        <v>3932</v>
      </c>
    </row>
    <row r="3809" spans="1:7" ht="20.100000000000001" customHeight="1" x14ac:dyDescent="0.2">
      <c r="A3809" s="681" t="str">
        <f t="shared" si="52"/>
        <v>950  033.003.005  Custo de Aquisição de Equipamentos: Equip. e Utensilios Domésticos</v>
      </c>
      <c r="B3809" s="636">
        <v>950</v>
      </c>
      <c r="C3809" s="614"/>
      <c r="D3809" s="638" t="s">
        <v>3933</v>
      </c>
      <c r="E3809" s="165"/>
      <c r="F3809" s="614"/>
      <c r="G3809" s="612" t="s">
        <v>3388</v>
      </c>
    </row>
    <row r="3810" spans="1:7" ht="20.100000000000001" customHeight="1" x14ac:dyDescent="0.2">
      <c r="A3810" s="681" t="str">
        <f t="shared" si="52"/>
        <v>951  033.003.006  Custo de Aquisição de Equipamentos: Equip. Impressão</v>
      </c>
      <c r="B3810" s="636">
        <v>951</v>
      </c>
      <c r="C3810" s="614"/>
      <c r="D3810" s="638" t="s">
        <v>3934</v>
      </c>
      <c r="E3810" s="165"/>
      <c r="F3810" s="614"/>
      <c r="G3810" s="612" t="s">
        <v>3935</v>
      </c>
    </row>
    <row r="3811" spans="1:7" ht="20.100000000000001" customHeight="1" x14ac:dyDescent="0.2">
      <c r="A3811" s="681" t="str">
        <f t="shared" si="52"/>
        <v>1573  033.003.007  Custo de Aquisição de Veículos</v>
      </c>
      <c r="B3811" s="636">
        <v>1573</v>
      </c>
      <c r="C3811" s="614"/>
      <c r="D3811" s="638" t="s">
        <v>3936</v>
      </c>
      <c r="E3811" s="165"/>
      <c r="F3811" s="614"/>
      <c r="G3811" s="612" t="s">
        <v>3937</v>
      </c>
    </row>
    <row r="3812" spans="1:7" ht="20.100000000000001" customHeight="1" x14ac:dyDescent="0.2">
      <c r="A3812" s="681" t="str">
        <f t="shared" si="52"/>
        <v>1616  033.003.008  Aquisição de Equipamentos Diversos</v>
      </c>
      <c r="B3812" s="636">
        <v>1616</v>
      </c>
      <c r="C3812" s="614"/>
      <c r="D3812" s="638" t="s">
        <v>3938</v>
      </c>
      <c r="E3812" s="165"/>
      <c r="F3812" s="614"/>
      <c r="G3812" s="612" t="s">
        <v>3939</v>
      </c>
    </row>
    <row r="3813" spans="1:7" ht="20.100000000000001" customHeight="1" x14ac:dyDescent="0.2">
      <c r="A3813" s="681" t="str">
        <f t="shared" si="52"/>
        <v>1678  033.003.009  Custo de Aquisição Gerador</v>
      </c>
      <c r="B3813" s="636">
        <v>1678</v>
      </c>
      <c r="C3813" s="614"/>
      <c r="D3813" s="638" t="s">
        <v>3940</v>
      </c>
      <c r="E3813" s="165"/>
      <c r="F3813" s="614"/>
      <c r="G3813" s="612" t="s">
        <v>3941</v>
      </c>
    </row>
    <row r="3814" spans="1:7" ht="20.100000000000001" customHeight="1" x14ac:dyDescent="0.2">
      <c r="A3814" s="681" t="str">
        <f t="shared" si="52"/>
        <v>952  033.004.000  GESTÃO UNIDADE BÁSICA DE SAÚDE</v>
      </c>
      <c r="B3814" s="636">
        <v>952</v>
      </c>
      <c r="C3814" s="614"/>
      <c r="D3814" s="638" t="s">
        <v>3942</v>
      </c>
      <c r="E3814" s="165"/>
      <c r="F3814" s="614"/>
      <c r="G3814" s="612" t="s">
        <v>3943</v>
      </c>
    </row>
    <row r="3815" spans="1:7" ht="20.100000000000001" customHeight="1" x14ac:dyDescent="0.2">
      <c r="A3815" s="681" t="str">
        <f t="shared" si="52"/>
        <v>953  033.004.001  Pessoal e Encargos: Servidores Efetivos</v>
      </c>
      <c r="B3815" s="636">
        <v>953</v>
      </c>
      <c r="C3815" s="614"/>
      <c r="D3815" s="638" t="s">
        <v>3944</v>
      </c>
      <c r="E3815" s="165"/>
      <c r="F3815" s="614"/>
      <c r="G3815" s="612" t="s">
        <v>3945</v>
      </c>
    </row>
    <row r="3816" spans="1:7" ht="20.100000000000001" customHeight="1" x14ac:dyDescent="0.2">
      <c r="A3816" s="681" t="str">
        <f t="shared" si="52"/>
        <v>954  033.004.002  Pessoal e Encargos: Servidores Contratados</v>
      </c>
      <c r="B3816" s="636">
        <v>954</v>
      </c>
      <c r="C3816" s="614"/>
      <c r="D3816" s="638" t="s">
        <v>3946</v>
      </c>
      <c r="E3816" s="165"/>
      <c r="F3816" s="614"/>
      <c r="G3816" s="612" t="s">
        <v>3947</v>
      </c>
    </row>
    <row r="3817" spans="1:7" ht="20.100000000000001" customHeight="1" x14ac:dyDescent="0.2">
      <c r="A3817" s="681" t="str">
        <f t="shared" si="52"/>
        <v>955  033.004.003  Pessoal e Encargos: Servidores C.C.</v>
      </c>
      <c r="B3817" s="636">
        <v>955</v>
      </c>
      <c r="C3817" s="614"/>
      <c r="D3817" s="638" t="s">
        <v>3948</v>
      </c>
      <c r="E3817" s="165"/>
      <c r="F3817" s="614"/>
      <c r="G3817" s="612" t="s">
        <v>3949</v>
      </c>
    </row>
    <row r="3818" spans="1:7" ht="20.100000000000001" customHeight="1" x14ac:dyDescent="0.2">
      <c r="A3818" s="681" t="str">
        <f t="shared" si="52"/>
        <v>956  033.004.004  Diárias Serv. Efetivos</v>
      </c>
      <c r="B3818" s="636">
        <v>956</v>
      </c>
      <c r="C3818" s="614"/>
      <c r="D3818" s="638" t="s">
        <v>3950</v>
      </c>
      <c r="E3818" s="165"/>
      <c r="F3818" s="614"/>
      <c r="G3818" s="612" t="s">
        <v>3602</v>
      </c>
    </row>
    <row r="3819" spans="1:7" ht="20.100000000000001" customHeight="1" x14ac:dyDescent="0.2">
      <c r="A3819" s="681" t="str">
        <f t="shared" si="52"/>
        <v>957  033.004.005  Diárias Serv. Contratados</v>
      </c>
      <c r="B3819" s="636">
        <v>957</v>
      </c>
      <c r="C3819" s="614"/>
      <c r="D3819" s="638" t="s">
        <v>3951</v>
      </c>
      <c r="E3819" s="165"/>
      <c r="F3819" s="614"/>
      <c r="G3819" s="612" t="s">
        <v>3604</v>
      </c>
    </row>
    <row r="3820" spans="1:7" ht="20.100000000000001" customHeight="1" x14ac:dyDescent="0.2">
      <c r="A3820" s="681" t="str">
        <f t="shared" si="52"/>
        <v>958  033.004.006  Diárias Serv. C.C.</v>
      </c>
      <c r="B3820" s="636">
        <v>958</v>
      </c>
      <c r="C3820" s="614"/>
      <c r="D3820" s="638" t="s">
        <v>3952</v>
      </c>
      <c r="E3820" s="165"/>
      <c r="F3820" s="614"/>
      <c r="G3820" s="612" t="s">
        <v>3606</v>
      </c>
    </row>
    <row r="3821" spans="1:7" ht="20.100000000000001" customHeight="1" x14ac:dyDescent="0.2">
      <c r="A3821" s="681" t="str">
        <f t="shared" si="52"/>
        <v>959  033.004.007  Gas de Cozinha</v>
      </c>
      <c r="B3821" s="636">
        <v>959</v>
      </c>
      <c r="C3821" s="614"/>
      <c r="D3821" s="638" t="s">
        <v>3953</v>
      </c>
      <c r="E3821" s="165"/>
      <c r="F3821" s="614"/>
      <c r="G3821" s="612" t="s">
        <v>2342</v>
      </c>
    </row>
    <row r="3822" spans="1:7" ht="20.100000000000001" customHeight="1" x14ac:dyDescent="0.2">
      <c r="A3822" s="681" t="str">
        <f t="shared" si="52"/>
        <v>960  033.004.008  Gen. Alimenticios</v>
      </c>
      <c r="B3822" s="636">
        <v>960</v>
      </c>
      <c r="C3822" s="614"/>
      <c r="D3822" s="638" t="s">
        <v>3954</v>
      </c>
      <c r="E3822" s="165"/>
      <c r="F3822" s="614"/>
      <c r="G3822" s="612" t="s">
        <v>3890</v>
      </c>
    </row>
    <row r="3823" spans="1:7" ht="20.100000000000001" customHeight="1" x14ac:dyDescent="0.2">
      <c r="A3823" s="681" t="str">
        <f t="shared" si="52"/>
        <v>961  033.004.009  Suprimentos de Informática</v>
      </c>
      <c r="B3823" s="636">
        <v>961</v>
      </c>
      <c r="C3823" s="614"/>
      <c r="D3823" s="638" t="s">
        <v>3955</v>
      </c>
      <c r="E3823" s="165"/>
      <c r="F3823" s="614"/>
      <c r="G3823" s="612" t="s">
        <v>2435</v>
      </c>
    </row>
    <row r="3824" spans="1:7" ht="20.100000000000001" customHeight="1" x14ac:dyDescent="0.2">
      <c r="A3824" s="681" t="str">
        <f t="shared" si="52"/>
        <v>962  033.004.010  Suprimentos de Impressão</v>
      </c>
      <c r="B3824" s="636">
        <v>962</v>
      </c>
      <c r="C3824" s="614"/>
      <c r="D3824" s="638" t="s">
        <v>3956</v>
      </c>
      <c r="E3824" s="165"/>
      <c r="F3824" s="614"/>
      <c r="G3824" s="612" t="s">
        <v>3893</v>
      </c>
    </row>
    <row r="3825" spans="1:7" ht="20.100000000000001" customHeight="1" x14ac:dyDescent="0.2">
      <c r="A3825" s="681" t="str">
        <f t="shared" si="52"/>
        <v>963  033.004.011  Material de Expediente</v>
      </c>
      <c r="B3825" s="636">
        <v>963</v>
      </c>
      <c r="C3825" s="614"/>
      <c r="D3825" s="638" t="s">
        <v>3957</v>
      </c>
      <c r="E3825" s="165"/>
      <c r="F3825" s="614"/>
      <c r="G3825" s="612" t="s">
        <v>2346</v>
      </c>
    </row>
    <row r="3826" spans="1:7" ht="20.100000000000001" customHeight="1" x14ac:dyDescent="0.2">
      <c r="A3826" s="681" t="str">
        <f t="shared" si="52"/>
        <v>964  033.004.012  Material de Limpeza e Higiene</v>
      </c>
      <c r="B3826" s="636">
        <v>964</v>
      </c>
      <c r="C3826" s="614"/>
      <c r="D3826" s="638" t="s">
        <v>3958</v>
      </c>
      <c r="E3826" s="165"/>
      <c r="F3826" s="614"/>
      <c r="G3826" s="612" t="s">
        <v>2569</v>
      </c>
    </row>
    <row r="3827" spans="1:7" ht="20.100000000000001" customHeight="1" x14ac:dyDescent="0.2">
      <c r="A3827" s="681" t="str">
        <f t="shared" si="52"/>
        <v>965  033.004.013  Manutenção de Prédios</v>
      </c>
      <c r="B3827" s="636">
        <v>965</v>
      </c>
      <c r="C3827" s="614"/>
      <c r="D3827" s="638" t="s">
        <v>3959</v>
      </c>
      <c r="E3827" s="165"/>
      <c r="F3827" s="614"/>
      <c r="G3827" s="612" t="s">
        <v>3084</v>
      </c>
    </row>
    <row r="3828" spans="1:7" ht="20.100000000000001" customHeight="1" x14ac:dyDescent="0.2">
      <c r="A3828" s="681" t="str">
        <f t="shared" si="52"/>
        <v>966  033.004.014  Manutenção de Moveis e Utensilios</v>
      </c>
      <c r="B3828" s="636">
        <v>966</v>
      </c>
      <c r="C3828" s="614"/>
      <c r="D3828" s="638" t="s">
        <v>3960</v>
      </c>
      <c r="E3828" s="165"/>
      <c r="F3828" s="614"/>
      <c r="G3828" s="612" t="s">
        <v>3210</v>
      </c>
    </row>
    <row r="3829" spans="1:7" ht="20.100000000000001" customHeight="1" x14ac:dyDescent="0.2">
      <c r="A3829" s="681" t="str">
        <f t="shared" si="52"/>
        <v>967  033.004.015  Serviços Tecnicos e Profissionais</v>
      </c>
      <c r="B3829" s="636">
        <v>967</v>
      </c>
      <c r="C3829" s="614"/>
      <c r="D3829" s="638" t="s">
        <v>3961</v>
      </c>
      <c r="E3829" s="165"/>
      <c r="F3829" s="614"/>
      <c r="G3829" s="612" t="s">
        <v>3088</v>
      </c>
    </row>
    <row r="3830" spans="1:7" ht="20.100000000000001" customHeight="1" x14ac:dyDescent="0.2">
      <c r="A3830" s="681" t="str">
        <f t="shared" si="52"/>
        <v>968  033.004.016  Seleção eTreinamento</v>
      </c>
      <c r="B3830" s="636">
        <v>968</v>
      </c>
      <c r="C3830" s="614"/>
      <c r="D3830" s="638" t="s">
        <v>3962</v>
      </c>
      <c r="E3830" s="165"/>
      <c r="F3830" s="614"/>
      <c r="G3830" s="612" t="s">
        <v>3963</v>
      </c>
    </row>
    <row r="3831" spans="1:7" ht="20.100000000000001" customHeight="1" x14ac:dyDescent="0.2">
      <c r="A3831" s="681" t="str">
        <f t="shared" si="52"/>
        <v>969  033.004.017  Manutenção de Equip. de Informática</v>
      </c>
      <c r="B3831" s="636">
        <v>969</v>
      </c>
      <c r="C3831" s="614"/>
      <c r="D3831" s="638" t="s">
        <v>3964</v>
      </c>
      <c r="E3831" s="165"/>
      <c r="F3831" s="614"/>
      <c r="G3831" s="612" t="s">
        <v>3164</v>
      </c>
    </row>
    <row r="3832" spans="1:7" ht="20.100000000000001" customHeight="1" x14ac:dyDescent="0.2">
      <c r="A3832" s="681" t="str">
        <f t="shared" si="52"/>
        <v>970  033.004.018  Manutenção de Equip. Impressão</v>
      </c>
      <c r="B3832" s="636">
        <v>970</v>
      </c>
      <c r="C3832" s="614"/>
      <c r="D3832" s="638" t="s">
        <v>3965</v>
      </c>
      <c r="E3832" s="165"/>
      <c r="F3832" s="614"/>
      <c r="G3832" s="612" t="s">
        <v>3903</v>
      </c>
    </row>
    <row r="3833" spans="1:7" ht="20.100000000000001" customHeight="1" x14ac:dyDescent="0.2">
      <c r="A3833" s="681" t="str">
        <f t="shared" si="52"/>
        <v>971  033.004.019  Auxilio Alimentação</v>
      </c>
      <c r="B3833" s="636">
        <v>971</v>
      </c>
      <c r="C3833" s="614"/>
      <c r="D3833" s="638" t="s">
        <v>3966</v>
      </c>
      <c r="E3833" s="165"/>
      <c r="F3833" s="614"/>
      <c r="G3833" s="612" t="s">
        <v>2524</v>
      </c>
    </row>
    <row r="3834" spans="1:7" ht="20.100000000000001" customHeight="1" x14ac:dyDescent="0.2">
      <c r="A3834" s="681" t="str">
        <f t="shared" si="52"/>
        <v>972  033.004.020  Auxilio Transporte</v>
      </c>
      <c r="B3834" s="636">
        <v>972</v>
      </c>
      <c r="C3834" s="614"/>
      <c r="D3834" s="638" t="s">
        <v>3967</v>
      </c>
      <c r="E3834" s="165"/>
      <c r="F3834" s="614"/>
      <c r="G3834" s="612" t="s">
        <v>2462</v>
      </c>
    </row>
    <row r="3835" spans="1:7" ht="20.100000000000001" customHeight="1" x14ac:dyDescent="0.2">
      <c r="A3835" s="681" t="str">
        <f t="shared" si="52"/>
        <v>973  033.004.021  Agua</v>
      </c>
      <c r="B3835" s="636">
        <v>973</v>
      </c>
      <c r="C3835" s="614"/>
      <c r="D3835" s="638" t="s">
        <v>3968</v>
      </c>
      <c r="E3835" s="165"/>
      <c r="F3835" s="614"/>
      <c r="G3835" s="612" t="s">
        <v>2365</v>
      </c>
    </row>
    <row r="3836" spans="1:7" ht="20.100000000000001" customHeight="1" x14ac:dyDescent="0.2">
      <c r="A3836" s="681" t="str">
        <f t="shared" si="52"/>
        <v>974  033.004.022  Energia Elétrica</v>
      </c>
      <c r="B3836" s="636">
        <v>974</v>
      </c>
      <c r="C3836" s="614"/>
      <c r="D3836" s="638" t="s">
        <v>3969</v>
      </c>
      <c r="E3836" s="165"/>
      <c r="F3836" s="614"/>
      <c r="G3836" s="612" t="s">
        <v>700</v>
      </c>
    </row>
    <row r="3837" spans="1:7" ht="20.100000000000001" customHeight="1" x14ac:dyDescent="0.2">
      <c r="A3837" s="681" t="str">
        <f t="shared" si="52"/>
        <v>975  033.004.023  Telefone Fixo</v>
      </c>
      <c r="B3837" s="636">
        <v>975</v>
      </c>
      <c r="C3837" s="614"/>
      <c r="D3837" s="638" t="s">
        <v>3970</v>
      </c>
      <c r="E3837" s="165"/>
      <c r="F3837" s="614"/>
      <c r="G3837" s="612" t="s">
        <v>1041</v>
      </c>
    </row>
    <row r="3838" spans="1:7" ht="20.100000000000001" customHeight="1" x14ac:dyDescent="0.2">
      <c r="A3838" s="681" t="str">
        <f t="shared" si="52"/>
        <v>976  033.004.024  Telefone Celular</v>
      </c>
      <c r="B3838" s="636">
        <v>976</v>
      </c>
      <c r="C3838" s="614"/>
      <c r="D3838" s="638" t="s">
        <v>3971</v>
      </c>
      <c r="E3838" s="165"/>
      <c r="F3838" s="614"/>
      <c r="G3838" s="612" t="s">
        <v>1150</v>
      </c>
    </row>
    <row r="3839" spans="1:7" ht="20.100000000000001" customHeight="1" x14ac:dyDescent="0.2">
      <c r="A3839" s="681" t="str">
        <f t="shared" si="52"/>
        <v>707  033.004.025  Serviços Médicos Plantão 24 Horas P. Fisica</v>
      </c>
      <c r="B3839" s="636">
        <v>707</v>
      </c>
      <c r="C3839" s="614"/>
      <c r="D3839" s="638" t="s">
        <v>3972</v>
      </c>
      <c r="E3839" s="165"/>
      <c r="F3839" s="614"/>
      <c r="G3839" s="612" t="s">
        <v>3973</v>
      </c>
    </row>
    <row r="3840" spans="1:7" ht="20.100000000000001" customHeight="1" x14ac:dyDescent="0.2">
      <c r="A3840" s="681" t="str">
        <f t="shared" si="52"/>
        <v>708  033.004.026  Serviços de Enfermagem Plantão 24 horas P. Fisica</v>
      </c>
      <c r="B3840" s="636">
        <v>708</v>
      </c>
      <c r="C3840" s="614"/>
      <c r="D3840" s="638" t="s">
        <v>3974</v>
      </c>
      <c r="E3840" s="165"/>
      <c r="F3840" s="614"/>
      <c r="G3840" s="612" t="s">
        <v>3975</v>
      </c>
    </row>
    <row r="3841" spans="1:7" ht="20.100000000000001" customHeight="1" x14ac:dyDescent="0.2">
      <c r="A3841" s="681" t="str">
        <f t="shared" si="52"/>
        <v>709  033.004.027  Serviços Tecnicos de  Enfermagem Plantão 24 horas P. Fisica</v>
      </c>
      <c r="B3841" s="636">
        <v>709</v>
      </c>
      <c r="C3841" s="614"/>
      <c r="D3841" s="638" t="s">
        <v>3976</v>
      </c>
      <c r="E3841" s="165"/>
      <c r="F3841" s="614"/>
      <c r="G3841" s="612" t="s">
        <v>3977</v>
      </c>
    </row>
    <row r="3842" spans="1:7" ht="20.100000000000001" customHeight="1" x14ac:dyDescent="0.2">
      <c r="A3842" s="681" t="str">
        <f t="shared" si="52"/>
        <v>977  033.004.028  Estagiários</v>
      </c>
      <c r="B3842" s="636">
        <v>977</v>
      </c>
      <c r="C3842" s="614"/>
      <c r="D3842" s="638" t="s">
        <v>3978</v>
      </c>
      <c r="E3842" s="165"/>
      <c r="F3842" s="614"/>
      <c r="G3842" s="612" t="s">
        <v>2449</v>
      </c>
    </row>
    <row r="3843" spans="1:7" ht="20.100000000000001" customHeight="1" x14ac:dyDescent="0.2">
      <c r="A3843" s="681" t="str">
        <f t="shared" si="52"/>
        <v>978  033.004.035  Geral</v>
      </c>
      <c r="B3843" s="636">
        <v>978</v>
      </c>
      <c r="C3843" s="614"/>
      <c r="D3843" s="638" t="s">
        <v>3979</v>
      </c>
      <c r="E3843" s="165"/>
      <c r="F3843" s="614"/>
      <c r="G3843" s="612" t="s">
        <v>2380</v>
      </c>
    </row>
    <row r="3844" spans="1:7" ht="20.100000000000001" customHeight="1" x14ac:dyDescent="0.2">
      <c r="A3844" s="681" t="str">
        <f t="shared" si="52"/>
        <v>1473  033.004.036  Destinação Final de Residuos de Saúde</v>
      </c>
      <c r="B3844" s="636">
        <v>1473</v>
      </c>
      <c r="C3844" s="614"/>
      <c r="D3844" s="638" t="s">
        <v>3980</v>
      </c>
      <c r="E3844" s="165"/>
      <c r="F3844" s="614"/>
      <c r="G3844" s="612" t="s">
        <v>3981</v>
      </c>
    </row>
    <row r="3845" spans="1:7" ht="20.100000000000001" customHeight="1" x14ac:dyDescent="0.2">
      <c r="A3845" s="681" t="str">
        <f t="shared" si="52"/>
        <v>1487  033.004.037  Agua Mineral</v>
      </c>
      <c r="B3845" s="636">
        <v>1487</v>
      </c>
      <c r="C3845" s="614"/>
      <c r="D3845" s="638" t="s">
        <v>3982</v>
      </c>
      <c r="E3845" s="165"/>
      <c r="F3845" s="614"/>
      <c r="G3845" s="612" t="s">
        <v>2527</v>
      </c>
    </row>
    <row r="3846" spans="1:7" ht="20.100000000000001" customHeight="1" x14ac:dyDescent="0.2">
      <c r="A3846" s="681" t="str">
        <f t="shared" si="52"/>
        <v>1494  033.004.038  Serviços Médicos P. Juridica - Plantões Médicos UBS</v>
      </c>
      <c r="B3846" s="636">
        <v>1494</v>
      </c>
      <c r="C3846" s="614"/>
      <c r="D3846" s="638" t="s">
        <v>3983</v>
      </c>
      <c r="E3846" s="165"/>
      <c r="F3846" s="614"/>
      <c r="G3846" s="612" t="s">
        <v>3984</v>
      </c>
    </row>
    <row r="3847" spans="1:7" ht="20.100000000000001" customHeight="1" x14ac:dyDescent="0.2">
      <c r="A3847" s="681" t="str">
        <f t="shared" ref="A3847:A3910" si="53">CONCATENATE(B3847,"  ",D3847,"  ",G3847)</f>
        <v>1381  033.004.039  Internet - SMS</v>
      </c>
      <c r="B3847" s="636">
        <v>1381</v>
      </c>
      <c r="C3847" s="614"/>
      <c r="D3847" s="638" t="s">
        <v>3985</v>
      </c>
      <c r="E3847" s="165"/>
      <c r="F3847" s="614"/>
      <c r="G3847" s="612" t="s">
        <v>3986</v>
      </c>
    </row>
    <row r="3848" spans="1:7" ht="20.100000000000001" customHeight="1" x14ac:dyDescent="0.2">
      <c r="A3848" s="681" t="str">
        <f t="shared" si="53"/>
        <v>1534  033.004.039  Hora Extra Servidores Efetivos</v>
      </c>
      <c r="B3848" s="636">
        <v>1534</v>
      </c>
      <c r="C3848" s="614"/>
      <c r="D3848" s="638" t="s">
        <v>3985</v>
      </c>
      <c r="E3848" s="165"/>
      <c r="F3848" s="614"/>
      <c r="G3848" s="612" t="s">
        <v>3880</v>
      </c>
    </row>
    <row r="3849" spans="1:7" ht="20.100000000000001" customHeight="1" x14ac:dyDescent="0.2">
      <c r="A3849" s="681" t="str">
        <f t="shared" si="53"/>
        <v>1382  033.004.040  Internet - UBS</v>
      </c>
      <c r="B3849" s="636">
        <v>1382</v>
      </c>
      <c r="C3849" s="614"/>
      <c r="D3849" s="638" t="s">
        <v>3987</v>
      </c>
      <c r="E3849" s="165"/>
      <c r="F3849" s="614"/>
      <c r="G3849" s="612" t="s">
        <v>3988</v>
      </c>
    </row>
    <row r="3850" spans="1:7" ht="20.100000000000001" customHeight="1" x14ac:dyDescent="0.2">
      <c r="A3850" s="681" t="str">
        <f t="shared" si="53"/>
        <v>1535  033.004.040  Hora Extra Servidores Contratados</v>
      </c>
      <c r="B3850" s="636">
        <v>1535</v>
      </c>
      <c r="C3850" s="614"/>
      <c r="D3850" s="638" t="s">
        <v>3987</v>
      </c>
      <c r="E3850" s="165"/>
      <c r="F3850" s="614"/>
      <c r="G3850" s="612" t="s">
        <v>3882</v>
      </c>
    </row>
    <row r="3851" spans="1:7" ht="20.100000000000001" customHeight="1" x14ac:dyDescent="0.2">
      <c r="A3851" s="681" t="str">
        <f t="shared" si="53"/>
        <v>1536  033.004.041  Pessoal e Encargos : Abono Permanencia</v>
      </c>
      <c r="B3851" s="636">
        <v>1536</v>
      </c>
      <c r="C3851" s="614"/>
      <c r="D3851" s="638" t="s">
        <v>3989</v>
      </c>
      <c r="E3851" s="165"/>
      <c r="F3851" s="614"/>
      <c r="G3851" s="612" t="s">
        <v>3990</v>
      </c>
    </row>
    <row r="3852" spans="1:7" ht="20.100000000000001" customHeight="1" x14ac:dyDescent="0.2">
      <c r="A3852" s="681" t="str">
        <f t="shared" si="53"/>
        <v>1543  033.004.042  Serviços Graficos</v>
      </c>
      <c r="B3852" s="636">
        <v>1543</v>
      </c>
      <c r="C3852" s="614"/>
      <c r="D3852" s="638" t="s">
        <v>3991</v>
      </c>
      <c r="E3852" s="165"/>
      <c r="F3852" s="614"/>
      <c r="G3852" s="612" t="s">
        <v>3190</v>
      </c>
    </row>
    <row r="3853" spans="1:7" ht="20.100000000000001" customHeight="1" x14ac:dyDescent="0.2">
      <c r="A3853" s="681" t="str">
        <f t="shared" si="53"/>
        <v>1549  033.004.043  Plano de Saude - IPE</v>
      </c>
      <c r="B3853" s="636">
        <v>1549</v>
      </c>
      <c r="C3853" s="614"/>
      <c r="D3853" s="638" t="s">
        <v>3992</v>
      </c>
      <c r="E3853" s="165"/>
      <c r="F3853" s="614"/>
      <c r="G3853" s="612" t="s">
        <v>2723</v>
      </c>
    </row>
    <row r="3854" spans="1:7" ht="20.100000000000001" customHeight="1" x14ac:dyDescent="0.2">
      <c r="A3854" s="681" t="str">
        <f t="shared" si="53"/>
        <v>1554  033.004.044  Outros Serviços pessoa Juridica</v>
      </c>
      <c r="B3854" s="636">
        <v>1554</v>
      </c>
      <c r="C3854" s="614"/>
      <c r="D3854" s="638" t="s">
        <v>3993</v>
      </c>
      <c r="E3854" s="165"/>
      <c r="F3854" s="614"/>
      <c r="G3854" s="612" t="s">
        <v>3994</v>
      </c>
    </row>
    <row r="3855" spans="1:7" ht="20.100000000000001" customHeight="1" x14ac:dyDescent="0.2">
      <c r="A3855" s="681" t="str">
        <f t="shared" si="53"/>
        <v>1555  033.004.045  Despesas com Locomoção</v>
      </c>
      <c r="B3855" s="636">
        <v>1555</v>
      </c>
      <c r="C3855" s="614"/>
      <c r="D3855" s="638" t="s">
        <v>3995</v>
      </c>
      <c r="E3855" s="165"/>
      <c r="F3855" s="614"/>
      <c r="G3855" s="612" t="s">
        <v>2507</v>
      </c>
    </row>
    <row r="3856" spans="1:7" ht="20.100000000000001" customHeight="1" x14ac:dyDescent="0.2">
      <c r="A3856" s="681" t="str">
        <f t="shared" si="53"/>
        <v>1628  033.004.046  Medicamentos</v>
      </c>
      <c r="B3856" s="636">
        <v>1628</v>
      </c>
      <c r="C3856" s="614"/>
      <c r="D3856" s="638" t="s">
        <v>3996</v>
      </c>
      <c r="E3856" s="165"/>
      <c r="F3856" s="614"/>
      <c r="G3856" s="612" t="s">
        <v>1023</v>
      </c>
    </row>
    <row r="3857" spans="1:7" ht="20.100000000000001" customHeight="1" x14ac:dyDescent="0.2">
      <c r="A3857" s="681" t="str">
        <f t="shared" si="53"/>
        <v>1664  033.004.047  Gerador de Energia - Combustivel</v>
      </c>
      <c r="B3857" s="636">
        <v>1664</v>
      </c>
      <c r="C3857" s="614"/>
      <c r="D3857" s="638" t="s">
        <v>3997</v>
      </c>
      <c r="E3857" s="165"/>
      <c r="F3857" s="614"/>
      <c r="G3857" s="612" t="s">
        <v>3998</v>
      </c>
    </row>
    <row r="3858" spans="1:7" ht="20.100000000000001" customHeight="1" x14ac:dyDescent="0.2">
      <c r="A3858" s="681" t="str">
        <f t="shared" si="53"/>
        <v>979  033.005.000  ATENDIMENTO A POPULAÇÃO</v>
      </c>
      <c r="B3858" s="636">
        <v>979</v>
      </c>
      <c r="C3858" s="614"/>
      <c r="D3858" s="638" t="s">
        <v>3999</v>
      </c>
      <c r="E3858" s="165"/>
      <c r="F3858" s="614"/>
      <c r="G3858" s="612" t="s">
        <v>4000</v>
      </c>
    </row>
    <row r="3859" spans="1:7" ht="20.100000000000001" customHeight="1" x14ac:dyDescent="0.2">
      <c r="A3859" s="681" t="str">
        <f t="shared" si="53"/>
        <v>980  033.005.001  Exames Laboratoriais: Sangue</v>
      </c>
      <c r="B3859" s="636">
        <v>980</v>
      </c>
      <c r="C3859" s="614"/>
      <c r="D3859" s="638" t="s">
        <v>4001</v>
      </c>
      <c r="E3859" s="165"/>
      <c r="F3859" s="614"/>
      <c r="G3859" s="612" t="s">
        <v>4002</v>
      </c>
    </row>
    <row r="3860" spans="1:7" ht="20.100000000000001" customHeight="1" x14ac:dyDescent="0.2">
      <c r="A3860" s="681" t="str">
        <f t="shared" si="53"/>
        <v>981  033.005.002  Exames Laboratoriais: Urina</v>
      </c>
      <c r="B3860" s="636">
        <v>981</v>
      </c>
      <c r="C3860" s="614"/>
      <c r="D3860" s="638" t="s">
        <v>4003</v>
      </c>
      <c r="E3860" s="165"/>
      <c r="F3860" s="614"/>
      <c r="G3860" s="612" t="s">
        <v>4004</v>
      </c>
    </row>
    <row r="3861" spans="1:7" ht="20.100000000000001" customHeight="1" x14ac:dyDescent="0.2">
      <c r="A3861" s="681" t="str">
        <f t="shared" si="53"/>
        <v>982  033.005.003  Exames Laboratoriais: Fezes</v>
      </c>
      <c r="B3861" s="636">
        <v>982</v>
      </c>
      <c r="C3861" s="614"/>
      <c r="D3861" s="638" t="s">
        <v>4005</v>
      </c>
      <c r="E3861" s="165"/>
      <c r="F3861" s="614"/>
      <c r="G3861" s="612" t="s">
        <v>4006</v>
      </c>
    </row>
    <row r="3862" spans="1:7" ht="20.100000000000001" customHeight="1" x14ac:dyDescent="0.2">
      <c r="A3862" s="681" t="str">
        <f t="shared" si="53"/>
        <v>983  033.005.004  Ecografia</v>
      </c>
      <c r="B3862" s="636">
        <v>983</v>
      </c>
      <c r="C3862" s="614"/>
      <c r="D3862" s="638" t="s">
        <v>4007</v>
      </c>
      <c r="E3862" s="165"/>
      <c r="F3862" s="614"/>
      <c r="G3862" s="612" t="s">
        <v>4008</v>
      </c>
    </row>
    <row r="3863" spans="1:7" ht="20.100000000000001" customHeight="1" x14ac:dyDescent="0.2">
      <c r="A3863" s="681" t="str">
        <f t="shared" si="53"/>
        <v>984  033.005.005  Tomografia</v>
      </c>
      <c r="B3863" s="636">
        <v>984</v>
      </c>
      <c r="C3863" s="614"/>
      <c r="D3863" s="638" t="s">
        <v>4009</v>
      </c>
      <c r="E3863" s="165"/>
      <c r="F3863" s="614"/>
      <c r="G3863" s="612" t="s">
        <v>4010</v>
      </c>
    </row>
    <row r="3864" spans="1:7" ht="20.100000000000001" customHeight="1" x14ac:dyDescent="0.2">
      <c r="A3864" s="681" t="str">
        <f t="shared" si="53"/>
        <v>985  033.005.006  Raio X</v>
      </c>
      <c r="B3864" s="636">
        <v>985</v>
      </c>
      <c r="C3864" s="614"/>
      <c r="D3864" s="638" t="s">
        <v>4011</v>
      </c>
      <c r="E3864" s="165"/>
      <c r="F3864" s="614"/>
      <c r="G3864" s="612" t="s">
        <v>4012</v>
      </c>
    </row>
    <row r="3865" spans="1:7" ht="20.100000000000001" customHeight="1" x14ac:dyDescent="0.2">
      <c r="A3865" s="681" t="str">
        <f t="shared" si="53"/>
        <v>986  033.005.007  Endoscopia</v>
      </c>
      <c r="B3865" s="636">
        <v>986</v>
      </c>
      <c r="C3865" s="614"/>
      <c r="D3865" s="638" t="s">
        <v>4013</v>
      </c>
      <c r="E3865" s="165"/>
      <c r="F3865" s="614"/>
      <c r="G3865" s="612" t="s">
        <v>4014</v>
      </c>
    </row>
    <row r="3866" spans="1:7" ht="20.100000000000001" customHeight="1" x14ac:dyDescent="0.2">
      <c r="A3866" s="681" t="str">
        <f t="shared" si="53"/>
        <v>987  033.005.008  Consultas Médicas - Pediatra</v>
      </c>
      <c r="B3866" s="636">
        <v>987</v>
      </c>
      <c r="C3866" s="614"/>
      <c r="D3866" s="638" t="s">
        <v>4015</v>
      </c>
      <c r="E3866" s="165"/>
      <c r="F3866" s="614"/>
      <c r="G3866" s="612" t="s">
        <v>4016</v>
      </c>
    </row>
    <row r="3867" spans="1:7" ht="20.100000000000001" customHeight="1" x14ac:dyDescent="0.2">
      <c r="A3867" s="681" t="str">
        <f t="shared" si="53"/>
        <v>988  033.005.009  Consultas Médicas - Traumatologia</v>
      </c>
      <c r="B3867" s="636">
        <v>988</v>
      </c>
      <c r="C3867" s="614"/>
      <c r="D3867" s="638" t="s">
        <v>4017</v>
      </c>
      <c r="E3867" s="165"/>
      <c r="F3867" s="614"/>
      <c r="G3867" s="612" t="s">
        <v>4018</v>
      </c>
    </row>
    <row r="3868" spans="1:7" ht="20.100000000000001" customHeight="1" x14ac:dyDescent="0.2">
      <c r="A3868" s="681" t="str">
        <f t="shared" si="53"/>
        <v>989  033.005.010  Consultas Médicas - Oncologia</v>
      </c>
      <c r="B3868" s="636">
        <v>989</v>
      </c>
      <c r="C3868" s="614"/>
      <c r="D3868" s="638" t="s">
        <v>4019</v>
      </c>
      <c r="E3868" s="165"/>
      <c r="F3868" s="614"/>
      <c r="G3868" s="612" t="s">
        <v>4020</v>
      </c>
    </row>
    <row r="3869" spans="1:7" ht="20.100000000000001" customHeight="1" x14ac:dyDescent="0.2">
      <c r="A3869" s="681" t="str">
        <f t="shared" si="53"/>
        <v>990  033.005.011  Passagens Pra Pacientes em Consulta</v>
      </c>
      <c r="B3869" s="636">
        <v>990</v>
      </c>
      <c r="C3869" s="614"/>
      <c r="D3869" s="638" t="s">
        <v>4021</v>
      </c>
      <c r="E3869" s="165"/>
      <c r="F3869" s="614"/>
      <c r="G3869" s="612" t="s">
        <v>4022</v>
      </c>
    </row>
    <row r="3870" spans="1:7" ht="20.100000000000001" customHeight="1" x14ac:dyDescent="0.2">
      <c r="A3870" s="681" t="str">
        <f t="shared" si="53"/>
        <v>991  033.005.012  Consultas Diversas</v>
      </c>
      <c r="B3870" s="636">
        <v>991</v>
      </c>
      <c r="C3870" s="614"/>
      <c r="D3870" s="638" t="s">
        <v>4023</v>
      </c>
      <c r="E3870" s="165"/>
      <c r="F3870" s="614"/>
      <c r="G3870" s="612" t="s">
        <v>4024</v>
      </c>
    </row>
    <row r="3871" spans="1:7" ht="20.100000000000001" customHeight="1" x14ac:dyDescent="0.2">
      <c r="A3871" s="681" t="str">
        <f t="shared" si="53"/>
        <v>992  033.005.013  Fisioterapia</v>
      </c>
      <c r="B3871" s="636">
        <v>992</v>
      </c>
      <c r="C3871" s="614"/>
      <c r="D3871" s="638" t="s">
        <v>4025</v>
      </c>
      <c r="E3871" s="165"/>
      <c r="F3871" s="614"/>
      <c r="G3871" s="612" t="s">
        <v>4026</v>
      </c>
    </row>
    <row r="3872" spans="1:7" ht="20.100000000000001" customHeight="1" x14ac:dyDescent="0.2">
      <c r="A3872" s="681" t="str">
        <f t="shared" si="53"/>
        <v>993  033.005.014  Medicamentos</v>
      </c>
      <c r="B3872" s="636">
        <v>993</v>
      </c>
      <c r="C3872" s="614"/>
      <c r="D3872" s="638" t="s">
        <v>4027</v>
      </c>
      <c r="E3872" s="165"/>
      <c r="F3872" s="614"/>
      <c r="G3872" s="612" t="s">
        <v>1023</v>
      </c>
    </row>
    <row r="3873" spans="1:7" ht="20.100000000000001" customHeight="1" x14ac:dyDescent="0.2">
      <c r="A3873" s="681" t="str">
        <f t="shared" si="53"/>
        <v>994  033.005.015  Insumos Hospitalares Diversos</v>
      </c>
      <c r="B3873" s="636">
        <v>994</v>
      </c>
      <c r="C3873" s="614"/>
      <c r="D3873" s="638" t="s">
        <v>4028</v>
      </c>
      <c r="E3873" s="165"/>
      <c r="F3873" s="614"/>
      <c r="G3873" s="612" t="s">
        <v>4029</v>
      </c>
    </row>
    <row r="3874" spans="1:7" ht="20.100000000000001" customHeight="1" x14ac:dyDescent="0.2">
      <c r="A3874" s="681" t="str">
        <f t="shared" si="53"/>
        <v>1488  033.005.016  Exames Laboratoriais</v>
      </c>
      <c r="B3874" s="636">
        <v>1488</v>
      </c>
      <c r="C3874" s="614"/>
      <c r="D3874" s="638" t="s">
        <v>4030</v>
      </c>
      <c r="E3874" s="165"/>
      <c r="F3874" s="614"/>
      <c r="G3874" s="612" t="s">
        <v>4031</v>
      </c>
    </row>
    <row r="3875" spans="1:7" ht="20.100000000000001" customHeight="1" x14ac:dyDescent="0.2">
      <c r="A3875" s="681" t="str">
        <f t="shared" si="53"/>
        <v>1512  033.005.017  Convenio Hospital Nossa Senhora Aparecida - Atend. Media Complexidade</v>
      </c>
      <c r="B3875" s="636">
        <v>1512</v>
      </c>
      <c r="C3875" s="614"/>
      <c r="D3875" s="638" t="s">
        <v>4032</v>
      </c>
      <c r="E3875" s="165"/>
      <c r="F3875" s="614"/>
      <c r="G3875" s="612" t="s">
        <v>4033</v>
      </c>
    </row>
    <row r="3876" spans="1:7" ht="20.100000000000001" customHeight="1" x14ac:dyDescent="0.2">
      <c r="A3876" s="681" t="str">
        <f t="shared" si="53"/>
        <v>1568  033.005.018  Serviços Hospitalares Hospital Nossa Senhora Aparecida</v>
      </c>
      <c r="B3876" s="636">
        <v>1568</v>
      </c>
      <c r="C3876" s="614"/>
      <c r="D3876" s="638" t="s">
        <v>4034</v>
      </c>
      <c r="E3876" s="165"/>
      <c r="F3876" s="614"/>
      <c r="G3876" s="612" t="s">
        <v>4035</v>
      </c>
    </row>
    <row r="3877" spans="1:7" ht="20.100000000000001" customHeight="1" x14ac:dyDescent="0.2">
      <c r="A3877" s="681" t="str">
        <f t="shared" si="53"/>
        <v>995  033.006.000  EXAMES DE IMAGEM</v>
      </c>
      <c r="B3877" s="636">
        <v>995</v>
      </c>
      <c r="C3877" s="614"/>
      <c r="D3877" s="638" t="s">
        <v>4036</v>
      </c>
      <c r="E3877" s="165"/>
      <c r="F3877" s="614"/>
      <c r="G3877" s="612" t="s">
        <v>4037</v>
      </c>
    </row>
    <row r="3878" spans="1:7" ht="20.100000000000001" customHeight="1" x14ac:dyDescent="0.2">
      <c r="A3878" s="681" t="str">
        <f t="shared" si="53"/>
        <v>996  033.006.001  Ecografia</v>
      </c>
      <c r="B3878" s="636">
        <v>996</v>
      </c>
      <c r="C3878" s="614"/>
      <c r="D3878" s="638" t="s">
        <v>4038</v>
      </c>
      <c r="E3878" s="165"/>
      <c r="F3878" s="614"/>
      <c r="G3878" s="612" t="s">
        <v>4008</v>
      </c>
    </row>
    <row r="3879" spans="1:7" ht="20.100000000000001" customHeight="1" x14ac:dyDescent="0.2">
      <c r="A3879" s="681" t="str">
        <f t="shared" si="53"/>
        <v>997  033.006.002  Tomografia</v>
      </c>
      <c r="B3879" s="636">
        <v>997</v>
      </c>
      <c r="C3879" s="614"/>
      <c r="D3879" s="638" t="s">
        <v>4039</v>
      </c>
      <c r="E3879" s="165"/>
      <c r="F3879" s="614"/>
      <c r="G3879" s="612" t="s">
        <v>4010</v>
      </c>
    </row>
    <row r="3880" spans="1:7" ht="20.100000000000001" customHeight="1" x14ac:dyDescent="0.2">
      <c r="A3880" s="681" t="str">
        <f t="shared" si="53"/>
        <v>998  033.006.002  Raio X</v>
      </c>
      <c r="B3880" s="636">
        <v>998</v>
      </c>
      <c r="C3880" s="614"/>
      <c r="D3880" s="638" t="s">
        <v>4039</v>
      </c>
      <c r="E3880" s="165"/>
      <c r="F3880" s="614"/>
      <c r="G3880" s="612" t="s">
        <v>4012</v>
      </c>
    </row>
    <row r="3881" spans="1:7" ht="20.100000000000001" customHeight="1" x14ac:dyDescent="0.2">
      <c r="A3881" s="681" t="str">
        <f t="shared" si="53"/>
        <v>999  033.006.004  Endoscopia</v>
      </c>
      <c r="B3881" s="636">
        <v>999</v>
      </c>
      <c r="C3881" s="614"/>
      <c r="D3881" s="638" t="s">
        <v>4040</v>
      </c>
      <c r="E3881" s="165"/>
      <c r="F3881" s="614"/>
      <c r="G3881" s="612" t="s">
        <v>4014</v>
      </c>
    </row>
    <row r="3882" spans="1:7" ht="20.100000000000001" customHeight="1" x14ac:dyDescent="0.2">
      <c r="A3882" s="681" t="str">
        <f t="shared" si="53"/>
        <v>1000  033.006.005  Ressonancia</v>
      </c>
      <c r="B3882" s="636">
        <v>1000</v>
      </c>
      <c r="C3882" s="614"/>
      <c r="D3882" s="638" t="s">
        <v>4041</v>
      </c>
      <c r="E3882" s="165"/>
      <c r="F3882" s="614"/>
      <c r="G3882" s="612" t="s">
        <v>4042</v>
      </c>
    </row>
    <row r="3883" spans="1:7" ht="20.100000000000001" customHeight="1" x14ac:dyDescent="0.2">
      <c r="A3883" s="681" t="str">
        <f t="shared" si="53"/>
        <v>1002  033.007.000  FROTA DE VEICULOS</v>
      </c>
      <c r="B3883" s="636">
        <v>1002</v>
      </c>
      <c r="C3883" s="614"/>
      <c r="D3883" s="638" t="s">
        <v>4043</v>
      </c>
      <c r="E3883" s="165"/>
      <c r="F3883" s="614"/>
      <c r="G3883" s="612" t="s">
        <v>4044</v>
      </c>
    </row>
    <row r="3884" spans="1:7" ht="20.100000000000001" customHeight="1" x14ac:dyDescent="0.2">
      <c r="A3884" s="681" t="str">
        <f t="shared" si="53"/>
        <v>1003  033.007.001  Combustivel Veiculo IRH 9777</v>
      </c>
      <c r="B3884" s="636">
        <v>1003</v>
      </c>
      <c r="C3884" s="614"/>
      <c r="D3884" s="638" t="s">
        <v>4045</v>
      </c>
      <c r="E3884" s="165"/>
      <c r="F3884" s="614"/>
      <c r="G3884" s="612" t="s">
        <v>4046</v>
      </c>
    </row>
    <row r="3885" spans="1:7" ht="20.100000000000001" customHeight="1" x14ac:dyDescent="0.2">
      <c r="A3885" s="681" t="str">
        <f t="shared" si="53"/>
        <v>1004  033.007.002  Material e Autopeças  Veiculo IRH 9777</v>
      </c>
      <c r="B3885" s="636">
        <v>1004</v>
      </c>
      <c r="C3885" s="614"/>
      <c r="D3885" s="638" t="s">
        <v>4047</v>
      </c>
      <c r="E3885" s="165"/>
      <c r="F3885" s="614"/>
      <c r="G3885" s="612" t="s">
        <v>4048</v>
      </c>
    </row>
    <row r="3886" spans="1:7" ht="20.100000000000001" customHeight="1" x14ac:dyDescent="0.2">
      <c r="A3886" s="681" t="str">
        <f t="shared" si="53"/>
        <v>1005  033.007.003  Manutenção  Veiculo IRH 9777</v>
      </c>
      <c r="B3886" s="636">
        <v>1005</v>
      </c>
      <c r="C3886" s="614"/>
      <c r="D3886" s="638" t="s">
        <v>4049</v>
      </c>
      <c r="E3886" s="165"/>
      <c r="F3886" s="614"/>
      <c r="G3886" s="612" t="s">
        <v>4050</v>
      </c>
    </row>
    <row r="3887" spans="1:7" ht="20.100000000000001" customHeight="1" x14ac:dyDescent="0.2">
      <c r="A3887" s="681" t="str">
        <f t="shared" si="53"/>
        <v>1006  033.007.006  Combustivel Veiculo IOY 7726</v>
      </c>
      <c r="B3887" s="636">
        <v>1006</v>
      </c>
      <c r="C3887" s="614"/>
      <c r="D3887" s="638" t="s">
        <v>4051</v>
      </c>
      <c r="E3887" s="165"/>
      <c r="F3887" s="614"/>
      <c r="G3887" s="612" t="s">
        <v>4052</v>
      </c>
    </row>
    <row r="3888" spans="1:7" ht="20.100000000000001" customHeight="1" x14ac:dyDescent="0.2">
      <c r="A3888" s="681" t="str">
        <f t="shared" si="53"/>
        <v>1007  033.007.007  Material e Autopeças Veiculo IOY 7726</v>
      </c>
      <c r="B3888" s="636">
        <v>1007</v>
      </c>
      <c r="C3888" s="614"/>
      <c r="D3888" s="638" t="s">
        <v>4053</v>
      </c>
      <c r="E3888" s="165"/>
      <c r="F3888" s="614"/>
      <c r="G3888" s="612" t="s">
        <v>4054</v>
      </c>
    </row>
    <row r="3889" spans="1:7" ht="20.100000000000001" customHeight="1" x14ac:dyDescent="0.2">
      <c r="A3889" s="681" t="str">
        <f t="shared" si="53"/>
        <v>1008  033.007.008  Manutenção Veiculo IOY 7726</v>
      </c>
      <c r="B3889" s="636">
        <v>1008</v>
      </c>
      <c r="C3889" s="614"/>
      <c r="D3889" s="638" t="s">
        <v>4055</v>
      </c>
      <c r="E3889" s="165"/>
      <c r="F3889" s="614"/>
      <c r="G3889" s="612" t="s">
        <v>4056</v>
      </c>
    </row>
    <row r="3890" spans="1:7" ht="20.100000000000001" customHeight="1" x14ac:dyDescent="0.2">
      <c r="A3890" s="681" t="str">
        <f t="shared" si="53"/>
        <v>1009  033.007.009  Seguros Veiculo IOY 7726</v>
      </c>
      <c r="B3890" s="636">
        <v>1009</v>
      </c>
      <c r="C3890" s="614"/>
      <c r="D3890" s="638" t="s">
        <v>4057</v>
      </c>
      <c r="E3890" s="165"/>
      <c r="F3890" s="614"/>
      <c r="G3890" s="612" t="s">
        <v>4058</v>
      </c>
    </row>
    <row r="3891" spans="1:7" ht="20.100000000000001" customHeight="1" x14ac:dyDescent="0.2">
      <c r="A3891" s="681" t="str">
        <f t="shared" si="53"/>
        <v>1010  033.007.010  Multas Veiculo IOY 7726</v>
      </c>
      <c r="B3891" s="636">
        <v>1010</v>
      </c>
      <c r="C3891" s="614"/>
      <c r="D3891" s="638" t="s">
        <v>4059</v>
      </c>
      <c r="E3891" s="165"/>
      <c r="F3891" s="614"/>
      <c r="G3891" s="612" t="s">
        <v>4060</v>
      </c>
    </row>
    <row r="3892" spans="1:7" ht="20.100000000000001" customHeight="1" x14ac:dyDescent="0.2">
      <c r="A3892" s="681" t="str">
        <f t="shared" si="53"/>
        <v>1011  033.007.011  Combustivel Veiculo IWC 5251</v>
      </c>
      <c r="B3892" s="636">
        <v>1011</v>
      </c>
      <c r="C3892" s="614"/>
      <c r="D3892" s="638" t="s">
        <v>4061</v>
      </c>
      <c r="E3892" s="165"/>
      <c r="F3892" s="614"/>
      <c r="G3892" s="612" t="s">
        <v>4062</v>
      </c>
    </row>
    <row r="3893" spans="1:7" ht="20.100000000000001" customHeight="1" x14ac:dyDescent="0.2">
      <c r="A3893" s="681" t="str">
        <f t="shared" si="53"/>
        <v>1012  033.007.012  Material e Autopeças  Veiculo IWC 5251</v>
      </c>
      <c r="B3893" s="636">
        <v>1012</v>
      </c>
      <c r="C3893" s="614"/>
      <c r="D3893" s="638" t="s">
        <v>4063</v>
      </c>
      <c r="E3893" s="165"/>
      <c r="F3893" s="614"/>
      <c r="G3893" s="612" t="s">
        <v>4064</v>
      </c>
    </row>
    <row r="3894" spans="1:7" ht="20.100000000000001" customHeight="1" x14ac:dyDescent="0.2">
      <c r="A3894" s="681" t="str">
        <f t="shared" si="53"/>
        <v>1013  033.007.013  Manutenção  Veiculo IWC 5251</v>
      </c>
      <c r="B3894" s="636">
        <v>1013</v>
      </c>
      <c r="C3894" s="614"/>
      <c r="D3894" s="638" t="s">
        <v>4065</v>
      </c>
      <c r="E3894" s="165"/>
      <c r="F3894" s="614"/>
      <c r="G3894" s="612" t="s">
        <v>4066</v>
      </c>
    </row>
    <row r="3895" spans="1:7" ht="20.100000000000001" customHeight="1" x14ac:dyDescent="0.2">
      <c r="A3895" s="681" t="str">
        <f t="shared" si="53"/>
        <v>1014  033.007.014  Seguros  Veiculo IWC 5251</v>
      </c>
      <c r="B3895" s="636">
        <v>1014</v>
      </c>
      <c r="C3895" s="614"/>
      <c r="D3895" s="638" t="s">
        <v>4067</v>
      </c>
      <c r="E3895" s="165"/>
      <c r="F3895" s="614"/>
      <c r="G3895" s="612" t="s">
        <v>4068</v>
      </c>
    </row>
    <row r="3896" spans="1:7" ht="20.100000000000001" customHeight="1" x14ac:dyDescent="0.2">
      <c r="A3896" s="681" t="str">
        <f t="shared" si="53"/>
        <v>1015  033.007.015  Multas  Veiculo IWC 5251</v>
      </c>
      <c r="B3896" s="636">
        <v>1015</v>
      </c>
      <c r="C3896" s="614"/>
      <c r="D3896" s="638" t="s">
        <v>4069</v>
      </c>
      <c r="E3896" s="165"/>
      <c r="F3896" s="614"/>
      <c r="G3896" s="612" t="s">
        <v>4070</v>
      </c>
    </row>
    <row r="3897" spans="1:7" ht="20.100000000000001" customHeight="1" x14ac:dyDescent="0.2">
      <c r="A3897" s="681" t="str">
        <f t="shared" si="53"/>
        <v>1016  033.007.016  Combustivel Veiculo IOB 6926</v>
      </c>
      <c r="B3897" s="636">
        <v>1016</v>
      </c>
      <c r="C3897" s="614"/>
      <c r="D3897" s="638" t="s">
        <v>4071</v>
      </c>
      <c r="E3897" s="165"/>
      <c r="F3897" s="614"/>
      <c r="G3897" s="612" t="s">
        <v>4072</v>
      </c>
    </row>
    <row r="3898" spans="1:7" ht="20.100000000000001" customHeight="1" x14ac:dyDescent="0.2">
      <c r="A3898" s="681" t="str">
        <f t="shared" si="53"/>
        <v>1017  033.007.017  Material e Autopeças  Veiculo IOB 6926</v>
      </c>
      <c r="B3898" s="636">
        <v>1017</v>
      </c>
      <c r="C3898" s="614"/>
      <c r="D3898" s="638" t="s">
        <v>4073</v>
      </c>
      <c r="E3898" s="165"/>
      <c r="F3898" s="614"/>
      <c r="G3898" s="612" t="s">
        <v>4074</v>
      </c>
    </row>
    <row r="3899" spans="1:7" ht="20.100000000000001" customHeight="1" x14ac:dyDescent="0.2">
      <c r="A3899" s="681" t="str">
        <f t="shared" si="53"/>
        <v>1018  033.007.018  Manutenção  Veiculo IOB 6926</v>
      </c>
      <c r="B3899" s="636">
        <v>1018</v>
      </c>
      <c r="C3899" s="614"/>
      <c r="D3899" s="638" t="s">
        <v>4075</v>
      </c>
      <c r="E3899" s="165"/>
      <c r="F3899" s="614"/>
      <c r="G3899" s="612" t="s">
        <v>4076</v>
      </c>
    </row>
    <row r="3900" spans="1:7" ht="20.100000000000001" customHeight="1" x14ac:dyDescent="0.2">
      <c r="A3900" s="681" t="str">
        <f t="shared" si="53"/>
        <v>1019  033.007.019  Seguros  Veiculo IOB 6926</v>
      </c>
      <c r="B3900" s="636">
        <v>1019</v>
      </c>
      <c r="C3900" s="614"/>
      <c r="D3900" s="638" t="s">
        <v>4077</v>
      </c>
      <c r="E3900" s="165"/>
      <c r="F3900" s="614"/>
      <c r="G3900" s="612" t="s">
        <v>4078</v>
      </c>
    </row>
    <row r="3901" spans="1:7" ht="20.100000000000001" customHeight="1" x14ac:dyDescent="0.2">
      <c r="A3901" s="681" t="str">
        <f t="shared" si="53"/>
        <v>1020  033.007.020  Multas  Veiculo IOB 6926</v>
      </c>
      <c r="B3901" s="636">
        <v>1020</v>
      </c>
      <c r="C3901" s="614"/>
      <c r="D3901" s="638" t="s">
        <v>4079</v>
      </c>
      <c r="E3901" s="165"/>
      <c r="F3901" s="614"/>
      <c r="G3901" s="612" t="s">
        <v>4080</v>
      </c>
    </row>
    <row r="3902" spans="1:7" ht="20.100000000000001" customHeight="1" x14ac:dyDescent="0.2">
      <c r="A3902" s="681" t="str">
        <f t="shared" si="53"/>
        <v>1021  033.007.021  Combustivel Veiculo IVP 4366</v>
      </c>
      <c r="B3902" s="636">
        <v>1021</v>
      </c>
      <c r="C3902" s="614"/>
      <c r="D3902" s="638" t="s">
        <v>4081</v>
      </c>
      <c r="E3902" s="165"/>
      <c r="F3902" s="614"/>
      <c r="G3902" s="612" t="s">
        <v>4082</v>
      </c>
    </row>
    <row r="3903" spans="1:7" ht="20.100000000000001" customHeight="1" x14ac:dyDescent="0.2">
      <c r="A3903" s="681" t="str">
        <f t="shared" si="53"/>
        <v>1022  033.007.022  Material e Autopeças Veiculo IVP 4366</v>
      </c>
      <c r="B3903" s="636">
        <v>1022</v>
      </c>
      <c r="C3903" s="614"/>
      <c r="D3903" s="638" t="s">
        <v>4083</v>
      </c>
      <c r="E3903" s="165"/>
      <c r="F3903" s="614"/>
      <c r="G3903" s="612" t="s">
        <v>4084</v>
      </c>
    </row>
    <row r="3904" spans="1:7" ht="20.100000000000001" customHeight="1" x14ac:dyDescent="0.2">
      <c r="A3904" s="681" t="str">
        <f t="shared" si="53"/>
        <v>1023  033.007.023  Manutenção Veiculo IVP 4366</v>
      </c>
      <c r="B3904" s="636">
        <v>1023</v>
      </c>
      <c r="C3904" s="614"/>
      <c r="D3904" s="638" t="s">
        <v>4085</v>
      </c>
      <c r="E3904" s="165"/>
      <c r="F3904" s="614"/>
      <c r="G3904" s="612" t="s">
        <v>4086</v>
      </c>
    </row>
    <row r="3905" spans="1:7" ht="20.100000000000001" customHeight="1" x14ac:dyDescent="0.2">
      <c r="A3905" s="681" t="str">
        <f t="shared" si="53"/>
        <v>1024  033.007.024  Seguros Veiculo IVP 4366</v>
      </c>
      <c r="B3905" s="636">
        <v>1024</v>
      </c>
      <c r="C3905" s="614"/>
      <c r="D3905" s="638" t="s">
        <v>4087</v>
      </c>
      <c r="E3905" s="165"/>
      <c r="F3905" s="614"/>
      <c r="G3905" s="612" t="s">
        <v>4088</v>
      </c>
    </row>
    <row r="3906" spans="1:7" ht="20.100000000000001" customHeight="1" x14ac:dyDescent="0.2">
      <c r="A3906" s="681" t="str">
        <f t="shared" si="53"/>
        <v>1025  033.007.025  Multas Veiculo IVP 4366</v>
      </c>
      <c r="B3906" s="636">
        <v>1025</v>
      </c>
      <c r="C3906" s="614"/>
      <c r="D3906" s="638" t="s">
        <v>4089</v>
      </c>
      <c r="E3906" s="165"/>
      <c r="F3906" s="614"/>
      <c r="G3906" s="612" t="s">
        <v>4090</v>
      </c>
    </row>
    <row r="3907" spans="1:7" ht="20.100000000000001" customHeight="1" x14ac:dyDescent="0.2">
      <c r="A3907" s="681" t="str">
        <f t="shared" si="53"/>
        <v>1026  033.007.026  Combustivel Veiculo IWE 4544</v>
      </c>
      <c r="B3907" s="636">
        <v>1026</v>
      </c>
      <c r="C3907" s="614"/>
      <c r="D3907" s="638" t="s">
        <v>4091</v>
      </c>
      <c r="E3907" s="165"/>
      <c r="F3907" s="614"/>
      <c r="G3907" s="612" t="s">
        <v>4092</v>
      </c>
    </row>
    <row r="3908" spans="1:7" ht="20.100000000000001" customHeight="1" x14ac:dyDescent="0.2">
      <c r="A3908" s="681" t="str">
        <f t="shared" si="53"/>
        <v>1027  033.007.027  Material e Autopeças Veiculo IWE 4544</v>
      </c>
      <c r="B3908" s="636">
        <v>1027</v>
      </c>
      <c r="C3908" s="614"/>
      <c r="D3908" s="638" t="s">
        <v>4093</v>
      </c>
      <c r="E3908" s="165"/>
      <c r="F3908" s="614"/>
      <c r="G3908" s="612" t="s">
        <v>4094</v>
      </c>
    </row>
    <row r="3909" spans="1:7" ht="20.100000000000001" customHeight="1" x14ac:dyDescent="0.2">
      <c r="A3909" s="681" t="str">
        <f t="shared" si="53"/>
        <v>1028  033.007.028  Seguros  Veiculo IRH 9777</v>
      </c>
      <c r="B3909" s="636">
        <v>1028</v>
      </c>
      <c r="C3909" s="614"/>
      <c r="D3909" s="638" t="s">
        <v>4095</v>
      </c>
      <c r="E3909" s="165"/>
      <c r="F3909" s="614"/>
      <c r="G3909" s="612" t="s">
        <v>4096</v>
      </c>
    </row>
    <row r="3910" spans="1:7" ht="20.100000000000001" customHeight="1" x14ac:dyDescent="0.2">
      <c r="A3910" s="681" t="str">
        <f t="shared" si="53"/>
        <v>1029  033.007.029  Multas Veiculo IRH 9777</v>
      </c>
      <c r="B3910" s="636">
        <v>1029</v>
      </c>
      <c r="C3910" s="614"/>
      <c r="D3910" s="638" t="s">
        <v>4097</v>
      </c>
      <c r="E3910" s="165"/>
      <c r="F3910" s="614"/>
      <c r="G3910" s="612" t="s">
        <v>4098</v>
      </c>
    </row>
    <row r="3911" spans="1:7" ht="20.100000000000001" customHeight="1" x14ac:dyDescent="0.2">
      <c r="A3911" s="681" t="str">
        <f t="shared" ref="A3911:A3974" si="54">CONCATENATE(B3911,"  ",D3911,"  ",G3911)</f>
        <v>1030  033.007.030  Multas Veículo IWE 4544</v>
      </c>
      <c r="B3911" s="636">
        <v>1030</v>
      </c>
      <c r="C3911" s="614"/>
      <c r="D3911" s="638" t="s">
        <v>4099</v>
      </c>
      <c r="E3911" s="165"/>
      <c r="F3911" s="614"/>
      <c r="G3911" s="612" t="s">
        <v>4100</v>
      </c>
    </row>
    <row r="3912" spans="1:7" ht="20.100000000000001" customHeight="1" x14ac:dyDescent="0.2">
      <c r="A3912" s="681" t="str">
        <f t="shared" si="54"/>
        <v>1031  033.007.031  Combustivel Veiculo ITP 0262</v>
      </c>
      <c r="B3912" s="636">
        <v>1031</v>
      </c>
      <c r="C3912" s="614"/>
      <c r="D3912" s="638" t="s">
        <v>4101</v>
      </c>
      <c r="E3912" s="165"/>
      <c r="F3912" s="614"/>
      <c r="G3912" s="612" t="s">
        <v>4102</v>
      </c>
    </row>
    <row r="3913" spans="1:7" ht="20.100000000000001" customHeight="1" x14ac:dyDescent="0.2">
      <c r="A3913" s="681" t="str">
        <f t="shared" si="54"/>
        <v>1032  033.007.032  Material e Autopeças ITP 0262</v>
      </c>
      <c r="B3913" s="636">
        <v>1032</v>
      </c>
      <c r="C3913" s="614"/>
      <c r="D3913" s="638" t="s">
        <v>4103</v>
      </c>
      <c r="E3913" s="165"/>
      <c r="F3913" s="614"/>
      <c r="G3913" s="612" t="s">
        <v>4104</v>
      </c>
    </row>
    <row r="3914" spans="1:7" ht="20.100000000000001" customHeight="1" x14ac:dyDescent="0.2">
      <c r="A3914" s="681" t="str">
        <f t="shared" si="54"/>
        <v>1033  033.007.033  Manutenção Veículo ITP 0262</v>
      </c>
      <c r="B3914" s="636">
        <v>1033</v>
      </c>
      <c r="C3914" s="614"/>
      <c r="D3914" s="638" t="s">
        <v>4105</v>
      </c>
      <c r="E3914" s="165"/>
      <c r="F3914" s="614"/>
      <c r="G3914" s="612" t="s">
        <v>4106</v>
      </c>
    </row>
    <row r="3915" spans="1:7" ht="20.100000000000001" customHeight="1" x14ac:dyDescent="0.2">
      <c r="A3915" s="681" t="str">
        <f t="shared" si="54"/>
        <v>1034  033.007.034  Seguros Veículo ITP 0262</v>
      </c>
      <c r="B3915" s="636">
        <v>1034</v>
      </c>
      <c r="C3915" s="614"/>
      <c r="D3915" s="638" t="s">
        <v>4107</v>
      </c>
      <c r="E3915" s="165"/>
      <c r="F3915" s="614"/>
      <c r="G3915" s="612" t="s">
        <v>4108</v>
      </c>
    </row>
    <row r="3916" spans="1:7" ht="20.100000000000001" customHeight="1" x14ac:dyDescent="0.2">
      <c r="A3916" s="681" t="str">
        <f t="shared" si="54"/>
        <v>1035  033.007.035  Multas Veículo ITP 0262</v>
      </c>
      <c r="B3916" s="636">
        <v>1035</v>
      </c>
      <c r="C3916" s="614"/>
      <c r="D3916" s="638" t="s">
        <v>4109</v>
      </c>
      <c r="E3916" s="165"/>
      <c r="F3916" s="614"/>
      <c r="G3916" s="612" t="s">
        <v>4110</v>
      </c>
    </row>
    <row r="3917" spans="1:7" ht="20.100000000000001" customHeight="1" x14ac:dyDescent="0.2">
      <c r="A3917" s="681" t="str">
        <f t="shared" si="54"/>
        <v>1036  033.007.036  Lubrificantes Veículo ITP 0262</v>
      </c>
      <c r="B3917" s="636">
        <v>1036</v>
      </c>
      <c r="C3917" s="614"/>
      <c r="D3917" s="638" t="s">
        <v>4111</v>
      </c>
      <c r="E3917" s="165"/>
      <c r="F3917" s="614"/>
      <c r="G3917" s="612" t="s">
        <v>4112</v>
      </c>
    </row>
    <row r="3918" spans="1:7" ht="20.100000000000001" customHeight="1" x14ac:dyDescent="0.2">
      <c r="A3918" s="681" t="str">
        <f t="shared" si="54"/>
        <v>1037  033.007.037  Lubrificantes Veículo IWE 4544</v>
      </c>
      <c r="B3918" s="636">
        <v>1037</v>
      </c>
      <c r="C3918" s="614"/>
      <c r="D3918" s="638" t="s">
        <v>4113</v>
      </c>
      <c r="E3918" s="165"/>
      <c r="F3918" s="614"/>
      <c r="G3918" s="612" t="s">
        <v>4114</v>
      </c>
    </row>
    <row r="3919" spans="1:7" ht="20.100000000000001" customHeight="1" x14ac:dyDescent="0.2">
      <c r="A3919" s="681" t="str">
        <f t="shared" si="54"/>
        <v>1038  033.007.038  Lubrificantes Veículo IWC 5251</v>
      </c>
      <c r="B3919" s="636">
        <v>1038</v>
      </c>
      <c r="C3919" s="614"/>
      <c r="D3919" s="638" t="s">
        <v>4115</v>
      </c>
      <c r="E3919" s="165"/>
      <c r="F3919" s="614"/>
      <c r="G3919" s="612" t="s">
        <v>4116</v>
      </c>
    </row>
    <row r="3920" spans="1:7" ht="20.100000000000001" customHeight="1" x14ac:dyDescent="0.2">
      <c r="A3920" s="681" t="str">
        <f t="shared" si="54"/>
        <v>1039  033.007.039  Lubrificantes Veículo IVP 4366</v>
      </c>
      <c r="B3920" s="636">
        <v>1039</v>
      </c>
      <c r="C3920" s="614"/>
      <c r="D3920" s="638" t="s">
        <v>4117</v>
      </c>
      <c r="E3920" s="165"/>
      <c r="F3920" s="614"/>
      <c r="G3920" s="612" t="s">
        <v>4118</v>
      </c>
    </row>
    <row r="3921" spans="1:7" ht="20.100000000000001" customHeight="1" x14ac:dyDescent="0.2">
      <c r="A3921" s="681" t="str">
        <f t="shared" si="54"/>
        <v>1040  033.007.040  Lubrificantes Veículo IRH 9777</v>
      </c>
      <c r="B3921" s="636">
        <v>1040</v>
      </c>
      <c r="C3921" s="614"/>
      <c r="D3921" s="638" t="s">
        <v>4119</v>
      </c>
      <c r="E3921" s="165"/>
      <c r="F3921" s="614"/>
      <c r="G3921" s="612" t="s">
        <v>4120</v>
      </c>
    </row>
    <row r="3922" spans="1:7" ht="20.100000000000001" customHeight="1" x14ac:dyDescent="0.2">
      <c r="A3922" s="681" t="str">
        <f t="shared" si="54"/>
        <v>1041  033.007.041  Lubrificantes Veículo IOY 7726</v>
      </c>
      <c r="B3922" s="636">
        <v>1041</v>
      </c>
      <c r="C3922" s="614"/>
      <c r="D3922" s="638" t="s">
        <v>4121</v>
      </c>
      <c r="E3922" s="165"/>
      <c r="F3922" s="614"/>
      <c r="G3922" s="612" t="s">
        <v>4122</v>
      </c>
    </row>
    <row r="3923" spans="1:7" ht="20.100000000000001" customHeight="1" x14ac:dyDescent="0.2">
      <c r="A3923" s="681" t="str">
        <f t="shared" si="54"/>
        <v>1042  033.007.042  Lubrificantes Veículo IOB 6926</v>
      </c>
      <c r="B3923" s="636">
        <v>1042</v>
      </c>
      <c r="C3923" s="614"/>
      <c r="D3923" s="638" t="s">
        <v>4123</v>
      </c>
      <c r="E3923" s="165"/>
      <c r="F3923" s="614"/>
      <c r="G3923" s="612" t="s">
        <v>4124</v>
      </c>
    </row>
    <row r="3924" spans="1:7" ht="20.100000000000001" customHeight="1" x14ac:dyDescent="0.2">
      <c r="A3924" s="681" t="str">
        <f t="shared" si="54"/>
        <v>1607  033.007.043  Manutenção Veículo IVY 8354</v>
      </c>
      <c r="B3924" s="636">
        <v>1607</v>
      </c>
      <c r="C3924" s="614"/>
      <c r="D3924" s="638" t="s">
        <v>4125</v>
      </c>
      <c r="E3924" s="165"/>
      <c r="F3924" s="614"/>
      <c r="G3924" s="612" t="s">
        <v>4126</v>
      </c>
    </row>
    <row r="3925" spans="1:7" ht="20.100000000000001" customHeight="1" x14ac:dyDescent="0.2">
      <c r="A3925" s="681" t="str">
        <f t="shared" si="54"/>
        <v>1639  033.007.044  Combustíveis Veículo IWL 3346</v>
      </c>
      <c r="B3925" s="636">
        <v>1639</v>
      </c>
      <c r="C3925" s="614"/>
      <c r="D3925" s="638" t="s">
        <v>4127</v>
      </c>
      <c r="E3925" s="165"/>
      <c r="F3925" s="614"/>
      <c r="G3925" s="612" t="s">
        <v>4128</v>
      </c>
    </row>
    <row r="3926" spans="1:7" ht="20.100000000000001" customHeight="1" x14ac:dyDescent="0.2">
      <c r="A3926" s="681" t="str">
        <f t="shared" si="54"/>
        <v>1640  033.007.045  Lubrificantes Veículo IWL 3346</v>
      </c>
      <c r="B3926" s="636">
        <v>1640</v>
      </c>
      <c r="C3926" s="614"/>
      <c r="D3926" s="638" t="s">
        <v>4129</v>
      </c>
      <c r="E3926" s="165"/>
      <c r="F3926" s="614"/>
      <c r="G3926" s="612" t="s">
        <v>4130</v>
      </c>
    </row>
    <row r="3927" spans="1:7" ht="20.100000000000001" customHeight="1" x14ac:dyDescent="0.2">
      <c r="A3927" s="681" t="str">
        <f t="shared" si="54"/>
        <v>1641  033.007.046  Materiais e Peças  Veículo IWL 3346</v>
      </c>
      <c r="B3927" s="636">
        <v>1641</v>
      </c>
      <c r="C3927" s="614"/>
      <c r="D3927" s="638" t="s">
        <v>4131</v>
      </c>
      <c r="E3927" s="165"/>
      <c r="F3927" s="614"/>
      <c r="G3927" s="612" t="s">
        <v>4132</v>
      </c>
    </row>
    <row r="3928" spans="1:7" ht="20.100000000000001" customHeight="1" x14ac:dyDescent="0.2">
      <c r="A3928" s="681" t="str">
        <f t="shared" si="54"/>
        <v>1642  033.007.047  Manutenção Veículo IWL 3346</v>
      </c>
      <c r="B3928" s="636">
        <v>1642</v>
      </c>
      <c r="C3928" s="614"/>
      <c r="D3928" s="638" t="s">
        <v>4133</v>
      </c>
      <c r="E3928" s="165"/>
      <c r="F3928" s="614"/>
      <c r="G3928" s="612" t="s">
        <v>4134</v>
      </c>
    </row>
    <row r="3929" spans="1:7" ht="20.100000000000001" customHeight="1" x14ac:dyDescent="0.2">
      <c r="A3929" s="681" t="str">
        <f t="shared" si="54"/>
        <v>1643  033.007.047  Seguros e Licenciamento Veículo IWL 3346</v>
      </c>
      <c r="B3929" s="636">
        <v>1643</v>
      </c>
      <c r="C3929" s="614"/>
      <c r="D3929" s="638" t="s">
        <v>4133</v>
      </c>
      <c r="E3929" s="165"/>
      <c r="F3929" s="614"/>
      <c r="G3929" s="612" t="s">
        <v>4135</v>
      </c>
    </row>
    <row r="3930" spans="1:7" ht="20.100000000000001" customHeight="1" x14ac:dyDescent="0.2">
      <c r="A3930" s="681" t="str">
        <f t="shared" si="54"/>
        <v>1644  033.007.048  Multas Veículo IWL 3346</v>
      </c>
      <c r="B3930" s="636">
        <v>1644</v>
      </c>
      <c r="C3930" s="614"/>
      <c r="D3930" s="638" t="s">
        <v>4136</v>
      </c>
      <c r="E3930" s="165"/>
      <c r="F3930" s="614"/>
      <c r="G3930" s="612" t="s">
        <v>4137</v>
      </c>
    </row>
    <row r="3931" spans="1:7" ht="20.100000000000001" customHeight="1" x14ac:dyDescent="0.2">
      <c r="A3931" s="681" t="str">
        <f t="shared" si="54"/>
        <v>1647  033.007.049  conbustiveis veiculo IVY 8354</v>
      </c>
      <c r="B3931" s="636">
        <v>1647</v>
      </c>
      <c r="C3931" s="614"/>
      <c r="D3931" s="638" t="s">
        <v>4138</v>
      </c>
      <c r="E3931" s="165"/>
      <c r="F3931" s="614"/>
      <c r="G3931" s="612" t="s">
        <v>4139</v>
      </c>
    </row>
    <row r="3932" spans="1:7" ht="20.100000000000001" customHeight="1" x14ac:dyDescent="0.2">
      <c r="A3932" s="681" t="str">
        <f t="shared" si="54"/>
        <v>1661  033.007.050  Manutenção Veiculo IWE 4544</v>
      </c>
      <c r="B3932" s="636">
        <v>1661</v>
      </c>
      <c r="C3932" s="614"/>
      <c r="D3932" s="638" t="s">
        <v>4140</v>
      </c>
      <c r="E3932" s="165"/>
      <c r="F3932" s="614"/>
      <c r="G3932" s="612" t="s">
        <v>4141</v>
      </c>
    </row>
    <row r="3933" spans="1:7" ht="20.100000000000001" customHeight="1" x14ac:dyDescent="0.2">
      <c r="A3933" s="681" t="str">
        <f t="shared" si="54"/>
        <v>1043  033.008.000  VIGILÂNCIA SANITÁRIA</v>
      </c>
      <c r="B3933" s="636">
        <v>1043</v>
      </c>
      <c r="C3933" s="614"/>
      <c r="D3933" s="638" t="s">
        <v>4142</v>
      </c>
      <c r="E3933" s="165"/>
      <c r="F3933" s="614"/>
      <c r="G3933" s="612" t="s">
        <v>4143</v>
      </c>
    </row>
    <row r="3934" spans="1:7" ht="20.100000000000001" customHeight="1" x14ac:dyDescent="0.2">
      <c r="A3934" s="681" t="str">
        <f t="shared" si="54"/>
        <v>1045  033.008.001  Pessoal e Encargos Sociais - Serv. Efetivos</v>
      </c>
      <c r="B3934" s="636">
        <v>1045</v>
      </c>
      <c r="C3934" s="614"/>
      <c r="D3934" s="638" t="s">
        <v>4144</v>
      </c>
      <c r="E3934" s="165"/>
      <c r="F3934" s="614"/>
      <c r="G3934" s="612" t="s">
        <v>2549</v>
      </c>
    </row>
    <row r="3935" spans="1:7" ht="20.100000000000001" customHeight="1" x14ac:dyDescent="0.2">
      <c r="A3935" s="681" t="str">
        <f t="shared" si="54"/>
        <v>1046  033.008.002  Pessoal e Encargos Sociais - Serv. Contratados</v>
      </c>
      <c r="B3935" s="636">
        <v>1046</v>
      </c>
      <c r="C3935" s="614"/>
      <c r="D3935" s="638" t="s">
        <v>4145</v>
      </c>
      <c r="E3935" s="165"/>
      <c r="F3935" s="614"/>
      <c r="G3935" s="612" t="s">
        <v>2551</v>
      </c>
    </row>
    <row r="3936" spans="1:7" ht="20.100000000000001" customHeight="1" x14ac:dyDescent="0.2">
      <c r="A3936" s="681" t="str">
        <f t="shared" si="54"/>
        <v>1047  033.008.003  Pessoal e Encargos Sociais - Serv. C.C.</v>
      </c>
      <c r="B3936" s="636">
        <v>1047</v>
      </c>
      <c r="C3936" s="614"/>
      <c r="D3936" s="638" t="s">
        <v>4146</v>
      </c>
      <c r="E3936" s="165"/>
      <c r="F3936" s="614"/>
      <c r="G3936" s="612" t="s">
        <v>2553</v>
      </c>
    </row>
    <row r="3937" spans="1:7" ht="20.100000000000001" customHeight="1" x14ac:dyDescent="0.2">
      <c r="A3937" s="681" t="str">
        <f t="shared" si="54"/>
        <v>1048  033.008.004  Diárias Serv. Efetivos</v>
      </c>
      <c r="B3937" s="636">
        <v>1048</v>
      </c>
      <c r="C3937" s="614"/>
      <c r="D3937" s="638" t="s">
        <v>4147</v>
      </c>
      <c r="E3937" s="165"/>
      <c r="F3937" s="614"/>
      <c r="G3937" s="612" t="s">
        <v>3602</v>
      </c>
    </row>
    <row r="3938" spans="1:7" ht="20.100000000000001" customHeight="1" x14ac:dyDescent="0.2">
      <c r="A3938" s="681" t="str">
        <f t="shared" si="54"/>
        <v>1049  033.008.005  Diárias Serv. Contratados</v>
      </c>
      <c r="B3938" s="636">
        <v>1049</v>
      </c>
      <c r="C3938" s="614"/>
      <c r="D3938" s="638" t="s">
        <v>4148</v>
      </c>
      <c r="E3938" s="165"/>
      <c r="F3938" s="614"/>
      <c r="G3938" s="612" t="s">
        <v>3604</v>
      </c>
    </row>
    <row r="3939" spans="1:7" ht="20.100000000000001" customHeight="1" x14ac:dyDescent="0.2">
      <c r="A3939" s="681" t="str">
        <f t="shared" si="54"/>
        <v>1050  033.008.006  Diárias Serv. C.C.</v>
      </c>
      <c r="B3939" s="636">
        <v>1050</v>
      </c>
      <c r="C3939" s="614"/>
      <c r="D3939" s="638" t="s">
        <v>4149</v>
      </c>
      <c r="E3939" s="165"/>
      <c r="F3939" s="614"/>
      <c r="G3939" s="612" t="s">
        <v>3606</v>
      </c>
    </row>
    <row r="3940" spans="1:7" ht="20.100000000000001" customHeight="1" x14ac:dyDescent="0.2">
      <c r="A3940" s="681" t="str">
        <f t="shared" si="54"/>
        <v>1051  033.008.007  Material de Informática/Impressão</v>
      </c>
      <c r="B3940" s="636">
        <v>1051</v>
      </c>
      <c r="C3940" s="614"/>
      <c r="D3940" s="638" t="s">
        <v>4150</v>
      </c>
      <c r="E3940" s="165"/>
      <c r="F3940" s="614"/>
      <c r="G3940" s="612" t="s">
        <v>4151</v>
      </c>
    </row>
    <row r="3941" spans="1:7" ht="20.100000000000001" customHeight="1" x14ac:dyDescent="0.2">
      <c r="A3941" s="681" t="str">
        <f t="shared" si="54"/>
        <v>1052  033.008.008  Manutençãode Eq. Informática/Impressão</v>
      </c>
      <c r="B3941" s="636">
        <v>1052</v>
      </c>
      <c r="C3941" s="614"/>
      <c r="D3941" s="638" t="s">
        <v>4152</v>
      </c>
      <c r="E3941" s="165"/>
      <c r="F3941" s="614"/>
      <c r="G3941" s="612" t="s">
        <v>4153</v>
      </c>
    </row>
    <row r="3942" spans="1:7" ht="20.100000000000001" customHeight="1" x14ac:dyDescent="0.2">
      <c r="A3942" s="681" t="str">
        <f t="shared" si="54"/>
        <v>1053  033.008.009  Generos Alimenticios</v>
      </c>
      <c r="B3942" s="636">
        <v>1053</v>
      </c>
      <c r="C3942" s="614"/>
      <c r="D3942" s="638" t="s">
        <v>4154</v>
      </c>
      <c r="E3942" s="165"/>
      <c r="F3942" s="614"/>
      <c r="G3942" s="612" t="s">
        <v>2340</v>
      </c>
    </row>
    <row r="3943" spans="1:7" ht="20.100000000000001" customHeight="1" x14ac:dyDescent="0.2">
      <c r="A3943" s="681" t="str">
        <f t="shared" si="54"/>
        <v>1054  033.008.010  Material de Expediente</v>
      </c>
      <c r="B3943" s="636">
        <v>1054</v>
      </c>
      <c r="C3943" s="614"/>
      <c r="D3943" s="638" t="s">
        <v>4155</v>
      </c>
      <c r="E3943" s="165"/>
      <c r="F3943" s="614"/>
      <c r="G3943" s="612" t="s">
        <v>2346</v>
      </c>
    </row>
    <row r="3944" spans="1:7" ht="20.100000000000001" customHeight="1" x14ac:dyDescent="0.2">
      <c r="A3944" s="681" t="str">
        <f t="shared" si="54"/>
        <v>1055  033.008.011  Combustivel Veiculo IVY 8354</v>
      </c>
      <c r="B3944" s="636">
        <v>1055</v>
      </c>
      <c r="C3944" s="614"/>
      <c r="D3944" s="638" t="s">
        <v>4156</v>
      </c>
      <c r="E3944" s="165"/>
      <c r="F3944" s="614"/>
      <c r="G3944" s="612" t="s">
        <v>4157</v>
      </c>
    </row>
    <row r="3945" spans="1:7" ht="20.100000000000001" customHeight="1" x14ac:dyDescent="0.2">
      <c r="A3945" s="681" t="str">
        <f t="shared" si="54"/>
        <v>1056  033.008.012  Lubrificante Veiculo IVY 8354</v>
      </c>
      <c r="B3945" s="636">
        <v>1056</v>
      </c>
      <c r="C3945" s="614"/>
      <c r="D3945" s="638" t="s">
        <v>4158</v>
      </c>
      <c r="E3945" s="165"/>
      <c r="F3945" s="614"/>
      <c r="G3945" s="612" t="s">
        <v>4159</v>
      </c>
    </row>
    <row r="3946" spans="1:7" ht="20.100000000000001" customHeight="1" x14ac:dyDescent="0.2">
      <c r="A3946" s="681" t="str">
        <f t="shared" si="54"/>
        <v>1057  033.008.013  Manutenção Veiculo IVY 8354</v>
      </c>
      <c r="B3946" s="636">
        <v>1057</v>
      </c>
      <c r="C3946" s="614"/>
      <c r="D3946" s="638" t="s">
        <v>4160</v>
      </c>
      <c r="E3946" s="165"/>
      <c r="F3946" s="614"/>
      <c r="G3946" s="612" t="s">
        <v>4161</v>
      </c>
    </row>
    <row r="3947" spans="1:7" ht="20.100000000000001" customHeight="1" x14ac:dyDescent="0.2">
      <c r="A3947" s="681" t="str">
        <f t="shared" si="54"/>
        <v>1058  033.008.014  Seguros Veiculo IVY 8354</v>
      </c>
      <c r="B3947" s="636">
        <v>1058</v>
      </c>
      <c r="C3947" s="614"/>
      <c r="D3947" s="638" t="s">
        <v>4162</v>
      </c>
      <c r="E3947" s="165"/>
      <c r="F3947" s="614"/>
      <c r="G3947" s="612" t="s">
        <v>4163</v>
      </c>
    </row>
    <row r="3948" spans="1:7" ht="20.100000000000001" customHeight="1" x14ac:dyDescent="0.2">
      <c r="A3948" s="681" t="str">
        <f t="shared" si="54"/>
        <v>1059  033.008.015  Material e Autopeças Veiculo IVY 8354</v>
      </c>
      <c r="B3948" s="636">
        <v>1059</v>
      </c>
      <c r="C3948" s="614"/>
      <c r="D3948" s="638" t="s">
        <v>4164</v>
      </c>
      <c r="E3948" s="165"/>
      <c r="F3948" s="614"/>
      <c r="G3948" s="612" t="s">
        <v>4165</v>
      </c>
    </row>
    <row r="3949" spans="1:7" ht="20.100000000000001" customHeight="1" x14ac:dyDescent="0.2">
      <c r="A3949" s="681" t="str">
        <f t="shared" si="54"/>
        <v>1060  033.008.016  Serviços P.Fisica</v>
      </c>
      <c r="B3949" s="636">
        <v>1060</v>
      </c>
      <c r="C3949" s="614"/>
      <c r="D3949" s="638" t="s">
        <v>4166</v>
      </c>
      <c r="E3949" s="165"/>
      <c r="F3949" s="614"/>
      <c r="G3949" s="612" t="s">
        <v>4167</v>
      </c>
    </row>
    <row r="3950" spans="1:7" ht="20.100000000000001" customHeight="1" x14ac:dyDescent="0.2">
      <c r="A3950" s="681" t="str">
        <f t="shared" si="54"/>
        <v>1061  033.008.017  Serviços P. Juridica</v>
      </c>
      <c r="B3950" s="636">
        <v>1061</v>
      </c>
      <c r="C3950" s="614"/>
      <c r="D3950" s="638" t="s">
        <v>4168</v>
      </c>
      <c r="E3950" s="165"/>
      <c r="F3950" s="614"/>
      <c r="G3950" s="612" t="s">
        <v>4169</v>
      </c>
    </row>
    <row r="3951" spans="1:7" ht="20.100000000000001" customHeight="1" x14ac:dyDescent="0.2">
      <c r="A3951" s="681" t="str">
        <f t="shared" si="54"/>
        <v>1062  033.008.018  Geral</v>
      </c>
      <c r="B3951" s="636">
        <v>1062</v>
      </c>
      <c r="C3951" s="614"/>
      <c r="D3951" s="638" t="s">
        <v>4170</v>
      </c>
      <c r="E3951" s="165"/>
      <c r="F3951" s="614"/>
      <c r="G3951" s="612" t="s">
        <v>2380</v>
      </c>
    </row>
    <row r="3952" spans="1:7" ht="20.100000000000001" customHeight="1" x14ac:dyDescent="0.2">
      <c r="A3952" s="681" t="str">
        <f t="shared" si="54"/>
        <v>1567  033.008.019  Manutenção Veículo IWE 4544</v>
      </c>
      <c r="B3952" s="636">
        <v>1567</v>
      </c>
      <c r="C3952" s="614"/>
      <c r="D3952" s="638" t="s">
        <v>4171</v>
      </c>
      <c r="E3952" s="165"/>
      <c r="F3952" s="614"/>
      <c r="G3952" s="612" t="s">
        <v>4172</v>
      </c>
    </row>
    <row r="3953" spans="1:7" ht="20.100000000000001" customHeight="1" x14ac:dyDescent="0.2">
      <c r="A3953" s="681" t="str">
        <f t="shared" si="54"/>
        <v>1608  033.008.020  Materias P/ uso veterinário</v>
      </c>
      <c r="B3953" s="636">
        <v>1608</v>
      </c>
      <c r="C3953" s="614"/>
      <c r="D3953" s="638" t="s">
        <v>4173</v>
      </c>
      <c r="E3953" s="165"/>
      <c r="F3953" s="614"/>
      <c r="G3953" s="612" t="s">
        <v>4174</v>
      </c>
    </row>
    <row r="3954" spans="1:7" ht="20.100000000000001" customHeight="1" x14ac:dyDescent="0.2">
      <c r="A3954" s="681" t="str">
        <f t="shared" si="54"/>
        <v>1063  033.009.000  VIGILANCIA EPIDEMIOLÓGICA</v>
      </c>
      <c r="B3954" s="636">
        <v>1063</v>
      </c>
      <c r="C3954" s="614"/>
      <c r="D3954" s="638" t="s">
        <v>4175</v>
      </c>
      <c r="E3954" s="165"/>
      <c r="F3954" s="614"/>
      <c r="G3954" s="612" t="s">
        <v>4176</v>
      </c>
    </row>
    <row r="3955" spans="1:7" ht="20.100000000000001" customHeight="1" x14ac:dyDescent="0.2">
      <c r="A3955" s="681" t="str">
        <f t="shared" si="54"/>
        <v>1064  033.009.001  Pessoal e Encargos Sociais - Serv. Efetivos</v>
      </c>
      <c r="B3955" s="636">
        <v>1064</v>
      </c>
      <c r="C3955" s="614"/>
      <c r="D3955" s="638" t="s">
        <v>4177</v>
      </c>
      <c r="E3955" s="165"/>
      <c r="F3955" s="614"/>
      <c r="G3955" s="612" t="s">
        <v>2549</v>
      </c>
    </row>
    <row r="3956" spans="1:7" ht="20.100000000000001" customHeight="1" x14ac:dyDescent="0.2">
      <c r="A3956" s="681" t="str">
        <f t="shared" si="54"/>
        <v>1065  033.009.002  Pessoal e Encargos Sociais - Serv. Contratados</v>
      </c>
      <c r="B3956" s="636">
        <v>1065</v>
      </c>
      <c r="C3956" s="614"/>
      <c r="D3956" s="638" t="s">
        <v>4178</v>
      </c>
      <c r="E3956" s="165"/>
      <c r="F3956" s="614"/>
      <c r="G3956" s="612" t="s">
        <v>2551</v>
      </c>
    </row>
    <row r="3957" spans="1:7" ht="20.100000000000001" customHeight="1" x14ac:dyDescent="0.2">
      <c r="A3957" s="681" t="str">
        <f t="shared" si="54"/>
        <v>1066  033.009.003  Pessoal e Encargos Sociais - Serv. C.C.</v>
      </c>
      <c r="B3957" s="636">
        <v>1066</v>
      </c>
      <c r="C3957" s="614"/>
      <c r="D3957" s="638" t="s">
        <v>4179</v>
      </c>
      <c r="E3957" s="165"/>
      <c r="F3957" s="614"/>
      <c r="G3957" s="612" t="s">
        <v>2553</v>
      </c>
    </row>
    <row r="3958" spans="1:7" ht="20.100000000000001" customHeight="1" x14ac:dyDescent="0.2">
      <c r="A3958" s="681" t="str">
        <f t="shared" si="54"/>
        <v>1067  033.009.004  Diárias Serv. Efetivos</v>
      </c>
      <c r="B3958" s="636">
        <v>1067</v>
      </c>
      <c r="C3958" s="614"/>
      <c r="D3958" s="638" t="s">
        <v>4180</v>
      </c>
      <c r="E3958" s="165"/>
      <c r="F3958" s="614"/>
      <c r="G3958" s="612" t="s">
        <v>3602</v>
      </c>
    </row>
    <row r="3959" spans="1:7" ht="20.100000000000001" customHeight="1" x14ac:dyDescent="0.2">
      <c r="A3959" s="681" t="str">
        <f t="shared" si="54"/>
        <v>1068  033.009.005  Diárias Serv. Contratados</v>
      </c>
      <c r="B3959" s="636">
        <v>1068</v>
      </c>
      <c r="C3959" s="614"/>
      <c r="D3959" s="638" t="s">
        <v>4181</v>
      </c>
      <c r="E3959" s="165"/>
      <c r="F3959" s="614"/>
      <c r="G3959" s="612" t="s">
        <v>3604</v>
      </c>
    </row>
    <row r="3960" spans="1:7" ht="20.100000000000001" customHeight="1" x14ac:dyDescent="0.2">
      <c r="A3960" s="681" t="str">
        <f t="shared" si="54"/>
        <v>1069  033.009.006  Diárias Serv. C.C.</v>
      </c>
      <c r="B3960" s="636">
        <v>1069</v>
      </c>
      <c r="C3960" s="614"/>
      <c r="D3960" s="638" t="s">
        <v>4182</v>
      </c>
      <c r="E3960" s="165"/>
      <c r="F3960" s="614"/>
      <c r="G3960" s="612" t="s">
        <v>3606</v>
      </c>
    </row>
    <row r="3961" spans="1:7" ht="20.100000000000001" customHeight="1" x14ac:dyDescent="0.2">
      <c r="A3961" s="681" t="str">
        <f t="shared" si="54"/>
        <v>1070  033.009.007  Material de Informática/Impressão</v>
      </c>
      <c r="B3961" s="636">
        <v>1070</v>
      </c>
      <c r="C3961" s="614"/>
      <c r="D3961" s="638" t="s">
        <v>4183</v>
      </c>
      <c r="E3961" s="165"/>
      <c r="F3961" s="614"/>
      <c r="G3961" s="612" t="s">
        <v>4151</v>
      </c>
    </row>
    <row r="3962" spans="1:7" ht="20.100000000000001" customHeight="1" x14ac:dyDescent="0.2">
      <c r="A3962" s="681" t="str">
        <f t="shared" si="54"/>
        <v>1071  033.009.008  Manutenção de Eq. Informática/Impressão</v>
      </c>
      <c r="B3962" s="636">
        <v>1071</v>
      </c>
      <c r="C3962" s="614"/>
      <c r="D3962" s="638" t="s">
        <v>4184</v>
      </c>
      <c r="E3962" s="165"/>
      <c r="F3962" s="614"/>
      <c r="G3962" s="612" t="s">
        <v>4185</v>
      </c>
    </row>
    <row r="3963" spans="1:7" ht="20.100000000000001" customHeight="1" x14ac:dyDescent="0.2">
      <c r="A3963" s="681" t="str">
        <f t="shared" si="54"/>
        <v>1072  033.009.009  Generos Alimenticios</v>
      </c>
      <c r="B3963" s="636">
        <v>1072</v>
      </c>
      <c r="C3963" s="614"/>
      <c r="D3963" s="638" t="s">
        <v>4186</v>
      </c>
      <c r="E3963" s="165"/>
      <c r="F3963" s="614"/>
      <c r="G3963" s="612" t="s">
        <v>2340</v>
      </c>
    </row>
    <row r="3964" spans="1:7" ht="20.100000000000001" customHeight="1" x14ac:dyDescent="0.2">
      <c r="A3964" s="681" t="str">
        <f t="shared" si="54"/>
        <v>1073  033.009.010  Material de Expediente</v>
      </c>
      <c r="B3964" s="636">
        <v>1073</v>
      </c>
      <c r="C3964" s="614"/>
      <c r="D3964" s="638" t="s">
        <v>4187</v>
      </c>
      <c r="E3964" s="165"/>
      <c r="F3964" s="614"/>
      <c r="G3964" s="612" t="s">
        <v>2346</v>
      </c>
    </row>
    <row r="3965" spans="1:7" ht="20.100000000000001" customHeight="1" x14ac:dyDescent="0.2">
      <c r="A3965" s="681" t="str">
        <f t="shared" si="54"/>
        <v>1074  033.009.011  Combustivel  Veiculo IVY 8354</v>
      </c>
      <c r="B3965" s="636">
        <v>1074</v>
      </c>
      <c r="C3965" s="614"/>
      <c r="D3965" s="638" t="s">
        <v>4188</v>
      </c>
      <c r="E3965" s="165"/>
      <c r="F3965" s="614"/>
      <c r="G3965" s="612" t="s">
        <v>4189</v>
      </c>
    </row>
    <row r="3966" spans="1:7" ht="20.100000000000001" customHeight="1" x14ac:dyDescent="0.2">
      <c r="A3966" s="681" t="str">
        <f t="shared" si="54"/>
        <v>1075  033.009.012  Lubrificantes Veiculo IVY 8354</v>
      </c>
      <c r="B3966" s="636">
        <v>1075</v>
      </c>
      <c r="C3966" s="614"/>
      <c r="D3966" s="638" t="s">
        <v>4190</v>
      </c>
      <c r="E3966" s="165"/>
      <c r="F3966" s="614"/>
      <c r="G3966" s="612" t="s">
        <v>4191</v>
      </c>
    </row>
    <row r="3967" spans="1:7" ht="20.100000000000001" customHeight="1" x14ac:dyDescent="0.2">
      <c r="A3967" s="681" t="str">
        <f t="shared" si="54"/>
        <v>1076  033.009.013  Manutenção Veiculo IVY 8354</v>
      </c>
      <c r="B3967" s="636">
        <v>1076</v>
      </c>
      <c r="C3967" s="614"/>
      <c r="D3967" s="638" t="s">
        <v>4192</v>
      </c>
      <c r="E3967" s="165"/>
      <c r="F3967" s="614"/>
      <c r="G3967" s="612" t="s">
        <v>4161</v>
      </c>
    </row>
    <row r="3968" spans="1:7" ht="20.100000000000001" customHeight="1" x14ac:dyDescent="0.2">
      <c r="A3968" s="681" t="str">
        <f t="shared" si="54"/>
        <v>1077  033.009.014  Seguros Veiculo IVY 8354</v>
      </c>
      <c r="B3968" s="636">
        <v>1077</v>
      </c>
      <c r="C3968" s="614"/>
      <c r="D3968" s="638" t="s">
        <v>4193</v>
      </c>
      <c r="E3968" s="165"/>
      <c r="F3968" s="614"/>
      <c r="G3968" s="612" t="s">
        <v>4163</v>
      </c>
    </row>
    <row r="3969" spans="1:7" ht="20.100000000000001" customHeight="1" x14ac:dyDescent="0.2">
      <c r="A3969" s="681" t="str">
        <f t="shared" si="54"/>
        <v>1078  033.009.015  Material e Autopeças Veiculo IVY 8354</v>
      </c>
      <c r="B3969" s="636">
        <v>1078</v>
      </c>
      <c r="C3969" s="614"/>
      <c r="D3969" s="638" t="s">
        <v>4194</v>
      </c>
      <c r="E3969" s="165"/>
      <c r="F3969" s="614"/>
      <c r="G3969" s="612" t="s">
        <v>4165</v>
      </c>
    </row>
    <row r="3970" spans="1:7" ht="20.100000000000001" customHeight="1" x14ac:dyDescent="0.2">
      <c r="A3970" s="681" t="str">
        <f t="shared" si="54"/>
        <v>1079  033.009.016  Serviços P. Fisica</v>
      </c>
      <c r="B3970" s="636">
        <v>1079</v>
      </c>
      <c r="C3970" s="614"/>
      <c r="D3970" s="638" t="s">
        <v>4195</v>
      </c>
      <c r="E3970" s="165"/>
      <c r="F3970" s="614"/>
      <c r="G3970" s="612" t="s">
        <v>4196</v>
      </c>
    </row>
    <row r="3971" spans="1:7" ht="20.100000000000001" customHeight="1" x14ac:dyDescent="0.2">
      <c r="A3971" s="681" t="str">
        <f t="shared" si="54"/>
        <v>1080  033.009.017  Serviços P. Juridica</v>
      </c>
      <c r="B3971" s="636">
        <v>1080</v>
      </c>
      <c r="C3971" s="614"/>
      <c r="D3971" s="638" t="s">
        <v>4197</v>
      </c>
      <c r="E3971" s="165"/>
      <c r="F3971" s="614"/>
      <c r="G3971" s="612" t="s">
        <v>4169</v>
      </c>
    </row>
    <row r="3972" spans="1:7" ht="20.100000000000001" customHeight="1" x14ac:dyDescent="0.2">
      <c r="A3972" s="681" t="str">
        <f t="shared" si="54"/>
        <v>1081  033.009.018  Geral</v>
      </c>
      <c r="B3972" s="636">
        <v>1081</v>
      </c>
      <c r="C3972" s="614"/>
      <c r="D3972" s="638" t="s">
        <v>4198</v>
      </c>
      <c r="E3972" s="165"/>
      <c r="F3972" s="614"/>
      <c r="G3972" s="612" t="s">
        <v>2380</v>
      </c>
    </row>
    <row r="3973" spans="1:7" ht="20.100000000000001" customHeight="1" x14ac:dyDescent="0.2">
      <c r="A3973" s="681" t="str">
        <f t="shared" si="54"/>
        <v>1499  033.009.019  Material Elétrico</v>
      </c>
      <c r="B3973" s="636">
        <v>1499</v>
      </c>
      <c r="C3973" s="614"/>
      <c r="D3973" s="638" t="s">
        <v>4199</v>
      </c>
      <c r="E3973" s="165"/>
      <c r="F3973" s="614"/>
      <c r="G3973" s="612" t="s">
        <v>4200</v>
      </c>
    </row>
    <row r="3974" spans="1:7" ht="20.100000000000001" customHeight="1" x14ac:dyDescent="0.2">
      <c r="A3974" s="681" t="str">
        <f t="shared" si="54"/>
        <v>1500  033.009.020  Outros Materiais de Consumo</v>
      </c>
      <c r="B3974" s="636">
        <v>1500</v>
      </c>
      <c r="C3974" s="614"/>
      <c r="D3974" s="638" t="s">
        <v>4201</v>
      </c>
      <c r="E3974" s="165"/>
      <c r="F3974" s="614"/>
      <c r="G3974" s="612" t="s">
        <v>4202</v>
      </c>
    </row>
    <row r="3975" spans="1:7" ht="20.100000000000001" customHeight="1" x14ac:dyDescent="0.2">
      <c r="A3975" s="681" t="str">
        <f t="shared" ref="A3975:A4038" si="55">CONCATENATE(B3975,"  ",D3975,"  ",G3975)</f>
        <v>1671  033.009.021  custo aquisição equipamento informatica</v>
      </c>
      <c r="B3975" s="636">
        <v>1671</v>
      </c>
      <c r="C3975" s="614"/>
      <c r="D3975" s="638" t="s">
        <v>4203</v>
      </c>
      <c r="E3975" s="165"/>
      <c r="F3975" s="614"/>
      <c r="G3975" s="612" t="s">
        <v>4204</v>
      </c>
    </row>
    <row r="3976" spans="1:7" ht="20.100000000000001" customHeight="1" x14ac:dyDescent="0.2">
      <c r="A3976" s="681" t="str">
        <f t="shared" si="55"/>
        <v>1082  033.010.000  NAAB - SAUDE MENTAL</v>
      </c>
      <c r="B3976" s="636">
        <v>1082</v>
      </c>
      <c r="C3976" s="614"/>
      <c r="D3976" s="638" t="s">
        <v>4205</v>
      </c>
      <c r="E3976" s="165"/>
      <c r="F3976" s="614"/>
      <c r="G3976" s="612" t="s">
        <v>4206</v>
      </c>
    </row>
    <row r="3977" spans="1:7" ht="20.100000000000001" customHeight="1" x14ac:dyDescent="0.2">
      <c r="A3977" s="681" t="str">
        <f t="shared" si="55"/>
        <v>1083  033.010.001  Pessoal e Encargos Sociais - Serv. Efetivos</v>
      </c>
      <c r="B3977" s="636">
        <v>1083</v>
      </c>
      <c r="C3977" s="614"/>
      <c r="D3977" s="638" t="s">
        <v>4207</v>
      </c>
      <c r="E3977" s="165"/>
      <c r="F3977" s="614"/>
      <c r="G3977" s="612" t="s">
        <v>2549</v>
      </c>
    </row>
    <row r="3978" spans="1:7" ht="20.100000000000001" customHeight="1" x14ac:dyDescent="0.2">
      <c r="A3978" s="681" t="str">
        <f t="shared" si="55"/>
        <v>1084  033.010.002  Pessoal e Encargos Sociais - Serv. Contratados</v>
      </c>
      <c r="B3978" s="636">
        <v>1084</v>
      </c>
      <c r="C3978" s="614"/>
      <c r="D3978" s="638" t="s">
        <v>4208</v>
      </c>
      <c r="E3978" s="165"/>
      <c r="F3978" s="614"/>
      <c r="G3978" s="612" t="s">
        <v>2551</v>
      </c>
    </row>
    <row r="3979" spans="1:7" ht="20.100000000000001" customHeight="1" x14ac:dyDescent="0.2">
      <c r="A3979" s="681" t="str">
        <f t="shared" si="55"/>
        <v>1085  033.010.003  Diárias Serv. Efetivos</v>
      </c>
      <c r="B3979" s="636">
        <v>1085</v>
      </c>
      <c r="C3979" s="614"/>
      <c r="D3979" s="638" t="s">
        <v>4209</v>
      </c>
      <c r="E3979" s="165"/>
      <c r="F3979" s="614"/>
      <c r="G3979" s="612" t="s">
        <v>3602</v>
      </c>
    </row>
    <row r="3980" spans="1:7" ht="20.100000000000001" customHeight="1" x14ac:dyDescent="0.2">
      <c r="A3980" s="681" t="str">
        <f t="shared" si="55"/>
        <v>1086  033.010.004  Diárias Serv. Contratados</v>
      </c>
      <c r="B3980" s="636">
        <v>1086</v>
      </c>
      <c r="C3980" s="614"/>
      <c r="D3980" s="638" t="s">
        <v>4210</v>
      </c>
      <c r="E3980" s="165"/>
      <c r="F3980" s="614"/>
      <c r="G3980" s="612" t="s">
        <v>3604</v>
      </c>
    </row>
    <row r="3981" spans="1:7" ht="20.100000000000001" customHeight="1" x14ac:dyDescent="0.2">
      <c r="A3981" s="681" t="str">
        <f t="shared" si="55"/>
        <v>1087  033.010.005  Material de Informática/Impressão</v>
      </c>
      <c r="B3981" s="636">
        <v>1087</v>
      </c>
      <c r="C3981" s="614"/>
      <c r="D3981" s="638" t="s">
        <v>4211</v>
      </c>
      <c r="E3981" s="165"/>
      <c r="F3981" s="614"/>
      <c r="G3981" s="612" t="s">
        <v>4151</v>
      </c>
    </row>
    <row r="3982" spans="1:7" ht="20.100000000000001" customHeight="1" x14ac:dyDescent="0.2">
      <c r="A3982" s="681" t="str">
        <f t="shared" si="55"/>
        <v>1088  033.010.006  Manutenção de Eq. Informática/Impressão</v>
      </c>
      <c r="B3982" s="636">
        <v>1088</v>
      </c>
      <c r="C3982" s="614"/>
      <c r="D3982" s="638" t="s">
        <v>4212</v>
      </c>
      <c r="E3982" s="165"/>
      <c r="F3982" s="614"/>
      <c r="G3982" s="612" t="s">
        <v>4185</v>
      </c>
    </row>
    <row r="3983" spans="1:7" ht="20.100000000000001" customHeight="1" x14ac:dyDescent="0.2">
      <c r="A3983" s="681" t="str">
        <f t="shared" si="55"/>
        <v>1090  033.010.008  Material de Expediente</v>
      </c>
      <c r="B3983" s="636">
        <v>1090</v>
      </c>
      <c r="C3983" s="614"/>
      <c r="D3983" s="638" t="s">
        <v>4213</v>
      </c>
      <c r="E3983" s="165"/>
      <c r="F3983" s="614"/>
      <c r="G3983" s="612" t="s">
        <v>2346</v>
      </c>
    </row>
    <row r="3984" spans="1:7" ht="20.100000000000001" customHeight="1" x14ac:dyDescent="0.2">
      <c r="A3984" s="681" t="str">
        <f t="shared" si="55"/>
        <v>1091  033.010.009  Serviços P. Fisica</v>
      </c>
      <c r="B3984" s="636">
        <v>1091</v>
      </c>
      <c r="C3984" s="614"/>
      <c r="D3984" s="638" t="s">
        <v>4214</v>
      </c>
      <c r="E3984" s="165"/>
      <c r="F3984" s="614"/>
      <c r="G3984" s="612" t="s">
        <v>4196</v>
      </c>
    </row>
    <row r="3985" spans="1:7" ht="20.100000000000001" customHeight="1" x14ac:dyDescent="0.2">
      <c r="A3985" s="681" t="str">
        <f t="shared" si="55"/>
        <v>1092  033.010.010  Serviços P. Juridica</v>
      </c>
      <c r="B3985" s="636">
        <v>1092</v>
      </c>
      <c r="C3985" s="614"/>
      <c r="D3985" s="638" t="s">
        <v>4215</v>
      </c>
      <c r="E3985" s="165"/>
      <c r="F3985" s="614"/>
      <c r="G3985" s="612" t="s">
        <v>4169</v>
      </c>
    </row>
    <row r="3986" spans="1:7" ht="20.100000000000001" customHeight="1" x14ac:dyDescent="0.2">
      <c r="A3986" s="681" t="str">
        <f t="shared" si="55"/>
        <v>1093  033.010.011  Geral</v>
      </c>
      <c r="B3986" s="636">
        <v>1093</v>
      </c>
      <c r="C3986" s="614"/>
      <c r="D3986" s="638" t="s">
        <v>4216</v>
      </c>
      <c r="E3986" s="165"/>
      <c r="F3986" s="614"/>
      <c r="G3986" s="612" t="s">
        <v>2380</v>
      </c>
    </row>
    <row r="3987" spans="1:7" ht="20.100000000000001" customHeight="1" x14ac:dyDescent="0.2">
      <c r="A3987" s="681" t="str">
        <f t="shared" si="55"/>
        <v>1094  033.011.000  NAAB - OFICINAS TERAPEUTICAS</v>
      </c>
      <c r="B3987" s="636">
        <v>1094</v>
      </c>
      <c r="C3987" s="614"/>
      <c r="D3987" s="638" t="s">
        <v>4217</v>
      </c>
      <c r="E3987" s="165"/>
      <c r="F3987" s="614"/>
      <c r="G3987" s="612" t="s">
        <v>4218</v>
      </c>
    </row>
    <row r="3988" spans="1:7" ht="20.100000000000001" customHeight="1" x14ac:dyDescent="0.2">
      <c r="A3988" s="681" t="str">
        <f t="shared" si="55"/>
        <v>1095  033.011.001  Pessoal e Encargos Sociais - Serv. Efetivos</v>
      </c>
      <c r="B3988" s="636">
        <v>1095</v>
      </c>
      <c r="C3988" s="614"/>
      <c r="D3988" s="638" t="s">
        <v>4219</v>
      </c>
      <c r="E3988" s="165"/>
      <c r="F3988" s="614"/>
      <c r="G3988" s="612" t="s">
        <v>2549</v>
      </c>
    </row>
    <row r="3989" spans="1:7" ht="20.100000000000001" customHeight="1" x14ac:dyDescent="0.2">
      <c r="A3989" s="681" t="str">
        <f t="shared" si="55"/>
        <v>1096  033.011.002  Pessoal e Encargos Sociais - Serv. Contratados</v>
      </c>
      <c r="B3989" s="636">
        <v>1096</v>
      </c>
      <c r="C3989" s="614"/>
      <c r="D3989" s="638" t="s">
        <v>4220</v>
      </c>
      <c r="E3989" s="165"/>
      <c r="F3989" s="614"/>
      <c r="G3989" s="612" t="s">
        <v>2551</v>
      </c>
    </row>
    <row r="3990" spans="1:7" ht="20.100000000000001" customHeight="1" x14ac:dyDescent="0.2">
      <c r="A3990" s="681" t="str">
        <f t="shared" si="55"/>
        <v>1097  033.011.003  Diárias Serv. Efetivos</v>
      </c>
      <c r="B3990" s="636">
        <v>1097</v>
      </c>
      <c r="C3990" s="614"/>
      <c r="D3990" s="638" t="s">
        <v>4221</v>
      </c>
      <c r="E3990" s="165"/>
      <c r="F3990" s="614"/>
      <c r="G3990" s="612" t="s">
        <v>3602</v>
      </c>
    </row>
    <row r="3991" spans="1:7" ht="20.100000000000001" customHeight="1" x14ac:dyDescent="0.2">
      <c r="A3991" s="681" t="str">
        <f t="shared" si="55"/>
        <v>1098  033.011.004  Diarias Serv. Contratados</v>
      </c>
      <c r="B3991" s="636">
        <v>1098</v>
      </c>
      <c r="C3991" s="614"/>
      <c r="D3991" s="638" t="s">
        <v>4222</v>
      </c>
      <c r="E3991" s="165"/>
      <c r="F3991" s="614"/>
      <c r="G3991" s="612" t="s">
        <v>3006</v>
      </c>
    </row>
    <row r="3992" spans="1:7" ht="20.100000000000001" customHeight="1" x14ac:dyDescent="0.2">
      <c r="A3992" s="681" t="str">
        <f t="shared" si="55"/>
        <v>1099  033.011.005  Material de Informática/Impressão</v>
      </c>
      <c r="B3992" s="636">
        <v>1099</v>
      </c>
      <c r="C3992" s="614"/>
      <c r="D3992" s="638" t="s">
        <v>4223</v>
      </c>
      <c r="E3992" s="165"/>
      <c r="F3992" s="614"/>
      <c r="G3992" s="612" t="s">
        <v>4151</v>
      </c>
    </row>
    <row r="3993" spans="1:7" ht="20.100000000000001" customHeight="1" x14ac:dyDescent="0.2">
      <c r="A3993" s="681" t="str">
        <f t="shared" si="55"/>
        <v>1100  033.011.006  Manutenção de Eq. Informática/Impressão</v>
      </c>
      <c r="B3993" s="636">
        <v>1100</v>
      </c>
      <c r="C3993" s="614"/>
      <c r="D3993" s="638" t="s">
        <v>4224</v>
      </c>
      <c r="E3993" s="165"/>
      <c r="F3993" s="614"/>
      <c r="G3993" s="612" t="s">
        <v>4185</v>
      </c>
    </row>
    <row r="3994" spans="1:7" ht="20.100000000000001" customHeight="1" x14ac:dyDescent="0.2">
      <c r="A3994" s="681" t="str">
        <f t="shared" si="55"/>
        <v>1101  033.011.007  Generos Alimenticios</v>
      </c>
      <c r="B3994" s="636">
        <v>1101</v>
      </c>
      <c r="C3994" s="614"/>
      <c r="D3994" s="638" t="s">
        <v>4225</v>
      </c>
      <c r="E3994" s="165"/>
      <c r="F3994" s="614"/>
      <c r="G3994" s="612" t="s">
        <v>2340</v>
      </c>
    </row>
    <row r="3995" spans="1:7" ht="20.100000000000001" customHeight="1" x14ac:dyDescent="0.2">
      <c r="A3995" s="681" t="str">
        <f t="shared" si="55"/>
        <v>1102  033.011.008  Material de Expediente</v>
      </c>
      <c r="B3995" s="636">
        <v>1102</v>
      </c>
      <c r="C3995" s="614"/>
      <c r="D3995" s="638" t="s">
        <v>4226</v>
      </c>
      <c r="E3995" s="165"/>
      <c r="F3995" s="614"/>
      <c r="G3995" s="612" t="s">
        <v>2346</v>
      </c>
    </row>
    <row r="3996" spans="1:7" ht="20.100000000000001" customHeight="1" x14ac:dyDescent="0.2">
      <c r="A3996" s="681" t="str">
        <f t="shared" si="55"/>
        <v>1103  033.011.009  Serviços P. Fisica</v>
      </c>
      <c r="B3996" s="636">
        <v>1103</v>
      </c>
      <c r="C3996" s="614"/>
      <c r="D3996" s="638" t="s">
        <v>4227</v>
      </c>
      <c r="E3996" s="165"/>
      <c r="F3996" s="614"/>
      <c r="G3996" s="612" t="s">
        <v>4196</v>
      </c>
    </row>
    <row r="3997" spans="1:7" ht="20.100000000000001" customHeight="1" x14ac:dyDescent="0.2">
      <c r="A3997" s="681" t="str">
        <f t="shared" si="55"/>
        <v>1104  033.011.010  Serviços P. Juridica</v>
      </c>
      <c r="B3997" s="636">
        <v>1104</v>
      </c>
      <c r="C3997" s="614"/>
      <c r="D3997" s="638" t="s">
        <v>4228</v>
      </c>
      <c r="E3997" s="165"/>
      <c r="F3997" s="614"/>
      <c r="G3997" s="612" t="s">
        <v>4169</v>
      </c>
    </row>
    <row r="3998" spans="1:7" ht="20.100000000000001" customHeight="1" x14ac:dyDescent="0.2">
      <c r="A3998" s="681" t="str">
        <f t="shared" si="55"/>
        <v>1105  033.011.011  Geral</v>
      </c>
      <c r="B3998" s="636">
        <v>1105</v>
      </c>
      <c r="C3998" s="614"/>
      <c r="D3998" s="638" t="s">
        <v>4229</v>
      </c>
      <c r="E3998" s="165"/>
      <c r="F3998" s="614"/>
      <c r="G3998" s="612" t="s">
        <v>2380</v>
      </c>
    </row>
    <row r="3999" spans="1:7" ht="20.100000000000001" customHeight="1" x14ac:dyDescent="0.2">
      <c r="A3999" s="681" t="str">
        <f t="shared" si="55"/>
        <v>1571  033.011.012  Prestação de Serviços Medicos</v>
      </c>
      <c r="B3999" s="636">
        <v>1571</v>
      </c>
      <c r="C3999" s="614"/>
      <c r="D3999" s="638" t="s">
        <v>4230</v>
      </c>
      <c r="E3999" s="165"/>
      <c r="F3999" s="614"/>
      <c r="G3999" s="612" t="s">
        <v>4231</v>
      </c>
    </row>
    <row r="4000" spans="1:7" ht="20.100000000000001" customHeight="1" x14ac:dyDescent="0.2">
      <c r="A4000" s="681" t="str">
        <f t="shared" si="55"/>
        <v>1448  033.012.000  CONSÓRCIO INTERMUNICIPAL  CENTRO-SUL</v>
      </c>
      <c r="B4000" s="636">
        <v>1448</v>
      </c>
      <c r="C4000" s="614"/>
      <c r="D4000" s="638" t="s">
        <v>4232</v>
      </c>
      <c r="E4000" s="165"/>
      <c r="F4000" s="614"/>
      <c r="G4000" s="612" t="s">
        <v>4233</v>
      </c>
    </row>
    <row r="4001" spans="1:7" ht="20.100000000000001" customHeight="1" x14ac:dyDescent="0.2">
      <c r="A4001" s="681" t="str">
        <f t="shared" si="55"/>
        <v>1449  033.012.001  Contrato de Rateio</v>
      </c>
      <c r="B4001" s="636">
        <v>1449</v>
      </c>
      <c r="C4001" s="614"/>
      <c r="D4001" s="638" t="s">
        <v>4234</v>
      </c>
      <c r="E4001" s="165"/>
      <c r="F4001" s="614"/>
      <c r="G4001" s="612" t="s">
        <v>4235</v>
      </c>
    </row>
    <row r="4002" spans="1:7" ht="20.100000000000001" customHeight="1" x14ac:dyDescent="0.2">
      <c r="A4002" s="681" t="str">
        <f t="shared" si="55"/>
        <v>1450  033.012.002  Medicamentos</v>
      </c>
      <c r="B4002" s="636">
        <v>1450</v>
      </c>
      <c r="C4002" s="614"/>
      <c r="D4002" s="638" t="s">
        <v>4236</v>
      </c>
      <c r="E4002" s="165"/>
      <c r="F4002" s="614"/>
      <c r="G4002" s="612" t="s">
        <v>1023</v>
      </c>
    </row>
    <row r="4003" spans="1:7" ht="20.100000000000001" customHeight="1" x14ac:dyDescent="0.2">
      <c r="A4003" s="681" t="str">
        <f t="shared" si="55"/>
        <v>1451  033.012.003  Serviços Hospitalares</v>
      </c>
      <c r="B4003" s="636">
        <v>1451</v>
      </c>
      <c r="C4003" s="614"/>
      <c r="D4003" s="638" t="s">
        <v>4237</v>
      </c>
      <c r="E4003" s="165"/>
      <c r="F4003" s="614"/>
      <c r="G4003" s="612" t="s">
        <v>4238</v>
      </c>
    </row>
    <row r="4004" spans="1:7" ht="20.100000000000001" customHeight="1" x14ac:dyDescent="0.2">
      <c r="A4004" s="681" t="str">
        <f t="shared" si="55"/>
        <v>1452  033.012.004  Consultas Médicas</v>
      </c>
      <c r="B4004" s="636">
        <v>1452</v>
      </c>
      <c r="C4004" s="614"/>
      <c r="D4004" s="638" t="s">
        <v>4239</v>
      </c>
      <c r="E4004" s="165"/>
      <c r="F4004" s="614"/>
      <c r="G4004" s="612" t="s">
        <v>4240</v>
      </c>
    </row>
    <row r="4005" spans="1:7" ht="20.100000000000001" customHeight="1" x14ac:dyDescent="0.2">
      <c r="A4005" s="681" t="str">
        <f t="shared" si="55"/>
        <v>1453  033.012.005  Exames</v>
      </c>
      <c r="B4005" s="636">
        <v>1453</v>
      </c>
      <c r="C4005" s="614"/>
      <c r="D4005" s="638" t="s">
        <v>4241</v>
      </c>
      <c r="E4005" s="165"/>
      <c r="F4005" s="614"/>
      <c r="G4005" s="612" t="s">
        <v>4242</v>
      </c>
    </row>
    <row r="4006" spans="1:7" ht="20.100000000000001" customHeight="1" x14ac:dyDescent="0.2">
      <c r="A4006" s="681" t="str">
        <f t="shared" si="55"/>
        <v>1454  033.012.006  Geral</v>
      </c>
      <c r="B4006" s="636">
        <v>1454</v>
      </c>
      <c r="C4006" s="614"/>
      <c r="D4006" s="638" t="s">
        <v>4243</v>
      </c>
      <c r="E4006" s="165"/>
      <c r="F4006" s="614"/>
      <c r="G4006" s="612" t="s">
        <v>2380</v>
      </c>
    </row>
    <row r="4007" spans="1:7" ht="20.100000000000001" customHeight="1" x14ac:dyDescent="0.2">
      <c r="A4007" s="681" t="str">
        <f t="shared" si="55"/>
        <v>1425  033.017.043  Seguros Veiculo IWE 4544</v>
      </c>
      <c r="B4007" s="636">
        <v>1425</v>
      </c>
      <c r="C4007" s="614"/>
      <c r="D4007" s="638" t="s">
        <v>4244</v>
      </c>
      <c r="E4007" s="165"/>
      <c r="F4007" s="614"/>
      <c r="G4007" s="612" t="s">
        <v>4245</v>
      </c>
    </row>
    <row r="4008" spans="1:7" ht="20.100000000000001" customHeight="1" x14ac:dyDescent="0.2">
      <c r="A4008" s="681" t="str">
        <f t="shared" si="55"/>
        <v>1106  040.000.000  SEC. MUN. AGRIC. E MEIO AMBIENTE</v>
      </c>
      <c r="B4008" s="636">
        <v>1106</v>
      </c>
      <c r="C4008" s="614"/>
      <c r="D4008" s="638" t="s">
        <v>4246</v>
      </c>
      <c r="E4008" s="165"/>
      <c r="F4008" s="614"/>
      <c r="G4008" s="612" t="s">
        <v>4247</v>
      </c>
    </row>
    <row r="4009" spans="1:7" ht="20.100000000000001" customHeight="1" x14ac:dyDescent="0.2">
      <c r="A4009" s="681" t="str">
        <f t="shared" si="55"/>
        <v>1107  040.001.000  PESSOAL E ENCARGOS SOCIAIS</v>
      </c>
      <c r="B4009" s="636">
        <v>1107</v>
      </c>
      <c r="C4009" s="614"/>
      <c r="D4009" s="638" t="s">
        <v>4248</v>
      </c>
      <c r="E4009" s="165"/>
      <c r="F4009" s="614"/>
      <c r="G4009" s="612" t="s">
        <v>2393</v>
      </c>
    </row>
    <row r="4010" spans="1:7" ht="20.100000000000001" customHeight="1" x14ac:dyDescent="0.2">
      <c r="A4010" s="681" t="str">
        <f t="shared" si="55"/>
        <v>1108  040.001.001  Servidores Efetivos</v>
      </c>
      <c r="B4010" s="636">
        <v>1108</v>
      </c>
      <c r="C4010" s="614"/>
      <c r="D4010" s="638" t="s">
        <v>4249</v>
      </c>
      <c r="E4010" s="165"/>
      <c r="F4010" s="614"/>
      <c r="G4010" s="612" t="s">
        <v>2141</v>
      </c>
    </row>
    <row r="4011" spans="1:7" ht="20.100000000000001" customHeight="1" x14ac:dyDescent="0.2">
      <c r="A4011" s="681" t="str">
        <f t="shared" si="55"/>
        <v>1109  040.001.002  Servidores Contratados</v>
      </c>
      <c r="B4011" s="636">
        <v>1109</v>
      </c>
      <c r="C4011" s="614"/>
      <c r="D4011" s="638" t="s">
        <v>4250</v>
      </c>
      <c r="E4011" s="165"/>
      <c r="F4011" s="614"/>
      <c r="G4011" s="612" t="s">
        <v>2396</v>
      </c>
    </row>
    <row r="4012" spans="1:7" ht="20.100000000000001" customHeight="1" x14ac:dyDescent="0.2">
      <c r="A4012" s="681" t="str">
        <f t="shared" si="55"/>
        <v>1110  040.001.003  Servidores C.C.</v>
      </c>
      <c r="B4012" s="636">
        <v>1110</v>
      </c>
      <c r="C4012" s="614"/>
      <c r="D4012" s="638" t="s">
        <v>4251</v>
      </c>
      <c r="E4012" s="165"/>
      <c r="F4012" s="614"/>
      <c r="G4012" s="612" t="s">
        <v>2142</v>
      </c>
    </row>
    <row r="4013" spans="1:7" ht="20.100000000000001" customHeight="1" x14ac:dyDescent="0.2">
      <c r="A4013" s="681" t="str">
        <f t="shared" si="55"/>
        <v>1111  040.001.004  Agente Politico</v>
      </c>
      <c r="B4013" s="636">
        <v>1111</v>
      </c>
      <c r="C4013" s="614"/>
      <c r="D4013" s="638" t="s">
        <v>4252</v>
      </c>
      <c r="E4013" s="165"/>
      <c r="F4013" s="614"/>
      <c r="G4013" s="612" t="s">
        <v>2399</v>
      </c>
    </row>
    <row r="4014" spans="1:7" ht="20.100000000000001" customHeight="1" x14ac:dyDescent="0.2">
      <c r="A4014" s="681" t="str">
        <f t="shared" si="55"/>
        <v>1112  040.001.005  F.G.</v>
      </c>
      <c r="B4014" s="636">
        <v>1112</v>
      </c>
      <c r="C4014" s="614"/>
      <c r="D4014" s="638" t="s">
        <v>4253</v>
      </c>
      <c r="E4014" s="165"/>
      <c r="F4014" s="614"/>
      <c r="G4014" s="612" t="s">
        <v>4254</v>
      </c>
    </row>
    <row r="4015" spans="1:7" ht="20.100000000000001" customHeight="1" x14ac:dyDescent="0.2">
      <c r="A4015" s="681" t="str">
        <f t="shared" si="55"/>
        <v>1113  040.002.000  GESTÃO E COORDENAÇÃO ADMINISTRATIVA</v>
      </c>
      <c r="B4015" s="636">
        <v>1113</v>
      </c>
      <c r="C4015" s="614"/>
      <c r="D4015" s="638" t="s">
        <v>4255</v>
      </c>
      <c r="E4015" s="165"/>
      <c r="F4015" s="614"/>
      <c r="G4015" s="612" t="s">
        <v>4256</v>
      </c>
    </row>
    <row r="4016" spans="1:7" ht="20.100000000000001" customHeight="1" x14ac:dyDescent="0.2">
      <c r="A4016" s="681" t="str">
        <f t="shared" si="55"/>
        <v>1114  040.002.001  Diárias Serv. Efetivos</v>
      </c>
      <c r="B4016" s="636">
        <v>1114</v>
      </c>
      <c r="C4016" s="614"/>
      <c r="D4016" s="638" t="s">
        <v>4257</v>
      </c>
      <c r="E4016" s="165"/>
      <c r="F4016" s="614"/>
      <c r="G4016" s="612" t="s">
        <v>3602</v>
      </c>
    </row>
    <row r="4017" spans="1:7" ht="20.100000000000001" customHeight="1" x14ac:dyDescent="0.2">
      <c r="A4017" s="681" t="str">
        <f t="shared" si="55"/>
        <v>1115  040.002.002  Diárias Serv. Contratados</v>
      </c>
      <c r="B4017" s="636">
        <v>1115</v>
      </c>
      <c r="C4017" s="614"/>
      <c r="D4017" s="638" t="s">
        <v>4258</v>
      </c>
      <c r="E4017" s="165"/>
      <c r="F4017" s="614"/>
      <c r="G4017" s="612" t="s">
        <v>3604</v>
      </c>
    </row>
    <row r="4018" spans="1:7" ht="20.100000000000001" customHeight="1" x14ac:dyDescent="0.2">
      <c r="A4018" s="681" t="str">
        <f t="shared" si="55"/>
        <v>1116  040.002.003  Diárias Serv. C.C.</v>
      </c>
      <c r="B4018" s="636">
        <v>1116</v>
      </c>
      <c r="C4018" s="614"/>
      <c r="D4018" s="638" t="s">
        <v>4259</v>
      </c>
      <c r="E4018" s="165"/>
      <c r="F4018" s="614"/>
      <c r="G4018" s="612" t="s">
        <v>3606</v>
      </c>
    </row>
    <row r="4019" spans="1:7" ht="20.100000000000001" customHeight="1" x14ac:dyDescent="0.2">
      <c r="A4019" s="681" t="str">
        <f t="shared" si="55"/>
        <v>1117  040.002.004  Diárias Agente Politico</v>
      </c>
      <c r="B4019" s="636">
        <v>1117</v>
      </c>
      <c r="C4019" s="614"/>
      <c r="D4019" s="638" t="s">
        <v>4260</v>
      </c>
      <c r="E4019" s="165"/>
      <c r="F4019" s="614"/>
      <c r="G4019" s="612" t="s">
        <v>2338</v>
      </c>
    </row>
    <row r="4020" spans="1:7" ht="20.100000000000001" customHeight="1" x14ac:dyDescent="0.2">
      <c r="A4020" s="681" t="str">
        <f t="shared" si="55"/>
        <v>1118  040.002.005  Gas de Cozinha</v>
      </c>
      <c r="B4020" s="636">
        <v>1118</v>
      </c>
      <c r="C4020" s="614"/>
      <c r="D4020" s="638" t="s">
        <v>4261</v>
      </c>
      <c r="E4020" s="165"/>
      <c r="F4020" s="614"/>
      <c r="G4020" s="612" t="s">
        <v>2342</v>
      </c>
    </row>
    <row r="4021" spans="1:7" ht="20.100000000000001" customHeight="1" x14ac:dyDescent="0.2">
      <c r="A4021" s="681" t="str">
        <f t="shared" si="55"/>
        <v>1119  040.002.006  Gen. Alimeníticios</v>
      </c>
      <c r="B4021" s="636">
        <v>1119</v>
      </c>
      <c r="C4021" s="614"/>
      <c r="D4021" s="638" t="s">
        <v>4262</v>
      </c>
      <c r="E4021" s="165"/>
      <c r="F4021" s="614"/>
      <c r="G4021" s="612" t="s">
        <v>4263</v>
      </c>
    </row>
    <row r="4022" spans="1:7" ht="20.100000000000001" customHeight="1" x14ac:dyDescent="0.2">
      <c r="A4022" s="681" t="str">
        <f t="shared" si="55"/>
        <v>1120  040.002.007  Suprimentos de Informática/Impressão</v>
      </c>
      <c r="B4022" s="636">
        <v>1120</v>
      </c>
      <c r="C4022" s="614"/>
      <c r="D4022" s="638" t="s">
        <v>4264</v>
      </c>
      <c r="E4022" s="165"/>
      <c r="F4022" s="614"/>
      <c r="G4022" s="612" t="s">
        <v>4265</v>
      </c>
    </row>
    <row r="4023" spans="1:7" ht="20.100000000000001" customHeight="1" x14ac:dyDescent="0.2">
      <c r="A4023" s="681" t="str">
        <f t="shared" si="55"/>
        <v>1121  040.002.008  Manutenção de Moveis Utensilios</v>
      </c>
      <c r="B4023" s="636">
        <v>1121</v>
      </c>
      <c r="C4023" s="614"/>
      <c r="D4023" s="638" t="s">
        <v>4266</v>
      </c>
      <c r="E4023" s="165"/>
      <c r="F4023" s="614"/>
      <c r="G4023" s="612" t="s">
        <v>4267</v>
      </c>
    </row>
    <row r="4024" spans="1:7" ht="20.100000000000001" customHeight="1" x14ac:dyDescent="0.2">
      <c r="A4024" s="681" t="str">
        <f t="shared" si="55"/>
        <v>1122  040.002.009  Material de Expediente</v>
      </c>
      <c r="B4024" s="636">
        <v>1122</v>
      </c>
      <c r="C4024" s="614"/>
      <c r="D4024" s="638" t="s">
        <v>4268</v>
      </c>
      <c r="E4024" s="165"/>
      <c r="F4024" s="614"/>
      <c r="G4024" s="612" t="s">
        <v>2346</v>
      </c>
    </row>
    <row r="4025" spans="1:7" ht="20.100000000000001" customHeight="1" x14ac:dyDescent="0.2">
      <c r="A4025" s="681" t="str">
        <f t="shared" si="55"/>
        <v>1123  040.002.010  Material de Limpeza E Higiene</v>
      </c>
      <c r="B4025" s="636">
        <v>1123</v>
      </c>
      <c r="C4025" s="614"/>
      <c r="D4025" s="638" t="s">
        <v>4269</v>
      </c>
      <c r="E4025" s="165"/>
      <c r="F4025" s="614"/>
      <c r="G4025" s="612" t="s">
        <v>4270</v>
      </c>
    </row>
    <row r="4026" spans="1:7" ht="20.100000000000001" customHeight="1" x14ac:dyDescent="0.2">
      <c r="A4026" s="681" t="str">
        <f t="shared" si="55"/>
        <v>1124  040.002.011  Manutenção de Prédios</v>
      </c>
      <c r="B4026" s="636">
        <v>1124</v>
      </c>
      <c r="C4026" s="614"/>
      <c r="D4026" s="638" t="s">
        <v>4271</v>
      </c>
      <c r="E4026" s="165"/>
      <c r="F4026" s="614"/>
      <c r="G4026" s="612" t="s">
        <v>3084</v>
      </c>
    </row>
    <row r="4027" spans="1:7" ht="20.100000000000001" customHeight="1" x14ac:dyDescent="0.2">
      <c r="A4027" s="681" t="str">
        <f t="shared" si="55"/>
        <v>1125  040.002.012  Manutenção de Moveis e Utensilios</v>
      </c>
      <c r="B4027" s="636">
        <v>1125</v>
      </c>
      <c r="C4027" s="614"/>
      <c r="D4027" s="638" t="s">
        <v>4272</v>
      </c>
      <c r="E4027" s="165"/>
      <c r="F4027" s="614"/>
      <c r="G4027" s="612" t="s">
        <v>3210</v>
      </c>
    </row>
    <row r="4028" spans="1:7" ht="20.100000000000001" customHeight="1" x14ac:dyDescent="0.2">
      <c r="A4028" s="681" t="str">
        <f t="shared" si="55"/>
        <v>1126  040.002.013  Serviços Tecnicos e Profissionais</v>
      </c>
      <c r="B4028" s="636">
        <v>1126</v>
      </c>
      <c r="C4028" s="614"/>
      <c r="D4028" s="638" t="s">
        <v>4273</v>
      </c>
      <c r="E4028" s="165"/>
      <c r="F4028" s="614"/>
      <c r="G4028" s="612" t="s">
        <v>3088</v>
      </c>
    </row>
    <row r="4029" spans="1:7" ht="20.100000000000001" customHeight="1" x14ac:dyDescent="0.2">
      <c r="A4029" s="681" t="str">
        <f t="shared" si="55"/>
        <v>1127  040.002.014  Seleção e Treinamento</v>
      </c>
      <c r="B4029" s="636">
        <v>1127</v>
      </c>
      <c r="C4029" s="614"/>
      <c r="D4029" s="638" t="s">
        <v>4274</v>
      </c>
      <c r="E4029" s="165"/>
      <c r="F4029" s="614"/>
      <c r="G4029" s="612" t="s">
        <v>2369</v>
      </c>
    </row>
    <row r="4030" spans="1:7" ht="20.100000000000001" customHeight="1" x14ac:dyDescent="0.2">
      <c r="A4030" s="681" t="str">
        <f t="shared" si="55"/>
        <v>1128  040.002.015  Manutenção de Equip. de Informática/Impressão</v>
      </c>
      <c r="B4030" s="636">
        <v>1128</v>
      </c>
      <c r="C4030" s="614"/>
      <c r="D4030" s="638" t="s">
        <v>4275</v>
      </c>
      <c r="E4030" s="165"/>
      <c r="F4030" s="614"/>
      <c r="G4030" s="612" t="s">
        <v>4276</v>
      </c>
    </row>
    <row r="4031" spans="1:7" ht="20.100000000000001" customHeight="1" x14ac:dyDescent="0.2">
      <c r="A4031" s="681" t="str">
        <f t="shared" si="55"/>
        <v>1129  040.002.017  Auxilio Alimentação</v>
      </c>
      <c r="B4031" s="636">
        <v>1129</v>
      </c>
      <c r="C4031" s="614"/>
      <c r="D4031" s="638" t="s">
        <v>4277</v>
      </c>
      <c r="E4031" s="165"/>
      <c r="F4031" s="614"/>
      <c r="G4031" s="612" t="s">
        <v>2524</v>
      </c>
    </row>
    <row r="4032" spans="1:7" ht="20.100000000000001" customHeight="1" x14ac:dyDescent="0.2">
      <c r="A4032" s="681" t="str">
        <f t="shared" si="55"/>
        <v>1130  040.002.018  Auxilio Transporte</v>
      </c>
      <c r="B4032" s="636">
        <v>1130</v>
      </c>
      <c r="C4032" s="614"/>
      <c r="D4032" s="638" t="s">
        <v>4278</v>
      </c>
      <c r="E4032" s="165"/>
      <c r="F4032" s="614"/>
      <c r="G4032" s="612" t="s">
        <v>2462</v>
      </c>
    </row>
    <row r="4033" spans="1:7" ht="20.100000000000001" customHeight="1" x14ac:dyDescent="0.2">
      <c r="A4033" s="681" t="str">
        <f t="shared" si="55"/>
        <v>1131  040.002.019  Locação de Imóveis</v>
      </c>
      <c r="B4033" s="636">
        <v>1131</v>
      </c>
      <c r="C4033" s="614"/>
      <c r="D4033" s="638" t="s">
        <v>4279</v>
      </c>
      <c r="E4033" s="165"/>
      <c r="F4033" s="614"/>
      <c r="G4033" s="612" t="s">
        <v>2227</v>
      </c>
    </row>
    <row r="4034" spans="1:7" ht="20.100000000000001" customHeight="1" x14ac:dyDescent="0.2">
      <c r="A4034" s="681" t="str">
        <f t="shared" si="55"/>
        <v>1132  040.002.020  Agua</v>
      </c>
      <c r="B4034" s="636">
        <v>1132</v>
      </c>
      <c r="C4034" s="614"/>
      <c r="D4034" s="638" t="s">
        <v>4280</v>
      </c>
      <c r="E4034" s="165"/>
      <c r="F4034" s="614"/>
      <c r="G4034" s="612" t="s">
        <v>2365</v>
      </c>
    </row>
    <row r="4035" spans="1:7" ht="20.100000000000001" customHeight="1" x14ac:dyDescent="0.2">
      <c r="A4035" s="681" t="str">
        <f t="shared" si="55"/>
        <v>1133  040.002.021  Energia Eletrica</v>
      </c>
      <c r="B4035" s="636">
        <v>1133</v>
      </c>
      <c r="C4035" s="614"/>
      <c r="D4035" s="638" t="s">
        <v>4281</v>
      </c>
      <c r="E4035" s="165"/>
      <c r="F4035" s="614"/>
      <c r="G4035" s="612" t="s">
        <v>3097</v>
      </c>
    </row>
    <row r="4036" spans="1:7" ht="20.100000000000001" customHeight="1" x14ac:dyDescent="0.2">
      <c r="A4036" s="681" t="str">
        <f t="shared" si="55"/>
        <v>1134  040.002.022  Telefone Fixo</v>
      </c>
      <c r="B4036" s="636">
        <v>1134</v>
      </c>
      <c r="C4036" s="614"/>
      <c r="D4036" s="638" t="s">
        <v>4282</v>
      </c>
      <c r="E4036" s="165"/>
      <c r="F4036" s="614"/>
      <c r="G4036" s="612" t="s">
        <v>1041</v>
      </c>
    </row>
    <row r="4037" spans="1:7" ht="20.100000000000001" customHeight="1" x14ac:dyDescent="0.2">
      <c r="A4037" s="681" t="str">
        <f t="shared" si="55"/>
        <v>1135  040.002.023  Telefone Celular</v>
      </c>
      <c r="B4037" s="636">
        <v>1135</v>
      </c>
      <c r="C4037" s="614"/>
      <c r="D4037" s="638" t="s">
        <v>4283</v>
      </c>
      <c r="E4037" s="165"/>
      <c r="F4037" s="614"/>
      <c r="G4037" s="612" t="s">
        <v>1150</v>
      </c>
    </row>
    <row r="4038" spans="1:7" ht="20.100000000000001" customHeight="1" x14ac:dyDescent="0.2">
      <c r="A4038" s="681" t="str">
        <f t="shared" si="55"/>
        <v>1136  040.002.024  Serviços de Internet</v>
      </c>
      <c r="B4038" s="636">
        <v>1136</v>
      </c>
      <c r="C4038" s="614"/>
      <c r="D4038" s="638" t="s">
        <v>4284</v>
      </c>
      <c r="E4038" s="165"/>
      <c r="F4038" s="614"/>
      <c r="G4038" s="612" t="s">
        <v>4285</v>
      </c>
    </row>
    <row r="4039" spans="1:7" ht="20.100000000000001" customHeight="1" x14ac:dyDescent="0.2">
      <c r="A4039" s="681" t="str">
        <f t="shared" ref="A4039:A4102" si="56">CONCATENATE(B4039,"  ",D4039,"  ",G4039)</f>
        <v>1137  040.002.025  Estagiários</v>
      </c>
      <c r="B4039" s="636">
        <v>1137</v>
      </c>
      <c r="C4039" s="614"/>
      <c r="D4039" s="638" t="s">
        <v>4286</v>
      </c>
      <c r="E4039" s="165"/>
      <c r="F4039" s="614"/>
      <c r="G4039" s="612" t="s">
        <v>2449</v>
      </c>
    </row>
    <row r="4040" spans="1:7" ht="20.100000000000001" customHeight="1" x14ac:dyDescent="0.2">
      <c r="A4040" s="681" t="str">
        <f t="shared" si="56"/>
        <v>1138  040.002.026  Serviços Bancários</v>
      </c>
      <c r="B4040" s="636">
        <v>1138</v>
      </c>
      <c r="C4040" s="614"/>
      <c r="D4040" s="638" t="s">
        <v>4287</v>
      </c>
      <c r="E4040" s="165"/>
      <c r="F4040" s="614"/>
      <c r="G4040" s="612" t="s">
        <v>1056</v>
      </c>
    </row>
    <row r="4041" spans="1:7" ht="20.100000000000001" customHeight="1" x14ac:dyDescent="0.2">
      <c r="A4041" s="681" t="str">
        <f t="shared" si="56"/>
        <v>1139  040.002.027  Geral</v>
      </c>
      <c r="B4041" s="636">
        <v>1139</v>
      </c>
      <c r="C4041" s="614"/>
      <c r="D4041" s="638" t="s">
        <v>4288</v>
      </c>
      <c r="E4041" s="165"/>
      <c r="F4041" s="614"/>
      <c r="G4041" s="612" t="s">
        <v>2380</v>
      </c>
    </row>
    <row r="4042" spans="1:7" ht="20.100000000000001" customHeight="1" x14ac:dyDescent="0.2">
      <c r="A4042" s="681" t="str">
        <f t="shared" si="56"/>
        <v>1489  040.002.028  Agua Mineral</v>
      </c>
      <c r="B4042" s="636">
        <v>1489</v>
      </c>
      <c r="C4042" s="614"/>
      <c r="D4042" s="638" t="s">
        <v>4289</v>
      </c>
      <c r="E4042" s="165"/>
      <c r="F4042" s="614"/>
      <c r="G4042" s="612" t="s">
        <v>2527</v>
      </c>
    </row>
    <row r="4043" spans="1:7" ht="20.100000000000001" customHeight="1" x14ac:dyDescent="0.2">
      <c r="A4043" s="681" t="str">
        <f t="shared" si="56"/>
        <v>1677  040.002.029  Ressarcimento de despesas</v>
      </c>
      <c r="B4043" s="636">
        <v>1677</v>
      </c>
      <c r="C4043" s="614"/>
      <c r="D4043" s="638" t="s">
        <v>4290</v>
      </c>
      <c r="E4043" s="165"/>
      <c r="F4043" s="614"/>
      <c r="G4043" s="612" t="s">
        <v>4291</v>
      </c>
    </row>
    <row r="4044" spans="1:7" ht="20.100000000000001" customHeight="1" x14ac:dyDescent="0.2">
      <c r="A4044" s="681" t="str">
        <f t="shared" si="56"/>
        <v>1686  040.002.030  INSS Patronal S/Serviços Pessoa Juridica e M.E.I</v>
      </c>
      <c r="B4044" s="636">
        <v>1686</v>
      </c>
      <c r="C4044" s="614"/>
      <c r="D4044" s="638" t="s">
        <v>4292</v>
      </c>
      <c r="E4044" s="165"/>
      <c r="F4044" s="614"/>
      <c r="G4044" s="612" t="s">
        <v>2611</v>
      </c>
    </row>
    <row r="4045" spans="1:7" ht="20.100000000000001" customHeight="1" x14ac:dyDescent="0.2">
      <c r="A4045" s="681" t="str">
        <f t="shared" si="56"/>
        <v>1140  040.003.000  CUSTO DE AQUISIÇÃO DE BENS MOVEIS E IMÓVEIS</v>
      </c>
      <c r="B4045" s="636">
        <v>1140</v>
      </c>
      <c r="C4045" s="614"/>
      <c r="D4045" s="638" t="s">
        <v>4293</v>
      </c>
      <c r="E4045" s="165"/>
      <c r="F4045" s="614"/>
      <c r="G4045" s="612" t="s">
        <v>4294</v>
      </c>
    </row>
    <row r="4046" spans="1:7" ht="20.100000000000001" customHeight="1" x14ac:dyDescent="0.2">
      <c r="A4046" s="681" t="str">
        <f t="shared" si="56"/>
        <v>1141  040.003.001  Custo de Aquisição de Equipamentos: Informática/Impressão</v>
      </c>
      <c r="B4046" s="636">
        <v>1141</v>
      </c>
      <c r="C4046" s="614"/>
      <c r="D4046" s="638" t="s">
        <v>4295</v>
      </c>
      <c r="E4046" s="165"/>
      <c r="F4046" s="614"/>
      <c r="G4046" s="612" t="s">
        <v>4296</v>
      </c>
    </row>
    <row r="4047" spans="1:7" ht="20.100000000000001" customHeight="1" x14ac:dyDescent="0.2">
      <c r="A4047" s="681" t="str">
        <f t="shared" si="56"/>
        <v>1142  040.003.002  Custo de Aquisição de Equipamentos: Mobiliário</v>
      </c>
      <c r="B4047" s="636">
        <v>1142</v>
      </c>
      <c r="C4047" s="614"/>
      <c r="D4047" s="638" t="s">
        <v>4297</v>
      </c>
      <c r="E4047" s="165"/>
      <c r="F4047" s="614"/>
      <c r="G4047" s="612" t="s">
        <v>3382</v>
      </c>
    </row>
    <row r="4048" spans="1:7" ht="20.100000000000001" customHeight="1" x14ac:dyDescent="0.2">
      <c r="A4048" s="681" t="str">
        <f t="shared" si="56"/>
        <v>1143  040.003.003  Custo de Aquisição de Equipamentos: Eq. Comunicação</v>
      </c>
      <c r="B4048" s="636">
        <v>1143</v>
      </c>
      <c r="C4048" s="614"/>
      <c r="D4048" s="638" t="s">
        <v>4298</v>
      </c>
      <c r="E4048" s="165"/>
      <c r="F4048" s="614"/>
      <c r="G4048" s="612" t="s">
        <v>3384</v>
      </c>
    </row>
    <row r="4049" spans="1:7" ht="20.100000000000001" customHeight="1" x14ac:dyDescent="0.2">
      <c r="A4049" s="681" t="str">
        <f t="shared" si="56"/>
        <v>1144  040.003.004  Custo de Aquisição de Equipamentos: Ar Condicionado</v>
      </c>
      <c r="B4049" s="636">
        <v>1144</v>
      </c>
      <c r="C4049" s="614"/>
      <c r="D4049" s="638" t="s">
        <v>4299</v>
      </c>
      <c r="E4049" s="165"/>
      <c r="F4049" s="614"/>
      <c r="G4049" s="612" t="s">
        <v>3932</v>
      </c>
    </row>
    <row r="4050" spans="1:7" ht="20.100000000000001" customHeight="1" x14ac:dyDescent="0.2">
      <c r="A4050" s="681" t="str">
        <f t="shared" si="56"/>
        <v>1145  040.003.005  Custo de Aquisição de Equipamentos: Equip. e Utensilios Domésticos</v>
      </c>
      <c r="B4050" s="636">
        <v>1145</v>
      </c>
      <c r="C4050" s="614"/>
      <c r="D4050" s="638" t="s">
        <v>4300</v>
      </c>
      <c r="E4050" s="165"/>
      <c r="F4050" s="614"/>
      <c r="G4050" s="612" t="s">
        <v>3388</v>
      </c>
    </row>
    <row r="4051" spans="1:7" ht="20.100000000000001" customHeight="1" x14ac:dyDescent="0.2">
      <c r="A4051" s="681" t="str">
        <f t="shared" si="56"/>
        <v>1146  040.003.006  Custo de Aquisição de Equipamentos: Equip. Impressão</v>
      </c>
      <c r="B4051" s="636">
        <v>1146</v>
      </c>
      <c r="C4051" s="614"/>
      <c r="D4051" s="638" t="s">
        <v>4301</v>
      </c>
      <c r="E4051" s="165"/>
      <c r="F4051" s="614"/>
      <c r="G4051" s="612" t="s">
        <v>3935</v>
      </c>
    </row>
    <row r="4052" spans="1:7" ht="20.100000000000001" customHeight="1" x14ac:dyDescent="0.2">
      <c r="A4052" s="681" t="str">
        <f t="shared" si="56"/>
        <v>1147  040.004.000  FROTA DE VEICULOS</v>
      </c>
      <c r="B4052" s="636">
        <v>1147</v>
      </c>
      <c r="C4052" s="614"/>
      <c r="D4052" s="638" t="s">
        <v>4302</v>
      </c>
      <c r="E4052" s="165"/>
      <c r="F4052" s="614"/>
      <c r="G4052" s="612" t="s">
        <v>4044</v>
      </c>
    </row>
    <row r="4053" spans="1:7" ht="20.100000000000001" customHeight="1" x14ac:dyDescent="0.2">
      <c r="A4053" s="681" t="str">
        <f t="shared" si="56"/>
        <v>1148  040.004.001  Combustivel Veiculo IJY 2420</v>
      </c>
      <c r="B4053" s="636">
        <v>1148</v>
      </c>
      <c r="C4053" s="614"/>
      <c r="D4053" s="638" t="s">
        <v>4303</v>
      </c>
      <c r="E4053" s="165"/>
      <c r="F4053" s="614"/>
      <c r="G4053" s="612" t="s">
        <v>4304</v>
      </c>
    </row>
    <row r="4054" spans="1:7" ht="20.100000000000001" customHeight="1" x14ac:dyDescent="0.2">
      <c r="A4054" s="681" t="str">
        <f t="shared" si="56"/>
        <v>1149  040.004.002  Lubrificante Veiculo IJY 2420</v>
      </c>
      <c r="B4054" s="636">
        <v>1149</v>
      </c>
      <c r="C4054" s="614"/>
      <c r="D4054" s="638" t="s">
        <v>4305</v>
      </c>
      <c r="E4054" s="165"/>
      <c r="F4054" s="614"/>
      <c r="G4054" s="612" t="s">
        <v>4306</v>
      </c>
    </row>
    <row r="4055" spans="1:7" ht="20.100000000000001" customHeight="1" x14ac:dyDescent="0.2">
      <c r="A4055" s="681" t="str">
        <f t="shared" si="56"/>
        <v>1150  040.004.003  Material e Peças Veiculo IJY 2420</v>
      </c>
      <c r="B4055" s="636">
        <v>1150</v>
      </c>
      <c r="C4055" s="614"/>
      <c r="D4055" s="638" t="s">
        <v>4307</v>
      </c>
      <c r="E4055" s="165"/>
      <c r="F4055" s="614"/>
      <c r="G4055" s="612" t="s">
        <v>4308</v>
      </c>
    </row>
    <row r="4056" spans="1:7" ht="20.100000000000001" customHeight="1" x14ac:dyDescent="0.2">
      <c r="A4056" s="681" t="str">
        <f t="shared" si="56"/>
        <v>1151  040.004.004  Manutenção Veiculo IJY 2420</v>
      </c>
      <c r="B4056" s="636">
        <v>1151</v>
      </c>
      <c r="C4056" s="614"/>
      <c r="D4056" s="638" t="s">
        <v>4309</v>
      </c>
      <c r="E4056" s="165"/>
      <c r="F4056" s="614"/>
      <c r="G4056" s="612" t="s">
        <v>4310</v>
      </c>
    </row>
    <row r="4057" spans="1:7" ht="20.100000000000001" customHeight="1" x14ac:dyDescent="0.2">
      <c r="A4057" s="681" t="str">
        <f t="shared" si="56"/>
        <v>1152  040.004.005  Seguros Veiculo IJY 2420</v>
      </c>
      <c r="B4057" s="636">
        <v>1152</v>
      </c>
      <c r="C4057" s="614"/>
      <c r="D4057" s="638" t="s">
        <v>4311</v>
      </c>
      <c r="E4057" s="165"/>
      <c r="F4057" s="614"/>
      <c r="G4057" s="612" t="s">
        <v>4312</v>
      </c>
    </row>
    <row r="4058" spans="1:7" ht="20.100000000000001" customHeight="1" x14ac:dyDescent="0.2">
      <c r="A4058" s="681" t="str">
        <f t="shared" si="56"/>
        <v>1153  040.004.006  Geral</v>
      </c>
      <c r="B4058" s="636">
        <v>1153</v>
      </c>
      <c r="C4058" s="614"/>
      <c r="D4058" s="638" t="s">
        <v>4313</v>
      </c>
      <c r="E4058" s="165"/>
      <c r="F4058" s="614"/>
      <c r="G4058" s="612" t="s">
        <v>2380</v>
      </c>
    </row>
    <row r="4059" spans="1:7" ht="20.100000000000001" customHeight="1" x14ac:dyDescent="0.2">
      <c r="A4059" s="681" t="str">
        <f t="shared" si="56"/>
        <v>1154  040.005.000  GESTÃO DA AGRICULTURA FAMILIAR - ATENDIMENTO AO PRODUTOR</v>
      </c>
      <c r="B4059" s="636">
        <v>1154</v>
      </c>
      <c r="C4059" s="614"/>
      <c r="D4059" s="638" t="s">
        <v>4314</v>
      </c>
      <c r="E4059" s="165"/>
      <c r="F4059" s="614"/>
      <c r="G4059" s="612" t="s">
        <v>4315</v>
      </c>
    </row>
    <row r="4060" spans="1:7" ht="20.100000000000001" customHeight="1" x14ac:dyDescent="0.2">
      <c r="A4060" s="681" t="str">
        <f t="shared" si="56"/>
        <v>1155  040.005.001  Pessoal e Encargos Soc. - Serv. Efetivos</v>
      </c>
      <c r="B4060" s="636">
        <v>1155</v>
      </c>
      <c r="C4060" s="614"/>
      <c r="D4060" s="638" t="s">
        <v>4316</v>
      </c>
      <c r="E4060" s="165"/>
      <c r="F4060" s="614"/>
      <c r="G4060" s="612" t="s">
        <v>4317</v>
      </c>
    </row>
    <row r="4061" spans="1:7" ht="20.100000000000001" customHeight="1" x14ac:dyDescent="0.2">
      <c r="A4061" s="681" t="str">
        <f t="shared" si="56"/>
        <v>1156  040.005.002  Pessoal e Encargos Soc. - Serv. Contratados</v>
      </c>
      <c r="B4061" s="636">
        <v>1156</v>
      </c>
      <c r="C4061" s="614"/>
      <c r="D4061" s="638" t="s">
        <v>4318</v>
      </c>
      <c r="E4061" s="165"/>
      <c r="F4061" s="614"/>
      <c r="G4061" s="612" t="s">
        <v>4319</v>
      </c>
    </row>
    <row r="4062" spans="1:7" ht="20.100000000000001" customHeight="1" x14ac:dyDescent="0.2">
      <c r="A4062" s="681" t="str">
        <f t="shared" si="56"/>
        <v>1157  040.005.003  Pessoal e Encargos Soc. -  C.C.</v>
      </c>
      <c r="B4062" s="636">
        <v>1157</v>
      </c>
      <c r="C4062" s="614"/>
      <c r="D4062" s="638" t="s">
        <v>4320</v>
      </c>
      <c r="E4062" s="165"/>
      <c r="F4062" s="614"/>
      <c r="G4062" s="612" t="s">
        <v>4321</v>
      </c>
    </row>
    <row r="4063" spans="1:7" ht="20.100000000000001" customHeight="1" x14ac:dyDescent="0.2">
      <c r="A4063" s="681" t="str">
        <f t="shared" si="56"/>
        <v>1158  040.005.004  Asistência Tecnica</v>
      </c>
      <c r="B4063" s="636">
        <v>1158</v>
      </c>
      <c r="C4063" s="614"/>
      <c r="D4063" s="638" t="s">
        <v>4322</v>
      </c>
      <c r="E4063" s="165"/>
      <c r="F4063" s="614"/>
      <c r="G4063" s="612" t="s">
        <v>4323</v>
      </c>
    </row>
    <row r="4064" spans="1:7" ht="20.100000000000001" customHeight="1" x14ac:dyDescent="0.2">
      <c r="A4064" s="681" t="str">
        <f t="shared" si="56"/>
        <v>1159  040.005.005  Diária de Acampamento</v>
      </c>
      <c r="B4064" s="636">
        <v>1159</v>
      </c>
      <c r="C4064" s="614"/>
      <c r="D4064" s="638" t="s">
        <v>4324</v>
      </c>
      <c r="E4064" s="165"/>
      <c r="F4064" s="614"/>
      <c r="G4064" s="612" t="s">
        <v>4325</v>
      </c>
    </row>
    <row r="4065" spans="1:7" ht="20.100000000000001" customHeight="1" x14ac:dyDescent="0.2">
      <c r="A4065" s="681" t="str">
        <f t="shared" si="56"/>
        <v>1160  040.005.006  Combustivel Trator BM 110</v>
      </c>
      <c r="B4065" s="636">
        <v>1160</v>
      </c>
      <c r="C4065" s="614"/>
      <c r="D4065" s="638" t="s">
        <v>4326</v>
      </c>
      <c r="E4065" s="165"/>
      <c r="F4065" s="614"/>
      <c r="G4065" s="612" t="s">
        <v>4327</v>
      </c>
    </row>
    <row r="4066" spans="1:7" ht="20.100000000000001" customHeight="1" x14ac:dyDescent="0.2">
      <c r="A4066" s="681" t="str">
        <f t="shared" si="56"/>
        <v>1161  040.005.007  Lubrificante Trator BM 110</v>
      </c>
      <c r="B4066" s="636">
        <v>1161</v>
      </c>
      <c r="C4066" s="614"/>
      <c r="D4066" s="638" t="s">
        <v>4328</v>
      </c>
      <c r="E4066" s="165"/>
      <c r="F4066" s="614"/>
      <c r="G4066" s="612" t="s">
        <v>4329</v>
      </c>
    </row>
    <row r="4067" spans="1:7" ht="20.100000000000001" customHeight="1" x14ac:dyDescent="0.2">
      <c r="A4067" s="681" t="str">
        <f t="shared" si="56"/>
        <v>1162  040.005.008  Material e Peças Trator BM 110</v>
      </c>
      <c r="B4067" s="636">
        <v>1162</v>
      </c>
      <c r="C4067" s="614"/>
      <c r="D4067" s="638" t="s">
        <v>4330</v>
      </c>
      <c r="E4067" s="165"/>
      <c r="F4067" s="614"/>
      <c r="G4067" s="612" t="s">
        <v>4331</v>
      </c>
    </row>
    <row r="4068" spans="1:7" ht="20.100000000000001" customHeight="1" x14ac:dyDescent="0.2">
      <c r="A4068" s="681" t="str">
        <f t="shared" si="56"/>
        <v>1163  040.005.009  Manutenção Trator BM 110</v>
      </c>
      <c r="B4068" s="636">
        <v>1163</v>
      </c>
      <c r="C4068" s="614"/>
      <c r="D4068" s="638" t="s">
        <v>4332</v>
      </c>
      <c r="E4068" s="165"/>
      <c r="F4068" s="614"/>
      <c r="G4068" s="612" t="s">
        <v>4333</v>
      </c>
    </row>
    <row r="4069" spans="1:7" ht="20.100000000000001" customHeight="1" x14ac:dyDescent="0.2">
      <c r="A4069" s="681" t="str">
        <f t="shared" si="56"/>
        <v>1164  040.005.010  Combustivel Trator NH 7630</v>
      </c>
      <c r="B4069" s="636">
        <v>1164</v>
      </c>
      <c r="C4069" s="614"/>
      <c r="D4069" s="638" t="s">
        <v>4334</v>
      </c>
      <c r="E4069" s="165"/>
      <c r="F4069" s="614"/>
      <c r="G4069" s="612" t="s">
        <v>4335</v>
      </c>
    </row>
    <row r="4070" spans="1:7" ht="20.100000000000001" customHeight="1" x14ac:dyDescent="0.2">
      <c r="A4070" s="681" t="str">
        <f t="shared" si="56"/>
        <v>1165  040.005.011  Lubrificante Trator NH 7630</v>
      </c>
      <c r="B4070" s="636">
        <v>1165</v>
      </c>
      <c r="C4070" s="614"/>
      <c r="D4070" s="638" t="s">
        <v>4336</v>
      </c>
      <c r="E4070" s="165"/>
      <c r="F4070" s="614"/>
      <c r="G4070" s="612" t="s">
        <v>4337</v>
      </c>
    </row>
    <row r="4071" spans="1:7" ht="20.100000000000001" customHeight="1" x14ac:dyDescent="0.2">
      <c r="A4071" s="681" t="str">
        <f t="shared" si="56"/>
        <v>1166  040.005.012  Material e Peças Trator NH 7630</v>
      </c>
      <c r="B4071" s="636">
        <v>1166</v>
      </c>
      <c r="C4071" s="614"/>
      <c r="D4071" s="638" t="s">
        <v>4338</v>
      </c>
      <c r="E4071" s="165"/>
      <c r="F4071" s="614"/>
      <c r="G4071" s="612" t="s">
        <v>4339</v>
      </c>
    </row>
    <row r="4072" spans="1:7" ht="20.100000000000001" customHeight="1" x14ac:dyDescent="0.2">
      <c r="A4072" s="681" t="str">
        <f t="shared" si="56"/>
        <v>1167  040.005.013  Manutenção Trator NH 7630</v>
      </c>
      <c r="B4072" s="636">
        <v>1167</v>
      </c>
      <c r="C4072" s="614"/>
      <c r="D4072" s="638" t="s">
        <v>4340</v>
      </c>
      <c r="E4072" s="165"/>
      <c r="F4072" s="614"/>
      <c r="G4072" s="612" t="s">
        <v>4341</v>
      </c>
    </row>
    <row r="4073" spans="1:7" ht="20.100000000000001" customHeight="1" x14ac:dyDescent="0.2">
      <c r="A4073" s="681" t="str">
        <f t="shared" si="56"/>
        <v>1168  040.005.014  Combustivel Trator NH 85E</v>
      </c>
      <c r="B4073" s="636">
        <v>1168</v>
      </c>
      <c r="C4073" s="614"/>
      <c r="D4073" s="638" t="s">
        <v>4342</v>
      </c>
      <c r="E4073" s="165"/>
      <c r="F4073" s="614"/>
      <c r="G4073" s="612" t="s">
        <v>4343</v>
      </c>
    </row>
    <row r="4074" spans="1:7" ht="20.100000000000001" customHeight="1" x14ac:dyDescent="0.2">
      <c r="A4074" s="681" t="str">
        <f t="shared" si="56"/>
        <v>1169  040.005.015  Lubrificante Trator NH 85E</v>
      </c>
      <c r="B4074" s="636">
        <v>1169</v>
      </c>
      <c r="C4074" s="614"/>
      <c r="D4074" s="638" t="s">
        <v>4344</v>
      </c>
      <c r="E4074" s="165"/>
      <c r="F4074" s="614"/>
      <c r="G4074" s="612" t="s">
        <v>4345</v>
      </c>
    </row>
    <row r="4075" spans="1:7" ht="20.100000000000001" customHeight="1" x14ac:dyDescent="0.2">
      <c r="A4075" s="681" t="str">
        <f t="shared" si="56"/>
        <v>1170  040.005.016  Material e Peças Trator NH 85E</v>
      </c>
      <c r="B4075" s="636">
        <v>1170</v>
      </c>
      <c r="C4075" s="614"/>
      <c r="D4075" s="638" t="s">
        <v>4346</v>
      </c>
      <c r="E4075" s="165"/>
      <c r="F4075" s="614"/>
      <c r="G4075" s="612" t="s">
        <v>4347</v>
      </c>
    </row>
    <row r="4076" spans="1:7" ht="20.100000000000001" customHeight="1" x14ac:dyDescent="0.2">
      <c r="A4076" s="681" t="str">
        <f t="shared" si="56"/>
        <v>1171  040.005.017  Manutenção Trator FORD 8030</v>
      </c>
      <c r="B4076" s="636">
        <v>1171</v>
      </c>
      <c r="C4076" s="614"/>
      <c r="D4076" s="638" t="s">
        <v>4348</v>
      </c>
      <c r="E4076" s="165"/>
      <c r="F4076" s="614"/>
      <c r="G4076" s="612" t="s">
        <v>4349</v>
      </c>
    </row>
    <row r="4077" spans="1:7" ht="20.100000000000001" customHeight="1" x14ac:dyDescent="0.2">
      <c r="A4077" s="681" t="str">
        <f t="shared" si="56"/>
        <v>1172  040.005.019  Combustivel  Trator FORD 8030</v>
      </c>
      <c r="B4077" s="636">
        <v>1172</v>
      </c>
      <c r="C4077" s="614"/>
      <c r="D4077" s="638" t="s">
        <v>4350</v>
      </c>
      <c r="E4077" s="165"/>
      <c r="F4077" s="614"/>
      <c r="G4077" s="612" t="s">
        <v>4351</v>
      </c>
    </row>
    <row r="4078" spans="1:7" ht="20.100000000000001" customHeight="1" x14ac:dyDescent="0.2">
      <c r="A4078" s="681" t="str">
        <f t="shared" si="56"/>
        <v>1173  040.005.020  Lubrificante  Trator FORD 8030</v>
      </c>
      <c r="B4078" s="636">
        <v>1173</v>
      </c>
      <c r="C4078" s="614"/>
      <c r="D4078" s="638" t="s">
        <v>4352</v>
      </c>
      <c r="E4078" s="165"/>
      <c r="F4078" s="614"/>
      <c r="G4078" s="612" t="s">
        <v>4353</v>
      </c>
    </row>
    <row r="4079" spans="1:7" ht="20.100000000000001" customHeight="1" x14ac:dyDescent="0.2">
      <c r="A4079" s="681" t="str">
        <f t="shared" si="56"/>
        <v>1174  040.005.021  Material e Peças  Trator FORD 8030</v>
      </c>
      <c r="B4079" s="636">
        <v>1174</v>
      </c>
      <c r="C4079" s="614"/>
      <c r="D4079" s="638" t="s">
        <v>4354</v>
      </c>
      <c r="E4079" s="165"/>
      <c r="F4079" s="614"/>
      <c r="G4079" s="612" t="s">
        <v>4355</v>
      </c>
    </row>
    <row r="4080" spans="1:7" ht="20.100000000000001" customHeight="1" x14ac:dyDescent="0.2">
      <c r="A4080" s="681" t="str">
        <f t="shared" si="56"/>
        <v>1175  040.005.022  Manutenção  Trator FORD 8030</v>
      </c>
      <c r="B4080" s="636">
        <v>1175</v>
      </c>
      <c r="C4080" s="614"/>
      <c r="D4080" s="638" t="s">
        <v>4356</v>
      </c>
      <c r="E4080" s="165"/>
      <c r="F4080" s="614"/>
      <c r="G4080" s="612" t="s">
        <v>4357</v>
      </c>
    </row>
    <row r="4081" spans="1:7" ht="20.100000000000001" customHeight="1" x14ac:dyDescent="0.2">
      <c r="A4081" s="681" t="str">
        <f t="shared" si="56"/>
        <v>1176  040.005.023  Combustivel Retroescavadeira JCB</v>
      </c>
      <c r="B4081" s="636">
        <v>1176</v>
      </c>
      <c r="C4081" s="614"/>
      <c r="D4081" s="638" t="s">
        <v>4358</v>
      </c>
      <c r="E4081" s="165"/>
      <c r="F4081" s="614"/>
      <c r="G4081" s="612" t="s">
        <v>4359</v>
      </c>
    </row>
    <row r="4082" spans="1:7" ht="20.100000000000001" customHeight="1" x14ac:dyDescent="0.2">
      <c r="A4082" s="681" t="str">
        <f t="shared" si="56"/>
        <v>1177  040.005.024  Lubrificante Retroescavadeira JCB</v>
      </c>
      <c r="B4082" s="636">
        <v>1177</v>
      </c>
      <c r="C4082" s="614"/>
      <c r="D4082" s="638" t="s">
        <v>4360</v>
      </c>
      <c r="E4082" s="165"/>
      <c r="F4082" s="614"/>
      <c r="G4082" s="612" t="s">
        <v>4361</v>
      </c>
    </row>
    <row r="4083" spans="1:7" ht="20.100000000000001" customHeight="1" x14ac:dyDescent="0.2">
      <c r="A4083" s="681" t="str">
        <f t="shared" si="56"/>
        <v>1178  040.005.025  Material e Peças Retroescavadeira JCB</v>
      </c>
      <c r="B4083" s="636">
        <v>1178</v>
      </c>
      <c r="C4083" s="614"/>
      <c r="D4083" s="638" t="s">
        <v>4362</v>
      </c>
      <c r="E4083" s="165"/>
      <c r="F4083" s="614"/>
      <c r="G4083" s="612" t="s">
        <v>4363</v>
      </c>
    </row>
    <row r="4084" spans="1:7" ht="20.100000000000001" customHeight="1" x14ac:dyDescent="0.2">
      <c r="A4084" s="681" t="str">
        <f t="shared" si="56"/>
        <v>1179  040.005.026  Manutenção Retroescavadeira JCB</v>
      </c>
      <c r="B4084" s="636">
        <v>1179</v>
      </c>
      <c r="C4084" s="614"/>
      <c r="D4084" s="638" t="s">
        <v>4364</v>
      </c>
      <c r="E4084" s="165"/>
      <c r="F4084" s="614"/>
      <c r="G4084" s="612" t="s">
        <v>4365</v>
      </c>
    </row>
    <row r="4085" spans="1:7" ht="20.100000000000001" customHeight="1" x14ac:dyDescent="0.2">
      <c r="A4085" s="681" t="str">
        <f t="shared" si="56"/>
        <v>1180  040.005.027  Material e Peças P/ Implementos</v>
      </c>
      <c r="B4085" s="636">
        <v>1180</v>
      </c>
      <c r="C4085" s="614"/>
      <c r="D4085" s="638" t="s">
        <v>4366</v>
      </c>
      <c r="E4085" s="165"/>
      <c r="F4085" s="614"/>
      <c r="G4085" s="612" t="s">
        <v>4367</v>
      </c>
    </row>
    <row r="4086" spans="1:7" ht="20.100000000000001" customHeight="1" x14ac:dyDescent="0.2">
      <c r="A4086" s="681" t="str">
        <f t="shared" si="56"/>
        <v>1181  040.005.028  Manutenção de Implementos</v>
      </c>
      <c r="B4086" s="636">
        <v>1181</v>
      </c>
      <c r="C4086" s="614"/>
      <c r="D4086" s="638" t="s">
        <v>4368</v>
      </c>
      <c r="E4086" s="165"/>
      <c r="F4086" s="614"/>
      <c r="G4086" s="612" t="s">
        <v>4369</v>
      </c>
    </row>
    <row r="4087" spans="1:7" ht="20.100000000000001" customHeight="1" x14ac:dyDescent="0.2">
      <c r="A4087" s="681" t="str">
        <f t="shared" si="56"/>
        <v>1182  040.005.029  Geral</v>
      </c>
      <c r="B4087" s="636">
        <v>1182</v>
      </c>
      <c r="C4087" s="614"/>
      <c r="D4087" s="638" t="s">
        <v>4370</v>
      </c>
      <c r="E4087" s="165"/>
      <c r="F4087" s="614"/>
      <c r="G4087" s="612" t="s">
        <v>2380</v>
      </c>
    </row>
    <row r="4088" spans="1:7" ht="20.100000000000001" customHeight="1" x14ac:dyDescent="0.2">
      <c r="A4088" s="681" t="str">
        <f t="shared" si="56"/>
        <v>1565  040.005.030  Hora Extra Serv, Efetivos</v>
      </c>
      <c r="B4088" s="636">
        <v>1565</v>
      </c>
      <c r="C4088" s="614"/>
      <c r="D4088" s="638" t="s">
        <v>4371</v>
      </c>
      <c r="E4088" s="165"/>
      <c r="F4088" s="614"/>
      <c r="G4088" s="612" t="s">
        <v>4372</v>
      </c>
    </row>
    <row r="4089" spans="1:7" ht="20.100000000000001" customHeight="1" x14ac:dyDescent="0.2">
      <c r="A4089" s="681" t="str">
        <f t="shared" si="56"/>
        <v>1566  040.005.031  Hora Extra Serv, Contratados</v>
      </c>
      <c r="B4089" s="636">
        <v>1566</v>
      </c>
      <c r="C4089" s="614"/>
      <c r="D4089" s="638" t="s">
        <v>4373</v>
      </c>
      <c r="E4089" s="165"/>
      <c r="F4089" s="614"/>
      <c r="G4089" s="612" t="s">
        <v>3461</v>
      </c>
    </row>
    <row r="4090" spans="1:7" ht="20.100000000000001" customHeight="1" x14ac:dyDescent="0.2">
      <c r="A4090" s="681" t="str">
        <f t="shared" si="56"/>
        <v>1615  040.005.032  Material e medicamentos Veterinários</v>
      </c>
      <c r="B4090" s="636">
        <v>1615</v>
      </c>
      <c r="C4090" s="614"/>
      <c r="D4090" s="638" t="s">
        <v>4374</v>
      </c>
      <c r="E4090" s="165"/>
      <c r="F4090" s="614"/>
      <c r="G4090" s="612" t="s">
        <v>4375</v>
      </c>
    </row>
    <row r="4091" spans="1:7" ht="20.100000000000001" customHeight="1" x14ac:dyDescent="0.2">
      <c r="A4091" s="681" t="str">
        <f t="shared" si="56"/>
        <v>1676  040.005.033  Programa Troca-Troca de Sementes</v>
      </c>
      <c r="B4091" s="636">
        <v>1676</v>
      </c>
      <c r="C4091" s="614"/>
      <c r="D4091" s="638" t="s">
        <v>4376</v>
      </c>
      <c r="E4091" s="165"/>
      <c r="F4091" s="614"/>
      <c r="G4091" s="612" t="s">
        <v>4377</v>
      </c>
    </row>
    <row r="4092" spans="1:7" ht="20.100000000000001" customHeight="1" x14ac:dyDescent="0.2">
      <c r="A4092" s="681" t="str">
        <f t="shared" si="56"/>
        <v>1183  040.006.000  FROTA DE MAQUINAS VEÍCULOS E IMPLEMENTOS AGRICOLAS</v>
      </c>
      <c r="B4092" s="636">
        <v>1183</v>
      </c>
      <c r="C4092" s="614"/>
      <c r="D4092" s="638" t="s">
        <v>4378</v>
      </c>
      <c r="E4092" s="165"/>
      <c r="F4092" s="614"/>
      <c r="G4092" s="612" t="s">
        <v>7560</v>
      </c>
    </row>
    <row r="4093" spans="1:7" ht="20.100000000000001" customHeight="1" x14ac:dyDescent="0.2">
      <c r="A4093" s="681" t="str">
        <f t="shared" si="56"/>
        <v>1184  040.006.001  Combustivel Trator BM 110</v>
      </c>
      <c r="B4093" s="636">
        <v>1184</v>
      </c>
      <c r="C4093" s="614"/>
      <c r="D4093" s="638" t="s">
        <v>4379</v>
      </c>
      <c r="E4093" s="165"/>
      <c r="F4093" s="614"/>
      <c r="G4093" s="612" t="s">
        <v>4327</v>
      </c>
    </row>
    <row r="4094" spans="1:7" ht="20.100000000000001" customHeight="1" x14ac:dyDescent="0.2">
      <c r="A4094" s="681" t="str">
        <f t="shared" si="56"/>
        <v>1185  040.006.002  Lubrificante Trator BM 110</v>
      </c>
      <c r="B4094" s="636">
        <v>1185</v>
      </c>
      <c r="C4094" s="614"/>
      <c r="D4094" s="638" t="s">
        <v>4380</v>
      </c>
      <c r="E4094" s="165"/>
      <c r="F4094" s="614"/>
      <c r="G4094" s="612" t="s">
        <v>4329</v>
      </c>
    </row>
    <row r="4095" spans="1:7" ht="20.100000000000001" customHeight="1" x14ac:dyDescent="0.2">
      <c r="A4095" s="681" t="str">
        <f t="shared" si="56"/>
        <v>1186  040.006.003  Material e Peças Trator BM 110</v>
      </c>
      <c r="B4095" s="636">
        <v>1186</v>
      </c>
      <c r="C4095" s="614"/>
      <c r="D4095" s="638" t="s">
        <v>4381</v>
      </c>
      <c r="E4095" s="165"/>
      <c r="F4095" s="614"/>
      <c r="G4095" s="612" t="s">
        <v>4331</v>
      </c>
    </row>
    <row r="4096" spans="1:7" ht="20.100000000000001" customHeight="1" x14ac:dyDescent="0.2">
      <c r="A4096" s="681" t="str">
        <f t="shared" si="56"/>
        <v>1187  040.006.004  Manutenção Trator BM 110</v>
      </c>
      <c r="B4096" s="636">
        <v>1187</v>
      </c>
      <c r="C4096" s="614"/>
      <c r="D4096" s="638" t="s">
        <v>4382</v>
      </c>
      <c r="E4096" s="165"/>
      <c r="F4096" s="614"/>
      <c r="G4096" s="612" t="s">
        <v>4333</v>
      </c>
    </row>
    <row r="4097" spans="1:7" ht="20.100000000000001" customHeight="1" x14ac:dyDescent="0.2">
      <c r="A4097" s="681" t="str">
        <f t="shared" si="56"/>
        <v>1188  040.006.005  Combustivel Trator NH 7630</v>
      </c>
      <c r="B4097" s="636">
        <v>1188</v>
      </c>
      <c r="C4097" s="614"/>
      <c r="D4097" s="638" t="s">
        <v>4383</v>
      </c>
      <c r="E4097" s="165"/>
      <c r="F4097" s="614"/>
      <c r="G4097" s="612" t="s">
        <v>4335</v>
      </c>
    </row>
    <row r="4098" spans="1:7" ht="20.100000000000001" customHeight="1" x14ac:dyDescent="0.2">
      <c r="A4098" s="681" t="str">
        <f t="shared" si="56"/>
        <v>1189  040.006.006  Lubriificantes Trator NH 7630</v>
      </c>
      <c r="B4098" s="636">
        <v>1189</v>
      </c>
      <c r="C4098" s="614"/>
      <c r="D4098" s="638" t="s">
        <v>4384</v>
      </c>
      <c r="E4098" s="165"/>
      <c r="F4098" s="614"/>
      <c r="G4098" s="612" t="s">
        <v>4385</v>
      </c>
    </row>
    <row r="4099" spans="1:7" ht="20.100000000000001" customHeight="1" x14ac:dyDescent="0.2">
      <c r="A4099" s="681" t="str">
        <f t="shared" si="56"/>
        <v>1190  040.006.007  Material e Peças Trator NH 7630</v>
      </c>
      <c r="B4099" s="636">
        <v>1190</v>
      </c>
      <c r="C4099" s="614"/>
      <c r="D4099" s="638" t="s">
        <v>4386</v>
      </c>
      <c r="E4099" s="165"/>
      <c r="F4099" s="614"/>
      <c r="G4099" s="612" t="s">
        <v>4339</v>
      </c>
    </row>
    <row r="4100" spans="1:7" ht="20.100000000000001" customHeight="1" x14ac:dyDescent="0.2">
      <c r="A4100" s="681" t="str">
        <f t="shared" si="56"/>
        <v>1191  040.006.008  Manutenção Trator NH 7630</v>
      </c>
      <c r="B4100" s="636">
        <v>1191</v>
      </c>
      <c r="C4100" s="614"/>
      <c r="D4100" s="638" t="s">
        <v>4387</v>
      </c>
      <c r="E4100" s="165"/>
      <c r="F4100" s="614"/>
      <c r="G4100" s="612" t="s">
        <v>4341</v>
      </c>
    </row>
    <row r="4101" spans="1:7" ht="20.100000000000001" customHeight="1" x14ac:dyDescent="0.2">
      <c r="A4101" s="681" t="str">
        <f t="shared" si="56"/>
        <v>1192  040.006.009  Combustivel Trator NH 85E</v>
      </c>
      <c r="B4101" s="636">
        <v>1192</v>
      </c>
      <c r="C4101" s="614"/>
      <c r="D4101" s="638" t="s">
        <v>4388</v>
      </c>
      <c r="E4101" s="165"/>
      <c r="F4101" s="614"/>
      <c r="G4101" s="612" t="s">
        <v>4343</v>
      </c>
    </row>
    <row r="4102" spans="1:7" ht="20.100000000000001" customHeight="1" x14ac:dyDescent="0.2">
      <c r="A4102" s="681" t="str">
        <f t="shared" si="56"/>
        <v>1193  040.006.010  Lubrificante Trator NH 85E</v>
      </c>
      <c r="B4102" s="636">
        <v>1193</v>
      </c>
      <c r="C4102" s="614"/>
      <c r="D4102" s="638" t="s">
        <v>4389</v>
      </c>
      <c r="E4102" s="165"/>
      <c r="F4102" s="614"/>
      <c r="G4102" s="612" t="s">
        <v>4345</v>
      </c>
    </row>
    <row r="4103" spans="1:7" ht="20.100000000000001" customHeight="1" x14ac:dyDescent="0.2">
      <c r="A4103" s="681" t="str">
        <f t="shared" ref="A4103:A4166" si="57">CONCATENATE(B4103,"  ",D4103,"  ",G4103)</f>
        <v>1194  040.006.011  Material e Peças Trator NH 85E</v>
      </c>
      <c r="B4103" s="636">
        <v>1194</v>
      </c>
      <c r="C4103" s="614"/>
      <c r="D4103" s="638" t="s">
        <v>4390</v>
      </c>
      <c r="E4103" s="165"/>
      <c r="F4103" s="614"/>
      <c r="G4103" s="612" t="s">
        <v>4347</v>
      </c>
    </row>
    <row r="4104" spans="1:7" ht="20.100000000000001" customHeight="1" x14ac:dyDescent="0.2">
      <c r="A4104" s="681" t="str">
        <f t="shared" si="57"/>
        <v>1195  040.006.012  Manutenção Trator NH 85E</v>
      </c>
      <c r="B4104" s="636">
        <v>1195</v>
      </c>
      <c r="C4104" s="614"/>
      <c r="D4104" s="638" t="s">
        <v>4391</v>
      </c>
      <c r="E4104" s="165"/>
      <c r="F4104" s="614"/>
      <c r="G4104" s="612" t="s">
        <v>4392</v>
      </c>
    </row>
    <row r="4105" spans="1:7" ht="20.100000000000001" customHeight="1" x14ac:dyDescent="0.2">
      <c r="A4105" s="681" t="str">
        <f t="shared" si="57"/>
        <v>1196  040.006.013  Combustivel  Trator FORD 8030</v>
      </c>
      <c r="B4105" s="636">
        <v>1196</v>
      </c>
      <c r="C4105" s="614"/>
      <c r="D4105" s="638" t="s">
        <v>4393</v>
      </c>
      <c r="E4105" s="165"/>
      <c r="F4105" s="614"/>
      <c r="G4105" s="612" t="s">
        <v>4351</v>
      </c>
    </row>
    <row r="4106" spans="1:7" ht="20.100000000000001" customHeight="1" x14ac:dyDescent="0.2">
      <c r="A4106" s="681" t="str">
        <f t="shared" si="57"/>
        <v>1197  040.006.014  Lubrificante  Trator FORD 8030</v>
      </c>
      <c r="B4106" s="636">
        <v>1197</v>
      </c>
      <c r="C4106" s="614"/>
      <c r="D4106" s="638" t="s">
        <v>4394</v>
      </c>
      <c r="E4106" s="165"/>
      <c r="F4106" s="614"/>
      <c r="G4106" s="612" t="s">
        <v>4353</v>
      </c>
    </row>
    <row r="4107" spans="1:7" ht="20.100000000000001" customHeight="1" x14ac:dyDescent="0.2">
      <c r="A4107" s="681" t="str">
        <f t="shared" si="57"/>
        <v>1198  040.006.015  Material e Peças  Trator FORD 8030</v>
      </c>
      <c r="B4107" s="636">
        <v>1198</v>
      </c>
      <c r="C4107" s="614"/>
      <c r="D4107" s="638" t="s">
        <v>4395</v>
      </c>
      <c r="E4107" s="165"/>
      <c r="F4107" s="614"/>
      <c r="G4107" s="612" t="s">
        <v>4355</v>
      </c>
    </row>
    <row r="4108" spans="1:7" ht="20.100000000000001" customHeight="1" x14ac:dyDescent="0.2">
      <c r="A4108" s="681" t="str">
        <f t="shared" si="57"/>
        <v>1199  040.006.016  Manutenção  Trator FORD 8030</v>
      </c>
      <c r="B4108" s="636">
        <v>1199</v>
      </c>
      <c r="C4108" s="614"/>
      <c r="D4108" s="638" t="s">
        <v>4396</v>
      </c>
      <c r="E4108" s="165"/>
      <c r="F4108" s="614"/>
      <c r="G4108" s="612" t="s">
        <v>4357</v>
      </c>
    </row>
    <row r="4109" spans="1:7" ht="20.100000000000001" customHeight="1" x14ac:dyDescent="0.2">
      <c r="A4109" s="681" t="str">
        <f t="shared" si="57"/>
        <v>1200  040.006.017  Combustivel Retroescavadeira JCB</v>
      </c>
      <c r="B4109" s="636">
        <v>1200</v>
      </c>
      <c r="C4109" s="614"/>
      <c r="D4109" s="638" t="s">
        <v>4397</v>
      </c>
      <c r="E4109" s="165"/>
      <c r="F4109" s="614"/>
      <c r="G4109" s="612" t="s">
        <v>4359</v>
      </c>
    </row>
    <row r="4110" spans="1:7" ht="20.100000000000001" customHeight="1" x14ac:dyDescent="0.2">
      <c r="A4110" s="681" t="str">
        <f t="shared" si="57"/>
        <v>1201  040.006.018  Lubrificante Retroescavadeira JCB</v>
      </c>
      <c r="B4110" s="636">
        <v>1201</v>
      </c>
      <c r="C4110" s="614"/>
      <c r="D4110" s="638" t="s">
        <v>4398</v>
      </c>
      <c r="E4110" s="165"/>
      <c r="F4110" s="614"/>
      <c r="G4110" s="612" t="s">
        <v>4361</v>
      </c>
    </row>
    <row r="4111" spans="1:7" ht="20.100000000000001" customHeight="1" x14ac:dyDescent="0.2">
      <c r="A4111" s="681" t="str">
        <f t="shared" si="57"/>
        <v>1202  040.006.019  Material e Peças Retroescavadeira JCB</v>
      </c>
      <c r="B4111" s="636">
        <v>1202</v>
      </c>
      <c r="C4111" s="614"/>
      <c r="D4111" s="638" t="s">
        <v>4399</v>
      </c>
      <c r="E4111" s="165"/>
      <c r="F4111" s="614"/>
      <c r="G4111" s="612" t="s">
        <v>4363</v>
      </c>
    </row>
    <row r="4112" spans="1:7" ht="20.100000000000001" customHeight="1" x14ac:dyDescent="0.2">
      <c r="A4112" s="681" t="str">
        <f t="shared" si="57"/>
        <v>1203  040.006.020  Manutenção Retroescavadeira JCB</v>
      </c>
      <c r="B4112" s="636">
        <v>1203</v>
      </c>
      <c r="C4112" s="614"/>
      <c r="D4112" s="638" t="s">
        <v>4400</v>
      </c>
      <c r="E4112" s="165"/>
      <c r="F4112" s="614"/>
      <c r="G4112" s="612" t="s">
        <v>4365</v>
      </c>
    </row>
    <row r="4113" spans="1:7" ht="20.100000000000001" customHeight="1" x14ac:dyDescent="0.2">
      <c r="A4113" s="681" t="str">
        <f t="shared" si="57"/>
        <v>1204  040.006.021  Material e Peças P/ Implementos</v>
      </c>
      <c r="B4113" s="636">
        <v>1204</v>
      </c>
      <c r="C4113" s="614"/>
      <c r="D4113" s="638" t="s">
        <v>4401</v>
      </c>
      <c r="E4113" s="165"/>
      <c r="F4113" s="614"/>
      <c r="G4113" s="612" t="s">
        <v>4367</v>
      </c>
    </row>
    <row r="4114" spans="1:7" ht="20.100000000000001" customHeight="1" x14ac:dyDescent="0.2">
      <c r="A4114" s="681" t="str">
        <f t="shared" si="57"/>
        <v>1205  040.006.022  Manutenção de Implementos</v>
      </c>
      <c r="B4114" s="636">
        <v>1205</v>
      </c>
      <c r="C4114" s="614"/>
      <c r="D4114" s="638" t="s">
        <v>4402</v>
      </c>
      <c r="E4114" s="165"/>
      <c r="F4114" s="614"/>
      <c r="G4114" s="612" t="s">
        <v>4369</v>
      </c>
    </row>
    <row r="4115" spans="1:7" ht="20.100000000000001" customHeight="1" x14ac:dyDescent="0.2">
      <c r="A4115" s="681" t="str">
        <f t="shared" si="57"/>
        <v>1206  040.006.023  Geral</v>
      </c>
      <c r="B4115" s="636">
        <v>1206</v>
      </c>
      <c r="C4115" s="614"/>
      <c r="D4115" s="638" t="s">
        <v>4403</v>
      </c>
      <c r="E4115" s="165"/>
      <c r="F4115" s="614"/>
      <c r="G4115" s="612" t="s">
        <v>2380</v>
      </c>
    </row>
    <row r="4116" spans="1:7" ht="20.100000000000001" customHeight="1" x14ac:dyDescent="0.2">
      <c r="A4116" s="681" t="str">
        <f t="shared" si="57"/>
        <v>1207  040.007.000  GESTÃO DA AGROPECUARIA - ATENDIMENTO AO PRODUTOR</v>
      </c>
      <c r="B4116" s="636">
        <v>1207</v>
      </c>
      <c r="C4116" s="614"/>
      <c r="D4116" s="638" t="s">
        <v>4404</v>
      </c>
      <c r="E4116" s="165"/>
      <c r="F4116" s="614"/>
      <c r="G4116" s="612" t="s">
        <v>4405</v>
      </c>
    </row>
    <row r="4117" spans="1:7" ht="20.100000000000001" customHeight="1" x14ac:dyDescent="0.2">
      <c r="A4117" s="681" t="str">
        <f t="shared" si="57"/>
        <v>1208  040.007.001  Pessol e Encargos Soc. - Serv. Efetivos</v>
      </c>
      <c r="B4117" s="636">
        <v>1208</v>
      </c>
      <c r="C4117" s="614"/>
      <c r="D4117" s="638" t="s">
        <v>4406</v>
      </c>
      <c r="E4117" s="165"/>
      <c r="F4117" s="614"/>
      <c r="G4117" s="612" t="s">
        <v>4407</v>
      </c>
    </row>
    <row r="4118" spans="1:7" ht="20.100000000000001" customHeight="1" x14ac:dyDescent="0.2">
      <c r="A4118" s="681" t="str">
        <f t="shared" si="57"/>
        <v>1209  040.007.002  Pessoal e Encargos Soc. - Serv. Contratados</v>
      </c>
      <c r="B4118" s="636">
        <v>1209</v>
      </c>
      <c r="C4118" s="614"/>
      <c r="D4118" s="638" t="s">
        <v>4408</v>
      </c>
      <c r="E4118" s="165"/>
      <c r="F4118" s="614"/>
      <c r="G4118" s="612" t="s">
        <v>4319</v>
      </c>
    </row>
    <row r="4119" spans="1:7" ht="20.100000000000001" customHeight="1" x14ac:dyDescent="0.2">
      <c r="A4119" s="681" t="str">
        <f t="shared" si="57"/>
        <v>1210  040.007.003  Pessoal e Encargos Soc. - Serv. C.C.</v>
      </c>
      <c r="B4119" s="636">
        <v>1210</v>
      </c>
      <c r="C4119" s="614"/>
      <c r="D4119" s="638" t="s">
        <v>4409</v>
      </c>
      <c r="E4119" s="165"/>
      <c r="F4119" s="614"/>
      <c r="G4119" s="612" t="s">
        <v>4410</v>
      </c>
    </row>
    <row r="4120" spans="1:7" ht="20.100000000000001" customHeight="1" x14ac:dyDescent="0.2">
      <c r="A4120" s="681" t="str">
        <f t="shared" si="57"/>
        <v>1211  040.007.004  Assistencia Tecnica</v>
      </c>
      <c r="B4120" s="636">
        <v>1211</v>
      </c>
      <c r="C4120" s="614"/>
      <c r="D4120" s="638" t="s">
        <v>4411</v>
      </c>
      <c r="E4120" s="165"/>
      <c r="F4120" s="614"/>
      <c r="G4120" s="612" t="s">
        <v>4412</v>
      </c>
    </row>
    <row r="4121" spans="1:7" ht="20.100000000000001" customHeight="1" x14ac:dyDescent="0.2">
      <c r="A4121" s="681" t="str">
        <f t="shared" si="57"/>
        <v>1212  040.007.005  Nitrogenio Liquido</v>
      </c>
      <c r="B4121" s="636">
        <v>1212</v>
      </c>
      <c r="C4121" s="614"/>
      <c r="D4121" s="638" t="s">
        <v>4413</v>
      </c>
      <c r="E4121" s="165"/>
      <c r="F4121" s="614"/>
      <c r="G4121" s="612" t="s">
        <v>4414</v>
      </c>
    </row>
    <row r="4122" spans="1:7" ht="20.100000000000001" customHeight="1" x14ac:dyDescent="0.2">
      <c r="A4122" s="681" t="str">
        <f t="shared" si="57"/>
        <v>1213  040.007.006  Material Biológico</v>
      </c>
      <c r="B4122" s="636">
        <v>1213</v>
      </c>
      <c r="C4122" s="614"/>
      <c r="D4122" s="638" t="s">
        <v>4415</v>
      </c>
      <c r="E4122" s="165"/>
      <c r="F4122" s="614"/>
      <c r="G4122" s="612" t="s">
        <v>4416</v>
      </c>
    </row>
    <row r="4123" spans="1:7" ht="20.100000000000001" customHeight="1" x14ac:dyDescent="0.2">
      <c r="A4123" s="681" t="str">
        <f t="shared" si="57"/>
        <v>1214  040.007.008  Subvenções Sociais</v>
      </c>
      <c r="B4123" s="636">
        <v>1214</v>
      </c>
      <c r="C4123" s="614"/>
      <c r="D4123" s="638" t="s">
        <v>4417</v>
      </c>
      <c r="E4123" s="165"/>
      <c r="F4123" s="614"/>
      <c r="G4123" s="612" t="s">
        <v>4418</v>
      </c>
    </row>
    <row r="4124" spans="1:7" ht="20.100000000000001" customHeight="1" x14ac:dyDescent="0.2">
      <c r="A4124" s="681" t="str">
        <f t="shared" si="57"/>
        <v>1215  040.007.009  Geral</v>
      </c>
      <c r="B4124" s="636">
        <v>1215</v>
      </c>
      <c r="C4124" s="614"/>
      <c r="D4124" s="638" t="s">
        <v>4419</v>
      </c>
      <c r="E4124" s="165"/>
      <c r="F4124" s="614"/>
      <c r="G4124" s="612" t="s">
        <v>2380</v>
      </c>
    </row>
    <row r="4125" spans="1:7" ht="20.100000000000001" customHeight="1" x14ac:dyDescent="0.2">
      <c r="A4125" s="681" t="str">
        <f t="shared" si="57"/>
        <v>1216  040.008.000  MANUTENÇÃO DE MÁQUINAS E IMPLEMENTOS - HORA MAQUINA</v>
      </c>
      <c r="B4125" s="636">
        <v>1216</v>
      </c>
      <c r="C4125" s="614"/>
      <c r="D4125" s="638" t="s">
        <v>4420</v>
      </c>
      <c r="E4125" s="165"/>
      <c r="F4125" s="614"/>
      <c r="G4125" s="612" t="s">
        <v>4421</v>
      </c>
    </row>
    <row r="4126" spans="1:7" ht="20.100000000000001" customHeight="1" x14ac:dyDescent="0.2">
      <c r="A4126" s="681" t="str">
        <f t="shared" si="57"/>
        <v>1217  040.008.001  Combustivel Trator BM 110</v>
      </c>
      <c r="B4126" s="636">
        <v>1217</v>
      </c>
      <c r="C4126" s="614"/>
      <c r="D4126" s="638" t="s">
        <v>4422</v>
      </c>
      <c r="E4126" s="165"/>
      <c r="F4126" s="614"/>
      <c r="G4126" s="612" t="s">
        <v>4327</v>
      </c>
    </row>
    <row r="4127" spans="1:7" ht="20.100000000000001" customHeight="1" x14ac:dyDescent="0.2">
      <c r="A4127" s="681" t="str">
        <f t="shared" si="57"/>
        <v>1218  040.008.002  Lubrificante Trator BM 110</v>
      </c>
      <c r="B4127" s="636">
        <v>1218</v>
      </c>
      <c r="C4127" s="614"/>
      <c r="D4127" s="638" t="s">
        <v>4423</v>
      </c>
      <c r="E4127" s="165"/>
      <c r="F4127" s="614"/>
      <c r="G4127" s="612" t="s">
        <v>4329</v>
      </c>
    </row>
    <row r="4128" spans="1:7" ht="20.100000000000001" customHeight="1" x14ac:dyDescent="0.2">
      <c r="A4128" s="681" t="str">
        <f t="shared" si="57"/>
        <v>1219  040.008.003  Material e Peças Trator BM 110</v>
      </c>
      <c r="B4128" s="636">
        <v>1219</v>
      </c>
      <c r="C4128" s="614"/>
      <c r="D4128" s="638" t="s">
        <v>4424</v>
      </c>
      <c r="E4128" s="165"/>
      <c r="F4128" s="614"/>
      <c r="G4128" s="612" t="s">
        <v>4331</v>
      </c>
    </row>
    <row r="4129" spans="1:7" ht="20.100000000000001" customHeight="1" x14ac:dyDescent="0.2">
      <c r="A4129" s="681" t="str">
        <f t="shared" si="57"/>
        <v>1220  040.008.004  Manutenção Trator BM 110</v>
      </c>
      <c r="B4129" s="636">
        <v>1220</v>
      </c>
      <c r="C4129" s="614"/>
      <c r="D4129" s="638" t="s">
        <v>4425</v>
      </c>
      <c r="E4129" s="165"/>
      <c r="F4129" s="614"/>
      <c r="G4129" s="612" t="s">
        <v>4333</v>
      </c>
    </row>
    <row r="4130" spans="1:7" ht="20.100000000000001" customHeight="1" x14ac:dyDescent="0.2">
      <c r="A4130" s="681" t="str">
        <f t="shared" si="57"/>
        <v>1221  040.008.005  Combustivel Trator NH 7630</v>
      </c>
      <c r="B4130" s="636">
        <v>1221</v>
      </c>
      <c r="C4130" s="614"/>
      <c r="D4130" s="638" t="s">
        <v>4426</v>
      </c>
      <c r="E4130" s="165"/>
      <c r="F4130" s="614"/>
      <c r="G4130" s="612" t="s">
        <v>4335</v>
      </c>
    </row>
    <row r="4131" spans="1:7" ht="20.100000000000001" customHeight="1" x14ac:dyDescent="0.2">
      <c r="A4131" s="681" t="str">
        <f t="shared" si="57"/>
        <v>1222  040.008.006  Lubrificante Trator NH 7630</v>
      </c>
      <c r="B4131" s="636">
        <v>1222</v>
      </c>
      <c r="C4131" s="614"/>
      <c r="D4131" s="638" t="s">
        <v>4427</v>
      </c>
      <c r="E4131" s="165"/>
      <c r="F4131" s="614"/>
      <c r="G4131" s="612" t="s">
        <v>4337</v>
      </c>
    </row>
    <row r="4132" spans="1:7" ht="20.100000000000001" customHeight="1" x14ac:dyDescent="0.2">
      <c r="A4132" s="681" t="str">
        <f t="shared" si="57"/>
        <v>1223  040.008.007  Material e Peças Trator NH 7630</v>
      </c>
      <c r="B4132" s="636">
        <v>1223</v>
      </c>
      <c r="C4132" s="614"/>
      <c r="D4132" s="638" t="s">
        <v>4428</v>
      </c>
      <c r="E4132" s="165"/>
      <c r="F4132" s="614"/>
      <c r="G4132" s="612" t="s">
        <v>4339</v>
      </c>
    </row>
    <row r="4133" spans="1:7" ht="20.100000000000001" customHeight="1" x14ac:dyDescent="0.2">
      <c r="A4133" s="681" t="str">
        <f t="shared" si="57"/>
        <v>1224  040.008.008  Manutenção Trator NH 7630</v>
      </c>
      <c r="B4133" s="636">
        <v>1224</v>
      </c>
      <c r="C4133" s="614"/>
      <c r="D4133" s="638" t="s">
        <v>4429</v>
      </c>
      <c r="E4133" s="165"/>
      <c r="F4133" s="614"/>
      <c r="G4133" s="612" t="s">
        <v>4341</v>
      </c>
    </row>
    <row r="4134" spans="1:7" ht="20.100000000000001" customHeight="1" x14ac:dyDescent="0.2">
      <c r="A4134" s="681" t="str">
        <f t="shared" si="57"/>
        <v>1225  040.008.009  Combustivel Trator NH 85E</v>
      </c>
      <c r="B4134" s="636">
        <v>1225</v>
      </c>
      <c r="C4134" s="614"/>
      <c r="D4134" s="638" t="s">
        <v>4430</v>
      </c>
      <c r="E4134" s="165"/>
      <c r="F4134" s="614"/>
      <c r="G4134" s="612" t="s">
        <v>4343</v>
      </c>
    </row>
    <row r="4135" spans="1:7" ht="20.100000000000001" customHeight="1" x14ac:dyDescent="0.2">
      <c r="A4135" s="681" t="str">
        <f t="shared" si="57"/>
        <v>1226  040.008.009  Lubrificante Trator NH 85E</v>
      </c>
      <c r="B4135" s="636">
        <v>1226</v>
      </c>
      <c r="C4135" s="614"/>
      <c r="D4135" s="638" t="s">
        <v>4430</v>
      </c>
      <c r="E4135" s="165"/>
      <c r="F4135" s="614"/>
      <c r="G4135" s="612" t="s">
        <v>4345</v>
      </c>
    </row>
    <row r="4136" spans="1:7" ht="20.100000000000001" customHeight="1" x14ac:dyDescent="0.2">
      <c r="A4136" s="681" t="str">
        <f t="shared" si="57"/>
        <v>1227  040.008.011  Material e Peças Trator NH 85E</v>
      </c>
      <c r="B4136" s="636">
        <v>1227</v>
      </c>
      <c r="C4136" s="614"/>
      <c r="D4136" s="638" t="s">
        <v>4431</v>
      </c>
      <c r="E4136" s="165"/>
      <c r="F4136" s="614"/>
      <c r="G4136" s="612" t="s">
        <v>4347</v>
      </c>
    </row>
    <row r="4137" spans="1:7" ht="20.100000000000001" customHeight="1" x14ac:dyDescent="0.2">
      <c r="A4137" s="681" t="str">
        <f t="shared" si="57"/>
        <v>1228  040.008.012  Manutenção Trator FORD 8030</v>
      </c>
      <c r="B4137" s="636">
        <v>1228</v>
      </c>
      <c r="C4137" s="614"/>
      <c r="D4137" s="638" t="s">
        <v>4432</v>
      </c>
      <c r="E4137" s="165"/>
      <c r="F4137" s="614"/>
      <c r="G4137" s="612" t="s">
        <v>4349</v>
      </c>
    </row>
    <row r="4138" spans="1:7" ht="20.100000000000001" customHeight="1" x14ac:dyDescent="0.2">
      <c r="A4138" s="681" t="str">
        <f t="shared" si="57"/>
        <v>1229  040.008.013  Combustivel  Trator FORD 8030</v>
      </c>
      <c r="B4138" s="636">
        <v>1229</v>
      </c>
      <c r="C4138" s="614"/>
      <c r="D4138" s="638" t="s">
        <v>4433</v>
      </c>
      <c r="E4138" s="165"/>
      <c r="F4138" s="614"/>
      <c r="G4138" s="612" t="s">
        <v>4351</v>
      </c>
    </row>
    <row r="4139" spans="1:7" ht="20.100000000000001" customHeight="1" x14ac:dyDescent="0.2">
      <c r="A4139" s="681" t="str">
        <f t="shared" si="57"/>
        <v>1230  040.008.014  Lubrificante  Trator FORD 8030</v>
      </c>
      <c r="B4139" s="636">
        <v>1230</v>
      </c>
      <c r="C4139" s="614"/>
      <c r="D4139" s="638" t="s">
        <v>4434</v>
      </c>
      <c r="E4139" s="165"/>
      <c r="F4139" s="614"/>
      <c r="G4139" s="612" t="s">
        <v>4353</v>
      </c>
    </row>
    <row r="4140" spans="1:7" ht="20.100000000000001" customHeight="1" x14ac:dyDescent="0.2">
      <c r="A4140" s="681" t="str">
        <f t="shared" si="57"/>
        <v>1231  040.008.015  Material e Peças  Trator FORD 8030</v>
      </c>
      <c r="B4140" s="636">
        <v>1231</v>
      </c>
      <c r="C4140" s="614"/>
      <c r="D4140" s="638" t="s">
        <v>4435</v>
      </c>
      <c r="E4140" s="165"/>
      <c r="F4140" s="614"/>
      <c r="G4140" s="612" t="s">
        <v>4355</v>
      </c>
    </row>
    <row r="4141" spans="1:7" ht="20.100000000000001" customHeight="1" x14ac:dyDescent="0.2">
      <c r="A4141" s="681" t="str">
        <f t="shared" si="57"/>
        <v>1232  040.008.016  Manuteção  Trator FORD 8030</v>
      </c>
      <c r="B4141" s="636">
        <v>1232</v>
      </c>
      <c r="C4141" s="614"/>
      <c r="D4141" s="638" t="s">
        <v>4436</v>
      </c>
      <c r="E4141" s="165"/>
      <c r="F4141" s="614"/>
      <c r="G4141" s="612" t="s">
        <v>4437</v>
      </c>
    </row>
    <row r="4142" spans="1:7" ht="20.100000000000001" customHeight="1" x14ac:dyDescent="0.2">
      <c r="A4142" s="681" t="str">
        <f t="shared" si="57"/>
        <v>1233  040.008.017  Combustivel Retroescavadeira JCB</v>
      </c>
      <c r="B4142" s="636">
        <v>1233</v>
      </c>
      <c r="C4142" s="614"/>
      <c r="D4142" s="638" t="s">
        <v>4438</v>
      </c>
      <c r="E4142" s="165"/>
      <c r="F4142" s="614"/>
      <c r="G4142" s="612" t="s">
        <v>4359</v>
      </c>
    </row>
    <row r="4143" spans="1:7" ht="20.100000000000001" customHeight="1" x14ac:dyDescent="0.2">
      <c r="A4143" s="681" t="str">
        <f t="shared" si="57"/>
        <v>1234  040.008.018  Lubrificante  Retroescavadeira JCB</v>
      </c>
      <c r="B4143" s="636">
        <v>1234</v>
      </c>
      <c r="C4143" s="614"/>
      <c r="D4143" s="638" t="s">
        <v>4439</v>
      </c>
      <c r="E4143" s="165"/>
      <c r="F4143" s="614"/>
      <c r="G4143" s="612" t="s">
        <v>4440</v>
      </c>
    </row>
    <row r="4144" spans="1:7" ht="20.100000000000001" customHeight="1" x14ac:dyDescent="0.2">
      <c r="A4144" s="681" t="str">
        <f t="shared" si="57"/>
        <v>1235  040.008.019  Material e Peças  Retroescavadeira JCB</v>
      </c>
      <c r="B4144" s="636">
        <v>1235</v>
      </c>
      <c r="C4144" s="614"/>
      <c r="D4144" s="638" t="s">
        <v>4441</v>
      </c>
      <c r="E4144" s="165"/>
      <c r="F4144" s="614"/>
      <c r="G4144" s="612" t="s">
        <v>4442</v>
      </c>
    </row>
    <row r="4145" spans="1:7" ht="20.100000000000001" customHeight="1" x14ac:dyDescent="0.2">
      <c r="A4145" s="681" t="str">
        <f t="shared" si="57"/>
        <v>1236  040.008.020  Manutenção  Retroescavadeira JCB</v>
      </c>
      <c r="B4145" s="636">
        <v>1236</v>
      </c>
      <c r="C4145" s="614"/>
      <c r="D4145" s="638" t="s">
        <v>4443</v>
      </c>
      <c r="E4145" s="165"/>
      <c r="F4145" s="614"/>
      <c r="G4145" s="612" t="s">
        <v>4444</v>
      </c>
    </row>
    <row r="4146" spans="1:7" ht="20.100000000000001" customHeight="1" x14ac:dyDescent="0.2">
      <c r="A4146" s="681" t="str">
        <f t="shared" si="57"/>
        <v>1237  040.008.021  Material e Peças P/Implementos</v>
      </c>
      <c r="B4146" s="636">
        <v>1237</v>
      </c>
      <c r="C4146" s="614"/>
      <c r="D4146" s="638" t="s">
        <v>4445</v>
      </c>
      <c r="E4146" s="165"/>
      <c r="F4146" s="614"/>
      <c r="G4146" s="612" t="s">
        <v>4446</v>
      </c>
    </row>
    <row r="4147" spans="1:7" ht="20.100000000000001" customHeight="1" x14ac:dyDescent="0.2">
      <c r="A4147" s="681" t="str">
        <f t="shared" si="57"/>
        <v>1238  040.008.022  Manutenção de Implementos</v>
      </c>
      <c r="B4147" s="636">
        <v>1238</v>
      </c>
      <c r="C4147" s="614"/>
      <c r="D4147" s="638" t="s">
        <v>4447</v>
      </c>
      <c r="E4147" s="165"/>
      <c r="F4147" s="614"/>
      <c r="G4147" s="612" t="s">
        <v>4369</v>
      </c>
    </row>
    <row r="4148" spans="1:7" ht="20.100000000000001" customHeight="1" x14ac:dyDescent="0.2">
      <c r="A4148" s="681" t="str">
        <f t="shared" si="57"/>
        <v>1239  040.008.023  Geral</v>
      </c>
      <c r="B4148" s="636">
        <v>1239</v>
      </c>
      <c r="C4148" s="614"/>
      <c r="D4148" s="638" t="s">
        <v>4448</v>
      </c>
      <c r="E4148" s="165"/>
      <c r="F4148" s="614"/>
      <c r="G4148" s="612" t="s">
        <v>2380</v>
      </c>
    </row>
    <row r="4149" spans="1:7" ht="20.100000000000001" customHeight="1" x14ac:dyDescent="0.2">
      <c r="A4149" s="681" t="str">
        <f t="shared" si="57"/>
        <v>1240  040.009.000  BACIA LEITEIRA</v>
      </c>
      <c r="B4149" s="636">
        <v>1240</v>
      </c>
      <c r="C4149" s="614"/>
      <c r="D4149" s="638" t="s">
        <v>4449</v>
      </c>
      <c r="E4149" s="165"/>
      <c r="F4149" s="614"/>
      <c r="G4149" s="612" t="s">
        <v>4450</v>
      </c>
    </row>
    <row r="4150" spans="1:7" ht="20.100000000000001" customHeight="1" x14ac:dyDescent="0.2">
      <c r="A4150" s="681" t="str">
        <f t="shared" si="57"/>
        <v>1241  040.009.001  Repasse de Recursos</v>
      </c>
      <c r="B4150" s="636">
        <v>1241</v>
      </c>
      <c r="C4150" s="614"/>
      <c r="D4150" s="638" t="s">
        <v>4451</v>
      </c>
      <c r="E4150" s="165"/>
      <c r="F4150" s="614"/>
      <c r="G4150" s="612" t="s">
        <v>4452</v>
      </c>
    </row>
    <row r="4151" spans="1:7" ht="20.100000000000001" customHeight="1" x14ac:dyDescent="0.2">
      <c r="A4151" s="681" t="str">
        <f t="shared" si="57"/>
        <v>1242  040.009.002  Insumos Agricolas</v>
      </c>
      <c r="B4151" s="636">
        <v>1242</v>
      </c>
      <c r="C4151" s="614"/>
      <c r="D4151" s="638" t="s">
        <v>4453</v>
      </c>
      <c r="E4151" s="165"/>
      <c r="F4151" s="614"/>
      <c r="G4151" s="612" t="s">
        <v>4454</v>
      </c>
    </row>
    <row r="4152" spans="1:7" ht="20.100000000000001" customHeight="1" x14ac:dyDescent="0.2">
      <c r="A4152" s="681" t="str">
        <f t="shared" si="57"/>
        <v>1243  040.009.003  Adubos e Fertilizantes</v>
      </c>
      <c r="B4152" s="636">
        <v>1243</v>
      </c>
      <c r="C4152" s="614"/>
      <c r="D4152" s="638" t="s">
        <v>4455</v>
      </c>
      <c r="E4152" s="165"/>
      <c r="F4152" s="614"/>
      <c r="G4152" s="612" t="s">
        <v>4456</v>
      </c>
    </row>
    <row r="4153" spans="1:7" ht="20.100000000000001" customHeight="1" x14ac:dyDescent="0.2">
      <c r="A4153" s="681" t="str">
        <f t="shared" si="57"/>
        <v>1244  040.009.004  Material Genetico</v>
      </c>
      <c r="B4153" s="636">
        <v>1244</v>
      </c>
      <c r="C4153" s="614"/>
      <c r="D4153" s="638" t="s">
        <v>4457</v>
      </c>
      <c r="E4153" s="165"/>
      <c r="F4153" s="614"/>
      <c r="G4153" s="612" t="s">
        <v>4458</v>
      </c>
    </row>
    <row r="4154" spans="1:7" ht="20.100000000000001" customHeight="1" x14ac:dyDescent="0.2">
      <c r="A4154" s="681" t="str">
        <f t="shared" si="57"/>
        <v>1245  040.009.005  Geral</v>
      </c>
      <c r="B4154" s="636">
        <v>1245</v>
      </c>
      <c r="C4154" s="614"/>
      <c r="D4154" s="638" t="s">
        <v>4459</v>
      </c>
      <c r="E4154" s="165"/>
      <c r="F4154" s="614"/>
      <c r="G4154" s="612" t="s">
        <v>2380</v>
      </c>
    </row>
    <row r="4155" spans="1:7" ht="20.100000000000001" customHeight="1" x14ac:dyDescent="0.2">
      <c r="A4155" s="681" t="str">
        <f t="shared" si="57"/>
        <v>1246  040.010.000  FEIRA DO PRODUTOR</v>
      </c>
      <c r="B4155" s="636">
        <v>1246</v>
      </c>
      <c r="C4155" s="614"/>
      <c r="D4155" s="638" t="s">
        <v>4460</v>
      </c>
      <c r="E4155" s="165"/>
      <c r="F4155" s="614"/>
      <c r="G4155" s="612" t="s">
        <v>4461</v>
      </c>
    </row>
    <row r="4156" spans="1:7" ht="20.100000000000001" customHeight="1" x14ac:dyDescent="0.2">
      <c r="A4156" s="681" t="str">
        <f t="shared" si="57"/>
        <v>1247  040.010.001  Material de Consumo</v>
      </c>
      <c r="B4156" s="636">
        <v>1247</v>
      </c>
      <c r="C4156" s="614"/>
      <c r="D4156" s="638" t="s">
        <v>4462</v>
      </c>
      <c r="E4156" s="165"/>
      <c r="F4156" s="614"/>
      <c r="G4156" s="612" t="s">
        <v>1955</v>
      </c>
    </row>
    <row r="4157" spans="1:7" ht="20.100000000000001" customHeight="1" x14ac:dyDescent="0.2">
      <c r="A4157" s="681" t="str">
        <f t="shared" si="57"/>
        <v>1248  040.010.002  Agua</v>
      </c>
      <c r="B4157" s="636">
        <v>1248</v>
      </c>
      <c r="C4157" s="614"/>
      <c r="D4157" s="638" t="s">
        <v>4463</v>
      </c>
      <c r="E4157" s="165"/>
      <c r="F4157" s="614"/>
      <c r="G4157" s="612" t="s">
        <v>2365</v>
      </c>
    </row>
    <row r="4158" spans="1:7" ht="20.100000000000001" customHeight="1" x14ac:dyDescent="0.2">
      <c r="A4158" s="681" t="str">
        <f t="shared" si="57"/>
        <v>1249  040.010.003  Energia Eletrica</v>
      </c>
      <c r="B4158" s="636">
        <v>1249</v>
      </c>
      <c r="C4158" s="614"/>
      <c r="D4158" s="638" t="s">
        <v>4464</v>
      </c>
      <c r="E4158" s="165"/>
      <c r="F4158" s="614"/>
      <c r="G4158" s="612" t="s">
        <v>3097</v>
      </c>
    </row>
    <row r="4159" spans="1:7" ht="20.100000000000001" customHeight="1" x14ac:dyDescent="0.2">
      <c r="A4159" s="681" t="str">
        <f t="shared" si="57"/>
        <v>1250  040.010.004  Telefone Fixo</v>
      </c>
      <c r="B4159" s="636">
        <v>1250</v>
      </c>
      <c r="C4159" s="614"/>
      <c r="D4159" s="638" t="s">
        <v>4465</v>
      </c>
      <c r="E4159" s="165"/>
      <c r="F4159" s="614"/>
      <c r="G4159" s="612" t="s">
        <v>1041</v>
      </c>
    </row>
    <row r="4160" spans="1:7" ht="20.100000000000001" customHeight="1" x14ac:dyDescent="0.2">
      <c r="A4160" s="681" t="str">
        <f t="shared" si="57"/>
        <v>1259  040.010.004  Assistência Tecnica</v>
      </c>
      <c r="B4160" s="636">
        <v>1259</v>
      </c>
      <c r="C4160" s="614"/>
      <c r="D4160" s="638" t="s">
        <v>4465</v>
      </c>
      <c r="E4160" s="165"/>
      <c r="F4160" s="614"/>
      <c r="G4160" s="612" t="s">
        <v>4466</v>
      </c>
    </row>
    <row r="4161" spans="1:7" ht="20.100000000000001" customHeight="1" x14ac:dyDescent="0.2">
      <c r="A4161" s="681" t="str">
        <f t="shared" si="57"/>
        <v>1251  040.010.005  Manutenção de Predio</v>
      </c>
      <c r="B4161" s="636">
        <v>1251</v>
      </c>
      <c r="C4161" s="614"/>
      <c r="D4161" s="638" t="s">
        <v>4467</v>
      </c>
      <c r="E4161" s="165"/>
      <c r="F4161" s="614"/>
      <c r="G4161" s="612" t="s">
        <v>4468</v>
      </c>
    </row>
    <row r="4162" spans="1:7" ht="20.100000000000001" customHeight="1" x14ac:dyDescent="0.2">
      <c r="A4162" s="681" t="str">
        <f t="shared" si="57"/>
        <v>1252  040.010.006  Serviços Pessoa Fisica</v>
      </c>
      <c r="B4162" s="636">
        <v>1252</v>
      </c>
      <c r="C4162" s="614"/>
      <c r="D4162" s="638" t="s">
        <v>4469</v>
      </c>
      <c r="E4162" s="165"/>
      <c r="F4162" s="614"/>
      <c r="G4162" s="612" t="s">
        <v>4470</v>
      </c>
    </row>
    <row r="4163" spans="1:7" ht="20.100000000000001" customHeight="1" x14ac:dyDescent="0.2">
      <c r="A4163" s="681" t="str">
        <f t="shared" si="57"/>
        <v>1253  040.010.007  Serviços Pessoa Juridica</v>
      </c>
      <c r="B4163" s="636">
        <v>1253</v>
      </c>
      <c r="C4163" s="614"/>
      <c r="D4163" s="638" t="s">
        <v>4471</v>
      </c>
      <c r="E4163" s="165"/>
      <c r="F4163" s="614"/>
      <c r="G4163" s="612" t="s">
        <v>4472</v>
      </c>
    </row>
    <row r="4164" spans="1:7" ht="20.100000000000001" customHeight="1" x14ac:dyDescent="0.2">
      <c r="A4164" s="681" t="str">
        <f t="shared" si="57"/>
        <v>1254  040.010.008  Geral</v>
      </c>
      <c r="B4164" s="636">
        <v>1254</v>
      </c>
      <c r="C4164" s="614"/>
      <c r="D4164" s="638" t="s">
        <v>4473</v>
      </c>
      <c r="E4164" s="165"/>
      <c r="F4164" s="614"/>
      <c r="G4164" s="612" t="s">
        <v>2380</v>
      </c>
    </row>
    <row r="4165" spans="1:7" ht="20.100000000000001" customHeight="1" x14ac:dyDescent="0.2">
      <c r="A4165" s="681" t="str">
        <f t="shared" si="57"/>
        <v>1378  040.010.009  Obras em Instalações - Feira do Produtor</v>
      </c>
      <c r="B4165" s="636">
        <v>1378</v>
      </c>
      <c r="C4165" s="614"/>
      <c r="D4165" s="638" t="s">
        <v>4474</v>
      </c>
      <c r="E4165" s="165"/>
      <c r="F4165" s="614"/>
      <c r="G4165" s="612" t="s">
        <v>4475</v>
      </c>
    </row>
    <row r="4166" spans="1:7" ht="20.100000000000001" customHeight="1" x14ac:dyDescent="0.2">
      <c r="A4166" s="681" t="str">
        <f t="shared" si="57"/>
        <v>1675  040.010.010  Devolucao de Saldo Convenio</v>
      </c>
      <c r="B4166" s="636">
        <v>1675</v>
      </c>
      <c r="C4166" s="614"/>
      <c r="D4166" s="638" t="s">
        <v>4476</v>
      </c>
      <c r="E4166" s="165"/>
      <c r="F4166" s="614"/>
      <c r="G4166" s="612" t="s">
        <v>4477</v>
      </c>
    </row>
    <row r="4167" spans="1:7" ht="20.100000000000001" customHeight="1" x14ac:dyDescent="0.2">
      <c r="A4167" s="681" t="str">
        <f t="shared" ref="A4167:A4235" si="58">CONCATENATE(B4167,"  ",D4167,"  ",G4167)</f>
        <v>1255  040.011.000  GESTÃO DO MEIO AMBIENTE</v>
      </c>
      <c r="B4167" s="636">
        <v>1255</v>
      </c>
      <c r="C4167" s="614"/>
      <c r="D4167" s="638" t="s">
        <v>4478</v>
      </c>
      <c r="E4167" s="165"/>
      <c r="F4167" s="614"/>
      <c r="G4167" s="612" t="s">
        <v>4479</v>
      </c>
    </row>
    <row r="4168" spans="1:7" ht="20.100000000000001" customHeight="1" x14ac:dyDescent="0.2">
      <c r="A4168" s="681" t="str">
        <f t="shared" si="58"/>
        <v>1256  040.011.001  Pessoal e Encargos Soc. - Serv. Efetivos</v>
      </c>
      <c r="B4168" s="636">
        <v>1256</v>
      </c>
      <c r="C4168" s="614"/>
      <c r="D4168" s="638" t="s">
        <v>4480</v>
      </c>
      <c r="E4168" s="165"/>
      <c r="F4168" s="614"/>
      <c r="G4168" s="612" t="s">
        <v>4317</v>
      </c>
    </row>
    <row r="4169" spans="1:7" ht="20.100000000000001" customHeight="1" x14ac:dyDescent="0.2">
      <c r="A4169" s="681" t="str">
        <f t="shared" si="58"/>
        <v>1257  040.011.002  Pessoal e Encargos Soc. - Serv. Contratados</v>
      </c>
      <c r="B4169" s="636">
        <v>1257</v>
      </c>
      <c r="C4169" s="614"/>
      <c r="D4169" s="638" t="s">
        <v>4481</v>
      </c>
      <c r="E4169" s="165"/>
      <c r="F4169" s="614"/>
      <c r="G4169" s="612" t="s">
        <v>4319</v>
      </c>
    </row>
    <row r="4170" spans="1:7" ht="20.100000000000001" customHeight="1" x14ac:dyDescent="0.2">
      <c r="A4170" s="681" t="str">
        <f t="shared" si="58"/>
        <v>1258  040.011.003  Pessoal e Encargos Soc. - Serv. C.C.</v>
      </c>
      <c r="B4170" s="636">
        <v>1258</v>
      </c>
      <c r="C4170" s="614"/>
      <c r="D4170" s="638" t="s">
        <v>4482</v>
      </c>
      <c r="E4170" s="165"/>
      <c r="F4170" s="614"/>
      <c r="G4170" s="612" t="s">
        <v>4410</v>
      </c>
    </row>
    <row r="4171" spans="1:7" ht="20.100000000000001" customHeight="1" x14ac:dyDescent="0.2">
      <c r="A4171" s="681" t="str">
        <f t="shared" si="58"/>
        <v>1260  040.011.005  Diárias Serv. Efetivos</v>
      </c>
      <c r="B4171" s="636">
        <v>1260</v>
      </c>
      <c r="C4171" s="614"/>
      <c r="D4171" s="638" t="s">
        <v>4483</v>
      </c>
      <c r="E4171" s="165"/>
      <c r="F4171" s="614"/>
      <c r="G4171" s="612" t="s">
        <v>3602</v>
      </c>
    </row>
    <row r="4172" spans="1:7" ht="20.100000000000001" customHeight="1" x14ac:dyDescent="0.2">
      <c r="A4172" s="681" t="str">
        <f t="shared" si="58"/>
        <v>1261  040.011.006  Diárias Serv. C.C.</v>
      </c>
      <c r="B4172" s="636">
        <v>1261</v>
      </c>
      <c r="C4172" s="614"/>
      <c r="D4172" s="638" t="s">
        <v>4484</v>
      </c>
      <c r="E4172" s="165"/>
      <c r="F4172" s="614"/>
      <c r="G4172" s="612" t="s">
        <v>3606</v>
      </c>
    </row>
    <row r="4173" spans="1:7" ht="20.100000000000001" customHeight="1" x14ac:dyDescent="0.2">
      <c r="A4173" s="681" t="str">
        <f t="shared" si="58"/>
        <v>1262  040.011.007  Diárias Serv.  Contratados</v>
      </c>
      <c r="B4173" s="636">
        <v>1262</v>
      </c>
      <c r="C4173" s="614"/>
      <c r="D4173" s="638" t="s">
        <v>4485</v>
      </c>
      <c r="E4173" s="165"/>
      <c r="F4173" s="614"/>
      <c r="G4173" s="612" t="s">
        <v>4486</v>
      </c>
    </row>
    <row r="4174" spans="1:7" ht="20.100000000000001" customHeight="1" x14ac:dyDescent="0.2">
      <c r="A4174" s="681" t="str">
        <f t="shared" si="58"/>
        <v>1263  040.011.008  Suprimentos de Informática e Impressão</v>
      </c>
      <c r="B4174" s="636">
        <v>1263</v>
      </c>
      <c r="C4174" s="614"/>
      <c r="D4174" s="638" t="s">
        <v>4487</v>
      </c>
      <c r="E4174" s="165"/>
      <c r="F4174" s="614"/>
      <c r="G4174" s="612" t="s">
        <v>4488</v>
      </c>
    </row>
    <row r="4175" spans="1:7" ht="20.100000000000001" customHeight="1" x14ac:dyDescent="0.2">
      <c r="A4175" s="681" t="str">
        <f t="shared" si="58"/>
        <v>1264  040.011.009  Material de Expediente</v>
      </c>
      <c r="B4175" s="636">
        <v>1264</v>
      </c>
      <c r="C4175" s="614"/>
      <c r="D4175" s="638" t="s">
        <v>4489</v>
      </c>
      <c r="E4175" s="165"/>
      <c r="F4175" s="614"/>
      <c r="G4175" s="612" t="s">
        <v>2346</v>
      </c>
    </row>
    <row r="4176" spans="1:7" ht="20.100000000000001" customHeight="1" x14ac:dyDescent="0.2">
      <c r="A4176" s="681" t="str">
        <f t="shared" si="58"/>
        <v>1265  040.011.010  Serviços P. Fisica</v>
      </c>
      <c r="B4176" s="636">
        <v>1265</v>
      </c>
      <c r="C4176" s="614"/>
      <c r="D4176" s="638" t="s">
        <v>4490</v>
      </c>
      <c r="E4176" s="165"/>
      <c r="F4176" s="614"/>
      <c r="G4176" s="612" t="s">
        <v>4196</v>
      </c>
    </row>
    <row r="4177" spans="1:7" ht="20.100000000000001" customHeight="1" x14ac:dyDescent="0.2">
      <c r="A4177" s="681" t="str">
        <f t="shared" si="58"/>
        <v>1266  040.011.011  Serviços P. Juridica</v>
      </c>
      <c r="B4177" s="636">
        <v>1266</v>
      </c>
      <c r="C4177" s="614"/>
      <c r="D4177" s="638" t="s">
        <v>4491</v>
      </c>
      <c r="E4177" s="165"/>
      <c r="F4177" s="614"/>
      <c r="G4177" s="612" t="s">
        <v>4169</v>
      </c>
    </row>
    <row r="4178" spans="1:7" ht="20.100000000000001" customHeight="1" x14ac:dyDescent="0.2">
      <c r="A4178" s="681" t="str">
        <f t="shared" si="58"/>
        <v>1267  040.011.012  Serviços Tecnicos Profissionais</v>
      </c>
      <c r="B4178" s="636">
        <v>1267</v>
      </c>
      <c r="C4178" s="614"/>
      <c r="D4178" s="638" t="s">
        <v>4492</v>
      </c>
      <c r="E4178" s="165"/>
      <c r="F4178" s="614"/>
      <c r="G4178" s="612" t="s">
        <v>3161</v>
      </c>
    </row>
    <row r="4179" spans="1:7" ht="20.100000000000001" customHeight="1" x14ac:dyDescent="0.2">
      <c r="A4179" s="681" t="str">
        <f t="shared" si="58"/>
        <v>1268  040.011.013  Recuperação de Areas Degradadas</v>
      </c>
      <c r="B4179" s="636">
        <v>1268</v>
      </c>
      <c r="C4179" s="614"/>
      <c r="D4179" s="638" t="s">
        <v>4493</v>
      </c>
      <c r="E4179" s="165"/>
      <c r="F4179" s="614"/>
      <c r="G4179" s="612" t="s">
        <v>4494</v>
      </c>
    </row>
    <row r="4180" spans="1:7" ht="20.100000000000001" customHeight="1" x14ac:dyDescent="0.2">
      <c r="A4180" s="681" t="str">
        <f t="shared" si="58"/>
        <v>1269  040.011.014  Preservação Ambiental</v>
      </c>
      <c r="B4180" s="636">
        <v>1269</v>
      </c>
      <c r="C4180" s="614"/>
      <c r="D4180" s="638" t="s">
        <v>4495</v>
      </c>
      <c r="E4180" s="165"/>
      <c r="F4180" s="614"/>
      <c r="G4180" s="612" t="s">
        <v>4496</v>
      </c>
    </row>
    <row r="4181" spans="1:7" ht="20.100000000000001" customHeight="1" x14ac:dyDescent="0.2">
      <c r="A4181" s="681" t="str">
        <f t="shared" si="58"/>
        <v>1270  040.011.015  Geral</v>
      </c>
      <c r="B4181" s="636">
        <v>1270</v>
      </c>
      <c r="C4181" s="614"/>
      <c r="D4181" s="638" t="s">
        <v>4497</v>
      </c>
      <c r="E4181" s="165"/>
      <c r="F4181" s="614"/>
      <c r="G4181" s="612" t="s">
        <v>2380</v>
      </c>
    </row>
    <row r="4182" spans="1:7" ht="20.100000000000001" customHeight="1" x14ac:dyDescent="0.2">
      <c r="A4182" s="681" t="str">
        <f t="shared" si="58"/>
        <v>1687  040.011.016  INSS S/ Prestacao de serviços de Pessoa Juridica e M.E.I</v>
      </c>
      <c r="B4182" s="636">
        <v>1687</v>
      </c>
      <c r="C4182" s="614"/>
      <c r="D4182" s="638" t="s">
        <v>4498</v>
      </c>
      <c r="E4182" s="165"/>
      <c r="F4182" s="614"/>
      <c r="G4182" s="612" t="s">
        <v>4499</v>
      </c>
    </row>
    <row r="4183" spans="1:7" ht="20.100000000000001" customHeight="1" x14ac:dyDescent="0.2">
      <c r="A4183" s="681" t="str">
        <f t="shared" si="58"/>
        <v>1636  040.012.000  Saneamento Básico Rural</v>
      </c>
      <c r="B4183" s="636">
        <v>1636</v>
      </c>
      <c r="C4183" s="614"/>
      <c r="D4183" s="638" t="s">
        <v>4500</v>
      </c>
      <c r="E4183" s="165"/>
      <c r="F4183" s="614"/>
      <c r="G4183" s="612" t="s">
        <v>691</v>
      </c>
    </row>
    <row r="4184" spans="1:7" ht="20.100000000000001" customHeight="1" x14ac:dyDescent="0.2">
      <c r="A4184" s="681" t="str">
        <f t="shared" si="58"/>
        <v>1637  040.012.001  Material P/Poço Artesiano - Capela Velha</v>
      </c>
      <c r="B4184" s="636">
        <v>1637</v>
      </c>
      <c r="C4184" s="614"/>
      <c r="D4184" s="638" t="s">
        <v>4501</v>
      </c>
      <c r="E4184" s="165"/>
      <c r="F4184" s="614"/>
      <c r="G4184" s="612" t="s">
        <v>4502</v>
      </c>
    </row>
    <row r="4185" spans="1:7" ht="20.100000000000001" customHeight="1" x14ac:dyDescent="0.2">
      <c r="A4185" s="681" t="str">
        <f t="shared" si="58"/>
        <v>1638  040.012.002  Prestação de Serviços  P/Poço Artesiano - Capela Velha</v>
      </c>
      <c r="B4185" s="636">
        <v>1638</v>
      </c>
      <c r="C4185" s="614"/>
      <c r="D4185" s="638" t="s">
        <v>4503</v>
      </c>
      <c r="E4185" s="165"/>
      <c r="F4185" s="614"/>
      <c r="G4185" s="612" t="s">
        <v>4504</v>
      </c>
    </row>
    <row r="4186" spans="1:7" ht="20.100000000000001" customHeight="1" x14ac:dyDescent="0.2">
      <c r="A4186" s="681" t="str">
        <f t="shared" si="58"/>
        <v>1652  040.012.003  Material P/ Poço Boa vista</v>
      </c>
      <c r="B4186" s="636">
        <v>1652</v>
      </c>
      <c r="C4186" s="614"/>
      <c r="D4186" s="638" t="s">
        <v>4505</v>
      </c>
      <c r="E4186" s="165"/>
      <c r="F4186" s="614"/>
      <c r="G4186" s="612" t="s">
        <v>4506</v>
      </c>
    </row>
    <row r="4187" spans="1:7" ht="20.100000000000001" customHeight="1" x14ac:dyDescent="0.2">
      <c r="A4187" s="681" t="str">
        <f t="shared" si="58"/>
        <v>1809  040.013.000  GESTAO DE SISTEMAS DE INFORMÁTICA E COMUNICACAO</v>
      </c>
      <c r="B4187" s="636">
        <v>1809</v>
      </c>
      <c r="C4187" s="614"/>
      <c r="D4187" s="698" t="s">
        <v>7422</v>
      </c>
      <c r="E4187" s="165"/>
      <c r="F4187" s="614"/>
      <c r="G4187" s="612" t="s">
        <v>2613</v>
      </c>
    </row>
    <row r="4188" spans="1:7" ht="20.100000000000001" customHeight="1" x14ac:dyDescent="0.2">
      <c r="A4188" s="681" t="str">
        <f>CONCATENATE(B4188,"  ",D4188,"  ",G4188)</f>
        <v>1810  040.014.000  CUSTO DE AQUISICAO DE MAQ., VEICULOS E IMPL. AGRICOLAS</v>
      </c>
      <c r="B4188" s="636">
        <v>1810</v>
      </c>
      <c r="C4188" s="614"/>
      <c r="D4188" s="698" t="s">
        <v>7456</v>
      </c>
      <c r="E4188" s="165"/>
      <c r="F4188" s="614"/>
      <c r="G4188" s="612" t="s">
        <v>7462</v>
      </c>
    </row>
    <row r="4189" spans="1:7" ht="20.100000000000001" customHeight="1" x14ac:dyDescent="0.2">
      <c r="A4189" s="681" t="str">
        <f>CONCATENATE(B4189,"  ",D4189,"  ",G4189)</f>
        <v>1811  040.015.000  MANUTENÇÃO MAQUINAS E IMPLEMNTOS DE CONVENIO COM ESTADO</v>
      </c>
      <c r="B4189" s="636">
        <v>1811</v>
      </c>
      <c r="C4189" s="614"/>
      <c r="D4189" s="698" t="s">
        <v>7505</v>
      </c>
      <c r="E4189" s="165"/>
      <c r="F4189" s="614"/>
      <c r="G4189" s="612" t="s">
        <v>7506</v>
      </c>
    </row>
    <row r="4190" spans="1:7" ht="20.100000000000001" customHeight="1" x14ac:dyDescent="0.2">
      <c r="A4190" s="681" t="str">
        <f>CONCATENATE(B4190,"  ",D4190,"  ",G4190)</f>
        <v>1813  040.016.000  GRUPO DE JOVENS RURAIS</v>
      </c>
      <c r="B4190" s="636">
        <v>1813</v>
      </c>
      <c r="C4190" s="614"/>
      <c r="D4190" s="698" t="s">
        <v>7586</v>
      </c>
      <c r="E4190" s="165"/>
      <c r="F4190" s="614"/>
      <c r="G4190" s="705" t="s">
        <v>7585</v>
      </c>
    </row>
    <row r="4191" spans="1:7" ht="20.100000000000001" customHeight="1" x14ac:dyDescent="0.2">
      <c r="A4191" s="681" t="str">
        <f>CONCATENATE(B4191,"  ",D4191,"  ",G4191)</f>
        <v>1814  040.017.000  IMPLANTAÇÃO E MANUTENCAO DE AGROINDUSTRIAS</v>
      </c>
      <c r="B4191" s="636">
        <v>1814</v>
      </c>
      <c r="C4191" s="614"/>
      <c r="D4191" s="698" t="s">
        <v>7605</v>
      </c>
      <c r="E4191" s="165"/>
      <c r="F4191" s="614"/>
      <c r="G4191" s="720" t="s">
        <v>7604</v>
      </c>
    </row>
    <row r="4192" spans="1:7" ht="20.100000000000001" customHeight="1" x14ac:dyDescent="0.2">
      <c r="A4192" s="681" t="str">
        <f t="shared" si="58"/>
        <v>1271  050.000.000  FUNDO DE HABITAÇÃO DE INTERESSE SOCIAL</v>
      </c>
      <c r="B4192" s="636">
        <v>1271</v>
      </c>
      <c r="C4192" s="614"/>
      <c r="D4192" s="638" t="s">
        <v>4507</v>
      </c>
      <c r="E4192" s="165"/>
      <c r="F4192" s="614"/>
      <c r="G4192" s="612" t="s">
        <v>141</v>
      </c>
    </row>
    <row r="4193" spans="1:7" ht="20.100000000000001" customHeight="1" x14ac:dyDescent="0.2">
      <c r="A4193" s="681" t="str">
        <f t="shared" si="58"/>
        <v>1272  050.001.000  GESTÃO, COORD. DO FUNDO DE HABITAÇÃO DE INTERESSE SOCIAL</v>
      </c>
      <c r="B4193" s="636">
        <v>1272</v>
      </c>
      <c r="C4193" s="614"/>
      <c r="D4193" s="638" t="s">
        <v>4508</v>
      </c>
      <c r="E4193" s="165"/>
      <c r="F4193" s="614"/>
      <c r="G4193" s="612" t="s">
        <v>4509</v>
      </c>
    </row>
    <row r="4194" spans="1:7" ht="20.100000000000001" customHeight="1" x14ac:dyDescent="0.2">
      <c r="A4194" s="681" t="str">
        <f t="shared" si="58"/>
        <v>1273  050.001.001  Construção de Casas Populares</v>
      </c>
      <c r="B4194" s="636">
        <v>1273</v>
      </c>
      <c r="C4194" s="614"/>
      <c r="D4194" s="638" t="s">
        <v>4510</v>
      </c>
      <c r="E4194" s="165"/>
      <c r="F4194" s="614"/>
      <c r="G4194" s="612" t="s">
        <v>4511</v>
      </c>
    </row>
    <row r="4195" spans="1:7" ht="20.100000000000001" customHeight="1" x14ac:dyDescent="0.2">
      <c r="A4195" s="681" t="str">
        <f t="shared" si="58"/>
        <v>1274  050.001.002  Melhorias Residenciais</v>
      </c>
      <c r="B4195" s="636">
        <v>1274</v>
      </c>
      <c r="C4195" s="614"/>
      <c r="D4195" s="638" t="s">
        <v>4512</v>
      </c>
      <c r="E4195" s="165"/>
      <c r="F4195" s="614"/>
      <c r="G4195" s="612" t="s">
        <v>4513</v>
      </c>
    </row>
    <row r="4196" spans="1:7" ht="20.100000000000001" customHeight="1" x14ac:dyDescent="0.2">
      <c r="A4196" s="681" t="str">
        <f t="shared" si="58"/>
        <v>1275  050.001.003  Geral</v>
      </c>
      <c r="B4196" s="636">
        <v>1275</v>
      </c>
      <c r="C4196" s="614"/>
      <c r="D4196" s="638" t="s">
        <v>4514</v>
      </c>
      <c r="E4196" s="165"/>
      <c r="F4196" s="614"/>
      <c r="G4196" s="612" t="s">
        <v>2380</v>
      </c>
    </row>
    <row r="4197" spans="1:7" ht="20.100000000000001" customHeight="1" x14ac:dyDescent="0.2">
      <c r="A4197" s="681" t="str">
        <f t="shared" si="58"/>
        <v>1276  060.000.000  SECRETARIA MUNICIPAL DE ASSISTÊNCIA SOCIAL</v>
      </c>
      <c r="B4197" s="636">
        <v>1276</v>
      </c>
      <c r="C4197" s="614"/>
      <c r="D4197" s="638" t="s">
        <v>4515</v>
      </c>
      <c r="E4197" s="165"/>
      <c r="F4197" s="614"/>
      <c r="G4197" s="612" t="s">
        <v>920</v>
      </c>
    </row>
    <row r="4198" spans="1:7" ht="20.100000000000001" customHeight="1" x14ac:dyDescent="0.2">
      <c r="A4198" s="681" t="str">
        <f t="shared" si="58"/>
        <v>1277  060.001.000  PESSOAL E ENCARGOS SOCIAIS</v>
      </c>
      <c r="B4198" s="636">
        <v>1277</v>
      </c>
      <c r="C4198" s="614"/>
      <c r="D4198" s="638" t="s">
        <v>4516</v>
      </c>
      <c r="E4198" s="165"/>
      <c r="F4198" s="614"/>
      <c r="G4198" s="612" t="s">
        <v>2393</v>
      </c>
    </row>
    <row r="4199" spans="1:7" ht="20.100000000000001" customHeight="1" x14ac:dyDescent="0.2">
      <c r="A4199" s="681" t="str">
        <f t="shared" si="58"/>
        <v>1278  060.001.001  Servidores Efetivos</v>
      </c>
      <c r="B4199" s="636">
        <v>1278</v>
      </c>
      <c r="C4199" s="614"/>
      <c r="D4199" s="638" t="s">
        <v>4517</v>
      </c>
      <c r="E4199" s="165"/>
      <c r="F4199" s="614"/>
      <c r="G4199" s="612" t="s">
        <v>2141</v>
      </c>
    </row>
    <row r="4200" spans="1:7" ht="20.100000000000001" customHeight="1" x14ac:dyDescent="0.2">
      <c r="A4200" s="681" t="str">
        <f t="shared" si="58"/>
        <v>1279  060.001.002  Servidores Contratados</v>
      </c>
      <c r="B4200" s="636">
        <v>1279</v>
      </c>
      <c r="C4200" s="614"/>
      <c r="D4200" s="638" t="s">
        <v>4518</v>
      </c>
      <c r="E4200" s="165"/>
      <c r="F4200" s="614"/>
      <c r="G4200" s="612" t="s">
        <v>2396</v>
      </c>
    </row>
    <row r="4201" spans="1:7" ht="20.100000000000001" customHeight="1" x14ac:dyDescent="0.2">
      <c r="A4201" s="681" t="str">
        <f t="shared" si="58"/>
        <v>1282  060.001.002  F.G.</v>
      </c>
      <c r="B4201" s="636">
        <v>1282</v>
      </c>
      <c r="C4201" s="614"/>
      <c r="D4201" s="638" t="s">
        <v>4518</v>
      </c>
      <c r="E4201" s="165"/>
      <c r="F4201" s="614"/>
      <c r="G4201" s="612" t="s">
        <v>4254</v>
      </c>
    </row>
    <row r="4202" spans="1:7" ht="20.100000000000001" customHeight="1" x14ac:dyDescent="0.2">
      <c r="A4202" s="681" t="str">
        <f t="shared" si="58"/>
        <v>1280  060.001.003  Servidores C.C.</v>
      </c>
      <c r="B4202" s="636">
        <v>1280</v>
      </c>
      <c r="C4202" s="614"/>
      <c r="D4202" s="638" t="s">
        <v>4519</v>
      </c>
      <c r="E4202" s="165"/>
      <c r="F4202" s="614"/>
      <c r="G4202" s="612" t="s">
        <v>2142</v>
      </c>
    </row>
    <row r="4203" spans="1:7" ht="20.100000000000001" customHeight="1" x14ac:dyDescent="0.2">
      <c r="A4203" s="681" t="str">
        <f t="shared" si="58"/>
        <v>1281  060.001.004  Agente Politico</v>
      </c>
      <c r="B4203" s="636">
        <v>1281</v>
      </c>
      <c r="C4203" s="614"/>
      <c r="D4203" s="638" t="s">
        <v>4520</v>
      </c>
      <c r="E4203" s="165"/>
      <c r="F4203" s="614"/>
      <c r="G4203" s="612" t="s">
        <v>2399</v>
      </c>
    </row>
    <row r="4204" spans="1:7" ht="20.100000000000001" customHeight="1" x14ac:dyDescent="0.2">
      <c r="A4204" s="681" t="str">
        <f t="shared" si="58"/>
        <v>1537  060.001.005  Hora Extra Servidores Efetivos</v>
      </c>
      <c r="B4204" s="636">
        <v>1537</v>
      </c>
      <c r="C4204" s="614"/>
      <c r="D4204" s="638" t="s">
        <v>4521</v>
      </c>
      <c r="E4204" s="165"/>
      <c r="F4204" s="614"/>
      <c r="G4204" s="612" t="s">
        <v>3880</v>
      </c>
    </row>
    <row r="4205" spans="1:7" ht="20.100000000000001" customHeight="1" x14ac:dyDescent="0.2">
      <c r="A4205" s="681" t="str">
        <f t="shared" si="58"/>
        <v>1538  060.001.006  Hora Extra Servidores Contratados</v>
      </c>
      <c r="B4205" s="636">
        <v>1538</v>
      </c>
      <c r="C4205" s="614"/>
      <c r="D4205" s="638" t="s">
        <v>4522</v>
      </c>
      <c r="E4205" s="165"/>
      <c r="F4205" s="614"/>
      <c r="G4205" s="612" t="s">
        <v>3882</v>
      </c>
    </row>
    <row r="4206" spans="1:7" ht="20.100000000000001" customHeight="1" x14ac:dyDescent="0.2">
      <c r="A4206" s="681" t="str">
        <f t="shared" si="58"/>
        <v>1283  060.002.000  ADMINISTRATIVO</v>
      </c>
      <c r="B4206" s="636">
        <v>1283</v>
      </c>
      <c r="C4206" s="614"/>
      <c r="D4206" s="638" t="s">
        <v>4523</v>
      </c>
      <c r="E4206" s="165"/>
      <c r="F4206" s="614"/>
      <c r="G4206" s="612" t="s">
        <v>3600</v>
      </c>
    </row>
    <row r="4207" spans="1:7" ht="20.100000000000001" customHeight="1" x14ac:dyDescent="0.2">
      <c r="A4207" s="681" t="str">
        <f t="shared" si="58"/>
        <v>1284  060.002.001  Diárias Serv. Efetivos</v>
      </c>
      <c r="B4207" s="636">
        <v>1284</v>
      </c>
      <c r="C4207" s="614"/>
      <c r="D4207" s="638" t="s">
        <v>4524</v>
      </c>
      <c r="E4207" s="165"/>
      <c r="F4207" s="614"/>
      <c r="G4207" s="612" t="s">
        <v>3602</v>
      </c>
    </row>
    <row r="4208" spans="1:7" ht="20.100000000000001" customHeight="1" x14ac:dyDescent="0.2">
      <c r="A4208" s="681" t="str">
        <f t="shared" si="58"/>
        <v>1285  060.002.002  Diárias Serv. Contratados</v>
      </c>
      <c r="B4208" s="636">
        <v>1285</v>
      </c>
      <c r="C4208" s="614"/>
      <c r="D4208" s="638" t="s">
        <v>4525</v>
      </c>
      <c r="E4208" s="165"/>
      <c r="F4208" s="614"/>
      <c r="G4208" s="612" t="s">
        <v>3604</v>
      </c>
    </row>
    <row r="4209" spans="1:7" ht="20.100000000000001" customHeight="1" x14ac:dyDescent="0.2">
      <c r="A4209" s="681" t="str">
        <f t="shared" si="58"/>
        <v>1286  060.002.003  Diárias Serv. C.C.</v>
      </c>
      <c r="B4209" s="636">
        <v>1286</v>
      </c>
      <c r="C4209" s="614"/>
      <c r="D4209" s="638" t="s">
        <v>4526</v>
      </c>
      <c r="E4209" s="165"/>
      <c r="F4209" s="614"/>
      <c r="G4209" s="612" t="s">
        <v>3606</v>
      </c>
    </row>
    <row r="4210" spans="1:7" ht="20.100000000000001" customHeight="1" x14ac:dyDescent="0.2">
      <c r="A4210" s="681" t="str">
        <f t="shared" si="58"/>
        <v>1287  060.002.004  Diárias Agente Politico</v>
      </c>
      <c r="B4210" s="636">
        <v>1287</v>
      </c>
      <c r="C4210" s="614"/>
      <c r="D4210" s="638" t="s">
        <v>4527</v>
      </c>
      <c r="E4210" s="165"/>
      <c r="F4210" s="614"/>
      <c r="G4210" s="612" t="s">
        <v>2338</v>
      </c>
    </row>
    <row r="4211" spans="1:7" ht="20.100000000000001" customHeight="1" x14ac:dyDescent="0.2">
      <c r="A4211" s="681" t="str">
        <f t="shared" si="58"/>
        <v>1288  060.002.005  Gas de Cozinha</v>
      </c>
      <c r="B4211" s="636">
        <v>1288</v>
      </c>
      <c r="C4211" s="614"/>
      <c r="D4211" s="638" t="s">
        <v>4528</v>
      </c>
      <c r="E4211" s="165"/>
      <c r="F4211" s="614"/>
      <c r="G4211" s="612" t="s">
        <v>2342</v>
      </c>
    </row>
    <row r="4212" spans="1:7" ht="20.100000000000001" customHeight="1" x14ac:dyDescent="0.2">
      <c r="A4212" s="681" t="str">
        <f t="shared" si="58"/>
        <v>1289  060.002.006  Generos Alimenticios</v>
      </c>
      <c r="B4212" s="636">
        <v>1289</v>
      </c>
      <c r="C4212" s="614"/>
      <c r="D4212" s="638" t="s">
        <v>4529</v>
      </c>
      <c r="E4212" s="165"/>
      <c r="F4212" s="614"/>
      <c r="G4212" s="612" t="s">
        <v>2340</v>
      </c>
    </row>
    <row r="4213" spans="1:7" ht="20.100000000000001" customHeight="1" x14ac:dyDescent="0.2">
      <c r="A4213" s="681" t="str">
        <f t="shared" si="58"/>
        <v>1290  060.002.007  Material de Limpeza e Higiene</v>
      </c>
      <c r="B4213" s="636">
        <v>1290</v>
      </c>
      <c r="C4213" s="614"/>
      <c r="D4213" s="638" t="s">
        <v>4530</v>
      </c>
      <c r="E4213" s="165"/>
      <c r="F4213" s="614"/>
      <c r="G4213" s="612" t="s">
        <v>2569</v>
      </c>
    </row>
    <row r="4214" spans="1:7" ht="20.100000000000001" customHeight="1" x14ac:dyDescent="0.2">
      <c r="A4214" s="681" t="str">
        <f t="shared" si="58"/>
        <v>1291  060.002.008  Suprimentos de Informática/Impressão</v>
      </c>
      <c r="B4214" s="636">
        <v>1291</v>
      </c>
      <c r="C4214" s="614"/>
      <c r="D4214" s="638" t="s">
        <v>4531</v>
      </c>
      <c r="E4214" s="165"/>
      <c r="F4214" s="614"/>
      <c r="G4214" s="612" t="s">
        <v>4265</v>
      </c>
    </row>
    <row r="4215" spans="1:7" ht="20.100000000000001" customHeight="1" x14ac:dyDescent="0.2">
      <c r="A4215" s="681" t="str">
        <f t="shared" si="58"/>
        <v>1292  060.002.009  Material de Expediente</v>
      </c>
      <c r="B4215" s="636">
        <v>1292</v>
      </c>
      <c r="C4215" s="614"/>
      <c r="D4215" s="638" t="s">
        <v>4532</v>
      </c>
      <c r="E4215" s="165"/>
      <c r="F4215" s="614"/>
      <c r="G4215" s="612" t="s">
        <v>2346</v>
      </c>
    </row>
    <row r="4216" spans="1:7" ht="20.100000000000001" customHeight="1" x14ac:dyDescent="0.2">
      <c r="A4216" s="681" t="str">
        <f t="shared" si="58"/>
        <v>1293  060.002.010  Material para Manutenção de Prédios</v>
      </c>
      <c r="B4216" s="636">
        <v>1293</v>
      </c>
      <c r="C4216" s="614"/>
      <c r="D4216" s="638" t="s">
        <v>4533</v>
      </c>
      <c r="E4216" s="165"/>
      <c r="F4216" s="614"/>
      <c r="G4216" s="612" t="s">
        <v>4534</v>
      </c>
    </row>
    <row r="4217" spans="1:7" ht="20.100000000000001" customHeight="1" x14ac:dyDescent="0.2">
      <c r="A4217" s="681" t="str">
        <f t="shared" si="58"/>
        <v>1294  060.002.011  Material para Manutenção de Bens Móveis</v>
      </c>
      <c r="B4217" s="636">
        <v>1294</v>
      </c>
      <c r="C4217" s="614"/>
      <c r="D4217" s="638" t="s">
        <v>4535</v>
      </c>
      <c r="E4217" s="165"/>
      <c r="F4217" s="614"/>
      <c r="G4217" s="612" t="s">
        <v>4536</v>
      </c>
    </row>
    <row r="4218" spans="1:7" ht="20.100000000000001" customHeight="1" x14ac:dyDescent="0.2">
      <c r="A4218" s="681" t="str">
        <f t="shared" si="58"/>
        <v>1295  060.002.012  Energia Eletrica</v>
      </c>
      <c r="B4218" s="636">
        <v>1295</v>
      </c>
      <c r="C4218" s="614"/>
      <c r="D4218" s="638" t="s">
        <v>4537</v>
      </c>
      <c r="E4218" s="165"/>
      <c r="F4218" s="614"/>
      <c r="G4218" s="612" t="s">
        <v>3097</v>
      </c>
    </row>
    <row r="4219" spans="1:7" ht="20.100000000000001" customHeight="1" x14ac:dyDescent="0.2">
      <c r="A4219" s="681" t="str">
        <f t="shared" si="58"/>
        <v>1296  060.002.013  Agua</v>
      </c>
      <c r="B4219" s="636">
        <v>1296</v>
      </c>
      <c r="C4219" s="614"/>
      <c r="D4219" s="638" t="s">
        <v>4538</v>
      </c>
      <c r="E4219" s="165"/>
      <c r="F4219" s="614"/>
      <c r="G4219" s="612" t="s">
        <v>2365</v>
      </c>
    </row>
    <row r="4220" spans="1:7" ht="20.100000000000001" customHeight="1" x14ac:dyDescent="0.2">
      <c r="A4220" s="681" t="str">
        <f t="shared" si="58"/>
        <v>1297  060.002.014  Internet</v>
      </c>
      <c r="B4220" s="636">
        <v>1297</v>
      </c>
      <c r="C4220" s="614"/>
      <c r="D4220" s="638" t="s">
        <v>4539</v>
      </c>
      <c r="E4220" s="165"/>
      <c r="F4220" s="614"/>
      <c r="G4220" s="612" t="s">
        <v>2371</v>
      </c>
    </row>
    <row r="4221" spans="1:7" ht="20.100000000000001" customHeight="1" x14ac:dyDescent="0.2">
      <c r="A4221" s="681" t="str">
        <f t="shared" si="58"/>
        <v>1298  060.002.015  Telefone Fixo</v>
      </c>
      <c r="B4221" s="636">
        <v>1298</v>
      </c>
      <c r="C4221" s="614"/>
      <c r="D4221" s="638" t="s">
        <v>4540</v>
      </c>
      <c r="E4221" s="165"/>
      <c r="F4221" s="614"/>
      <c r="G4221" s="612" t="s">
        <v>1041</v>
      </c>
    </row>
    <row r="4222" spans="1:7" ht="20.100000000000001" customHeight="1" x14ac:dyDescent="0.2">
      <c r="A4222" s="681" t="str">
        <f t="shared" si="58"/>
        <v>1299  060.002.016  Telefone Celular</v>
      </c>
      <c r="B4222" s="636">
        <v>1299</v>
      </c>
      <c r="C4222" s="614"/>
      <c r="D4222" s="638" t="s">
        <v>4541</v>
      </c>
      <c r="E4222" s="165"/>
      <c r="F4222" s="614"/>
      <c r="G4222" s="612" t="s">
        <v>1150</v>
      </c>
    </row>
    <row r="4223" spans="1:7" ht="20.100000000000001" customHeight="1" x14ac:dyDescent="0.2">
      <c r="A4223" s="681" t="str">
        <f t="shared" si="58"/>
        <v>1300  060.002.017  Manutenção de Eq. Informática/Impressão</v>
      </c>
      <c r="B4223" s="636">
        <v>1300</v>
      </c>
      <c r="C4223" s="614"/>
      <c r="D4223" s="638" t="s">
        <v>4542</v>
      </c>
      <c r="E4223" s="165"/>
      <c r="F4223" s="614"/>
      <c r="G4223" s="612" t="s">
        <v>4185</v>
      </c>
    </row>
    <row r="4224" spans="1:7" ht="20.100000000000001" customHeight="1" x14ac:dyDescent="0.2">
      <c r="A4224" s="681" t="str">
        <f t="shared" si="58"/>
        <v>1301  060.002.018  Manutenção de Bens Moveis e Utensilios</v>
      </c>
      <c r="B4224" s="636">
        <v>1301</v>
      </c>
      <c r="C4224" s="614"/>
      <c r="D4224" s="638" t="s">
        <v>4543</v>
      </c>
      <c r="E4224" s="165"/>
      <c r="F4224" s="614"/>
      <c r="G4224" s="612" t="s">
        <v>4544</v>
      </c>
    </row>
    <row r="4225" spans="1:7" ht="20.100000000000001" customHeight="1" x14ac:dyDescent="0.2">
      <c r="A4225" s="681" t="str">
        <f t="shared" si="58"/>
        <v>1302  060.002.019  Seleção e Treinamento</v>
      </c>
      <c r="B4225" s="636">
        <v>1302</v>
      </c>
      <c r="C4225" s="614"/>
      <c r="D4225" s="638" t="s">
        <v>4545</v>
      </c>
      <c r="E4225" s="165"/>
      <c r="F4225" s="614"/>
      <c r="G4225" s="612" t="s">
        <v>2369</v>
      </c>
    </row>
    <row r="4226" spans="1:7" ht="20.100000000000001" customHeight="1" x14ac:dyDescent="0.2">
      <c r="A4226" s="681" t="str">
        <f t="shared" si="58"/>
        <v>1303  060.002.020  Serviços Tecnicos e Profissionais</v>
      </c>
      <c r="B4226" s="636">
        <v>1303</v>
      </c>
      <c r="C4226" s="614"/>
      <c r="D4226" s="638" t="s">
        <v>4546</v>
      </c>
      <c r="E4226" s="165"/>
      <c r="F4226" s="614"/>
      <c r="G4226" s="612" t="s">
        <v>3088</v>
      </c>
    </row>
    <row r="4227" spans="1:7" ht="20.100000000000001" customHeight="1" x14ac:dyDescent="0.2">
      <c r="A4227" s="681" t="str">
        <f t="shared" si="58"/>
        <v>1304  060.002.021  Serviços P. Fisica</v>
      </c>
      <c r="B4227" s="636">
        <v>1304</v>
      </c>
      <c r="C4227" s="614"/>
      <c r="D4227" s="638" t="s">
        <v>4547</v>
      </c>
      <c r="E4227" s="165"/>
      <c r="F4227" s="614"/>
      <c r="G4227" s="612" t="s">
        <v>4196</v>
      </c>
    </row>
    <row r="4228" spans="1:7" ht="20.100000000000001" customHeight="1" x14ac:dyDescent="0.2">
      <c r="A4228" s="681" t="str">
        <f t="shared" si="58"/>
        <v>1306  060.002.023  Auxilio Alimentação</v>
      </c>
      <c r="B4228" s="636">
        <v>1306</v>
      </c>
      <c r="C4228" s="614"/>
      <c r="D4228" s="638" t="s">
        <v>4548</v>
      </c>
      <c r="E4228" s="165"/>
      <c r="F4228" s="614"/>
      <c r="G4228" s="612" t="s">
        <v>2524</v>
      </c>
    </row>
    <row r="4229" spans="1:7" ht="20.100000000000001" customHeight="1" x14ac:dyDescent="0.2">
      <c r="A4229" s="681" t="str">
        <f t="shared" si="58"/>
        <v>1307  060.002.024  Auxilio Transporte</v>
      </c>
      <c r="B4229" s="636">
        <v>1307</v>
      </c>
      <c r="C4229" s="614"/>
      <c r="D4229" s="638" t="s">
        <v>4549</v>
      </c>
      <c r="E4229" s="165"/>
      <c r="F4229" s="614"/>
      <c r="G4229" s="612" t="s">
        <v>2462</v>
      </c>
    </row>
    <row r="4230" spans="1:7" ht="20.100000000000001" customHeight="1" x14ac:dyDescent="0.2">
      <c r="A4230" s="681" t="str">
        <f t="shared" si="58"/>
        <v>1308  060.002.025  Locação de Imóveis</v>
      </c>
      <c r="B4230" s="636">
        <v>1308</v>
      </c>
      <c r="C4230" s="614"/>
      <c r="D4230" s="638" t="s">
        <v>4550</v>
      </c>
      <c r="E4230" s="165"/>
      <c r="F4230" s="614"/>
      <c r="G4230" s="612" t="s">
        <v>2227</v>
      </c>
    </row>
    <row r="4231" spans="1:7" ht="20.100000000000001" customHeight="1" x14ac:dyDescent="0.2">
      <c r="A4231" s="681" t="str">
        <f t="shared" si="58"/>
        <v>1309  060.002.026  Estagiários</v>
      </c>
      <c r="B4231" s="636">
        <v>1309</v>
      </c>
      <c r="C4231" s="614"/>
      <c r="D4231" s="638" t="s">
        <v>4551</v>
      </c>
      <c r="E4231" s="165"/>
      <c r="F4231" s="614"/>
      <c r="G4231" s="612" t="s">
        <v>2449</v>
      </c>
    </row>
    <row r="4232" spans="1:7" ht="20.100000000000001" customHeight="1" x14ac:dyDescent="0.2">
      <c r="A4232" s="681" t="str">
        <f t="shared" si="58"/>
        <v>1465  060.002.027  Plano de Saúde</v>
      </c>
      <c r="B4232" s="636">
        <v>1465</v>
      </c>
      <c r="C4232" s="614"/>
      <c r="D4232" s="638" t="s">
        <v>4552</v>
      </c>
      <c r="E4232" s="165"/>
      <c r="F4232" s="614"/>
      <c r="G4232" s="612" t="s">
        <v>4553</v>
      </c>
    </row>
    <row r="4233" spans="1:7" ht="20.100000000000001" customHeight="1" x14ac:dyDescent="0.2">
      <c r="A4233" s="681" t="str">
        <f t="shared" si="58"/>
        <v>1490  060.002.028  Agua Mineral</v>
      </c>
      <c r="B4233" s="636">
        <v>1490</v>
      </c>
      <c r="C4233" s="614"/>
      <c r="D4233" s="638" t="s">
        <v>4554</v>
      </c>
      <c r="E4233" s="165"/>
      <c r="F4233" s="614"/>
      <c r="G4233" s="612" t="s">
        <v>2527</v>
      </c>
    </row>
    <row r="4234" spans="1:7" ht="20.100000000000001" customHeight="1" x14ac:dyDescent="0.2">
      <c r="A4234" s="681" t="str">
        <f t="shared" si="58"/>
        <v>1310  060.004.000  CUSTO DE AQUISIÇÃO DE BENS MÓVEIS E IMÓVEIS</v>
      </c>
      <c r="B4234" s="636">
        <v>1310</v>
      </c>
      <c r="C4234" s="614"/>
      <c r="D4234" s="638" t="s">
        <v>4555</v>
      </c>
      <c r="E4234" s="165"/>
      <c r="F4234" s="614"/>
      <c r="G4234" s="612" t="s">
        <v>4556</v>
      </c>
    </row>
    <row r="4235" spans="1:7" ht="20.100000000000001" customHeight="1" x14ac:dyDescent="0.2">
      <c r="A4235" s="681" t="str">
        <f t="shared" si="58"/>
        <v>1311  060.004.001  Custo de Aquisição de Bens Móveis e Imóveis: Informática</v>
      </c>
      <c r="B4235" s="636">
        <v>1311</v>
      </c>
      <c r="C4235" s="614"/>
      <c r="D4235" s="638" t="s">
        <v>4557</v>
      </c>
      <c r="E4235" s="165"/>
      <c r="F4235" s="614"/>
      <c r="G4235" s="612" t="s">
        <v>4558</v>
      </c>
    </row>
    <row r="4236" spans="1:7" ht="20.100000000000001" customHeight="1" x14ac:dyDescent="0.2">
      <c r="A4236" s="681" t="str">
        <f t="shared" ref="A4236:A4299" si="59">CONCATENATE(B4236,"  ",D4236,"  ",G4236)</f>
        <v>1312  060.004.002  Custo de Aquisição de Bens Móveis e Imóveis: Mobiliário</v>
      </c>
      <c r="B4236" s="636">
        <v>1312</v>
      </c>
      <c r="C4236" s="614"/>
      <c r="D4236" s="638" t="s">
        <v>4559</v>
      </c>
      <c r="E4236" s="165"/>
      <c r="F4236" s="614"/>
      <c r="G4236" s="612" t="s">
        <v>4560</v>
      </c>
    </row>
    <row r="4237" spans="1:7" ht="20.100000000000001" customHeight="1" x14ac:dyDescent="0.2">
      <c r="A4237" s="681" t="str">
        <f t="shared" si="59"/>
        <v>1313  060.004.003  Custo de Aquisição de Bens Móveis e Imóveis: Eq. Comunicação</v>
      </c>
      <c r="B4237" s="636">
        <v>1313</v>
      </c>
      <c r="C4237" s="614"/>
      <c r="D4237" s="638" t="s">
        <v>4561</v>
      </c>
      <c r="E4237" s="165"/>
      <c r="F4237" s="614"/>
      <c r="G4237" s="612" t="s">
        <v>4562</v>
      </c>
    </row>
    <row r="4238" spans="1:7" ht="20.100000000000001" customHeight="1" x14ac:dyDescent="0.2">
      <c r="A4238" s="681" t="str">
        <f t="shared" si="59"/>
        <v>1314  060.004.004  Custo de Aquisição de Bens Móveis e Imóveis: Ar Condicionado</v>
      </c>
      <c r="B4238" s="636">
        <v>1314</v>
      </c>
      <c r="C4238" s="614"/>
      <c r="D4238" s="638" t="s">
        <v>4563</v>
      </c>
      <c r="E4238" s="165"/>
      <c r="F4238" s="614"/>
      <c r="G4238" s="612" t="s">
        <v>4564</v>
      </c>
    </row>
    <row r="4239" spans="1:7" ht="20.100000000000001" customHeight="1" x14ac:dyDescent="0.2">
      <c r="A4239" s="681" t="str">
        <f t="shared" si="59"/>
        <v>1315  060.004.005  Custo de Aquisição de Bens Móveis e Imóveis: Equip. e Utensilios Dom.</v>
      </c>
      <c r="B4239" s="636">
        <v>1315</v>
      </c>
      <c r="C4239" s="614"/>
      <c r="D4239" s="638" t="s">
        <v>4565</v>
      </c>
      <c r="E4239" s="165"/>
      <c r="F4239" s="614"/>
      <c r="G4239" s="612" t="s">
        <v>4566</v>
      </c>
    </row>
    <row r="4240" spans="1:7" ht="20.100000000000001" customHeight="1" x14ac:dyDescent="0.2">
      <c r="A4240" s="681" t="str">
        <f t="shared" si="59"/>
        <v>1316  060.004.006  Custo de Aquisição de Veiculos</v>
      </c>
      <c r="B4240" s="636">
        <v>1316</v>
      </c>
      <c r="C4240" s="614"/>
      <c r="D4240" s="638" t="s">
        <v>4567</v>
      </c>
      <c r="E4240" s="165"/>
      <c r="F4240" s="614"/>
      <c r="G4240" s="612" t="s">
        <v>3132</v>
      </c>
    </row>
    <row r="4241" spans="1:7" ht="20.100000000000001" customHeight="1" x14ac:dyDescent="0.2">
      <c r="A4241" s="681" t="str">
        <f t="shared" si="59"/>
        <v>1317  060.005.000  MANUTENÇÃO DE VEICULOS</v>
      </c>
      <c r="B4241" s="636">
        <v>1317</v>
      </c>
      <c r="C4241" s="614"/>
      <c r="D4241" s="638" t="s">
        <v>4568</v>
      </c>
      <c r="E4241" s="165"/>
      <c r="F4241" s="614"/>
      <c r="G4241" s="612" t="s">
        <v>3130</v>
      </c>
    </row>
    <row r="4242" spans="1:7" ht="20.100000000000001" customHeight="1" x14ac:dyDescent="0.2">
      <c r="A4242" s="681" t="str">
        <f t="shared" si="59"/>
        <v>1318  060.005.001  Combustivel Veiculo IRY 2027</v>
      </c>
      <c r="B4242" s="636">
        <v>1318</v>
      </c>
      <c r="C4242" s="614"/>
      <c r="D4242" s="638" t="s">
        <v>4569</v>
      </c>
      <c r="E4242" s="165"/>
      <c r="F4242" s="614"/>
      <c r="G4242" s="612" t="s">
        <v>4570</v>
      </c>
    </row>
    <row r="4243" spans="1:7" ht="20.100000000000001" customHeight="1" x14ac:dyDescent="0.2">
      <c r="A4243" s="681" t="str">
        <f t="shared" si="59"/>
        <v>1320  060.005.003  Lubrificante Veiculo IRY 2027</v>
      </c>
      <c r="B4243" s="636">
        <v>1320</v>
      </c>
      <c r="C4243" s="614"/>
      <c r="D4243" s="638" t="s">
        <v>4571</v>
      </c>
      <c r="E4243" s="165"/>
      <c r="F4243" s="614"/>
      <c r="G4243" s="612" t="s">
        <v>4572</v>
      </c>
    </row>
    <row r="4244" spans="1:7" ht="20.100000000000001" customHeight="1" x14ac:dyDescent="0.2">
      <c r="A4244" s="681" t="str">
        <f t="shared" si="59"/>
        <v>1321  060.005.004  Lubrificantes Veiculo ISK 1256</v>
      </c>
      <c r="B4244" s="636">
        <v>1321</v>
      </c>
      <c r="C4244" s="614"/>
      <c r="D4244" s="638" t="s">
        <v>4573</v>
      </c>
      <c r="E4244" s="165"/>
      <c r="F4244" s="614"/>
      <c r="G4244" s="612" t="s">
        <v>4574</v>
      </c>
    </row>
    <row r="4245" spans="1:7" ht="20.100000000000001" customHeight="1" x14ac:dyDescent="0.2">
      <c r="A4245" s="681" t="str">
        <f t="shared" si="59"/>
        <v>1324  060.005.005  Material e Autopeças Veiculo IRY 2027</v>
      </c>
      <c r="B4245" s="636">
        <v>1324</v>
      </c>
      <c r="C4245" s="614"/>
      <c r="D4245" s="638" t="s">
        <v>4575</v>
      </c>
      <c r="E4245" s="165"/>
      <c r="F4245" s="614"/>
      <c r="G4245" s="612" t="s">
        <v>4576</v>
      </c>
    </row>
    <row r="4246" spans="1:7" ht="20.100000000000001" customHeight="1" x14ac:dyDescent="0.2">
      <c r="A4246" s="681" t="str">
        <f t="shared" si="59"/>
        <v>1333  060.005.006  Material e Autopeças Veiculo ISK 1256</v>
      </c>
      <c r="B4246" s="636">
        <v>1333</v>
      </c>
      <c r="C4246" s="614"/>
      <c r="D4246" s="638" t="s">
        <v>4577</v>
      </c>
      <c r="E4246" s="165"/>
      <c r="F4246" s="614"/>
      <c r="G4246" s="612" t="s">
        <v>4578</v>
      </c>
    </row>
    <row r="4247" spans="1:7" ht="20.100000000000001" customHeight="1" x14ac:dyDescent="0.2">
      <c r="A4247" s="681" t="str">
        <f t="shared" si="59"/>
        <v>1334  060.005.007  Manutenção Veiculo IRY 2027</v>
      </c>
      <c r="B4247" s="636">
        <v>1334</v>
      </c>
      <c r="C4247" s="614"/>
      <c r="D4247" s="638" t="s">
        <v>4579</v>
      </c>
      <c r="E4247" s="165"/>
      <c r="F4247" s="614"/>
      <c r="G4247" s="612" t="s">
        <v>4580</v>
      </c>
    </row>
    <row r="4248" spans="1:7" ht="20.100000000000001" customHeight="1" x14ac:dyDescent="0.2">
      <c r="A4248" s="681" t="str">
        <f t="shared" si="59"/>
        <v>1335  060.005.008  Manutenção Veiculo ISK 1256</v>
      </c>
      <c r="B4248" s="636">
        <v>1335</v>
      </c>
      <c r="C4248" s="614"/>
      <c r="D4248" s="638" t="s">
        <v>4581</v>
      </c>
      <c r="E4248" s="165"/>
      <c r="F4248" s="614"/>
      <c r="G4248" s="612" t="s">
        <v>4582</v>
      </c>
    </row>
    <row r="4249" spans="1:7" ht="20.100000000000001" customHeight="1" x14ac:dyDescent="0.2">
      <c r="A4249" s="681" t="str">
        <f t="shared" si="59"/>
        <v>1332  060.005.009  Seguros Veiculo IRY 2027</v>
      </c>
      <c r="B4249" s="636">
        <v>1332</v>
      </c>
      <c r="C4249" s="614"/>
      <c r="D4249" s="638" t="s">
        <v>4583</v>
      </c>
      <c r="E4249" s="165"/>
      <c r="F4249" s="614"/>
      <c r="G4249" s="612" t="s">
        <v>4584</v>
      </c>
    </row>
    <row r="4250" spans="1:7" ht="20.100000000000001" customHeight="1" x14ac:dyDescent="0.2">
      <c r="A4250" s="681" t="str">
        <f t="shared" si="59"/>
        <v>1336  060.005.009  Seguros Veiculo IRY 2027</v>
      </c>
      <c r="B4250" s="636">
        <v>1336</v>
      </c>
      <c r="C4250" s="614"/>
      <c r="D4250" s="638" t="s">
        <v>4583</v>
      </c>
      <c r="E4250" s="165"/>
      <c r="F4250" s="614"/>
      <c r="G4250" s="612" t="s">
        <v>4584</v>
      </c>
    </row>
    <row r="4251" spans="1:7" ht="20.100000000000001" customHeight="1" x14ac:dyDescent="0.2">
      <c r="A4251" s="681" t="str">
        <f t="shared" si="59"/>
        <v>1337  060.005.010  Seguros Veiculo ISK 1256</v>
      </c>
      <c r="B4251" s="636">
        <v>1337</v>
      </c>
      <c r="C4251" s="614"/>
      <c r="D4251" s="638" t="s">
        <v>4585</v>
      </c>
      <c r="E4251" s="165"/>
      <c r="F4251" s="614"/>
      <c r="G4251" s="612" t="s">
        <v>4586</v>
      </c>
    </row>
    <row r="4252" spans="1:7" ht="20.100000000000001" customHeight="1" x14ac:dyDescent="0.2">
      <c r="A4252" s="681" t="str">
        <f t="shared" si="59"/>
        <v>1338  060.005.011  Multas Veiculo IRY 2027</v>
      </c>
      <c r="B4252" s="636">
        <v>1338</v>
      </c>
      <c r="C4252" s="614"/>
      <c r="D4252" s="638" t="s">
        <v>4587</v>
      </c>
      <c r="E4252" s="165"/>
      <c r="F4252" s="614"/>
      <c r="G4252" s="612" t="s">
        <v>4588</v>
      </c>
    </row>
    <row r="4253" spans="1:7" ht="20.100000000000001" customHeight="1" x14ac:dyDescent="0.2">
      <c r="A4253" s="681" t="str">
        <f t="shared" si="59"/>
        <v>1339  060.005.012  Multas Veiculo ISK 1256</v>
      </c>
      <c r="B4253" s="636">
        <v>1339</v>
      </c>
      <c r="C4253" s="614"/>
      <c r="D4253" s="638" t="s">
        <v>4589</v>
      </c>
      <c r="E4253" s="165"/>
      <c r="F4253" s="614"/>
      <c r="G4253" s="612" t="s">
        <v>4590</v>
      </c>
    </row>
    <row r="4254" spans="1:7" ht="20.100000000000001" customHeight="1" x14ac:dyDescent="0.2">
      <c r="A4254" s="681" t="str">
        <f t="shared" si="59"/>
        <v>1340  060.005.013  Geral Veiculo IRY 2027</v>
      </c>
      <c r="B4254" s="636">
        <v>1340</v>
      </c>
      <c r="C4254" s="614"/>
      <c r="D4254" s="638" t="s">
        <v>4591</v>
      </c>
      <c r="E4254" s="165"/>
      <c r="F4254" s="614"/>
      <c r="G4254" s="612" t="s">
        <v>4592</v>
      </c>
    </row>
    <row r="4255" spans="1:7" ht="20.100000000000001" customHeight="1" x14ac:dyDescent="0.2">
      <c r="A4255" s="681" t="str">
        <f t="shared" si="59"/>
        <v>1341  060.005.014  Geral Veiculo ISK 1256</v>
      </c>
      <c r="B4255" s="636">
        <v>1341</v>
      </c>
      <c r="C4255" s="614"/>
      <c r="D4255" s="638" t="s">
        <v>4593</v>
      </c>
      <c r="E4255" s="165"/>
      <c r="F4255" s="614"/>
      <c r="G4255" s="612" t="s">
        <v>4594</v>
      </c>
    </row>
    <row r="4256" spans="1:7" ht="20.100000000000001" customHeight="1" x14ac:dyDescent="0.2">
      <c r="A4256" s="681" t="str">
        <f t="shared" si="59"/>
        <v>1513  060.005.015  Combustivel Veiculo ISK 1256</v>
      </c>
      <c r="B4256" s="636">
        <v>1513</v>
      </c>
      <c r="C4256" s="614"/>
      <c r="D4256" s="638" t="s">
        <v>4595</v>
      </c>
      <c r="E4256" s="165"/>
      <c r="F4256" s="614"/>
      <c r="G4256" s="612" t="s">
        <v>4596</v>
      </c>
    </row>
    <row r="4257" spans="1:7" ht="20.100000000000001" customHeight="1" x14ac:dyDescent="0.2">
      <c r="A4257" s="681" t="str">
        <f t="shared" si="59"/>
        <v>1342  060.006.000  PROTEÇÃO AO PORTADOR DE DEFICIÊNCIA</v>
      </c>
      <c r="B4257" s="636">
        <v>1342</v>
      </c>
      <c r="C4257" s="614"/>
      <c r="D4257" s="638" t="s">
        <v>4597</v>
      </c>
      <c r="E4257" s="165"/>
      <c r="F4257" s="614"/>
      <c r="G4257" s="612" t="s">
        <v>4598</v>
      </c>
    </row>
    <row r="4258" spans="1:7" ht="20.100000000000001" customHeight="1" x14ac:dyDescent="0.2">
      <c r="A4258" s="681" t="str">
        <f t="shared" si="59"/>
        <v>1343  060.006.001  Convenio APAE</v>
      </c>
      <c r="B4258" s="636">
        <v>1343</v>
      </c>
      <c r="C4258" s="614"/>
      <c r="D4258" s="638" t="s">
        <v>4599</v>
      </c>
      <c r="E4258" s="165"/>
      <c r="F4258" s="614"/>
      <c r="G4258" s="612" t="s">
        <v>4600</v>
      </c>
    </row>
    <row r="4259" spans="1:7" ht="20.100000000000001" customHeight="1" x14ac:dyDescent="0.2">
      <c r="A4259" s="681" t="str">
        <f t="shared" si="59"/>
        <v>1344  060.006.002  Convenio Associação Deficientes Fisicos</v>
      </c>
      <c r="B4259" s="636">
        <v>1344</v>
      </c>
      <c r="C4259" s="614"/>
      <c r="D4259" s="638" t="s">
        <v>4601</v>
      </c>
      <c r="E4259" s="165"/>
      <c r="F4259" s="614"/>
      <c r="G4259" s="612" t="s">
        <v>4602</v>
      </c>
    </row>
    <row r="4260" spans="1:7" ht="20.100000000000001" customHeight="1" x14ac:dyDescent="0.2">
      <c r="A4260" s="681" t="str">
        <f t="shared" si="59"/>
        <v>1345  060.006.003  Medicamentos</v>
      </c>
      <c r="B4260" s="636">
        <v>1345</v>
      </c>
      <c r="C4260" s="614"/>
      <c r="D4260" s="638" t="s">
        <v>4603</v>
      </c>
      <c r="E4260" s="165"/>
      <c r="F4260" s="614"/>
      <c r="G4260" s="612" t="s">
        <v>1023</v>
      </c>
    </row>
    <row r="4261" spans="1:7" ht="20.100000000000001" customHeight="1" x14ac:dyDescent="0.2">
      <c r="A4261" s="681" t="str">
        <f t="shared" si="59"/>
        <v>1346  060.006.004  Serviços P. Fisica</v>
      </c>
      <c r="B4261" s="636">
        <v>1346</v>
      </c>
      <c r="C4261" s="614"/>
      <c r="D4261" s="638" t="s">
        <v>4604</v>
      </c>
      <c r="E4261" s="165"/>
      <c r="F4261" s="614"/>
      <c r="G4261" s="612" t="s">
        <v>4196</v>
      </c>
    </row>
    <row r="4262" spans="1:7" ht="20.100000000000001" customHeight="1" x14ac:dyDescent="0.2">
      <c r="A4262" s="681" t="str">
        <f t="shared" si="59"/>
        <v>1347  060.006.005  Serviços P. Juridica</v>
      </c>
      <c r="B4262" s="636">
        <v>1347</v>
      </c>
      <c r="C4262" s="614"/>
      <c r="D4262" s="638" t="s">
        <v>4605</v>
      </c>
      <c r="E4262" s="165"/>
      <c r="F4262" s="614"/>
      <c r="G4262" s="612" t="s">
        <v>4169</v>
      </c>
    </row>
    <row r="4263" spans="1:7" ht="20.100000000000001" customHeight="1" x14ac:dyDescent="0.2">
      <c r="A4263" s="681" t="str">
        <f t="shared" si="59"/>
        <v>1348  060.006.006  Geral</v>
      </c>
      <c r="B4263" s="636">
        <v>1348</v>
      </c>
      <c r="C4263" s="614"/>
      <c r="D4263" s="638" t="s">
        <v>4606</v>
      </c>
      <c r="E4263" s="165"/>
      <c r="F4263" s="614"/>
      <c r="G4263" s="612" t="s">
        <v>2380</v>
      </c>
    </row>
    <row r="4264" spans="1:7" ht="20.100000000000001" customHeight="1" x14ac:dyDescent="0.2">
      <c r="A4264" s="681" t="str">
        <f t="shared" si="59"/>
        <v>1349  060.007.000  BENEFICIOS EVENTUAIS A POPULAÇÃO</v>
      </c>
      <c r="B4264" s="636">
        <v>1349</v>
      </c>
      <c r="C4264" s="614"/>
      <c r="D4264" s="638" t="s">
        <v>4607</v>
      </c>
      <c r="E4264" s="165"/>
      <c r="F4264" s="614"/>
      <c r="G4264" s="612" t="s">
        <v>4608</v>
      </c>
    </row>
    <row r="4265" spans="1:7" ht="20.100000000000001" customHeight="1" x14ac:dyDescent="0.2">
      <c r="A4265" s="681" t="str">
        <f t="shared" si="59"/>
        <v>1350  060.007.001  Cestas Básicas</v>
      </c>
      <c r="B4265" s="636">
        <v>1350</v>
      </c>
      <c r="C4265" s="614"/>
      <c r="D4265" s="638" t="s">
        <v>4609</v>
      </c>
      <c r="E4265" s="165"/>
      <c r="F4265" s="614"/>
      <c r="G4265" s="612" t="s">
        <v>4610</v>
      </c>
    </row>
    <row r="4266" spans="1:7" ht="20.100000000000001" customHeight="1" x14ac:dyDescent="0.2">
      <c r="A4266" s="681" t="str">
        <f t="shared" si="59"/>
        <v>1351  060.007.002  Kit Natalidade</v>
      </c>
      <c r="B4266" s="636">
        <v>1351</v>
      </c>
      <c r="C4266" s="614"/>
      <c r="D4266" s="638" t="s">
        <v>4611</v>
      </c>
      <c r="E4266" s="165"/>
      <c r="F4266" s="614"/>
      <c r="G4266" s="612" t="s">
        <v>2213</v>
      </c>
    </row>
    <row r="4267" spans="1:7" ht="20.100000000000001" customHeight="1" x14ac:dyDescent="0.2">
      <c r="A4267" s="681" t="str">
        <f t="shared" si="59"/>
        <v>1353  060.007.004  Passagens</v>
      </c>
      <c r="B4267" s="636">
        <v>1353</v>
      </c>
      <c r="C4267" s="614"/>
      <c r="D4267" s="638" t="s">
        <v>4612</v>
      </c>
      <c r="E4267" s="165"/>
      <c r="F4267" s="614"/>
      <c r="G4267" s="612" t="s">
        <v>4613</v>
      </c>
    </row>
    <row r="4268" spans="1:7" ht="20.100000000000001" customHeight="1" x14ac:dyDescent="0.2">
      <c r="A4268" s="681" t="str">
        <f t="shared" si="59"/>
        <v>1354  060.007.005  Medicamentos</v>
      </c>
      <c r="B4268" s="636">
        <v>1354</v>
      </c>
      <c r="C4268" s="614"/>
      <c r="D4268" s="638" t="s">
        <v>4614</v>
      </c>
      <c r="E4268" s="165"/>
      <c r="F4268" s="614"/>
      <c r="G4268" s="612" t="s">
        <v>1023</v>
      </c>
    </row>
    <row r="4269" spans="1:7" ht="20.100000000000001" customHeight="1" x14ac:dyDescent="0.2">
      <c r="A4269" s="681" t="str">
        <f t="shared" si="59"/>
        <v>1355  060.007.006  Material de Construção</v>
      </c>
      <c r="B4269" s="636">
        <v>1355</v>
      </c>
      <c r="C4269" s="614"/>
      <c r="D4269" s="638" t="s">
        <v>4615</v>
      </c>
      <c r="E4269" s="165"/>
      <c r="F4269" s="614"/>
      <c r="G4269" s="612" t="s">
        <v>4616</v>
      </c>
    </row>
    <row r="4270" spans="1:7" ht="20.100000000000001" customHeight="1" x14ac:dyDescent="0.2">
      <c r="A4270" s="681" t="str">
        <f t="shared" si="59"/>
        <v>1356  060.007.007  Geral</v>
      </c>
      <c r="B4270" s="636">
        <v>1356</v>
      </c>
      <c r="C4270" s="614"/>
      <c r="D4270" s="638" t="s">
        <v>4617</v>
      </c>
      <c r="E4270" s="165"/>
      <c r="F4270" s="614"/>
      <c r="G4270" s="612" t="s">
        <v>2380</v>
      </c>
    </row>
    <row r="4271" spans="1:7" ht="20.100000000000001" customHeight="1" x14ac:dyDescent="0.2">
      <c r="A4271" s="681" t="str">
        <f t="shared" si="59"/>
        <v>1352  060.007.03  Auxilio Funeral</v>
      </c>
      <c r="B4271" s="636">
        <v>1352</v>
      </c>
      <c r="C4271" s="614"/>
      <c r="D4271" s="638" t="s">
        <v>4618</v>
      </c>
      <c r="E4271" s="165"/>
      <c r="F4271" s="614"/>
      <c r="G4271" s="612" t="s">
        <v>2212</v>
      </c>
    </row>
    <row r="4272" spans="1:7" ht="20.100000000000001" customHeight="1" x14ac:dyDescent="0.2">
      <c r="A4272" s="681" t="str">
        <f t="shared" si="59"/>
        <v>1325  060.008.000  APOIO A TERCEIRA IDADE</v>
      </c>
      <c r="B4272" s="636">
        <v>1325</v>
      </c>
      <c r="C4272" s="614"/>
      <c r="D4272" s="638" t="s">
        <v>4619</v>
      </c>
      <c r="E4272" s="165"/>
      <c r="F4272" s="614"/>
      <c r="G4272" s="612" t="s">
        <v>4620</v>
      </c>
    </row>
    <row r="4273" spans="1:7" ht="20.100000000000001" customHeight="1" x14ac:dyDescent="0.2">
      <c r="A4273" s="681" t="str">
        <f t="shared" si="59"/>
        <v>1326  060.008.001  Generos Alimenticios</v>
      </c>
      <c r="B4273" s="636">
        <v>1326</v>
      </c>
      <c r="C4273" s="614"/>
      <c r="D4273" s="638" t="s">
        <v>4621</v>
      </c>
      <c r="E4273" s="165"/>
      <c r="F4273" s="614"/>
      <c r="G4273" s="612" t="s">
        <v>2340</v>
      </c>
    </row>
    <row r="4274" spans="1:7" ht="20.100000000000001" customHeight="1" x14ac:dyDescent="0.2">
      <c r="A4274" s="681" t="str">
        <f t="shared" si="59"/>
        <v>1327  060.008.002  Serviços de P. Fisica</v>
      </c>
      <c r="B4274" s="636">
        <v>1327</v>
      </c>
      <c r="C4274" s="614"/>
      <c r="D4274" s="638" t="s">
        <v>4622</v>
      </c>
      <c r="E4274" s="165"/>
      <c r="F4274" s="614"/>
      <c r="G4274" s="612" t="s">
        <v>4623</v>
      </c>
    </row>
    <row r="4275" spans="1:7" ht="20.100000000000001" customHeight="1" x14ac:dyDescent="0.2">
      <c r="A4275" s="681" t="str">
        <f t="shared" si="59"/>
        <v>1328  060.008.003  Serviços P. Juridica</v>
      </c>
      <c r="B4275" s="636">
        <v>1328</v>
      </c>
      <c r="C4275" s="614"/>
      <c r="D4275" s="638" t="s">
        <v>4624</v>
      </c>
      <c r="E4275" s="165"/>
      <c r="F4275" s="614"/>
      <c r="G4275" s="612" t="s">
        <v>4169</v>
      </c>
    </row>
    <row r="4276" spans="1:7" ht="20.100000000000001" customHeight="1" x14ac:dyDescent="0.2">
      <c r="A4276" s="681" t="str">
        <f t="shared" si="59"/>
        <v>1329  060.008.004  Transporte</v>
      </c>
      <c r="B4276" s="636">
        <v>1329</v>
      </c>
      <c r="C4276" s="614"/>
      <c r="D4276" s="638" t="s">
        <v>4625</v>
      </c>
      <c r="E4276" s="165"/>
      <c r="F4276" s="614"/>
      <c r="G4276" s="612" t="s">
        <v>637</v>
      </c>
    </row>
    <row r="4277" spans="1:7" ht="20.100000000000001" customHeight="1" x14ac:dyDescent="0.2">
      <c r="A4277" s="681" t="str">
        <f t="shared" si="59"/>
        <v>1330  060.008.005  Sonorização e Animação de Eventos</v>
      </c>
      <c r="B4277" s="636">
        <v>1330</v>
      </c>
      <c r="C4277" s="614"/>
      <c r="D4277" s="638" t="s">
        <v>4626</v>
      </c>
      <c r="E4277" s="165"/>
      <c r="F4277" s="614"/>
      <c r="G4277" s="612" t="s">
        <v>4627</v>
      </c>
    </row>
    <row r="4278" spans="1:7" ht="20.100000000000001" customHeight="1" x14ac:dyDescent="0.2">
      <c r="A4278" s="681" t="str">
        <f t="shared" si="59"/>
        <v>1331  060.008.006  Geral</v>
      </c>
      <c r="B4278" s="636">
        <v>1331</v>
      </c>
      <c r="C4278" s="614"/>
      <c r="D4278" s="638" t="s">
        <v>4628</v>
      </c>
      <c r="E4278" s="165"/>
      <c r="F4278" s="614"/>
      <c r="G4278" s="612" t="s">
        <v>2380</v>
      </c>
    </row>
    <row r="4279" spans="1:7" ht="20.100000000000001" customHeight="1" x14ac:dyDescent="0.2">
      <c r="A4279" s="681" t="str">
        <f t="shared" si="59"/>
        <v>1357  060.009.000  APLICAÇÃO DE RECURSOS: IGDBF</v>
      </c>
      <c r="B4279" s="636">
        <v>1357</v>
      </c>
      <c r="C4279" s="614"/>
      <c r="D4279" s="638" t="s">
        <v>4629</v>
      </c>
      <c r="E4279" s="165"/>
      <c r="F4279" s="614"/>
      <c r="G4279" s="612" t="s">
        <v>4630</v>
      </c>
    </row>
    <row r="4280" spans="1:7" ht="20.100000000000001" customHeight="1" x14ac:dyDescent="0.2">
      <c r="A4280" s="681" t="str">
        <f t="shared" si="59"/>
        <v>1358  060.009.001  Diárias Conselheiros</v>
      </c>
      <c r="B4280" s="636">
        <v>1358</v>
      </c>
      <c r="C4280" s="614"/>
      <c r="D4280" s="638" t="s">
        <v>4631</v>
      </c>
      <c r="E4280" s="165"/>
      <c r="F4280" s="614"/>
      <c r="G4280" s="612" t="s">
        <v>2485</v>
      </c>
    </row>
    <row r="4281" spans="1:7" ht="20.100000000000001" customHeight="1" x14ac:dyDescent="0.2">
      <c r="A4281" s="681" t="str">
        <f t="shared" si="59"/>
        <v>1359  060.009.002  Combustivel Veiculo IRY 2027</v>
      </c>
      <c r="B4281" s="636">
        <v>1359</v>
      </c>
      <c r="C4281" s="614"/>
      <c r="D4281" s="638" t="s">
        <v>4632</v>
      </c>
      <c r="E4281" s="165"/>
      <c r="F4281" s="614"/>
      <c r="G4281" s="612" t="s">
        <v>4570</v>
      </c>
    </row>
    <row r="4282" spans="1:7" ht="20.100000000000001" customHeight="1" x14ac:dyDescent="0.2">
      <c r="A4282" s="681" t="str">
        <f t="shared" si="59"/>
        <v>1360  060.009.003  Lubrificante  Veiculo IRY 2027</v>
      </c>
      <c r="B4282" s="636">
        <v>1360</v>
      </c>
      <c r="C4282" s="614"/>
      <c r="D4282" s="638" t="s">
        <v>4633</v>
      </c>
      <c r="E4282" s="165"/>
      <c r="F4282" s="614"/>
      <c r="G4282" s="612" t="s">
        <v>4634</v>
      </c>
    </row>
    <row r="4283" spans="1:7" ht="20.100000000000001" customHeight="1" x14ac:dyDescent="0.2">
      <c r="A4283" s="681" t="str">
        <f t="shared" si="59"/>
        <v>1361  060.009.004  Material e Autopeças  Veiculo IRY 2027</v>
      </c>
      <c r="B4283" s="636">
        <v>1361</v>
      </c>
      <c r="C4283" s="614"/>
      <c r="D4283" s="638" t="s">
        <v>4635</v>
      </c>
      <c r="E4283" s="165"/>
      <c r="F4283" s="614"/>
      <c r="G4283" s="612" t="s">
        <v>4636</v>
      </c>
    </row>
    <row r="4284" spans="1:7" ht="20.100000000000001" customHeight="1" x14ac:dyDescent="0.2">
      <c r="A4284" s="681" t="str">
        <f t="shared" si="59"/>
        <v>1362  060.009.005  Manutenção  Veiculo IRY 2027</v>
      </c>
      <c r="B4284" s="636">
        <v>1362</v>
      </c>
      <c r="C4284" s="614"/>
      <c r="D4284" s="638" t="s">
        <v>4637</v>
      </c>
      <c r="E4284" s="165"/>
      <c r="F4284" s="614"/>
      <c r="G4284" s="612" t="s">
        <v>4638</v>
      </c>
    </row>
    <row r="4285" spans="1:7" ht="20.100000000000001" customHeight="1" x14ac:dyDescent="0.2">
      <c r="A4285" s="681" t="str">
        <f t="shared" si="59"/>
        <v>1363  060.009.006  Seleção e Treinamento</v>
      </c>
      <c r="B4285" s="636">
        <v>1363</v>
      </c>
      <c r="C4285" s="614"/>
      <c r="D4285" s="638" t="s">
        <v>4639</v>
      </c>
      <c r="E4285" s="165"/>
      <c r="F4285" s="614"/>
      <c r="G4285" s="612" t="s">
        <v>2369</v>
      </c>
    </row>
    <row r="4286" spans="1:7" ht="20.100000000000001" customHeight="1" x14ac:dyDescent="0.2">
      <c r="A4286" s="681" t="str">
        <f t="shared" si="59"/>
        <v>1364  060.009.007  Aquisição de Equipamentos Informática</v>
      </c>
      <c r="B4286" s="636">
        <v>1364</v>
      </c>
      <c r="C4286" s="614"/>
      <c r="D4286" s="638" t="s">
        <v>4640</v>
      </c>
      <c r="E4286" s="165"/>
      <c r="F4286" s="614"/>
      <c r="G4286" s="612" t="s">
        <v>4641</v>
      </c>
    </row>
    <row r="4287" spans="1:7" ht="20.100000000000001" customHeight="1" x14ac:dyDescent="0.2">
      <c r="A4287" s="681" t="str">
        <f t="shared" si="59"/>
        <v>1365  060.009.008  Aquisição de Mobiliário</v>
      </c>
      <c r="B4287" s="636">
        <v>1365</v>
      </c>
      <c r="C4287" s="614"/>
      <c r="D4287" s="638" t="s">
        <v>4642</v>
      </c>
      <c r="E4287" s="165"/>
      <c r="F4287" s="614"/>
      <c r="G4287" s="612" t="s">
        <v>4643</v>
      </c>
    </row>
    <row r="4288" spans="1:7" ht="20.100000000000001" customHeight="1" x14ac:dyDescent="0.2">
      <c r="A4288" s="681" t="str">
        <f t="shared" si="59"/>
        <v>1366  060.009.009  Aquisição de Moveis e Utensilios</v>
      </c>
      <c r="B4288" s="636">
        <v>1366</v>
      </c>
      <c r="C4288" s="614"/>
      <c r="D4288" s="638" t="s">
        <v>4644</v>
      </c>
      <c r="E4288" s="165"/>
      <c r="F4288" s="614"/>
      <c r="G4288" s="612" t="s">
        <v>4645</v>
      </c>
    </row>
    <row r="4289" spans="1:7" ht="20.100000000000001" customHeight="1" x14ac:dyDescent="0.2">
      <c r="A4289" s="681" t="str">
        <f t="shared" si="59"/>
        <v>1367  060.009.010  Serviços Bancários</v>
      </c>
      <c r="B4289" s="636">
        <v>1367</v>
      </c>
      <c r="C4289" s="614"/>
      <c r="D4289" s="638" t="s">
        <v>4646</v>
      </c>
      <c r="E4289" s="165"/>
      <c r="F4289" s="614"/>
      <c r="G4289" s="612" t="s">
        <v>1056</v>
      </c>
    </row>
    <row r="4290" spans="1:7" ht="20.100000000000001" customHeight="1" x14ac:dyDescent="0.2">
      <c r="A4290" s="681" t="str">
        <f t="shared" si="59"/>
        <v>1542  060.009.011  Suprimentos de Informática</v>
      </c>
      <c r="B4290" s="636">
        <v>1542</v>
      </c>
      <c r="C4290" s="614"/>
      <c r="D4290" s="638" t="s">
        <v>4647</v>
      </c>
      <c r="E4290" s="165"/>
      <c r="F4290" s="614"/>
      <c r="G4290" s="612" t="s">
        <v>2435</v>
      </c>
    </row>
    <row r="4291" spans="1:7" ht="20.100000000000001" customHeight="1" x14ac:dyDescent="0.2">
      <c r="A4291" s="681" t="str">
        <f t="shared" si="59"/>
        <v>1610  060.009.012  Material e Peças Veiculo ISK 1256</v>
      </c>
      <c r="B4291" s="636">
        <v>1610</v>
      </c>
      <c r="C4291" s="614"/>
      <c r="D4291" s="638" t="s">
        <v>4648</v>
      </c>
      <c r="E4291" s="165"/>
      <c r="F4291" s="614"/>
      <c r="G4291" s="612" t="s">
        <v>4649</v>
      </c>
    </row>
    <row r="4292" spans="1:7" ht="20.100000000000001" customHeight="1" x14ac:dyDescent="0.2">
      <c r="A4292" s="681" t="str">
        <f t="shared" si="59"/>
        <v>1621  060.009.013  Manutenção Veiculo ISK 1256</v>
      </c>
      <c r="B4292" s="636">
        <v>1621</v>
      </c>
      <c r="C4292" s="614"/>
      <c r="D4292" s="638" t="s">
        <v>4650</v>
      </c>
      <c r="E4292" s="165"/>
      <c r="F4292" s="614"/>
      <c r="G4292" s="612" t="s">
        <v>4582</v>
      </c>
    </row>
    <row r="4293" spans="1:7" ht="20.100000000000001" customHeight="1" x14ac:dyDescent="0.2">
      <c r="A4293" s="681" t="str">
        <f t="shared" si="59"/>
        <v>1662  060.009.014  Material P/Manutenção de Imoveis</v>
      </c>
      <c r="B4293" s="636">
        <v>1662</v>
      </c>
      <c r="C4293" s="614"/>
      <c r="D4293" s="638" t="s">
        <v>4651</v>
      </c>
      <c r="E4293" s="165"/>
      <c r="F4293" s="614"/>
      <c r="G4293" s="612" t="s">
        <v>4652</v>
      </c>
    </row>
    <row r="4294" spans="1:7" ht="20.100000000000001" customHeight="1" x14ac:dyDescent="0.2">
      <c r="A4294" s="681" t="str">
        <f t="shared" si="59"/>
        <v>1368  060.010.000  APLICAÇÃO DE RECURSOS: IGD SUAS</v>
      </c>
      <c r="B4294" s="636">
        <v>1368</v>
      </c>
      <c r="C4294" s="614"/>
      <c r="D4294" s="638" t="s">
        <v>4653</v>
      </c>
      <c r="E4294" s="165"/>
      <c r="F4294" s="614"/>
      <c r="G4294" s="612" t="s">
        <v>4654</v>
      </c>
    </row>
    <row r="4295" spans="1:7" ht="20.100000000000001" customHeight="1" x14ac:dyDescent="0.2">
      <c r="A4295" s="681" t="str">
        <f t="shared" si="59"/>
        <v>1369  060.010.001  Diárias Conselheiros</v>
      </c>
      <c r="B4295" s="636">
        <v>1369</v>
      </c>
      <c r="C4295" s="614"/>
      <c r="D4295" s="638" t="s">
        <v>4655</v>
      </c>
      <c r="E4295" s="165"/>
      <c r="F4295" s="614"/>
      <c r="G4295" s="612" t="s">
        <v>2485</v>
      </c>
    </row>
    <row r="4296" spans="1:7" ht="20.100000000000001" customHeight="1" x14ac:dyDescent="0.2">
      <c r="A4296" s="681" t="str">
        <f t="shared" si="59"/>
        <v>1370  060.010.002  Material de Expediente</v>
      </c>
      <c r="B4296" s="636">
        <v>1370</v>
      </c>
      <c r="C4296" s="614"/>
      <c r="D4296" s="638" t="s">
        <v>4656</v>
      </c>
      <c r="E4296" s="165"/>
      <c r="F4296" s="614"/>
      <c r="G4296" s="612" t="s">
        <v>2346</v>
      </c>
    </row>
    <row r="4297" spans="1:7" ht="20.100000000000001" customHeight="1" x14ac:dyDescent="0.2">
      <c r="A4297" s="681" t="str">
        <f t="shared" si="59"/>
        <v>1371  060.010.003  Generos Alimenticios</v>
      </c>
      <c r="B4297" s="636">
        <v>1371</v>
      </c>
      <c r="C4297" s="614"/>
      <c r="D4297" s="638" t="s">
        <v>4657</v>
      </c>
      <c r="E4297" s="165"/>
      <c r="F4297" s="614"/>
      <c r="G4297" s="612" t="s">
        <v>2340</v>
      </c>
    </row>
    <row r="4298" spans="1:7" ht="20.100000000000001" customHeight="1" x14ac:dyDescent="0.2">
      <c r="A4298" s="681" t="str">
        <f t="shared" si="59"/>
        <v>1372  060.010.004  Seleção e Treinamento</v>
      </c>
      <c r="B4298" s="636">
        <v>1372</v>
      </c>
      <c r="C4298" s="614"/>
      <c r="D4298" s="638" t="s">
        <v>4658</v>
      </c>
      <c r="E4298" s="165"/>
      <c r="F4298" s="614"/>
      <c r="G4298" s="612" t="s">
        <v>2369</v>
      </c>
    </row>
    <row r="4299" spans="1:7" ht="20.100000000000001" customHeight="1" x14ac:dyDescent="0.2">
      <c r="A4299" s="681" t="str">
        <f t="shared" si="59"/>
        <v>1373  060.010.005  Aquisição de Equipamentos Informática</v>
      </c>
      <c r="B4299" s="636">
        <v>1373</v>
      </c>
      <c r="C4299" s="614"/>
      <c r="D4299" s="638" t="s">
        <v>4659</v>
      </c>
      <c r="E4299" s="165"/>
      <c r="F4299" s="614"/>
      <c r="G4299" s="612" t="s">
        <v>4641</v>
      </c>
    </row>
    <row r="4300" spans="1:7" ht="20.100000000000001" customHeight="1" x14ac:dyDescent="0.2">
      <c r="A4300" s="681" t="str">
        <f t="shared" ref="A4300:A4363" si="60">CONCATENATE(B4300,"  ",D4300,"  ",G4300)</f>
        <v>1374  060.010.006  Aquisição de Mobiliario</v>
      </c>
      <c r="B4300" s="636">
        <v>1374</v>
      </c>
      <c r="C4300" s="614"/>
      <c r="D4300" s="638" t="s">
        <v>4660</v>
      </c>
      <c r="E4300" s="165"/>
      <c r="F4300" s="614"/>
      <c r="G4300" s="612" t="s">
        <v>3360</v>
      </c>
    </row>
    <row r="4301" spans="1:7" ht="20.100000000000001" customHeight="1" x14ac:dyDescent="0.2">
      <c r="A4301" s="681" t="str">
        <f t="shared" si="60"/>
        <v>1375  060.010.007  Aquisição de Moveis e Utensilios</v>
      </c>
      <c r="B4301" s="636">
        <v>1375</v>
      </c>
      <c r="C4301" s="614"/>
      <c r="D4301" s="638" t="s">
        <v>4661</v>
      </c>
      <c r="E4301" s="165"/>
      <c r="F4301" s="614"/>
      <c r="G4301" s="612" t="s">
        <v>4645</v>
      </c>
    </row>
    <row r="4302" spans="1:7" ht="20.100000000000001" customHeight="1" x14ac:dyDescent="0.2">
      <c r="A4302" s="681" t="str">
        <f t="shared" si="60"/>
        <v>1376  060.010.008  Geral</v>
      </c>
      <c r="B4302" s="636">
        <v>1376</v>
      </c>
      <c r="C4302" s="614"/>
      <c r="D4302" s="638" t="s">
        <v>4662</v>
      </c>
      <c r="E4302" s="165"/>
      <c r="F4302" s="614"/>
      <c r="G4302" s="612" t="s">
        <v>2380</v>
      </c>
    </row>
    <row r="4303" spans="1:7" ht="20.100000000000001" customHeight="1" x14ac:dyDescent="0.2">
      <c r="A4303" s="681" t="str">
        <f t="shared" si="60"/>
        <v>1467  060.010.009  Serviços Bancarios</v>
      </c>
      <c r="B4303" s="636">
        <v>1467</v>
      </c>
      <c r="C4303" s="614"/>
      <c r="D4303" s="638" t="s">
        <v>4663</v>
      </c>
      <c r="E4303" s="165"/>
      <c r="F4303" s="614"/>
      <c r="G4303" s="612" t="s">
        <v>4664</v>
      </c>
    </row>
    <row r="4304" spans="1:7" ht="20.100000000000001" customHeight="1" x14ac:dyDescent="0.2">
      <c r="A4304" s="681" t="str">
        <f t="shared" si="60"/>
        <v>1505  060.010.010  Equipamentos Eletronicos</v>
      </c>
      <c r="B4304" s="636">
        <v>1505</v>
      </c>
      <c r="C4304" s="614"/>
      <c r="D4304" s="638" t="s">
        <v>4665</v>
      </c>
      <c r="E4304" s="165"/>
      <c r="F4304" s="614"/>
      <c r="G4304" s="612" t="s">
        <v>2319</v>
      </c>
    </row>
    <row r="4305" spans="1:7" ht="20.100000000000001" customHeight="1" x14ac:dyDescent="0.2">
      <c r="A4305" s="681" t="str">
        <f t="shared" si="60"/>
        <v>1630  060.011.000  ABRIGO MUNICIPAL DE DOM FELICIANO</v>
      </c>
      <c r="B4305" s="636">
        <v>1630</v>
      </c>
      <c r="C4305" s="614"/>
      <c r="D4305" s="638" t="s">
        <v>4666</v>
      </c>
      <c r="E4305" s="165"/>
      <c r="F4305" s="614"/>
      <c r="G4305" s="612" t="s">
        <v>4667</v>
      </c>
    </row>
    <row r="4306" spans="1:7" ht="20.100000000000001" customHeight="1" x14ac:dyDescent="0.2">
      <c r="A4306" s="681" t="str">
        <f t="shared" si="60"/>
        <v>1631  060.011.001  Diarias Mensais Abrigo de Menores</v>
      </c>
      <c r="B4306" s="636">
        <v>1631</v>
      </c>
      <c r="C4306" s="614"/>
      <c r="D4306" s="638" t="s">
        <v>4668</v>
      </c>
      <c r="E4306" s="165"/>
      <c r="F4306" s="614"/>
      <c r="G4306" s="612" t="s">
        <v>4669</v>
      </c>
    </row>
    <row r="4307" spans="1:7" ht="20.100000000000001" customHeight="1" x14ac:dyDescent="0.2">
      <c r="A4307" s="681" t="str">
        <f t="shared" si="60"/>
        <v>1387  060.012.000  APLICAÇÃO DE RECURSOS: PAIF</v>
      </c>
      <c r="B4307" s="636">
        <v>1387</v>
      </c>
      <c r="C4307" s="614"/>
      <c r="D4307" s="638" t="s">
        <v>4670</v>
      </c>
      <c r="E4307" s="165"/>
      <c r="F4307" s="614"/>
      <c r="G4307" s="612" t="s">
        <v>4671</v>
      </c>
    </row>
    <row r="4308" spans="1:7" ht="20.100000000000001" customHeight="1" x14ac:dyDescent="0.2">
      <c r="A4308" s="681" t="str">
        <f t="shared" si="60"/>
        <v>1388  060.012.001  Pessoal e Encargos Serv. Efetivos</v>
      </c>
      <c r="B4308" s="636">
        <v>1388</v>
      </c>
      <c r="C4308" s="614"/>
      <c r="D4308" s="638" t="s">
        <v>4672</v>
      </c>
      <c r="E4308" s="165"/>
      <c r="F4308" s="614"/>
      <c r="G4308" s="612" t="s">
        <v>4673</v>
      </c>
    </row>
    <row r="4309" spans="1:7" ht="20.100000000000001" customHeight="1" x14ac:dyDescent="0.2">
      <c r="A4309" s="681" t="str">
        <f t="shared" si="60"/>
        <v>1389  060.012.002  Pessoal  e Encargos Serv. Contratados</v>
      </c>
      <c r="B4309" s="636">
        <v>1389</v>
      </c>
      <c r="C4309" s="614"/>
      <c r="D4309" s="638" t="s">
        <v>4674</v>
      </c>
      <c r="E4309" s="165"/>
      <c r="F4309" s="614"/>
      <c r="G4309" s="612" t="s">
        <v>4675</v>
      </c>
    </row>
    <row r="4310" spans="1:7" ht="20.100000000000001" customHeight="1" x14ac:dyDescent="0.2">
      <c r="A4310" s="681" t="str">
        <f t="shared" si="60"/>
        <v>1390  060.012.003  Diárias Serv. Efetivos</v>
      </c>
      <c r="B4310" s="636">
        <v>1390</v>
      </c>
      <c r="C4310" s="614"/>
      <c r="D4310" s="638" t="s">
        <v>4676</v>
      </c>
      <c r="E4310" s="165"/>
      <c r="F4310" s="614"/>
      <c r="G4310" s="612" t="s">
        <v>3602</v>
      </c>
    </row>
    <row r="4311" spans="1:7" ht="20.100000000000001" customHeight="1" x14ac:dyDescent="0.2">
      <c r="A4311" s="681" t="str">
        <f t="shared" si="60"/>
        <v>1391  060.012.004  Diárias Serv. Contratados</v>
      </c>
      <c r="B4311" s="636">
        <v>1391</v>
      </c>
      <c r="C4311" s="614"/>
      <c r="D4311" s="638" t="s">
        <v>4677</v>
      </c>
      <c r="E4311" s="165"/>
      <c r="F4311" s="614"/>
      <c r="G4311" s="612" t="s">
        <v>3604</v>
      </c>
    </row>
    <row r="4312" spans="1:7" ht="20.100000000000001" customHeight="1" x14ac:dyDescent="0.2">
      <c r="A4312" s="681" t="str">
        <f t="shared" si="60"/>
        <v>1392  060.012.005  Generos Alimenticios</v>
      </c>
      <c r="B4312" s="636">
        <v>1392</v>
      </c>
      <c r="C4312" s="614"/>
      <c r="D4312" s="638" t="s">
        <v>4678</v>
      </c>
      <c r="E4312" s="165"/>
      <c r="F4312" s="614"/>
      <c r="G4312" s="612" t="s">
        <v>2340</v>
      </c>
    </row>
    <row r="4313" spans="1:7" ht="20.100000000000001" customHeight="1" x14ac:dyDescent="0.2">
      <c r="A4313" s="681" t="str">
        <f t="shared" si="60"/>
        <v>1393  060.012.006  Material de Expediente</v>
      </c>
      <c r="B4313" s="636">
        <v>1393</v>
      </c>
      <c r="C4313" s="614"/>
      <c r="D4313" s="638" t="s">
        <v>4679</v>
      </c>
      <c r="E4313" s="165"/>
      <c r="F4313" s="614"/>
      <c r="G4313" s="612" t="s">
        <v>2346</v>
      </c>
    </row>
    <row r="4314" spans="1:7" ht="20.100000000000001" customHeight="1" x14ac:dyDescent="0.2">
      <c r="A4314" s="681" t="str">
        <f t="shared" si="60"/>
        <v>1394  060.012.007  Suprimentos de Informática/Impressão</v>
      </c>
      <c r="B4314" s="636">
        <v>1394</v>
      </c>
      <c r="C4314" s="614"/>
      <c r="D4314" s="638" t="s">
        <v>4680</v>
      </c>
      <c r="E4314" s="165"/>
      <c r="F4314" s="614"/>
      <c r="G4314" s="612" t="s">
        <v>4265</v>
      </c>
    </row>
    <row r="4315" spans="1:7" ht="20.100000000000001" customHeight="1" x14ac:dyDescent="0.2">
      <c r="A4315" s="681" t="str">
        <f t="shared" si="60"/>
        <v>1395  060.012.008  Material de Limpeza e Higiene</v>
      </c>
      <c r="B4315" s="636">
        <v>1395</v>
      </c>
      <c r="C4315" s="614"/>
      <c r="D4315" s="638" t="s">
        <v>4681</v>
      </c>
      <c r="E4315" s="165"/>
      <c r="F4315" s="614"/>
      <c r="G4315" s="612" t="s">
        <v>2569</v>
      </c>
    </row>
    <row r="4316" spans="1:7" ht="20.100000000000001" customHeight="1" x14ac:dyDescent="0.2">
      <c r="A4316" s="681" t="str">
        <f t="shared" si="60"/>
        <v>1397  060.012.009  Seleção e Treinamento</v>
      </c>
      <c r="B4316" s="636">
        <v>1397</v>
      </c>
      <c r="C4316" s="614"/>
      <c r="D4316" s="638" t="s">
        <v>4682</v>
      </c>
      <c r="E4316" s="165"/>
      <c r="F4316" s="614"/>
      <c r="G4316" s="612" t="s">
        <v>2369</v>
      </c>
    </row>
    <row r="4317" spans="1:7" ht="20.100000000000001" customHeight="1" x14ac:dyDescent="0.2">
      <c r="A4317" s="681" t="str">
        <f t="shared" si="60"/>
        <v>1398  060.012.010  Material para Manutenção de Bens Moveis</v>
      </c>
      <c r="B4317" s="636">
        <v>1398</v>
      </c>
      <c r="C4317" s="614"/>
      <c r="D4317" s="638" t="s">
        <v>4683</v>
      </c>
      <c r="E4317" s="165"/>
      <c r="F4317" s="614"/>
      <c r="G4317" s="612" t="s">
        <v>4684</v>
      </c>
    </row>
    <row r="4318" spans="1:7" ht="20.100000000000001" customHeight="1" x14ac:dyDescent="0.2">
      <c r="A4318" s="681" t="str">
        <f t="shared" si="60"/>
        <v>1399  060.012.011  Material para Manutenção de Imóveis</v>
      </c>
      <c r="B4318" s="636">
        <v>1399</v>
      </c>
      <c r="C4318" s="614"/>
      <c r="D4318" s="638" t="s">
        <v>4685</v>
      </c>
      <c r="E4318" s="165"/>
      <c r="F4318" s="614"/>
      <c r="G4318" s="612" t="s">
        <v>4686</v>
      </c>
    </row>
    <row r="4319" spans="1:7" ht="20.100000000000001" customHeight="1" x14ac:dyDescent="0.2">
      <c r="A4319" s="681" t="str">
        <f t="shared" si="60"/>
        <v>1400  060.012.012  Manutenção de Eq. de Informática/Impressão</v>
      </c>
      <c r="B4319" s="636">
        <v>1400</v>
      </c>
      <c r="C4319" s="614"/>
      <c r="D4319" s="638" t="s">
        <v>4687</v>
      </c>
      <c r="E4319" s="165"/>
      <c r="F4319" s="614"/>
      <c r="G4319" s="612" t="s">
        <v>4688</v>
      </c>
    </row>
    <row r="4320" spans="1:7" ht="20.100000000000001" customHeight="1" x14ac:dyDescent="0.2">
      <c r="A4320" s="681" t="str">
        <f t="shared" si="60"/>
        <v>1401  060.012.013  Limpeza e Conservação</v>
      </c>
      <c r="B4320" s="636">
        <v>1401</v>
      </c>
      <c r="C4320" s="614"/>
      <c r="D4320" s="638" t="s">
        <v>4689</v>
      </c>
      <c r="E4320" s="165"/>
      <c r="F4320" s="614"/>
      <c r="G4320" s="612" t="s">
        <v>4690</v>
      </c>
    </row>
    <row r="4321" spans="1:7" ht="20.100000000000001" customHeight="1" x14ac:dyDescent="0.2">
      <c r="A4321" s="681" t="str">
        <f t="shared" si="60"/>
        <v>1402  060.012.014  Agua</v>
      </c>
      <c r="B4321" s="636">
        <v>1402</v>
      </c>
      <c r="C4321" s="614"/>
      <c r="D4321" s="638" t="s">
        <v>4691</v>
      </c>
      <c r="E4321" s="165"/>
      <c r="F4321" s="614"/>
      <c r="G4321" s="612" t="s">
        <v>2365</v>
      </c>
    </row>
    <row r="4322" spans="1:7" ht="20.100000000000001" customHeight="1" x14ac:dyDescent="0.2">
      <c r="A4322" s="681" t="str">
        <f t="shared" si="60"/>
        <v>1403  060.012.015  Energia Elétrica</v>
      </c>
      <c r="B4322" s="636">
        <v>1403</v>
      </c>
      <c r="C4322" s="614"/>
      <c r="D4322" s="638" t="s">
        <v>4692</v>
      </c>
      <c r="E4322" s="165"/>
      <c r="F4322" s="614"/>
      <c r="G4322" s="612" t="s">
        <v>700</v>
      </c>
    </row>
    <row r="4323" spans="1:7" ht="20.100000000000001" customHeight="1" x14ac:dyDescent="0.2">
      <c r="A4323" s="681" t="str">
        <f t="shared" si="60"/>
        <v>1404  060.012.016  Internet</v>
      </c>
      <c r="B4323" s="636">
        <v>1404</v>
      </c>
      <c r="C4323" s="614"/>
      <c r="D4323" s="638" t="s">
        <v>4693</v>
      </c>
      <c r="E4323" s="165"/>
      <c r="F4323" s="614"/>
      <c r="G4323" s="612" t="s">
        <v>2371</v>
      </c>
    </row>
    <row r="4324" spans="1:7" ht="20.100000000000001" customHeight="1" x14ac:dyDescent="0.2">
      <c r="A4324" s="681" t="str">
        <f t="shared" si="60"/>
        <v>1405  060.012.017  Telefone Fixo</v>
      </c>
      <c r="B4324" s="636">
        <v>1405</v>
      </c>
      <c r="C4324" s="614"/>
      <c r="D4324" s="638" t="s">
        <v>4694</v>
      </c>
      <c r="E4324" s="165"/>
      <c r="F4324" s="614"/>
      <c r="G4324" s="612" t="s">
        <v>1041</v>
      </c>
    </row>
    <row r="4325" spans="1:7" ht="20.100000000000001" customHeight="1" x14ac:dyDescent="0.2">
      <c r="A4325" s="681" t="str">
        <f t="shared" si="60"/>
        <v>1406  060.012.018  Telefone Celular</v>
      </c>
      <c r="B4325" s="636">
        <v>1406</v>
      </c>
      <c r="C4325" s="614"/>
      <c r="D4325" s="638" t="s">
        <v>4695</v>
      </c>
      <c r="E4325" s="165"/>
      <c r="F4325" s="614"/>
      <c r="G4325" s="612" t="s">
        <v>1150</v>
      </c>
    </row>
    <row r="4326" spans="1:7" ht="20.100000000000001" customHeight="1" x14ac:dyDescent="0.2">
      <c r="A4326" s="681" t="str">
        <f t="shared" si="60"/>
        <v>1407  060.012.019  Serviços P. Fisica</v>
      </c>
      <c r="B4326" s="636">
        <v>1407</v>
      </c>
      <c r="C4326" s="614"/>
      <c r="D4326" s="638" t="s">
        <v>4696</v>
      </c>
      <c r="E4326" s="165"/>
      <c r="F4326" s="614"/>
      <c r="G4326" s="612" t="s">
        <v>4196</v>
      </c>
    </row>
    <row r="4327" spans="1:7" ht="20.100000000000001" customHeight="1" x14ac:dyDescent="0.2">
      <c r="A4327" s="681" t="str">
        <f t="shared" si="60"/>
        <v>1408  060.012.020  Serviços P. Juriica</v>
      </c>
      <c r="B4327" s="636">
        <v>1408</v>
      </c>
      <c r="C4327" s="614"/>
      <c r="D4327" s="638" t="s">
        <v>4697</v>
      </c>
      <c r="E4327" s="165"/>
      <c r="F4327" s="614"/>
      <c r="G4327" s="612" t="s">
        <v>4698</v>
      </c>
    </row>
    <row r="4328" spans="1:7" ht="20.100000000000001" customHeight="1" x14ac:dyDescent="0.2">
      <c r="A4328" s="681" t="str">
        <f t="shared" si="60"/>
        <v>1396  060.012.021  Geral</v>
      </c>
      <c r="B4328" s="636">
        <v>1396</v>
      </c>
      <c r="C4328" s="614"/>
      <c r="D4328" s="638" t="s">
        <v>4699</v>
      </c>
      <c r="E4328" s="165"/>
      <c r="F4328" s="614"/>
      <c r="G4328" s="612" t="s">
        <v>2380</v>
      </c>
    </row>
    <row r="4329" spans="1:7" ht="20.100000000000001" customHeight="1" x14ac:dyDescent="0.2">
      <c r="A4329" s="681" t="str">
        <f t="shared" si="60"/>
        <v>1409  060.012.022  Serviços Bancarios</v>
      </c>
      <c r="B4329" s="636">
        <v>1409</v>
      </c>
      <c r="C4329" s="614"/>
      <c r="D4329" s="638" t="s">
        <v>4700</v>
      </c>
      <c r="E4329" s="165"/>
      <c r="F4329" s="614"/>
      <c r="G4329" s="612" t="s">
        <v>4664</v>
      </c>
    </row>
    <row r="4330" spans="1:7" ht="20.100000000000001" customHeight="1" x14ac:dyDescent="0.2">
      <c r="A4330" s="681" t="str">
        <f t="shared" si="60"/>
        <v>1385  060.012.023  Auxilio Transporte</v>
      </c>
      <c r="B4330" s="636">
        <v>1385</v>
      </c>
      <c r="C4330" s="614"/>
      <c r="D4330" s="638" t="s">
        <v>4701</v>
      </c>
      <c r="E4330" s="165"/>
      <c r="F4330" s="614"/>
      <c r="G4330" s="612" t="s">
        <v>2462</v>
      </c>
    </row>
    <row r="4331" spans="1:7" ht="20.100000000000001" customHeight="1" x14ac:dyDescent="0.2">
      <c r="A4331" s="681" t="str">
        <f t="shared" si="60"/>
        <v>1410  060.013.000  APLICAÇÃO DE RECURSOS: SCFV</v>
      </c>
      <c r="B4331" s="636">
        <v>1410</v>
      </c>
      <c r="C4331" s="614"/>
      <c r="D4331" s="638" t="s">
        <v>4702</v>
      </c>
      <c r="E4331" s="165"/>
      <c r="F4331" s="614"/>
      <c r="G4331" s="612" t="s">
        <v>4703</v>
      </c>
    </row>
    <row r="4332" spans="1:7" ht="20.100000000000001" customHeight="1" x14ac:dyDescent="0.2">
      <c r="A4332" s="681" t="str">
        <f t="shared" si="60"/>
        <v>1411  060.013.001  Pessoal e Encargos Serv. Efetivos</v>
      </c>
      <c r="B4332" s="636">
        <v>1411</v>
      </c>
      <c r="C4332" s="614"/>
      <c r="D4332" s="638" t="s">
        <v>4704</v>
      </c>
      <c r="E4332" s="165"/>
      <c r="F4332" s="614"/>
      <c r="G4332" s="612" t="s">
        <v>4673</v>
      </c>
    </row>
    <row r="4333" spans="1:7" ht="20.100000000000001" customHeight="1" x14ac:dyDescent="0.2">
      <c r="A4333" s="681" t="str">
        <f t="shared" si="60"/>
        <v>1412  060.013.002  Pessoal e Encargos Serv. Contratados</v>
      </c>
      <c r="B4333" s="636">
        <v>1412</v>
      </c>
      <c r="C4333" s="614"/>
      <c r="D4333" s="638" t="s">
        <v>4705</v>
      </c>
      <c r="E4333" s="165"/>
      <c r="F4333" s="614"/>
      <c r="G4333" s="612" t="s">
        <v>4706</v>
      </c>
    </row>
    <row r="4334" spans="1:7" ht="20.100000000000001" customHeight="1" x14ac:dyDescent="0.2">
      <c r="A4334" s="681" t="str">
        <f t="shared" si="60"/>
        <v>1413  060.013.003  Diárias Servidores Efetivos</v>
      </c>
      <c r="B4334" s="636">
        <v>1413</v>
      </c>
      <c r="C4334" s="614"/>
      <c r="D4334" s="638" t="s">
        <v>4707</v>
      </c>
      <c r="E4334" s="165"/>
      <c r="F4334" s="614"/>
      <c r="G4334" s="612" t="s">
        <v>2419</v>
      </c>
    </row>
    <row r="4335" spans="1:7" ht="20.100000000000001" customHeight="1" x14ac:dyDescent="0.2">
      <c r="A4335" s="681" t="str">
        <f t="shared" si="60"/>
        <v>1414  060.013.004  Diárias Servidores Contratados</v>
      </c>
      <c r="B4335" s="636">
        <v>1414</v>
      </c>
      <c r="C4335" s="614"/>
      <c r="D4335" s="638" t="s">
        <v>4708</v>
      </c>
      <c r="E4335" s="165"/>
      <c r="F4335" s="614"/>
      <c r="G4335" s="612" t="s">
        <v>2334</v>
      </c>
    </row>
    <row r="4336" spans="1:7" ht="20.100000000000001" customHeight="1" x14ac:dyDescent="0.2">
      <c r="A4336" s="681" t="str">
        <f t="shared" si="60"/>
        <v>1415  060.013.005  Generos Alimenticios</v>
      </c>
      <c r="B4336" s="636">
        <v>1415</v>
      </c>
      <c r="C4336" s="614"/>
      <c r="D4336" s="638" t="s">
        <v>4709</v>
      </c>
      <c r="E4336" s="165"/>
      <c r="F4336" s="614"/>
      <c r="G4336" s="612" t="s">
        <v>2340</v>
      </c>
    </row>
    <row r="4337" spans="1:7" ht="20.100000000000001" customHeight="1" x14ac:dyDescent="0.2">
      <c r="A4337" s="681" t="str">
        <f t="shared" si="60"/>
        <v>1416  060.013.006  Material de Expediente</v>
      </c>
      <c r="B4337" s="636">
        <v>1416</v>
      </c>
      <c r="C4337" s="614"/>
      <c r="D4337" s="638" t="s">
        <v>4710</v>
      </c>
      <c r="E4337" s="165"/>
      <c r="F4337" s="614"/>
      <c r="G4337" s="612" t="s">
        <v>2346</v>
      </c>
    </row>
    <row r="4338" spans="1:7" ht="20.100000000000001" customHeight="1" x14ac:dyDescent="0.2">
      <c r="A4338" s="681" t="str">
        <f t="shared" si="60"/>
        <v>1417  060.013.007  Suprimentos de Informática/Impressão</v>
      </c>
      <c r="B4338" s="636">
        <v>1417</v>
      </c>
      <c r="C4338" s="614"/>
      <c r="D4338" s="638" t="s">
        <v>4711</v>
      </c>
      <c r="E4338" s="165"/>
      <c r="F4338" s="614"/>
      <c r="G4338" s="612" t="s">
        <v>4265</v>
      </c>
    </row>
    <row r="4339" spans="1:7" ht="20.100000000000001" customHeight="1" x14ac:dyDescent="0.2">
      <c r="A4339" s="681" t="str">
        <f t="shared" si="60"/>
        <v>1418  060.013.008  Material de Limpeza e Higiene</v>
      </c>
      <c r="B4339" s="636">
        <v>1418</v>
      </c>
      <c r="C4339" s="614"/>
      <c r="D4339" s="638" t="s">
        <v>4712</v>
      </c>
      <c r="E4339" s="165"/>
      <c r="F4339" s="614"/>
      <c r="G4339" s="612" t="s">
        <v>2569</v>
      </c>
    </row>
    <row r="4340" spans="1:7" ht="20.100000000000001" customHeight="1" x14ac:dyDescent="0.2">
      <c r="A4340" s="681" t="str">
        <f t="shared" si="60"/>
        <v>1419  060.013.009  Seleção e Treinamento</v>
      </c>
      <c r="B4340" s="636">
        <v>1419</v>
      </c>
      <c r="C4340" s="614"/>
      <c r="D4340" s="638" t="s">
        <v>4713</v>
      </c>
      <c r="E4340" s="165"/>
      <c r="F4340" s="614"/>
      <c r="G4340" s="612" t="s">
        <v>2369</v>
      </c>
    </row>
    <row r="4341" spans="1:7" ht="20.100000000000001" customHeight="1" x14ac:dyDescent="0.2">
      <c r="A4341" s="681" t="str">
        <f t="shared" si="60"/>
        <v>1421  060.013.010  Material para Manutenção de Bens Moveis</v>
      </c>
      <c r="B4341" s="636">
        <v>1421</v>
      </c>
      <c r="C4341" s="614"/>
      <c r="D4341" s="638" t="s">
        <v>4714</v>
      </c>
      <c r="E4341" s="165"/>
      <c r="F4341" s="614"/>
      <c r="G4341" s="612" t="s">
        <v>4684</v>
      </c>
    </row>
    <row r="4342" spans="1:7" ht="20.100000000000001" customHeight="1" x14ac:dyDescent="0.2">
      <c r="A4342" s="681" t="str">
        <f t="shared" si="60"/>
        <v>1422  060.013.011  Material para Manutenção de Imóveis</v>
      </c>
      <c r="B4342" s="636">
        <v>1422</v>
      </c>
      <c r="C4342" s="614"/>
      <c r="D4342" s="638" t="s">
        <v>4715</v>
      </c>
      <c r="E4342" s="165"/>
      <c r="F4342" s="614"/>
      <c r="G4342" s="612" t="s">
        <v>4686</v>
      </c>
    </row>
    <row r="4343" spans="1:7" ht="20.100000000000001" customHeight="1" x14ac:dyDescent="0.2">
      <c r="A4343" s="681" t="str">
        <f t="shared" si="60"/>
        <v>1423  060.013.012  Manutenção de Eq. de Informática/Impressão</v>
      </c>
      <c r="B4343" s="636">
        <v>1423</v>
      </c>
      <c r="C4343" s="614"/>
      <c r="D4343" s="638" t="s">
        <v>4716</v>
      </c>
      <c r="E4343" s="165"/>
      <c r="F4343" s="614"/>
      <c r="G4343" s="612" t="s">
        <v>4688</v>
      </c>
    </row>
    <row r="4344" spans="1:7" ht="20.100000000000001" customHeight="1" x14ac:dyDescent="0.2">
      <c r="A4344" s="681" t="str">
        <f t="shared" si="60"/>
        <v>1424  060.013.013  Limpeza e Conservação</v>
      </c>
      <c r="B4344" s="636">
        <v>1424</v>
      </c>
      <c r="C4344" s="614"/>
      <c r="D4344" s="638" t="s">
        <v>4717</v>
      </c>
      <c r="E4344" s="165"/>
      <c r="F4344" s="614"/>
      <c r="G4344" s="612" t="s">
        <v>4690</v>
      </c>
    </row>
    <row r="4345" spans="1:7" ht="20.100000000000001" customHeight="1" x14ac:dyDescent="0.2">
      <c r="A4345" s="681" t="str">
        <f t="shared" si="60"/>
        <v>1426  060.013.014  Agua</v>
      </c>
      <c r="B4345" s="636">
        <v>1426</v>
      </c>
      <c r="C4345" s="614"/>
      <c r="D4345" s="638" t="s">
        <v>4718</v>
      </c>
      <c r="E4345" s="165"/>
      <c r="F4345" s="614"/>
      <c r="G4345" s="612" t="s">
        <v>2365</v>
      </c>
    </row>
    <row r="4346" spans="1:7" ht="20.100000000000001" customHeight="1" x14ac:dyDescent="0.2">
      <c r="A4346" s="681" t="str">
        <f t="shared" si="60"/>
        <v>1427  060.013.015  Energia Eletrica</v>
      </c>
      <c r="B4346" s="636">
        <v>1427</v>
      </c>
      <c r="C4346" s="614"/>
      <c r="D4346" s="638" t="s">
        <v>4719</v>
      </c>
      <c r="E4346" s="165"/>
      <c r="F4346" s="614"/>
      <c r="G4346" s="612" t="s">
        <v>3097</v>
      </c>
    </row>
    <row r="4347" spans="1:7" ht="20.100000000000001" customHeight="1" x14ac:dyDescent="0.2">
      <c r="A4347" s="681" t="str">
        <f t="shared" si="60"/>
        <v>1428  060.013.016  Internet</v>
      </c>
      <c r="B4347" s="636">
        <v>1428</v>
      </c>
      <c r="C4347" s="614"/>
      <c r="D4347" s="638" t="s">
        <v>4720</v>
      </c>
      <c r="E4347" s="165"/>
      <c r="F4347" s="614"/>
      <c r="G4347" s="612" t="s">
        <v>2371</v>
      </c>
    </row>
    <row r="4348" spans="1:7" ht="20.100000000000001" customHeight="1" x14ac:dyDescent="0.2">
      <c r="A4348" s="681" t="str">
        <f t="shared" si="60"/>
        <v>1429  060.013.017  Telefone Fixo</v>
      </c>
      <c r="B4348" s="636">
        <v>1429</v>
      </c>
      <c r="C4348" s="614"/>
      <c r="D4348" s="638" t="s">
        <v>4721</v>
      </c>
      <c r="E4348" s="165"/>
      <c r="F4348" s="614"/>
      <c r="G4348" s="612" t="s">
        <v>1041</v>
      </c>
    </row>
    <row r="4349" spans="1:7" ht="20.100000000000001" customHeight="1" x14ac:dyDescent="0.2">
      <c r="A4349" s="681" t="str">
        <f t="shared" si="60"/>
        <v>1430  060.013.018  Telefone Celular</v>
      </c>
      <c r="B4349" s="636">
        <v>1430</v>
      </c>
      <c r="C4349" s="614"/>
      <c r="D4349" s="638" t="s">
        <v>4722</v>
      </c>
      <c r="E4349" s="165"/>
      <c r="F4349" s="614"/>
      <c r="G4349" s="612" t="s">
        <v>1150</v>
      </c>
    </row>
    <row r="4350" spans="1:7" ht="20.100000000000001" customHeight="1" x14ac:dyDescent="0.2">
      <c r="A4350" s="681" t="str">
        <f t="shared" si="60"/>
        <v>1431  060.013.019  Combustivel Veiculo IRY 2027</v>
      </c>
      <c r="B4350" s="636">
        <v>1431</v>
      </c>
      <c r="C4350" s="614"/>
      <c r="D4350" s="638" t="s">
        <v>4723</v>
      </c>
      <c r="E4350" s="165"/>
      <c r="F4350" s="614"/>
      <c r="G4350" s="612" t="s">
        <v>4570</v>
      </c>
    </row>
    <row r="4351" spans="1:7" ht="20.100000000000001" customHeight="1" x14ac:dyDescent="0.2">
      <c r="A4351" s="681" t="str">
        <f t="shared" si="60"/>
        <v>1432  060.013.020  Lubrificante Veiculo IRY 2027</v>
      </c>
      <c r="B4351" s="636">
        <v>1432</v>
      </c>
      <c r="C4351" s="614"/>
      <c r="D4351" s="638" t="s">
        <v>4724</v>
      </c>
      <c r="E4351" s="165"/>
      <c r="F4351" s="614"/>
      <c r="G4351" s="612" t="s">
        <v>4572</v>
      </c>
    </row>
    <row r="4352" spans="1:7" ht="20.100000000000001" customHeight="1" x14ac:dyDescent="0.2">
      <c r="A4352" s="681" t="str">
        <f t="shared" si="60"/>
        <v>1433  060.013.021  Material e Autopeças Veiculo IRY 2027</v>
      </c>
      <c r="B4352" s="636">
        <v>1433</v>
      </c>
      <c r="C4352" s="614"/>
      <c r="D4352" s="638" t="s">
        <v>4725</v>
      </c>
      <c r="E4352" s="165"/>
      <c r="F4352" s="614"/>
      <c r="G4352" s="612" t="s">
        <v>4576</v>
      </c>
    </row>
    <row r="4353" spans="1:7" ht="20.100000000000001" customHeight="1" x14ac:dyDescent="0.2">
      <c r="A4353" s="681" t="str">
        <f t="shared" si="60"/>
        <v>1435  060.013.022  Manutenção Veiculo IRY 2027</v>
      </c>
      <c r="B4353" s="636">
        <v>1435</v>
      </c>
      <c r="C4353" s="614"/>
      <c r="D4353" s="638" t="s">
        <v>4726</v>
      </c>
      <c r="E4353" s="165"/>
      <c r="F4353" s="614"/>
      <c r="G4353" s="612" t="s">
        <v>4580</v>
      </c>
    </row>
    <row r="4354" spans="1:7" ht="20.100000000000001" customHeight="1" x14ac:dyDescent="0.2">
      <c r="A4354" s="681" t="str">
        <f t="shared" si="60"/>
        <v>1434  060.013.023  Sonorização e Animação de Eventos - Terceira Idade</v>
      </c>
      <c r="B4354" s="636">
        <v>1434</v>
      </c>
      <c r="C4354" s="614"/>
      <c r="D4354" s="638" t="s">
        <v>4727</v>
      </c>
      <c r="E4354" s="165"/>
      <c r="F4354" s="614"/>
      <c r="G4354" s="612" t="s">
        <v>4728</v>
      </c>
    </row>
    <row r="4355" spans="1:7" ht="20.100000000000001" customHeight="1" x14ac:dyDescent="0.2">
      <c r="A4355" s="681" t="str">
        <f t="shared" si="60"/>
        <v>1436  060.013.024  Geral</v>
      </c>
      <c r="B4355" s="636">
        <v>1436</v>
      </c>
      <c r="C4355" s="614"/>
      <c r="D4355" s="638" t="s">
        <v>4729</v>
      </c>
      <c r="E4355" s="165"/>
      <c r="F4355" s="614"/>
      <c r="G4355" s="612" t="s">
        <v>2380</v>
      </c>
    </row>
    <row r="4356" spans="1:7" ht="20.100000000000001" customHeight="1" x14ac:dyDescent="0.2">
      <c r="A4356" s="681" t="str">
        <f t="shared" si="60"/>
        <v>1044  060.013.026  Serviços Bancários</v>
      </c>
      <c r="B4356" s="636">
        <v>1044</v>
      </c>
      <c r="C4356" s="614"/>
      <c r="D4356" s="638" t="s">
        <v>4730</v>
      </c>
      <c r="E4356" s="165"/>
      <c r="F4356" s="614"/>
      <c r="G4356" s="612" t="s">
        <v>1056</v>
      </c>
    </row>
    <row r="4357" spans="1:7" ht="20.100000000000001" customHeight="1" x14ac:dyDescent="0.2">
      <c r="A4357" s="681" t="str">
        <f t="shared" si="60"/>
        <v>1474  060.013.027  Aulas de Muaythai</v>
      </c>
      <c r="B4357" s="636">
        <v>1474</v>
      </c>
      <c r="C4357" s="614"/>
      <c r="D4357" s="638" t="s">
        <v>4731</v>
      </c>
      <c r="E4357" s="165"/>
      <c r="F4357" s="614"/>
      <c r="G4357" s="612" t="s">
        <v>4732</v>
      </c>
    </row>
    <row r="4358" spans="1:7" ht="20.100000000000001" customHeight="1" x14ac:dyDescent="0.2">
      <c r="A4358" s="681" t="str">
        <f t="shared" si="60"/>
        <v>1507  060.013.027  Outros materiais de Consumo</v>
      </c>
      <c r="B4358" s="636">
        <v>1507</v>
      </c>
      <c r="C4358" s="614"/>
      <c r="D4358" s="638" t="s">
        <v>4731</v>
      </c>
      <c r="E4358" s="165"/>
      <c r="F4358" s="614"/>
      <c r="G4358" s="612" t="s">
        <v>4733</v>
      </c>
    </row>
    <row r="4359" spans="1:7" ht="20.100000000000001" customHeight="1" x14ac:dyDescent="0.2">
      <c r="A4359" s="681" t="str">
        <f t="shared" si="60"/>
        <v>1475  060.013.028  Aulas de Artes e Teatro</v>
      </c>
      <c r="B4359" s="636">
        <v>1475</v>
      </c>
      <c r="C4359" s="614"/>
      <c r="D4359" s="638" t="s">
        <v>4734</v>
      </c>
      <c r="E4359" s="165"/>
      <c r="F4359" s="614"/>
      <c r="G4359" s="612" t="s">
        <v>4735</v>
      </c>
    </row>
    <row r="4360" spans="1:7" ht="20.100000000000001" customHeight="1" x14ac:dyDescent="0.2">
      <c r="A4360" s="681" t="str">
        <f t="shared" si="60"/>
        <v>1476  060.013.029  Aulas de Dança</v>
      </c>
      <c r="B4360" s="636">
        <v>1476</v>
      </c>
      <c r="C4360" s="614"/>
      <c r="D4360" s="638" t="s">
        <v>4736</v>
      </c>
      <c r="E4360" s="165"/>
      <c r="F4360" s="614"/>
      <c r="G4360" s="612" t="s">
        <v>4737</v>
      </c>
    </row>
    <row r="4361" spans="1:7" ht="20.100000000000001" customHeight="1" x14ac:dyDescent="0.2">
      <c r="A4361" s="681" t="str">
        <f t="shared" si="60"/>
        <v>1477  060.013.030  Aulas de Futebol</v>
      </c>
      <c r="B4361" s="636">
        <v>1477</v>
      </c>
      <c r="C4361" s="614"/>
      <c r="D4361" s="638" t="s">
        <v>4738</v>
      </c>
      <c r="E4361" s="165"/>
      <c r="F4361" s="614"/>
      <c r="G4361" s="612" t="s">
        <v>4739</v>
      </c>
    </row>
    <row r="4362" spans="1:7" ht="20.100000000000001" customHeight="1" x14ac:dyDescent="0.2">
      <c r="A4362" s="681" t="str">
        <f t="shared" si="60"/>
        <v>1478  060.013.031  Locação de Imóveis - CRAS</v>
      </c>
      <c r="B4362" s="636">
        <v>1478</v>
      </c>
      <c r="C4362" s="614"/>
      <c r="D4362" s="638" t="s">
        <v>4740</v>
      </c>
      <c r="E4362" s="165"/>
      <c r="F4362" s="614"/>
      <c r="G4362" s="612" t="s">
        <v>4741</v>
      </c>
    </row>
    <row r="4363" spans="1:7" ht="20.100000000000001" customHeight="1" x14ac:dyDescent="0.2">
      <c r="A4363" s="681" t="str">
        <f t="shared" si="60"/>
        <v>1506  060.013.032  Locação de Impressoras</v>
      </c>
      <c r="B4363" s="636">
        <v>1506</v>
      </c>
      <c r="C4363" s="614"/>
      <c r="D4363" s="638" t="s">
        <v>4742</v>
      </c>
      <c r="E4363" s="165"/>
      <c r="F4363" s="614"/>
      <c r="G4363" s="612" t="s">
        <v>3324</v>
      </c>
    </row>
    <row r="4364" spans="1:7" ht="20.100000000000001" customHeight="1" x14ac:dyDescent="0.2">
      <c r="A4364" s="681" t="str">
        <f t="shared" ref="A4364:A4394" si="61">CONCATENATE(B4364,"  ",D4364,"  ",G4364)</f>
        <v>1437  060.014.000  APLICAÇÃO DE RECURSOS: PTMC</v>
      </c>
      <c r="B4364" s="636">
        <v>1437</v>
      </c>
      <c r="C4364" s="614"/>
      <c r="D4364" s="638" t="s">
        <v>4743</v>
      </c>
      <c r="E4364" s="165"/>
      <c r="F4364" s="614"/>
      <c r="G4364" s="612" t="s">
        <v>4744</v>
      </c>
    </row>
    <row r="4365" spans="1:7" ht="20.100000000000001" customHeight="1" x14ac:dyDescent="0.2">
      <c r="A4365" s="681" t="str">
        <f t="shared" si="61"/>
        <v>1438  060.015.000  APLICAÇÃO DE RECURSOS: ACESSUAS</v>
      </c>
      <c r="B4365" s="636">
        <v>1438</v>
      </c>
      <c r="C4365" s="614"/>
      <c r="D4365" s="638" t="s">
        <v>4745</v>
      </c>
      <c r="E4365" s="165"/>
      <c r="F4365" s="614"/>
      <c r="G4365" s="612" t="s">
        <v>4746</v>
      </c>
    </row>
    <row r="4366" spans="1:7" ht="20.100000000000001" customHeight="1" x14ac:dyDescent="0.2">
      <c r="A4366" s="681" t="str">
        <f t="shared" si="61"/>
        <v>1518  060.015.001  Serviços de Transporte</v>
      </c>
      <c r="B4366" s="636">
        <v>1518</v>
      </c>
      <c r="C4366" s="614"/>
      <c r="D4366" s="638" t="s">
        <v>4747</v>
      </c>
      <c r="E4366" s="165"/>
      <c r="F4366" s="614"/>
      <c r="G4366" s="612" t="s">
        <v>4748</v>
      </c>
    </row>
    <row r="4367" spans="1:7" ht="20.100000000000001" customHeight="1" x14ac:dyDescent="0.2">
      <c r="A4367" s="681" t="str">
        <f t="shared" si="61"/>
        <v>1439  060.016.000  APLICAÇÃO DE RECURSOS: FEAS</v>
      </c>
      <c r="B4367" s="636">
        <v>1439</v>
      </c>
      <c r="C4367" s="614"/>
      <c r="D4367" s="638" t="s">
        <v>4749</v>
      </c>
      <c r="E4367" s="165"/>
      <c r="F4367" s="614"/>
      <c r="G4367" s="612" t="s">
        <v>4750</v>
      </c>
    </row>
    <row r="4368" spans="1:7" ht="20.100000000000001" customHeight="1" x14ac:dyDescent="0.2">
      <c r="A4368" s="681" t="str">
        <f t="shared" si="61"/>
        <v>1440  060.016.001  Material de Expediente</v>
      </c>
      <c r="B4368" s="636">
        <v>1440</v>
      </c>
      <c r="C4368" s="614"/>
      <c r="D4368" s="638" t="s">
        <v>4751</v>
      </c>
      <c r="E4368" s="165"/>
      <c r="F4368" s="614"/>
      <c r="G4368" s="612" t="s">
        <v>2346</v>
      </c>
    </row>
    <row r="4369" spans="1:7" ht="20.100000000000001" customHeight="1" x14ac:dyDescent="0.2">
      <c r="A4369" s="681" t="str">
        <f t="shared" si="61"/>
        <v>1441  060.016.002  Generos Alimenticios</v>
      </c>
      <c r="B4369" s="636">
        <v>1441</v>
      </c>
      <c r="C4369" s="614"/>
      <c r="D4369" s="638" t="s">
        <v>4752</v>
      </c>
      <c r="E4369" s="165"/>
      <c r="F4369" s="614"/>
      <c r="G4369" s="612" t="s">
        <v>2340</v>
      </c>
    </row>
    <row r="4370" spans="1:7" ht="20.100000000000001" customHeight="1" x14ac:dyDescent="0.2">
      <c r="A4370" s="681" t="str">
        <f t="shared" si="61"/>
        <v>1442  060.016.003  Seleção e Treinamento</v>
      </c>
      <c r="B4370" s="636">
        <v>1442</v>
      </c>
      <c r="C4370" s="614"/>
      <c r="D4370" s="638" t="s">
        <v>4753</v>
      </c>
      <c r="E4370" s="165"/>
      <c r="F4370" s="614"/>
      <c r="G4370" s="612" t="s">
        <v>2369</v>
      </c>
    </row>
    <row r="4371" spans="1:7" ht="20.100000000000001" customHeight="1" x14ac:dyDescent="0.2">
      <c r="A4371" s="681" t="str">
        <f t="shared" si="61"/>
        <v>1443  060.016.004  Aquisição de Equipamentos Informática</v>
      </c>
      <c r="B4371" s="636">
        <v>1443</v>
      </c>
      <c r="C4371" s="614"/>
      <c r="D4371" s="638" t="s">
        <v>4754</v>
      </c>
      <c r="E4371" s="165"/>
      <c r="F4371" s="614"/>
      <c r="G4371" s="612" t="s">
        <v>4641</v>
      </c>
    </row>
    <row r="4372" spans="1:7" ht="20.100000000000001" customHeight="1" x14ac:dyDescent="0.2">
      <c r="A4372" s="681" t="str">
        <f t="shared" si="61"/>
        <v>1444  060.016.005  Aquisição de Mobiliario</v>
      </c>
      <c r="B4372" s="636">
        <v>1444</v>
      </c>
      <c r="C4372" s="614"/>
      <c r="D4372" s="638" t="s">
        <v>4755</v>
      </c>
      <c r="E4372" s="165"/>
      <c r="F4372" s="614"/>
      <c r="G4372" s="612" t="s">
        <v>3360</v>
      </c>
    </row>
    <row r="4373" spans="1:7" ht="20.100000000000001" customHeight="1" x14ac:dyDescent="0.2">
      <c r="A4373" s="681" t="str">
        <f t="shared" si="61"/>
        <v>1445  060.016.006  Aquisição de Moveis e Utensilios</v>
      </c>
      <c r="B4373" s="636">
        <v>1445</v>
      </c>
      <c r="C4373" s="614"/>
      <c r="D4373" s="638" t="s">
        <v>4756</v>
      </c>
      <c r="E4373" s="165"/>
      <c r="F4373" s="614"/>
      <c r="G4373" s="612" t="s">
        <v>4645</v>
      </c>
    </row>
    <row r="4374" spans="1:7" ht="20.100000000000001" customHeight="1" x14ac:dyDescent="0.2">
      <c r="A4374" s="681" t="str">
        <f t="shared" si="61"/>
        <v>1446  060.016.007  Geral</v>
      </c>
      <c r="B4374" s="636">
        <v>1446</v>
      </c>
      <c r="C4374" s="614"/>
      <c r="D4374" s="638" t="s">
        <v>4757</v>
      </c>
      <c r="E4374" s="165"/>
      <c r="F4374" s="614"/>
      <c r="G4374" s="612" t="s">
        <v>2380</v>
      </c>
    </row>
    <row r="4375" spans="1:7" ht="20.100000000000001" customHeight="1" x14ac:dyDescent="0.2">
      <c r="A4375" s="681" t="str">
        <f t="shared" si="61"/>
        <v>1447  060.017.000  APLICAÇÃO DE RECURSOS: BPC</v>
      </c>
      <c r="B4375" s="636">
        <v>1447</v>
      </c>
      <c r="C4375" s="614"/>
      <c r="D4375" s="638" t="s">
        <v>4758</v>
      </c>
      <c r="E4375" s="165"/>
      <c r="F4375" s="614"/>
      <c r="G4375" s="612" t="s">
        <v>4759</v>
      </c>
    </row>
    <row r="4376" spans="1:7" ht="20.100000000000001" customHeight="1" x14ac:dyDescent="0.2">
      <c r="A4376" s="681" t="str">
        <f t="shared" si="61"/>
        <v>1455  060.018.000  FUNDO DA CRIANÇA E ADOLESCENTE</v>
      </c>
      <c r="B4376" s="636">
        <v>1455</v>
      </c>
      <c r="C4376" s="614"/>
      <c r="D4376" s="638" t="s">
        <v>4760</v>
      </c>
      <c r="E4376" s="165"/>
      <c r="F4376" s="614"/>
      <c r="G4376" s="612" t="s">
        <v>4761</v>
      </c>
    </row>
    <row r="4377" spans="1:7" ht="20.100000000000001" customHeight="1" x14ac:dyDescent="0.2">
      <c r="A4377" s="681" t="str">
        <f t="shared" si="61"/>
        <v>1456  060.018.001  Gêneros Alimenticios</v>
      </c>
      <c r="B4377" s="636">
        <v>1456</v>
      </c>
      <c r="C4377" s="614"/>
      <c r="D4377" s="638" t="s">
        <v>4762</v>
      </c>
      <c r="E4377" s="165"/>
      <c r="F4377" s="614"/>
      <c r="G4377" s="612" t="s">
        <v>3749</v>
      </c>
    </row>
    <row r="4378" spans="1:7" ht="20.100000000000001" customHeight="1" x14ac:dyDescent="0.2">
      <c r="A4378" s="681" t="str">
        <f t="shared" si="61"/>
        <v>1457  060.018.002  Materiais</v>
      </c>
      <c r="B4378" s="636">
        <v>1457</v>
      </c>
      <c r="C4378" s="614"/>
      <c r="D4378" s="638" t="s">
        <v>4763</v>
      </c>
      <c r="E4378" s="165"/>
      <c r="F4378" s="614"/>
      <c r="G4378" s="612" t="s">
        <v>2702</v>
      </c>
    </row>
    <row r="4379" spans="1:7" ht="20.100000000000001" customHeight="1" x14ac:dyDescent="0.2">
      <c r="A4379" s="681" t="str">
        <f t="shared" si="61"/>
        <v>1458  060.018.003  Serviços Pessoa Fisica</v>
      </c>
      <c r="B4379" s="636">
        <v>1458</v>
      </c>
      <c r="C4379" s="614"/>
      <c r="D4379" s="638" t="s">
        <v>4764</v>
      </c>
      <c r="E4379" s="165"/>
      <c r="F4379" s="614"/>
      <c r="G4379" s="612" t="s">
        <v>4470</v>
      </c>
    </row>
    <row r="4380" spans="1:7" ht="20.100000000000001" customHeight="1" x14ac:dyDescent="0.2">
      <c r="A4380" s="681" t="str">
        <f t="shared" si="61"/>
        <v>1459  060.018.004  Serviço Pessoa Juridica</v>
      </c>
      <c r="B4380" s="636">
        <v>1459</v>
      </c>
      <c r="C4380" s="614"/>
      <c r="D4380" s="638" t="s">
        <v>4765</v>
      </c>
      <c r="E4380" s="165"/>
      <c r="F4380" s="614"/>
      <c r="G4380" s="612" t="s">
        <v>4766</v>
      </c>
    </row>
    <row r="4381" spans="1:7" ht="20.100000000000001" customHeight="1" x14ac:dyDescent="0.2">
      <c r="A4381" s="681" t="str">
        <f t="shared" si="61"/>
        <v>1460  060.018.005  Palestras</v>
      </c>
      <c r="B4381" s="636">
        <v>1460</v>
      </c>
      <c r="C4381" s="614"/>
      <c r="D4381" s="638" t="s">
        <v>4767</v>
      </c>
      <c r="E4381" s="165"/>
      <c r="F4381" s="614"/>
      <c r="G4381" s="612" t="s">
        <v>4768</v>
      </c>
    </row>
    <row r="4382" spans="1:7" ht="20.100000000000001" customHeight="1" x14ac:dyDescent="0.2">
      <c r="A4382" s="681" t="str">
        <f t="shared" si="61"/>
        <v>1461  060.018.006  Geral</v>
      </c>
      <c r="B4382" s="636">
        <v>1461</v>
      </c>
      <c r="C4382" s="614"/>
      <c r="D4382" s="638" t="s">
        <v>4769</v>
      </c>
      <c r="E4382" s="165"/>
      <c r="F4382" s="614"/>
      <c r="G4382" s="612" t="s">
        <v>2380</v>
      </c>
    </row>
    <row r="4383" spans="1:7" ht="20.100000000000001" customHeight="1" x14ac:dyDescent="0.2">
      <c r="A4383" s="681" t="str">
        <f t="shared" si="61"/>
        <v>1645  060.019.000  MANUTENCAO DO CRAS</v>
      </c>
      <c r="B4383" s="636">
        <v>1645</v>
      </c>
      <c r="C4383" s="614"/>
      <c r="D4383" s="638" t="s">
        <v>4770</v>
      </c>
      <c r="E4383" s="165"/>
      <c r="F4383" s="614"/>
      <c r="G4383" s="612" t="s">
        <v>4771</v>
      </c>
    </row>
    <row r="4384" spans="1:7" ht="20.100000000000001" customHeight="1" x14ac:dyDescent="0.2">
      <c r="A4384" s="681" t="str">
        <f t="shared" si="61"/>
        <v>1646  060.019.001  Manutenao do Equipamento de Incendio</v>
      </c>
      <c r="B4384" s="636">
        <v>1646</v>
      </c>
      <c r="C4384" s="614"/>
      <c r="D4384" s="638" t="s">
        <v>4772</v>
      </c>
      <c r="E4384" s="165"/>
      <c r="F4384" s="614"/>
      <c r="G4384" s="612" t="s">
        <v>4773</v>
      </c>
    </row>
    <row r="4385" spans="1:7" ht="20.100000000000001" customHeight="1" x14ac:dyDescent="0.2">
      <c r="A4385" s="681" t="str">
        <f t="shared" si="61"/>
        <v>1611  061.000.000  TELECENTRO</v>
      </c>
      <c r="B4385" s="636">
        <v>1611</v>
      </c>
      <c r="C4385" s="614"/>
      <c r="D4385" s="638" t="s">
        <v>4774</v>
      </c>
      <c r="E4385" s="165"/>
      <c r="F4385" s="614"/>
      <c r="G4385" s="612" t="s">
        <v>4775</v>
      </c>
    </row>
    <row r="4386" spans="1:7" ht="20.100000000000001" customHeight="1" x14ac:dyDescent="0.2">
      <c r="A4386" s="681" t="str">
        <f t="shared" si="61"/>
        <v>1612  061.001.000  Suprimentos de Informática</v>
      </c>
      <c r="B4386" s="636">
        <v>1612</v>
      </c>
      <c r="C4386" s="614"/>
      <c r="D4386" s="638" t="s">
        <v>4776</v>
      </c>
      <c r="E4386" s="165"/>
      <c r="F4386" s="614"/>
      <c r="G4386" s="612" t="s">
        <v>2435</v>
      </c>
    </row>
    <row r="4387" spans="1:7" ht="20.100000000000001" customHeight="1" x14ac:dyDescent="0.2">
      <c r="A4387" s="681" t="str">
        <f t="shared" si="61"/>
        <v>1613  061.002.000  Manutenção de Equipamentos</v>
      </c>
      <c r="B4387" s="636">
        <v>1613</v>
      </c>
      <c r="C4387" s="614"/>
      <c r="D4387" s="638" t="s">
        <v>4777</v>
      </c>
      <c r="E4387" s="165"/>
      <c r="F4387" s="614"/>
      <c r="G4387" s="612" t="s">
        <v>4778</v>
      </c>
    </row>
    <row r="4388" spans="1:7" ht="20.100000000000001" customHeight="1" x14ac:dyDescent="0.2">
      <c r="A4388" s="681" t="str">
        <f t="shared" si="61"/>
        <v>1614  061.003.000  Aquisição de Equipamentos</v>
      </c>
      <c r="B4388" s="636">
        <v>1614</v>
      </c>
      <c r="C4388" s="614"/>
      <c r="D4388" s="638" t="s">
        <v>4779</v>
      </c>
      <c r="E4388" s="165"/>
      <c r="F4388" s="614"/>
      <c r="G4388" s="612" t="s">
        <v>4780</v>
      </c>
    </row>
    <row r="4389" spans="1:7" ht="20.100000000000001" customHeight="1" x14ac:dyDescent="0.2">
      <c r="A4389" s="681" t="str">
        <f t="shared" si="61"/>
        <v>1765  062.000.000  AQUISIÇÃO DE MATERIAIS, BENS E SERVICOS CONSÓRCIO INTERM. CENTROSUL</v>
      </c>
      <c r="B4389" s="636">
        <v>1765</v>
      </c>
      <c r="C4389" s="614"/>
      <c r="D4389" s="638" t="s">
        <v>6192</v>
      </c>
      <c r="E4389" s="165"/>
      <c r="F4389" s="614"/>
      <c r="G4389" s="612" t="s">
        <v>6193</v>
      </c>
    </row>
    <row r="4390" spans="1:7" ht="20.100000000000001" customHeight="1" x14ac:dyDescent="0.2">
      <c r="A4390" s="681" t="str">
        <f t="shared" si="61"/>
        <v>1766  062.001.000  GABINETE DO PREFEITO</v>
      </c>
      <c r="B4390" s="636">
        <v>1766</v>
      </c>
      <c r="C4390" s="614"/>
      <c r="D4390" s="638" t="s">
        <v>6194</v>
      </c>
      <c r="E4390" s="165"/>
      <c r="F4390" s="614"/>
      <c r="G4390" s="612" t="s">
        <v>111</v>
      </c>
    </row>
    <row r="4391" spans="1:7" ht="20.100000000000001" customHeight="1" x14ac:dyDescent="0.2">
      <c r="A4391" s="681" t="str">
        <f t="shared" si="61"/>
        <v>1767  062.001.001  Material de Expediente</v>
      </c>
      <c r="B4391" s="636">
        <v>1767</v>
      </c>
      <c r="C4391" s="614"/>
      <c r="D4391" s="638" t="s">
        <v>6195</v>
      </c>
      <c r="E4391" s="165"/>
      <c r="F4391" s="614"/>
      <c r="G4391" s="612" t="s">
        <v>2346</v>
      </c>
    </row>
    <row r="4392" spans="1:7" ht="20.100000000000001" customHeight="1" x14ac:dyDescent="0.2">
      <c r="A4392" s="681" t="str">
        <f t="shared" si="61"/>
        <v>1768  062.001.002  Material de Limpeza e Higiene</v>
      </c>
      <c r="B4392" s="636">
        <v>1768</v>
      </c>
      <c r="C4392" s="614"/>
      <c r="D4392" s="638" t="s">
        <v>6196</v>
      </c>
      <c r="E4392" s="165"/>
      <c r="F4392" s="614"/>
      <c r="G4392" s="612" t="s">
        <v>2569</v>
      </c>
    </row>
    <row r="4393" spans="1:7" ht="20.100000000000001" customHeight="1" x14ac:dyDescent="0.2">
      <c r="A4393" s="681" t="str">
        <f t="shared" si="61"/>
        <v>1850  063.000.000  Reserva De Contingência</v>
      </c>
      <c r="B4393" s="636">
        <v>1850</v>
      </c>
      <c r="C4393" s="614"/>
      <c r="D4393" s="698" t="s">
        <v>7896</v>
      </c>
      <c r="E4393" s="165"/>
      <c r="F4393" s="614"/>
      <c r="G4393" s="738" t="s">
        <v>7895</v>
      </c>
    </row>
    <row r="4394" spans="1:7" ht="20.100000000000001" customHeight="1" x14ac:dyDescent="0.2">
      <c r="A4394" s="681" t="str">
        <f t="shared" si="61"/>
        <v>9999  999.999.999  Geral</v>
      </c>
      <c r="B4394" s="636">
        <v>9999</v>
      </c>
      <c r="C4394" s="614"/>
      <c r="D4394" s="638" t="s">
        <v>4781</v>
      </c>
      <c r="E4394" s="165"/>
      <c r="F4394" s="614"/>
      <c r="G4394" s="612" t="s">
        <v>2380</v>
      </c>
    </row>
  </sheetData>
  <mergeCells count="83">
    <mergeCell ref="D2718:E2718"/>
    <mergeCell ref="G2718:I2718"/>
    <mergeCell ref="D2722:E2722"/>
    <mergeCell ref="G2722:I2722"/>
    <mergeCell ref="D2719:E2719"/>
    <mergeCell ref="G2719:I2719"/>
    <mergeCell ref="D2720:E2720"/>
    <mergeCell ref="G2720:I2720"/>
    <mergeCell ref="D2721:E2721"/>
    <mergeCell ref="G2721:I2721"/>
    <mergeCell ref="D2715:E2715"/>
    <mergeCell ref="G2715:I2715"/>
    <mergeCell ref="D2716:E2716"/>
    <mergeCell ref="G2716:I2716"/>
    <mergeCell ref="D2717:E2717"/>
    <mergeCell ref="G2717:I2717"/>
    <mergeCell ref="D2712:E2712"/>
    <mergeCell ref="G2712:I2712"/>
    <mergeCell ref="D2713:E2713"/>
    <mergeCell ref="G2713:I2713"/>
    <mergeCell ref="D2714:E2714"/>
    <mergeCell ref="G2714:I2714"/>
    <mergeCell ref="D2709:E2709"/>
    <mergeCell ref="G2709:I2709"/>
    <mergeCell ref="D2710:E2710"/>
    <mergeCell ref="G2710:I2710"/>
    <mergeCell ref="D2711:E2711"/>
    <mergeCell ref="G2711:I2711"/>
    <mergeCell ref="D2706:E2706"/>
    <mergeCell ref="G2706:I2706"/>
    <mergeCell ref="D2707:E2707"/>
    <mergeCell ref="G2707:I2707"/>
    <mergeCell ref="D2708:E2708"/>
    <mergeCell ref="G2708:I2708"/>
    <mergeCell ref="D2703:E2703"/>
    <mergeCell ref="G2703:I2703"/>
    <mergeCell ref="D2704:E2704"/>
    <mergeCell ref="G2704:I2704"/>
    <mergeCell ref="D2705:E2705"/>
    <mergeCell ref="G2705:I2705"/>
    <mergeCell ref="G2628:I2628"/>
    <mergeCell ref="D2629:E2629"/>
    <mergeCell ref="D2626:E2626"/>
    <mergeCell ref="G2626:I2626"/>
    <mergeCell ref="G2631:I2631"/>
    <mergeCell ref="D2628:E2628"/>
    <mergeCell ref="G2629:I2629"/>
    <mergeCell ref="D2702:E2702"/>
    <mergeCell ref="G2702:I2702"/>
    <mergeCell ref="D2630:E2630"/>
    <mergeCell ref="G2630:I2630"/>
    <mergeCell ref="D2631:E2631"/>
    <mergeCell ref="D2701:E2701"/>
    <mergeCell ref="G2701:I2701"/>
    <mergeCell ref="G2614:I2614"/>
    <mergeCell ref="G2615:I2615"/>
    <mergeCell ref="G2616:I2616"/>
    <mergeCell ref="G2617:I2617"/>
    <mergeCell ref="D2627:E2627"/>
    <mergeCell ref="G2627:I2627"/>
    <mergeCell ref="G2622:I2622"/>
    <mergeCell ref="D2623:E2623"/>
    <mergeCell ref="G2623:I2623"/>
    <mergeCell ref="D2624:E2624"/>
    <mergeCell ref="G2624:I2624"/>
    <mergeCell ref="G2621:I2621"/>
    <mergeCell ref="D2622:E2622"/>
    <mergeCell ref="G3148:K3148"/>
    <mergeCell ref="G3149:K3149"/>
    <mergeCell ref="G3150:L3150"/>
    <mergeCell ref="C2:D2"/>
    <mergeCell ref="C3:D3"/>
    <mergeCell ref="B2610:G2610"/>
    <mergeCell ref="A458:K458"/>
    <mergeCell ref="D2618:E2618"/>
    <mergeCell ref="G2618:I2618"/>
    <mergeCell ref="D2619:E2619"/>
    <mergeCell ref="G2619:I2619"/>
    <mergeCell ref="D2620:E2620"/>
    <mergeCell ref="G2620:I2620"/>
    <mergeCell ref="D2625:E2625"/>
    <mergeCell ref="G2625:I2625"/>
    <mergeCell ref="D2621:E262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2131"/>
  <sheetViews>
    <sheetView topLeftCell="C1" zoomScale="140" zoomScaleNormal="140" workbookViewId="0">
      <selection activeCell="F794" sqref="F794"/>
    </sheetView>
  </sheetViews>
  <sheetFormatPr defaultRowHeight="15.75" x14ac:dyDescent="0.25"/>
  <cols>
    <col min="1" max="1" width="4.85546875" style="122" customWidth="1"/>
    <col min="2" max="2" width="6.85546875" style="122" customWidth="1"/>
    <col min="3" max="3" width="94.5703125" style="122" customWidth="1"/>
    <col min="4" max="5" width="16.140625" style="922" customWidth="1"/>
    <col min="6" max="6" width="15.85546875" style="934" customWidth="1"/>
    <col min="7" max="7" width="14.28515625" style="122" bestFit="1" customWidth="1"/>
    <col min="8" max="8" width="11.5703125" style="122" bestFit="1" customWidth="1"/>
    <col min="9" max="9" width="13.140625" style="122" bestFit="1" customWidth="1"/>
    <col min="10" max="16384" width="9.140625" style="122"/>
  </cols>
  <sheetData>
    <row r="1" spans="1:8" x14ac:dyDescent="0.25">
      <c r="A1" s="1375" t="str">
        <f>'CADASTRO BASE RECEITA '!A$1</f>
        <v>PROPOSTA ORÇAMENTÁRIA PARA 2016</v>
      </c>
      <c r="B1" s="1375"/>
      <c r="C1" s="1375"/>
      <c r="D1" s="1375"/>
      <c r="E1" s="1375"/>
      <c r="F1" s="1375"/>
    </row>
    <row r="2" spans="1:8" ht="16.5" thickBot="1" x14ac:dyDescent="0.3">
      <c r="B2" s="123"/>
      <c r="C2" s="123"/>
      <c r="D2" s="904"/>
      <c r="E2" s="904"/>
      <c r="F2" s="124"/>
    </row>
    <row r="3" spans="1:8" ht="28.5" customHeight="1" thickBot="1" x14ac:dyDescent="0.3">
      <c r="A3" s="247" t="s">
        <v>106</v>
      </c>
      <c r="B3" s="227" t="s">
        <v>445</v>
      </c>
      <c r="C3" s="228" t="s">
        <v>107</v>
      </c>
      <c r="D3" s="905"/>
      <c r="E3" s="905">
        <v>2015</v>
      </c>
      <c r="F3" s="248">
        <v>2016</v>
      </c>
      <c r="G3" s="229">
        <v>2017</v>
      </c>
      <c r="H3" s="229">
        <v>2018</v>
      </c>
    </row>
    <row r="4" spans="1:8" x14ac:dyDescent="0.25">
      <c r="A4" s="125">
        <v>1</v>
      </c>
      <c r="B4" s="1376" t="s">
        <v>299</v>
      </c>
      <c r="C4" s="126" t="s">
        <v>451</v>
      </c>
      <c r="D4" s="906"/>
      <c r="E4" s="906" t="s">
        <v>11540</v>
      </c>
      <c r="F4" s="127">
        <f>(Parâmetros!D6+Parâmetros!D7)/2</f>
        <v>5.5500000000000001E-2</v>
      </c>
      <c r="G4" s="127">
        <f>(Parâmetros!E6+Parâmetros!E7)/2</f>
        <v>0.05</v>
      </c>
      <c r="H4" s="127">
        <f>(Parâmetros!F6+Parâmetros!F7)/2</f>
        <v>4.7350000000000003E-2</v>
      </c>
    </row>
    <row r="5" spans="1:8" x14ac:dyDescent="0.25">
      <c r="A5" s="125">
        <v>2</v>
      </c>
      <c r="B5" s="1376"/>
      <c r="C5" s="126" t="s">
        <v>300</v>
      </c>
      <c r="D5" s="906"/>
      <c r="E5" s="906" t="s">
        <v>11540</v>
      </c>
      <c r="F5" s="128">
        <f>Parâmetros!D8</f>
        <v>1.2999999999999999E-2</v>
      </c>
      <c r="G5" s="128">
        <f>Parâmetros!E8</f>
        <v>1.9E-2</v>
      </c>
      <c r="H5" s="128">
        <f>Parâmetros!F8</f>
        <v>2.4E-2</v>
      </c>
    </row>
    <row r="6" spans="1:8" x14ac:dyDescent="0.25">
      <c r="A6" s="125">
        <v>3</v>
      </c>
      <c r="B6" s="1376"/>
      <c r="C6" s="126" t="s">
        <v>301</v>
      </c>
      <c r="D6" s="906"/>
      <c r="E6" s="906" t="s">
        <v>11540</v>
      </c>
      <c r="F6" s="128">
        <f>Parâmetros!D9</f>
        <v>0.115</v>
      </c>
      <c r="G6" s="128">
        <f>Parâmetros!E9</f>
        <v>0.105</v>
      </c>
      <c r="H6" s="128">
        <f>Parâmetros!F9</f>
        <v>0.1</v>
      </c>
    </row>
    <row r="7" spans="1:8" x14ac:dyDescent="0.25">
      <c r="A7" s="125">
        <v>4</v>
      </c>
      <c r="B7" s="1376"/>
      <c r="C7" s="126" t="s">
        <v>416</v>
      </c>
      <c r="D7" s="906"/>
      <c r="E7" s="906" t="s">
        <v>11540</v>
      </c>
      <c r="F7" s="128">
        <f>Parâmetros!D10</f>
        <v>3.3000000000000002E-2</v>
      </c>
      <c r="G7" s="128">
        <f>Parâmetros!E10</f>
        <v>3.2199999999999999E-2</v>
      </c>
      <c r="H7" s="128">
        <f>Parâmetros!F10</f>
        <v>3.3000000000000002E-2</v>
      </c>
    </row>
    <row r="8" spans="1:8" x14ac:dyDescent="0.25">
      <c r="A8" s="125">
        <v>5</v>
      </c>
      <c r="B8" s="1376"/>
      <c r="C8" s="130" t="s">
        <v>212</v>
      </c>
      <c r="D8" s="908"/>
      <c r="E8" s="908" t="s">
        <v>11540</v>
      </c>
      <c r="F8" s="128">
        <f>'MEDIA DE AUMENTOS 97 A 2012'!D26-F4-1.65%</f>
        <v>-1.7591052631556192E-5</v>
      </c>
      <c r="G8" s="128">
        <f>'MEDIA DE AUMENTOS 97 A 2012'!D26-G4</f>
        <v>2.1982408947368443E-2</v>
      </c>
      <c r="H8" s="128">
        <f>'MEDIA DE AUMENTOS 97 A 2012'!D26-H4</f>
        <v>2.4632408947368442E-2</v>
      </c>
    </row>
    <row r="9" spans="1:8" x14ac:dyDescent="0.25">
      <c r="A9" s="1378" t="s">
        <v>6441</v>
      </c>
      <c r="B9" s="1378"/>
      <c r="C9" s="1378"/>
      <c r="D9" s="1378"/>
      <c r="E9" s="1378"/>
      <c r="F9" s="1378"/>
    </row>
    <row r="10" spans="1:8" x14ac:dyDescent="0.25">
      <c r="A10" s="122">
        <v>6</v>
      </c>
      <c r="B10" s="1377" t="s">
        <v>446</v>
      </c>
      <c r="C10" s="125" t="s">
        <v>108</v>
      </c>
      <c r="D10" s="907"/>
      <c r="E10" s="907" t="s">
        <v>11540</v>
      </c>
      <c r="F10" s="128">
        <f>'CRESCIMENTO MED DA DESPESA O.U.'!M429</f>
        <v>4.5410021417734286E-3</v>
      </c>
      <c r="G10" s="122" t="s">
        <v>1963</v>
      </c>
    </row>
    <row r="11" spans="1:8" x14ac:dyDescent="0.25">
      <c r="A11" s="125">
        <v>7</v>
      </c>
      <c r="B11" s="1377"/>
      <c r="C11" s="130" t="s">
        <v>6833</v>
      </c>
      <c r="D11" s="908"/>
      <c r="E11" s="908" t="s">
        <v>11540</v>
      </c>
      <c r="F11" s="128">
        <v>0</v>
      </c>
      <c r="G11" s="122" t="s">
        <v>1963</v>
      </c>
    </row>
    <row r="12" spans="1:8" x14ac:dyDescent="0.25">
      <c r="A12" s="125">
        <v>8</v>
      </c>
      <c r="B12" s="1377"/>
      <c r="C12" s="126" t="s">
        <v>449</v>
      </c>
      <c r="D12" s="906"/>
      <c r="E12" s="906" t="s">
        <v>11540</v>
      </c>
      <c r="F12" s="128">
        <v>0.21</v>
      </c>
      <c r="G12" s="122" t="s">
        <v>1963</v>
      </c>
    </row>
    <row r="13" spans="1:8" x14ac:dyDescent="0.25">
      <c r="A13" s="125">
        <v>9</v>
      </c>
      <c r="B13" s="1377"/>
      <c r="C13" s="126" t="s">
        <v>6838</v>
      </c>
      <c r="D13" s="906"/>
      <c r="E13" s="906" t="s">
        <v>11540</v>
      </c>
      <c r="F13" s="128">
        <v>0.2</v>
      </c>
      <c r="G13" s="122" t="s">
        <v>1963</v>
      </c>
    </row>
    <row r="14" spans="1:8" x14ac:dyDescent="0.25">
      <c r="A14" s="125">
        <v>10</v>
      </c>
      <c r="B14" s="1377"/>
      <c r="C14" s="126" t="s">
        <v>902</v>
      </c>
      <c r="D14" s="906"/>
      <c r="E14" s="906" t="s">
        <v>11540</v>
      </c>
      <c r="F14" s="128">
        <v>0.15</v>
      </c>
      <c r="G14" s="122" t="s">
        <v>1963</v>
      </c>
    </row>
    <row r="15" spans="1:8" x14ac:dyDescent="0.25">
      <c r="A15" s="125">
        <v>11</v>
      </c>
      <c r="B15" s="1377"/>
      <c r="C15" s="126" t="s">
        <v>2173</v>
      </c>
      <c r="D15" s="906"/>
      <c r="E15" s="906" t="s">
        <v>11540</v>
      </c>
      <c r="F15" s="925">
        <v>6.2E-2</v>
      </c>
      <c r="G15" s="122" t="s">
        <v>1963</v>
      </c>
    </row>
    <row r="16" spans="1:8" x14ac:dyDescent="0.25">
      <c r="A16" s="125"/>
      <c r="B16" s="1377"/>
      <c r="C16" s="126"/>
      <c r="D16" s="906"/>
      <c r="E16" s="906"/>
      <c r="F16" s="925"/>
    </row>
    <row r="17" spans="1:7" x14ac:dyDescent="0.25">
      <c r="A17" s="125">
        <v>12</v>
      </c>
      <c r="B17" s="1377"/>
      <c r="C17" s="126" t="s">
        <v>109</v>
      </c>
      <c r="D17" s="906"/>
      <c r="E17" s="906"/>
      <c r="F17" s="926">
        <f>'Dem. de gastos do Legislativo'!E36</f>
        <v>727283.88914999994</v>
      </c>
      <c r="G17" s="122" t="s">
        <v>1963</v>
      </c>
    </row>
    <row r="18" spans="1:7" s="123" customFormat="1" x14ac:dyDescent="0.25">
      <c r="A18" s="596">
        <v>13</v>
      </c>
      <c r="B18" s="1377"/>
      <c r="C18" s="597" t="s">
        <v>2295</v>
      </c>
      <c r="D18" s="909"/>
      <c r="E18" s="909"/>
      <c r="F18" s="598">
        <f>SUM(F19:F25)</f>
        <v>8500</v>
      </c>
    </row>
    <row r="19" spans="1:7" x14ac:dyDescent="0.25">
      <c r="A19" s="125">
        <f>A17+1</f>
        <v>13</v>
      </c>
      <c r="B19" s="1377"/>
      <c r="C19" s="126" t="s">
        <v>2176</v>
      </c>
      <c r="D19" s="906"/>
      <c r="E19" s="906"/>
      <c r="F19" s="129">
        <v>3500</v>
      </c>
      <c r="G19" s="122" t="s">
        <v>1963</v>
      </c>
    </row>
    <row r="20" spans="1:7" s="123" customFormat="1" x14ac:dyDescent="0.25">
      <c r="A20" s="125">
        <f t="shared" ref="A20:A74" si="0">A18+1</f>
        <v>14</v>
      </c>
      <c r="B20" s="1377"/>
      <c r="C20" s="126" t="s">
        <v>6842</v>
      </c>
      <c r="D20" s="906"/>
      <c r="E20" s="906"/>
      <c r="F20" s="249">
        <v>0</v>
      </c>
      <c r="G20" s="122" t="s">
        <v>1963</v>
      </c>
    </row>
    <row r="21" spans="1:7" x14ac:dyDescent="0.25">
      <c r="A21" s="125">
        <f t="shared" si="0"/>
        <v>14</v>
      </c>
      <c r="B21" s="1377"/>
      <c r="C21" s="126" t="s">
        <v>2174</v>
      </c>
      <c r="D21" s="906"/>
      <c r="E21" s="906"/>
      <c r="F21" s="129">
        <v>1000</v>
      </c>
      <c r="G21" s="122" t="s">
        <v>1963</v>
      </c>
    </row>
    <row r="22" spans="1:7" x14ac:dyDescent="0.25">
      <c r="A22" s="125">
        <f t="shared" si="0"/>
        <v>15</v>
      </c>
      <c r="B22" s="1377"/>
      <c r="C22" s="126" t="s">
        <v>2175</v>
      </c>
      <c r="D22" s="906"/>
      <c r="E22" s="906"/>
      <c r="F22" s="129">
        <v>1000</v>
      </c>
      <c r="G22" s="122" t="s">
        <v>1963</v>
      </c>
    </row>
    <row r="23" spans="1:7" x14ac:dyDescent="0.25">
      <c r="A23" s="125">
        <f t="shared" si="0"/>
        <v>15</v>
      </c>
      <c r="B23" s="1377"/>
      <c r="C23" s="126" t="s">
        <v>6845</v>
      </c>
      <c r="D23" s="906"/>
      <c r="E23" s="906"/>
      <c r="F23" s="129">
        <v>1000</v>
      </c>
      <c r="G23" s="122" t="s">
        <v>1963</v>
      </c>
    </row>
    <row r="24" spans="1:7" x14ac:dyDescent="0.25">
      <c r="A24" s="125">
        <f t="shared" si="0"/>
        <v>16</v>
      </c>
      <c r="B24" s="1377"/>
      <c r="C24" s="126" t="s">
        <v>454</v>
      </c>
      <c r="D24" s="906"/>
      <c r="E24" s="906"/>
      <c r="F24" s="129">
        <v>1000</v>
      </c>
      <c r="G24" s="122" t="s">
        <v>1963</v>
      </c>
    </row>
    <row r="25" spans="1:7" x14ac:dyDescent="0.25">
      <c r="A25" s="125">
        <f t="shared" si="0"/>
        <v>16</v>
      </c>
      <c r="B25" s="1377"/>
      <c r="C25" s="126" t="s">
        <v>6846</v>
      </c>
      <c r="D25" s="906"/>
      <c r="E25" s="906"/>
      <c r="F25" s="129">
        <v>1000</v>
      </c>
      <c r="G25" s="122" t="s">
        <v>1963</v>
      </c>
    </row>
    <row r="26" spans="1:7" s="123" customFormat="1" x14ac:dyDescent="0.25">
      <c r="A26" s="125">
        <f t="shared" si="0"/>
        <v>17</v>
      </c>
      <c r="B26" s="1377"/>
      <c r="C26" s="597" t="s">
        <v>4789</v>
      </c>
      <c r="D26" s="909"/>
      <c r="E26" s="909"/>
      <c r="F26" s="249">
        <f>SUM(F27:F33)</f>
        <v>55500</v>
      </c>
    </row>
    <row r="27" spans="1:7" x14ac:dyDescent="0.25">
      <c r="A27" s="125">
        <f t="shared" si="0"/>
        <v>17</v>
      </c>
      <c r="B27" s="1377"/>
      <c r="C27" s="126" t="s">
        <v>453</v>
      </c>
      <c r="D27" s="906"/>
      <c r="E27" s="906"/>
      <c r="F27" s="129">
        <v>50000</v>
      </c>
      <c r="G27" s="122" t="s">
        <v>1963</v>
      </c>
    </row>
    <row r="28" spans="1:7" x14ac:dyDescent="0.25">
      <c r="A28" s="125">
        <f t="shared" si="0"/>
        <v>18</v>
      </c>
      <c r="B28" s="1377"/>
      <c r="C28" s="126" t="s">
        <v>6847</v>
      </c>
      <c r="D28" s="906"/>
      <c r="E28" s="906"/>
      <c r="F28" s="129">
        <v>0</v>
      </c>
      <c r="G28" s="122" t="s">
        <v>1963</v>
      </c>
    </row>
    <row r="29" spans="1:7" x14ac:dyDescent="0.25">
      <c r="A29" s="125">
        <f t="shared" si="0"/>
        <v>18</v>
      </c>
      <c r="B29" s="1377"/>
      <c r="C29" s="126" t="s">
        <v>6837</v>
      </c>
      <c r="D29" s="906"/>
      <c r="E29" s="906"/>
      <c r="F29" s="129">
        <v>1500</v>
      </c>
      <c r="G29" s="122" t="s">
        <v>1963</v>
      </c>
    </row>
    <row r="30" spans="1:7" x14ac:dyDescent="0.25">
      <c r="A30" s="125">
        <f t="shared" si="0"/>
        <v>19</v>
      </c>
      <c r="B30" s="1377"/>
      <c r="C30" s="126" t="s">
        <v>6843</v>
      </c>
      <c r="D30" s="906"/>
      <c r="E30" s="906"/>
      <c r="F30" s="129">
        <v>1000</v>
      </c>
      <c r="G30" s="122" t="s">
        <v>1963</v>
      </c>
    </row>
    <row r="31" spans="1:7" x14ac:dyDescent="0.25">
      <c r="A31" s="125">
        <f t="shared" si="0"/>
        <v>19</v>
      </c>
      <c r="B31" s="1377"/>
      <c r="C31" s="126" t="s">
        <v>6835</v>
      </c>
      <c r="D31" s="906"/>
      <c r="E31" s="906"/>
      <c r="F31" s="129">
        <v>1000</v>
      </c>
      <c r="G31" s="122" t="s">
        <v>1963</v>
      </c>
    </row>
    <row r="32" spans="1:7" x14ac:dyDescent="0.25">
      <c r="A32" s="125">
        <f t="shared" si="0"/>
        <v>20</v>
      </c>
      <c r="B32" s="1377"/>
      <c r="C32" s="126" t="s">
        <v>6836</v>
      </c>
      <c r="D32" s="906"/>
      <c r="E32" s="906"/>
      <c r="F32" s="129">
        <v>1000</v>
      </c>
      <c r="G32" s="122" t="s">
        <v>1963</v>
      </c>
    </row>
    <row r="33" spans="1:7" x14ac:dyDescent="0.25">
      <c r="A33" s="125">
        <f t="shared" si="0"/>
        <v>20</v>
      </c>
      <c r="B33" s="1377"/>
      <c r="C33" s="126" t="s">
        <v>6844</v>
      </c>
      <c r="D33" s="906"/>
      <c r="E33" s="906"/>
      <c r="F33" s="129">
        <v>1000</v>
      </c>
      <c r="G33" s="122" t="s">
        <v>1963</v>
      </c>
    </row>
    <row r="34" spans="1:7" s="123" customFormat="1" x14ac:dyDescent="0.25">
      <c r="A34" s="125">
        <f t="shared" si="0"/>
        <v>21</v>
      </c>
      <c r="B34" s="1377"/>
      <c r="C34" s="597" t="s">
        <v>5719</v>
      </c>
      <c r="D34" s="909"/>
      <c r="E34" s="909"/>
      <c r="F34" s="249">
        <f>SUM(F35:F41)</f>
        <v>8500</v>
      </c>
    </row>
    <row r="35" spans="1:7" x14ac:dyDescent="0.25">
      <c r="A35" s="125">
        <f t="shared" si="0"/>
        <v>21</v>
      </c>
      <c r="B35" s="1377"/>
      <c r="C35" s="126" t="s">
        <v>6849</v>
      </c>
      <c r="D35" s="906"/>
      <c r="E35" s="906"/>
      <c r="F35" s="129">
        <v>2000</v>
      </c>
      <c r="G35" s="122" t="s">
        <v>1963</v>
      </c>
    </row>
    <row r="36" spans="1:7" x14ac:dyDescent="0.25">
      <c r="A36" s="125">
        <f t="shared" si="0"/>
        <v>22</v>
      </c>
      <c r="B36" s="1377"/>
      <c r="C36" s="126" t="s">
        <v>6848</v>
      </c>
      <c r="D36" s="906"/>
      <c r="E36" s="906"/>
      <c r="F36" s="129">
        <v>0</v>
      </c>
      <c r="G36" s="122" t="s">
        <v>1963</v>
      </c>
    </row>
    <row r="37" spans="1:7" x14ac:dyDescent="0.25">
      <c r="A37" s="125">
        <f t="shared" si="0"/>
        <v>22</v>
      </c>
      <c r="B37" s="1377"/>
      <c r="C37" s="126" t="s">
        <v>6850</v>
      </c>
      <c r="D37" s="906"/>
      <c r="E37" s="906"/>
      <c r="F37" s="129">
        <v>2000</v>
      </c>
      <c r="G37" s="122" t="s">
        <v>1963</v>
      </c>
    </row>
    <row r="38" spans="1:7" x14ac:dyDescent="0.25">
      <c r="A38" s="125">
        <f t="shared" si="0"/>
        <v>23</v>
      </c>
      <c r="B38" s="1377"/>
      <c r="C38" s="126" t="s">
        <v>6851</v>
      </c>
      <c r="D38" s="906"/>
      <c r="E38" s="906"/>
      <c r="F38" s="129">
        <v>0</v>
      </c>
      <c r="G38" s="122" t="s">
        <v>1963</v>
      </c>
    </row>
    <row r="39" spans="1:7" x14ac:dyDescent="0.25">
      <c r="A39" s="125">
        <f t="shared" si="0"/>
        <v>23</v>
      </c>
      <c r="B39" s="1377"/>
      <c r="C39" s="126" t="s">
        <v>6852</v>
      </c>
      <c r="D39" s="906"/>
      <c r="E39" s="906"/>
      <c r="F39" s="129">
        <v>1500</v>
      </c>
      <c r="G39" s="122" t="s">
        <v>1963</v>
      </c>
    </row>
    <row r="40" spans="1:7" x14ac:dyDescent="0.25">
      <c r="A40" s="125">
        <f t="shared" si="0"/>
        <v>24</v>
      </c>
      <c r="B40" s="1377"/>
      <c r="C40" s="126" t="s">
        <v>6853</v>
      </c>
      <c r="D40" s="906"/>
      <c r="E40" s="906"/>
      <c r="F40" s="129">
        <v>3000</v>
      </c>
      <c r="G40" s="122" t="s">
        <v>1963</v>
      </c>
    </row>
    <row r="41" spans="1:7" x14ac:dyDescent="0.25">
      <c r="A41" s="125">
        <f t="shared" si="0"/>
        <v>24</v>
      </c>
      <c r="B41" s="1377"/>
      <c r="C41" s="126" t="s">
        <v>6854</v>
      </c>
      <c r="D41" s="906"/>
      <c r="E41" s="906"/>
      <c r="F41" s="129">
        <v>0</v>
      </c>
      <c r="G41" s="122" t="s">
        <v>1963</v>
      </c>
    </row>
    <row r="42" spans="1:7" x14ac:dyDescent="0.25">
      <c r="A42" s="125">
        <f t="shared" si="0"/>
        <v>25</v>
      </c>
      <c r="B42" s="1377"/>
      <c r="C42" s="597" t="s">
        <v>5851</v>
      </c>
      <c r="D42" s="909"/>
      <c r="E42" s="909"/>
      <c r="F42" s="249">
        <f>F43+F44+F49</f>
        <v>32684.994999999999</v>
      </c>
    </row>
    <row r="43" spans="1:7" x14ac:dyDescent="0.25">
      <c r="A43" s="125">
        <f t="shared" si="0"/>
        <v>25</v>
      </c>
      <c r="B43" s="1377"/>
      <c r="C43" s="126" t="s">
        <v>2177</v>
      </c>
      <c r="D43" s="906"/>
      <c r="E43" s="906"/>
      <c r="F43" s="129">
        <v>1</v>
      </c>
      <c r="G43" s="122" t="s">
        <v>1963</v>
      </c>
    </row>
    <row r="44" spans="1:7" x14ac:dyDescent="0.25">
      <c r="A44" s="125">
        <f t="shared" si="0"/>
        <v>26</v>
      </c>
      <c r="B44" s="1377"/>
      <c r="C44" s="126" t="s">
        <v>5732</v>
      </c>
      <c r="D44" s="906"/>
      <c r="E44" s="906"/>
      <c r="F44" s="129">
        <f>SUM(F45:F48)</f>
        <v>32682.994999999999</v>
      </c>
    </row>
    <row r="45" spans="1:7" x14ac:dyDescent="0.25">
      <c r="A45" s="125">
        <f t="shared" si="0"/>
        <v>26</v>
      </c>
      <c r="B45" s="1377"/>
      <c r="C45" s="126" t="s">
        <v>6839</v>
      </c>
      <c r="D45" s="906"/>
      <c r="E45" s="906"/>
      <c r="F45" s="129">
        <f>6194.43</f>
        <v>6194.43</v>
      </c>
      <c r="G45" s="122" t="s">
        <v>1963</v>
      </c>
    </row>
    <row r="46" spans="1:7" x14ac:dyDescent="0.25">
      <c r="A46" s="125">
        <f t="shared" si="0"/>
        <v>27</v>
      </c>
      <c r="B46" s="1377"/>
      <c r="C46" s="126" t="s">
        <v>2178</v>
      </c>
      <c r="D46" s="906"/>
      <c r="E46" s="906"/>
      <c r="F46" s="129">
        <f>2788.27*8</f>
        <v>22306.16</v>
      </c>
      <c r="G46" s="122" t="s">
        <v>1963</v>
      </c>
    </row>
    <row r="47" spans="1:7" x14ac:dyDescent="0.25">
      <c r="A47" s="125">
        <f t="shared" si="0"/>
        <v>27</v>
      </c>
      <c r="B47" s="1377"/>
      <c r="C47" s="126" t="s">
        <v>2179</v>
      </c>
      <c r="D47" s="906"/>
      <c r="E47" s="906"/>
      <c r="F47" s="129">
        <f>2788.27</f>
        <v>2788.27</v>
      </c>
      <c r="G47" s="122" t="s">
        <v>1963</v>
      </c>
    </row>
    <row r="48" spans="1:7" x14ac:dyDescent="0.25">
      <c r="A48" s="125">
        <f t="shared" si="0"/>
        <v>28</v>
      </c>
      <c r="B48" s="1377"/>
      <c r="C48" s="126" t="s">
        <v>2180</v>
      </c>
      <c r="D48" s="906"/>
      <c r="E48" s="906"/>
      <c r="F48" s="129">
        <f>F47/2</f>
        <v>1394.135</v>
      </c>
      <c r="G48" s="122" t="s">
        <v>1963</v>
      </c>
    </row>
    <row r="49" spans="1:7" x14ac:dyDescent="0.25">
      <c r="A49" s="125">
        <f t="shared" si="0"/>
        <v>28</v>
      </c>
      <c r="B49" s="1377"/>
      <c r="C49" s="126" t="s">
        <v>2181</v>
      </c>
      <c r="D49" s="906"/>
      <c r="E49" s="906"/>
      <c r="F49" s="129">
        <v>1</v>
      </c>
      <c r="G49" s="122" t="s">
        <v>1963</v>
      </c>
    </row>
    <row r="50" spans="1:7" x14ac:dyDescent="0.25">
      <c r="A50" s="125">
        <f t="shared" si="0"/>
        <v>29</v>
      </c>
      <c r="B50" s="1377"/>
      <c r="C50" s="597" t="s">
        <v>5920</v>
      </c>
      <c r="D50" s="909"/>
      <c r="E50" s="909"/>
      <c r="F50" s="249">
        <f>SUM(F51:F57)</f>
        <v>146878.26500000001</v>
      </c>
    </row>
    <row r="51" spans="1:7" x14ac:dyDescent="0.25">
      <c r="A51" s="125">
        <f t="shared" si="0"/>
        <v>29</v>
      </c>
      <c r="B51" s="1377"/>
      <c r="C51" s="126" t="s">
        <v>2184</v>
      </c>
      <c r="D51" s="906"/>
      <c r="E51" s="906"/>
      <c r="F51" s="129">
        <v>4</v>
      </c>
      <c r="G51" s="122" t="s">
        <v>1963</v>
      </c>
    </row>
    <row r="52" spans="1:7" x14ac:dyDescent="0.25">
      <c r="A52" s="125">
        <f t="shared" si="0"/>
        <v>30</v>
      </c>
      <c r="B52" s="1377"/>
      <c r="C52" s="597" t="s">
        <v>5920</v>
      </c>
      <c r="D52" s="909"/>
      <c r="E52" s="909"/>
      <c r="F52" s="249">
        <f>SUM(F53:F59)</f>
        <v>78915.122499999998</v>
      </c>
    </row>
    <row r="53" spans="1:7" x14ac:dyDescent="0.25">
      <c r="A53" s="125">
        <f t="shared" si="0"/>
        <v>30</v>
      </c>
      <c r="B53" s="1377"/>
      <c r="C53" s="126" t="s">
        <v>2182</v>
      </c>
      <c r="D53" s="906"/>
      <c r="E53" s="906"/>
      <c r="F53" s="129">
        <f>2788.27/4+1394.14/4</f>
        <v>1045.6025</v>
      </c>
      <c r="G53" s="122" t="s">
        <v>1963</v>
      </c>
    </row>
    <row r="54" spans="1:7" x14ac:dyDescent="0.25">
      <c r="A54" s="125">
        <f t="shared" si="0"/>
        <v>31</v>
      </c>
      <c r="B54" s="1377"/>
      <c r="C54" s="126" t="s">
        <v>2183</v>
      </c>
      <c r="D54" s="906"/>
      <c r="E54" s="906"/>
      <c r="F54" s="129">
        <v>1045.5999999999999</v>
      </c>
      <c r="G54" s="122" t="s">
        <v>1963</v>
      </c>
    </row>
    <row r="55" spans="1:7" x14ac:dyDescent="0.25">
      <c r="A55" s="125">
        <f t="shared" si="0"/>
        <v>31</v>
      </c>
      <c r="B55" s="1377"/>
      <c r="C55" s="597" t="s">
        <v>2262</v>
      </c>
      <c r="D55" s="909"/>
      <c r="E55" s="909"/>
      <c r="F55" s="249">
        <f>SUM(F56:F62)</f>
        <v>41411.96</v>
      </c>
    </row>
    <row r="56" spans="1:7" x14ac:dyDescent="0.25">
      <c r="A56" s="125">
        <f t="shared" si="0"/>
        <v>32</v>
      </c>
      <c r="B56" s="1377"/>
      <c r="C56" s="126" t="s">
        <v>6840</v>
      </c>
      <c r="D56" s="906"/>
      <c r="E56" s="906"/>
      <c r="F56" s="129">
        <v>3000</v>
      </c>
      <c r="G56" s="122" t="s">
        <v>1963</v>
      </c>
    </row>
    <row r="57" spans="1:7" x14ac:dyDescent="0.25">
      <c r="A57" s="125">
        <f t="shared" si="0"/>
        <v>32</v>
      </c>
      <c r="B57" s="1377"/>
      <c r="C57" s="597" t="s">
        <v>5740</v>
      </c>
      <c r="D57" s="909"/>
      <c r="E57" s="909"/>
      <c r="F57" s="249">
        <f>SUM(F58:F64)</f>
        <v>21455.98</v>
      </c>
    </row>
    <row r="58" spans="1:7" x14ac:dyDescent="0.25">
      <c r="A58" s="125">
        <f t="shared" si="0"/>
        <v>33</v>
      </c>
      <c r="B58" s="1377"/>
      <c r="C58" s="126" t="s">
        <v>127</v>
      </c>
      <c r="D58" s="906"/>
      <c r="E58" s="906"/>
      <c r="F58" s="129">
        <f>'CADASTRO BASE ORÇ. DESPESA'!Q125</f>
        <v>5244.6875</v>
      </c>
      <c r="G58" s="122" t="s">
        <v>1963</v>
      </c>
    </row>
    <row r="59" spans="1:7" x14ac:dyDescent="0.25">
      <c r="A59" s="125">
        <f t="shared" si="0"/>
        <v>33</v>
      </c>
      <c r="B59" s="1377"/>
      <c r="C59" s="126" t="s">
        <v>126</v>
      </c>
      <c r="D59" s="906"/>
      <c r="E59" s="906"/>
      <c r="F59" s="129">
        <f>'CADASTRO BASE ORÇ. DESPESA'!Q131</f>
        <v>5711.2925000000005</v>
      </c>
      <c r="G59" s="122" t="s">
        <v>1963</v>
      </c>
    </row>
    <row r="60" spans="1:7" x14ac:dyDescent="0.25">
      <c r="A60" s="125">
        <f t="shared" si="0"/>
        <v>34</v>
      </c>
      <c r="B60" s="1377"/>
      <c r="C60" s="126" t="s">
        <v>6841</v>
      </c>
      <c r="D60" s="906"/>
      <c r="E60" s="906"/>
      <c r="F60" s="129">
        <v>2000</v>
      </c>
      <c r="G60" s="122" t="s">
        <v>1963</v>
      </c>
    </row>
    <row r="61" spans="1:7" x14ac:dyDescent="0.25">
      <c r="A61" s="125">
        <f t="shared" si="0"/>
        <v>34</v>
      </c>
      <c r="B61" s="1377"/>
      <c r="C61" s="126" t="s">
        <v>6858</v>
      </c>
      <c r="D61" s="906"/>
      <c r="E61" s="906"/>
      <c r="F61" s="129">
        <v>2000</v>
      </c>
      <c r="G61" s="122" t="s">
        <v>1963</v>
      </c>
    </row>
    <row r="62" spans="1:7" x14ac:dyDescent="0.25">
      <c r="A62" s="125">
        <f t="shared" si="0"/>
        <v>35</v>
      </c>
      <c r="B62" s="1377"/>
      <c r="C62" s="126" t="s">
        <v>6859</v>
      </c>
      <c r="D62" s="906"/>
      <c r="E62" s="906"/>
      <c r="F62" s="129">
        <v>2000</v>
      </c>
      <c r="G62" s="122" t="s">
        <v>1963</v>
      </c>
    </row>
    <row r="63" spans="1:7" x14ac:dyDescent="0.25">
      <c r="A63" s="125">
        <f t="shared" si="0"/>
        <v>35</v>
      </c>
      <c r="B63" s="1377"/>
      <c r="C63" s="126" t="s">
        <v>2185</v>
      </c>
      <c r="D63" s="906"/>
      <c r="E63" s="906"/>
      <c r="F63" s="129">
        <v>1500</v>
      </c>
      <c r="G63" s="122" t="s">
        <v>1963</v>
      </c>
    </row>
    <row r="64" spans="1:7" x14ac:dyDescent="0.25">
      <c r="A64" s="125">
        <f t="shared" si="0"/>
        <v>36</v>
      </c>
      <c r="B64" s="1377"/>
      <c r="C64" s="126" t="s">
        <v>894</v>
      </c>
      <c r="D64" s="906"/>
      <c r="E64" s="906"/>
      <c r="F64" s="129">
        <v>3000</v>
      </c>
      <c r="G64" s="122" t="s">
        <v>1963</v>
      </c>
    </row>
    <row r="65" spans="1:7" x14ac:dyDescent="0.25">
      <c r="A65" s="125">
        <f t="shared" si="0"/>
        <v>36</v>
      </c>
      <c r="B65" s="1377"/>
      <c r="C65" s="126" t="s">
        <v>128</v>
      </c>
      <c r="D65" s="906"/>
      <c r="E65" s="906"/>
      <c r="F65" s="129">
        <v>5137.25</v>
      </c>
      <c r="G65" s="122" t="s">
        <v>1963</v>
      </c>
    </row>
    <row r="66" spans="1:7" x14ac:dyDescent="0.25">
      <c r="A66" s="125">
        <f t="shared" si="0"/>
        <v>37</v>
      </c>
      <c r="B66" s="1377"/>
      <c r="C66" s="126" t="s">
        <v>6857</v>
      </c>
      <c r="D66" s="906"/>
      <c r="E66" s="906"/>
      <c r="F66" s="129">
        <v>1000</v>
      </c>
      <c r="G66" s="122" t="s">
        <v>1963</v>
      </c>
    </row>
    <row r="67" spans="1:7" x14ac:dyDescent="0.25">
      <c r="A67" s="125">
        <f t="shared" si="0"/>
        <v>37</v>
      </c>
      <c r="B67" s="1377"/>
      <c r="C67" s="126" t="s">
        <v>129</v>
      </c>
      <c r="D67" s="906"/>
      <c r="E67" s="906"/>
      <c r="F67" s="129">
        <v>15000</v>
      </c>
      <c r="G67" s="122" t="s">
        <v>1963</v>
      </c>
    </row>
    <row r="68" spans="1:7" x14ac:dyDescent="0.25">
      <c r="A68" s="125">
        <f t="shared" si="0"/>
        <v>38</v>
      </c>
      <c r="B68" s="1377"/>
      <c r="C68" s="126" t="s">
        <v>895</v>
      </c>
      <c r="D68" s="906"/>
      <c r="E68" s="906"/>
      <c r="F68" s="129">
        <v>3000</v>
      </c>
      <c r="G68" s="122" t="s">
        <v>1963</v>
      </c>
    </row>
    <row r="69" spans="1:7" x14ac:dyDescent="0.25">
      <c r="A69" s="125">
        <f t="shared" si="0"/>
        <v>38</v>
      </c>
      <c r="B69" s="1377"/>
      <c r="C69" s="126" t="s">
        <v>131</v>
      </c>
      <c r="D69" s="906"/>
      <c r="E69" s="906"/>
      <c r="F69" s="129">
        <v>20000</v>
      </c>
      <c r="G69" s="122" t="s">
        <v>1963</v>
      </c>
    </row>
    <row r="70" spans="1:7" x14ac:dyDescent="0.25">
      <c r="A70" s="125">
        <f t="shared" si="0"/>
        <v>39</v>
      </c>
      <c r="B70" s="1377"/>
      <c r="C70" s="126" t="s">
        <v>6855</v>
      </c>
      <c r="D70" s="906"/>
      <c r="E70" s="906"/>
      <c r="F70" s="129">
        <v>5000</v>
      </c>
      <c r="G70" s="122" t="s">
        <v>1963</v>
      </c>
    </row>
    <row r="71" spans="1:7" x14ac:dyDescent="0.25">
      <c r="A71" s="125">
        <f t="shared" si="0"/>
        <v>39</v>
      </c>
      <c r="B71" s="1377"/>
      <c r="C71" s="126" t="s">
        <v>6856</v>
      </c>
      <c r="D71" s="906"/>
      <c r="E71" s="906"/>
      <c r="F71" s="129">
        <v>2000</v>
      </c>
      <c r="G71" s="122" t="s">
        <v>1963</v>
      </c>
    </row>
    <row r="72" spans="1:7" x14ac:dyDescent="0.25">
      <c r="A72" s="125">
        <f t="shared" si="0"/>
        <v>40</v>
      </c>
      <c r="B72" s="1377"/>
      <c r="C72" s="126" t="s">
        <v>130</v>
      </c>
      <c r="D72" s="906"/>
      <c r="E72" s="906"/>
      <c r="F72" s="129">
        <v>1500</v>
      </c>
      <c r="G72" s="122" t="s">
        <v>1963</v>
      </c>
    </row>
    <row r="73" spans="1:7" x14ac:dyDescent="0.25">
      <c r="A73" s="125">
        <f t="shared" si="0"/>
        <v>40</v>
      </c>
      <c r="B73" s="1377"/>
      <c r="C73" s="126" t="s">
        <v>896</v>
      </c>
      <c r="D73" s="906"/>
      <c r="E73" s="906"/>
      <c r="F73" s="129">
        <f>11989.08+16.13-9922.02+0.03</f>
        <v>2083.2199999999989</v>
      </c>
      <c r="G73" s="122" t="s">
        <v>1963</v>
      </c>
    </row>
    <row r="74" spans="1:7" x14ac:dyDescent="0.25">
      <c r="A74" s="125">
        <f t="shared" si="0"/>
        <v>41</v>
      </c>
      <c r="B74" s="887"/>
      <c r="C74" s="126" t="s">
        <v>977</v>
      </c>
      <c r="D74" s="906"/>
      <c r="E74" s="906"/>
      <c r="F74" s="129">
        <v>14935.55</v>
      </c>
      <c r="G74" s="122" t="s">
        <v>1963</v>
      </c>
    </row>
    <row r="75" spans="1:7" x14ac:dyDescent="0.25">
      <c r="A75" s="1374" t="s">
        <v>452</v>
      </c>
      <c r="B75" s="1374"/>
      <c r="C75" s="1374"/>
      <c r="D75" s="1374"/>
      <c r="E75" s="1374"/>
      <c r="F75" s="1374"/>
    </row>
    <row r="76" spans="1:7" x14ac:dyDescent="0.25">
      <c r="A76" s="156">
        <v>42</v>
      </c>
      <c r="B76" s="1377" t="s">
        <v>450</v>
      </c>
      <c r="C76" s="131" t="s">
        <v>6950</v>
      </c>
      <c r="D76" s="910"/>
      <c r="E76" s="910"/>
      <c r="F76" s="128">
        <v>0</v>
      </c>
      <c r="G76" s="122" t="s">
        <v>1963</v>
      </c>
    </row>
    <row r="77" spans="1:7" x14ac:dyDescent="0.25">
      <c r="A77" s="125">
        <f>A76+1</f>
        <v>43</v>
      </c>
      <c r="B77" s="1377"/>
      <c r="C77" s="125" t="s">
        <v>6951</v>
      </c>
      <c r="D77" s="907"/>
      <c r="E77" s="907"/>
      <c r="F77" s="128">
        <f>'CADASTRO BASE ORÇ. DESPESA'!K31</f>
        <v>0</v>
      </c>
      <c r="G77" s="122" t="s">
        <v>1963</v>
      </c>
    </row>
    <row r="78" spans="1:7" x14ac:dyDescent="0.25">
      <c r="A78" s="125">
        <f t="shared" ref="A78:A85" si="1">A77+1</f>
        <v>44</v>
      </c>
      <c r="B78" s="1377"/>
      <c r="C78" s="130" t="s">
        <v>6834</v>
      </c>
      <c r="D78" s="908"/>
      <c r="E78" s="908"/>
      <c r="F78" s="128">
        <f>'CRESCIMENTO MED DA DESPESA O.U.'!M786</f>
        <v>-0.38243313799451956</v>
      </c>
      <c r="G78" s="122" t="s">
        <v>1963</v>
      </c>
    </row>
    <row r="79" spans="1:7" x14ac:dyDescent="0.25">
      <c r="A79" s="125">
        <f t="shared" si="1"/>
        <v>45</v>
      </c>
      <c r="B79" s="1377"/>
      <c r="C79" s="130" t="s">
        <v>113</v>
      </c>
      <c r="D79" s="908"/>
      <c r="E79" s="908"/>
      <c r="F79" s="128">
        <v>0</v>
      </c>
      <c r="G79" s="122" t="s">
        <v>1963</v>
      </c>
    </row>
    <row r="80" spans="1:7" x14ac:dyDescent="0.25">
      <c r="A80" s="125">
        <f t="shared" si="1"/>
        <v>46</v>
      </c>
      <c r="B80" s="1377"/>
      <c r="C80" s="126" t="s">
        <v>447</v>
      </c>
      <c r="D80" s="906"/>
      <c r="E80" s="906"/>
      <c r="F80" s="132">
        <v>0.238094</v>
      </c>
      <c r="G80" s="122" t="s">
        <v>1963</v>
      </c>
    </row>
    <row r="81" spans="1:9" x14ac:dyDescent="0.25">
      <c r="A81" s="125">
        <f t="shared" si="1"/>
        <v>47</v>
      </c>
      <c r="B81" s="1377"/>
      <c r="C81" s="126" t="s">
        <v>456</v>
      </c>
      <c r="D81" s="906"/>
      <c r="E81" s="906"/>
      <c r="F81" s="128">
        <v>0.2</v>
      </c>
      <c r="G81" s="122" t="s">
        <v>1963</v>
      </c>
    </row>
    <row r="82" spans="1:9" x14ac:dyDescent="0.25">
      <c r="A82" s="125">
        <f t="shared" si="1"/>
        <v>48</v>
      </c>
      <c r="B82" s="1377"/>
      <c r="C82" s="126" t="s">
        <v>902</v>
      </c>
      <c r="D82" s="906"/>
      <c r="E82" s="906"/>
      <c r="F82" s="128">
        <v>0.15</v>
      </c>
      <c r="G82" s="122" t="s">
        <v>1963</v>
      </c>
    </row>
    <row r="83" spans="1:9" x14ac:dyDescent="0.25">
      <c r="A83" s="125">
        <f t="shared" si="1"/>
        <v>49</v>
      </c>
      <c r="B83" s="1377"/>
      <c r="C83" s="126" t="s">
        <v>448</v>
      </c>
      <c r="D83" s="906"/>
      <c r="E83" s="906"/>
      <c r="F83" s="128">
        <v>0.2</v>
      </c>
      <c r="G83" s="122" t="s">
        <v>1963</v>
      </c>
    </row>
    <row r="84" spans="1:9" x14ac:dyDescent="0.25">
      <c r="A84" s="125">
        <f t="shared" si="1"/>
        <v>50</v>
      </c>
      <c r="B84" s="1377"/>
      <c r="C84" s="126" t="s">
        <v>7</v>
      </c>
      <c r="D84" s="906"/>
      <c r="E84" s="906"/>
      <c r="F84" s="128">
        <v>8.5000000000000006E-2</v>
      </c>
      <c r="G84" s="122" t="s">
        <v>1963</v>
      </c>
    </row>
    <row r="85" spans="1:9" x14ac:dyDescent="0.25">
      <c r="A85" s="125">
        <f t="shared" si="1"/>
        <v>51</v>
      </c>
      <c r="B85" s="1377"/>
      <c r="C85" s="126" t="s">
        <v>110</v>
      </c>
      <c r="D85" s="906"/>
      <c r="E85" s="906"/>
      <c r="F85" s="925">
        <v>6.6000000000000003E-2</v>
      </c>
      <c r="G85" s="122" t="s">
        <v>1963</v>
      </c>
    </row>
    <row r="86" spans="1:9" x14ac:dyDescent="0.25">
      <c r="A86" s="125"/>
      <c r="B86" s="888"/>
      <c r="C86" s="126"/>
      <c r="D86" s="906"/>
      <c r="E86" s="906"/>
      <c r="F86" s="925"/>
    </row>
    <row r="87" spans="1:9" x14ac:dyDescent="0.25">
      <c r="A87" s="125"/>
      <c r="B87" s="888"/>
      <c r="C87" s="126" t="s">
        <v>11525</v>
      </c>
      <c r="D87" s="906" t="s">
        <v>11526</v>
      </c>
      <c r="E87" s="906"/>
      <c r="F87" s="925"/>
    </row>
    <row r="88" spans="1:9" x14ac:dyDescent="0.25">
      <c r="A88" s="125"/>
      <c r="B88" s="888"/>
      <c r="C88" s="126"/>
      <c r="D88" s="1372">
        <v>2015</v>
      </c>
      <c r="E88" s="1372"/>
      <c r="F88" s="1372"/>
    </row>
    <row r="89" spans="1:9" x14ac:dyDescent="0.25">
      <c r="A89" s="125"/>
      <c r="B89" s="888"/>
      <c r="C89" s="157"/>
      <c r="D89" s="911" t="s">
        <v>11527</v>
      </c>
      <c r="E89" s="157" t="s">
        <v>11528</v>
      </c>
      <c r="F89" s="122" t="s">
        <v>11530</v>
      </c>
      <c r="G89" s="157"/>
      <c r="H89" s="157"/>
      <c r="I89" s="157"/>
    </row>
    <row r="90" spans="1:9" x14ac:dyDescent="0.25">
      <c r="A90" s="125"/>
      <c r="B90" s="888"/>
      <c r="C90" s="1371" t="s">
        <v>6887</v>
      </c>
      <c r="D90" s="1371"/>
      <c r="E90" s="1371"/>
      <c r="F90" s="1371"/>
      <c r="G90" s="1371"/>
      <c r="H90" s="1371"/>
      <c r="I90" s="1371"/>
    </row>
    <row r="91" spans="1:9" x14ac:dyDescent="0.25">
      <c r="A91" s="903"/>
      <c r="B91" s="903"/>
      <c r="C91" s="1371" t="s">
        <v>6888</v>
      </c>
      <c r="D91" s="1371"/>
      <c r="E91" s="1371"/>
      <c r="F91" s="1371"/>
      <c r="G91" s="1371"/>
      <c r="H91" s="1371"/>
      <c r="I91" s="1371"/>
    </row>
    <row r="92" spans="1:9" x14ac:dyDescent="0.25">
      <c r="A92" s="156">
        <v>52</v>
      </c>
      <c r="B92" s="886"/>
      <c r="C92" s="640" t="s">
        <v>5950</v>
      </c>
      <c r="D92" s="912"/>
      <c r="E92" s="912"/>
      <c r="F92" s="886"/>
    </row>
    <row r="93" spans="1:9" x14ac:dyDescent="0.25">
      <c r="A93" s="125">
        <f>A92+1</f>
        <v>53</v>
      </c>
      <c r="B93" s="1376"/>
      <c r="C93" s="126" t="s">
        <v>2176</v>
      </c>
      <c r="D93" s="906">
        <v>0</v>
      </c>
      <c r="E93" s="906">
        <f t="shared" ref="E93:E99" si="2">D93/8*12</f>
        <v>0</v>
      </c>
      <c r="F93" s="129">
        <v>800</v>
      </c>
      <c r="G93" s="122" t="s">
        <v>1963</v>
      </c>
    </row>
    <row r="94" spans="1:9" x14ac:dyDescent="0.25">
      <c r="A94" s="125">
        <f t="shared" ref="A94:A157" si="3">A93+1</f>
        <v>54</v>
      </c>
      <c r="B94" s="1376"/>
      <c r="C94" s="126" t="s">
        <v>6842</v>
      </c>
      <c r="D94" s="906">
        <v>0</v>
      </c>
      <c r="E94" s="906">
        <f t="shared" si="2"/>
        <v>0</v>
      </c>
      <c r="F94" s="249">
        <v>800</v>
      </c>
      <c r="G94" s="122" t="s">
        <v>1963</v>
      </c>
    </row>
    <row r="95" spans="1:9" x14ac:dyDescent="0.25">
      <c r="A95" s="125">
        <f t="shared" si="3"/>
        <v>55</v>
      </c>
      <c r="B95" s="1376"/>
      <c r="C95" s="126" t="s">
        <v>2174</v>
      </c>
      <c r="D95" s="906">
        <v>0</v>
      </c>
      <c r="E95" s="906">
        <f t="shared" si="2"/>
        <v>0</v>
      </c>
      <c r="F95" s="129">
        <v>800</v>
      </c>
      <c r="G95" s="122" t="s">
        <v>1963</v>
      </c>
    </row>
    <row r="96" spans="1:9" x14ac:dyDescent="0.25">
      <c r="A96" s="125">
        <f t="shared" si="3"/>
        <v>56</v>
      </c>
      <c r="B96" s="1376"/>
      <c r="C96" s="126" t="s">
        <v>2175</v>
      </c>
      <c r="D96" s="906">
        <v>0</v>
      </c>
      <c r="E96" s="906">
        <f t="shared" si="2"/>
        <v>0</v>
      </c>
      <c r="F96" s="129">
        <v>800</v>
      </c>
      <c r="G96" s="122" t="s">
        <v>1963</v>
      </c>
    </row>
    <row r="97" spans="1:9" x14ac:dyDescent="0.25">
      <c r="A97" s="125">
        <f t="shared" si="3"/>
        <v>57</v>
      </c>
      <c r="B97" s="1376"/>
      <c r="C97" s="126" t="s">
        <v>6845</v>
      </c>
      <c r="D97" s="906">
        <v>0</v>
      </c>
      <c r="E97" s="906">
        <f t="shared" si="2"/>
        <v>0</v>
      </c>
      <c r="F97" s="129">
        <v>800</v>
      </c>
      <c r="G97" s="122" t="s">
        <v>1963</v>
      </c>
    </row>
    <row r="98" spans="1:9" x14ac:dyDescent="0.25">
      <c r="A98" s="125">
        <f t="shared" si="3"/>
        <v>58</v>
      </c>
      <c r="B98" s="1376"/>
      <c r="C98" s="126" t="s">
        <v>454</v>
      </c>
      <c r="D98" s="906">
        <v>0</v>
      </c>
      <c r="E98" s="906">
        <f t="shared" si="2"/>
        <v>0</v>
      </c>
      <c r="F98" s="129">
        <v>2500</v>
      </c>
      <c r="G98" s="122" t="s">
        <v>1963</v>
      </c>
    </row>
    <row r="99" spans="1:9" x14ac:dyDescent="0.25">
      <c r="A99" s="125">
        <f t="shared" si="3"/>
        <v>59</v>
      </c>
      <c r="B99" s="1376"/>
      <c r="C99" s="126" t="s">
        <v>6846</v>
      </c>
      <c r="D99" s="906">
        <v>0</v>
      </c>
      <c r="E99" s="906">
        <f t="shared" si="2"/>
        <v>0</v>
      </c>
      <c r="F99" s="129">
        <v>1000</v>
      </c>
      <c r="G99" s="122" t="s">
        <v>1963</v>
      </c>
    </row>
    <row r="100" spans="1:9" x14ac:dyDescent="0.25">
      <c r="A100" s="125">
        <f t="shared" si="3"/>
        <v>60</v>
      </c>
      <c r="B100" s="1376"/>
      <c r="C100" s="1373" t="s">
        <v>6900</v>
      </c>
      <c r="D100" s="1373"/>
      <c r="E100" s="1373"/>
      <c r="F100" s="1373"/>
      <c r="G100" s="1373"/>
      <c r="H100" s="1373"/>
      <c r="I100" s="1373"/>
    </row>
    <row r="101" spans="1:9" x14ac:dyDescent="0.25">
      <c r="A101" s="125">
        <f t="shared" si="3"/>
        <v>61</v>
      </c>
      <c r="B101" s="1376"/>
      <c r="C101" s="126" t="s">
        <v>6963</v>
      </c>
      <c r="D101" s="906">
        <v>0</v>
      </c>
      <c r="E101" s="906">
        <f t="shared" ref="E101:E106" si="4">D101/8*12</f>
        <v>0</v>
      </c>
      <c r="F101" s="129">
        <v>1000</v>
      </c>
      <c r="G101" s="122" t="s">
        <v>1963</v>
      </c>
    </row>
    <row r="102" spans="1:9" x14ac:dyDescent="0.25">
      <c r="A102" s="125">
        <f t="shared" si="3"/>
        <v>62</v>
      </c>
      <c r="B102" s="1376"/>
      <c r="C102" s="126" t="s">
        <v>6964</v>
      </c>
      <c r="D102" s="906">
        <v>0</v>
      </c>
      <c r="E102" s="906">
        <f t="shared" si="4"/>
        <v>0</v>
      </c>
      <c r="F102" s="129">
        <v>1000</v>
      </c>
      <c r="G102" s="122" t="s">
        <v>1963</v>
      </c>
    </row>
    <row r="103" spans="1:9" x14ac:dyDescent="0.25">
      <c r="A103" s="125">
        <f t="shared" si="3"/>
        <v>63</v>
      </c>
      <c r="B103" s="1376"/>
      <c r="C103" s="126" t="s">
        <v>6965</v>
      </c>
      <c r="D103" s="906">
        <v>0</v>
      </c>
      <c r="E103" s="906">
        <f t="shared" si="4"/>
        <v>0</v>
      </c>
      <c r="F103" s="129">
        <v>500</v>
      </c>
      <c r="G103" s="122" t="s">
        <v>1963</v>
      </c>
    </row>
    <row r="104" spans="1:9" x14ac:dyDescent="0.25">
      <c r="A104" s="125">
        <f t="shared" si="3"/>
        <v>64</v>
      </c>
      <c r="B104" s="1376"/>
      <c r="C104" s="126" t="s">
        <v>6966</v>
      </c>
      <c r="D104" s="906">
        <v>0</v>
      </c>
      <c r="E104" s="906">
        <f t="shared" si="4"/>
        <v>0</v>
      </c>
      <c r="F104" s="129">
        <v>1000</v>
      </c>
      <c r="G104" s="122" t="s">
        <v>1963</v>
      </c>
    </row>
    <row r="105" spans="1:9" x14ac:dyDescent="0.25">
      <c r="A105" s="125">
        <f t="shared" si="3"/>
        <v>65</v>
      </c>
      <c r="B105" s="1376"/>
      <c r="C105" s="126" t="s">
        <v>6967</v>
      </c>
      <c r="D105" s="906">
        <v>0</v>
      </c>
      <c r="E105" s="906">
        <f t="shared" si="4"/>
        <v>0</v>
      </c>
      <c r="F105" s="129">
        <v>1000</v>
      </c>
      <c r="G105" s="122" t="s">
        <v>1963</v>
      </c>
    </row>
    <row r="106" spans="1:9" x14ac:dyDescent="0.25">
      <c r="A106" s="125">
        <f t="shared" si="3"/>
        <v>66</v>
      </c>
      <c r="B106" s="1376"/>
      <c r="C106" s="126" t="s">
        <v>6968</v>
      </c>
      <c r="D106" s="906">
        <v>0</v>
      </c>
      <c r="E106" s="906">
        <f t="shared" si="4"/>
        <v>0</v>
      </c>
      <c r="F106" s="129">
        <v>60000</v>
      </c>
      <c r="G106" s="122" t="s">
        <v>1963</v>
      </c>
    </row>
    <row r="107" spans="1:9" x14ac:dyDescent="0.25">
      <c r="A107" s="125">
        <f t="shared" si="3"/>
        <v>67</v>
      </c>
      <c r="B107" s="1376"/>
      <c r="C107" s="927" t="s">
        <v>5851</v>
      </c>
      <c r="D107" s="928"/>
      <c r="E107" s="928"/>
      <c r="F107" s="129"/>
    </row>
    <row r="108" spans="1:9" x14ac:dyDescent="0.25">
      <c r="A108" s="125">
        <f t="shared" si="3"/>
        <v>68</v>
      </c>
      <c r="B108" s="1376"/>
      <c r="C108" s="842" t="s">
        <v>6969</v>
      </c>
      <c r="D108" s="924">
        <v>0</v>
      </c>
      <c r="E108" s="906">
        <f>D108/8*12</f>
        <v>0</v>
      </c>
      <c r="F108" s="129">
        <v>1</v>
      </c>
      <c r="G108" s="122" t="s">
        <v>1963</v>
      </c>
    </row>
    <row r="109" spans="1:9" x14ac:dyDescent="0.25">
      <c r="A109" s="125">
        <f t="shared" si="3"/>
        <v>69</v>
      </c>
      <c r="B109" s="1376"/>
      <c r="C109" s="927" t="s">
        <v>5732</v>
      </c>
      <c r="D109" s="928"/>
      <c r="E109" s="928"/>
      <c r="F109" s="129"/>
    </row>
    <row r="110" spans="1:9" x14ac:dyDescent="0.25">
      <c r="A110" s="125">
        <f t="shared" si="3"/>
        <v>70</v>
      </c>
      <c r="B110" s="1376"/>
      <c r="C110" s="842" t="s">
        <v>11529</v>
      </c>
      <c r="D110" s="924">
        <v>186647.99</v>
      </c>
      <c r="E110" s="906">
        <f>D110/8*13</f>
        <v>303302.98375000001</v>
      </c>
      <c r="F110" s="129">
        <f>E110/12</f>
        <v>25275.248645833333</v>
      </c>
      <c r="G110" s="122" t="s">
        <v>1963</v>
      </c>
    </row>
    <row r="111" spans="1:9" x14ac:dyDescent="0.25">
      <c r="A111" s="125">
        <f t="shared" si="3"/>
        <v>71</v>
      </c>
      <c r="B111" s="1376"/>
      <c r="C111" s="927" t="s">
        <v>11532</v>
      </c>
      <c r="D111" s="924">
        <v>33661.839999999997</v>
      </c>
      <c r="E111" s="906">
        <f>D111/8*13</f>
        <v>54700.489999999991</v>
      </c>
      <c r="F111" s="129">
        <f>E111/12</f>
        <v>4558.3741666666656</v>
      </c>
      <c r="G111" s="122" t="s">
        <v>1963</v>
      </c>
    </row>
    <row r="112" spans="1:9" x14ac:dyDescent="0.25">
      <c r="A112" s="125">
        <f t="shared" si="3"/>
        <v>72</v>
      </c>
      <c r="B112" s="1376"/>
      <c r="C112" s="927" t="s">
        <v>5736</v>
      </c>
      <c r="D112" s="928"/>
      <c r="E112" s="928"/>
      <c r="F112" s="129"/>
    </row>
    <row r="113" spans="1:7" x14ac:dyDescent="0.25">
      <c r="A113" s="125">
        <f t="shared" si="3"/>
        <v>73</v>
      </c>
      <c r="B113" s="1376"/>
      <c r="C113" s="842" t="s">
        <v>11531</v>
      </c>
      <c r="D113" s="924">
        <v>0</v>
      </c>
      <c r="E113" s="906">
        <f>D113/8</f>
        <v>0</v>
      </c>
      <c r="F113" s="129">
        <v>1</v>
      </c>
      <c r="G113" s="122" t="s">
        <v>1963</v>
      </c>
    </row>
    <row r="114" spans="1:7" x14ac:dyDescent="0.25">
      <c r="A114" s="125">
        <f t="shared" si="3"/>
        <v>74</v>
      </c>
      <c r="B114" s="1376"/>
      <c r="C114" s="927" t="s">
        <v>6952</v>
      </c>
      <c r="D114" s="928"/>
      <c r="E114" s="928"/>
      <c r="F114" s="129"/>
    </row>
    <row r="115" spans="1:7" x14ac:dyDescent="0.25">
      <c r="A115" s="125">
        <f t="shared" si="3"/>
        <v>75</v>
      </c>
      <c r="B115" s="1376"/>
      <c r="C115" s="842" t="s">
        <v>6961</v>
      </c>
      <c r="D115" s="924">
        <v>0</v>
      </c>
      <c r="E115" s="924">
        <v>0</v>
      </c>
      <c r="F115" s="129">
        <v>3000</v>
      </c>
      <c r="G115" s="122" t="s">
        <v>1963</v>
      </c>
    </row>
    <row r="116" spans="1:7" x14ac:dyDescent="0.25">
      <c r="A116" s="125">
        <f t="shared" si="3"/>
        <v>76</v>
      </c>
      <c r="B116" s="1376"/>
      <c r="C116" s="842" t="s">
        <v>6962</v>
      </c>
      <c r="D116" s="924">
        <v>0</v>
      </c>
      <c r="E116" s="924">
        <v>0</v>
      </c>
      <c r="F116" s="129">
        <v>2000</v>
      </c>
      <c r="G116" s="122" t="s">
        <v>1963</v>
      </c>
    </row>
    <row r="117" spans="1:7" x14ac:dyDescent="0.25">
      <c r="A117" s="125">
        <f t="shared" si="3"/>
        <v>77</v>
      </c>
      <c r="B117" s="1376"/>
      <c r="C117" s="927" t="s">
        <v>6568</v>
      </c>
      <c r="D117" s="928"/>
      <c r="E117" s="928"/>
      <c r="F117" s="129"/>
    </row>
    <row r="118" spans="1:7" x14ac:dyDescent="0.25">
      <c r="A118" s="125">
        <f t="shared" si="3"/>
        <v>78</v>
      </c>
      <c r="B118" s="1376"/>
      <c r="C118" s="130" t="s">
        <v>125</v>
      </c>
      <c r="D118" s="924">
        <v>18125</v>
      </c>
      <c r="E118" s="906">
        <f>D118/8*12</f>
        <v>27187.5</v>
      </c>
      <c r="F118" s="129">
        <f>E118/12</f>
        <v>2265.625</v>
      </c>
      <c r="G118" s="122" t="s">
        <v>1963</v>
      </c>
    </row>
    <row r="119" spans="1:7" x14ac:dyDescent="0.25">
      <c r="A119" s="125">
        <f t="shared" si="3"/>
        <v>79</v>
      </c>
      <c r="B119" s="1376"/>
      <c r="C119" s="643" t="s">
        <v>6569</v>
      </c>
      <c r="D119" s="913"/>
      <c r="E119" s="913"/>
      <c r="F119" s="129"/>
    </row>
    <row r="120" spans="1:7" x14ac:dyDescent="0.25">
      <c r="A120" s="125">
        <f t="shared" si="3"/>
        <v>80</v>
      </c>
      <c r="B120" s="1376"/>
      <c r="C120" s="130" t="s">
        <v>132</v>
      </c>
      <c r="D120" s="924">
        <v>4662.49</v>
      </c>
      <c r="E120" s="906">
        <f>D120/8*12</f>
        <v>6993.7349999999997</v>
      </c>
      <c r="F120" s="129">
        <f>E120</f>
        <v>6993.7349999999997</v>
      </c>
      <c r="G120" s="122" t="s">
        <v>1963</v>
      </c>
    </row>
    <row r="121" spans="1:7" x14ac:dyDescent="0.25">
      <c r="A121" s="125">
        <f t="shared" si="3"/>
        <v>81</v>
      </c>
      <c r="B121" s="1376"/>
      <c r="C121" s="130" t="s">
        <v>6953</v>
      </c>
      <c r="D121" s="924">
        <v>0</v>
      </c>
      <c r="E121" s="906">
        <v>0</v>
      </c>
      <c r="F121" s="129">
        <v>2000</v>
      </c>
      <c r="G121" s="122" t="s">
        <v>1963</v>
      </c>
    </row>
    <row r="122" spans="1:7" x14ac:dyDescent="0.25">
      <c r="A122" s="125">
        <f t="shared" si="3"/>
        <v>82</v>
      </c>
      <c r="B122" s="1376"/>
      <c r="C122" s="643" t="s">
        <v>1021</v>
      </c>
      <c r="D122" s="913"/>
      <c r="E122" s="913"/>
      <c r="F122" s="129"/>
    </row>
    <row r="123" spans="1:7" x14ac:dyDescent="0.25">
      <c r="A123" s="125">
        <f t="shared" si="3"/>
        <v>83</v>
      </c>
      <c r="B123" s="1376"/>
      <c r="C123" s="842" t="s">
        <v>6958</v>
      </c>
      <c r="D123" s="924">
        <v>0</v>
      </c>
      <c r="E123" s="906">
        <v>0</v>
      </c>
      <c r="F123" s="129">
        <v>2000</v>
      </c>
      <c r="G123" s="122" t="s">
        <v>1963</v>
      </c>
    </row>
    <row r="124" spans="1:7" x14ac:dyDescent="0.25">
      <c r="A124" s="125">
        <f t="shared" si="3"/>
        <v>84</v>
      </c>
      <c r="B124" s="1376"/>
      <c r="C124" s="643" t="s">
        <v>3469</v>
      </c>
      <c r="D124" s="913"/>
      <c r="E124" s="913"/>
      <c r="F124" s="129"/>
    </row>
    <row r="125" spans="1:7" x14ac:dyDescent="0.25">
      <c r="A125" s="125">
        <f t="shared" si="3"/>
        <v>85</v>
      </c>
      <c r="B125" s="1376"/>
      <c r="C125" s="130" t="s">
        <v>6959</v>
      </c>
      <c r="D125" s="924">
        <v>4051.37</v>
      </c>
      <c r="E125" s="906">
        <f>D125/8*12</f>
        <v>6077.0550000000003</v>
      </c>
      <c r="F125" s="129">
        <f>E125</f>
        <v>6077.0550000000003</v>
      </c>
      <c r="G125" s="122" t="s">
        <v>1963</v>
      </c>
    </row>
    <row r="126" spans="1:7" x14ac:dyDescent="0.25">
      <c r="A126" s="125">
        <f t="shared" si="3"/>
        <v>86</v>
      </c>
      <c r="B126" s="1376"/>
      <c r="C126" s="643" t="s">
        <v>2190</v>
      </c>
      <c r="D126" s="913"/>
      <c r="E126" s="913"/>
      <c r="F126" s="129"/>
    </row>
    <row r="127" spans="1:7" x14ac:dyDescent="0.25">
      <c r="A127" s="125">
        <f t="shared" si="3"/>
        <v>87</v>
      </c>
      <c r="B127" s="1376"/>
      <c r="C127" s="130" t="s">
        <v>6960</v>
      </c>
      <c r="D127" s="924">
        <v>0</v>
      </c>
      <c r="E127" s="906">
        <f>D127/8*12</f>
        <v>0</v>
      </c>
      <c r="F127" s="129">
        <v>3000</v>
      </c>
      <c r="G127" s="122" t="s">
        <v>1963</v>
      </c>
    </row>
    <row r="128" spans="1:7" x14ac:dyDescent="0.25">
      <c r="A128" s="125">
        <f t="shared" si="3"/>
        <v>88</v>
      </c>
      <c r="B128" s="1376"/>
      <c r="C128" s="643" t="s">
        <v>993</v>
      </c>
      <c r="D128" s="913"/>
      <c r="E128" s="913"/>
      <c r="F128" s="129"/>
    </row>
    <row r="129" spans="1:9" ht="15" customHeight="1" x14ac:dyDescent="0.25">
      <c r="A129" s="125">
        <f t="shared" si="3"/>
        <v>89</v>
      </c>
      <c r="B129" s="1376"/>
      <c r="C129" s="134" t="s">
        <v>123</v>
      </c>
      <c r="D129" s="924">
        <v>716.3</v>
      </c>
      <c r="E129" s="906">
        <f>D129/8*12</f>
        <v>1074.4499999999998</v>
      </c>
      <c r="F129" s="129">
        <f>E129</f>
        <v>1074.4499999999998</v>
      </c>
      <c r="G129" s="122" t="s">
        <v>1963</v>
      </c>
    </row>
    <row r="130" spans="1:9" ht="15" customHeight="1" x14ac:dyDescent="0.25">
      <c r="A130" s="125">
        <f t="shared" si="3"/>
        <v>90</v>
      </c>
      <c r="B130" s="1376"/>
      <c r="C130" s="232" t="s">
        <v>2268</v>
      </c>
      <c r="D130" s="915"/>
      <c r="E130" s="915"/>
      <c r="F130" s="129"/>
    </row>
    <row r="131" spans="1:9" x14ac:dyDescent="0.25">
      <c r="A131" s="125">
        <f t="shared" si="3"/>
        <v>91</v>
      </c>
      <c r="B131" s="1376"/>
      <c r="C131" s="134" t="s">
        <v>135</v>
      </c>
      <c r="D131" s="924">
        <v>25010.12</v>
      </c>
      <c r="E131" s="906">
        <f t="shared" ref="E131:E137" si="5">D131/8*12</f>
        <v>37515.18</v>
      </c>
      <c r="F131" s="129">
        <f t="shared" ref="F131" si="6">E131</f>
        <v>37515.18</v>
      </c>
      <c r="G131" s="122" t="s">
        <v>1963</v>
      </c>
    </row>
    <row r="132" spans="1:9" x14ac:dyDescent="0.25">
      <c r="A132" s="125">
        <f t="shared" si="3"/>
        <v>92</v>
      </c>
      <c r="B132" s="1376"/>
      <c r="C132" s="134" t="s">
        <v>895</v>
      </c>
      <c r="D132" s="924">
        <v>0</v>
      </c>
      <c r="E132" s="906">
        <f t="shared" si="5"/>
        <v>0</v>
      </c>
      <c r="F132" s="129">
        <f>E132+3000</f>
        <v>3000</v>
      </c>
      <c r="G132" s="122" t="s">
        <v>1963</v>
      </c>
    </row>
    <row r="133" spans="1:9" x14ac:dyDescent="0.25">
      <c r="A133" s="125">
        <f t="shared" si="3"/>
        <v>93</v>
      </c>
      <c r="B133" s="1376"/>
      <c r="C133" s="927" t="s">
        <v>11533</v>
      </c>
      <c r="D133" s="924">
        <v>22</v>
      </c>
      <c r="E133" s="906">
        <f t="shared" si="5"/>
        <v>33</v>
      </c>
      <c r="F133" s="129">
        <v>0</v>
      </c>
    </row>
    <row r="134" spans="1:9" x14ac:dyDescent="0.25">
      <c r="A134" s="125">
        <f t="shared" si="3"/>
        <v>94</v>
      </c>
      <c r="B134" s="1376"/>
      <c r="C134" s="232" t="s">
        <v>6954</v>
      </c>
      <c r="D134" s="915"/>
      <c r="E134" s="915"/>
      <c r="F134" s="129"/>
    </row>
    <row r="135" spans="1:9" x14ac:dyDescent="0.25">
      <c r="A135" s="125">
        <f t="shared" si="3"/>
        <v>95</v>
      </c>
      <c r="B135" s="1376"/>
      <c r="C135" s="134" t="s">
        <v>133</v>
      </c>
      <c r="D135" s="924">
        <v>0</v>
      </c>
      <c r="E135" s="906">
        <f t="shared" si="5"/>
        <v>0</v>
      </c>
      <c r="F135" s="129">
        <v>1</v>
      </c>
      <c r="G135" s="122" t="s">
        <v>1963</v>
      </c>
    </row>
    <row r="136" spans="1:9" x14ac:dyDescent="0.25">
      <c r="A136" s="125">
        <f t="shared" si="3"/>
        <v>96</v>
      </c>
      <c r="B136" s="1376"/>
      <c r="C136" s="232" t="s">
        <v>5818</v>
      </c>
      <c r="D136" s="915"/>
      <c r="E136" s="915"/>
      <c r="F136" s="129"/>
    </row>
    <row r="137" spans="1:9" x14ac:dyDescent="0.25">
      <c r="A137" s="125">
        <f t="shared" si="3"/>
        <v>97</v>
      </c>
      <c r="B137" s="1376"/>
      <c r="C137" s="134" t="s">
        <v>134</v>
      </c>
      <c r="D137" s="924">
        <v>0</v>
      </c>
      <c r="E137" s="906">
        <f t="shared" si="5"/>
        <v>0</v>
      </c>
      <c r="F137" s="129">
        <v>1500</v>
      </c>
      <c r="G137" s="122" t="s">
        <v>1963</v>
      </c>
    </row>
    <row r="138" spans="1:9" x14ac:dyDescent="0.25">
      <c r="A138" s="125">
        <f t="shared" si="3"/>
        <v>98</v>
      </c>
      <c r="B138" s="1376"/>
      <c r="C138" s="232" t="s">
        <v>6955</v>
      </c>
      <c r="D138" s="915"/>
      <c r="E138" s="915"/>
      <c r="F138" s="129"/>
    </row>
    <row r="139" spans="1:9" x14ac:dyDescent="0.25">
      <c r="A139" s="125">
        <f t="shared" si="3"/>
        <v>99</v>
      </c>
      <c r="B139" s="1376"/>
      <c r="C139" s="134" t="s">
        <v>6956</v>
      </c>
      <c r="G139" s="122" t="s">
        <v>1963</v>
      </c>
    </row>
    <row r="140" spans="1:9" x14ac:dyDescent="0.25">
      <c r="A140" s="125">
        <f t="shared" si="3"/>
        <v>100</v>
      </c>
      <c r="B140" s="1376"/>
      <c r="C140" s="1373" t="s">
        <v>6061</v>
      </c>
      <c r="D140" s="1373"/>
      <c r="E140" s="1373"/>
      <c r="F140" s="1373"/>
      <c r="G140" s="1373"/>
      <c r="H140" s="1373"/>
      <c r="I140" s="1373"/>
    </row>
    <row r="141" spans="1:9" x14ac:dyDescent="0.25">
      <c r="A141" s="125">
        <f t="shared" si="3"/>
        <v>101</v>
      </c>
      <c r="B141" s="1376"/>
      <c r="C141" s="232" t="s">
        <v>4792</v>
      </c>
      <c r="D141" s="915"/>
      <c r="E141" s="915"/>
      <c r="F141" s="129"/>
    </row>
    <row r="142" spans="1:9" x14ac:dyDescent="0.25">
      <c r="A142" s="125">
        <f t="shared" si="3"/>
        <v>102</v>
      </c>
      <c r="B142" s="1376"/>
      <c r="C142" s="134" t="s">
        <v>6957</v>
      </c>
      <c r="D142" s="924">
        <v>3349.12</v>
      </c>
      <c r="E142" s="906">
        <f>D142/8*12</f>
        <v>5023.68</v>
      </c>
      <c r="F142" s="129">
        <f>E142</f>
        <v>5023.68</v>
      </c>
      <c r="G142" s="122" t="s">
        <v>1963</v>
      </c>
    </row>
    <row r="143" spans="1:9" x14ac:dyDescent="0.25">
      <c r="A143" s="125">
        <f t="shared" si="3"/>
        <v>103</v>
      </c>
      <c r="B143" s="1376"/>
      <c r="C143" s="1373"/>
      <c r="D143" s="1373"/>
      <c r="E143" s="1373"/>
      <c r="F143" s="1373"/>
      <c r="G143" s="1373"/>
      <c r="H143" s="1373"/>
      <c r="I143" s="1373"/>
    </row>
    <row r="144" spans="1:9" x14ac:dyDescent="0.25">
      <c r="A144" s="125">
        <f t="shared" si="3"/>
        <v>104</v>
      </c>
      <c r="B144" s="1376"/>
      <c r="C144" s="232" t="s">
        <v>9985</v>
      </c>
      <c r="D144" s="915"/>
      <c r="E144" s="915"/>
      <c r="F144" s="129"/>
    </row>
    <row r="145" spans="1:7" x14ac:dyDescent="0.25">
      <c r="A145" s="125">
        <f t="shared" si="3"/>
        <v>105</v>
      </c>
      <c r="B145" s="1376"/>
      <c r="C145" s="134" t="s">
        <v>9986</v>
      </c>
      <c r="D145" s="924">
        <v>249.68</v>
      </c>
      <c r="E145" s="906">
        <f t="shared" ref="E145:E150" si="7">D145/8*12</f>
        <v>374.52</v>
      </c>
      <c r="F145" s="129">
        <f t="shared" ref="F145:F148" si="8">E145</f>
        <v>374.52</v>
      </c>
      <c r="G145" s="122" t="s">
        <v>1963</v>
      </c>
    </row>
    <row r="146" spans="1:7" x14ac:dyDescent="0.25">
      <c r="A146" s="125">
        <f t="shared" si="3"/>
        <v>106</v>
      </c>
      <c r="B146" s="1376"/>
      <c r="C146" s="134" t="s">
        <v>11534</v>
      </c>
      <c r="D146" s="924">
        <v>0</v>
      </c>
      <c r="E146" s="906">
        <f t="shared" si="7"/>
        <v>0</v>
      </c>
      <c r="F146" s="129">
        <f>3048+3755</f>
        <v>6803</v>
      </c>
    </row>
    <row r="147" spans="1:7" x14ac:dyDescent="0.25">
      <c r="A147" s="125">
        <f t="shared" si="3"/>
        <v>107</v>
      </c>
      <c r="B147" s="1376"/>
      <c r="C147" s="134" t="s">
        <v>9987</v>
      </c>
      <c r="D147" s="924">
        <v>6076.6</v>
      </c>
      <c r="E147" s="906">
        <f t="shared" si="7"/>
        <v>9114.9000000000015</v>
      </c>
      <c r="F147" s="129">
        <f t="shared" si="8"/>
        <v>9114.9000000000015</v>
      </c>
      <c r="G147" s="122" t="s">
        <v>1963</v>
      </c>
    </row>
    <row r="148" spans="1:7" x14ac:dyDescent="0.25">
      <c r="A148" s="125">
        <f t="shared" si="3"/>
        <v>108</v>
      </c>
      <c r="B148" s="1376"/>
      <c r="C148" s="134" t="s">
        <v>9988</v>
      </c>
      <c r="D148" s="924">
        <v>4840.3</v>
      </c>
      <c r="E148" s="906">
        <f t="shared" si="7"/>
        <v>7260.4500000000007</v>
      </c>
      <c r="F148" s="129">
        <f t="shared" si="8"/>
        <v>7260.4500000000007</v>
      </c>
      <c r="G148" s="122" t="s">
        <v>1963</v>
      </c>
    </row>
    <row r="149" spans="1:7" x14ac:dyDescent="0.25">
      <c r="A149" s="125">
        <f t="shared" si="3"/>
        <v>109</v>
      </c>
      <c r="B149" s="1376"/>
      <c r="C149" s="134" t="s">
        <v>9989</v>
      </c>
      <c r="D149" s="924">
        <v>0</v>
      </c>
      <c r="E149" s="906">
        <f t="shared" si="7"/>
        <v>0</v>
      </c>
      <c r="F149" s="129">
        <v>2000</v>
      </c>
      <c r="G149" s="122" t="s">
        <v>1963</v>
      </c>
    </row>
    <row r="150" spans="1:7" x14ac:dyDescent="0.25">
      <c r="A150" s="125">
        <f t="shared" si="3"/>
        <v>110</v>
      </c>
      <c r="B150" s="1376"/>
      <c r="C150" s="927" t="s">
        <v>11533</v>
      </c>
      <c r="D150" s="924">
        <v>0</v>
      </c>
      <c r="E150" s="906">
        <f t="shared" si="7"/>
        <v>0</v>
      </c>
      <c r="F150" s="129">
        <v>0</v>
      </c>
    </row>
    <row r="151" spans="1:7" x14ac:dyDescent="0.25">
      <c r="A151" s="125">
        <f t="shared" si="3"/>
        <v>111</v>
      </c>
      <c r="B151" s="1376"/>
      <c r="C151" s="134"/>
      <c r="D151" s="914"/>
      <c r="E151" s="914"/>
      <c r="F151" s="129"/>
    </row>
    <row r="152" spans="1:7" x14ac:dyDescent="0.25">
      <c r="A152" s="125">
        <f t="shared" si="3"/>
        <v>112</v>
      </c>
      <c r="B152" s="1376"/>
      <c r="C152" s="232" t="s">
        <v>650</v>
      </c>
      <c r="D152" s="915"/>
      <c r="E152" s="915"/>
      <c r="F152" s="129"/>
    </row>
    <row r="153" spans="1:7" x14ac:dyDescent="0.25">
      <c r="A153" s="125">
        <f t="shared" si="3"/>
        <v>113</v>
      </c>
      <c r="B153" s="1376"/>
      <c r="C153" s="134" t="s">
        <v>9986</v>
      </c>
      <c r="D153" s="924">
        <v>0</v>
      </c>
      <c r="E153" s="906">
        <f t="shared" ref="E153:E159" si="9">D153/8*12</f>
        <v>0</v>
      </c>
      <c r="F153" s="129">
        <v>500</v>
      </c>
      <c r="G153" s="122" t="s">
        <v>1963</v>
      </c>
    </row>
    <row r="154" spans="1:7" x14ac:dyDescent="0.25">
      <c r="A154" s="125">
        <f t="shared" si="3"/>
        <v>114</v>
      </c>
      <c r="B154" s="1376"/>
      <c r="C154" s="134" t="s">
        <v>9990</v>
      </c>
      <c r="D154" s="924">
        <v>0</v>
      </c>
      <c r="E154" s="906">
        <f t="shared" si="9"/>
        <v>0</v>
      </c>
      <c r="F154" s="129">
        <v>500</v>
      </c>
      <c r="G154" s="122" t="s">
        <v>1963</v>
      </c>
    </row>
    <row r="155" spans="1:7" x14ac:dyDescent="0.25">
      <c r="A155" s="125">
        <f t="shared" si="3"/>
        <v>115</v>
      </c>
      <c r="B155" s="1376"/>
      <c r="C155" s="134" t="s">
        <v>9987</v>
      </c>
      <c r="D155" s="924">
        <v>0</v>
      </c>
      <c r="E155" s="906">
        <f t="shared" si="9"/>
        <v>0</v>
      </c>
      <c r="F155" s="129">
        <v>500</v>
      </c>
      <c r="G155" s="122" t="s">
        <v>1963</v>
      </c>
    </row>
    <row r="156" spans="1:7" x14ac:dyDescent="0.25">
      <c r="A156" s="125">
        <f t="shared" si="3"/>
        <v>116</v>
      </c>
      <c r="B156" s="1376"/>
      <c r="C156" s="134" t="s">
        <v>9988</v>
      </c>
      <c r="D156" s="924">
        <v>0</v>
      </c>
      <c r="E156" s="906">
        <f t="shared" si="9"/>
        <v>0</v>
      </c>
      <c r="F156" s="129">
        <v>500</v>
      </c>
      <c r="G156" s="122" t="s">
        <v>1963</v>
      </c>
    </row>
    <row r="157" spans="1:7" x14ac:dyDescent="0.25">
      <c r="A157" s="125">
        <f t="shared" si="3"/>
        <v>117</v>
      </c>
      <c r="B157" s="1376"/>
      <c r="C157" s="134" t="s">
        <v>9989</v>
      </c>
      <c r="D157" s="924">
        <v>0</v>
      </c>
      <c r="E157" s="906">
        <f t="shared" si="9"/>
        <v>0</v>
      </c>
      <c r="F157" s="129">
        <v>500</v>
      </c>
      <c r="G157" s="122" t="s">
        <v>1963</v>
      </c>
    </row>
    <row r="158" spans="1:7" x14ac:dyDescent="0.25">
      <c r="A158" s="125">
        <f t="shared" ref="A158:A221" si="10">A157+1</f>
        <v>118</v>
      </c>
      <c r="B158" s="1376"/>
      <c r="C158" s="134" t="s">
        <v>9991</v>
      </c>
      <c r="D158" s="924">
        <v>0</v>
      </c>
      <c r="E158" s="906">
        <f t="shared" si="9"/>
        <v>0</v>
      </c>
      <c r="F158" s="129">
        <v>500</v>
      </c>
      <c r="G158" s="122" t="s">
        <v>1963</v>
      </c>
    </row>
    <row r="159" spans="1:7" x14ac:dyDescent="0.25">
      <c r="A159" s="125">
        <f t="shared" si="10"/>
        <v>119</v>
      </c>
      <c r="B159" s="1376"/>
      <c r="C159" s="134" t="s">
        <v>9992</v>
      </c>
      <c r="D159" s="924">
        <v>0</v>
      </c>
      <c r="E159" s="906">
        <f t="shared" si="9"/>
        <v>0</v>
      </c>
      <c r="F159" s="129">
        <v>500</v>
      </c>
      <c r="G159" s="122" t="s">
        <v>1963</v>
      </c>
    </row>
    <row r="160" spans="1:7" x14ac:dyDescent="0.25">
      <c r="A160" s="125">
        <f t="shared" si="10"/>
        <v>120</v>
      </c>
      <c r="B160" s="1376"/>
      <c r="C160" s="126"/>
      <c r="D160" s="906"/>
      <c r="E160" s="906"/>
      <c r="F160" s="129"/>
    </row>
    <row r="161" spans="1:7" x14ac:dyDescent="0.25">
      <c r="A161" s="125">
        <f t="shared" si="10"/>
        <v>121</v>
      </c>
      <c r="B161" s="1376"/>
      <c r="C161" s="232" t="s">
        <v>9993</v>
      </c>
      <c r="D161" s="915"/>
      <c r="E161" s="915"/>
      <c r="F161" s="129"/>
    </row>
    <row r="162" spans="1:7" x14ac:dyDescent="0.25">
      <c r="A162" s="125">
        <f t="shared" si="10"/>
        <v>122</v>
      </c>
      <c r="B162" s="1376"/>
      <c r="C162" s="134"/>
      <c r="D162" s="914"/>
      <c r="E162" s="914"/>
      <c r="F162" s="129"/>
    </row>
    <row r="163" spans="1:7" x14ac:dyDescent="0.25">
      <c r="A163" s="125">
        <f t="shared" si="10"/>
        <v>123</v>
      </c>
      <c r="B163" s="1376"/>
      <c r="C163" s="134" t="s">
        <v>9986</v>
      </c>
      <c r="D163" s="924">
        <v>0</v>
      </c>
      <c r="E163" s="906">
        <f t="shared" ref="E163:E169" si="11">D163/8*12</f>
        <v>0</v>
      </c>
      <c r="F163" s="129">
        <v>500</v>
      </c>
      <c r="G163" s="122" t="s">
        <v>1963</v>
      </c>
    </row>
    <row r="164" spans="1:7" x14ac:dyDescent="0.25">
      <c r="A164" s="125">
        <f t="shared" si="10"/>
        <v>124</v>
      </c>
      <c r="B164" s="1376"/>
      <c r="C164" s="134" t="s">
        <v>9990</v>
      </c>
      <c r="D164" s="924">
        <v>0</v>
      </c>
      <c r="E164" s="906">
        <f t="shared" si="11"/>
        <v>0</v>
      </c>
      <c r="F164" s="129">
        <v>500</v>
      </c>
      <c r="G164" s="122" t="s">
        <v>1963</v>
      </c>
    </row>
    <row r="165" spans="1:7" x14ac:dyDescent="0.25">
      <c r="A165" s="125">
        <f t="shared" si="10"/>
        <v>125</v>
      </c>
      <c r="B165" s="1376"/>
      <c r="C165" s="134" t="s">
        <v>9987</v>
      </c>
      <c r="D165" s="924">
        <v>0</v>
      </c>
      <c r="E165" s="906">
        <f t="shared" si="11"/>
        <v>0</v>
      </c>
      <c r="F165" s="129">
        <v>500</v>
      </c>
      <c r="G165" s="122" t="s">
        <v>1963</v>
      </c>
    </row>
    <row r="166" spans="1:7" x14ac:dyDescent="0.25">
      <c r="A166" s="125">
        <f t="shared" si="10"/>
        <v>126</v>
      </c>
      <c r="B166" s="1376"/>
      <c r="C166" s="134" t="s">
        <v>9988</v>
      </c>
      <c r="D166" s="924">
        <v>0</v>
      </c>
      <c r="E166" s="906">
        <f t="shared" si="11"/>
        <v>0</v>
      </c>
      <c r="F166" s="129">
        <v>500</v>
      </c>
      <c r="G166" s="122" t="s">
        <v>1963</v>
      </c>
    </row>
    <row r="167" spans="1:7" x14ac:dyDescent="0.25">
      <c r="A167" s="125">
        <f t="shared" si="10"/>
        <v>127</v>
      </c>
      <c r="B167" s="1376"/>
      <c r="C167" s="134" t="s">
        <v>9989</v>
      </c>
      <c r="D167" s="924">
        <v>0</v>
      </c>
      <c r="E167" s="906">
        <f t="shared" si="11"/>
        <v>0</v>
      </c>
      <c r="F167" s="129">
        <v>500</v>
      </c>
      <c r="G167" s="122" t="s">
        <v>1963</v>
      </c>
    </row>
    <row r="168" spans="1:7" x14ac:dyDescent="0.25">
      <c r="A168" s="125">
        <f t="shared" si="10"/>
        <v>128</v>
      </c>
      <c r="B168" s="1376"/>
      <c r="C168" s="134" t="s">
        <v>9991</v>
      </c>
      <c r="D168" s="924">
        <v>0</v>
      </c>
      <c r="E168" s="906">
        <f t="shared" si="11"/>
        <v>0</v>
      </c>
      <c r="F168" s="129">
        <v>500</v>
      </c>
      <c r="G168" s="122" t="s">
        <v>1963</v>
      </c>
    </row>
    <row r="169" spans="1:7" x14ac:dyDescent="0.25">
      <c r="A169" s="125">
        <f t="shared" si="10"/>
        <v>129</v>
      </c>
      <c r="B169" s="1376"/>
      <c r="C169" s="134" t="s">
        <v>9992</v>
      </c>
      <c r="D169" s="924">
        <v>0</v>
      </c>
      <c r="E169" s="906">
        <f t="shared" si="11"/>
        <v>0</v>
      </c>
      <c r="F169" s="129">
        <v>500</v>
      </c>
      <c r="G169" s="122" t="s">
        <v>1963</v>
      </c>
    </row>
    <row r="170" spans="1:7" ht="13.5" customHeight="1" x14ac:dyDescent="0.25">
      <c r="A170" s="125">
        <f t="shared" si="10"/>
        <v>130</v>
      </c>
      <c r="B170" s="1376"/>
      <c r="C170" s="134"/>
      <c r="D170" s="914"/>
      <c r="E170" s="914"/>
      <c r="F170" s="129"/>
    </row>
    <row r="171" spans="1:7" ht="13.5" customHeight="1" x14ac:dyDescent="0.25">
      <c r="A171" s="125">
        <f t="shared" si="10"/>
        <v>131</v>
      </c>
      <c r="B171" s="887"/>
      <c r="C171" s="1371" t="s">
        <v>6887</v>
      </c>
      <c r="D171" s="1371"/>
      <c r="E171" s="1371"/>
      <c r="F171" s="1371"/>
      <c r="G171" s="1371"/>
    </row>
    <row r="172" spans="1:7" ht="13.5" customHeight="1" x14ac:dyDescent="0.25">
      <c r="A172" s="125">
        <f t="shared" si="10"/>
        <v>132</v>
      </c>
      <c r="B172" s="887"/>
      <c r="C172" s="1371" t="s">
        <v>6975</v>
      </c>
      <c r="D172" s="1371"/>
      <c r="E172" s="1371"/>
      <c r="F172" s="1371"/>
      <c r="G172" s="1371"/>
    </row>
    <row r="173" spans="1:7" x14ac:dyDescent="0.25">
      <c r="A173" s="125">
        <f t="shared" si="10"/>
        <v>133</v>
      </c>
      <c r="B173" s="804"/>
      <c r="C173" s="804"/>
      <c r="D173" s="804"/>
      <c r="E173" s="804"/>
      <c r="F173" s="804"/>
    </row>
    <row r="174" spans="1:7" x14ac:dyDescent="0.25">
      <c r="A174" s="125">
        <f t="shared" si="10"/>
        <v>134</v>
      </c>
      <c r="B174" s="885"/>
      <c r="C174" s="231" t="s">
        <v>10005</v>
      </c>
      <c r="D174" s="916"/>
      <c r="E174" s="916"/>
      <c r="F174" s="885"/>
    </row>
    <row r="175" spans="1:7" x14ac:dyDescent="0.25">
      <c r="A175" s="125">
        <f t="shared" si="10"/>
        <v>135</v>
      </c>
      <c r="B175" s="885"/>
      <c r="C175" s="133" t="s">
        <v>1953</v>
      </c>
      <c r="D175" s="906">
        <v>0</v>
      </c>
      <c r="E175" s="906">
        <f t="shared" ref="E175:E180" si="12">D175/8*12</f>
        <v>0</v>
      </c>
      <c r="F175" s="129">
        <v>500</v>
      </c>
      <c r="G175" s="122" t="s">
        <v>1963</v>
      </c>
    </row>
    <row r="176" spans="1:7" x14ac:dyDescent="0.25">
      <c r="A176" s="125">
        <f t="shared" si="10"/>
        <v>136</v>
      </c>
      <c r="B176" s="885"/>
      <c r="C176" s="133" t="s">
        <v>10009</v>
      </c>
      <c r="D176" s="906">
        <v>0</v>
      </c>
      <c r="E176" s="906">
        <f t="shared" si="12"/>
        <v>0</v>
      </c>
      <c r="F176" s="129">
        <v>500</v>
      </c>
      <c r="G176" s="122" t="s">
        <v>1963</v>
      </c>
    </row>
    <row r="177" spans="1:9" x14ac:dyDescent="0.25">
      <c r="A177" s="125">
        <f t="shared" si="10"/>
        <v>137</v>
      </c>
      <c r="B177" s="885"/>
      <c r="C177" s="133" t="s">
        <v>10006</v>
      </c>
      <c r="D177" s="906">
        <v>0</v>
      </c>
      <c r="E177" s="906">
        <f t="shared" si="12"/>
        <v>0</v>
      </c>
      <c r="F177" s="129">
        <v>500</v>
      </c>
      <c r="G177" s="122" t="s">
        <v>1963</v>
      </c>
    </row>
    <row r="178" spans="1:9" x14ac:dyDescent="0.25">
      <c r="A178" s="125">
        <f t="shared" si="10"/>
        <v>138</v>
      </c>
      <c r="B178" s="885"/>
      <c r="C178" s="133" t="s">
        <v>10007</v>
      </c>
      <c r="D178" s="906">
        <v>0</v>
      </c>
      <c r="E178" s="906">
        <f t="shared" si="12"/>
        <v>0</v>
      </c>
      <c r="F178" s="129">
        <v>500</v>
      </c>
      <c r="G178" s="122" t="s">
        <v>1963</v>
      </c>
    </row>
    <row r="179" spans="1:9" x14ac:dyDescent="0.25">
      <c r="A179" s="125">
        <f t="shared" si="10"/>
        <v>139</v>
      </c>
      <c r="B179" s="885"/>
      <c r="C179" s="133" t="s">
        <v>10008</v>
      </c>
      <c r="D179" s="906">
        <v>0</v>
      </c>
      <c r="E179" s="906">
        <f t="shared" si="12"/>
        <v>0</v>
      </c>
      <c r="F179" s="129">
        <v>500</v>
      </c>
      <c r="G179" s="122" t="s">
        <v>1963</v>
      </c>
    </row>
    <row r="180" spans="1:9" x14ac:dyDescent="0.25">
      <c r="A180" s="125">
        <f t="shared" si="10"/>
        <v>140</v>
      </c>
      <c r="B180" s="885"/>
      <c r="C180" s="134" t="s">
        <v>455</v>
      </c>
      <c r="D180" s="906">
        <v>0</v>
      </c>
      <c r="E180" s="906">
        <f t="shared" si="12"/>
        <v>0</v>
      </c>
      <c r="F180" s="129">
        <v>3500</v>
      </c>
      <c r="G180" s="122" t="s">
        <v>1963</v>
      </c>
    </row>
    <row r="181" spans="1:9" x14ac:dyDescent="0.25">
      <c r="A181" s="125">
        <f t="shared" si="10"/>
        <v>141</v>
      </c>
      <c r="B181" s="885"/>
      <c r="C181" s="231" t="s">
        <v>10010</v>
      </c>
      <c r="D181" s="906"/>
      <c r="E181" s="906"/>
      <c r="F181" s="885"/>
    </row>
    <row r="182" spans="1:9" x14ac:dyDescent="0.25">
      <c r="A182" s="125">
        <f t="shared" si="10"/>
        <v>142</v>
      </c>
      <c r="B182" s="885"/>
      <c r="C182" s="842" t="s">
        <v>10011</v>
      </c>
      <c r="D182" s="906">
        <v>0</v>
      </c>
      <c r="E182" s="906">
        <f t="shared" ref="E182:E187" si="13">D182/8*12</f>
        <v>0</v>
      </c>
      <c r="F182" s="129">
        <v>1000</v>
      </c>
      <c r="G182" s="122" t="s">
        <v>1963</v>
      </c>
    </row>
    <row r="183" spans="1:9" x14ac:dyDescent="0.25">
      <c r="A183" s="125">
        <f t="shared" si="10"/>
        <v>143</v>
      </c>
      <c r="B183" s="885"/>
      <c r="C183" s="842" t="s">
        <v>10013</v>
      </c>
      <c r="D183" s="906">
        <v>0</v>
      </c>
      <c r="E183" s="906">
        <f t="shared" si="13"/>
        <v>0</v>
      </c>
      <c r="F183" s="129">
        <v>1000</v>
      </c>
      <c r="G183" s="122" t="s">
        <v>1963</v>
      </c>
    </row>
    <row r="184" spans="1:9" x14ac:dyDescent="0.25">
      <c r="A184" s="125">
        <f t="shared" si="10"/>
        <v>144</v>
      </c>
      <c r="B184" s="885"/>
      <c r="C184" s="842" t="s">
        <v>10015</v>
      </c>
      <c r="D184" s="906">
        <v>0</v>
      </c>
      <c r="E184" s="906">
        <f t="shared" si="13"/>
        <v>0</v>
      </c>
      <c r="F184" s="129">
        <v>1000</v>
      </c>
      <c r="G184" s="122" t="s">
        <v>1963</v>
      </c>
    </row>
    <row r="185" spans="1:9" x14ac:dyDescent="0.25">
      <c r="A185" s="125">
        <f t="shared" si="10"/>
        <v>145</v>
      </c>
      <c r="B185" s="885"/>
      <c r="C185" s="842" t="s">
        <v>10014</v>
      </c>
      <c r="D185" s="906">
        <v>0</v>
      </c>
      <c r="E185" s="906">
        <f t="shared" si="13"/>
        <v>0</v>
      </c>
      <c r="F185" s="129">
        <v>1000</v>
      </c>
      <c r="G185" s="122" t="s">
        <v>1963</v>
      </c>
    </row>
    <row r="186" spans="1:9" x14ac:dyDescent="0.25">
      <c r="A186" s="125">
        <f t="shared" si="10"/>
        <v>146</v>
      </c>
      <c r="B186" s="1379" t="s">
        <v>450</v>
      </c>
      <c r="C186" s="842" t="s">
        <v>10016</v>
      </c>
      <c r="D186" s="906">
        <v>0</v>
      </c>
      <c r="E186" s="906">
        <f t="shared" si="13"/>
        <v>0</v>
      </c>
      <c r="F186" s="129">
        <v>1000</v>
      </c>
      <c r="G186" s="122" t="s">
        <v>1963</v>
      </c>
    </row>
    <row r="187" spans="1:9" x14ac:dyDescent="0.25">
      <c r="A187" s="125">
        <f t="shared" si="10"/>
        <v>147</v>
      </c>
      <c r="B187" s="1379"/>
      <c r="C187" s="842" t="s">
        <v>10012</v>
      </c>
      <c r="D187" s="906">
        <v>0</v>
      </c>
      <c r="E187" s="906">
        <f t="shared" si="13"/>
        <v>0</v>
      </c>
      <c r="F187" s="129">
        <v>4000</v>
      </c>
      <c r="G187" s="122" t="s">
        <v>1963</v>
      </c>
    </row>
    <row r="188" spans="1:9" x14ac:dyDescent="0.25">
      <c r="A188" s="125">
        <f t="shared" si="10"/>
        <v>148</v>
      </c>
      <c r="B188" s="1379"/>
      <c r="C188" s="929" t="s">
        <v>6982</v>
      </c>
      <c r="D188" s="928"/>
      <c r="E188" s="928"/>
      <c r="F188" s="929"/>
      <c r="G188" s="929"/>
      <c r="H188" s="929"/>
      <c r="I188" s="929"/>
    </row>
    <row r="189" spans="1:9" x14ac:dyDescent="0.25">
      <c r="A189" s="125">
        <f t="shared" si="10"/>
        <v>149</v>
      </c>
      <c r="B189" s="1379"/>
      <c r="C189" s="842" t="s">
        <v>10021</v>
      </c>
      <c r="D189" s="906">
        <v>0</v>
      </c>
      <c r="E189" s="906">
        <f t="shared" ref="E189:E194" si="14">D189/8*12</f>
        <v>0</v>
      </c>
      <c r="F189" s="129">
        <v>1000</v>
      </c>
      <c r="G189" s="122" t="s">
        <v>1963</v>
      </c>
    </row>
    <row r="190" spans="1:9" x14ac:dyDescent="0.25">
      <c r="A190" s="125">
        <f t="shared" si="10"/>
        <v>150</v>
      </c>
      <c r="B190" s="1379"/>
      <c r="C190" s="842" t="s">
        <v>10025</v>
      </c>
      <c r="D190" s="906">
        <v>0</v>
      </c>
      <c r="E190" s="906">
        <f t="shared" si="14"/>
        <v>0</v>
      </c>
      <c r="F190" s="129">
        <v>1000</v>
      </c>
      <c r="G190" s="122" t="s">
        <v>1963</v>
      </c>
    </row>
    <row r="191" spans="1:9" x14ac:dyDescent="0.25">
      <c r="A191" s="125">
        <f t="shared" si="10"/>
        <v>151</v>
      </c>
      <c r="B191" s="1379"/>
      <c r="C191" s="842" t="s">
        <v>10022</v>
      </c>
      <c r="D191" s="906">
        <v>0</v>
      </c>
      <c r="E191" s="906">
        <f t="shared" si="14"/>
        <v>0</v>
      </c>
      <c r="F191" s="129">
        <v>1000</v>
      </c>
      <c r="G191" s="122" t="s">
        <v>1963</v>
      </c>
    </row>
    <row r="192" spans="1:9" x14ac:dyDescent="0.25">
      <c r="A192" s="125">
        <f t="shared" si="10"/>
        <v>152</v>
      </c>
      <c r="B192" s="1379"/>
      <c r="C192" s="842" t="s">
        <v>10023</v>
      </c>
      <c r="D192" s="906">
        <v>0</v>
      </c>
      <c r="E192" s="906">
        <f t="shared" si="14"/>
        <v>0</v>
      </c>
      <c r="F192" s="129">
        <v>1000</v>
      </c>
      <c r="G192" s="122" t="s">
        <v>1963</v>
      </c>
    </row>
    <row r="193" spans="1:7" x14ac:dyDescent="0.25">
      <c r="A193" s="125">
        <f t="shared" si="10"/>
        <v>153</v>
      </c>
      <c r="B193" s="1379"/>
      <c r="C193" s="842" t="s">
        <v>10026</v>
      </c>
      <c r="D193" s="906">
        <v>0</v>
      </c>
      <c r="E193" s="906">
        <f t="shared" si="14"/>
        <v>0</v>
      </c>
      <c r="F193" s="129">
        <v>1000</v>
      </c>
      <c r="G193" s="122" t="s">
        <v>1963</v>
      </c>
    </row>
    <row r="194" spans="1:7" x14ac:dyDescent="0.25">
      <c r="A194" s="125">
        <f t="shared" si="10"/>
        <v>154</v>
      </c>
      <c r="B194" s="1379"/>
      <c r="C194" s="842" t="s">
        <v>10024</v>
      </c>
      <c r="D194" s="906">
        <v>0</v>
      </c>
      <c r="E194" s="906">
        <f t="shared" si="14"/>
        <v>0</v>
      </c>
      <c r="F194" s="129">
        <v>4000</v>
      </c>
      <c r="G194" s="122" t="s">
        <v>1963</v>
      </c>
    </row>
    <row r="195" spans="1:7" x14ac:dyDescent="0.25">
      <c r="A195" s="125">
        <f t="shared" si="10"/>
        <v>155</v>
      </c>
      <c r="B195" s="1379"/>
      <c r="C195" s="927" t="s">
        <v>10027</v>
      </c>
      <c r="D195" s="928"/>
      <c r="E195" s="928"/>
      <c r="F195" s="129"/>
    </row>
    <row r="196" spans="1:7" x14ac:dyDescent="0.25">
      <c r="A196" s="125">
        <f t="shared" si="10"/>
        <v>156</v>
      </c>
      <c r="B196" s="1379"/>
      <c r="C196" s="134" t="s">
        <v>136</v>
      </c>
      <c r="D196" s="906">
        <v>0</v>
      </c>
      <c r="E196" s="906">
        <f t="shared" ref="E196" si="15">D196/8*12</f>
        <v>0</v>
      </c>
      <c r="F196" s="136">
        <f>1+(1/3+1/12*3)</f>
        <v>1.5833333333333333</v>
      </c>
      <c r="G196" s="122" t="s">
        <v>1963</v>
      </c>
    </row>
    <row r="197" spans="1:7" x14ac:dyDescent="0.25">
      <c r="A197" s="125">
        <f t="shared" si="10"/>
        <v>157</v>
      </c>
      <c r="B197" s="1379"/>
      <c r="C197" s="842" t="s">
        <v>11529</v>
      </c>
      <c r="D197" s="924">
        <v>113024.9</v>
      </c>
      <c r="E197" s="906">
        <f>D197/8*13</f>
        <v>183665.46249999999</v>
      </c>
      <c r="F197" s="129">
        <f>E197/12</f>
        <v>15305.455208333333</v>
      </c>
      <c r="G197" s="122" t="s">
        <v>1963</v>
      </c>
    </row>
    <row r="198" spans="1:7" x14ac:dyDescent="0.25">
      <c r="A198" s="125">
        <f t="shared" si="10"/>
        <v>158</v>
      </c>
      <c r="B198" s="1379"/>
      <c r="C198" s="927" t="s">
        <v>11532</v>
      </c>
      <c r="D198" s="924">
        <v>21950.78</v>
      </c>
      <c r="E198" s="906">
        <f>D198/8*13</f>
        <v>35670.017500000002</v>
      </c>
      <c r="F198" s="129">
        <f>E198/12</f>
        <v>2972.5014583333336</v>
      </c>
      <c r="G198" s="122" t="s">
        <v>1963</v>
      </c>
    </row>
    <row r="199" spans="1:7" x14ac:dyDescent="0.25">
      <c r="A199" s="125">
        <f t="shared" si="10"/>
        <v>159</v>
      </c>
      <c r="B199" s="1379"/>
      <c r="C199" s="134" t="s">
        <v>10028</v>
      </c>
      <c r="D199" s="906">
        <v>54.5</v>
      </c>
      <c r="E199" s="906">
        <f>D199/8*12</f>
        <v>81.75</v>
      </c>
      <c r="F199" s="129">
        <f>E199</f>
        <v>81.75</v>
      </c>
      <c r="G199" s="122" t="s">
        <v>1963</v>
      </c>
    </row>
    <row r="200" spans="1:7" x14ac:dyDescent="0.25">
      <c r="A200" s="125">
        <f t="shared" si="10"/>
        <v>160</v>
      </c>
      <c r="B200" s="1379"/>
      <c r="C200" s="130" t="s">
        <v>125</v>
      </c>
      <c r="D200" s="906">
        <v>1920</v>
      </c>
      <c r="E200" s="906">
        <f>D200/8*12</f>
        <v>2880</v>
      </c>
      <c r="F200" s="129">
        <f>E200/12</f>
        <v>240</v>
      </c>
      <c r="G200" s="122" t="s">
        <v>1963</v>
      </c>
    </row>
    <row r="201" spans="1:7" x14ac:dyDescent="0.25">
      <c r="A201" s="125">
        <f t="shared" si="10"/>
        <v>161</v>
      </c>
      <c r="B201" s="1379"/>
      <c r="C201" s="130" t="s">
        <v>126</v>
      </c>
      <c r="D201" s="906">
        <v>5602.42</v>
      </c>
      <c r="E201" s="906">
        <f>D201/8*12</f>
        <v>8403.630000000001</v>
      </c>
      <c r="F201" s="129">
        <f>E201</f>
        <v>8403.630000000001</v>
      </c>
      <c r="G201" s="122" t="s">
        <v>1963</v>
      </c>
    </row>
    <row r="202" spans="1:7" x14ac:dyDescent="0.25">
      <c r="A202" s="125">
        <f t="shared" si="10"/>
        <v>162</v>
      </c>
      <c r="B202" s="1379"/>
      <c r="C202" s="130" t="s">
        <v>10029</v>
      </c>
      <c r="D202" s="906">
        <v>0</v>
      </c>
      <c r="E202" s="906">
        <f t="shared" ref="E202:E203" si="16">D202/8*12</f>
        <v>0</v>
      </c>
      <c r="F202" s="136">
        <v>2000</v>
      </c>
      <c r="G202" s="122" t="s">
        <v>1963</v>
      </c>
    </row>
    <row r="203" spans="1:7" x14ac:dyDescent="0.25">
      <c r="A203" s="125">
        <f t="shared" si="10"/>
        <v>163</v>
      </c>
      <c r="B203" s="1379"/>
      <c r="C203" s="130" t="s">
        <v>9990</v>
      </c>
      <c r="D203" s="906">
        <v>0</v>
      </c>
      <c r="E203" s="906">
        <f t="shared" si="16"/>
        <v>0</v>
      </c>
      <c r="F203" s="136">
        <v>2000</v>
      </c>
      <c r="G203" s="122" t="s">
        <v>1963</v>
      </c>
    </row>
    <row r="204" spans="1:7" x14ac:dyDescent="0.25">
      <c r="A204" s="125">
        <f t="shared" si="10"/>
        <v>164</v>
      </c>
      <c r="B204" s="1379"/>
      <c r="C204" s="130" t="s">
        <v>10030</v>
      </c>
      <c r="D204" s="906">
        <v>2432.6</v>
      </c>
      <c r="E204" s="906">
        <f>D204/8*12</f>
        <v>3648.8999999999996</v>
      </c>
      <c r="F204" s="129">
        <f>E204</f>
        <v>3648.8999999999996</v>
      </c>
      <c r="G204" s="122" t="s">
        <v>1963</v>
      </c>
    </row>
    <row r="205" spans="1:7" x14ac:dyDescent="0.25">
      <c r="A205" s="125">
        <f t="shared" si="10"/>
        <v>165</v>
      </c>
      <c r="B205" s="1379"/>
      <c r="C205" s="130" t="s">
        <v>124</v>
      </c>
      <c r="D205" s="906">
        <v>14570.76</v>
      </c>
      <c r="E205" s="906">
        <f>D205/8*12</f>
        <v>21856.14</v>
      </c>
      <c r="F205" s="129">
        <f>E205</f>
        <v>21856.14</v>
      </c>
      <c r="G205" s="122" t="s">
        <v>1963</v>
      </c>
    </row>
    <row r="206" spans="1:7" x14ac:dyDescent="0.25">
      <c r="A206" s="125">
        <f t="shared" si="10"/>
        <v>166</v>
      </c>
      <c r="B206" s="1379"/>
      <c r="C206" s="130" t="s">
        <v>123</v>
      </c>
      <c r="D206" s="906">
        <f>8431.4-7428.4</f>
        <v>1003</v>
      </c>
      <c r="E206" s="906">
        <f>D206/8*12</f>
        <v>1504.5</v>
      </c>
      <c r="F206" s="129">
        <f>E206</f>
        <v>1504.5</v>
      </c>
      <c r="G206" s="122" t="s">
        <v>1963</v>
      </c>
    </row>
    <row r="207" spans="1:7" x14ac:dyDescent="0.25">
      <c r="A207" s="125">
        <f t="shared" si="10"/>
        <v>167</v>
      </c>
      <c r="B207" s="1379"/>
      <c r="C207" s="130" t="s">
        <v>11535</v>
      </c>
      <c r="D207" s="906">
        <v>7428.4</v>
      </c>
      <c r="E207" s="906">
        <f>D207/8*12</f>
        <v>11142.599999999999</v>
      </c>
      <c r="F207" s="129">
        <f>E207</f>
        <v>11142.599999999999</v>
      </c>
      <c r="G207" s="122" t="s">
        <v>1963</v>
      </c>
    </row>
    <row r="208" spans="1:7" x14ac:dyDescent="0.25">
      <c r="A208" s="125">
        <f t="shared" si="10"/>
        <v>168</v>
      </c>
      <c r="B208" s="1379"/>
      <c r="C208" s="130" t="s">
        <v>11536</v>
      </c>
      <c r="D208" s="906">
        <v>44886.67</v>
      </c>
      <c r="E208" s="906">
        <f>D208/8*12</f>
        <v>67330.005000000005</v>
      </c>
      <c r="F208" s="129">
        <f>E208</f>
        <v>67330.005000000005</v>
      </c>
      <c r="G208" s="122" t="s">
        <v>1963</v>
      </c>
    </row>
    <row r="209" spans="1:7" x14ac:dyDescent="0.25">
      <c r="A209" s="125">
        <f t="shared" si="10"/>
        <v>169</v>
      </c>
      <c r="B209" s="1379"/>
      <c r="C209" s="134" t="s">
        <v>895</v>
      </c>
      <c r="D209" s="906">
        <v>0</v>
      </c>
      <c r="E209" s="906">
        <f t="shared" ref="E209" si="17">D209/8*12</f>
        <v>0</v>
      </c>
      <c r="F209" s="136">
        <v>500</v>
      </c>
      <c r="G209" s="122" t="s">
        <v>1963</v>
      </c>
    </row>
    <row r="210" spans="1:7" x14ac:dyDescent="0.25">
      <c r="A210" s="125">
        <f t="shared" si="10"/>
        <v>170</v>
      </c>
      <c r="B210" s="1379"/>
      <c r="C210" s="130" t="s">
        <v>112</v>
      </c>
      <c r="D210" s="906">
        <v>1061.3599999999999</v>
      </c>
      <c r="E210" s="906">
        <f>D210/3*12</f>
        <v>4245.4399999999996</v>
      </c>
      <c r="F210" s="129">
        <f>E210</f>
        <v>4245.4399999999996</v>
      </c>
      <c r="G210" s="122" t="s">
        <v>1963</v>
      </c>
    </row>
    <row r="211" spans="1:7" x14ac:dyDescent="0.25">
      <c r="A211" s="125">
        <f t="shared" si="10"/>
        <v>171</v>
      </c>
      <c r="B211" s="1379"/>
      <c r="C211" s="842" t="s">
        <v>11537</v>
      </c>
      <c r="D211" s="906">
        <v>705.5</v>
      </c>
      <c r="E211" s="906">
        <f>D211/8*12</f>
        <v>1058.25</v>
      </c>
      <c r="F211" s="129">
        <f>E211</f>
        <v>1058.25</v>
      </c>
      <c r="G211" s="122" t="s">
        <v>1963</v>
      </c>
    </row>
    <row r="212" spans="1:7" x14ac:dyDescent="0.25">
      <c r="A212" s="125">
        <f t="shared" si="10"/>
        <v>172</v>
      </c>
      <c r="B212" s="1379"/>
      <c r="C212" s="130" t="s">
        <v>133</v>
      </c>
      <c r="D212" s="906">
        <v>2134.61</v>
      </c>
      <c r="E212" s="906">
        <f>D212/8*12</f>
        <v>3201.915</v>
      </c>
      <c r="F212" s="129">
        <f>E212/12</f>
        <v>266.82625000000002</v>
      </c>
      <c r="G212" s="122" t="s">
        <v>1963</v>
      </c>
    </row>
    <row r="213" spans="1:7" x14ac:dyDescent="0.25">
      <c r="A213" s="125">
        <f t="shared" si="10"/>
        <v>173</v>
      </c>
      <c r="B213" s="1379"/>
      <c r="C213" s="130" t="s">
        <v>137</v>
      </c>
      <c r="D213" s="906">
        <v>59</v>
      </c>
      <c r="E213" s="906">
        <f>D213/8*12</f>
        <v>88.5</v>
      </c>
      <c r="F213" s="129">
        <f>E213+800</f>
        <v>888.5</v>
      </c>
      <c r="G213" s="122" t="s">
        <v>1963</v>
      </c>
    </row>
    <row r="214" spans="1:7" x14ac:dyDescent="0.25">
      <c r="A214" s="125">
        <f t="shared" si="10"/>
        <v>174</v>
      </c>
      <c r="B214" s="1379"/>
      <c r="C214" s="130" t="s">
        <v>10031</v>
      </c>
      <c r="D214" s="906">
        <v>0</v>
      </c>
      <c r="E214" s="906">
        <f t="shared" ref="E214:E221" si="18">D214/8*12</f>
        <v>0</v>
      </c>
      <c r="F214" s="136">
        <v>3000</v>
      </c>
      <c r="G214" s="122" t="s">
        <v>1963</v>
      </c>
    </row>
    <row r="215" spans="1:7" x14ac:dyDescent="0.25">
      <c r="A215" s="125">
        <f t="shared" si="10"/>
        <v>175</v>
      </c>
      <c r="B215" s="1379"/>
      <c r="C215" s="643" t="s">
        <v>10032</v>
      </c>
      <c r="D215" s="913"/>
      <c r="E215" s="913"/>
      <c r="F215" s="136"/>
    </row>
    <row r="216" spans="1:7" x14ac:dyDescent="0.25">
      <c r="A216" s="125">
        <f t="shared" si="10"/>
        <v>176</v>
      </c>
      <c r="B216" s="1379"/>
      <c r="C216" s="842" t="s">
        <v>9996</v>
      </c>
      <c r="D216" s="906">
        <v>0</v>
      </c>
      <c r="E216" s="906">
        <f t="shared" si="18"/>
        <v>0</v>
      </c>
      <c r="F216" s="136">
        <v>1000</v>
      </c>
      <c r="G216" s="122" t="s">
        <v>1963</v>
      </c>
    </row>
    <row r="217" spans="1:7" x14ac:dyDescent="0.25">
      <c r="A217" s="125">
        <f t="shared" si="10"/>
        <v>177</v>
      </c>
      <c r="B217" s="1379"/>
      <c r="C217" s="842" t="s">
        <v>9997</v>
      </c>
      <c r="D217" s="906">
        <v>0</v>
      </c>
      <c r="E217" s="906">
        <f t="shared" si="18"/>
        <v>0</v>
      </c>
      <c r="F217" s="136">
        <v>1000</v>
      </c>
      <c r="G217" s="122" t="s">
        <v>1963</v>
      </c>
    </row>
    <row r="218" spans="1:7" x14ac:dyDescent="0.25">
      <c r="A218" s="125">
        <f t="shared" si="10"/>
        <v>178</v>
      </c>
      <c r="B218" s="1379"/>
      <c r="C218" s="842" t="s">
        <v>9998</v>
      </c>
      <c r="D218" s="906">
        <v>0</v>
      </c>
      <c r="E218" s="906">
        <f t="shared" si="18"/>
        <v>0</v>
      </c>
      <c r="F218" s="136">
        <f>25060.62*25%</f>
        <v>6265.1549999999997</v>
      </c>
      <c r="G218" s="122" t="s">
        <v>1963</v>
      </c>
    </row>
    <row r="219" spans="1:7" x14ac:dyDescent="0.25">
      <c r="A219" s="125">
        <f t="shared" si="10"/>
        <v>179</v>
      </c>
      <c r="B219" s="1379"/>
      <c r="C219" s="842" t="s">
        <v>9999</v>
      </c>
      <c r="D219" s="906">
        <v>0</v>
      </c>
      <c r="E219" s="906">
        <f t="shared" si="18"/>
        <v>0</v>
      </c>
      <c r="F219" s="136">
        <v>1000</v>
      </c>
      <c r="G219" s="122" t="s">
        <v>1963</v>
      </c>
    </row>
    <row r="220" spans="1:7" x14ac:dyDescent="0.25">
      <c r="A220" s="125">
        <f t="shared" si="10"/>
        <v>180</v>
      </c>
      <c r="B220" s="1379"/>
      <c r="C220" s="842" t="s">
        <v>10000</v>
      </c>
      <c r="D220" s="906">
        <v>0</v>
      </c>
      <c r="E220" s="906">
        <f t="shared" si="18"/>
        <v>0</v>
      </c>
      <c r="F220" s="136">
        <f>25060.62-F216-F217-F219-F221</f>
        <v>21860.62</v>
      </c>
      <c r="G220" s="122" t="s">
        <v>1963</v>
      </c>
    </row>
    <row r="221" spans="1:7" x14ac:dyDescent="0.25">
      <c r="A221" s="125">
        <f t="shared" si="10"/>
        <v>181</v>
      </c>
      <c r="B221" s="1379"/>
      <c r="C221" s="842" t="s">
        <v>10001</v>
      </c>
      <c r="D221" s="906">
        <v>0</v>
      </c>
      <c r="E221" s="906">
        <f t="shared" si="18"/>
        <v>0</v>
      </c>
      <c r="F221" s="930">
        <f>F219*20%</f>
        <v>200</v>
      </c>
      <c r="G221" s="122" t="s">
        <v>1963</v>
      </c>
    </row>
    <row r="222" spans="1:7" x14ac:dyDescent="0.25">
      <c r="A222" s="125">
        <f t="shared" ref="A222:A285" si="19">A221+1</f>
        <v>182</v>
      </c>
      <c r="B222" s="1379"/>
      <c r="C222" s="927" t="s">
        <v>10033</v>
      </c>
      <c r="D222" s="928"/>
      <c r="E222" s="928"/>
      <c r="F222" s="930"/>
    </row>
    <row r="223" spans="1:7" x14ac:dyDescent="0.25">
      <c r="A223" s="125">
        <f t="shared" si="19"/>
        <v>183</v>
      </c>
      <c r="B223" s="1379"/>
      <c r="C223" s="842" t="s">
        <v>10021</v>
      </c>
      <c r="D223" s="906">
        <v>0</v>
      </c>
      <c r="E223" s="906">
        <f t="shared" ref="E223:E229" si="20">D223/8*12</f>
        <v>0</v>
      </c>
      <c r="F223" s="129">
        <v>3000</v>
      </c>
      <c r="G223" s="122" t="s">
        <v>1963</v>
      </c>
    </row>
    <row r="224" spans="1:7" x14ac:dyDescent="0.25">
      <c r="A224" s="125">
        <f t="shared" si="19"/>
        <v>184</v>
      </c>
      <c r="B224" s="1379"/>
      <c r="C224" s="842" t="s">
        <v>10025</v>
      </c>
      <c r="D224" s="906">
        <v>0</v>
      </c>
      <c r="E224" s="906">
        <f t="shared" si="20"/>
        <v>0</v>
      </c>
      <c r="F224" s="129">
        <v>1000</v>
      </c>
      <c r="G224" s="122" t="s">
        <v>1963</v>
      </c>
    </row>
    <row r="225" spans="1:9" x14ac:dyDescent="0.25">
      <c r="A225" s="125">
        <f t="shared" si="19"/>
        <v>185</v>
      </c>
      <c r="B225" s="1379"/>
      <c r="C225" s="842" t="s">
        <v>10022</v>
      </c>
      <c r="D225" s="906">
        <v>0</v>
      </c>
      <c r="E225" s="906">
        <f t="shared" si="20"/>
        <v>0</v>
      </c>
      <c r="F225" s="129">
        <v>2500</v>
      </c>
      <c r="G225" s="122" t="s">
        <v>1963</v>
      </c>
    </row>
    <row r="226" spans="1:9" x14ac:dyDescent="0.25">
      <c r="A226" s="125">
        <f t="shared" si="19"/>
        <v>186</v>
      </c>
      <c r="B226" s="1379"/>
      <c r="C226" s="842" t="s">
        <v>10023</v>
      </c>
      <c r="D226" s="906">
        <v>39991.35</v>
      </c>
      <c r="E226" s="906">
        <f t="shared" si="20"/>
        <v>59987.024999999994</v>
      </c>
      <c r="F226" s="129">
        <f t="shared" ref="F226" si="21">E226</f>
        <v>59987.024999999994</v>
      </c>
      <c r="G226" s="122" t="s">
        <v>1963</v>
      </c>
    </row>
    <row r="227" spans="1:9" x14ac:dyDescent="0.25">
      <c r="A227" s="125">
        <f t="shared" si="19"/>
        <v>187</v>
      </c>
      <c r="B227" s="1379"/>
      <c r="C227" s="842" t="s">
        <v>10026</v>
      </c>
      <c r="D227" s="906">
        <v>0</v>
      </c>
      <c r="E227" s="906">
        <f t="shared" si="20"/>
        <v>0</v>
      </c>
      <c r="F227" s="129">
        <v>2000</v>
      </c>
      <c r="G227" s="122" t="s">
        <v>1963</v>
      </c>
    </row>
    <row r="228" spans="1:9" x14ac:dyDescent="0.25">
      <c r="A228" s="125">
        <f t="shared" si="19"/>
        <v>188</v>
      </c>
      <c r="B228" s="1379"/>
      <c r="C228" s="842" t="s">
        <v>10024</v>
      </c>
      <c r="D228" s="906">
        <v>0</v>
      </c>
      <c r="E228" s="906">
        <f t="shared" si="20"/>
        <v>0</v>
      </c>
      <c r="F228" s="129">
        <v>4000</v>
      </c>
      <c r="G228" s="122" t="s">
        <v>1963</v>
      </c>
    </row>
    <row r="229" spans="1:9" x14ac:dyDescent="0.25">
      <c r="A229" s="125">
        <f t="shared" si="19"/>
        <v>189</v>
      </c>
      <c r="B229" s="1379"/>
      <c r="C229" s="842" t="s">
        <v>11537</v>
      </c>
      <c r="D229" s="906">
        <v>0</v>
      </c>
      <c r="E229" s="906">
        <f t="shared" si="20"/>
        <v>0</v>
      </c>
      <c r="F229" s="129">
        <v>0</v>
      </c>
    </row>
    <row r="230" spans="1:9" x14ac:dyDescent="0.25">
      <c r="A230" s="125">
        <f t="shared" si="19"/>
        <v>190</v>
      </c>
      <c r="B230" s="1379"/>
      <c r="C230" s="793" t="s">
        <v>6887</v>
      </c>
      <c r="D230" s="793"/>
      <c r="E230" s="793"/>
      <c r="F230" s="793"/>
      <c r="G230" s="793"/>
      <c r="H230" s="793"/>
      <c r="I230" s="793"/>
    </row>
    <row r="231" spans="1:9" x14ac:dyDescent="0.25">
      <c r="A231" s="125">
        <f t="shared" si="19"/>
        <v>191</v>
      </c>
      <c r="B231" s="1379"/>
      <c r="C231" s="793" t="s">
        <v>7012</v>
      </c>
      <c r="D231" s="793"/>
      <c r="E231" s="793"/>
      <c r="F231" s="793"/>
      <c r="G231" s="793"/>
      <c r="H231" s="793"/>
      <c r="I231" s="793"/>
    </row>
    <row r="232" spans="1:9" x14ac:dyDescent="0.25">
      <c r="A232" s="125">
        <f t="shared" si="19"/>
        <v>192</v>
      </c>
      <c r="B232" s="885"/>
      <c r="C232" s="231" t="s">
        <v>10005</v>
      </c>
      <c r="D232" s="916"/>
      <c r="E232" s="916"/>
      <c r="F232" s="885"/>
    </row>
    <row r="233" spans="1:9" x14ac:dyDescent="0.25">
      <c r="A233" s="125">
        <f t="shared" si="19"/>
        <v>193</v>
      </c>
      <c r="B233" s="885"/>
      <c r="C233" s="133" t="s">
        <v>1953</v>
      </c>
      <c r="D233" s="906">
        <v>0</v>
      </c>
      <c r="E233" s="906">
        <f t="shared" ref="E233:E238" si="22">D233/8*12</f>
        <v>0</v>
      </c>
      <c r="F233" s="129">
        <v>500</v>
      </c>
      <c r="G233" s="122" t="s">
        <v>1963</v>
      </c>
    </row>
    <row r="234" spans="1:9" x14ac:dyDescent="0.25">
      <c r="A234" s="125">
        <f t="shared" si="19"/>
        <v>194</v>
      </c>
      <c r="B234" s="885"/>
      <c r="C234" s="133" t="s">
        <v>10009</v>
      </c>
      <c r="D234" s="906">
        <v>0</v>
      </c>
      <c r="E234" s="906">
        <f t="shared" si="22"/>
        <v>0</v>
      </c>
      <c r="F234" s="129">
        <v>500</v>
      </c>
      <c r="G234" s="122" t="s">
        <v>1963</v>
      </c>
    </row>
    <row r="235" spans="1:9" x14ac:dyDescent="0.25">
      <c r="A235" s="125">
        <f t="shared" si="19"/>
        <v>195</v>
      </c>
      <c r="B235" s="885"/>
      <c r="C235" s="133" t="s">
        <v>10006</v>
      </c>
      <c r="D235" s="906">
        <v>0</v>
      </c>
      <c r="E235" s="906">
        <f t="shared" si="22"/>
        <v>0</v>
      </c>
      <c r="F235" s="129">
        <v>500</v>
      </c>
      <c r="G235" s="122" t="s">
        <v>1963</v>
      </c>
    </row>
    <row r="236" spans="1:9" x14ac:dyDescent="0.25">
      <c r="A236" s="125">
        <f t="shared" si="19"/>
        <v>196</v>
      </c>
      <c r="B236" s="885"/>
      <c r="C236" s="133" t="s">
        <v>10007</v>
      </c>
      <c r="D236" s="906">
        <v>0</v>
      </c>
      <c r="E236" s="906">
        <f t="shared" si="22"/>
        <v>0</v>
      </c>
      <c r="F236" s="129">
        <v>500</v>
      </c>
      <c r="G236" s="122" t="s">
        <v>1963</v>
      </c>
    </row>
    <row r="237" spans="1:9" x14ac:dyDescent="0.25">
      <c r="A237" s="125">
        <f t="shared" si="19"/>
        <v>197</v>
      </c>
      <c r="B237" s="885"/>
      <c r="C237" s="133" t="s">
        <v>10008</v>
      </c>
      <c r="D237" s="906">
        <v>0</v>
      </c>
      <c r="E237" s="906">
        <f t="shared" si="22"/>
        <v>0</v>
      </c>
      <c r="F237" s="129">
        <v>500</v>
      </c>
      <c r="G237" s="122" t="s">
        <v>1963</v>
      </c>
    </row>
    <row r="238" spans="1:9" x14ac:dyDescent="0.25">
      <c r="A238" s="125">
        <f t="shared" si="19"/>
        <v>198</v>
      </c>
      <c r="B238" s="885"/>
      <c r="C238" s="134" t="s">
        <v>455</v>
      </c>
      <c r="D238" s="906">
        <v>0</v>
      </c>
      <c r="E238" s="906">
        <f t="shared" si="22"/>
        <v>0</v>
      </c>
      <c r="F238" s="129">
        <v>3500</v>
      </c>
      <c r="G238" s="122" t="s">
        <v>1963</v>
      </c>
    </row>
    <row r="239" spans="1:9" x14ac:dyDescent="0.25">
      <c r="A239" s="125">
        <f t="shared" si="19"/>
        <v>199</v>
      </c>
      <c r="B239" s="885"/>
      <c r="C239" s="929" t="s">
        <v>10044</v>
      </c>
      <c r="D239" s="928"/>
      <c r="E239" s="928"/>
      <c r="F239" s="929"/>
      <c r="G239" s="929"/>
      <c r="H239" s="929"/>
    </row>
    <row r="240" spans="1:9" x14ac:dyDescent="0.25">
      <c r="A240" s="125">
        <f t="shared" si="19"/>
        <v>200</v>
      </c>
      <c r="B240" s="885"/>
      <c r="C240" s="842" t="s">
        <v>10021</v>
      </c>
      <c r="D240" s="906">
        <v>0</v>
      </c>
      <c r="E240" s="906">
        <f t="shared" ref="E240:E245" si="23">D240/8*12</f>
        <v>0</v>
      </c>
      <c r="F240" s="129">
        <v>1000</v>
      </c>
      <c r="G240" s="122" t="s">
        <v>1963</v>
      </c>
    </row>
    <row r="241" spans="1:7" x14ac:dyDescent="0.25">
      <c r="A241" s="125">
        <f t="shared" si="19"/>
        <v>201</v>
      </c>
      <c r="B241" s="885"/>
      <c r="C241" s="842" t="s">
        <v>10025</v>
      </c>
      <c r="D241" s="906">
        <v>0</v>
      </c>
      <c r="E241" s="906">
        <f t="shared" si="23"/>
        <v>0</v>
      </c>
      <c r="F241" s="129">
        <v>1000</v>
      </c>
      <c r="G241" s="122" t="s">
        <v>1963</v>
      </c>
    </row>
    <row r="242" spans="1:7" x14ac:dyDescent="0.25">
      <c r="A242" s="125">
        <f t="shared" si="19"/>
        <v>202</v>
      </c>
      <c r="B242" s="885"/>
      <c r="C242" s="842" t="s">
        <v>10022</v>
      </c>
      <c r="D242" s="906">
        <v>0</v>
      </c>
      <c r="E242" s="906">
        <f t="shared" si="23"/>
        <v>0</v>
      </c>
      <c r="F242" s="129">
        <v>1000</v>
      </c>
      <c r="G242" s="122" t="s">
        <v>1963</v>
      </c>
    </row>
    <row r="243" spans="1:7" x14ac:dyDescent="0.25">
      <c r="A243" s="125">
        <f t="shared" si="19"/>
        <v>203</v>
      </c>
      <c r="B243" s="885"/>
      <c r="C243" s="842" t="s">
        <v>10023</v>
      </c>
      <c r="D243" s="906">
        <v>0</v>
      </c>
      <c r="E243" s="906">
        <f t="shared" si="23"/>
        <v>0</v>
      </c>
      <c r="F243" s="129">
        <v>1000</v>
      </c>
      <c r="G243" s="122" t="s">
        <v>1963</v>
      </c>
    </row>
    <row r="244" spans="1:7" x14ac:dyDescent="0.25">
      <c r="A244" s="125">
        <f t="shared" si="19"/>
        <v>204</v>
      </c>
      <c r="B244" s="885"/>
      <c r="C244" s="842" t="s">
        <v>10026</v>
      </c>
      <c r="D244" s="906">
        <v>0</v>
      </c>
      <c r="E244" s="906">
        <f t="shared" si="23"/>
        <v>0</v>
      </c>
      <c r="F244" s="129">
        <v>1000</v>
      </c>
      <c r="G244" s="122" t="s">
        <v>1963</v>
      </c>
    </row>
    <row r="245" spans="1:7" x14ac:dyDescent="0.25">
      <c r="A245" s="125">
        <f t="shared" si="19"/>
        <v>205</v>
      </c>
      <c r="B245" s="885"/>
      <c r="C245" s="842" t="s">
        <v>10024</v>
      </c>
      <c r="D245" s="906">
        <v>4810.4799999999996</v>
      </c>
      <c r="E245" s="906">
        <f t="shared" si="23"/>
        <v>7215.7199999999993</v>
      </c>
      <c r="F245" s="129">
        <v>4000</v>
      </c>
      <c r="G245" s="122" t="s">
        <v>1963</v>
      </c>
    </row>
    <row r="246" spans="1:7" x14ac:dyDescent="0.25">
      <c r="A246" s="125">
        <f t="shared" si="19"/>
        <v>206</v>
      </c>
      <c r="B246" s="885"/>
      <c r="C246" s="927" t="s">
        <v>10027</v>
      </c>
      <c r="D246" s="928"/>
      <c r="E246" s="928"/>
      <c r="F246" s="129"/>
    </row>
    <row r="247" spans="1:7" x14ac:dyDescent="0.25">
      <c r="A247" s="125">
        <f t="shared" si="19"/>
        <v>207</v>
      </c>
      <c r="B247" s="885"/>
      <c r="C247" s="134" t="s">
        <v>136</v>
      </c>
      <c r="D247" s="906">
        <v>0</v>
      </c>
      <c r="E247" s="906">
        <f t="shared" ref="E247" si="24">D247/8*12</f>
        <v>0</v>
      </c>
      <c r="F247" s="136">
        <f>1+(1/3+1/12*3)</f>
        <v>1.5833333333333333</v>
      </c>
      <c r="G247" s="122" t="s">
        <v>1963</v>
      </c>
    </row>
    <row r="248" spans="1:7" x14ac:dyDescent="0.25">
      <c r="A248" s="125">
        <f t="shared" si="19"/>
        <v>208</v>
      </c>
      <c r="B248" s="885"/>
      <c r="C248" s="842" t="s">
        <v>11529</v>
      </c>
      <c r="D248" s="924">
        <v>237842.05</v>
      </c>
      <c r="E248" s="906">
        <f>D248/8*13</f>
        <v>386493.33124999999</v>
      </c>
      <c r="F248" s="129">
        <f>E248/12</f>
        <v>32207.777604166666</v>
      </c>
      <c r="G248" s="122" t="s">
        <v>1963</v>
      </c>
    </row>
    <row r="249" spans="1:7" x14ac:dyDescent="0.25">
      <c r="A249" s="125">
        <f t="shared" si="19"/>
        <v>209</v>
      </c>
      <c r="B249" s="885"/>
      <c r="C249" s="927" t="s">
        <v>11532</v>
      </c>
      <c r="D249" s="924">
        <v>47119.75</v>
      </c>
      <c r="E249" s="906">
        <f>D249/8*13</f>
        <v>76569.59375</v>
      </c>
      <c r="F249" s="129">
        <f>E249/12</f>
        <v>6380.799479166667</v>
      </c>
      <c r="G249" s="122" t="s">
        <v>1963</v>
      </c>
    </row>
    <row r="250" spans="1:7" x14ac:dyDescent="0.25">
      <c r="A250" s="125">
        <f t="shared" si="19"/>
        <v>210</v>
      </c>
      <c r="B250" s="885"/>
      <c r="C250" s="842" t="s">
        <v>11531</v>
      </c>
      <c r="D250" s="924">
        <v>11080.6</v>
      </c>
      <c r="E250" s="906">
        <f t="shared" ref="E250:E263" si="25">D250/8*12</f>
        <v>16620.900000000001</v>
      </c>
      <c r="F250" s="129">
        <f>E250/12</f>
        <v>1385.075</v>
      </c>
      <c r="G250" s="122" t="s">
        <v>1963</v>
      </c>
    </row>
    <row r="251" spans="1:7" x14ac:dyDescent="0.25">
      <c r="A251" s="125">
        <f t="shared" si="19"/>
        <v>211</v>
      </c>
      <c r="B251" s="885"/>
      <c r="C251" s="130" t="s">
        <v>125</v>
      </c>
      <c r="D251" s="924">
        <v>12889</v>
      </c>
      <c r="E251" s="906">
        <f t="shared" si="25"/>
        <v>19333.5</v>
      </c>
      <c r="F251" s="129">
        <f>E251/12</f>
        <v>1611.125</v>
      </c>
      <c r="G251" s="122" t="s">
        <v>1963</v>
      </c>
    </row>
    <row r="252" spans="1:7" x14ac:dyDescent="0.25">
      <c r="A252" s="125">
        <f t="shared" si="19"/>
        <v>212</v>
      </c>
      <c r="B252" s="885"/>
      <c r="C252" s="130" t="s">
        <v>126</v>
      </c>
      <c r="D252" s="924">
        <v>11078.07</v>
      </c>
      <c r="E252" s="906">
        <f t="shared" si="25"/>
        <v>16617.105</v>
      </c>
      <c r="F252" s="129">
        <f>E252</f>
        <v>16617.105</v>
      </c>
      <c r="G252" s="122" t="s">
        <v>1963</v>
      </c>
    </row>
    <row r="253" spans="1:7" x14ac:dyDescent="0.25">
      <c r="A253" s="125">
        <f t="shared" si="19"/>
        <v>213</v>
      </c>
      <c r="B253" s="885"/>
      <c r="C253" s="130" t="s">
        <v>10029</v>
      </c>
      <c r="D253" s="924">
        <v>0</v>
      </c>
      <c r="E253" s="906">
        <f t="shared" si="25"/>
        <v>0</v>
      </c>
      <c r="F253" s="129">
        <v>2000</v>
      </c>
      <c r="G253" s="122" t="s">
        <v>1963</v>
      </c>
    </row>
    <row r="254" spans="1:7" x14ac:dyDescent="0.25">
      <c r="A254" s="125">
        <f t="shared" si="19"/>
        <v>214</v>
      </c>
      <c r="B254" s="885"/>
      <c r="C254" s="130" t="s">
        <v>9990</v>
      </c>
      <c r="D254" s="924">
        <v>0</v>
      </c>
      <c r="E254" s="906">
        <f t="shared" si="25"/>
        <v>0</v>
      </c>
      <c r="F254" s="129">
        <v>1500</v>
      </c>
      <c r="G254" s="122" t="s">
        <v>1963</v>
      </c>
    </row>
    <row r="255" spans="1:7" x14ac:dyDescent="0.25">
      <c r="A255" s="125">
        <f t="shared" si="19"/>
        <v>215</v>
      </c>
      <c r="B255" s="885"/>
      <c r="C255" s="130" t="s">
        <v>10030</v>
      </c>
      <c r="D255" s="924">
        <v>847.65</v>
      </c>
      <c r="E255" s="906">
        <f t="shared" si="25"/>
        <v>1271.4749999999999</v>
      </c>
      <c r="F255" s="129">
        <f>E255</f>
        <v>1271.4749999999999</v>
      </c>
      <c r="G255" s="122" t="s">
        <v>1963</v>
      </c>
    </row>
    <row r="256" spans="1:7" x14ac:dyDescent="0.25">
      <c r="A256" s="125">
        <f t="shared" si="19"/>
        <v>216</v>
      </c>
      <c r="B256" s="885"/>
      <c r="C256" s="130" t="s">
        <v>124</v>
      </c>
      <c r="D256" s="924">
        <v>0</v>
      </c>
      <c r="E256" s="906">
        <f t="shared" si="25"/>
        <v>0</v>
      </c>
      <c r="F256" s="129">
        <v>2000</v>
      </c>
      <c r="G256" s="122" t="s">
        <v>1963</v>
      </c>
    </row>
    <row r="257" spans="1:7" x14ac:dyDescent="0.25">
      <c r="A257" s="125">
        <f t="shared" si="19"/>
        <v>217</v>
      </c>
      <c r="B257" s="885"/>
      <c r="C257" s="130" t="s">
        <v>123</v>
      </c>
      <c r="D257" s="924">
        <v>180</v>
      </c>
      <c r="E257" s="906">
        <f t="shared" si="25"/>
        <v>270</v>
      </c>
      <c r="F257" s="129">
        <v>1500</v>
      </c>
      <c r="G257" s="122" t="s">
        <v>1963</v>
      </c>
    </row>
    <row r="258" spans="1:7" x14ac:dyDescent="0.25">
      <c r="A258" s="125">
        <f t="shared" si="19"/>
        <v>218</v>
      </c>
      <c r="B258" s="885"/>
      <c r="C258" s="130" t="s">
        <v>135</v>
      </c>
      <c r="D258" s="924">
        <v>22434.95</v>
      </c>
      <c r="E258" s="906">
        <f t="shared" si="25"/>
        <v>33652.425000000003</v>
      </c>
      <c r="F258" s="129">
        <f>E258</f>
        <v>33652.425000000003</v>
      </c>
      <c r="G258" s="122" t="s">
        <v>1963</v>
      </c>
    </row>
    <row r="259" spans="1:7" x14ac:dyDescent="0.25">
      <c r="A259" s="125">
        <f t="shared" si="19"/>
        <v>219</v>
      </c>
      <c r="B259" s="885"/>
      <c r="C259" s="134" t="s">
        <v>895</v>
      </c>
      <c r="D259" s="924">
        <v>0</v>
      </c>
      <c r="E259" s="906">
        <f t="shared" si="25"/>
        <v>0</v>
      </c>
      <c r="F259" s="136">
        <v>3000</v>
      </c>
      <c r="G259" s="122" t="s">
        <v>1963</v>
      </c>
    </row>
    <row r="260" spans="1:7" x14ac:dyDescent="0.25">
      <c r="A260" s="125">
        <f t="shared" si="19"/>
        <v>220</v>
      </c>
      <c r="B260" s="885"/>
      <c r="C260" s="842" t="s">
        <v>11537</v>
      </c>
      <c r="D260" s="924">
        <v>43.2</v>
      </c>
      <c r="E260" s="906">
        <f t="shared" si="25"/>
        <v>64.800000000000011</v>
      </c>
      <c r="F260" s="129">
        <f>E260</f>
        <v>64.800000000000011</v>
      </c>
      <c r="G260" s="122" t="s">
        <v>1963</v>
      </c>
    </row>
    <row r="261" spans="1:7" x14ac:dyDescent="0.25">
      <c r="A261" s="125">
        <f t="shared" si="19"/>
        <v>221</v>
      </c>
      <c r="B261" s="885"/>
      <c r="C261" s="130" t="s">
        <v>133</v>
      </c>
      <c r="D261" s="924">
        <v>2397.6999999999998</v>
      </c>
      <c r="E261" s="906">
        <f t="shared" si="25"/>
        <v>3596.5499999999997</v>
      </c>
      <c r="F261" s="129">
        <f>E261</f>
        <v>3596.5499999999997</v>
      </c>
      <c r="G261" s="122" t="s">
        <v>1963</v>
      </c>
    </row>
    <row r="262" spans="1:7" x14ac:dyDescent="0.25">
      <c r="A262" s="125">
        <f t="shared" si="19"/>
        <v>222</v>
      </c>
      <c r="B262" s="885"/>
      <c r="C262" s="130" t="s">
        <v>137</v>
      </c>
      <c r="D262" s="924">
        <v>88.8</v>
      </c>
      <c r="E262" s="906">
        <f t="shared" si="25"/>
        <v>133.19999999999999</v>
      </c>
      <c r="F262" s="129">
        <f>E262+400</f>
        <v>533.20000000000005</v>
      </c>
      <c r="G262" s="122" t="s">
        <v>1963</v>
      </c>
    </row>
    <row r="263" spans="1:7" x14ac:dyDescent="0.25">
      <c r="A263" s="125">
        <f t="shared" si="19"/>
        <v>223</v>
      </c>
      <c r="B263" s="885"/>
      <c r="C263" s="130" t="s">
        <v>10031</v>
      </c>
      <c r="D263" s="924">
        <v>2664.91</v>
      </c>
      <c r="E263" s="906">
        <f t="shared" si="25"/>
        <v>3997.3649999999998</v>
      </c>
      <c r="F263" s="129">
        <f>E263</f>
        <v>3997.3649999999998</v>
      </c>
      <c r="G263" s="122" t="s">
        <v>1963</v>
      </c>
    </row>
    <row r="264" spans="1:7" x14ac:dyDescent="0.25">
      <c r="A264" s="125">
        <f t="shared" si="19"/>
        <v>224</v>
      </c>
      <c r="B264" s="130"/>
      <c r="C264" s="927" t="s">
        <v>10033</v>
      </c>
      <c r="D264" s="928"/>
      <c r="E264" s="928"/>
      <c r="F264" s="930"/>
    </row>
    <row r="265" spans="1:7" x14ac:dyDescent="0.25">
      <c r="A265" s="125">
        <f t="shared" si="19"/>
        <v>225</v>
      </c>
      <c r="B265" s="130"/>
      <c r="C265" s="842" t="s">
        <v>10021</v>
      </c>
      <c r="D265" s="924">
        <v>0</v>
      </c>
      <c r="E265" s="906">
        <f t="shared" ref="E265:E270" si="26">D265/8*12</f>
        <v>0</v>
      </c>
      <c r="F265" s="129">
        <v>1000</v>
      </c>
      <c r="G265" s="122" t="s">
        <v>1963</v>
      </c>
    </row>
    <row r="266" spans="1:7" x14ac:dyDescent="0.25">
      <c r="A266" s="125">
        <f t="shared" si="19"/>
        <v>226</v>
      </c>
      <c r="B266" s="130"/>
      <c r="C266" s="842" t="s">
        <v>10025</v>
      </c>
      <c r="D266" s="924">
        <v>0</v>
      </c>
      <c r="E266" s="906">
        <f t="shared" si="26"/>
        <v>0</v>
      </c>
      <c r="F266" s="129">
        <v>1000</v>
      </c>
      <c r="G266" s="122" t="s">
        <v>1963</v>
      </c>
    </row>
    <row r="267" spans="1:7" x14ac:dyDescent="0.25">
      <c r="A267" s="125">
        <f t="shared" si="19"/>
        <v>227</v>
      </c>
      <c r="B267" s="130"/>
      <c r="C267" s="842" t="s">
        <v>10022</v>
      </c>
      <c r="D267" s="924">
        <v>0</v>
      </c>
      <c r="E267" s="906">
        <f t="shared" si="26"/>
        <v>0</v>
      </c>
      <c r="F267" s="129">
        <v>1000</v>
      </c>
      <c r="G267" s="122" t="s">
        <v>1963</v>
      </c>
    </row>
    <row r="268" spans="1:7" x14ac:dyDescent="0.25">
      <c r="A268" s="125">
        <f t="shared" si="19"/>
        <v>228</v>
      </c>
      <c r="B268" s="130"/>
      <c r="C268" s="842" t="s">
        <v>10023</v>
      </c>
      <c r="D268" s="924">
        <v>0</v>
      </c>
      <c r="E268" s="906">
        <f t="shared" si="26"/>
        <v>0</v>
      </c>
      <c r="F268" s="129">
        <v>2500</v>
      </c>
      <c r="G268" s="122" t="s">
        <v>1963</v>
      </c>
    </row>
    <row r="269" spans="1:7" x14ac:dyDescent="0.25">
      <c r="A269" s="125">
        <f t="shared" si="19"/>
        <v>229</v>
      </c>
      <c r="B269" s="130"/>
      <c r="C269" s="842" t="s">
        <v>10026</v>
      </c>
      <c r="D269" s="924">
        <v>0</v>
      </c>
      <c r="E269" s="906">
        <f t="shared" si="26"/>
        <v>0</v>
      </c>
      <c r="F269" s="129">
        <v>1000</v>
      </c>
      <c r="G269" s="122" t="s">
        <v>1963</v>
      </c>
    </row>
    <row r="270" spans="1:7" x14ac:dyDescent="0.25">
      <c r="A270" s="125">
        <f t="shared" si="19"/>
        <v>230</v>
      </c>
      <c r="B270" s="130"/>
      <c r="C270" s="842" t="s">
        <v>10024</v>
      </c>
      <c r="D270" s="924">
        <v>0</v>
      </c>
      <c r="E270" s="906">
        <f t="shared" si="26"/>
        <v>0</v>
      </c>
      <c r="F270" s="129">
        <v>3500</v>
      </c>
      <c r="G270" s="122" t="s">
        <v>1963</v>
      </c>
    </row>
    <row r="271" spans="1:7" x14ac:dyDescent="0.25">
      <c r="A271" s="125">
        <f t="shared" si="19"/>
        <v>231</v>
      </c>
      <c r="B271" s="130"/>
      <c r="C271" s="232" t="s">
        <v>10040</v>
      </c>
      <c r="D271" s="915"/>
      <c r="E271" s="915"/>
      <c r="F271" s="136"/>
    </row>
    <row r="272" spans="1:7" x14ac:dyDescent="0.25">
      <c r="A272" s="125">
        <f t="shared" si="19"/>
        <v>232</v>
      </c>
      <c r="B272" s="130"/>
      <c r="C272" s="842" t="s">
        <v>10034</v>
      </c>
      <c r="D272" s="924">
        <v>0</v>
      </c>
      <c r="E272" s="906">
        <f t="shared" ref="E272:E279" si="27">D272/8*12</f>
        <v>0</v>
      </c>
      <c r="F272" s="129">
        <v>1000</v>
      </c>
      <c r="G272" s="122" t="s">
        <v>1963</v>
      </c>
    </row>
    <row r="273" spans="1:9" x14ac:dyDescent="0.25">
      <c r="A273" s="125">
        <f t="shared" si="19"/>
        <v>233</v>
      </c>
      <c r="B273" s="130"/>
      <c r="C273" s="842" t="s">
        <v>10041</v>
      </c>
      <c r="D273" s="924">
        <v>0</v>
      </c>
      <c r="E273" s="906">
        <f t="shared" si="27"/>
        <v>0</v>
      </c>
      <c r="F273" s="129">
        <v>1500</v>
      </c>
      <c r="G273" s="122" t="s">
        <v>1963</v>
      </c>
    </row>
    <row r="274" spans="1:9" x14ac:dyDescent="0.25">
      <c r="A274" s="125">
        <f t="shared" si="19"/>
        <v>234</v>
      </c>
      <c r="B274" s="130"/>
      <c r="C274" s="842" t="s">
        <v>10035</v>
      </c>
      <c r="D274" s="924">
        <v>0</v>
      </c>
      <c r="E274" s="906">
        <f t="shared" si="27"/>
        <v>0</v>
      </c>
      <c r="F274" s="129">
        <v>8000</v>
      </c>
      <c r="G274" s="122" t="s">
        <v>1963</v>
      </c>
    </row>
    <row r="275" spans="1:9" x14ac:dyDescent="0.25">
      <c r="A275" s="125">
        <f t="shared" si="19"/>
        <v>235</v>
      </c>
      <c r="B275" s="130"/>
      <c r="C275" s="842" t="s">
        <v>10036</v>
      </c>
      <c r="D275" s="924">
        <v>0</v>
      </c>
      <c r="E275" s="906">
        <f t="shared" si="27"/>
        <v>0</v>
      </c>
      <c r="F275" s="129">
        <v>1000</v>
      </c>
      <c r="G275" s="122" t="s">
        <v>1963</v>
      </c>
    </row>
    <row r="276" spans="1:9" x14ac:dyDescent="0.25">
      <c r="A276" s="125">
        <f t="shared" si="19"/>
        <v>236</v>
      </c>
      <c r="B276" s="130"/>
      <c r="C276" s="842" t="s">
        <v>10037</v>
      </c>
      <c r="D276" s="924">
        <v>0</v>
      </c>
      <c r="E276" s="906">
        <f t="shared" si="27"/>
        <v>0</v>
      </c>
      <c r="F276" s="129">
        <v>1000</v>
      </c>
      <c r="G276" s="122" t="s">
        <v>1963</v>
      </c>
    </row>
    <row r="277" spans="1:9" x14ac:dyDescent="0.25">
      <c r="A277" s="125">
        <f t="shared" si="19"/>
        <v>237</v>
      </c>
      <c r="B277" s="130"/>
      <c r="C277" s="842" t="s">
        <v>10038</v>
      </c>
      <c r="D277" s="924">
        <v>0</v>
      </c>
      <c r="E277" s="906">
        <f t="shared" si="27"/>
        <v>0</v>
      </c>
      <c r="F277" s="129">
        <v>2000</v>
      </c>
      <c r="G277" s="122" t="s">
        <v>1963</v>
      </c>
    </row>
    <row r="278" spans="1:9" x14ac:dyDescent="0.25">
      <c r="A278" s="125">
        <f t="shared" si="19"/>
        <v>238</v>
      </c>
      <c r="B278" s="130"/>
      <c r="C278" s="842" t="s">
        <v>10042</v>
      </c>
      <c r="D278" s="924">
        <v>0</v>
      </c>
      <c r="E278" s="906">
        <f t="shared" si="27"/>
        <v>0</v>
      </c>
      <c r="F278" s="129">
        <v>1000</v>
      </c>
      <c r="G278" s="122" t="s">
        <v>1963</v>
      </c>
    </row>
    <row r="279" spans="1:9" x14ac:dyDescent="0.25">
      <c r="A279" s="125">
        <f t="shared" si="19"/>
        <v>239</v>
      </c>
      <c r="B279" s="130"/>
      <c r="C279" s="842" t="s">
        <v>10039</v>
      </c>
      <c r="D279" s="924">
        <v>0</v>
      </c>
      <c r="E279" s="906">
        <f t="shared" si="27"/>
        <v>0</v>
      </c>
      <c r="F279" s="129">
        <v>2000</v>
      </c>
      <c r="G279" s="122" t="s">
        <v>1963</v>
      </c>
    </row>
    <row r="280" spans="1:9" x14ac:dyDescent="0.25">
      <c r="A280" s="125">
        <f t="shared" si="19"/>
        <v>240</v>
      </c>
      <c r="B280" s="130"/>
      <c r="C280" s="842"/>
      <c r="D280" s="924"/>
      <c r="E280" s="906"/>
      <c r="F280" s="129"/>
    </row>
    <row r="281" spans="1:9" x14ac:dyDescent="0.25">
      <c r="A281" s="125">
        <f t="shared" si="19"/>
        <v>241</v>
      </c>
      <c r="B281" s="130"/>
      <c r="C281" s="793" t="s">
        <v>6887</v>
      </c>
      <c r="D281" s="793"/>
      <c r="E281" s="793"/>
      <c r="F281" s="793"/>
      <c r="G281" s="793"/>
      <c r="H281" s="793"/>
      <c r="I281" s="793"/>
    </row>
    <row r="282" spans="1:9" x14ac:dyDescent="0.25">
      <c r="A282" s="125">
        <f t="shared" si="19"/>
        <v>242</v>
      </c>
      <c r="B282" s="130"/>
      <c r="C282" s="793" t="s">
        <v>7025</v>
      </c>
      <c r="D282" s="793"/>
      <c r="E282" s="793"/>
      <c r="F282" s="793"/>
      <c r="G282" s="793"/>
      <c r="H282" s="793"/>
      <c r="I282" s="793"/>
    </row>
    <row r="283" spans="1:9" x14ac:dyDescent="0.25">
      <c r="A283" s="125">
        <f t="shared" si="19"/>
        <v>243</v>
      </c>
      <c r="B283" s="130"/>
      <c r="C283" s="231" t="s">
        <v>10005</v>
      </c>
      <c r="D283" s="916"/>
      <c r="E283" s="916"/>
      <c r="F283" s="885"/>
    </row>
    <row r="284" spans="1:9" x14ac:dyDescent="0.25">
      <c r="A284" s="125">
        <f t="shared" si="19"/>
        <v>244</v>
      </c>
      <c r="B284" s="130"/>
      <c r="C284" s="133" t="s">
        <v>1953</v>
      </c>
      <c r="D284" s="906">
        <v>0</v>
      </c>
      <c r="E284" s="906">
        <f t="shared" ref="E284:E289" si="28">D284/8*12</f>
        <v>0</v>
      </c>
      <c r="F284" s="129">
        <v>1000</v>
      </c>
      <c r="G284" s="122" t="s">
        <v>1963</v>
      </c>
    </row>
    <row r="285" spans="1:9" x14ac:dyDescent="0.25">
      <c r="A285" s="125">
        <f t="shared" si="19"/>
        <v>245</v>
      </c>
      <c r="B285" s="130"/>
      <c r="C285" s="133" t="s">
        <v>10009</v>
      </c>
      <c r="D285" s="906">
        <v>0</v>
      </c>
      <c r="E285" s="906">
        <f t="shared" si="28"/>
        <v>0</v>
      </c>
      <c r="F285" s="129">
        <v>1000</v>
      </c>
      <c r="G285" s="122" t="s">
        <v>1963</v>
      </c>
    </row>
    <row r="286" spans="1:9" x14ac:dyDescent="0.25">
      <c r="A286" s="125">
        <f t="shared" ref="A286:A349" si="29">A285+1</f>
        <v>246</v>
      </c>
      <c r="B286" s="130"/>
      <c r="C286" s="133" t="s">
        <v>10006</v>
      </c>
      <c r="D286" s="906">
        <v>0</v>
      </c>
      <c r="E286" s="906">
        <f t="shared" si="28"/>
        <v>0</v>
      </c>
      <c r="F286" s="129">
        <v>1000</v>
      </c>
      <c r="G286" s="122" t="s">
        <v>1963</v>
      </c>
    </row>
    <row r="287" spans="1:9" x14ac:dyDescent="0.25">
      <c r="A287" s="125">
        <f t="shared" si="29"/>
        <v>247</v>
      </c>
      <c r="B287" s="130"/>
      <c r="C287" s="133" t="s">
        <v>10007</v>
      </c>
      <c r="D287" s="906">
        <v>0</v>
      </c>
      <c r="E287" s="906">
        <f t="shared" si="28"/>
        <v>0</v>
      </c>
      <c r="F287" s="129">
        <v>1000</v>
      </c>
      <c r="G287" s="122" t="s">
        <v>1963</v>
      </c>
    </row>
    <row r="288" spans="1:9" x14ac:dyDescent="0.25">
      <c r="A288" s="125">
        <f t="shared" si="29"/>
        <v>248</v>
      </c>
      <c r="B288" s="130"/>
      <c r="C288" s="133" t="s">
        <v>10008</v>
      </c>
      <c r="D288" s="906">
        <v>0</v>
      </c>
      <c r="E288" s="906">
        <f t="shared" si="28"/>
        <v>0</v>
      </c>
      <c r="F288" s="129">
        <v>1000</v>
      </c>
      <c r="G288" s="122" t="s">
        <v>1963</v>
      </c>
    </row>
    <row r="289" spans="1:8" x14ac:dyDescent="0.25">
      <c r="A289" s="125">
        <f t="shared" si="29"/>
        <v>249</v>
      </c>
      <c r="B289" s="130"/>
      <c r="C289" s="134" t="s">
        <v>455</v>
      </c>
      <c r="D289" s="906">
        <v>3198</v>
      </c>
      <c r="E289" s="906">
        <f t="shared" si="28"/>
        <v>4797</v>
      </c>
      <c r="F289" s="129">
        <v>3000</v>
      </c>
      <c r="G289" s="122" t="s">
        <v>1963</v>
      </c>
    </row>
    <row r="290" spans="1:8" x14ac:dyDescent="0.25">
      <c r="A290" s="125">
        <f t="shared" si="29"/>
        <v>250</v>
      </c>
      <c r="B290" s="130"/>
      <c r="C290" s="643" t="s">
        <v>9994</v>
      </c>
      <c r="D290" s="913"/>
      <c r="E290" s="913"/>
      <c r="F290" s="136"/>
    </row>
    <row r="291" spans="1:8" x14ac:dyDescent="0.25">
      <c r="A291" s="125">
        <f t="shared" si="29"/>
        <v>251</v>
      </c>
      <c r="B291" s="130"/>
      <c r="C291" s="133" t="s">
        <v>1953</v>
      </c>
      <c r="D291" s="906">
        <v>0</v>
      </c>
      <c r="E291" s="906">
        <f t="shared" ref="E291:E296" si="30">D291/8*12</f>
        <v>0</v>
      </c>
      <c r="F291" s="129">
        <v>1000</v>
      </c>
      <c r="G291" s="122" t="s">
        <v>1963</v>
      </c>
    </row>
    <row r="292" spans="1:8" x14ac:dyDescent="0.25">
      <c r="A292" s="125">
        <f t="shared" si="29"/>
        <v>252</v>
      </c>
      <c r="B292" s="130"/>
      <c r="C292" s="133" t="s">
        <v>10009</v>
      </c>
      <c r="D292" s="906">
        <v>0</v>
      </c>
      <c r="E292" s="906">
        <f t="shared" si="30"/>
        <v>0</v>
      </c>
      <c r="F292" s="129">
        <v>1000</v>
      </c>
      <c r="G292" s="122" t="s">
        <v>1963</v>
      </c>
    </row>
    <row r="293" spans="1:8" x14ac:dyDescent="0.25">
      <c r="A293" s="125">
        <f t="shared" si="29"/>
        <v>253</v>
      </c>
      <c r="B293" s="130"/>
      <c r="C293" s="133" t="s">
        <v>10006</v>
      </c>
      <c r="D293" s="906">
        <v>0</v>
      </c>
      <c r="E293" s="906">
        <f t="shared" si="30"/>
        <v>0</v>
      </c>
      <c r="F293" s="129">
        <v>1000</v>
      </c>
      <c r="G293" s="122" t="s">
        <v>1963</v>
      </c>
    </row>
    <row r="294" spans="1:8" x14ac:dyDescent="0.25">
      <c r="A294" s="125">
        <f t="shared" si="29"/>
        <v>254</v>
      </c>
      <c r="B294" s="130"/>
      <c r="C294" s="133" t="s">
        <v>10007</v>
      </c>
      <c r="D294" s="906">
        <v>0</v>
      </c>
      <c r="E294" s="906">
        <f t="shared" si="30"/>
        <v>0</v>
      </c>
      <c r="F294" s="129">
        <v>1000</v>
      </c>
      <c r="G294" s="122" t="s">
        <v>1963</v>
      </c>
    </row>
    <row r="295" spans="1:8" x14ac:dyDescent="0.25">
      <c r="A295" s="125">
        <f t="shared" si="29"/>
        <v>255</v>
      </c>
      <c r="B295" s="130"/>
      <c r="C295" s="133" t="s">
        <v>10008</v>
      </c>
      <c r="D295" s="906">
        <v>0</v>
      </c>
      <c r="E295" s="906">
        <f t="shared" si="30"/>
        <v>0</v>
      </c>
      <c r="F295" s="129">
        <v>1000</v>
      </c>
      <c r="G295" s="122" t="s">
        <v>1963</v>
      </c>
    </row>
    <row r="296" spans="1:8" x14ac:dyDescent="0.25">
      <c r="A296" s="125">
        <f t="shared" si="29"/>
        <v>256</v>
      </c>
      <c r="B296" s="130"/>
      <c r="C296" s="134" t="s">
        <v>10043</v>
      </c>
      <c r="D296" s="906">
        <v>0</v>
      </c>
      <c r="E296" s="906">
        <f t="shared" si="30"/>
        <v>0</v>
      </c>
      <c r="F296" s="129">
        <v>30000</v>
      </c>
      <c r="G296" s="122" t="s">
        <v>1963</v>
      </c>
    </row>
    <row r="297" spans="1:8" x14ac:dyDescent="0.25">
      <c r="A297" s="125">
        <f t="shared" si="29"/>
        <v>257</v>
      </c>
      <c r="B297" s="130"/>
      <c r="C297" s="929" t="s">
        <v>10044</v>
      </c>
      <c r="D297" s="928"/>
      <c r="E297" s="928"/>
      <c r="F297" s="929"/>
      <c r="G297" s="929"/>
      <c r="H297" s="929"/>
    </row>
    <row r="298" spans="1:8" x14ac:dyDescent="0.25">
      <c r="A298" s="125">
        <f t="shared" si="29"/>
        <v>258</v>
      </c>
      <c r="B298" s="130"/>
      <c r="C298" s="842" t="s">
        <v>10021</v>
      </c>
      <c r="D298" s="906">
        <v>0</v>
      </c>
      <c r="E298" s="906">
        <f t="shared" ref="E298:E303" si="31">D298/8*12</f>
        <v>0</v>
      </c>
      <c r="F298" s="129">
        <v>1000</v>
      </c>
      <c r="G298" s="122" t="s">
        <v>1963</v>
      </c>
    </row>
    <row r="299" spans="1:8" x14ac:dyDescent="0.25">
      <c r="A299" s="125">
        <f t="shared" si="29"/>
        <v>259</v>
      </c>
      <c r="B299" s="130"/>
      <c r="C299" s="842" t="s">
        <v>10025</v>
      </c>
      <c r="D299" s="906">
        <v>0</v>
      </c>
      <c r="E299" s="906">
        <f t="shared" si="31"/>
        <v>0</v>
      </c>
      <c r="F299" s="129">
        <v>1000</v>
      </c>
      <c r="G299" s="122" t="s">
        <v>1963</v>
      </c>
    </row>
    <row r="300" spans="1:8" x14ac:dyDescent="0.25">
      <c r="A300" s="125">
        <f t="shared" si="29"/>
        <v>260</v>
      </c>
      <c r="B300" s="130"/>
      <c r="C300" s="842" t="s">
        <v>10022</v>
      </c>
      <c r="D300" s="906">
        <v>0</v>
      </c>
      <c r="E300" s="906">
        <f t="shared" si="31"/>
        <v>0</v>
      </c>
      <c r="F300" s="129">
        <v>1000</v>
      </c>
      <c r="G300" s="122" t="s">
        <v>1963</v>
      </c>
    </row>
    <row r="301" spans="1:8" x14ac:dyDescent="0.25">
      <c r="A301" s="125">
        <f t="shared" si="29"/>
        <v>261</v>
      </c>
      <c r="B301" s="130"/>
      <c r="C301" s="842" t="s">
        <v>10023</v>
      </c>
      <c r="D301" s="906">
        <v>0</v>
      </c>
      <c r="E301" s="906">
        <f t="shared" si="31"/>
        <v>0</v>
      </c>
      <c r="F301" s="129">
        <v>1000</v>
      </c>
      <c r="G301" s="122" t="s">
        <v>1963</v>
      </c>
    </row>
    <row r="302" spans="1:8" x14ac:dyDescent="0.25">
      <c r="A302" s="125">
        <f t="shared" si="29"/>
        <v>262</v>
      </c>
      <c r="B302" s="130"/>
      <c r="C302" s="842" t="s">
        <v>10026</v>
      </c>
      <c r="D302" s="906">
        <v>0</v>
      </c>
      <c r="E302" s="906">
        <f t="shared" si="31"/>
        <v>0</v>
      </c>
      <c r="F302" s="129">
        <v>1000</v>
      </c>
      <c r="G302" s="122" t="s">
        <v>1963</v>
      </c>
    </row>
    <row r="303" spans="1:8" x14ac:dyDescent="0.25">
      <c r="A303" s="125">
        <f t="shared" si="29"/>
        <v>263</v>
      </c>
      <c r="B303" s="130"/>
      <c r="C303" s="842" t="s">
        <v>10024</v>
      </c>
      <c r="D303" s="906">
        <v>0</v>
      </c>
      <c r="E303" s="906">
        <f t="shared" si="31"/>
        <v>0</v>
      </c>
      <c r="F303" s="129">
        <v>3000</v>
      </c>
      <c r="G303" s="122" t="s">
        <v>1963</v>
      </c>
    </row>
    <row r="304" spans="1:8" x14ac:dyDescent="0.25">
      <c r="A304" s="125">
        <f t="shared" si="29"/>
        <v>264</v>
      </c>
      <c r="B304" s="130"/>
      <c r="C304" s="643" t="s">
        <v>10027</v>
      </c>
      <c r="D304" s="913"/>
      <c r="E304" s="913"/>
      <c r="F304" s="136"/>
    </row>
    <row r="305" spans="1:7" x14ac:dyDescent="0.25">
      <c r="A305" s="125">
        <f t="shared" si="29"/>
        <v>265</v>
      </c>
      <c r="B305" s="130"/>
      <c r="C305" s="134" t="s">
        <v>136</v>
      </c>
      <c r="D305" s="906">
        <v>47918.09</v>
      </c>
      <c r="E305" s="906">
        <f>D305/8*13.33</f>
        <v>79843.517462499993</v>
      </c>
      <c r="F305" s="136">
        <f>E305/12</f>
        <v>6653.626455208333</v>
      </c>
      <c r="G305" s="122" t="s">
        <v>1963</v>
      </c>
    </row>
    <row r="306" spans="1:7" x14ac:dyDescent="0.25">
      <c r="A306" s="125">
        <f t="shared" si="29"/>
        <v>266</v>
      </c>
      <c r="B306" s="130"/>
      <c r="C306" s="842" t="s">
        <v>11529</v>
      </c>
      <c r="D306" s="924">
        <v>251120.18</v>
      </c>
      <c r="E306" s="906">
        <f>D306/8*13</f>
        <v>408070.29249999998</v>
      </c>
      <c r="F306" s="129">
        <f>E306/12</f>
        <v>34005.857708333329</v>
      </c>
      <c r="G306" s="122" t="s">
        <v>1963</v>
      </c>
    </row>
    <row r="307" spans="1:7" x14ac:dyDescent="0.25">
      <c r="A307" s="125">
        <f t="shared" si="29"/>
        <v>267</v>
      </c>
      <c r="B307" s="130"/>
      <c r="C307" s="927" t="s">
        <v>11532</v>
      </c>
      <c r="D307" s="924">
        <v>50561.15</v>
      </c>
      <c r="E307" s="906">
        <f>D307/8*13</f>
        <v>82161.868750000009</v>
      </c>
      <c r="F307" s="129">
        <f>E307/12</f>
        <v>6846.8223958333338</v>
      </c>
      <c r="G307" s="122" t="s">
        <v>1963</v>
      </c>
    </row>
    <row r="308" spans="1:7" x14ac:dyDescent="0.25">
      <c r="A308" s="125">
        <f t="shared" si="29"/>
        <v>268</v>
      </c>
      <c r="B308" s="130"/>
      <c r="C308" s="134" t="s">
        <v>10028</v>
      </c>
      <c r="D308" s="906">
        <v>19000.12</v>
      </c>
      <c r="E308" s="906">
        <f t="shared" ref="E308:E319" si="32">D308/8*12</f>
        <v>28500.18</v>
      </c>
      <c r="F308" s="129">
        <f>E308/12</f>
        <v>2375.0149999999999</v>
      </c>
      <c r="G308" s="122" t="s">
        <v>1963</v>
      </c>
    </row>
    <row r="309" spans="1:7" x14ac:dyDescent="0.25">
      <c r="A309" s="125">
        <f t="shared" si="29"/>
        <v>269</v>
      </c>
      <c r="B309" s="130"/>
      <c r="C309" s="133" t="s">
        <v>125</v>
      </c>
      <c r="D309" s="924">
        <v>6954.79</v>
      </c>
      <c r="E309" s="906">
        <f t="shared" si="32"/>
        <v>10432.184999999999</v>
      </c>
      <c r="F309" s="129">
        <f>E309/12</f>
        <v>869.34875</v>
      </c>
      <c r="G309" s="122" t="s">
        <v>1963</v>
      </c>
    </row>
    <row r="310" spans="1:7" x14ac:dyDescent="0.25">
      <c r="A310" s="125">
        <f t="shared" si="29"/>
        <v>270</v>
      </c>
      <c r="B310" s="130"/>
      <c r="C310" s="842" t="s">
        <v>10052</v>
      </c>
      <c r="D310" s="924">
        <v>14300.22</v>
      </c>
      <c r="E310" s="906">
        <f t="shared" si="32"/>
        <v>21450.329999999998</v>
      </c>
      <c r="F310" s="129">
        <f>E310</f>
        <v>21450.329999999998</v>
      </c>
      <c r="G310" s="122" t="s">
        <v>1963</v>
      </c>
    </row>
    <row r="311" spans="1:7" x14ac:dyDescent="0.25">
      <c r="A311" s="125">
        <f t="shared" si="29"/>
        <v>271</v>
      </c>
      <c r="B311" s="130"/>
      <c r="C311" s="842" t="s">
        <v>10051</v>
      </c>
      <c r="D311" s="906">
        <v>0</v>
      </c>
      <c r="E311" s="906">
        <f t="shared" si="32"/>
        <v>0</v>
      </c>
      <c r="F311" s="129">
        <v>5000</v>
      </c>
      <c r="G311" s="122" t="s">
        <v>1963</v>
      </c>
    </row>
    <row r="312" spans="1:7" x14ac:dyDescent="0.25">
      <c r="A312" s="125">
        <f t="shared" si="29"/>
        <v>272</v>
      </c>
      <c r="B312" s="130"/>
      <c r="C312" s="842" t="s">
        <v>10045</v>
      </c>
      <c r="D312" s="906">
        <v>0</v>
      </c>
      <c r="E312" s="906">
        <f t="shared" si="32"/>
        <v>0</v>
      </c>
      <c r="F312" s="129">
        <v>2000</v>
      </c>
      <c r="G312" s="122" t="s">
        <v>1963</v>
      </c>
    </row>
    <row r="313" spans="1:7" x14ac:dyDescent="0.25">
      <c r="A313" s="125">
        <f t="shared" si="29"/>
        <v>273</v>
      </c>
      <c r="B313" s="130"/>
      <c r="C313" s="842" t="s">
        <v>10046</v>
      </c>
      <c r="D313" s="906">
        <v>0</v>
      </c>
      <c r="E313" s="906">
        <f t="shared" si="32"/>
        <v>0</v>
      </c>
      <c r="F313" s="129">
        <v>2000</v>
      </c>
      <c r="G313" s="122" t="s">
        <v>1963</v>
      </c>
    </row>
    <row r="314" spans="1:7" x14ac:dyDescent="0.25">
      <c r="A314" s="125">
        <f t="shared" si="29"/>
        <v>274</v>
      </c>
      <c r="B314" s="130"/>
      <c r="C314" s="842" t="s">
        <v>10050</v>
      </c>
      <c r="D314" s="906">
        <f>8531.61</f>
        <v>8531.61</v>
      </c>
      <c r="E314" s="906">
        <f t="shared" si="32"/>
        <v>12797.415000000001</v>
      </c>
      <c r="F314" s="129">
        <f>E314</f>
        <v>12797.415000000001</v>
      </c>
      <c r="G314" s="122" t="s">
        <v>1963</v>
      </c>
    </row>
    <row r="315" spans="1:7" x14ac:dyDescent="0.25">
      <c r="A315" s="125">
        <f t="shared" si="29"/>
        <v>275</v>
      </c>
      <c r="B315" s="130"/>
      <c r="C315" s="842" t="s">
        <v>10047</v>
      </c>
      <c r="D315" s="924">
        <v>10208.73</v>
      </c>
      <c r="E315" s="906">
        <f t="shared" si="32"/>
        <v>15313.094999999999</v>
      </c>
      <c r="F315" s="129">
        <f>E315</f>
        <v>15313.094999999999</v>
      </c>
      <c r="G315" s="122" t="s">
        <v>1963</v>
      </c>
    </row>
    <row r="316" spans="1:7" x14ac:dyDescent="0.25">
      <c r="A316" s="125">
        <f t="shared" si="29"/>
        <v>276</v>
      </c>
      <c r="B316" s="130"/>
      <c r="C316" s="842" t="s">
        <v>10048</v>
      </c>
      <c r="D316" s="924">
        <v>13283.19</v>
      </c>
      <c r="E316" s="906">
        <f t="shared" si="32"/>
        <v>19924.785</v>
      </c>
      <c r="F316" s="129">
        <f>E316</f>
        <v>19924.785</v>
      </c>
      <c r="G316" s="122" t="s">
        <v>1963</v>
      </c>
    </row>
    <row r="317" spans="1:7" x14ac:dyDescent="0.25">
      <c r="A317" s="125">
        <f t="shared" si="29"/>
        <v>277</v>
      </c>
      <c r="B317" s="130"/>
      <c r="C317" s="842" t="s">
        <v>10049</v>
      </c>
      <c r="D317" s="906">
        <v>0</v>
      </c>
      <c r="E317" s="906">
        <f t="shared" si="32"/>
        <v>0</v>
      </c>
      <c r="F317" s="129">
        <v>3000</v>
      </c>
      <c r="G317" s="122" t="s">
        <v>1963</v>
      </c>
    </row>
    <row r="318" spans="1:7" x14ac:dyDescent="0.25">
      <c r="A318" s="125">
        <f t="shared" si="29"/>
        <v>278</v>
      </c>
      <c r="B318" s="130"/>
      <c r="C318" s="842" t="s">
        <v>121</v>
      </c>
      <c r="D318" s="924">
        <v>5553.11</v>
      </c>
      <c r="E318" s="906">
        <f t="shared" si="32"/>
        <v>8329.6649999999991</v>
      </c>
      <c r="F318" s="129">
        <f>E318/12</f>
        <v>694.13874999999996</v>
      </c>
      <c r="G318" s="122" t="s">
        <v>1963</v>
      </c>
    </row>
    <row r="319" spans="1:7" x14ac:dyDescent="0.25">
      <c r="A319" s="125">
        <f t="shared" si="29"/>
        <v>279</v>
      </c>
      <c r="B319" s="130"/>
      <c r="C319" s="842" t="s">
        <v>11537</v>
      </c>
      <c r="D319" s="924">
        <v>180</v>
      </c>
      <c r="E319" s="906">
        <f t="shared" si="32"/>
        <v>270</v>
      </c>
      <c r="F319" s="129">
        <f>E319</f>
        <v>270</v>
      </c>
      <c r="G319" s="122" t="s">
        <v>1963</v>
      </c>
    </row>
    <row r="320" spans="1:7" x14ac:dyDescent="0.25">
      <c r="A320" s="125">
        <f t="shared" si="29"/>
        <v>280</v>
      </c>
      <c r="B320" s="130"/>
      <c r="C320" s="130" t="s">
        <v>137</v>
      </c>
      <c r="D320" s="924">
        <v>167.84</v>
      </c>
      <c r="E320" s="906">
        <f t="shared" ref="E320:E321" si="33">D320/8*12</f>
        <v>251.76</v>
      </c>
      <c r="F320" s="129">
        <f>E320+800</f>
        <v>1051.76</v>
      </c>
      <c r="G320" s="122" t="s">
        <v>1963</v>
      </c>
    </row>
    <row r="321" spans="1:7" x14ac:dyDescent="0.25">
      <c r="A321" s="125">
        <f t="shared" si="29"/>
        <v>281</v>
      </c>
      <c r="B321" s="130"/>
      <c r="C321" s="130" t="s">
        <v>10031</v>
      </c>
      <c r="D321" s="924">
        <v>797.48</v>
      </c>
      <c r="E321" s="906">
        <f t="shared" si="33"/>
        <v>1196.22</v>
      </c>
      <c r="F321" s="129">
        <f>E321+2000</f>
        <v>3196.2200000000003</v>
      </c>
      <c r="G321" s="122" t="s">
        <v>1963</v>
      </c>
    </row>
    <row r="322" spans="1:7" x14ac:dyDescent="0.25">
      <c r="A322" s="125">
        <f t="shared" si="29"/>
        <v>282</v>
      </c>
      <c r="B322" s="130"/>
      <c r="C322" s="927" t="s">
        <v>10033</v>
      </c>
      <c r="D322" s="928"/>
      <c r="E322" s="928"/>
      <c r="F322" s="930"/>
    </row>
    <row r="323" spans="1:7" x14ac:dyDescent="0.25">
      <c r="A323" s="125">
        <f t="shared" si="29"/>
        <v>283</v>
      </c>
      <c r="B323" s="130"/>
      <c r="C323" s="842" t="s">
        <v>10021</v>
      </c>
      <c r="D323" s="906">
        <v>0</v>
      </c>
      <c r="E323" s="906">
        <f t="shared" ref="E323:E328" si="34">D323/8*12</f>
        <v>0</v>
      </c>
      <c r="F323" s="129">
        <v>1000</v>
      </c>
      <c r="G323" s="122" t="s">
        <v>1963</v>
      </c>
    </row>
    <row r="324" spans="1:7" x14ac:dyDescent="0.25">
      <c r="A324" s="125">
        <f t="shared" si="29"/>
        <v>284</v>
      </c>
      <c r="B324" s="130"/>
      <c r="C324" s="842" t="s">
        <v>10025</v>
      </c>
      <c r="D324" s="906">
        <v>0</v>
      </c>
      <c r="E324" s="906">
        <f t="shared" si="34"/>
        <v>0</v>
      </c>
      <c r="F324" s="129">
        <v>1000</v>
      </c>
      <c r="G324" s="122" t="s">
        <v>1963</v>
      </c>
    </row>
    <row r="325" spans="1:7" x14ac:dyDescent="0.25">
      <c r="A325" s="125">
        <f t="shared" si="29"/>
        <v>285</v>
      </c>
      <c r="B325" s="130"/>
      <c r="C325" s="842" t="s">
        <v>10022</v>
      </c>
      <c r="D325" s="906">
        <v>0</v>
      </c>
      <c r="E325" s="906">
        <f t="shared" si="34"/>
        <v>0</v>
      </c>
      <c r="F325" s="129">
        <v>1000</v>
      </c>
      <c r="G325" s="122" t="s">
        <v>1963</v>
      </c>
    </row>
    <row r="326" spans="1:7" x14ac:dyDescent="0.25">
      <c r="A326" s="125">
        <f t="shared" si="29"/>
        <v>286</v>
      </c>
      <c r="B326" s="130"/>
      <c r="C326" s="842" t="s">
        <v>10023</v>
      </c>
      <c r="D326" s="906">
        <v>0</v>
      </c>
      <c r="E326" s="906">
        <f t="shared" si="34"/>
        <v>0</v>
      </c>
      <c r="F326" s="129">
        <v>2000</v>
      </c>
      <c r="G326" s="122" t="s">
        <v>1963</v>
      </c>
    </row>
    <row r="327" spans="1:7" x14ac:dyDescent="0.25">
      <c r="A327" s="125">
        <f t="shared" si="29"/>
        <v>287</v>
      </c>
      <c r="B327" s="130"/>
      <c r="C327" s="842" t="s">
        <v>10026</v>
      </c>
      <c r="D327" s="906">
        <v>0</v>
      </c>
      <c r="E327" s="906">
        <f t="shared" si="34"/>
        <v>0</v>
      </c>
      <c r="F327" s="129">
        <v>1000</v>
      </c>
      <c r="G327" s="122" t="s">
        <v>1963</v>
      </c>
    </row>
    <row r="328" spans="1:7" x14ac:dyDescent="0.25">
      <c r="A328" s="125">
        <f t="shared" si="29"/>
        <v>288</v>
      </c>
      <c r="B328" s="130"/>
      <c r="C328" s="842" t="s">
        <v>10024</v>
      </c>
      <c r="D328" s="906">
        <v>0</v>
      </c>
      <c r="E328" s="906">
        <f t="shared" si="34"/>
        <v>0</v>
      </c>
      <c r="F328" s="129">
        <v>3000</v>
      </c>
      <c r="G328" s="122" t="s">
        <v>1963</v>
      </c>
    </row>
    <row r="329" spans="1:7" x14ac:dyDescent="0.25">
      <c r="A329" s="125">
        <f t="shared" si="29"/>
        <v>289</v>
      </c>
      <c r="B329" s="130"/>
      <c r="C329" s="643" t="s">
        <v>10053</v>
      </c>
      <c r="D329" s="913"/>
      <c r="E329" s="913"/>
      <c r="F329" s="136"/>
    </row>
    <row r="330" spans="1:7" x14ac:dyDescent="0.25">
      <c r="A330" s="125">
        <f t="shared" si="29"/>
        <v>290</v>
      </c>
      <c r="B330" s="130"/>
      <c r="C330" s="842" t="s">
        <v>10055</v>
      </c>
      <c r="D330" s="906">
        <v>0</v>
      </c>
      <c r="E330" s="906">
        <f t="shared" ref="E330:E335" si="35">D330/8*12</f>
        <v>0</v>
      </c>
      <c r="F330" s="129">
        <v>500</v>
      </c>
      <c r="G330" s="122" t="s">
        <v>1963</v>
      </c>
    </row>
    <row r="331" spans="1:7" x14ac:dyDescent="0.25">
      <c r="A331" s="125">
        <f t="shared" si="29"/>
        <v>291</v>
      </c>
      <c r="B331" s="130"/>
      <c r="C331" s="842" t="s">
        <v>10056</v>
      </c>
      <c r="D331" s="906">
        <v>0</v>
      </c>
      <c r="E331" s="906">
        <f t="shared" si="35"/>
        <v>0</v>
      </c>
      <c r="F331" s="129">
        <v>500</v>
      </c>
      <c r="G331" s="122" t="s">
        <v>1963</v>
      </c>
    </row>
    <row r="332" spans="1:7" x14ac:dyDescent="0.25">
      <c r="A332" s="125">
        <f t="shared" si="29"/>
        <v>292</v>
      </c>
      <c r="B332" s="130"/>
      <c r="C332" s="842" t="s">
        <v>10057</v>
      </c>
      <c r="D332" s="906">
        <v>0</v>
      </c>
      <c r="E332" s="906">
        <f t="shared" si="35"/>
        <v>0</v>
      </c>
      <c r="F332" s="129">
        <v>1000</v>
      </c>
      <c r="G332" s="122" t="s">
        <v>1963</v>
      </c>
    </row>
    <row r="333" spans="1:7" x14ac:dyDescent="0.25">
      <c r="A333" s="125">
        <f t="shared" si="29"/>
        <v>293</v>
      </c>
      <c r="B333" s="130"/>
      <c r="C333" s="842" t="s">
        <v>10058</v>
      </c>
      <c r="D333" s="906">
        <v>0</v>
      </c>
      <c r="E333" s="906">
        <f t="shared" si="35"/>
        <v>0</v>
      </c>
      <c r="F333" s="129">
        <v>1000</v>
      </c>
      <c r="G333" s="122" t="s">
        <v>1963</v>
      </c>
    </row>
    <row r="334" spans="1:7" x14ac:dyDescent="0.25">
      <c r="A334" s="125">
        <f t="shared" si="29"/>
        <v>294</v>
      </c>
      <c r="B334" s="130"/>
      <c r="C334" s="842" t="s">
        <v>10059</v>
      </c>
      <c r="D334" s="906">
        <v>0</v>
      </c>
      <c r="E334" s="906">
        <f t="shared" si="35"/>
        <v>0</v>
      </c>
      <c r="F334" s="129">
        <v>500</v>
      </c>
      <c r="G334" s="122" t="s">
        <v>1963</v>
      </c>
    </row>
    <row r="335" spans="1:7" x14ac:dyDescent="0.25">
      <c r="A335" s="125">
        <f t="shared" si="29"/>
        <v>295</v>
      </c>
      <c r="B335" s="130"/>
      <c r="C335" s="842" t="s">
        <v>10060</v>
      </c>
      <c r="D335" s="906">
        <v>6520.4</v>
      </c>
      <c r="E335" s="906">
        <f t="shared" si="35"/>
        <v>9780.5999999999985</v>
      </c>
      <c r="F335" s="129">
        <f>E335</f>
        <v>9780.5999999999985</v>
      </c>
      <c r="G335" s="122" t="s">
        <v>1963</v>
      </c>
    </row>
    <row r="336" spans="1:7" x14ac:dyDescent="0.25">
      <c r="A336" s="125">
        <f t="shared" si="29"/>
        <v>296</v>
      </c>
      <c r="B336" s="130"/>
      <c r="C336" s="927" t="s">
        <v>10106</v>
      </c>
      <c r="D336" s="928"/>
      <c r="E336" s="928"/>
      <c r="F336" s="129"/>
    </row>
    <row r="337" spans="1:7" x14ac:dyDescent="0.25">
      <c r="A337" s="125">
        <f t="shared" si="29"/>
        <v>297</v>
      </c>
      <c r="B337" s="130"/>
      <c r="C337" s="842" t="s">
        <v>10072</v>
      </c>
      <c r="D337" s="906">
        <v>0</v>
      </c>
      <c r="E337" s="906">
        <f t="shared" ref="E337" si="36">D337/8*12</f>
        <v>0</v>
      </c>
      <c r="F337" s="129">
        <v>30000</v>
      </c>
      <c r="G337" s="122" t="s">
        <v>1963</v>
      </c>
    </row>
    <row r="338" spans="1:7" x14ac:dyDescent="0.25">
      <c r="A338" s="125">
        <f t="shared" si="29"/>
        <v>298</v>
      </c>
      <c r="B338" s="130"/>
      <c r="C338" s="842"/>
      <c r="D338" s="924"/>
      <c r="E338" s="924"/>
      <c r="F338" s="129"/>
    </row>
    <row r="339" spans="1:7" x14ac:dyDescent="0.25">
      <c r="A339" s="125">
        <f t="shared" si="29"/>
        <v>299</v>
      </c>
      <c r="B339" s="130"/>
      <c r="C339" s="643" t="s">
        <v>10054</v>
      </c>
      <c r="D339" s="913"/>
      <c r="E339" s="913"/>
      <c r="F339" s="136"/>
    </row>
    <row r="340" spans="1:7" x14ac:dyDescent="0.25">
      <c r="A340" s="125">
        <f t="shared" si="29"/>
        <v>300</v>
      </c>
      <c r="B340" s="130"/>
      <c r="C340" s="842" t="s">
        <v>10061</v>
      </c>
      <c r="D340" s="906">
        <v>0</v>
      </c>
      <c r="E340" s="906">
        <f t="shared" ref="E340:E346" si="37">D340/8*12</f>
        <v>0</v>
      </c>
      <c r="F340" s="129">
        <v>500</v>
      </c>
      <c r="G340" s="122" t="s">
        <v>1963</v>
      </c>
    </row>
    <row r="341" spans="1:7" x14ac:dyDescent="0.25">
      <c r="A341" s="125">
        <f t="shared" si="29"/>
        <v>301</v>
      </c>
      <c r="B341" s="130"/>
      <c r="C341" s="842" t="s">
        <v>10062</v>
      </c>
      <c r="D341" s="906">
        <v>0</v>
      </c>
      <c r="E341" s="906">
        <f t="shared" si="37"/>
        <v>0</v>
      </c>
      <c r="F341" s="129">
        <v>500</v>
      </c>
      <c r="G341" s="122" t="s">
        <v>1963</v>
      </c>
    </row>
    <row r="342" spans="1:7" x14ac:dyDescent="0.25">
      <c r="A342" s="125">
        <f t="shared" si="29"/>
        <v>302</v>
      </c>
      <c r="B342" s="130"/>
      <c r="C342" s="842" t="s">
        <v>10063</v>
      </c>
      <c r="D342" s="906">
        <v>0</v>
      </c>
      <c r="E342" s="906">
        <f t="shared" si="37"/>
        <v>0</v>
      </c>
      <c r="F342" s="129">
        <v>1500</v>
      </c>
      <c r="G342" s="122" t="s">
        <v>1963</v>
      </c>
    </row>
    <row r="343" spans="1:7" x14ac:dyDescent="0.25">
      <c r="A343" s="125">
        <f t="shared" si="29"/>
        <v>303</v>
      </c>
      <c r="B343" s="130"/>
      <c r="C343" s="842" t="s">
        <v>10064</v>
      </c>
      <c r="D343" s="906">
        <v>1103.24</v>
      </c>
      <c r="E343" s="906">
        <f t="shared" si="37"/>
        <v>1654.8600000000001</v>
      </c>
      <c r="F343" s="129">
        <f>E343</f>
        <v>1654.8600000000001</v>
      </c>
      <c r="G343" s="122" t="s">
        <v>1963</v>
      </c>
    </row>
    <row r="344" spans="1:7" x14ac:dyDescent="0.25">
      <c r="A344" s="125">
        <f t="shared" si="29"/>
        <v>304</v>
      </c>
      <c r="B344" s="130"/>
      <c r="C344" s="842" t="s">
        <v>10065</v>
      </c>
      <c r="D344" s="906">
        <v>0</v>
      </c>
      <c r="E344" s="906">
        <f t="shared" si="37"/>
        <v>0</v>
      </c>
      <c r="F344" s="129">
        <v>500</v>
      </c>
      <c r="G344" s="122" t="s">
        <v>1963</v>
      </c>
    </row>
    <row r="345" spans="1:7" x14ac:dyDescent="0.25">
      <c r="A345" s="125">
        <f t="shared" si="29"/>
        <v>305</v>
      </c>
      <c r="B345" s="130"/>
      <c r="C345" s="842" t="s">
        <v>10066</v>
      </c>
      <c r="D345" s="906">
        <v>0</v>
      </c>
      <c r="E345" s="906">
        <f t="shared" si="37"/>
        <v>0</v>
      </c>
      <c r="F345" s="129">
        <v>1000</v>
      </c>
      <c r="G345" s="122" t="s">
        <v>1963</v>
      </c>
    </row>
    <row r="346" spans="1:7" x14ac:dyDescent="0.25">
      <c r="A346" s="125">
        <f t="shared" si="29"/>
        <v>306</v>
      </c>
      <c r="B346" s="130"/>
      <c r="C346" s="842" t="s">
        <v>10067</v>
      </c>
      <c r="D346" s="906">
        <v>0</v>
      </c>
      <c r="E346" s="906">
        <f t="shared" si="37"/>
        <v>0</v>
      </c>
      <c r="F346" s="136">
        <v>1000</v>
      </c>
      <c r="G346" s="122" t="s">
        <v>1963</v>
      </c>
    </row>
    <row r="347" spans="1:7" x14ac:dyDescent="0.25">
      <c r="A347" s="125">
        <f t="shared" si="29"/>
        <v>307</v>
      </c>
      <c r="B347" s="130"/>
      <c r="C347" s="643" t="s">
        <v>10068</v>
      </c>
      <c r="D347" s="913"/>
      <c r="E347" s="913"/>
      <c r="F347" s="136"/>
    </row>
    <row r="348" spans="1:7" x14ac:dyDescent="0.25">
      <c r="A348" s="125">
        <f t="shared" si="29"/>
        <v>308</v>
      </c>
      <c r="B348" s="130"/>
      <c r="C348" s="842" t="s">
        <v>10069</v>
      </c>
      <c r="D348" s="906">
        <v>9213.41</v>
      </c>
      <c r="E348" s="906">
        <f t="shared" ref="E348:E354" si="38">D348/8*12</f>
        <v>13820.115</v>
      </c>
      <c r="F348" s="129">
        <f>E348</f>
        <v>13820.115</v>
      </c>
      <c r="G348" s="122" t="s">
        <v>1963</v>
      </c>
    </row>
    <row r="349" spans="1:7" x14ac:dyDescent="0.25">
      <c r="A349" s="125">
        <f t="shared" si="29"/>
        <v>309</v>
      </c>
      <c r="B349" s="130"/>
      <c r="C349" s="842" t="s">
        <v>10070</v>
      </c>
      <c r="D349" s="906">
        <v>0</v>
      </c>
      <c r="E349" s="906">
        <f t="shared" si="38"/>
        <v>0</v>
      </c>
      <c r="F349" s="129">
        <v>500</v>
      </c>
      <c r="G349" s="122" t="s">
        <v>1963</v>
      </c>
    </row>
    <row r="350" spans="1:7" x14ac:dyDescent="0.25">
      <c r="A350" s="125">
        <f t="shared" ref="A350:A413" si="39">A349+1</f>
        <v>310</v>
      </c>
      <c r="B350" s="130"/>
      <c r="C350" s="842" t="s">
        <v>10071</v>
      </c>
      <c r="D350" s="906">
        <v>0</v>
      </c>
      <c r="E350" s="906">
        <f t="shared" si="38"/>
        <v>0</v>
      </c>
      <c r="F350" s="129">
        <v>1500</v>
      </c>
      <c r="G350" s="122" t="s">
        <v>1963</v>
      </c>
    </row>
    <row r="351" spans="1:7" x14ac:dyDescent="0.25">
      <c r="A351" s="125">
        <f t="shared" si="39"/>
        <v>311</v>
      </c>
      <c r="B351" s="130"/>
      <c r="C351" s="842" t="s">
        <v>10072</v>
      </c>
      <c r="D351" s="906">
        <v>45304.94</v>
      </c>
      <c r="E351" s="906">
        <f t="shared" si="38"/>
        <v>67957.41</v>
      </c>
      <c r="F351" s="129">
        <f>E351-15000</f>
        <v>52957.41</v>
      </c>
      <c r="G351" s="122" t="s">
        <v>1963</v>
      </c>
    </row>
    <row r="352" spans="1:7" x14ac:dyDescent="0.25">
      <c r="A352" s="125">
        <f t="shared" si="39"/>
        <v>312</v>
      </c>
      <c r="B352" s="130"/>
      <c r="C352" s="842" t="s">
        <v>10073</v>
      </c>
      <c r="D352" s="906">
        <v>0</v>
      </c>
      <c r="E352" s="906">
        <f t="shared" si="38"/>
        <v>0</v>
      </c>
      <c r="F352" s="129">
        <v>500</v>
      </c>
      <c r="G352" s="122" t="s">
        <v>1963</v>
      </c>
    </row>
    <row r="353" spans="1:7" x14ac:dyDescent="0.25">
      <c r="A353" s="125">
        <f t="shared" si="39"/>
        <v>313</v>
      </c>
      <c r="B353" s="130"/>
      <c r="C353" s="842" t="s">
        <v>10074</v>
      </c>
      <c r="D353" s="906">
        <v>0</v>
      </c>
      <c r="E353" s="906">
        <f t="shared" si="38"/>
        <v>0</v>
      </c>
      <c r="F353" s="129">
        <v>1000</v>
      </c>
      <c r="G353" s="122" t="s">
        <v>1963</v>
      </c>
    </row>
    <row r="354" spans="1:7" x14ac:dyDescent="0.25">
      <c r="A354" s="125">
        <f t="shared" si="39"/>
        <v>314</v>
      </c>
      <c r="B354" s="130"/>
      <c r="C354" s="842" t="s">
        <v>10075</v>
      </c>
      <c r="D354" s="906">
        <v>0</v>
      </c>
      <c r="E354" s="906">
        <f t="shared" si="38"/>
        <v>0</v>
      </c>
      <c r="F354" s="136">
        <v>1000</v>
      </c>
      <c r="G354" s="122" t="s">
        <v>1963</v>
      </c>
    </row>
    <row r="355" spans="1:7" x14ac:dyDescent="0.25">
      <c r="A355" s="125">
        <f t="shared" si="39"/>
        <v>315</v>
      </c>
      <c r="B355" s="130"/>
      <c r="C355" s="927" t="s">
        <v>10076</v>
      </c>
      <c r="D355" s="928"/>
      <c r="E355" s="928"/>
      <c r="F355" s="136"/>
    </row>
    <row r="356" spans="1:7" x14ac:dyDescent="0.25">
      <c r="A356" s="125">
        <f t="shared" si="39"/>
        <v>316</v>
      </c>
      <c r="B356" s="130"/>
      <c r="C356" s="842" t="s">
        <v>10077</v>
      </c>
      <c r="D356" s="906">
        <v>0</v>
      </c>
      <c r="E356" s="906">
        <f t="shared" ref="E356:E362" si="40">D356/8*12</f>
        <v>0</v>
      </c>
      <c r="F356" s="129">
        <v>1000</v>
      </c>
      <c r="G356" s="122" t="s">
        <v>1963</v>
      </c>
    </row>
    <row r="357" spans="1:7" x14ac:dyDescent="0.25">
      <c r="A357" s="125">
        <f t="shared" si="39"/>
        <v>317</v>
      </c>
      <c r="B357" s="130"/>
      <c r="C357" s="842" t="s">
        <v>10078</v>
      </c>
      <c r="D357" s="906">
        <v>0</v>
      </c>
      <c r="E357" s="906">
        <f t="shared" si="40"/>
        <v>0</v>
      </c>
      <c r="F357" s="129">
        <v>500</v>
      </c>
      <c r="G357" s="122" t="s">
        <v>1963</v>
      </c>
    </row>
    <row r="358" spans="1:7" x14ac:dyDescent="0.25">
      <c r="A358" s="125">
        <f t="shared" si="39"/>
        <v>318</v>
      </c>
      <c r="B358" s="130"/>
      <c r="C358" s="842" t="s">
        <v>10079</v>
      </c>
      <c r="D358" s="906">
        <v>0</v>
      </c>
      <c r="E358" s="906">
        <f t="shared" si="40"/>
        <v>0</v>
      </c>
      <c r="F358" s="129">
        <v>1500</v>
      </c>
      <c r="G358" s="122" t="s">
        <v>1963</v>
      </c>
    </row>
    <row r="359" spans="1:7" x14ac:dyDescent="0.25">
      <c r="A359" s="125">
        <f t="shared" si="39"/>
        <v>319</v>
      </c>
      <c r="B359" s="130"/>
      <c r="C359" s="842" t="s">
        <v>10080</v>
      </c>
      <c r="D359" s="906">
        <v>2352.9899999999998</v>
      </c>
      <c r="E359" s="906">
        <f t="shared" si="40"/>
        <v>3529.4849999999997</v>
      </c>
      <c r="F359" s="129">
        <f>E359</f>
        <v>3529.4849999999997</v>
      </c>
      <c r="G359" s="122" t="s">
        <v>1963</v>
      </c>
    </row>
    <row r="360" spans="1:7" x14ac:dyDescent="0.25">
      <c r="A360" s="125">
        <f t="shared" si="39"/>
        <v>320</v>
      </c>
      <c r="B360" s="130"/>
      <c r="C360" s="842" t="s">
        <v>10081</v>
      </c>
      <c r="D360" s="906">
        <v>0</v>
      </c>
      <c r="E360" s="906">
        <f t="shared" si="40"/>
        <v>0</v>
      </c>
      <c r="F360" s="129">
        <v>500</v>
      </c>
      <c r="G360" s="122" t="s">
        <v>1963</v>
      </c>
    </row>
    <row r="361" spans="1:7" x14ac:dyDescent="0.25">
      <c r="A361" s="125">
        <f t="shared" si="39"/>
        <v>321</v>
      </c>
      <c r="B361" s="130"/>
      <c r="C361" s="842" t="s">
        <v>10082</v>
      </c>
      <c r="D361" s="906">
        <v>0</v>
      </c>
      <c r="E361" s="906">
        <f t="shared" si="40"/>
        <v>0</v>
      </c>
      <c r="F361" s="129">
        <v>1000</v>
      </c>
      <c r="G361" s="122" t="s">
        <v>1963</v>
      </c>
    </row>
    <row r="362" spans="1:7" x14ac:dyDescent="0.25">
      <c r="A362" s="125">
        <f t="shared" si="39"/>
        <v>322</v>
      </c>
      <c r="B362" s="130"/>
      <c r="C362" s="842" t="s">
        <v>10083</v>
      </c>
      <c r="D362" s="906">
        <v>0</v>
      </c>
      <c r="E362" s="906">
        <f t="shared" si="40"/>
        <v>0</v>
      </c>
      <c r="F362" s="136">
        <v>1000</v>
      </c>
      <c r="G362" s="122" t="s">
        <v>1963</v>
      </c>
    </row>
    <row r="363" spans="1:7" x14ac:dyDescent="0.25">
      <c r="A363" s="125">
        <f t="shared" si="39"/>
        <v>323</v>
      </c>
      <c r="B363" s="130"/>
      <c r="C363" s="927" t="s">
        <v>10084</v>
      </c>
      <c r="D363" s="928"/>
      <c r="E363" s="928"/>
      <c r="F363" s="136"/>
    </row>
    <row r="364" spans="1:7" x14ac:dyDescent="0.25">
      <c r="A364" s="125">
        <f t="shared" si="39"/>
        <v>324</v>
      </c>
      <c r="B364" s="130"/>
      <c r="C364" s="842" t="s">
        <v>10096</v>
      </c>
      <c r="D364" s="906">
        <v>2736</v>
      </c>
      <c r="E364" s="906">
        <f t="shared" ref="E364:E372" si="41">D364/8*12</f>
        <v>4104</v>
      </c>
      <c r="F364" s="129">
        <f>E364/12</f>
        <v>342</v>
      </c>
      <c r="G364" s="122" t="s">
        <v>1963</v>
      </c>
    </row>
    <row r="365" spans="1:7" x14ac:dyDescent="0.25">
      <c r="A365" s="125">
        <f t="shared" si="39"/>
        <v>325</v>
      </c>
      <c r="B365" s="130"/>
      <c r="C365" s="842" t="s">
        <v>10085</v>
      </c>
      <c r="D365" s="906">
        <v>11679.01</v>
      </c>
      <c r="E365" s="906">
        <f t="shared" si="41"/>
        <v>17518.514999999999</v>
      </c>
      <c r="F365" s="129">
        <f>E365</f>
        <v>17518.514999999999</v>
      </c>
      <c r="G365" s="122" t="s">
        <v>1963</v>
      </c>
    </row>
    <row r="366" spans="1:7" ht="31.5" x14ac:dyDescent="0.25">
      <c r="A366" s="125">
        <f t="shared" si="39"/>
        <v>326</v>
      </c>
      <c r="B366" s="130"/>
      <c r="C366" s="842" t="s">
        <v>10086</v>
      </c>
      <c r="D366" s="906">
        <v>0</v>
      </c>
      <c r="E366" s="906">
        <f t="shared" si="41"/>
        <v>0</v>
      </c>
      <c r="F366" s="129">
        <v>500</v>
      </c>
      <c r="G366" s="122" t="s">
        <v>1963</v>
      </c>
    </row>
    <row r="367" spans="1:7" x14ac:dyDescent="0.25">
      <c r="A367" s="125">
        <f t="shared" si="39"/>
        <v>327</v>
      </c>
      <c r="B367" s="130"/>
      <c r="C367" s="842" t="s">
        <v>10087</v>
      </c>
      <c r="D367" s="906">
        <v>0</v>
      </c>
      <c r="E367" s="906">
        <f t="shared" si="41"/>
        <v>0</v>
      </c>
      <c r="F367" s="129">
        <v>1500</v>
      </c>
      <c r="G367" s="122" t="s">
        <v>1963</v>
      </c>
    </row>
    <row r="368" spans="1:7" x14ac:dyDescent="0.25">
      <c r="A368" s="125">
        <f t="shared" si="39"/>
        <v>328</v>
      </c>
      <c r="B368" s="130"/>
      <c r="C368" s="842" t="s">
        <v>10088</v>
      </c>
      <c r="D368" s="906">
        <v>3805.1</v>
      </c>
      <c r="E368" s="906">
        <f t="shared" si="41"/>
        <v>5707.65</v>
      </c>
      <c r="F368" s="129">
        <f>E368</f>
        <v>5707.65</v>
      </c>
      <c r="G368" s="122" t="s">
        <v>1963</v>
      </c>
    </row>
    <row r="369" spans="1:7" ht="31.5" x14ac:dyDescent="0.25">
      <c r="A369" s="125">
        <f t="shared" si="39"/>
        <v>329</v>
      </c>
      <c r="B369" s="130"/>
      <c r="C369" s="842" t="s">
        <v>10089</v>
      </c>
      <c r="D369" s="906">
        <v>0</v>
      </c>
      <c r="E369" s="906">
        <f t="shared" si="41"/>
        <v>0</v>
      </c>
      <c r="F369" s="129">
        <v>500</v>
      </c>
      <c r="G369" s="122" t="s">
        <v>1963</v>
      </c>
    </row>
    <row r="370" spans="1:7" x14ac:dyDescent="0.25">
      <c r="A370" s="125">
        <f t="shared" si="39"/>
        <v>330</v>
      </c>
      <c r="B370" s="130"/>
      <c r="C370" s="842" t="s">
        <v>10097</v>
      </c>
      <c r="D370" s="906">
        <v>0</v>
      </c>
      <c r="E370" s="906">
        <f t="shared" si="41"/>
        <v>0</v>
      </c>
      <c r="F370" s="129">
        <v>1000</v>
      </c>
      <c r="G370" s="122" t="s">
        <v>1963</v>
      </c>
    </row>
    <row r="371" spans="1:7" x14ac:dyDescent="0.25">
      <c r="A371" s="125">
        <f t="shared" si="39"/>
        <v>331</v>
      </c>
      <c r="B371" s="130"/>
      <c r="C371" s="842" t="s">
        <v>10090</v>
      </c>
      <c r="D371" s="906">
        <v>0</v>
      </c>
      <c r="E371" s="906">
        <f t="shared" si="41"/>
        <v>0</v>
      </c>
      <c r="F371" s="129">
        <v>2000</v>
      </c>
      <c r="G371" s="122" t="s">
        <v>1963</v>
      </c>
    </row>
    <row r="372" spans="1:7" x14ac:dyDescent="0.25">
      <c r="A372" s="125">
        <f t="shared" si="39"/>
        <v>332</v>
      </c>
      <c r="B372" s="130"/>
      <c r="C372" s="842" t="s">
        <v>10091</v>
      </c>
      <c r="D372" s="906">
        <v>0</v>
      </c>
      <c r="E372" s="906">
        <f t="shared" si="41"/>
        <v>0</v>
      </c>
      <c r="F372" s="136">
        <v>2000</v>
      </c>
      <c r="G372" s="122" t="s">
        <v>1963</v>
      </c>
    </row>
    <row r="373" spans="1:7" x14ac:dyDescent="0.25">
      <c r="A373" s="125">
        <f t="shared" si="39"/>
        <v>333</v>
      </c>
      <c r="B373" s="130"/>
      <c r="C373" s="927" t="s">
        <v>10105</v>
      </c>
      <c r="D373" s="928"/>
      <c r="E373" s="928"/>
      <c r="F373" s="136"/>
    </row>
    <row r="374" spans="1:7" x14ac:dyDescent="0.25">
      <c r="A374" s="125">
        <f t="shared" si="39"/>
        <v>334</v>
      </c>
      <c r="B374" s="130"/>
      <c r="C374" s="842" t="s">
        <v>10098</v>
      </c>
      <c r="D374" s="906">
        <v>0</v>
      </c>
      <c r="E374" s="906">
        <f t="shared" ref="E374:E380" si="42">D374/8*12</f>
        <v>0</v>
      </c>
      <c r="F374" s="129">
        <v>500</v>
      </c>
      <c r="G374" s="122" t="s">
        <v>1963</v>
      </c>
    </row>
    <row r="375" spans="1:7" x14ac:dyDescent="0.25">
      <c r="A375" s="125">
        <f t="shared" si="39"/>
        <v>335</v>
      </c>
      <c r="B375" s="130"/>
      <c r="C375" s="842" t="s">
        <v>10099</v>
      </c>
      <c r="D375" s="906">
        <v>0</v>
      </c>
      <c r="E375" s="906">
        <f t="shared" si="42"/>
        <v>0</v>
      </c>
      <c r="F375" s="129">
        <v>500</v>
      </c>
      <c r="G375" s="122" t="s">
        <v>1963</v>
      </c>
    </row>
    <row r="376" spans="1:7" x14ac:dyDescent="0.25">
      <c r="A376" s="125">
        <f t="shared" si="39"/>
        <v>336</v>
      </c>
      <c r="B376" s="130"/>
      <c r="C376" s="842" t="s">
        <v>10100</v>
      </c>
      <c r="D376" s="906">
        <v>0</v>
      </c>
      <c r="E376" s="906">
        <f t="shared" si="42"/>
        <v>0</v>
      </c>
      <c r="F376" s="129">
        <v>1500</v>
      </c>
      <c r="G376" s="122" t="s">
        <v>1963</v>
      </c>
    </row>
    <row r="377" spans="1:7" x14ac:dyDescent="0.25">
      <c r="A377" s="125">
        <f t="shared" si="39"/>
        <v>337</v>
      </c>
      <c r="B377" s="130"/>
      <c r="C377" s="842" t="s">
        <v>10101</v>
      </c>
      <c r="D377" s="906">
        <v>0</v>
      </c>
      <c r="E377" s="906">
        <f t="shared" si="42"/>
        <v>0</v>
      </c>
      <c r="F377" s="129">
        <v>5000</v>
      </c>
      <c r="G377" s="122" t="s">
        <v>1963</v>
      </c>
    </row>
    <row r="378" spans="1:7" x14ac:dyDescent="0.25">
      <c r="A378" s="125">
        <f t="shared" si="39"/>
        <v>338</v>
      </c>
      <c r="B378" s="130"/>
      <c r="C378" s="842" t="s">
        <v>10102</v>
      </c>
      <c r="D378" s="906">
        <v>0</v>
      </c>
      <c r="E378" s="906">
        <f t="shared" si="42"/>
        <v>0</v>
      </c>
      <c r="F378" s="129">
        <v>500</v>
      </c>
      <c r="G378" s="122" t="s">
        <v>1963</v>
      </c>
    </row>
    <row r="379" spans="1:7" x14ac:dyDescent="0.25">
      <c r="A379" s="125">
        <f t="shared" si="39"/>
        <v>339</v>
      </c>
      <c r="B379" s="130"/>
      <c r="C379" s="842" t="s">
        <v>10103</v>
      </c>
      <c r="D379" s="906">
        <v>0</v>
      </c>
      <c r="E379" s="906">
        <f t="shared" si="42"/>
        <v>0</v>
      </c>
      <c r="F379" s="129">
        <v>2000</v>
      </c>
      <c r="G379" s="122" t="s">
        <v>1963</v>
      </c>
    </row>
    <row r="380" spans="1:7" x14ac:dyDescent="0.25">
      <c r="A380" s="125">
        <f t="shared" si="39"/>
        <v>340</v>
      </c>
      <c r="B380" s="130"/>
      <c r="C380" s="842" t="s">
        <v>10104</v>
      </c>
      <c r="D380" s="906">
        <v>0</v>
      </c>
      <c r="E380" s="906">
        <f t="shared" si="42"/>
        <v>0</v>
      </c>
      <c r="F380" s="136">
        <v>2000</v>
      </c>
      <c r="G380" s="122" t="s">
        <v>1963</v>
      </c>
    </row>
    <row r="381" spans="1:7" x14ac:dyDescent="0.25">
      <c r="A381" s="125">
        <f t="shared" si="39"/>
        <v>341</v>
      </c>
      <c r="B381" s="130"/>
      <c r="C381" s="927" t="s">
        <v>10106</v>
      </c>
      <c r="D381" s="928"/>
      <c r="E381" s="928"/>
      <c r="F381" s="129"/>
    </row>
    <row r="382" spans="1:7" x14ac:dyDescent="0.25">
      <c r="A382" s="125">
        <f t="shared" si="39"/>
        <v>342</v>
      </c>
      <c r="B382" s="130"/>
      <c r="C382" s="842" t="s">
        <v>10101</v>
      </c>
      <c r="D382" s="906">
        <v>0</v>
      </c>
      <c r="E382" s="906">
        <f t="shared" ref="E382" si="43">D382/8*12</f>
        <v>0</v>
      </c>
      <c r="F382" s="136">
        <v>15000</v>
      </c>
      <c r="G382" s="122" t="s">
        <v>1963</v>
      </c>
    </row>
    <row r="383" spans="1:7" x14ac:dyDescent="0.25">
      <c r="A383" s="125">
        <f t="shared" si="39"/>
        <v>343</v>
      </c>
      <c r="B383" s="130"/>
      <c r="C383" s="927" t="s">
        <v>10112</v>
      </c>
      <c r="D383" s="928"/>
      <c r="E383" s="928"/>
      <c r="F383" s="136"/>
    </row>
    <row r="384" spans="1:7" x14ac:dyDescent="0.25">
      <c r="A384" s="125">
        <f t="shared" si="39"/>
        <v>344</v>
      </c>
      <c r="B384" s="130"/>
      <c r="C384" s="842" t="s">
        <v>10108</v>
      </c>
      <c r="D384" s="906">
        <v>0</v>
      </c>
      <c r="E384" s="906">
        <f t="shared" ref="E384:E389" si="44">D384/8*12</f>
        <v>0</v>
      </c>
      <c r="F384" s="136">
        <v>1000</v>
      </c>
      <c r="G384" s="122" t="s">
        <v>1963</v>
      </c>
    </row>
    <row r="385" spans="1:7" x14ac:dyDescent="0.25">
      <c r="A385" s="125">
        <f t="shared" si="39"/>
        <v>345</v>
      </c>
      <c r="B385" s="130"/>
      <c r="C385" s="842" t="s">
        <v>10113</v>
      </c>
      <c r="D385" s="906">
        <v>0</v>
      </c>
      <c r="E385" s="906">
        <f t="shared" si="44"/>
        <v>0</v>
      </c>
      <c r="F385" s="136">
        <v>1000</v>
      </c>
      <c r="G385" s="122" t="s">
        <v>1963</v>
      </c>
    </row>
    <row r="386" spans="1:7" x14ac:dyDescent="0.25">
      <c r="A386" s="125">
        <f t="shared" si="39"/>
        <v>346</v>
      </c>
      <c r="B386" s="130"/>
      <c r="C386" s="842" t="s">
        <v>10109</v>
      </c>
      <c r="D386" s="906">
        <v>0</v>
      </c>
      <c r="E386" s="906">
        <f t="shared" si="44"/>
        <v>0</v>
      </c>
      <c r="F386" s="136">
        <v>1000</v>
      </c>
      <c r="G386" s="122" t="s">
        <v>1963</v>
      </c>
    </row>
    <row r="387" spans="1:7" x14ac:dyDescent="0.25">
      <c r="A387" s="125">
        <f t="shared" si="39"/>
        <v>347</v>
      </c>
      <c r="B387" s="130"/>
      <c r="C387" s="842" t="s">
        <v>10110</v>
      </c>
      <c r="D387" s="906">
        <v>0</v>
      </c>
      <c r="E387" s="906">
        <f t="shared" si="44"/>
        <v>0</v>
      </c>
      <c r="F387" s="136">
        <v>1000</v>
      </c>
      <c r="G387" s="122" t="s">
        <v>1963</v>
      </c>
    </row>
    <row r="388" spans="1:7" x14ac:dyDescent="0.25">
      <c r="A388" s="125">
        <f t="shared" si="39"/>
        <v>348</v>
      </c>
      <c r="B388" s="130"/>
      <c r="C388" s="842" t="s">
        <v>10114</v>
      </c>
      <c r="D388" s="906">
        <v>0</v>
      </c>
      <c r="E388" s="906">
        <f t="shared" si="44"/>
        <v>0</v>
      </c>
      <c r="F388" s="136">
        <v>1000</v>
      </c>
      <c r="G388" s="122" t="s">
        <v>1963</v>
      </c>
    </row>
    <row r="389" spans="1:7" x14ac:dyDescent="0.25">
      <c r="A389" s="125">
        <f t="shared" si="39"/>
        <v>349</v>
      </c>
      <c r="B389" s="130"/>
      <c r="C389" s="842" t="s">
        <v>10111</v>
      </c>
      <c r="D389" s="906">
        <v>0</v>
      </c>
      <c r="E389" s="906">
        <f t="shared" si="44"/>
        <v>0</v>
      </c>
      <c r="F389" s="136">
        <v>2000</v>
      </c>
      <c r="G389" s="122" t="s">
        <v>1963</v>
      </c>
    </row>
    <row r="390" spans="1:7" x14ac:dyDescent="0.25">
      <c r="A390" s="125">
        <f t="shared" si="39"/>
        <v>350</v>
      </c>
      <c r="B390" s="130"/>
      <c r="C390" s="927" t="s">
        <v>10107</v>
      </c>
      <c r="D390" s="928"/>
      <c r="E390" s="928"/>
      <c r="F390" s="136"/>
    </row>
    <row r="391" spans="1:7" x14ac:dyDescent="0.25">
      <c r="A391" s="125">
        <f t="shared" si="39"/>
        <v>351</v>
      </c>
      <c r="B391" s="130"/>
      <c r="C391" s="842" t="s">
        <v>10115</v>
      </c>
      <c r="D391" s="906">
        <v>19458</v>
      </c>
      <c r="E391" s="906">
        <f t="shared" ref="E391:E397" si="45">D391/8*12</f>
        <v>29187</v>
      </c>
      <c r="F391" s="129">
        <f>E391</f>
        <v>29187</v>
      </c>
      <c r="G391" s="122" t="s">
        <v>1963</v>
      </c>
    </row>
    <row r="392" spans="1:7" ht="31.5" x14ac:dyDescent="0.25">
      <c r="A392" s="125">
        <f t="shared" si="39"/>
        <v>352</v>
      </c>
      <c r="B392" s="130"/>
      <c r="C392" s="842" t="s">
        <v>10120</v>
      </c>
      <c r="D392" s="906">
        <v>0</v>
      </c>
      <c r="E392" s="906">
        <f t="shared" si="45"/>
        <v>0</v>
      </c>
      <c r="F392" s="129">
        <v>2000</v>
      </c>
      <c r="G392" s="122" t="s">
        <v>1963</v>
      </c>
    </row>
    <row r="393" spans="1:7" x14ac:dyDescent="0.25">
      <c r="A393" s="125">
        <f t="shared" si="39"/>
        <v>353</v>
      </c>
      <c r="B393" s="130"/>
      <c r="C393" s="842" t="s">
        <v>10116</v>
      </c>
      <c r="D393" s="906">
        <v>0</v>
      </c>
      <c r="E393" s="906">
        <f t="shared" si="45"/>
        <v>0</v>
      </c>
      <c r="F393" s="129">
        <v>10000</v>
      </c>
      <c r="G393" s="122" t="s">
        <v>1963</v>
      </c>
    </row>
    <row r="394" spans="1:7" x14ac:dyDescent="0.25">
      <c r="A394" s="125">
        <f t="shared" si="39"/>
        <v>354</v>
      </c>
      <c r="B394" s="130"/>
      <c r="C394" s="842" t="s">
        <v>10117</v>
      </c>
      <c r="D394" s="906">
        <v>0</v>
      </c>
      <c r="E394" s="906">
        <f t="shared" si="45"/>
        <v>0</v>
      </c>
      <c r="F394" s="129">
        <v>20000</v>
      </c>
      <c r="G394" s="122" t="s">
        <v>1963</v>
      </c>
    </row>
    <row r="395" spans="1:7" ht="31.5" x14ac:dyDescent="0.25">
      <c r="A395" s="125">
        <f t="shared" si="39"/>
        <v>355</v>
      </c>
      <c r="B395" s="130"/>
      <c r="C395" s="842" t="s">
        <v>10121</v>
      </c>
      <c r="D395" s="906">
        <v>0</v>
      </c>
      <c r="E395" s="906">
        <f t="shared" si="45"/>
        <v>0</v>
      </c>
      <c r="F395" s="129">
        <v>2000</v>
      </c>
      <c r="G395" s="122" t="s">
        <v>1963</v>
      </c>
    </row>
    <row r="396" spans="1:7" x14ac:dyDescent="0.25">
      <c r="A396" s="125">
        <f t="shared" si="39"/>
        <v>356</v>
      </c>
      <c r="B396" s="130"/>
      <c r="C396" s="842" t="s">
        <v>10118</v>
      </c>
      <c r="D396" s="906">
        <v>0</v>
      </c>
      <c r="E396" s="906">
        <f t="shared" si="45"/>
        <v>0</v>
      </c>
      <c r="F396" s="129">
        <v>28000</v>
      </c>
      <c r="G396" s="122" t="s">
        <v>1963</v>
      </c>
    </row>
    <row r="397" spans="1:7" x14ac:dyDescent="0.25">
      <c r="A397" s="125">
        <f t="shared" si="39"/>
        <v>357</v>
      </c>
      <c r="B397" s="130"/>
      <c r="C397" s="842" t="s">
        <v>10119</v>
      </c>
      <c r="D397" s="906">
        <v>0</v>
      </c>
      <c r="E397" s="906">
        <f t="shared" si="45"/>
        <v>0</v>
      </c>
      <c r="F397" s="136">
        <v>5000</v>
      </c>
      <c r="G397" s="122" t="s">
        <v>1963</v>
      </c>
    </row>
    <row r="398" spans="1:7" x14ac:dyDescent="0.25">
      <c r="A398" s="125">
        <f t="shared" si="39"/>
        <v>358</v>
      </c>
      <c r="B398" s="130"/>
      <c r="C398" s="927" t="s">
        <v>10122</v>
      </c>
      <c r="D398" s="928"/>
      <c r="E398" s="928"/>
      <c r="F398" s="136"/>
    </row>
    <row r="399" spans="1:7" x14ac:dyDescent="0.25">
      <c r="A399" s="125">
        <f t="shared" si="39"/>
        <v>359</v>
      </c>
      <c r="B399" s="130"/>
      <c r="C399" s="842" t="s">
        <v>10123</v>
      </c>
      <c r="D399" s="906">
        <v>5057.5</v>
      </c>
      <c r="E399" s="906">
        <f t="shared" ref="E399:E405" si="46">D399/8*12</f>
        <v>7586.25</v>
      </c>
      <c r="F399" s="129">
        <f>E399</f>
        <v>7586.25</v>
      </c>
      <c r="G399" s="122" t="s">
        <v>1963</v>
      </c>
    </row>
    <row r="400" spans="1:7" x14ac:dyDescent="0.25">
      <c r="A400" s="125">
        <f t="shared" si="39"/>
        <v>360</v>
      </c>
      <c r="B400" s="130"/>
      <c r="C400" s="842" t="s">
        <v>10124</v>
      </c>
      <c r="D400" s="906">
        <v>0</v>
      </c>
      <c r="E400" s="906">
        <f t="shared" si="46"/>
        <v>0</v>
      </c>
      <c r="F400" s="129">
        <v>2000</v>
      </c>
      <c r="G400" s="122" t="s">
        <v>1963</v>
      </c>
    </row>
    <row r="401" spans="1:7" x14ac:dyDescent="0.25">
      <c r="A401" s="125">
        <f t="shared" si="39"/>
        <v>361</v>
      </c>
      <c r="B401" s="130"/>
      <c r="C401" s="842" t="s">
        <v>10125</v>
      </c>
      <c r="D401" s="906">
        <v>2250</v>
      </c>
      <c r="E401" s="906">
        <f t="shared" si="46"/>
        <v>3375</v>
      </c>
      <c r="F401" s="129">
        <v>3375</v>
      </c>
      <c r="G401" s="122" t="s">
        <v>1963</v>
      </c>
    </row>
    <row r="402" spans="1:7" x14ac:dyDescent="0.25">
      <c r="A402" s="125">
        <f t="shared" si="39"/>
        <v>362</v>
      </c>
      <c r="B402" s="130"/>
      <c r="C402" s="842" t="s">
        <v>10126</v>
      </c>
      <c r="D402" s="906">
        <v>0</v>
      </c>
      <c r="E402" s="906">
        <f t="shared" si="46"/>
        <v>0</v>
      </c>
      <c r="F402" s="129">
        <v>15000</v>
      </c>
      <c r="G402" s="122" t="s">
        <v>1963</v>
      </c>
    </row>
    <row r="403" spans="1:7" x14ac:dyDescent="0.25">
      <c r="A403" s="125">
        <f t="shared" si="39"/>
        <v>363</v>
      </c>
      <c r="B403" s="130"/>
      <c r="C403" s="842" t="s">
        <v>10127</v>
      </c>
      <c r="D403" s="906">
        <v>0</v>
      </c>
      <c r="E403" s="906">
        <f t="shared" si="46"/>
        <v>0</v>
      </c>
      <c r="F403" s="129">
        <v>5000</v>
      </c>
      <c r="G403" s="122" t="s">
        <v>1963</v>
      </c>
    </row>
    <row r="404" spans="1:7" x14ac:dyDescent="0.25">
      <c r="A404" s="125">
        <f t="shared" si="39"/>
        <v>364</v>
      </c>
      <c r="B404" s="130"/>
      <c r="C404" s="842" t="s">
        <v>10128</v>
      </c>
      <c r="D404" s="906">
        <v>0</v>
      </c>
      <c r="E404" s="906">
        <f t="shared" si="46"/>
        <v>0</v>
      </c>
      <c r="F404" s="129">
        <v>5000</v>
      </c>
      <c r="G404" s="122" t="s">
        <v>1963</v>
      </c>
    </row>
    <row r="405" spans="1:7" x14ac:dyDescent="0.25">
      <c r="A405" s="125">
        <f t="shared" si="39"/>
        <v>365</v>
      </c>
      <c r="B405" s="130"/>
      <c r="C405" s="842" t="s">
        <v>10129</v>
      </c>
      <c r="D405" s="906">
        <v>0</v>
      </c>
      <c r="E405" s="906">
        <f t="shared" si="46"/>
        <v>0</v>
      </c>
      <c r="F405" s="136">
        <v>5000</v>
      </c>
      <c r="G405" s="122" t="s">
        <v>1963</v>
      </c>
    </row>
    <row r="406" spans="1:7" x14ac:dyDescent="0.25">
      <c r="A406" s="125">
        <f t="shared" si="39"/>
        <v>366</v>
      </c>
      <c r="B406" s="130"/>
      <c r="C406" s="842" t="s">
        <v>11537</v>
      </c>
      <c r="D406" s="906">
        <v>450</v>
      </c>
      <c r="E406" s="906">
        <f t="shared" ref="E406" si="47">D406/8*12</f>
        <v>675</v>
      </c>
      <c r="F406" s="136">
        <v>0</v>
      </c>
      <c r="G406" s="122" t="s">
        <v>1963</v>
      </c>
    </row>
    <row r="407" spans="1:7" x14ac:dyDescent="0.25">
      <c r="A407" s="125">
        <f t="shared" si="39"/>
        <v>367</v>
      </c>
      <c r="B407" s="130"/>
      <c r="C407" s="927" t="s">
        <v>10130</v>
      </c>
      <c r="D407" s="928"/>
      <c r="E407" s="928"/>
      <c r="F407" s="136"/>
    </row>
    <row r="408" spans="1:7" x14ac:dyDescent="0.25">
      <c r="A408" s="125">
        <f t="shared" si="39"/>
        <v>368</v>
      </c>
      <c r="B408" s="130"/>
      <c r="C408" s="842" t="s">
        <v>11538</v>
      </c>
      <c r="D408" s="906">
        <v>156185.03</v>
      </c>
      <c r="E408" s="906">
        <f t="shared" ref="E408:E414" si="48">D408/8*12</f>
        <v>234277.54499999998</v>
      </c>
      <c r="F408" s="129">
        <v>220000</v>
      </c>
      <c r="G408" s="122" t="s">
        <v>1963</v>
      </c>
    </row>
    <row r="409" spans="1:7" x14ac:dyDescent="0.25">
      <c r="A409" s="125">
        <f t="shared" si="39"/>
        <v>369</v>
      </c>
      <c r="B409" s="130"/>
      <c r="C409" s="842" t="s">
        <v>10133</v>
      </c>
      <c r="D409" s="906">
        <v>0</v>
      </c>
      <c r="E409" s="906">
        <f t="shared" si="48"/>
        <v>0</v>
      </c>
      <c r="F409" s="129">
        <v>3000</v>
      </c>
      <c r="G409" s="122" t="s">
        <v>1963</v>
      </c>
    </row>
    <row r="410" spans="1:7" x14ac:dyDescent="0.25">
      <c r="A410" s="125">
        <f t="shared" si="39"/>
        <v>370</v>
      </c>
      <c r="B410" s="130"/>
      <c r="C410" s="842" t="s">
        <v>10134</v>
      </c>
      <c r="D410" s="906">
        <v>190</v>
      </c>
      <c r="E410" s="906">
        <f t="shared" si="48"/>
        <v>285</v>
      </c>
      <c r="F410" s="129">
        <v>3000</v>
      </c>
      <c r="G410" s="122" t="s">
        <v>1963</v>
      </c>
    </row>
    <row r="411" spans="1:7" x14ac:dyDescent="0.25">
      <c r="A411" s="125">
        <f t="shared" si="39"/>
        <v>371</v>
      </c>
      <c r="B411" s="130"/>
      <c r="C411" s="842" t="s">
        <v>10135</v>
      </c>
      <c r="D411" s="906">
        <v>65373.19</v>
      </c>
      <c r="E411" s="906">
        <f t="shared" si="48"/>
        <v>98059.785000000003</v>
      </c>
      <c r="F411" s="129">
        <f>E411</f>
        <v>98059.785000000003</v>
      </c>
      <c r="G411" s="122" t="s">
        <v>1963</v>
      </c>
    </row>
    <row r="412" spans="1:7" ht="31.5" x14ac:dyDescent="0.25">
      <c r="A412" s="125">
        <f t="shared" si="39"/>
        <v>372</v>
      </c>
      <c r="B412" s="130"/>
      <c r="C412" s="842" t="s">
        <v>10136</v>
      </c>
      <c r="D412" s="906">
        <v>0</v>
      </c>
      <c r="E412" s="906">
        <f t="shared" si="48"/>
        <v>0</v>
      </c>
      <c r="F412" s="129">
        <v>3000</v>
      </c>
      <c r="G412" s="122" t="s">
        <v>1963</v>
      </c>
    </row>
    <row r="413" spans="1:7" x14ac:dyDescent="0.25">
      <c r="A413" s="125">
        <f t="shared" si="39"/>
        <v>373</v>
      </c>
      <c r="B413" s="130"/>
      <c r="C413" s="842" t="s">
        <v>10137</v>
      </c>
      <c r="D413" s="906">
        <v>0</v>
      </c>
      <c r="E413" s="906">
        <f t="shared" si="48"/>
        <v>0</v>
      </c>
      <c r="F413" s="136">
        <v>2000</v>
      </c>
      <c r="G413" s="122" t="s">
        <v>1963</v>
      </c>
    </row>
    <row r="414" spans="1:7" x14ac:dyDescent="0.25">
      <c r="A414" s="125">
        <f t="shared" ref="A414:A477" si="49">A413+1</f>
        <v>374</v>
      </c>
      <c r="B414" s="130"/>
      <c r="C414" s="842" t="s">
        <v>11537</v>
      </c>
      <c r="D414" s="906">
        <v>766</v>
      </c>
      <c r="E414" s="906">
        <f t="shared" si="48"/>
        <v>1149</v>
      </c>
      <c r="F414" s="136">
        <v>0</v>
      </c>
      <c r="G414" s="122" t="s">
        <v>1963</v>
      </c>
    </row>
    <row r="415" spans="1:7" x14ac:dyDescent="0.25">
      <c r="A415" s="125">
        <f t="shared" si="49"/>
        <v>375</v>
      </c>
      <c r="B415" s="130"/>
      <c r="C415" s="927" t="s">
        <v>10131</v>
      </c>
      <c r="D415" s="928"/>
      <c r="E415" s="928"/>
      <c r="F415" s="136"/>
    </row>
    <row r="416" spans="1:7" x14ac:dyDescent="0.25">
      <c r="A416" s="125">
        <f t="shared" si="49"/>
        <v>376</v>
      </c>
      <c r="B416" s="130"/>
      <c r="C416" s="842" t="s">
        <v>11537</v>
      </c>
      <c r="D416" s="906">
        <v>1192</v>
      </c>
      <c r="E416" s="906">
        <f t="shared" ref="E416" si="50">D416/8*12</f>
        <v>1788</v>
      </c>
      <c r="F416" s="136">
        <v>0</v>
      </c>
      <c r="G416" s="122" t="s">
        <v>1963</v>
      </c>
    </row>
    <row r="417" spans="1:7" x14ac:dyDescent="0.25">
      <c r="A417" s="125">
        <f t="shared" si="49"/>
        <v>377</v>
      </c>
      <c r="B417" s="130"/>
      <c r="C417" s="842" t="s">
        <v>10138</v>
      </c>
      <c r="D417" s="906">
        <v>0</v>
      </c>
      <c r="E417" s="906">
        <f t="shared" ref="E417:E423" si="51">D417/8*12</f>
        <v>0</v>
      </c>
      <c r="F417" s="129">
        <v>1000</v>
      </c>
      <c r="G417" s="122" t="s">
        <v>1963</v>
      </c>
    </row>
    <row r="418" spans="1:7" ht="31.5" x14ac:dyDescent="0.25">
      <c r="A418" s="125">
        <f t="shared" si="49"/>
        <v>378</v>
      </c>
      <c r="B418" s="130"/>
      <c r="C418" s="842" t="s">
        <v>10139</v>
      </c>
      <c r="D418" s="906">
        <v>0</v>
      </c>
      <c r="E418" s="906">
        <f t="shared" si="51"/>
        <v>0</v>
      </c>
      <c r="F418" s="129">
        <v>1000</v>
      </c>
      <c r="G418" s="122" t="s">
        <v>1963</v>
      </c>
    </row>
    <row r="419" spans="1:7" x14ac:dyDescent="0.25">
      <c r="A419" s="125">
        <f t="shared" si="49"/>
        <v>379</v>
      </c>
      <c r="B419" s="130"/>
      <c r="C419" s="842" t="s">
        <v>10140</v>
      </c>
      <c r="D419" s="906">
        <v>0</v>
      </c>
      <c r="E419" s="906">
        <f t="shared" si="51"/>
        <v>0</v>
      </c>
      <c r="F419" s="129">
        <v>1000</v>
      </c>
      <c r="G419" s="122" t="s">
        <v>1963</v>
      </c>
    </row>
    <row r="420" spans="1:7" x14ac:dyDescent="0.25">
      <c r="A420" s="125">
        <f t="shared" si="49"/>
        <v>380</v>
      </c>
      <c r="B420" s="130"/>
      <c r="C420" s="842" t="s">
        <v>10141</v>
      </c>
      <c r="D420" s="906">
        <v>0</v>
      </c>
      <c r="E420" s="906">
        <f t="shared" si="51"/>
        <v>0</v>
      </c>
      <c r="F420" s="129">
        <v>1000</v>
      </c>
      <c r="G420" s="122" t="s">
        <v>1963</v>
      </c>
    </row>
    <row r="421" spans="1:7" ht="31.5" x14ac:dyDescent="0.25">
      <c r="A421" s="125">
        <f t="shared" si="49"/>
        <v>381</v>
      </c>
      <c r="B421" s="130"/>
      <c r="C421" s="842" t="s">
        <v>10142</v>
      </c>
      <c r="D421" s="906">
        <v>0</v>
      </c>
      <c r="E421" s="906">
        <f t="shared" si="51"/>
        <v>0</v>
      </c>
      <c r="F421" s="129">
        <v>1000</v>
      </c>
      <c r="G421" s="122" t="s">
        <v>1963</v>
      </c>
    </row>
    <row r="422" spans="1:7" x14ac:dyDescent="0.25">
      <c r="A422" s="125">
        <f t="shared" si="49"/>
        <v>382</v>
      </c>
      <c r="B422" s="130"/>
      <c r="C422" s="842" t="s">
        <v>10143</v>
      </c>
      <c r="D422" s="906">
        <v>1600.3</v>
      </c>
      <c r="E422" s="906">
        <f t="shared" si="51"/>
        <v>2400.4499999999998</v>
      </c>
      <c r="F422" s="129">
        <v>35000</v>
      </c>
      <c r="G422" s="122" t="s">
        <v>1963</v>
      </c>
    </row>
    <row r="423" spans="1:7" x14ac:dyDescent="0.25">
      <c r="A423" s="125">
        <f t="shared" si="49"/>
        <v>383</v>
      </c>
      <c r="B423" s="130"/>
      <c r="C423" s="842" t="s">
        <v>10144</v>
      </c>
      <c r="D423" s="906">
        <v>0</v>
      </c>
      <c r="E423" s="906">
        <f t="shared" si="51"/>
        <v>0</v>
      </c>
      <c r="F423" s="136">
        <v>1000</v>
      </c>
      <c r="G423" s="122" t="s">
        <v>1963</v>
      </c>
    </row>
    <row r="424" spans="1:7" x14ac:dyDescent="0.25">
      <c r="A424" s="125">
        <f t="shared" si="49"/>
        <v>384</v>
      </c>
      <c r="B424" s="130"/>
      <c r="C424" s="927" t="s">
        <v>10132</v>
      </c>
      <c r="D424" s="928"/>
      <c r="E424" s="928"/>
      <c r="F424" s="136"/>
    </row>
    <row r="425" spans="1:7" x14ac:dyDescent="0.25">
      <c r="A425" s="125">
        <f t="shared" si="49"/>
        <v>385</v>
      </c>
      <c r="B425" s="130"/>
      <c r="C425" s="842" t="s">
        <v>10145</v>
      </c>
      <c r="D425" s="906">
        <v>0</v>
      </c>
      <c r="E425" s="906">
        <f t="shared" ref="E425:E431" si="52">D425/8*12</f>
        <v>0</v>
      </c>
      <c r="F425" s="129">
        <v>1000</v>
      </c>
      <c r="G425" s="122" t="s">
        <v>1963</v>
      </c>
    </row>
    <row r="426" spans="1:7" ht="31.5" x14ac:dyDescent="0.25">
      <c r="A426" s="125">
        <f t="shared" si="49"/>
        <v>386</v>
      </c>
      <c r="B426" s="130"/>
      <c r="C426" s="842" t="s">
        <v>10146</v>
      </c>
      <c r="D426" s="906">
        <v>0</v>
      </c>
      <c r="E426" s="906">
        <f t="shared" si="52"/>
        <v>0</v>
      </c>
      <c r="F426" s="129">
        <v>1000</v>
      </c>
      <c r="G426" s="122" t="s">
        <v>1963</v>
      </c>
    </row>
    <row r="427" spans="1:7" x14ac:dyDescent="0.25">
      <c r="A427" s="125">
        <f t="shared" si="49"/>
        <v>387</v>
      </c>
      <c r="B427" s="130"/>
      <c r="C427" s="842" t="s">
        <v>10147</v>
      </c>
      <c r="D427" s="906">
        <v>0</v>
      </c>
      <c r="E427" s="906">
        <f t="shared" si="52"/>
        <v>0</v>
      </c>
      <c r="F427" s="129">
        <v>1000</v>
      </c>
      <c r="G427" s="122" t="s">
        <v>1963</v>
      </c>
    </row>
    <row r="428" spans="1:7" x14ac:dyDescent="0.25">
      <c r="A428" s="125">
        <f t="shared" si="49"/>
        <v>388</v>
      </c>
      <c r="B428" s="130"/>
      <c r="C428" s="842" t="s">
        <v>10148</v>
      </c>
      <c r="D428" s="906">
        <v>0</v>
      </c>
      <c r="E428" s="906">
        <f t="shared" si="52"/>
        <v>0</v>
      </c>
      <c r="F428" s="129">
        <v>1000</v>
      </c>
      <c r="G428" s="122" t="s">
        <v>1963</v>
      </c>
    </row>
    <row r="429" spans="1:7" ht="31.5" x14ac:dyDescent="0.25">
      <c r="A429" s="125">
        <f t="shared" si="49"/>
        <v>389</v>
      </c>
      <c r="B429" s="130"/>
      <c r="C429" s="842" t="s">
        <v>10149</v>
      </c>
      <c r="D429" s="906">
        <v>0</v>
      </c>
      <c r="E429" s="906">
        <f t="shared" si="52"/>
        <v>0</v>
      </c>
      <c r="F429" s="129">
        <v>1000</v>
      </c>
      <c r="G429" s="122" t="s">
        <v>1963</v>
      </c>
    </row>
    <row r="430" spans="1:7" x14ac:dyDescent="0.25">
      <c r="A430" s="125">
        <f t="shared" si="49"/>
        <v>390</v>
      </c>
      <c r="B430" s="130"/>
      <c r="C430" s="842" t="s">
        <v>10150</v>
      </c>
      <c r="D430" s="906">
        <v>0</v>
      </c>
      <c r="E430" s="906">
        <f t="shared" si="52"/>
        <v>0</v>
      </c>
      <c r="F430" s="129">
        <v>5000</v>
      </c>
      <c r="G430" s="122" t="s">
        <v>1963</v>
      </c>
    </row>
    <row r="431" spans="1:7" x14ac:dyDescent="0.25">
      <c r="A431" s="125">
        <f t="shared" si="49"/>
        <v>391</v>
      </c>
      <c r="B431" s="130"/>
      <c r="C431" s="842" t="s">
        <v>10151</v>
      </c>
      <c r="D431" s="906">
        <v>0</v>
      </c>
      <c r="E431" s="906">
        <f t="shared" si="52"/>
        <v>0</v>
      </c>
      <c r="F431" s="136">
        <v>1000</v>
      </c>
      <c r="G431" s="122" t="s">
        <v>1963</v>
      </c>
    </row>
    <row r="432" spans="1:7" x14ac:dyDescent="0.25">
      <c r="A432" s="125">
        <f t="shared" si="49"/>
        <v>392</v>
      </c>
      <c r="B432" s="130"/>
      <c r="C432" s="927" t="s">
        <v>10152</v>
      </c>
      <c r="D432" s="928"/>
      <c r="E432" s="928"/>
      <c r="F432" s="136"/>
    </row>
    <row r="433" spans="1:7" x14ac:dyDescent="0.25">
      <c r="A433" s="125">
        <f t="shared" si="49"/>
        <v>393</v>
      </c>
      <c r="B433" s="130"/>
      <c r="C433" s="842" t="s">
        <v>10153</v>
      </c>
      <c r="D433" s="906">
        <v>0</v>
      </c>
      <c r="E433" s="906">
        <f t="shared" ref="E433:E451" si="53">D433/8*12</f>
        <v>0</v>
      </c>
      <c r="F433" s="129">
        <v>4000</v>
      </c>
      <c r="G433" s="122" t="s">
        <v>1963</v>
      </c>
    </row>
    <row r="434" spans="1:7" x14ac:dyDescent="0.25">
      <c r="A434" s="125">
        <f t="shared" si="49"/>
        <v>394</v>
      </c>
      <c r="B434" s="130"/>
      <c r="C434" s="842" t="s">
        <v>10154</v>
      </c>
      <c r="D434" s="906">
        <v>0</v>
      </c>
      <c r="E434" s="906">
        <f t="shared" si="53"/>
        <v>0</v>
      </c>
      <c r="F434" s="129">
        <v>1000</v>
      </c>
      <c r="G434" s="122" t="s">
        <v>1963</v>
      </c>
    </row>
    <row r="435" spans="1:7" x14ac:dyDescent="0.25">
      <c r="A435" s="125">
        <f t="shared" si="49"/>
        <v>395</v>
      </c>
      <c r="B435" s="130"/>
      <c r="C435" s="842" t="s">
        <v>10155</v>
      </c>
      <c r="D435" s="906">
        <v>0</v>
      </c>
      <c r="E435" s="906">
        <f t="shared" si="53"/>
        <v>0</v>
      </c>
      <c r="F435" s="129">
        <v>3000</v>
      </c>
      <c r="G435" s="122" t="s">
        <v>1963</v>
      </c>
    </row>
    <row r="436" spans="1:7" x14ac:dyDescent="0.25">
      <c r="A436" s="125">
        <f t="shared" si="49"/>
        <v>396</v>
      </c>
      <c r="B436" s="130"/>
      <c r="C436" s="842" t="s">
        <v>10156</v>
      </c>
      <c r="D436" s="906">
        <v>0</v>
      </c>
      <c r="E436" s="906">
        <f t="shared" si="53"/>
        <v>0</v>
      </c>
      <c r="F436" s="129">
        <v>3094.18</v>
      </c>
      <c r="G436" s="122" t="s">
        <v>1963</v>
      </c>
    </row>
    <row r="437" spans="1:7" x14ac:dyDescent="0.25">
      <c r="A437" s="125">
        <f t="shared" si="49"/>
        <v>397</v>
      </c>
      <c r="B437" s="130"/>
      <c r="C437" s="842" t="s">
        <v>10157</v>
      </c>
      <c r="D437" s="906">
        <v>0</v>
      </c>
      <c r="E437" s="906">
        <f t="shared" si="53"/>
        <v>0</v>
      </c>
      <c r="F437" s="129">
        <v>1000</v>
      </c>
      <c r="G437" s="122" t="s">
        <v>1963</v>
      </c>
    </row>
    <row r="438" spans="1:7" ht="31.5" x14ac:dyDescent="0.25">
      <c r="A438" s="125">
        <f t="shared" si="49"/>
        <v>398</v>
      </c>
      <c r="B438" s="130"/>
      <c r="C438" s="842" t="s">
        <v>10167</v>
      </c>
      <c r="D438" s="906">
        <v>0</v>
      </c>
      <c r="E438" s="906">
        <f t="shared" si="53"/>
        <v>0</v>
      </c>
      <c r="F438" s="129">
        <f>(F434+F437+F435)*F83</f>
        <v>1000</v>
      </c>
      <c r="G438" s="122" t="s">
        <v>1963</v>
      </c>
    </row>
    <row r="439" spans="1:7" x14ac:dyDescent="0.25">
      <c r="A439" s="125">
        <f t="shared" si="49"/>
        <v>399</v>
      </c>
      <c r="B439" s="130"/>
      <c r="C439" s="842" t="s">
        <v>10168</v>
      </c>
      <c r="D439" s="906">
        <v>0</v>
      </c>
      <c r="E439" s="906">
        <f t="shared" si="53"/>
        <v>0</v>
      </c>
      <c r="F439" s="129">
        <f>Pasep!F16</f>
        <v>250.08184075868886</v>
      </c>
      <c r="G439" s="122" t="s">
        <v>1963</v>
      </c>
    </row>
    <row r="440" spans="1:7" x14ac:dyDescent="0.25">
      <c r="A440" s="125">
        <f t="shared" si="49"/>
        <v>400</v>
      </c>
      <c r="B440" s="130"/>
      <c r="C440" s="842" t="s">
        <v>10158</v>
      </c>
      <c r="D440" s="906">
        <v>0</v>
      </c>
      <c r="E440" s="906">
        <f t="shared" si="53"/>
        <v>0</v>
      </c>
      <c r="F440" s="129">
        <f>10000-250.08</f>
        <v>9749.92</v>
      </c>
      <c r="G440" s="122" t="s">
        <v>1963</v>
      </c>
    </row>
    <row r="441" spans="1:7" x14ac:dyDescent="0.25">
      <c r="A441" s="125">
        <f t="shared" si="49"/>
        <v>401</v>
      </c>
      <c r="B441" s="130"/>
      <c r="C441" s="842" t="s">
        <v>10159</v>
      </c>
      <c r="D441" s="906">
        <v>0</v>
      </c>
      <c r="E441" s="906">
        <f t="shared" si="53"/>
        <v>0</v>
      </c>
      <c r="F441" s="136">
        <v>2000</v>
      </c>
      <c r="G441" s="122" t="s">
        <v>1963</v>
      </c>
    </row>
    <row r="442" spans="1:7" x14ac:dyDescent="0.25">
      <c r="A442" s="125">
        <f t="shared" si="49"/>
        <v>402</v>
      </c>
      <c r="B442" s="130"/>
      <c r="C442" s="927" t="s">
        <v>10106</v>
      </c>
      <c r="D442" s="906"/>
      <c r="E442" s="906"/>
      <c r="F442" s="136"/>
    </row>
    <row r="443" spans="1:7" x14ac:dyDescent="0.25">
      <c r="A443" s="125">
        <f t="shared" si="49"/>
        <v>403</v>
      </c>
      <c r="B443" s="130"/>
      <c r="C443" s="842" t="s">
        <v>7373</v>
      </c>
      <c r="D443" s="906">
        <v>0</v>
      </c>
      <c r="E443" s="906">
        <f t="shared" si="53"/>
        <v>0</v>
      </c>
      <c r="F443" s="129">
        <v>13000</v>
      </c>
      <c r="G443" s="122" t="s">
        <v>1963</v>
      </c>
    </row>
    <row r="444" spans="1:7" x14ac:dyDescent="0.25">
      <c r="A444" s="125">
        <f t="shared" si="49"/>
        <v>404</v>
      </c>
      <c r="B444" s="130"/>
      <c r="C444" s="842" t="s">
        <v>10160</v>
      </c>
      <c r="D444" s="906">
        <v>0</v>
      </c>
      <c r="E444" s="906">
        <f t="shared" si="53"/>
        <v>0</v>
      </c>
      <c r="F444" s="129">
        <v>1000</v>
      </c>
      <c r="G444" s="122" t="s">
        <v>1963</v>
      </c>
    </row>
    <row r="445" spans="1:7" x14ac:dyDescent="0.25">
      <c r="A445" s="125">
        <f t="shared" si="49"/>
        <v>405</v>
      </c>
      <c r="B445" s="130"/>
      <c r="C445" s="842" t="s">
        <v>7374</v>
      </c>
      <c r="D445" s="906">
        <v>0</v>
      </c>
      <c r="E445" s="906">
        <f t="shared" si="53"/>
        <v>0</v>
      </c>
      <c r="F445" s="129">
        <v>3000</v>
      </c>
      <c r="G445" s="122" t="s">
        <v>1963</v>
      </c>
    </row>
    <row r="446" spans="1:7" x14ac:dyDescent="0.25">
      <c r="A446" s="125">
        <f t="shared" si="49"/>
        <v>406</v>
      </c>
      <c r="B446" s="130"/>
      <c r="C446" s="842" t="s">
        <v>7375</v>
      </c>
      <c r="D446" s="906">
        <v>0</v>
      </c>
      <c r="E446" s="906">
        <f t="shared" si="53"/>
        <v>0</v>
      </c>
      <c r="F446" s="129">
        <v>12304.4</v>
      </c>
      <c r="G446" s="122" t="s">
        <v>1963</v>
      </c>
    </row>
    <row r="447" spans="1:7" x14ac:dyDescent="0.25">
      <c r="A447" s="125">
        <f t="shared" si="49"/>
        <v>407</v>
      </c>
      <c r="B447" s="130"/>
      <c r="C447" s="842" t="s">
        <v>10161</v>
      </c>
      <c r="D447" s="906">
        <v>0</v>
      </c>
      <c r="E447" s="906">
        <f t="shared" si="53"/>
        <v>0</v>
      </c>
      <c r="F447" s="129">
        <v>1000</v>
      </c>
      <c r="G447" s="122" t="s">
        <v>1963</v>
      </c>
    </row>
    <row r="448" spans="1:7" x14ac:dyDescent="0.25">
      <c r="A448" s="125">
        <f t="shared" si="49"/>
        <v>408</v>
      </c>
      <c r="B448" s="130"/>
      <c r="C448" s="842" t="s">
        <v>10166</v>
      </c>
      <c r="D448" s="906">
        <v>0</v>
      </c>
      <c r="E448" s="906">
        <f t="shared" si="53"/>
        <v>0</v>
      </c>
      <c r="F448" s="129">
        <f>(F444+F447+F445)*F83</f>
        <v>1000</v>
      </c>
      <c r="G448" s="122" t="s">
        <v>1963</v>
      </c>
    </row>
    <row r="449" spans="1:9" x14ac:dyDescent="0.25">
      <c r="A449" s="125">
        <f t="shared" si="49"/>
        <v>409</v>
      </c>
      <c r="B449" s="130"/>
      <c r="C449" s="842" t="s">
        <v>10165</v>
      </c>
      <c r="D449" s="906">
        <v>0</v>
      </c>
      <c r="E449" s="906">
        <f t="shared" si="53"/>
        <v>0</v>
      </c>
      <c r="F449" s="129">
        <f>Pasep!F12</f>
        <v>987.5999961723428</v>
      </c>
      <c r="G449" s="122" t="s">
        <v>1963</v>
      </c>
    </row>
    <row r="450" spans="1:9" x14ac:dyDescent="0.25">
      <c r="A450" s="125">
        <f t="shared" si="49"/>
        <v>410</v>
      </c>
      <c r="B450" s="130"/>
      <c r="C450" s="842" t="s">
        <v>7377</v>
      </c>
      <c r="D450" s="906">
        <v>0</v>
      </c>
      <c r="E450" s="906">
        <f t="shared" si="53"/>
        <v>0</v>
      </c>
      <c r="F450" s="129">
        <f>20000-97.6-890</f>
        <v>19012.400000000001</v>
      </c>
      <c r="G450" s="122" t="s">
        <v>1963</v>
      </c>
    </row>
    <row r="451" spans="1:9" x14ac:dyDescent="0.25">
      <c r="A451" s="125">
        <f t="shared" si="49"/>
        <v>411</v>
      </c>
      <c r="B451" s="130"/>
      <c r="C451" s="842" t="s">
        <v>7378</v>
      </c>
      <c r="D451" s="906">
        <v>0</v>
      </c>
      <c r="E451" s="906">
        <f t="shared" si="53"/>
        <v>0</v>
      </c>
      <c r="F451" s="136">
        <v>3000</v>
      </c>
      <c r="G451" s="122" t="s">
        <v>1963</v>
      </c>
    </row>
    <row r="452" spans="1:9" x14ac:dyDescent="0.25">
      <c r="A452" s="125">
        <f t="shared" si="49"/>
        <v>412</v>
      </c>
      <c r="B452" s="130"/>
      <c r="C452" s="643" t="s">
        <v>10164</v>
      </c>
      <c r="D452" s="913"/>
      <c r="E452" s="913"/>
      <c r="F452" s="136"/>
    </row>
    <row r="453" spans="1:9" x14ac:dyDescent="0.25">
      <c r="A453" s="125">
        <f t="shared" si="49"/>
        <v>413</v>
      </c>
      <c r="B453" s="130"/>
      <c r="C453" s="842" t="s">
        <v>7379</v>
      </c>
      <c r="D453" s="906">
        <v>0</v>
      </c>
      <c r="E453" s="906">
        <f t="shared" ref="E453:E459" si="54">D453/8*12</f>
        <v>0</v>
      </c>
      <c r="F453" s="129">
        <v>10279.49</v>
      </c>
      <c r="G453" s="122" t="s">
        <v>1963</v>
      </c>
    </row>
    <row r="454" spans="1:9" x14ac:dyDescent="0.25">
      <c r="A454" s="125">
        <f t="shared" si="49"/>
        <v>414</v>
      </c>
      <c r="B454" s="130"/>
      <c r="C454" s="842" t="s">
        <v>10162</v>
      </c>
      <c r="D454" s="906">
        <v>0</v>
      </c>
      <c r="E454" s="906">
        <f t="shared" si="54"/>
        <v>0</v>
      </c>
      <c r="F454" s="129">
        <v>1000</v>
      </c>
      <c r="G454" s="122" t="s">
        <v>1963</v>
      </c>
    </row>
    <row r="455" spans="1:9" x14ac:dyDescent="0.25">
      <c r="A455" s="125">
        <f t="shared" si="49"/>
        <v>415</v>
      </c>
      <c r="B455" s="130"/>
      <c r="C455" s="842" t="s">
        <v>7380</v>
      </c>
      <c r="D455" s="906">
        <v>0</v>
      </c>
      <c r="E455" s="906">
        <f t="shared" si="54"/>
        <v>0</v>
      </c>
      <c r="F455" s="129">
        <v>3000</v>
      </c>
      <c r="G455" s="122" t="s">
        <v>1963</v>
      </c>
    </row>
    <row r="456" spans="1:9" x14ac:dyDescent="0.25">
      <c r="A456" s="125">
        <f t="shared" si="49"/>
        <v>416</v>
      </c>
      <c r="B456" s="130"/>
      <c r="C456" s="842" t="s">
        <v>7381</v>
      </c>
      <c r="D456" s="906">
        <v>0</v>
      </c>
      <c r="E456" s="906">
        <f t="shared" si="54"/>
        <v>0</v>
      </c>
      <c r="F456" s="129">
        <v>16000</v>
      </c>
      <c r="G456" s="122" t="s">
        <v>1963</v>
      </c>
    </row>
    <row r="457" spans="1:9" x14ac:dyDescent="0.25">
      <c r="A457" s="125">
        <f t="shared" si="49"/>
        <v>417</v>
      </c>
      <c r="B457" s="130"/>
      <c r="C457" s="842" t="s">
        <v>10163</v>
      </c>
      <c r="D457" s="906">
        <v>0</v>
      </c>
      <c r="E457" s="906">
        <f t="shared" si="54"/>
        <v>0</v>
      </c>
      <c r="F457" s="129">
        <v>1000</v>
      </c>
      <c r="G457" s="122" t="s">
        <v>1963</v>
      </c>
    </row>
    <row r="458" spans="1:9" x14ac:dyDescent="0.25">
      <c r="A458" s="125">
        <f t="shared" si="49"/>
        <v>418</v>
      </c>
      <c r="B458" s="130"/>
      <c r="C458" s="842" t="s">
        <v>7382</v>
      </c>
      <c r="D458" s="906">
        <v>0</v>
      </c>
      <c r="E458" s="906">
        <f t="shared" si="54"/>
        <v>0</v>
      </c>
      <c r="F458" s="129">
        <f>(F454+F457+F455)*F83</f>
        <v>1000</v>
      </c>
      <c r="G458" s="122" t="s">
        <v>1963</v>
      </c>
    </row>
    <row r="459" spans="1:9" x14ac:dyDescent="0.25">
      <c r="A459" s="125">
        <f t="shared" si="49"/>
        <v>419</v>
      </c>
      <c r="B459" s="130"/>
      <c r="C459" s="842" t="s">
        <v>7383</v>
      </c>
      <c r="D459" s="906">
        <v>0</v>
      </c>
      <c r="E459" s="906">
        <f t="shared" si="54"/>
        <v>0</v>
      </c>
      <c r="F459" s="129">
        <v>1000</v>
      </c>
      <c r="G459" s="122" t="s">
        <v>1963</v>
      </c>
    </row>
    <row r="460" spans="1:9" x14ac:dyDescent="0.25">
      <c r="A460" s="125">
        <f t="shared" si="49"/>
        <v>420</v>
      </c>
      <c r="B460" s="130"/>
      <c r="C460" s="130"/>
      <c r="D460" s="908"/>
      <c r="E460" s="908"/>
      <c r="F460" s="136"/>
    </row>
    <row r="461" spans="1:9" x14ac:dyDescent="0.25">
      <c r="A461" s="125">
        <f t="shared" si="49"/>
        <v>421</v>
      </c>
      <c r="B461" s="130"/>
      <c r="C461" s="1371" t="s">
        <v>6887</v>
      </c>
      <c r="D461" s="1371"/>
      <c r="E461" s="1371"/>
      <c r="F461" s="1371"/>
      <c r="G461" s="1371"/>
      <c r="H461" s="1371"/>
      <c r="I461" s="1371"/>
    </row>
    <row r="462" spans="1:9" x14ac:dyDescent="0.25">
      <c r="A462" s="125">
        <f t="shared" si="49"/>
        <v>422</v>
      </c>
      <c r="B462" s="130"/>
      <c r="C462" s="1371" t="s">
        <v>7409</v>
      </c>
      <c r="D462" s="1371"/>
      <c r="E462" s="1371"/>
      <c r="F462" s="1371"/>
      <c r="G462" s="1371"/>
      <c r="H462" s="1371"/>
      <c r="I462" s="1371"/>
    </row>
    <row r="463" spans="1:9" x14ac:dyDescent="0.25">
      <c r="A463" s="125">
        <f t="shared" si="49"/>
        <v>423</v>
      </c>
      <c r="B463" s="130"/>
      <c r="C463" s="231" t="s">
        <v>10005</v>
      </c>
      <c r="D463" s="916"/>
      <c r="E463" s="916"/>
      <c r="F463" s="885"/>
    </row>
    <row r="464" spans="1:9" x14ac:dyDescent="0.25">
      <c r="A464" s="125">
        <f t="shared" si="49"/>
        <v>424</v>
      </c>
      <c r="B464" s="130"/>
      <c r="C464" s="842" t="s">
        <v>11537</v>
      </c>
      <c r="D464" s="906">
        <v>0</v>
      </c>
      <c r="E464" s="906">
        <f t="shared" ref="E464" si="55">D464/8*12</f>
        <v>0</v>
      </c>
      <c r="F464" s="136">
        <v>0</v>
      </c>
      <c r="G464" s="122" t="s">
        <v>1963</v>
      </c>
    </row>
    <row r="465" spans="1:7" x14ac:dyDescent="0.25">
      <c r="A465" s="125">
        <f t="shared" si="49"/>
        <v>425</v>
      </c>
      <c r="B465" s="130"/>
      <c r="C465" s="133" t="s">
        <v>1953</v>
      </c>
      <c r="D465" s="906">
        <v>0</v>
      </c>
      <c r="E465" s="906">
        <f t="shared" ref="E465:E478" si="56">D465/8*12</f>
        <v>0</v>
      </c>
      <c r="F465" s="129">
        <v>500</v>
      </c>
      <c r="G465" s="122" t="s">
        <v>1963</v>
      </c>
    </row>
    <row r="466" spans="1:7" x14ac:dyDescent="0.25">
      <c r="A466" s="125">
        <f t="shared" si="49"/>
        <v>426</v>
      </c>
      <c r="B466" s="130"/>
      <c r="C466" s="133" t="s">
        <v>10009</v>
      </c>
      <c r="D466" s="906">
        <v>0</v>
      </c>
      <c r="E466" s="906">
        <f t="shared" si="56"/>
        <v>0</v>
      </c>
      <c r="F466" s="129">
        <v>500</v>
      </c>
      <c r="G466" s="122" t="s">
        <v>1963</v>
      </c>
    </row>
    <row r="467" spans="1:7" x14ac:dyDescent="0.25">
      <c r="A467" s="125">
        <f t="shared" si="49"/>
        <v>427</v>
      </c>
      <c r="B467" s="130"/>
      <c r="C467" s="133" t="s">
        <v>10006</v>
      </c>
      <c r="D467" s="906">
        <v>0</v>
      </c>
      <c r="E467" s="906">
        <f t="shared" si="56"/>
        <v>0</v>
      </c>
      <c r="F467" s="129">
        <v>500</v>
      </c>
      <c r="G467" s="122" t="s">
        <v>1963</v>
      </c>
    </row>
    <row r="468" spans="1:7" x14ac:dyDescent="0.25">
      <c r="A468" s="125">
        <f t="shared" si="49"/>
        <v>428</v>
      </c>
      <c r="B468" s="130"/>
      <c r="C468" s="133" t="s">
        <v>10007</v>
      </c>
      <c r="D468" s="906">
        <v>250</v>
      </c>
      <c r="E468" s="906">
        <f t="shared" si="56"/>
        <v>375</v>
      </c>
      <c r="F468" s="129">
        <v>500</v>
      </c>
      <c r="G468" s="122" t="s">
        <v>1963</v>
      </c>
    </row>
    <row r="469" spans="1:7" x14ac:dyDescent="0.25">
      <c r="A469" s="125">
        <f t="shared" si="49"/>
        <v>429</v>
      </c>
      <c r="B469" s="130"/>
      <c r="C469" s="133" t="s">
        <v>10008</v>
      </c>
      <c r="D469" s="906">
        <v>0</v>
      </c>
      <c r="E469" s="906">
        <f t="shared" si="56"/>
        <v>0</v>
      </c>
      <c r="F469" s="129">
        <v>500</v>
      </c>
      <c r="G469" s="122" t="s">
        <v>1963</v>
      </c>
    </row>
    <row r="470" spans="1:7" x14ac:dyDescent="0.25">
      <c r="A470" s="125">
        <f t="shared" si="49"/>
        <v>430</v>
      </c>
      <c r="B470" s="130"/>
      <c r="C470" s="134" t="s">
        <v>455</v>
      </c>
      <c r="D470" s="906">
        <v>1200</v>
      </c>
      <c r="E470" s="906">
        <f t="shared" si="56"/>
        <v>1800</v>
      </c>
      <c r="F470" s="129">
        <v>5000</v>
      </c>
      <c r="G470" s="122" t="s">
        <v>1963</v>
      </c>
    </row>
    <row r="471" spans="1:7" x14ac:dyDescent="0.25">
      <c r="A471" s="125">
        <f t="shared" si="49"/>
        <v>431</v>
      </c>
      <c r="B471" s="130"/>
      <c r="C471" s="232" t="s">
        <v>9994</v>
      </c>
      <c r="D471" s="906"/>
      <c r="E471" s="906"/>
      <c r="F471" s="129"/>
    </row>
    <row r="472" spans="1:7" x14ac:dyDescent="0.25">
      <c r="A472" s="125">
        <f t="shared" si="49"/>
        <v>432</v>
      </c>
      <c r="B472" s="130"/>
      <c r="C472" s="842" t="s">
        <v>11537</v>
      </c>
      <c r="D472" s="906">
        <v>0</v>
      </c>
      <c r="E472" s="906">
        <f t="shared" ref="E472" si="57">D472/8*12</f>
        <v>0</v>
      </c>
      <c r="F472" s="136">
        <v>0</v>
      </c>
      <c r="G472" s="122" t="s">
        <v>1963</v>
      </c>
    </row>
    <row r="473" spans="1:7" x14ac:dyDescent="0.25">
      <c r="A473" s="125">
        <f t="shared" si="49"/>
        <v>433</v>
      </c>
      <c r="B473" s="130"/>
      <c r="C473" s="133" t="s">
        <v>1953</v>
      </c>
      <c r="D473" s="906">
        <v>0</v>
      </c>
      <c r="E473" s="906">
        <f t="shared" si="56"/>
        <v>0</v>
      </c>
      <c r="F473" s="129">
        <v>1000</v>
      </c>
      <c r="G473" s="122" t="s">
        <v>1963</v>
      </c>
    </row>
    <row r="474" spans="1:7" x14ac:dyDescent="0.25">
      <c r="A474" s="125">
        <f t="shared" si="49"/>
        <v>434</v>
      </c>
      <c r="B474" s="130"/>
      <c r="C474" s="133" t="s">
        <v>10009</v>
      </c>
      <c r="D474" s="906">
        <v>0</v>
      </c>
      <c r="E474" s="906">
        <f t="shared" si="56"/>
        <v>0</v>
      </c>
      <c r="F474" s="129">
        <v>1000</v>
      </c>
      <c r="G474" s="122" t="s">
        <v>1963</v>
      </c>
    </row>
    <row r="475" spans="1:7" x14ac:dyDescent="0.25">
      <c r="A475" s="125">
        <f t="shared" si="49"/>
        <v>435</v>
      </c>
      <c r="B475" s="130"/>
      <c r="C475" s="133" t="s">
        <v>10006</v>
      </c>
      <c r="D475" s="906">
        <v>0</v>
      </c>
      <c r="E475" s="906">
        <f t="shared" si="56"/>
        <v>0</v>
      </c>
      <c r="F475" s="129">
        <v>1000</v>
      </c>
      <c r="G475" s="122" t="s">
        <v>1963</v>
      </c>
    </row>
    <row r="476" spans="1:7" x14ac:dyDescent="0.25">
      <c r="A476" s="125">
        <f t="shared" si="49"/>
        <v>436</v>
      </c>
      <c r="B476" s="130"/>
      <c r="C476" s="133" t="s">
        <v>10007</v>
      </c>
      <c r="D476" s="906">
        <v>0</v>
      </c>
      <c r="E476" s="906">
        <f t="shared" si="56"/>
        <v>0</v>
      </c>
      <c r="F476" s="129">
        <v>1000</v>
      </c>
      <c r="G476" s="122" t="s">
        <v>1963</v>
      </c>
    </row>
    <row r="477" spans="1:7" x14ac:dyDescent="0.25">
      <c r="A477" s="125">
        <f t="shared" si="49"/>
        <v>437</v>
      </c>
      <c r="B477" s="130"/>
      <c r="C477" s="133" t="s">
        <v>10008</v>
      </c>
      <c r="D477" s="906">
        <v>0</v>
      </c>
      <c r="E477" s="906">
        <f t="shared" si="56"/>
        <v>0</v>
      </c>
      <c r="F477" s="129">
        <v>1000</v>
      </c>
      <c r="G477" s="122" t="s">
        <v>1963</v>
      </c>
    </row>
    <row r="478" spans="1:7" x14ac:dyDescent="0.25">
      <c r="A478" s="125">
        <f t="shared" ref="A478:A541" si="58">A477+1</f>
        <v>438</v>
      </c>
      <c r="B478" s="130"/>
      <c r="C478" s="134" t="s">
        <v>10043</v>
      </c>
      <c r="D478" s="906">
        <v>0</v>
      </c>
      <c r="E478" s="906">
        <f t="shared" si="56"/>
        <v>0</v>
      </c>
      <c r="F478" s="129">
        <v>60000</v>
      </c>
      <c r="G478" s="122" t="s">
        <v>1963</v>
      </c>
    </row>
    <row r="479" spans="1:7" x14ac:dyDescent="0.25">
      <c r="A479" s="125">
        <f t="shared" si="58"/>
        <v>439</v>
      </c>
      <c r="B479" s="130"/>
      <c r="C479" s="232" t="s">
        <v>10044</v>
      </c>
      <c r="D479" s="906"/>
      <c r="E479" s="906"/>
      <c r="F479" s="129"/>
    </row>
    <row r="480" spans="1:7" x14ac:dyDescent="0.25">
      <c r="A480" s="125">
        <f t="shared" si="58"/>
        <v>440</v>
      </c>
      <c r="B480" s="130"/>
      <c r="C480" s="842" t="s">
        <v>11537</v>
      </c>
      <c r="D480" s="906">
        <v>0</v>
      </c>
      <c r="E480" s="906">
        <f t="shared" ref="E480" si="59">D480/8*12</f>
        <v>0</v>
      </c>
      <c r="F480" s="136">
        <v>0</v>
      </c>
      <c r="G480" s="122" t="s">
        <v>1963</v>
      </c>
    </row>
    <row r="481" spans="1:7" x14ac:dyDescent="0.25">
      <c r="A481" s="125">
        <f t="shared" si="58"/>
        <v>441</v>
      </c>
      <c r="B481" s="130"/>
      <c r="C481" s="842" t="s">
        <v>10021</v>
      </c>
      <c r="D481" s="906">
        <v>0</v>
      </c>
      <c r="E481" s="906">
        <f t="shared" ref="E481:E485" si="60">D481/8*12</f>
        <v>0</v>
      </c>
      <c r="F481" s="129">
        <v>1000</v>
      </c>
      <c r="G481" s="122" t="s">
        <v>1963</v>
      </c>
    </row>
    <row r="482" spans="1:7" x14ac:dyDescent="0.25">
      <c r="A482" s="125">
        <f t="shared" si="58"/>
        <v>442</v>
      </c>
      <c r="B482" s="130"/>
      <c r="C482" s="842" t="s">
        <v>10025</v>
      </c>
      <c r="D482" s="906">
        <v>0</v>
      </c>
      <c r="E482" s="906">
        <f t="shared" si="60"/>
        <v>0</v>
      </c>
      <c r="F482" s="129">
        <v>1000</v>
      </c>
      <c r="G482" s="122" t="s">
        <v>1963</v>
      </c>
    </row>
    <row r="483" spans="1:7" x14ac:dyDescent="0.25">
      <c r="A483" s="125">
        <f t="shared" si="58"/>
        <v>443</v>
      </c>
      <c r="B483" s="130"/>
      <c r="C483" s="842" t="s">
        <v>10022</v>
      </c>
      <c r="D483" s="906">
        <v>0</v>
      </c>
      <c r="E483" s="906">
        <f t="shared" si="60"/>
        <v>0</v>
      </c>
      <c r="F483" s="129">
        <v>1000</v>
      </c>
      <c r="G483" s="122" t="s">
        <v>1963</v>
      </c>
    </row>
    <row r="484" spans="1:7" x14ac:dyDescent="0.25">
      <c r="A484" s="125">
        <f t="shared" si="58"/>
        <v>444</v>
      </c>
      <c r="B484" s="130"/>
      <c r="C484" s="842" t="s">
        <v>10023</v>
      </c>
      <c r="D484" s="906">
        <v>0</v>
      </c>
      <c r="E484" s="906">
        <f t="shared" si="60"/>
        <v>0</v>
      </c>
      <c r="F484" s="129">
        <v>1000</v>
      </c>
      <c r="G484" s="122" t="s">
        <v>1963</v>
      </c>
    </row>
    <row r="485" spans="1:7" x14ac:dyDescent="0.25">
      <c r="A485" s="125">
        <f t="shared" si="58"/>
        <v>445</v>
      </c>
      <c r="B485" s="130"/>
      <c r="C485" s="842" t="s">
        <v>10026</v>
      </c>
      <c r="D485" s="906">
        <v>0</v>
      </c>
      <c r="E485" s="906">
        <f t="shared" si="60"/>
        <v>0</v>
      </c>
      <c r="F485" s="129">
        <v>1000</v>
      </c>
      <c r="G485" s="122" t="s">
        <v>1963</v>
      </c>
    </row>
    <row r="486" spans="1:7" x14ac:dyDescent="0.25">
      <c r="A486" s="125">
        <f t="shared" si="58"/>
        <v>446</v>
      </c>
      <c r="B486" s="130"/>
      <c r="C486" s="842" t="s">
        <v>10024</v>
      </c>
      <c r="D486" s="924"/>
      <c r="E486" s="924"/>
      <c r="F486" s="129">
        <v>8000</v>
      </c>
      <c r="G486" s="122" t="s">
        <v>1963</v>
      </c>
    </row>
    <row r="487" spans="1:7" x14ac:dyDescent="0.25">
      <c r="A487" s="125">
        <f t="shared" si="58"/>
        <v>447</v>
      </c>
      <c r="B487" s="130"/>
      <c r="C487" s="643" t="s">
        <v>10027</v>
      </c>
      <c r="D487" s="913"/>
      <c r="E487" s="913"/>
      <c r="F487" s="136"/>
    </row>
    <row r="488" spans="1:7" x14ac:dyDescent="0.25">
      <c r="A488" s="125">
        <f t="shared" si="58"/>
        <v>448</v>
      </c>
      <c r="B488" s="130"/>
      <c r="C488" s="134" t="s">
        <v>136</v>
      </c>
      <c r="D488" s="906">
        <v>20056.27</v>
      </c>
      <c r="E488" s="906">
        <f>D488/8*13.33</f>
        <v>33418.759887500004</v>
      </c>
      <c r="F488" s="136">
        <f>E488/13.3</f>
        <v>2512.6887133458649</v>
      </c>
      <c r="G488" s="122" t="s">
        <v>1963</v>
      </c>
    </row>
    <row r="489" spans="1:7" x14ac:dyDescent="0.25">
      <c r="A489" s="125">
        <f t="shared" si="58"/>
        <v>449</v>
      </c>
      <c r="B489" s="130"/>
      <c r="C489" s="842" t="s">
        <v>11529</v>
      </c>
      <c r="D489" s="924">
        <f>11640.48+3718.4+51200.05</f>
        <v>66558.930000000008</v>
      </c>
      <c r="E489" s="906">
        <f>D489/8*13.33</f>
        <v>110903.81711250001</v>
      </c>
      <c r="F489" s="129">
        <f>E489/13.33</f>
        <v>8319.8662500000009</v>
      </c>
      <c r="G489" s="122" t="s">
        <v>1963</v>
      </c>
    </row>
    <row r="490" spans="1:7" x14ac:dyDescent="0.25">
      <c r="A490" s="125">
        <f t="shared" si="58"/>
        <v>450</v>
      </c>
      <c r="B490" s="130"/>
      <c r="C490" s="134" t="s">
        <v>10028</v>
      </c>
      <c r="D490" s="906">
        <v>0</v>
      </c>
      <c r="E490" s="906">
        <f t="shared" ref="E490" si="61">D490/8*12</f>
        <v>0</v>
      </c>
      <c r="F490" s="129">
        <v>1</v>
      </c>
      <c r="G490" s="122" t="s">
        <v>1963</v>
      </c>
    </row>
    <row r="491" spans="1:7" x14ac:dyDescent="0.25">
      <c r="A491" s="125">
        <f t="shared" si="58"/>
        <v>451</v>
      </c>
      <c r="B491" s="130"/>
      <c r="C491" s="927" t="s">
        <v>11532</v>
      </c>
      <c r="D491" s="924">
        <v>50561.15</v>
      </c>
      <c r="E491" s="906">
        <f>D491/8*13</f>
        <v>82161.868750000009</v>
      </c>
      <c r="F491" s="129">
        <f>E491/12</f>
        <v>6846.8223958333338</v>
      </c>
      <c r="G491" s="122" t="s">
        <v>1963</v>
      </c>
    </row>
    <row r="492" spans="1:7" x14ac:dyDescent="0.25">
      <c r="A492" s="125">
        <f t="shared" si="58"/>
        <v>452</v>
      </c>
      <c r="B492" s="130"/>
      <c r="C492" s="133" t="s">
        <v>125</v>
      </c>
      <c r="D492" s="952">
        <f>484</f>
        <v>484</v>
      </c>
      <c r="E492" s="906">
        <f>D492/8*12</f>
        <v>726</v>
      </c>
      <c r="F492" s="136">
        <v>500</v>
      </c>
      <c r="G492" s="122" t="s">
        <v>1963</v>
      </c>
    </row>
    <row r="493" spans="1:7" x14ac:dyDescent="0.25">
      <c r="A493" s="125">
        <f t="shared" si="58"/>
        <v>453</v>
      </c>
      <c r="B493" s="130"/>
      <c r="C493" s="842" t="s">
        <v>10052</v>
      </c>
      <c r="D493" s="924">
        <v>5494.28</v>
      </c>
      <c r="E493" s="906">
        <f>D493/8*13.33</f>
        <v>9154.8440499999997</v>
      </c>
      <c r="F493" s="129">
        <f>E493</f>
        <v>9154.8440499999997</v>
      </c>
      <c r="G493" s="122" t="s">
        <v>1963</v>
      </c>
    </row>
    <row r="494" spans="1:7" x14ac:dyDescent="0.25">
      <c r="A494" s="125">
        <f t="shared" si="58"/>
        <v>454</v>
      </c>
      <c r="B494" s="130"/>
      <c r="C494" s="842" t="s">
        <v>10051</v>
      </c>
      <c r="D494" s="906">
        <v>0</v>
      </c>
      <c r="E494" s="906">
        <f t="shared" ref="E494:E496" si="62">D494/8*12</f>
        <v>0</v>
      </c>
      <c r="F494" s="129">
        <v>2000</v>
      </c>
      <c r="G494" s="122" t="s">
        <v>1963</v>
      </c>
    </row>
    <row r="495" spans="1:7" x14ac:dyDescent="0.25">
      <c r="A495" s="125">
        <f t="shared" si="58"/>
        <v>455</v>
      </c>
      <c r="B495" s="130"/>
      <c r="C495" s="842" t="s">
        <v>10045</v>
      </c>
      <c r="D495" s="906">
        <v>0</v>
      </c>
      <c r="E495" s="906">
        <f t="shared" si="62"/>
        <v>0</v>
      </c>
      <c r="F495" s="129">
        <v>2000</v>
      </c>
      <c r="G495" s="122" t="s">
        <v>1963</v>
      </c>
    </row>
    <row r="496" spans="1:7" x14ac:dyDescent="0.25">
      <c r="A496" s="125">
        <f t="shared" si="58"/>
        <v>456</v>
      </c>
      <c r="B496" s="130"/>
      <c r="C496" s="842" t="s">
        <v>10046</v>
      </c>
      <c r="D496" s="906">
        <v>0</v>
      </c>
      <c r="E496" s="906">
        <f t="shared" si="62"/>
        <v>0</v>
      </c>
      <c r="F496" s="129">
        <v>2000</v>
      </c>
      <c r="G496" s="122" t="s">
        <v>1963</v>
      </c>
    </row>
    <row r="497" spans="1:7" x14ac:dyDescent="0.25">
      <c r="A497" s="125">
        <f t="shared" si="58"/>
        <v>457</v>
      </c>
      <c r="B497" s="130"/>
      <c r="C497" s="842" t="s">
        <v>10050</v>
      </c>
      <c r="D497" s="906">
        <v>0</v>
      </c>
      <c r="E497" s="906">
        <f t="shared" ref="E497:E498" si="63">D497/8*12</f>
        <v>0</v>
      </c>
      <c r="F497" s="129">
        <v>5000</v>
      </c>
      <c r="G497" s="122" t="s">
        <v>1963</v>
      </c>
    </row>
    <row r="498" spans="1:7" x14ac:dyDescent="0.25">
      <c r="A498" s="125">
        <f t="shared" si="58"/>
        <v>458</v>
      </c>
      <c r="B498" s="130"/>
      <c r="C498" s="842" t="s">
        <v>10047</v>
      </c>
      <c r="D498" s="906">
        <v>7458.22</v>
      </c>
      <c r="E498" s="906">
        <f t="shared" si="63"/>
        <v>11187.33</v>
      </c>
      <c r="F498" s="129">
        <f>E498</f>
        <v>11187.33</v>
      </c>
      <c r="G498" s="122" t="s">
        <v>1963</v>
      </c>
    </row>
    <row r="499" spans="1:7" x14ac:dyDescent="0.25">
      <c r="A499" s="125">
        <f t="shared" si="58"/>
        <v>459</v>
      </c>
      <c r="B499" s="130"/>
      <c r="C499" s="842" t="s">
        <v>10048</v>
      </c>
      <c r="D499" s="906">
        <f>6687.13-1918.75</f>
        <v>4768.38</v>
      </c>
      <c r="E499" s="906">
        <f t="shared" ref="E499:E502" si="64">D499/8*12</f>
        <v>7152.57</v>
      </c>
      <c r="F499" s="129">
        <f>E499</f>
        <v>7152.57</v>
      </c>
      <c r="G499" s="122" t="s">
        <v>1963</v>
      </c>
    </row>
    <row r="500" spans="1:7" x14ac:dyDescent="0.25">
      <c r="A500" s="125">
        <f t="shared" si="58"/>
        <v>460</v>
      </c>
      <c r="B500" s="130"/>
      <c r="C500" s="842" t="s">
        <v>10049</v>
      </c>
      <c r="D500" s="924">
        <v>0</v>
      </c>
      <c r="E500" s="924">
        <f t="shared" si="64"/>
        <v>0</v>
      </c>
      <c r="F500" s="129">
        <v>3000</v>
      </c>
      <c r="G500" s="122" t="s">
        <v>1963</v>
      </c>
    </row>
    <row r="501" spans="1:7" x14ac:dyDescent="0.25">
      <c r="A501" s="125">
        <f t="shared" si="58"/>
        <v>461</v>
      </c>
      <c r="B501" s="130"/>
      <c r="C501" s="842" t="s">
        <v>10218</v>
      </c>
      <c r="D501" s="924">
        <v>1918.75</v>
      </c>
      <c r="E501" s="924">
        <f t="shared" si="64"/>
        <v>2878.125</v>
      </c>
      <c r="F501" s="129">
        <f>500*13.33</f>
        <v>6665</v>
      </c>
      <c r="G501" s="122" t="s">
        <v>1963</v>
      </c>
    </row>
    <row r="502" spans="1:7" x14ac:dyDescent="0.25">
      <c r="A502" s="125">
        <f t="shared" si="58"/>
        <v>462</v>
      </c>
      <c r="B502" s="130"/>
      <c r="C502" s="842" t="s">
        <v>11537</v>
      </c>
      <c r="D502" s="906">
        <v>9.4</v>
      </c>
      <c r="E502" s="906">
        <f t="shared" si="64"/>
        <v>14.100000000000001</v>
      </c>
      <c r="F502" s="136">
        <v>0</v>
      </c>
      <c r="G502" s="122" t="s">
        <v>1963</v>
      </c>
    </row>
    <row r="503" spans="1:7" x14ac:dyDescent="0.25">
      <c r="A503" s="125">
        <f t="shared" si="58"/>
        <v>463</v>
      </c>
      <c r="B503" s="130"/>
      <c r="C503" s="842" t="s">
        <v>121</v>
      </c>
      <c r="D503" s="924">
        <v>2731.04</v>
      </c>
      <c r="E503" s="906">
        <f>D503/8*12</f>
        <v>4096.5599999999995</v>
      </c>
      <c r="F503" s="129">
        <f>E503/12</f>
        <v>341.37999999999994</v>
      </c>
      <c r="G503" s="122" t="s">
        <v>1963</v>
      </c>
    </row>
    <row r="504" spans="1:7" x14ac:dyDescent="0.25">
      <c r="A504" s="125">
        <f t="shared" si="58"/>
        <v>464</v>
      </c>
      <c r="B504" s="130"/>
      <c r="C504" s="130" t="s">
        <v>137</v>
      </c>
      <c r="D504" s="924">
        <v>77.28</v>
      </c>
      <c r="E504" s="924">
        <f t="shared" ref="E504:E505" si="65">D504/8*12</f>
        <v>115.92</v>
      </c>
      <c r="F504" s="136">
        <v>2000</v>
      </c>
      <c r="G504" s="122" t="s">
        <v>1963</v>
      </c>
    </row>
    <row r="505" spans="1:7" x14ac:dyDescent="0.25">
      <c r="A505" s="125">
        <f t="shared" si="58"/>
        <v>465</v>
      </c>
      <c r="B505" s="130"/>
      <c r="C505" s="130" t="s">
        <v>10031</v>
      </c>
      <c r="D505" s="924">
        <v>883.54</v>
      </c>
      <c r="E505" s="924">
        <f t="shared" si="65"/>
        <v>1325.31</v>
      </c>
      <c r="F505" s="136">
        <v>2000</v>
      </c>
      <c r="G505" s="122" t="s">
        <v>1963</v>
      </c>
    </row>
    <row r="506" spans="1:7" x14ac:dyDescent="0.25">
      <c r="A506" s="125">
        <f t="shared" si="58"/>
        <v>466</v>
      </c>
      <c r="B506" s="130"/>
      <c r="C506" s="927" t="s">
        <v>10033</v>
      </c>
      <c r="D506" s="928"/>
      <c r="E506" s="928"/>
      <c r="F506" s="129"/>
    </row>
    <row r="507" spans="1:7" x14ac:dyDescent="0.25">
      <c r="A507" s="125">
        <f t="shared" si="58"/>
        <v>467</v>
      </c>
      <c r="B507" s="130"/>
      <c r="C507" s="842" t="s">
        <v>11537</v>
      </c>
      <c r="D507" s="906">
        <v>0</v>
      </c>
      <c r="E507" s="906">
        <f t="shared" ref="E507" si="66">D507/8*12</f>
        <v>0</v>
      </c>
      <c r="F507" s="136">
        <v>0</v>
      </c>
      <c r="G507" s="122" t="s">
        <v>1963</v>
      </c>
    </row>
    <row r="508" spans="1:7" x14ac:dyDescent="0.25">
      <c r="A508" s="125">
        <f t="shared" si="58"/>
        <v>468</v>
      </c>
      <c r="B508" s="130"/>
      <c r="C508" s="842" t="s">
        <v>10021</v>
      </c>
      <c r="D508" s="906">
        <v>0</v>
      </c>
      <c r="E508" s="906">
        <f t="shared" ref="E508:E513" si="67">D508/8*12</f>
        <v>0</v>
      </c>
      <c r="F508" s="129">
        <v>1000</v>
      </c>
      <c r="G508" s="122" t="s">
        <v>1963</v>
      </c>
    </row>
    <row r="509" spans="1:7" x14ac:dyDescent="0.25">
      <c r="A509" s="125">
        <f t="shared" si="58"/>
        <v>469</v>
      </c>
      <c r="B509" s="130"/>
      <c r="C509" s="842" t="s">
        <v>10025</v>
      </c>
      <c r="D509" s="906">
        <v>0</v>
      </c>
      <c r="E509" s="906">
        <f t="shared" si="67"/>
        <v>0</v>
      </c>
      <c r="F509" s="129">
        <v>1000</v>
      </c>
      <c r="G509" s="122" t="s">
        <v>1963</v>
      </c>
    </row>
    <row r="510" spans="1:7" x14ac:dyDescent="0.25">
      <c r="A510" s="125">
        <f t="shared" si="58"/>
        <v>470</v>
      </c>
      <c r="B510" s="130"/>
      <c r="C510" s="842" t="s">
        <v>10022</v>
      </c>
      <c r="D510" s="906">
        <v>0</v>
      </c>
      <c r="E510" s="906">
        <f t="shared" si="67"/>
        <v>0</v>
      </c>
      <c r="F510" s="129">
        <v>1000</v>
      </c>
      <c r="G510" s="122" t="s">
        <v>1963</v>
      </c>
    </row>
    <row r="511" spans="1:7" x14ac:dyDescent="0.25">
      <c r="A511" s="125">
        <f t="shared" si="58"/>
        <v>471</v>
      </c>
      <c r="B511" s="130"/>
      <c r="C511" s="842" t="s">
        <v>10023</v>
      </c>
      <c r="D511" s="906">
        <v>0</v>
      </c>
      <c r="E511" s="906">
        <f t="shared" si="67"/>
        <v>0</v>
      </c>
      <c r="F511" s="129">
        <v>3000</v>
      </c>
      <c r="G511" s="122" t="s">
        <v>1963</v>
      </c>
    </row>
    <row r="512" spans="1:7" x14ac:dyDescent="0.25">
      <c r="A512" s="125">
        <f t="shared" si="58"/>
        <v>472</v>
      </c>
      <c r="B512" s="130"/>
      <c r="C512" s="842" t="s">
        <v>10026</v>
      </c>
      <c r="D512" s="906">
        <v>0</v>
      </c>
      <c r="E512" s="906">
        <f t="shared" si="67"/>
        <v>0</v>
      </c>
      <c r="F512" s="129">
        <v>1000</v>
      </c>
      <c r="G512" s="122" t="s">
        <v>1963</v>
      </c>
    </row>
    <row r="513" spans="1:12" x14ac:dyDescent="0.25">
      <c r="A513" s="125">
        <f t="shared" si="58"/>
        <v>473</v>
      </c>
      <c r="B513" s="130"/>
      <c r="C513" s="842" t="s">
        <v>10024</v>
      </c>
      <c r="D513" s="906">
        <v>0</v>
      </c>
      <c r="E513" s="906">
        <f t="shared" si="67"/>
        <v>0</v>
      </c>
      <c r="F513" s="129">
        <v>3400</v>
      </c>
      <c r="G513" s="122" t="s">
        <v>1963</v>
      </c>
    </row>
    <row r="514" spans="1:12" x14ac:dyDescent="0.25">
      <c r="A514" s="125">
        <f t="shared" si="58"/>
        <v>474</v>
      </c>
      <c r="B514" s="130"/>
      <c r="C514" s="842"/>
      <c r="D514" s="924"/>
      <c r="E514" s="924"/>
      <c r="F514" s="129"/>
    </row>
    <row r="515" spans="1:12" x14ac:dyDescent="0.25">
      <c r="A515" s="125">
        <f t="shared" si="58"/>
        <v>475</v>
      </c>
      <c r="B515" s="130"/>
      <c r="C515" s="884" t="s">
        <v>6887</v>
      </c>
      <c r="D515" s="917"/>
      <c r="E515" s="917"/>
      <c r="F515" s="884"/>
      <c r="G515" s="481"/>
      <c r="H515" s="793"/>
      <c r="I515" s="793"/>
      <c r="J515" s="793"/>
      <c r="K515" s="793"/>
      <c r="L515" s="793"/>
    </row>
    <row r="516" spans="1:12" x14ac:dyDescent="0.25">
      <c r="A516" s="125">
        <f t="shared" si="58"/>
        <v>476</v>
      </c>
      <c r="B516" s="130"/>
      <c r="C516" s="793" t="s">
        <v>7443</v>
      </c>
      <c r="D516" s="918"/>
      <c r="E516" s="918"/>
      <c r="F516" s="793"/>
      <c r="G516" s="793"/>
      <c r="H516" s="793"/>
      <c r="I516" s="793"/>
    </row>
    <row r="517" spans="1:12" x14ac:dyDescent="0.25">
      <c r="A517" s="125">
        <f t="shared" si="58"/>
        <v>477</v>
      </c>
      <c r="B517" s="130"/>
      <c r="C517" s="929" t="s">
        <v>7448</v>
      </c>
      <c r="D517" s="928"/>
      <c r="E517" s="928"/>
      <c r="F517" s="929"/>
      <c r="G517" s="929"/>
      <c r="H517" s="929"/>
      <c r="I517" s="929"/>
    </row>
    <row r="518" spans="1:12" x14ac:dyDescent="0.25">
      <c r="A518" s="125">
        <f t="shared" si="58"/>
        <v>478</v>
      </c>
      <c r="B518" s="130"/>
      <c r="C518" s="931" t="s">
        <v>10220</v>
      </c>
      <c r="D518" s="906">
        <v>0</v>
      </c>
      <c r="E518" s="906">
        <f t="shared" ref="E518:E523" si="68">D518/8*12</f>
        <v>0</v>
      </c>
      <c r="F518" s="129">
        <f>F520*F83</f>
        <v>0.2</v>
      </c>
      <c r="G518" s="122" t="s">
        <v>1963</v>
      </c>
    </row>
    <row r="519" spans="1:12" x14ac:dyDescent="0.25">
      <c r="A519" s="125">
        <f t="shared" si="58"/>
        <v>479</v>
      </c>
      <c r="B519" s="130"/>
      <c r="C519" s="842" t="s">
        <v>10221</v>
      </c>
      <c r="D519" s="906">
        <v>0</v>
      </c>
      <c r="E519" s="906">
        <f t="shared" si="68"/>
        <v>0</v>
      </c>
      <c r="F519" s="129">
        <v>1</v>
      </c>
      <c r="G519" s="122" t="s">
        <v>1963</v>
      </c>
    </row>
    <row r="520" spans="1:12" x14ac:dyDescent="0.25">
      <c r="A520" s="125">
        <f t="shared" si="58"/>
        <v>480</v>
      </c>
      <c r="B520" s="130"/>
      <c r="C520" s="842" t="s">
        <v>10222</v>
      </c>
      <c r="D520" s="906">
        <v>0</v>
      </c>
      <c r="E520" s="906">
        <f t="shared" si="68"/>
        <v>0</v>
      </c>
      <c r="F520" s="129">
        <v>1</v>
      </c>
      <c r="G520" s="122" t="s">
        <v>1963</v>
      </c>
    </row>
    <row r="521" spans="1:12" x14ac:dyDescent="0.25">
      <c r="A521" s="125">
        <f t="shared" si="58"/>
        <v>481</v>
      </c>
      <c r="B521" s="130"/>
      <c r="C521" s="842" t="s">
        <v>10223</v>
      </c>
      <c r="D521" s="906">
        <v>0</v>
      </c>
      <c r="E521" s="906">
        <f t="shared" si="68"/>
        <v>0</v>
      </c>
      <c r="F521" s="129">
        <v>100</v>
      </c>
      <c r="G521" s="122" t="s">
        <v>1963</v>
      </c>
    </row>
    <row r="522" spans="1:12" x14ac:dyDescent="0.25">
      <c r="A522" s="125">
        <f t="shared" si="58"/>
        <v>482</v>
      </c>
      <c r="B522" s="130"/>
      <c r="C522" s="842" t="s">
        <v>10224</v>
      </c>
      <c r="D522" s="906">
        <v>0</v>
      </c>
      <c r="E522" s="906">
        <f t="shared" si="68"/>
        <v>0</v>
      </c>
      <c r="F522" s="129">
        <v>1</v>
      </c>
      <c r="G522" s="122" t="s">
        <v>1963</v>
      </c>
    </row>
    <row r="523" spans="1:12" x14ac:dyDescent="0.25">
      <c r="A523" s="125">
        <f t="shared" si="58"/>
        <v>483</v>
      </c>
      <c r="B523" s="130"/>
      <c r="C523" s="842" t="s">
        <v>10224</v>
      </c>
      <c r="D523" s="906">
        <v>0</v>
      </c>
      <c r="E523" s="906">
        <f t="shared" si="68"/>
        <v>0</v>
      </c>
      <c r="F523" s="129">
        <v>136600</v>
      </c>
      <c r="G523" s="122" t="s">
        <v>1963</v>
      </c>
    </row>
    <row r="524" spans="1:12" x14ac:dyDescent="0.25">
      <c r="A524" s="125">
        <f t="shared" si="58"/>
        <v>484</v>
      </c>
      <c r="B524" s="130"/>
      <c r="C524" s="927" t="s">
        <v>10230</v>
      </c>
      <c r="D524" s="928"/>
      <c r="E524" s="928"/>
      <c r="F524" s="129"/>
    </row>
    <row r="525" spans="1:12" ht="31.5" x14ac:dyDescent="0.25">
      <c r="A525" s="125">
        <f t="shared" si="58"/>
        <v>485</v>
      </c>
      <c r="B525" s="130"/>
      <c r="C525" s="931" t="s">
        <v>10229</v>
      </c>
      <c r="D525" s="906">
        <v>0</v>
      </c>
      <c r="E525" s="906">
        <f t="shared" ref="E525:E530" si="69">D525/8*12</f>
        <v>0</v>
      </c>
      <c r="F525" s="129">
        <f>F527*F83</f>
        <v>0.2</v>
      </c>
      <c r="G525" s="122" t="s">
        <v>1963</v>
      </c>
    </row>
    <row r="526" spans="1:12" x14ac:dyDescent="0.25">
      <c r="A526" s="125">
        <f t="shared" si="58"/>
        <v>486</v>
      </c>
      <c r="B526" s="130"/>
      <c r="C526" s="842" t="s">
        <v>10225</v>
      </c>
      <c r="D526" s="906">
        <v>0</v>
      </c>
      <c r="E526" s="906">
        <f t="shared" si="69"/>
        <v>0</v>
      </c>
      <c r="F526" s="129">
        <v>1</v>
      </c>
      <c r="G526" s="122" t="s">
        <v>1963</v>
      </c>
    </row>
    <row r="527" spans="1:12" x14ac:dyDescent="0.25">
      <c r="A527" s="125">
        <f t="shared" si="58"/>
        <v>487</v>
      </c>
      <c r="B527" s="130"/>
      <c r="C527" s="842" t="s">
        <v>10226</v>
      </c>
      <c r="D527" s="906">
        <v>0</v>
      </c>
      <c r="E527" s="906">
        <f t="shared" si="69"/>
        <v>0</v>
      </c>
      <c r="F527" s="129">
        <v>1</v>
      </c>
      <c r="G527" s="122" t="s">
        <v>1963</v>
      </c>
    </row>
    <row r="528" spans="1:12" ht="31.5" x14ac:dyDescent="0.25">
      <c r="A528" s="125">
        <f t="shared" si="58"/>
        <v>488</v>
      </c>
      <c r="B528" s="130"/>
      <c r="C528" s="842" t="s">
        <v>10227</v>
      </c>
      <c r="D528" s="906">
        <v>0</v>
      </c>
      <c r="E528" s="906">
        <f t="shared" si="69"/>
        <v>0</v>
      </c>
      <c r="F528" s="129">
        <v>100</v>
      </c>
      <c r="G528" s="122" t="s">
        <v>1963</v>
      </c>
    </row>
    <row r="529" spans="1:7" ht="31.5" x14ac:dyDescent="0.25">
      <c r="A529" s="125">
        <f t="shared" si="58"/>
        <v>489</v>
      </c>
      <c r="B529" s="130"/>
      <c r="C529" s="842" t="s">
        <v>10228</v>
      </c>
      <c r="D529" s="906">
        <v>0</v>
      </c>
      <c r="E529" s="906">
        <f t="shared" si="69"/>
        <v>0</v>
      </c>
      <c r="F529" s="129">
        <v>1</v>
      </c>
      <c r="G529" s="122" t="s">
        <v>1963</v>
      </c>
    </row>
    <row r="530" spans="1:7" ht="31.5" x14ac:dyDescent="0.25">
      <c r="A530" s="125">
        <f t="shared" si="58"/>
        <v>490</v>
      </c>
      <c r="B530" s="130"/>
      <c r="C530" s="842" t="s">
        <v>10228</v>
      </c>
      <c r="D530" s="906">
        <v>0</v>
      </c>
      <c r="E530" s="906">
        <f t="shared" si="69"/>
        <v>0</v>
      </c>
      <c r="F530" s="129">
        <v>97600</v>
      </c>
      <c r="G530" s="122" t="s">
        <v>1963</v>
      </c>
    </row>
    <row r="531" spans="1:7" x14ac:dyDescent="0.25">
      <c r="A531" s="125">
        <f t="shared" si="58"/>
        <v>491</v>
      </c>
      <c r="B531" s="130"/>
      <c r="C531" s="927" t="s">
        <v>10231</v>
      </c>
      <c r="D531" s="928"/>
      <c r="E531" s="928"/>
      <c r="F531" s="129"/>
    </row>
    <row r="532" spans="1:7" x14ac:dyDescent="0.25">
      <c r="A532" s="125">
        <f t="shared" si="58"/>
        <v>492</v>
      </c>
      <c r="B532" s="130"/>
      <c r="C532" s="931" t="s">
        <v>10233</v>
      </c>
      <c r="D532" s="906">
        <v>0</v>
      </c>
      <c r="E532" s="906">
        <f t="shared" ref="E532:E536" si="70">D532/8*12</f>
        <v>0</v>
      </c>
      <c r="F532" s="129">
        <f>F534*F83</f>
        <v>200</v>
      </c>
      <c r="G532" s="122" t="s">
        <v>1963</v>
      </c>
    </row>
    <row r="533" spans="1:7" x14ac:dyDescent="0.25">
      <c r="A533" s="125">
        <f t="shared" si="58"/>
        <v>493</v>
      </c>
      <c r="B533" s="130"/>
      <c r="C533" s="842" t="s">
        <v>10234</v>
      </c>
      <c r="D533" s="906">
        <v>0</v>
      </c>
      <c r="E533" s="906">
        <f t="shared" si="70"/>
        <v>0</v>
      </c>
      <c r="F533" s="129">
        <v>1000</v>
      </c>
      <c r="G533" s="122" t="s">
        <v>1963</v>
      </c>
    </row>
    <row r="534" spans="1:7" x14ac:dyDescent="0.25">
      <c r="A534" s="125">
        <f t="shared" si="58"/>
        <v>494</v>
      </c>
      <c r="B534" s="130"/>
      <c r="C534" s="842" t="s">
        <v>10235</v>
      </c>
      <c r="D534" s="906">
        <v>0</v>
      </c>
      <c r="E534" s="906">
        <f t="shared" si="70"/>
        <v>0</v>
      </c>
      <c r="F534" s="129">
        <v>1000</v>
      </c>
      <c r="G534" s="122" t="s">
        <v>1963</v>
      </c>
    </row>
    <row r="535" spans="1:7" x14ac:dyDescent="0.25">
      <c r="A535" s="125">
        <f t="shared" si="58"/>
        <v>495</v>
      </c>
      <c r="B535" s="130"/>
      <c r="C535" s="842" t="s">
        <v>10236</v>
      </c>
      <c r="D535" s="906">
        <v>0</v>
      </c>
      <c r="E535" s="906">
        <f t="shared" si="70"/>
        <v>0</v>
      </c>
      <c r="F535" s="129">
        <v>2000</v>
      </c>
      <c r="G535" s="122" t="s">
        <v>1963</v>
      </c>
    </row>
    <row r="536" spans="1:7" x14ac:dyDescent="0.25">
      <c r="A536" s="125">
        <f t="shared" si="58"/>
        <v>496</v>
      </c>
      <c r="B536" s="130"/>
      <c r="C536" s="842" t="s">
        <v>10237</v>
      </c>
      <c r="D536" s="906">
        <v>0</v>
      </c>
      <c r="E536" s="906">
        <f t="shared" si="70"/>
        <v>0</v>
      </c>
      <c r="F536" s="129">
        <v>15000</v>
      </c>
      <c r="G536" s="122" t="s">
        <v>1963</v>
      </c>
    </row>
    <row r="537" spans="1:7" x14ac:dyDescent="0.25">
      <c r="A537" s="125">
        <f t="shared" si="58"/>
        <v>497</v>
      </c>
      <c r="B537" s="130"/>
      <c r="C537" s="927" t="s">
        <v>10232</v>
      </c>
      <c r="D537" s="928"/>
      <c r="E537" s="928"/>
      <c r="F537" s="129"/>
    </row>
    <row r="538" spans="1:7" x14ac:dyDescent="0.25">
      <c r="A538" s="125">
        <f t="shared" si="58"/>
        <v>498</v>
      </c>
      <c r="B538" s="130"/>
      <c r="C538" s="842" t="s">
        <v>10238</v>
      </c>
      <c r="D538" s="906">
        <v>0</v>
      </c>
      <c r="E538" s="906">
        <f t="shared" ref="E538:E544" si="71">D538/8*12</f>
        <v>0</v>
      </c>
      <c r="F538" s="129">
        <v>3000</v>
      </c>
      <c r="G538" s="122" t="s">
        <v>1963</v>
      </c>
    </row>
    <row r="539" spans="1:7" x14ac:dyDescent="0.25">
      <c r="A539" s="125">
        <f t="shared" si="58"/>
        <v>499</v>
      </c>
      <c r="B539" s="130"/>
      <c r="C539" s="842" t="s">
        <v>10239</v>
      </c>
      <c r="D539" s="906">
        <v>0</v>
      </c>
      <c r="E539" s="906">
        <f t="shared" si="71"/>
        <v>0</v>
      </c>
      <c r="F539" s="129">
        <v>1000</v>
      </c>
      <c r="G539" s="122" t="s">
        <v>1963</v>
      </c>
    </row>
    <row r="540" spans="1:7" x14ac:dyDescent="0.25">
      <c r="A540" s="125">
        <f t="shared" si="58"/>
        <v>500</v>
      </c>
      <c r="B540" s="130"/>
      <c r="C540" s="842" t="s">
        <v>10240</v>
      </c>
      <c r="D540" s="906">
        <v>0</v>
      </c>
      <c r="E540" s="906">
        <f t="shared" si="71"/>
        <v>0</v>
      </c>
      <c r="F540" s="129">
        <v>5000</v>
      </c>
      <c r="G540" s="122" t="s">
        <v>1963</v>
      </c>
    </row>
    <row r="541" spans="1:7" x14ac:dyDescent="0.25">
      <c r="A541" s="125">
        <f t="shared" si="58"/>
        <v>501</v>
      </c>
      <c r="B541" s="130"/>
      <c r="C541" s="842" t="s">
        <v>10241</v>
      </c>
      <c r="D541" s="906">
        <v>0</v>
      </c>
      <c r="E541" s="906">
        <f t="shared" si="71"/>
        <v>0</v>
      </c>
      <c r="F541" s="129">
        <v>5000</v>
      </c>
      <c r="G541" s="122" t="s">
        <v>1963</v>
      </c>
    </row>
    <row r="542" spans="1:7" x14ac:dyDescent="0.25">
      <c r="A542" s="125">
        <f t="shared" ref="A542:A605" si="72">A541+1</f>
        <v>502</v>
      </c>
      <c r="B542" s="130"/>
      <c r="C542" s="842" t="s">
        <v>10242</v>
      </c>
      <c r="D542" s="906">
        <v>0</v>
      </c>
      <c r="E542" s="906">
        <f t="shared" si="71"/>
        <v>0</v>
      </c>
      <c r="F542" s="129">
        <v>1000</v>
      </c>
      <c r="G542" s="122" t="s">
        <v>1963</v>
      </c>
    </row>
    <row r="543" spans="1:7" x14ac:dyDescent="0.25">
      <c r="A543" s="125">
        <f t="shared" si="72"/>
        <v>503</v>
      </c>
      <c r="B543" s="130"/>
      <c r="C543" s="842" t="s">
        <v>10243</v>
      </c>
      <c r="D543" s="906">
        <v>25529.279999999999</v>
      </c>
      <c r="E543" s="906">
        <f t="shared" si="71"/>
        <v>38293.919999999998</v>
      </c>
      <c r="F543" s="129">
        <v>38293.919999999998</v>
      </c>
      <c r="G543" s="122" t="s">
        <v>1963</v>
      </c>
    </row>
    <row r="544" spans="1:7" x14ac:dyDescent="0.25">
      <c r="A544" s="125">
        <f t="shared" si="72"/>
        <v>504</v>
      </c>
      <c r="B544" s="130"/>
      <c r="C544" s="842" t="s">
        <v>10244</v>
      </c>
      <c r="D544" s="906">
        <v>0</v>
      </c>
      <c r="E544" s="906">
        <f t="shared" si="71"/>
        <v>0</v>
      </c>
      <c r="F544" s="129">
        <v>5000</v>
      </c>
      <c r="G544" s="122" t="s">
        <v>1963</v>
      </c>
    </row>
    <row r="545" spans="1:7" x14ac:dyDescent="0.25">
      <c r="A545" s="125">
        <f t="shared" si="72"/>
        <v>505</v>
      </c>
      <c r="B545" s="130"/>
      <c r="C545" s="232" t="s">
        <v>10245</v>
      </c>
      <c r="D545" s="915"/>
      <c r="E545" s="915"/>
      <c r="F545" s="129"/>
    </row>
    <row r="546" spans="1:7" x14ac:dyDescent="0.25">
      <c r="A546" s="125">
        <f t="shared" si="72"/>
        <v>506</v>
      </c>
      <c r="B546" s="130"/>
      <c r="C546" s="842" t="s">
        <v>10246</v>
      </c>
      <c r="D546" s="906">
        <v>0</v>
      </c>
      <c r="E546" s="906">
        <f t="shared" ref="E546:E550" si="73">D546/8*12</f>
        <v>0</v>
      </c>
      <c r="F546" s="129">
        <v>25000</v>
      </c>
      <c r="G546" s="122" t="s">
        <v>1963</v>
      </c>
    </row>
    <row r="547" spans="1:7" x14ac:dyDescent="0.25">
      <c r="A547" s="125">
        <f t="shared" si="72"/>
        <v>507</v>
      </c>
      <c r="B547" s="130"/>
      <c r="C547" s="842" t="s">
        <v>10249</v>
      </c>
      <c r="D547" s="906">
        <v>0</v>
      </c>
      <c r="E547" s="906">
        <f t="shared" si="73"/>
        <v>0</v>
      </c>
      <c r="F547" s="129">
        <v>3000</v>
      </c>
      <c r="G547" s="122" t="s">
        <v>1963</v>
      </c>
    </row>
    <row r="548" spans="1:7" x14ac:dyDescent="0.25">
      <c r="A548" s="125">
        <f t="shared" si="72"/>
        <v>508</v>
      </c>
      <c r="B548" s="130"/>
      <c r="C548" s="842" t="s">
        <v>10247</v>
      </c>
      <c r="D548" s="906">
        <v>0</v>
      </c>
      <c r="E548" s="906">
        <f t="shared" si="73"/>
        <v>0</v>
      </c>
      <c r="F548" s="129">
        <v>5000</v>
      </c>
      <c r="G548" s="122" t="s">
        <v>1963</v>
      </c>
    </row>
    <row r="549" spans="1:7" x14ac:dyDescent="0.25">
      <c r="A549" s="125">
        <f t="shared" si="72"/>
        <v>509</v>
      </c>
      <c r="B549" s="130"/>
      <c r="C549" s="842" t="s">
        <v>10248</v>
      </c>
      <c r="D549" s="906">
        <v>0</v>
      </c>
      <c r="E549" s="906">
        <f t="shared" si="73"/>
        <v>0</v>
      </c>
      <c r="F549" s="129">
        <v>15000</v>
      </c>
      <c r="G549" s="122" t="s">
        <v>1963</v>
      </c>
    </row>
    <row r="550" spans="1:7" x14ac:dyDescent="0.25">
      <c r="A550" s="125">
        <f t="shared" si="72"/>
        <v>510</v>
      </c>
      <c r="B550" s="130"/>
      <c r="C550" s="842" t="s">
        <v>10250</v>
      </c>
      <c r="D550" s="906">
        <v>0</v>
      </c>
      <c r="E550" s="906">
        <f t="shared" si="73"/>
        <v>0</v>
      </c>
      <c r="F550" s="129">
        <v>3000</v>
      </c>
      <c r="G550" s="122" t="s">
        <v>1963</v>
      </c>
    </row>
    <row r="551" spans="1:7" x14ac:dyDescent="0.25">
      <c r="A551" s="125">
        <f t="shared" si="72"/>
        <v>511</v>
      </c>
      <c r="B551" s="130"/>
      <c r="C551" s="232" t="s">
        <v>10251</v>
      </c>
      <c r="D551" s="915"/>
      <c r="E551" s="915"/>
      <c r="F551" s="129"/>
    </row>
    <row r="552" spans="1:7" x14ac:dyDescent="0.25">
      <c r="A552" s="125">
        <f t="shared" si="72"/>
        <v>512</v>
      </c>
      <c r="B552" s="130"/>
      <c r="C552" s="842" t="s">
        <v>10253</v>
      </c>
      <c r="D552" s="906">
        <v>57539.93</v>
      </c>
      <c r="E552" s="906">
        <f t="shared" ref="E552:E566" si="74">D552/8*12</f>
        <v>86309.895000000004</v>
      </c>
      <c r="F552" s="129">
        <v>75000</v>
      </c>
      <c r="G552" s="122" t="s">
        <v>1963</v>
      </c>
    </row>
    <row r="553" spans="1:7" ht="31.5" x14ac:dyDescent="0.25">
      <c r="A553" s="125">
        <f t="shared" si="72"/>
        <v>513</v>
      </c>
      <c r="B553" s="130"/>
      <c r="C553" s="842" t="s">
        <v>10254</v>
      </c>
      <c r="D553" s="906">
        <v>0</v>
      </c>
      <c r="E553" s="906">
        <f t="shared" si="74"/>
        <v>0</v>
      </c>
      <c r="F553" s="129">
        <v>5000</v>
      </c>
      <c r="G553" s="122" t="s">
        <v>1963</v>
      </c>
    </row>
    <row r="554" spans="1:7" x14ac:dyDescent="0.25">
      <c r="A554" s="125">
        <f t="shared" si="72"/>
        <v>514</v>
      </c>
      <c r="B554" s="130"/>
      <c r="C554" s="842" t="s">
        <v>10255</v>
      </c>
      <c r="D554" s="906">
        <v>0</v>
      </c>
      <c r="E554" s="906">
        <f t="shared" si="74"/>
        <v>0</v>
      </c>
      <c r="F554" s="129">
        <v>5000</v>
      </c>
      <c r="G554" s="122" t="s">
        <v>1963</v>
      </c>
    </row>
    <row r="555" spans="1:7" x14ac:dyDescent="0.25">
      <c r="A555" s="125">
        <f t="shared" si="72"/>
        <v>515</v>
      </c>
      <c r="B555" s="130"/>
      <c r="C555" s="842" t="s">
        <v>10256</v>
      </c>
      <c r="D555" s="906">
        <v>8549</v>
      </c>
      <c r="E555" s="906">
        <f t="shared" si="74"/>
        <v>12823.5</v>
      </c>
      <c r="F555" s="129">
        <v>15000</v>
      </c>
      <c r="G555" s="122" t="s">
        <v>1963</v>
      </c>
    </row>
    <row r="556" spans="1:7" ht="31.5" x14ac:dyDescent="0.25">
      <c r="A556" s="125">
        <f t="shared" si="72"/>
        <v>516</v>
      </c>
      <c r="B556" s="130"/>
      <c r="C556" s="842" t="s">
        <v>10257</v>
      </c>
      <c r="D556" s="906">
        <v>0</v>
      </c>
      <c r="E556" s="906">
        <f t="shared" si="74"/>
        <v>0</v>
      </c>
      <c r="F556" s="129">
        <v>5000</v>
      </c>
      <c r="G556" s="122" t="s">
        <v>1963</v>
      </c>
    </row>
    <row r="557" spans="1:7" ht="18" customHeight="1" x14ac:dyDescent="0.25">
      <c r="A557" s="125">
        <f t="shared" si="72"/>
        <v>517</v>
      </c>
      <c r="B557" s="130"/>
      <c r="C557" s="842" t="s">
        <v>10258</v>
      </c>
      <c r="D557" s="906">
        <v>0</v>
      </c>
      <c r="E557" s="906">
        <f t="shared" si="74"/>
        <v>0</v>
      </c>
      <c r="F557" s="129">
        <v>5000</v>
      </c>
      <c r="G557" s="122" t="s">
        <v>1963</v>
      </c>
    </row>
    <row r="558" spans="1:7" x14ac:dyDescent="0.25">
      <c r="A558" s="125">
        <f t="shared" si="72"/>
        <v>518</v>
      </c>
      <c r="B558" s="130"/>
      <c r="C558" s="842" t="s">
        <v>10259</v>
      </c>
      <c r="D558" s="906">
        <v>0</v>
      </c>
      <c r="E558" s="906">
        <f t="shared" si="74"/>
        <v>0</v>
      </c>
      <c r="F558" s="129">
        <v>5000</v>
      </c>
      <c r="G558" s="122" t="s">
        <v>1963</v>
      </c>
    </row>
    <row r="559" spans="1:7" x14ac:dyDescent="0.25">
      <c r="A559" s="125">
        <f t="shared" si="72"/>
        <v>519</v>
      </c>
      <c r="B559" s="130"/>
      <c r="C559" s="232" t="s">
        <v>10252</v>
      </c>
      <c r="D559" s="906">
        <v>0</v>
      </c>
      <c r="E559" s="906">
        <f t="shared" si="74"/>
        <v>0</v>
      </c>
      <c r="F559" s="129"/>
    </row>
    <row r="560" spans="1:7" x14ac:dyDescent="0.25">
      <c r="A560" s="125">
        <f t="shared" si="72"/>
        <v>520</v>
      </c>
      <c r="B560" s="130"/>
      <c r="C560" s="842" t="s">
        <v>10260</v>
      </c>
      <c r="D560" s="906">
        <v>0</v>
      </c>
      <c r="E560" s="906">
        <f t="shared" si="74"/>
        <v>0</v>
      </c>
      <c r="F560" s="129">
        <f>52220.24-37600</f>
        <v>14620.239999999998</v>
      </c>
      <c r="G560" s="122" t="s">
        <v>1963</v>
      </c>
    </row>
    <row r="561" spans="1:7" x14ac:dyDescent="0.25">
      <c r="A561" s="125">
        <f t="shared" si="72"/>
        <v>521</v>
      </c>
      <c r="B561" s="130"/>
      <c r="C561" s="842" t="s">
        <v>10261</v>
      </c>
      <c r="D561" s="906">
        <v>0</v>
      </c>
      <c r="E561" s="906">
        <f t="shared" si="74"/>
        <v>0</v>
      </c>
      <c r="F561" s="129">
        <v>1000</v>
      </c>
      <c r="G561" s="122" t="s">
        <v>1963</v>
      </c>
    </row>
    <row r="562" spans="1:7" x14ac:dyDescent="0.25">
      <c r="A562" s="125">
        <f t="shared" si="72"/>
        <v>522</v>
      </c>
      <c r="B562" s="130"/>
      <c r="C562" s="842" t="s">
        <v>10262</v>
      </c>
      <c r="D562" s="906">
        <v>0</v>
      </c>
      <c r="E562" s="906">
        <f t="shared" si="74"/>
        <v>0</v>
      </c>
      <c r="F562" s="129">
        <v>10000</v>
      </c>
      <c r="G562" s="122" t="s">
        <v>1963</v>
      </c>
    </row>
    <row r="563" spans="1:7" x14ac:dyDescent="0.25">
      <c r="A563" s="125">
        <f t="shared" si="72"/>
        <v>523</v>
      </c>
      <c r="B563" s="130"/>
      <c r="C563" s="842" t="s">
        <v>10263</v>
      </c>
      <c r="D563" s="906">
        <v>0</v>
      </c>
      <c r="E563" s="906">
        <f t="shared" si="74"/>
        <v>0</v>
      </c>
      <c r="F563" s="129">
        <v>15000</v>
      </c>
      <c r="G563" s="122" t="s">
        <v>1963</v>
      </c>
    </row>
    <row r="564" spans="1:7" x14ac:dyDescent="0.25">
      <c r="A564" s="125">
        <f t="shared" si="72"/>
        <v>524</v>
      </c>
      <c r="B564" s="130"/>
      <c r="C564" s="842" t="s">
        <v>10264</v>
      </c>
      <c r="D564" s="906">
        <v>0</v>
      </c>
      <c r="E564" s="906">
        <f t="shared" si="74"/>
        <v>0</v>
      </c>
      <c r="F564" s="129">
        <v>2000</v>
      </c>
      <c r="G564" s="122" t="s">
        <v>1963</v>
      </c>
    </row>
    <row r="565" spans="1:7" x14ac:dyDescent="0.25">
      <c r="A565" s="125">
        <f t="shared" si="72"/>
        <v>525</v>
      </c>
      <c r="B565" s="130"/>
      <c r="C565" s="842" t="s">
        <v>10265</v>
      </c>
      <c r="D565" s="906">
        <v>0</v>
      </c>
      <c r="E565" s="906">
        <f t="shared" si="74"/>
        <v>0</v>
      </c>
      <c r="F565" s="129">
        <f>(F562+F561+F564)*F83</f>
        <v>2600</v>
      </c>
      <c r="G565" s="122" t="s">
        <v>1963</v>
      </c>
    </row>
    <row r="566" spans="1:7" ht="31.5" x14ac:dyDescent="0.25">
      <c r="A566" s="125">
        <f t="shared" si="72"/>
        <v>526</v>
      </c>
      <c r="B566" s="130"/>
      <c r="C566" s="842" t="s">
        <v>10266</v>
      </c>
      <c r="D566" s="906">
        <v>0</v>
      </c>
      <c r="E566" s="906">
        <f t="shared" si="74"/>
        <v>0</v>
      </c>
      <c r="F566" s="129">
        <v>2000</v>
      </c>
      <c r="G566" s="122" t="s">
        <v>1963</v>
      </c>
    </row>
    <row r="567" spans="1:7" x14ac:dyDescent="0.25">
      <c r="A567" s="125">
        <f t="shared" si="72"/>
        <v>527</v>
      </c>
      <c r="B567" s="130"/>
      <c r="C567" s="842" t="s">
        <v>10267</v>
      </c>
      <c r="D567" s="924"/>
      <c r="E567" s="924"/>
      <c r="F567" s="129">
        <v>5000</v>
      </c>
      <c r="G567" s="122" t="s">
        <v>1963</v>
      </c>
    </row>
    <row r="568" spans="1:7" x14ac:dyDescent="0.25">
      <c r="A568" s="125">
        <f t="shared" si="72"/>
        <v>528</v>
      </c>
      <c r="B568" s="130"/>
      <c r="C568" s="232" t="s">
        <v>10268</v>
      </c>
      <c r="D568" s="915"/>
      <c r="E568" s="915"/>
      <c r="F568" s="129"/>
    </row>
    <row r="569" spans="1:7" x14ac:dyDescent="0.25">
      <c r="A569" s="125">
        <f t="shared" si="72"/>
        <v>529</v>
      </c>
      <c r="B569" s="130"/>
      <c r="C569" s="842" t="s">
        <v>10269</v>
      </c>
      <c r="D569" s="906">
        <v>0</v>
      </c>
      <c r="E569" s="906">
        <f t="shared" ref="E569:E574" si="75">D569/8*12</f>
        <v>0</v>
      </c>
      <c r="F569" s="129">
        <v>500</v>
      </c>
      <c r="G569" s="122" t="s">
        <v>1963</v>
      </c>
    </row>
    <row r="570" spans="1:7" x14ac:dyDescent="0.25">
      <c r="A570" s="125">
        <f t="shared" si="72"/>
        <v>530</v>
      </c>
      <c r="B570" s="130"/>
      <c r="C570" s="842" t="s">
        <v>10273</v>
      </c>
      <c r="D570" s="906">
        <v>0</v>
      </c>
      <c r="E570" s="906">
        <f t="shared" si="75"/>
        <v>0</v>
      </c>
      <c r="F570" s="129">
        <v>500</v>
      </c>
      <c r="G570" s="122" t="s">
        <v>1963</v>
      </c>
    </row>
    <row r="571" spans="1:7" x14ac:dyDescent="0.25">
      <c r="A571" s="125">
        <f t="shared" si="72"/>
        <v>531</v>
      </c>
      <c r="B571" s="130"/>
      <c r="C571" s="842" t="s">
        <v>10270</v>
      </c>
      <c r="D571" s="906">
        <v>0</v>
      </c>
      <c r="E571" s="906">
        <f t="shared" si="75"/>
        <v>0</v>
      </c>
      <c r="F571" s="129">
        <v>500</v>
      </c>
      <c r="G571" s="122" t="s">
        <v>1963</v>
      </c>
    </row>
    <row r="572" spans="1:7" x14ac:dyDescent="0.25">
      <c r="A572" s="125">
        <f t="shared" si="72"/>
        <v>532</v>
      </c>
      <c r="B572" s="130"/>
      <c r="C572" s="842" t="s">
        <v>10271</v>
      </c>
      <c r="D572" s="906">
        <v>0</v>
      </c>
      <c r="E572" s="906">
        <f t="shared" si="75"/>
        <v>0</v>
      </c>
      <c r="F572" s="129">
        <v>500</v>
      </c>
      <c r="G572" s="122" t="s">
        <v>1963</v>
      </c>
    </row>
    <row r="573" spans="1:7" x14ac:dyDescent="0.25">
      <c r="A573" s="125">
        <f t="shared" si="72"/>
        <v>533</v>
      </c>
      <c r="B573" s="130"/>
      <c r="C573" s="842" t="s">
        <v>10274</v>
      </c>
      <c r="D573" s="906">
        <v>0</v>
      </c>
      <c r="E573" s="906">
        <f t="shared" si="75"/>
        <v>0</v>
      </c>
      <c r="F573" s="129">
        <v>500</v>
      </c>
      <c r="G573" s="122" t="s">
        <v>1963</v>
      </c>
    </row>
    <row r="574" spans="1:7" x14ac:dyDescent="0.25">
      <c r="A574" s="125">
        <f t="shared" si="72"/>
        <v>534</v>
      </c>
      <c r="B574" s="130"/>
      <c r="C574" s="842" t="s">
        <v>10272</v>
      </c>
      <c r="D574" s="906">
        <v>0</v>
      </c>
      <c r="E574" s="906">
        <f t="shared" si="75"/>
        <v>0</v>
      </c>
      <c r="F574" s="129">
        <v>500</v>
      </c>
      <c r="G574" s="122" t="s">
        <v>1963</v>
      </c>
    </row>
    <row r="575" spans="1:7" x14ac:dyDescent="0.25">
      <c r="A575" s="125">
        <f t="shared" si="72"/>
        <v>535</v>
      </c>
      <c r="B575" s="130"/>
      <c r="C575" s="232" t="s">
        <v>10275</v>
      </c>
      <c r="D575" s="915"/>
      <c r="E575" s="915"/>
      <c r="F575" s="129"/>
    </row>
    <row r="576" spans="1:7" x14ac:dyDescent="0.25">
      <c r="A576" s="125">
        <f t="shared" si="72"/>
        <v>536</v>
      </c>
      <c r="B576" s="130"/>
      <c r="C576" s="134" t="s">
        <v>136</v>
      </c>
      <c r="D576" s="906">
        <v>0</v>
      </c>
      <c r="E576" s="906">
        <f>D576/8*13.33</f>
        <v>0</v>
      </c>
      <c r="F576" s="136">
        <v>1</v>
      </c>
      <c r="G576" s="122" t="s">
        <v>1963</v>
      </c>
    </row>
    <row r="577" spans="1:7" x14ac:dyDescent="0.25">
      <c r="A577" s="125">
        <f t="shared" si="72"/>
        <v>537</v>
      </c>
      <c r="B577" s="130"/>
      <c r="C577" s="842" t="s">
        <v>11539</v>
      </c>
      <c r="D577" s="924">
        <f>24647.57-5676.48</f>
        <v>18971.09</v>
      </c>
      <c r="E577" s="906">
        <f>D577/8*13.33</f>
        <v>31610.578712499999</v>
      </c>
      <c r="F577" s="129">
        <f>E577/13.33</f>
        <v>2371.38625</v>
      </c>
      <c r="G577" s="122" t="s">
        <v>1963</v>
      </c>
    </row>
    <row r="578" spans="1:7" x14ac:dyDescent="0.25">
      <c r="A578" s="125">
        <f t="shared" si="72"/>
        <v>538</v>
      </c>
      <c r="B578" s="130"/>
      <c r="C578" s="134" t="s">
        <v>10028</v>
      </c>
      <c r="D578" s="906">
        <v>0</v>
      </c>
      <c r="E578" s="906">
        <f t="shared" ref="E578" si="76">D578/8*12</f>
        <v>0</v>
      </c>
      <c r="F578" s="129">
        <v>150</v>
      </c>
      <c r="G578" s="122" t="s">
        <v>1963</v>
      </c>
    </row>
    <row r="579" spans="1:7" x14ac:dyDescent="0.25">
      <c r="A579" s="125">
        <f t="shared" si="72"/>
        <v>539</v>
      </c>
      <c r="B579" s="130"/>
      <c r="C579" s="927" t="s">
        <v>11532</v>
      </c>
      <c r="D579" s="924">
        <f>D577*23.0306%</f>
        <v>4369.15585354</v>
      </c>
      <c r="E579" s="906">
        <f>D579/8*13</f>
        <v>7099.8782620024995</v>
      </c>
      <c r="F579" s="129">
        <f>E579</f>
        <v>7099.8782620024995</v>
      </c>
      <c r="G579" s="122" t="s">
        <v>1963</v>
      </c>
    </row>
    <row r="580" spans="1:7" ht="31.5" x14ac:dyDescent="0.25">
      <c r="A580" s="125">
        <f t="shared" si="72"/>
        <v>540</v>
      </c>
      <c r="B580" s="130"/>
      <c r="C580" s="842" t="s">
        <v>10285</v>
      </c>
      <c r="D580" s="906">
        <v>0</v>
      </c>
      <c r="E580" s="906">
        <f t="shared" ref="E580:E591" si="77">D580/8*12</f>
        <v>0</v>
      </c>
      <c r="F580" s="129">
        <v>121</v>
      </c>
      <c r="G580" s="122" t="s">
        <v>1963</v>
      </c>
    </row>
    <row r="581" spans="1:7" x14ac:dyDescent="0.25">
      <c r="A581" s="125">
        <f t="shared" si="72"/>
        <v>541</v>
      </c>
      <c r="B581" s="130"/>
      <c r="C581" s="842" t="s">
        <v>10276</v>
      </c>
      <c r="D581" s="906">
        <f>2035+482.5</f>
        <v>2517.5</v>
      </c>
      <c r="E581" s="906">
        <f t="shared" si="77"/>
        <v>3776.25</v>
      </c>
      <c r="F581" s="129">
        <f>E581</f>
        <v>3776.25</v>
      </c>
      <c r="G581" s="122" t="s">
        <v>1963</v>
      </c>
    </row>
    <row r="582" spans="1:7" x14ac:dyDescent="0.25">
      <c r="A582" s="125">
        <f t="shared" si="72"/>
        <v>542</v>
      </c>
      <c r="B582" s="130"/>
      <c r="C582" s="842" t="s">
        <v>10286</v>
      </c>
      <c r="D582" s="906">
        <v>0</v>
      </c>
      <c r="E582" s="906">
        <f t="shared" si="77"/>
        <v>0</v>
      </c>
      <c r="F582" s="129">
        <v>1000</v>
      </c>
      <c r="G582" s="122" t="s">
        <v>1963</v>
      </c>
    </row>
    <row r="583" spans="1:7" x14ac:dyDescent="0.25">
      <c r="A583" s="125">
        <f t="shared" si="72"/>
        <v>543</v>
      </c>
      <c r="B583" s="130"/>
      <c r="C583" s="842" t="s">
        <v>10277</v>
      </c>
      <c r="D583" s="906">
        <v>0</v>
      </c>
      <c r="E583" s="906">
        <f t="shared" si="77"/>
        <v>0</v>
      </c>
      <c r="F583" s="129">
        <v>3000</v>
      </c>
      <c r="G583" s="122" t="s">
        <v>1963</v>
      </c>
    </row>
    <row r="584" spans="1:7" x14ac:dyDescent="0.25">
      <c r="A584" s="125">
        <f t="shared" si="72"/>
        <v>544</v>
      </c>
      <c r="B584" s="130"/>
      <c r="C584" s="842" t="s">
        <v>10278</v>
      </c>
      <c r="D584" s="906">
        <v>0</v>
      </c>
      <c r="E584" s="906">
        <f t="shared" si="77"/>
        <v>0</v>
      </c>
      <c r="F584" s="129">
        <v>500</v>
      </c>
      <c r="G584" s="122" t="s">
        <v>1963</v>
      </c>
    </row>
    <row r="585" spans="1:7" x14ac:dyDescent="0.25">
      <c r="A585" s="125">
        <f t="shared" si="72"/>
        <v>545</v>
      </c>
      <c r="B585" s="130"/>
      <c r="C585" s="842" t="s">
        <v>10279</v>
      </c>
      <c r="D585" s="906">
        <v>0</v>
      </c>
      <c r="E585" s="906">
        <f t="shared" si="77"/>
        <v>0</v>
      </c>
      <c r="F585" s="129">
        <v>2000</v>
      </c>
      <c r="G585" s="122" t="s">
        <v>1963</v>
      </c>
    </row>
    <row r="586" spans="1:7" x14ac:dyDescent="0.25">
      <c r="A586" s="125">
        <f t="shared" si="72"/>
        <v>546</v>
      </c>
      <c r="B586" s="130"/>
      <c r="C586" s="842" t="s">
        <v>10280</v>
      </c>
      <c r="D586" s="906">
        <v>0</v>
      </c>
      <c r="E586" s="906">
        <f t="shared" si="77"/>
        <v>0</v>
      </c>
      <c r="F586" s="129">
        <v>2000</v>
      </c>
      <c r="G586" s="122" t="s">
        <v>1963</v>
      </c>
    </row>
    <row r="587" spans="1:7" x14ac:dyDescent="0.25">
      <c r="A587" s="125">
        <f t="shared" si="72"/>
        <v>547</v>
      </c>
      <c r="B587" s="130"/>
      <c r="C587" s="842" t="s">
        <v>10287</v>
      </c>
      <c r="D587" s="906">
        <v>0</v>
      </c>
      <c r="E587" s="906">
        <f t="shared" si="77"/>
        <v>0</v>
      </c>
      <c r="F587" s="129">
        <v>2000</v>
      </c>
      <c r="G587" s="122" t="s">
        <v>1963</v>
      </c>
    </row>
    <row r="588" spans="1:7" ht="31.5" x14ac:dyDescent="0.25">
      <c r="A588" s="125">
        <f t="shared" si="72"/>
        <v>548</v>
      </c>
      <c r="B588" s="130"/>
      <c r="C588" s="842" t="s">
        <v>10281</v>
      </c>
      <c r="D588" s="906">
        <v>0</v>
      </c>
      <c r="E588" s="906">
        <f t="shared" si="77"/>
        <v>0</v>
      </c>
      <c r="F588" s="129">
        <v>80</v>
      </c>
      <c r="G588" s="122" t="s">
        <v>1963</v>
      </c>
    </row>
    <row r="589" spans="1:7" x14ac:dyDescent="0.25">
      <c r="A589" s="125">
        <f t="shared" si="72"/>
        <v>549</v>
      </c>
      <c r="B589" s="130"/>
      <c r="C589" s="842" t="s">
        <v>10282</v>
      </c>
      <c r="D589" s="906">
        <v>0</v>
      </c>
      <c r="E589" s="906">
        <f t="shared" si="77"/>
        <v>0</v>
      </c>
      <c r="F589" s="129">
        <v>1000</v>
      </c>
      <c r="G589" s="122" t="s">
        <v>1963</v>
      </c>
    </row>
    <row r="590" spans="1:7" ht="31.5" x14ac:dyDescent="0.25">
      <c r="A590" s="125">
        <f t="shared" si="72"/>
        <v>550</v>
      </c>
      <c r="B590" s="130"/>
      <c r="C590" s="842" t="s">
        <v>10283</v>
      </c>
      <c r="D590" s="906">
        <v>0</v>
      </c>
      <c r="E590" s="906">
        <f t="shared" si="77"/>
        <v>0</v>
      </c>
      <c r="F590" s="129">
        <v>1500</v>
      </c>
      <c r="G590" s="122" t="s">
        <v>1963</v>
      </c>
    </row>
    <row r="591" spans="1:7" x14ac:dyDescent="0.25">
      <c r="A591" s="125">
        <f t="shared" si="72"/>
        <v>551</v>
      </c>
      <c r="B591" s="130"/>
      <c r="C591" s="842" t="s">
        <v>10284</v>
      </c>
      <c r="D591" s="906">
        <v>0</v>
      </c>
      <c r="E591" s="906">
        <f t="shared" si="77"/>
        <v>0</v>
      </c>
      <c r="F591" s="129">
        <v>2500</v>
      </c>
      <c r="G591" s="122" t="s">
        <v>1963</v>
      </c>
    </row>
    <row r="592" spans="1:7" x14ac:dyDescent="0.25">
      <c r="A592" s="125">
        <f t="shared" si="72"/>
        <v>552</v>
      </c>
      <c r="B592" s="130"/>
      <c r="C592" s="232" t="s">
        <v>10288</v>
      </c>
      <c r="D592" s="915"/>
      <c r="E592" s="915"/>
      <c r="F592" s="129"/>
    </row>
    <row r="593" spans="1:7" x14ac:dyDescent="0.25">
      <c r="A593" s="125">
        <f t="shared" si="72"/>
        <v>553</v>
      </c>
      <c r="B593" s="130"/>
      <c r="C593" s="134" t="s">
        <v>136</v>
      </c>
      <c r="D593" s="906">
        <v>11574.78</v>
      </c>
      <c r="E593" s="906">
        <f>D593/8*13.33</f>
        <v>19286.477175</v>
      </c>
      <c r="F593" s="136">
        <f>E593/13.3</f>
        <v>1450.1110657894735</v>
      </c>
      <c r="G593" s="122" t="s">
        <v>1963</v>
      </c>
    </row>
    <row r="594" spans="1:7" x14ac:dyDescent="0.25">
      <c r="A594" s="125">
        <f t="shared" si="72"/>
        <v>554</v>
      </c>
      <c r="B594" s="130"/>
      <c r="C594" s="842" t="s">
        <v>11539</v>
      </c>
      <c r="D594" s="924">
        <f>30838.14+27898.22-13527.34</f>
        <v>45209.020000000004</v>
      </c>
      <c r="E594" s="906">
        <f>D594/8*13.33</f>
        <v>75329.529575000008</v>
      </c>
      <c r="F594" s="129">
        <f>E594/13.33</f>
        <v>5651.1275000000005</v>
      </c>
      <c r="G594" s="122" t="s">
        <v>1963</v>
      </c>
    </row>
    <row r="595" spans="1:7" x14ac:dyDescent="0.25">
      <c r="A595" s="125">
        <f t="shared" si="72"/>
        <v>555</v>
      </c>
      <c r="B595" s="130"/>
      <c r="C595" s="134" t="s">
        <v>10028</v>
      </c>
      <c r="D595" s="906">
        <f>1174.25+1450.45</f>
        <v>2624.7</v>
      </c>
      <c r="E595" s="906">
        <f t="shared" ref="E595" si="78">D595/8*12</f>
        <v>3937.0499999999997</v>
      </c>
      <c r="F595" s="129">
        <v>1000</v>
      </c>
      <c r="G595" s="122" t="s">
        <v>1963</v>
      </c>
    </row>
    <row r="596" spans="1:7" x14ac:dyDescent="0.25">
      <c r="A596" s="125">
        <f t="shared" si="72"/>
        <v>556</v>
      </c>
      <c r="B596" s="130"/>
      <c r="C596" s="927" t="s">
        <v>11532</v>
      </c>
      <c r="D596" s="924">
        <f>58736.36*23.0306%</f>
        <v>13527.33612616</v>
      </c>
      <c r="E596" s="906">
        <f>D596/8*13</f>
        <v>21981.92120501</v>
      </c>
      <c r="F596" s="129">
        <f>E596/12</f>
        <v>1831.8267670841667</v>
      </c>
      <c r="G596" s="122" t="s">
        <v>1963</v>
      </c>
    </row>
    <row r="597" spans="1:7" x14ac:dyDescent="0.25">
      <c r="A597" s="125">
        <f t="shared" si="72"/>
        <v>557</v>
      </c>
      <c r="B597" s="130"/>
      <c r="C597" s="842" t="s">
        <v>11543</v>
      </c>
      <c r="D597" s="906">
        <v>1762.59</v>
      </c>
      <c r="E597" s="906">
        <f t="shared" ref="E597" si="79">D597/8*12</f>
        <v>2643.8849999999998</v>
      </c>
      <c r="F597" s="129">
        <f>E597/8</f>
        <v>330.48562499999997</v>
      </c>
      <c r="G597" s="122" t="s">
        <v>1963</v>
      </c>
    </row>
    <row r="598" spans="1:7" x14ac:dyDescent="0.25">
      <c r="A598" s="125">
        <f t="shared" si="72"/>
        <v>558</v>
      </c>
      <c r="B598" s="130"/>
      <c r="C598" s="842" t="s">
        <v>10289</v>
      </c>
      <c r="D598" s="906">
        <v>0</v>
      </c>
      <c r="E598" s="906">
        <f t="shared" ref="E598:E609" si="80">D598/8*12</f>
        <v>0</v>
      </c>
      <c r="F598" s="129">
        <v>20000</v>
      </c>
      <c r="G598" s="122" t="s">
        <v>1963</v>
      </c>
    </row>
    <row r="599" spans="1:7" x14ac:dyDescent="0.25">
      <c r="A599" s="125">
        <f t="shared" si="72"/>
        <v>559</v>
      </c>
      <c r="B599" s="130"/>
      <c r="C599" s="842" t="s">
        <v>10290</v>
      </c>
      <c r="D599" s="906">
        <v>0</v>
      </c>
      <c r="E599" s="906">
        <f t="shared" si="80"/>
        <v>0</v>
      </c>
      <c r="F599" s="129">
        <v>3000</v>
      </c>
      <c r="G599" s="122" t="s">
        <v>1963</v>
      </c>
    </row>
    <row r="600" spans="1:7" x14ac:dyDescent="0.25">
      <c r="A600" s="125">
        <f t="shared" si="72"/>
        <v>560</v>
      </c>
      <c r="B600" s="130"/>
      <c r="C600" s="842" t="s">
        <v>10291</v>
      </c>
      <c r="D600" s="906">
        <v>0</v>
      </c>
      <c r="E600" s="906">
        <f t="shared" si="80"/>
        <v>0</v>
      </c>
      <c r="F600" s="129">
        <v>2000</v>
      </c>
      <c r="G600" s="122" t="s">
        <v>1963</v>
      </c>
    </row>
    <row r="601" spans="1:7" x14ac:dyDescent="0.25">
      <c r="A601" s="125">
        <f t="shared" si="72"/>
        <v>561</v>
      </c>
      <c r="B601" s="130"/>
      <c r="C601" s="842" t="s">
        <v>10292</v>
      </c>
      <c r="D601" s="906">
        <v>0</v>
      </c>
      <c r="E601" s="906">
        <f t="shared" si="80"/>
        <v>0</v>
      </c>
      <c r="F601" s="129">
        <v>1500</v>
      </c>
      <c r="G601" s="122" t="s">
        <v>1963</v>
      </c>
    </row>
    <row r="602" spans="1:7" x14ac:dyDescent="0.25">
      <c r="A602" s="125">
        <f t="shared" si="72"/>
        <v>562</v>
      </c>
      <c r="B602" s="130"/>
      <c r="C602" s="842" t="s">
        <v>10293</v>
      </c>
      <c r="D602" s="906">
        <v>0</v>
      </c>
      <c r="E602" s="906">
        <f t="shared" si="80"/>
        <v>0</v>
      </c>
      <c r="F602" s="129">
        <v>15000</v>
      </c>
      <c r="G602" s="122" t="s">
        <v>1963</v>
      </c>
    </row>
    <row r="603" spans="1:7" x14ac:dyDescent="0.25">
      <c r="A603" s="125">
        <f t="shared" si="72"/>
        <v>563</v>
      </c>
      <c r="B603" s="130"/>
      <c r="C603" s="842" t="s">
        <v>10294</v>
      </c>
      <c r="D603" s="906">
        <v>0</v>
      </c>
      <c r="E603" s="906">
        <f t="shared" si="80"/>
        <v>0</v>
      </c>
      <c r="F603" s="129">
        <v>2000</v>
      </c>
      <c r="G603" s="122" t="s">
        <v>1963</v>
      </c>
    </row>
    <row r="604" spans="1:7" x14ac:dyDescent="0.25">
      <c r="A604" s="125">
        <f t="shared" si="72"/>
        <v>564</v>
      </c>
      <c r="B604" s="130"/>
      <c r="C604" s="842" t="s">
        <v>10295</v>
      </c>
      <c r="D604" s="906">
        <v>0</v>
      </c>
      <c r="E604" s="906">
        <f t="shared" si="80"/>
        <v>0</v>
      </c>
      <c r="F604" s="129">
        <v>2000</v>
      </c>
      <c r="G604" s="122" t="s">
        <v>1963</v>
      </c>
    </row>
    <row r="605" spans="1:7" ht="31.5" x14ac:dyDescent="0.25">
      <c r="A605" s="125">
        <f t="shared" si="72"/>
        <v>565</v>
      </c>
      <c r="B605" s="130"/>
      <c r="C605" s="842" t="s">
        <v>10296</v>
      </c>
      <c r="D605" s="906">
        <v>0</v>
      </c>
      <c r="E605" s="906">
        <f t="shared" si="80"/>
        <v>0</v>
      </c>
      <c r="F605" s="129">
        <v>300</v>
      </c>
      <c r="G605" s="122" t="s">
        <v>1963</v>
      </c>
    </row>
    <row r="606" spans="1:7" x14ac:dyDescent="0.25">
      <c r="A606" s="125">
        <f t="shared" ref="A606:A669" si="81">A605+1</f>
        <v>566</v>
      </c>
      <c r="B606" s="130"/>
      <c r="C606" s="842" t="s">
        <v>10297</v>
      </c>
      <c r="D606" s="906">
        <v>0</v>
      </c>
      <c r="E606" s="906">
        <f t="shared" si="80"/>
        <v>0</v>
      </c>
      <c r="F606" s="129">
        <v>1500</v>
      </c>
      <c r="G606" s="122" t="s">
        <v>1963</v>
      </c>
    </row>
    <row r="607" spans="1:7" ht="31.5" x14ac:dyDescent="0.25">
      <c r="A607" s="125">
        <f t="shared" si="81"/>
        <v>567</v>
      </c>
      <c r="B607" s="130"/>
      <c r="C607" s="842" t="s">
        <v>10298</v>
      </c>
      <c r="D607" s="906">
        <v>0</v>
      </c>
      <c r="E607" s="906">
        <f t="shared" si="80"/>
        <v>0</v>
      </c>
      <c r="F607" s="129">
        <v>5000</v>
      </c>
      <c r="G607" s="122" t="s">
        <v>1963</v>
      </c>
    </row>
    <row r="608" spans="1:7" x14ac:dyDescent="0.25">
      <c r="A608" s="125">
        <f t="shared" si="81"/>
        <v>568</v>
      </c>
      <c r="B608" s="130"/>
      <c r="C608" s="842" t="s">
        <v>10351</v>
      </c>
      <c r="D608" s="906">
        <v>0</v>
      </c>
      <c r="E608" s="906">
        <f t="shared" si="80"/>
        <v>0</v>
      </c>
      <c r="F608" s="129">
        <v>5000</v>
      </c>
      <c r="G608" s="122" t="s">
        <v>1963</v>
      </c>
    </row>
    <row r="609" spans="1:7" x14ac:dyDescent="0.25">
      <c r="A609" s="125">
        <f t="shared" si="81"/>
        <v>569</v>
      </c>
      <c r="B609" s="130"/>
      <c r="C609" s="842" t="s">
        <v>10299</v>
      </c>
      <c r="D609" s="906">
        <v>0</v>
      </c>
      <c r="E609" s="906">
        <f t="shared" si="80"/>
        <v>0</v>
      </c>
      <c r="F609" s="129">
        <v>5000</v>
      </c>
      <c r="G609" s="122" t="s">
        <v>1963</v>
      </c>
    </row>
    <row r="610" spans="1:7" x14ac:dyDescent="0.25">
      <c r="A610" s="125">
        <f t="shared" si="81"/>
        <v>570</v>
      </c>
      <c r="B610" s="130"/>
      <c r="C610" s="123" t="s">
        <v>10300</v>
      </c>
      <c r="D610" s="904"/>
      <c r="E610" s="904"/>
      <c r="F610" s="129"/>
    </row>
    <row r="611" spans="1:7" x14ac:dyDescent="0.25">
      <c r="A611" s="125">
        <f t="shared" si="81"/>
        <v>571</v>
      </c>
      <c r="B611" s="130"/>
      <c r="C611" s="842" t="s">
        <v>10305</v>
      </c>
      <c r="D611" s="906">
        <v>0</v>
      </c>
      <c r="E611" s="906">
        <f t="shared" ref="E611:E617" si="82">D611/8*12</f>
        <v>0</v>
      </c>
      <c r="F611" s="129">
        <v>1000</v>
      </c>
      <c r="G611" s="122" t="s">
        <v>1963</v>
      </c>
    </row>
    <row r="612" spans="1:7" x14ac:dyDescent="0.25">
      <c r="A612" s="125">
        <f t="shared" si="81"/>
        <v>572</v>
      </c>
      <c r="B612" s="130"/>
      <c r="C612" s="842" t="s">
        <v>10306</v>
      </c>
      <c r="D612" s="906">
        <v>0</v>
      </c>
      <c r="E612" s="906">
        <f t="shared" si="82"/>
        <v>0</v>
      </c>
      <c r="F612" s="129">
        <v>1000</v>
      </c>
      <c r="G612" s="122" t="s">
        <v>1963</v>
      </c>
    </row>
    <row r="613" spans="1:7" x14ac:dyDescent="0.25">
      <c r="A613" s="125">
        <f t="shared" si="81"/>
        <v>573</v>
      </c>
      <c r="B613" s="130"/>
      <c r="C613" s="842" t="s">
        <v>10307</v>
      </c>
      <c r="D613" s="906">
        <v>0</v>
      </c>
      <c r="E613" s="906">
        <f t="shared" si="82"/>
        <v>0</v>
      </c>
      <c r="F613" s="129">
        <v>1000</v>
      </c>
      <c r="G613" s="122" t="s">
        <v>1963</v>
      </c>
    </row>
    <row r="614" spans="1:7" x14ac:dyDescent="0.25">
      <c r="A614" s="125">
        <f t="shared" si="81"/>
        <v>574</v>
      </c>
      <c r="B614" s="130"/>
      <c r="C614" s="842" t="s">
        <v>10308</v>
      </c>
      <c r="D614" s="906">
        <v>0</v>
      </c>
      <c r="E614" s="906">
        <f t="shared" si="82"/>
        <v>0</v>
      </c>
      <c r="F614" s="129">
        <v>1000</v>
      </c>
      <c r="G614" s="122" t="s">
        <v>1963</v>
      </c>
    </row>
    <row r="615" spans="1:7" x14ac:dyDescent="0.25">
      <c r="A615" s="125">
        <f t="shared" si="81"/>
        <v>575</v>
      </c>
      <c r="B615" s="130"/>
      <c r="C615" s="842" t="s">
        <v>10309</v>
      </c>
      <c r="D615" s="906">
        <v>0</v>
      </c>
      <c r="E615" s="906">
        <f t="shared" si="82"/>
        <v>0</v>
      </c>
      <c r="F615" s="129">
        <v>1000</v>
      </c>
      <c r="G615" s="122" t="s">
        <v>1963</v>
      </c>
    </row>
    <row r="616" spans="1:7" x14ac:dyDescent="0.25">
      <c r="A616" s="125">
        <f t="shared" si="81"/>
        <v>576</v>
      </c>
      <c r="B616" s="130"/>
      <c r="C616" s="842" t="s">
        <v>10310</v>
      </c>
      <c r="D616" s="906">
        <v>0</v>
      </c>
      <c r="E616" s="906">
        <f t="shared" si="82"/>
        <v>0</v>
      </c>
      <c r="F616" s="129">
        <v>1000</v>
      </c>
      <c r="G616" s="122" t="s">
        <v>1963</v>
      </c>
    </row>
    <row r="617" spans="1:7" x14ac:dyDescent="0.25">
      <c r="A617" s="125">
        <f t="shared" si="81"/>
        <v>577</v>
      </c>
      <c r="B617" s="130"/>
      <c r="C617" s="842" t="s">
        <v>10311</v>
      </c>
      <c r="D617" s="906">
        <v>0</v>
      </c>
      <c r="E617" s="906">
        <f t="shared" si="82"/>
        <v>0</v>
      </c>
      <c r="F617" s="129">
        <v>1000</v>
      </c>
      <c r="G617" s="122" t="s">
        <v>1963</v>
      </c>
    </row>
    <row r="618" spans="1:7" x14ac:dyDescent="0.25">
      <c r="A618" s="125">
        <f t="shared" si="81"/>
        <v>578</v>
      </c>
      <c r="B618" s="130"/>
      <c r="C618" s="232" t="s">
        <v>10301</v>
      </c>
      <c r="D618" s="915"/>
      <c r="E618" s="915"/>
      <c r="F618" s="129"/>
    </row>
    <row r="619" spans="1:7" x14ac:dyDescent="0.25">
      <c r="A619" s="125">
        <f t="shared" si="81"/>
        <v>579</v>
      </c>
      <c r="B619" s="130"/>
      <c r="C619" s="842" t="s">
        <v>10312</v>
      </c>
      <c r="D619" s="906">
        <v>1145</v>
      </c>
      <c r="E619" s="906">
        <f t="shared" ref="E619:E633" si="83">D619/8*12</f>
        <v>1717.5</v>
      </c>
      <c r="F619" s="129">
        <f>E619</f>
        <v>1717.5</v>
      </c>
      <c r="G619" s="122" t="s">
        <v>1963</v>
      </c>
    </row>
    <row r="620" spans="1:7" x14ac:dyDescent="0.25">
      <c r="A620" s="125">
        <f t="shared" si="81"/>
        <v>580</v>
      </c>
      <c r="B620" s="130"/>
      <c r="C620" s="842" t="s">
        <v>10313</v>
      </c>
      <c r="D620" s="906">
        <v>0</v>
      </c>
      <c r="E620" s="906">
        <f t="shared" si="83"/>
        <v>0</v>
      </c>
      <c r="F620" s="129">
        <v>3000</v>
      </c>
      <c r="G620" s="122" t="s">
        <v>1963</v>
      </c>
    </row>
    <row r="621" spans="1:7" x14ac:dyDescent="0.25">
      <c r="A621" s="125">
        <f t="shared" si="81"/>
        <v>581</v>
      </c>
      <c r="B621" s="130"/>
      <c r="C621" s="842" t="s">
        <v>10314</v>
      </c>
      <c r="D621" s="906">
        <v>0</v>
      </c>
      <c r="E621" s="906">
        <f t="shared" si="83"/>
        <v>0</v>
      </c>
      <c r="F621" s="129">
        <v>5000</v>
      </c>
      <c r="G621" s="122" t="s">
        <v>1963</v>
      </c>
    </row>
    <row r="622" spans="1:7" x14ac:dyDescent="0.25">
      <c r="A622" s="125">
        <f t="shared" si="81"/>
        <v>582</v>
      </c>
      <c r="B622" s="130"/>
      <c r="C622" s="842" t="s">
        <v>10315</v>
      </c>
      <c r="D622" s="906">
        <v>2060</v>
      </c>
      <c r="E622" s="906">
        <f t="shared" si="83"/>
        <v>3090</v>
      </c>
      <c r="F622" s="129">
        <f>E622</f>
        <v>3090</v>
      </c>
      <c r="G622" s="122" t="s">
        <v>1963</v>
      </c>
    </row>
    <row r="623" spans="1:7" x14ac:dyDescent="0.25">
      <c r="A623" s="125">
        <f t="shared" si="81"/>
        <v>583</v>
      </c>
      <c r="B623" s="130"/>
      <c r="C623" s="842" t="s">
        <v>10316</v>
      </c>
      <c r="D623" s="906">
        <v>0</v>
      </c>
      <c r="E623" s="906">
        <f t="shared" si="83"/>
        <v>0</v>
      </c>
      <c r="F623" s="129">
        <v>5000</v>
      </c>
      <c r="G623" s="122" t="s">
        <v>1963</v>
      </c>
    </row>
    <row r="624" spans="1:7" ht="31.5" x14ac:dyDescent="0.25">
      <c r="A624" s="125">
        <f t="shared" si="81"/>
        <v>584</v>
      </c>
      <c r="B624" s="130"/>
      <c r="C624" s="842" t="s">
        <v>10326</v>
      </c>
      <c r="D624" s="906">
        <v>0</v>
      </c>
      <c r="E624" s="906">
        <f t="shared" si="83"/>
        <v>0</v>
      </c>
      <c r="F624" s="129">
        <v>1</v>
      </c>
      <c r="G624" s="122" t="s">
        <v>1963</v>
      </c>
    </row>
    <row r="625" spans="1:7" ht="31.5" x14ac:dyDescent="0.25">
      <c r="A625" s="125">
        <f t="shared" si="81"/>
        <v>585</v>
      </c>
      <c r="B625" s="130"/>
      <c r="C625" s="842" t="s">
        <v>10325</v>
      </c>
      <c r="D625" s="906">
        <v>0</v>
      </c>
      <c r="E625" s="906">
        <f t="shared" si="83"/>
        <v>0</v>
      </c>
      <c r="F625" s="129">
        <v>1</v>
      </c>
      <c r="G625" s="122" t="s">
        <v>1963</v>
      </c>
    </row>
    <row r="626" spans="1:7" ht="31.5" x14ac:dyDescent="0.25">
      <c r="A626" s="125">
        <f t="shared" si="81"/>
        <v>586</v>
      </c>
      <c r="B626" s="130"/>
      <c r="C626" s="842" t="s">
        <v>10324</v>
      </c>
      <c r="D626" s="906">
        <v>0</v>
      </c>
      <c r="E626" s="906">
        <f t="shared" si="83"/>
        <v>0</v>
      </c>
      <c r="F626" s="129">
        <v>1</v>
      </c>
      <c r="G626" s="122" t="s">
        <v>1963</v>
      </c>
    </row>
    <row r="627" spans="1:7" x14ac:dyDescent="0.25">
      <c r="A627" s="125">
        <f t="shared" si="81"/>
        <v>587</v>
      </c>
      <c r="B627" s="130"/>
      <c r="C627" s="842" t="s">
        <v>10317</v>
      </c>
      <c r="D627" s="906">
        <v>0</v>
      </c>
      <c r="E627" s="906">
        <f t="shared" si="83"/>
        <v>0</v>
      </c>
      <c r="F627" s="129">
        <v>10000</v>
      </c>
      <c r="G627" s="122" t="s">
        <v>1963</v>
      </c>
    </row>
    <row r="628" spans="1:7" x14ac:dyDescent="0.25">
      <c r="A628" s="125">
        <f t="shared" si="81"/>
        <v>588</v>
      </c>
      <c r="B628" s="130"/>
      <c r="C628" s="842" t="s">
        <v>10318</v>
      </c>
      <c r="D628" s="906">
        <v>0</v>
      </c>
      <c r="E628" s="906">
        <f t="shared" si="83"/>
        <v>0</v>
      </c>
      <c r="F628" s="129">
        <v>5000</v>
      </c>
      <c r="G628" s="122" t="s">
        <v>1963</v>
      </c>
    </row>
    <row r="629" spans="1:7" x14ac:dyDescent="0.25">
      <c r="A629" s="125">
        <f t="shared" si="81"/>
        <v>589</v>
      </c>
      <c r="B629" s="130"/>
      <c r="C629" s="842" t="s">
        <v>10319</v>
      </c>
      <c r="D629" s="906">
        <v>0</v>
      </c>
      <c r="E629" s="906">
        <f t="shared" si="83"/>
        <v>0</v>
      </c>
      <c r="F629" s="129">
        <f>(100100*3%)+(35100*25%)</f>
        <v>11778</v>
      </c>
      <c r="G629" s="122" t="s">
        <v>1963</v>
      </c>
    </row>
    <row r="630" spans="1:7" x14ac:dyDescent="0.25">
      <c r="A630" s="125">
        <f t="shared" si="81"/>
        <v>590</v>
      </c>
      <c r="B630" s="130"/>
      <c r="C630" s="842" t="s">
        <v>10320</v>
      </c>
      <c r="D630" s="906">
        <v>0</v>
      </c>
      <c r="E630" s="906">
        <f t="shared" si="83"/>
        <v>0</v>
      </c>
      <c r="F630" s="129">
        <f>35100*25%</f>
        <v>8775</v>
      </c>
      <c r="G630" s="122" t="s">
        <v>1963</v>
      </c>
    </row>
    <row r="631" spans="1:7" x14ac:dyDescent="0.25">
      <c r="A631" s="125">
        <f t="shared" si="81"/>
        <v>591</v>
      </c>
      <c r="B631" s="130"/>
      <c r="C631" s="842" t="s">
        <v>10321</v>
      </c>
      <c r="D631" s="906">
        <v>0</v>
      </c>
      <c r="E631" s="906">
        <f t="shared" si="83"/>
        <v>0</v>
      </c>
      <c r="F631" s="129">
        <f>70200-1</f>
        <v>70199</v>
      </c>
      <c r="G631" s="122" t="s">
        <v>1963</v>
      </c>
    </row>
    <row r="632" spans="1:7" x14ac:dyDescent="0.25">
      <c r="A632" s="125">
        <f t="shared" si="81"/>
        <v>592</v>
      </c>
      <c r="B632" s="130"/>
      <c r="C632" s="842" t="s">
        <v>10322</v>
      </c>
      <c r="D632" s="906">
        <v>0</v>
      </c>
      <c r="E632" s="906">
        <f t="shared" si="83"/>
        <v>0</v>
      </c>
      <c r="F632" s="129">
        <f>50100-1</f>
        <v>50099</v>
      </c>
      <c r="G632" s="122" t="s">
        <v>1963</v>
      </c>
    </row>
    <row r="633" spans="1:7" x14ac:dyDescent="0.25">
      <c r="A633" s="125">
        <f t="shared" si="81"/>
        <v>593</v>
      </c>
      <c r="B633" s="130"/>
      <c r="C633" s="842" t="s">
        <v>10323</v>
      </c>
      <c r="D633" s="906">
        <v>0</v>
      </c>
      <c r="E633" s="906">
        <f t="shared" si="83"/>
        <v>0</v>
      </c>
      <c r="F633" s="129">
        <f>100100-1</f>
        <v>100099</v>
      </c>
      <c r="G633" s="122" t="s">
        <v>1963</v>
      </c>
    </row>
    <row r="634" spans="1:7" x14ac:dyDescent="0.25">
      <c r="A634" s="125">
        <f t="shared" si="81"/>
        <v>594</v>
      </c>
      <c r="B634" s="130"/>
      <c r="C634" s="232" t="s">
        <v>10327</v>
      </c>
      <c r="D634" s="915"/>
      <c r="E634" s="915"/>
      <c r="F634" s="129"/>
    </row>
    <row r="635" spans="1:7" x14ac:dyDescent="0.25">
      <c r="A635" s="125">
        <f t="shared" si="81"/>
        <v>595</v>
      </c>
      <c r="B635" s="130"/>
      <c r="C635" s="842" t="s">
        <v>10238</v>
      </c>
      <c r="D635" s="906">
        <v>0</v>
      </c>
      <c r="E635" s="906">
        <f t="shared" ref="E635:E641" si="84">D635/8*12</f>
        <v>0</v>
      </c>
      <c r="F635" s="129">
        <v>1000</v>
      </c>
      <c r="G635" s="122" t="s">
        <v>1963</v>
      </c>
    </row>
    <row r="636" spans="1:7" x14ac:dyDescent="0.25">
      <c r="A636" s="125">
        <f t="shared" si="81"/>
        <v>596</v>
      </c>
      <c r="B636" s="130"/>
      <c r="C636" s="842" t="s">
        <v>10329</v>
      </c>
      <c r="D636" s="906">
        <v>0</v>
      </c>
      <c r="E636" s="906">
        <f t="shared" si="84"/>
        <v>0</v>
      </c>
      <c r="F636" s="129">
        <v>1000</v>
      </c>
      <c r="G636" s="122" t="s">
        <v>1963</v>
      </c>
    </row>
    <row r="637" spans="1:7" x14ac:dyDescent="0.25">
      <c r="A637" s="125">
        <f t="shared" si="81"/>
        <v>597</v>
      </c>
      <c r="B637" s="130"/>
      <c r="C637" s="842" t="s">
        <v>10240</v>
      </c>
      <c r="D637" s="906">
        <v>0</v>
      </c>
      <c r="E637" s="906">
        <f t="shared" si="84"/>
        <v>0</v>
      </c>
      <c r="F637" s="129">
        <v>5000</v>
      </c>
      <c r="G637" s="122" t="s">
        <v>1963</v>
      </c>
    </row>
    <row r="638" spans="1:7" x14ac:dyDescent="0.25">
      <c r="A638" s="125">
        <f t="shared" si="81"/>
        <v>598</v>
      </c>
      <c r="B638" s="130"/>
      <c r="C638" s="842" t="s">
        <v>10330</v>
      </c>
      <c r="D638" s="906">
        <v>0</v>
      </c>
      <c r="E638" s="906">
        <f t="shared" si="84"/>
        <v>0</v>
      </c>
      <c r="F638" s="129">
        <v>5000</v>
      </c>
      <c r="G638" s="122" t="s">
        <v>1963</v>
      </c>
    </row>
    <row r="639" spans="1:7" x14ac:dyDescent="0.25">
      <c r="A639" s="125">
        <f t="shared" si="81"/>
        <v>599</v>
      </c>
      <c r="B639" s="130"/>
      <c r="C639" s="842" t="s">
        <v>10331</v>
      </c>
      <c r="D639" s="906">
        <v>0</v>
      </c>
      <c r="E639" s="906">
        <f t="shared" si="84"/>
        <v>0</v>
      </c>
      <c r="F639" s="129">
        <v>5000</v>
      </c>
      <c r="G639" s="122" t="s">
        <v>1963</v>
      </c>
    </row>
    <row r="640" spans="1:7" x14ac:dyDescent="0.25">
      <c r="A640" s="125">
        <f t="shared" si="81"/>
        <v>600</v>
      </c>
      <c r="B640" s="130"/>
      <c r="C640" s="842" t="s">
        <v>10332</v>
      </c>
      <c r="D640" s="906">
        <v>0</v>
      </c>
      <c r="E640" s="906">
        <f t="shared" si="84"/>
        <v>0</v>
      </c>
      <c r="F640" s="129">
        <v>5000</v>
      </c>
      <c r="G640" s="122" t="s">
        <v>1963</v>
      </c>
    </row>
    <row r="641" spans="1:7" x14ac:dyDescent="0.25">
      <c r="A641" s="125">
        <f t="shared" si="81"/>
        <v>601</v>
      </c>
      <c r="B641" s="130"/>
      <c r="C641" s="842" t="s">
        <v>10333</v>
      </c>
      <c r="D641" s="906">
        <v>0</v>
      </c>
      <c r="E641" s="906">
        <f t="shared" si="84"/>
        <v>0</v>
      </c>
      <c r="F641" s="129">
        <v>5000</v>
      </c>
      <c r="G641" s="122" t="s">
        <v>1963</v>
      </c>
    </row>
    <row r="642" spans="1:7" x14ac:dyDescent="0.25">
      <c r="A642" s="125">
        <f t="shared" si="81"/>
        <v>602</v>
      </c>
      <c r="B642" s="130"/>
      <c r="C642" s="232" t="s">
        <v>10328</v>
      </c>
      <c r="D642" s="915"/>
      <c r="E642" s="915"/>
      <c r="F642" s="129"/>
    </row>
    <row r="643" spans="1:7" x14ac:dyDescent="0.25">
      <c r="A643" s="125">
        <f t="shared" si="81"/>
        <v>603</v>
      </c>
      <c r="B643" s="130"/>
      <c r="C643" s="842" t="s">
        <v>10334</v>
      </c>
      <c r="D643" s="906">
        <v>0</v>
      </c>
      <c r="E643" s="906">
        <f t="shared" ref="E643:E651" si="85">D643/8*12</f>
        <v>0</v>
      </c>
      <c r="F643" s="129">
        <v>100</v>
      </c>
      <c r="G643" s="122" t="s">
        <v>1963</v>
      </c>
    </row>
    <row r="644" spans="1:7" x14ac:dyDescent="0.25">
      <c r="A644" s="125">
        <f t="shared" si="81"/>
        <v>604</v>
      </c>
      <c r="B644" s="130"/>
      <c r="C644" s="842" t="s">
        <v>10335</v>
      </c>
      <c r="D644" s="906">
        <v>2517.5</v>
      </c>
      <c r="E644" s="906">
        <f t="shared" si="85"/>
        <v>3776.25</v>
      </c>
      <c r="F644" s="129">
        <f>E644</f>
        <v>3776.25</v>
      </c>
      <c r="G644" s="122" t="s">
        <v>1963</v>
      </c>
    </row>
    <row r="645" spans="1:7" x14ac:dyDescent="0.25">
      <c r="A645" s="125">
        <f t="shared" si="81"/>
        <v>605</v>
      </c>
      <c r="B645" s="130"/>
      <c r="C645" s="842" t="s">
        <v>10336</v>
      </c>
      <c r="D645" s="906">
        <v>0</v>
      </c>
      <c r="E645" s="906">
        <f t="shared" si="85"/>
        <v>0</v>
      </c>
      <c r="F645" s="129">
        <v>1000</v>
      </c>
      <c r="G645" s="122" t="s">
        <v>1963</v>
      </c>
    </row>
    <row r="646" spans="1:7" x14ac:dyDescent="0.25">
      <c r="A646" s="125">
        <f t="shared" si="81"/>
        <v>606</v>
      </c>
      <c r="B646" s="130"/>
      <c r="C646" s="842" t="s">
        <v>10337</v>
      </c>
      <c r="D646" s="906">
        <v>19984.099999999999</v>
      </c>
      <c r="E646" s="906">
        <f>D646</f>
        <v>19984.099999999999</v>
      </c>
      <c r="F646" s="129">
        <f>E646</f>
        <v>19984.099999999999</v>
      </c>
      <c r="G646" s="122" t="s">
        <v>1963</v>
      </c>
    </row>
    <row r="647" spans="1:7" x14ac:dyDescent="0.25">
      <c r="A647" s="125">
        <f t="shared" si="81"/>
        <v>607</v>
      </c>
      <c r="B647" s="130"/>
      <c r="C647" s="842" t="s">
        <v>10338</v>
      </c>
      <c r="D647" s="906">
        <v>0</v>
      </c>
      <c r="E647" s="906">
        <f t="shared" si="85"/>
        <v>0</v>
      </c>
      <c r="F647" s="129">
        <v>1000</v>
      </c>
      <c r="G647" s="122" t="s">
        <v>1963</v>
      </c>
    </row>
    <row r="648" spans="1:7" x14ac:dyDescent="0.25">
      <c r="A648" s="125">
        <f t="shared" si="81"/>
        <v>608</v>
      </c>
      <c r="B648" s="130"/>
      <c r="C648" s="842" t="s">
        <v>10339</v>
      </c>
      <c r="D648" s="906">
        <v>0</v>
      </c>
      <c r="E648" s="906">
        <f t="shared" si="85"/>
        <v>0</v>
      </c>
      <c r="F648" s="129">
        <v>1000</v>
      </c>
      <c r="G648" s="122" t="s">
        <v>1963</v>
      </c>
    </row>
    <row r="649" spans="1:7" x14ac:dyDescent="0.25">
      <c r="A649" s="125">
        <f t="shared" si="81"/>
        <v>609</v>
      </c>
      <c r="B649" s="130"/>
      <c r="C649" s="842" t="s">
        <v>10340</v>
      </c>
      <c r="D649" s="906">
        <v>0</v>
      </c>
      <c r="E649" s="906">
        <f t="shared" si="85"/>
        <v>0</v>
      </c>
      <c r="F649" s="129">
        <v>1000</v>
      </c>
      <c r="G649" s="122" t="s">
        <v>1963</v>
      </c>
    </row>
    <row r="650" spans="1:7" x14ac:dyDescent="0.25">
      <c r="A650" s="125">
        <f t="shared" si="81"/>
        <v>610</v>
      </c>
      <c r="B650" s="130"/>
      <c r="C650" s="842" t="s">
        <v>10341</v>
      </c>
      <c r="D650" s="906">
        <v>0</v>
      </c>
      <c r="E650" s="906">
        <f t="shared" si="85"/>
        <v>0</v>
      </c>
      <c r="F650" s="129">
        <v>1000</v>
      </c>
      <c r="G650" s="122" t="s">
        <v>1963</v>
      </c>
    </row>
    <row r="651" spans="1:7" x14ac:dyDescent="0.25">
      <c r="A651" s="125">
        <f t="shared" si="81"/>
        <v>611</v>
      </c>
      <c r="B651" s="130"/>
      <c r="C651" s="842" t="s">
        <v>10342</v>
      </c>
      <c r="D651" s="906">
        <v>0</v>
      </c>
      <c r="E651" s="906">
        <f t="shared" si="85"/>
        <v>0</v>
      </c>
      <c r="F651" s="129">
        <v>1000</v>
      </c>
      <c r="G651" s="122" t="s">
        <v>1963</v>
      </c>
    </row>
    <row r="652" spans="1:7" x14ac:dyDescent="0.25">
      <c r="A652" s="125">
        <f t="shared" si="81"/>
        <v>612</v>
      </c>
      <c r="B652" s="130"/>
      <c r="C652" s="232" t="s">
        <v>10344</v>
      </c>
      <c r="D652" s="915"/>
      <c r="E652" s="915"/>
      <c r="F652" s="129"/>
    </row>
    <row r="653" spans="1:7" x14ac:dyDescent="0.25">
      <c r="A653" s="125">
        <f t="shared" si="81"/>
        <v>613</v>
      </c>
      <c r="B653" s="130"/>
      <c r="C653" s="842" t="s">
        <v>4377</v>
      </c>
      <c r="D653" s="906">
        <v>124992</v>
      </c>
      <c r="E653" s="906">
        <f>D653</f>
        <v>124992</v>
      </c>
      <c r="F653" s="129">
        <v>182049.61</v>
      </c>
      <c r="G653" s="122" t="s">
        <v>1963</v>
      </c>
    </row>
    <row r="654" spans="1:7" x14ac:dyDescent="0.25">
      <c r="A654" s="125">
        <f t="shared" si="81"/>
        <v>614</v>
      </c>
      <c r="B654" s="130"/>
      <c r="C654" s="232" t="s">
        <v>10343</v>
      </c>
      <c r="D654" s="915"/>
      <c r="E654" s="915"/>
      <c r="F654" s="129"/>
    </row>
    <row r="655" spans="1:7" x14ac:dyDescent="0.25">
      <c r="A655" s="125">
        <f t="shared" si="81"/>
        <v>615</v>
      </c>
      <c r="B655" s="130"/>
      <c r="C655" s="842" t="s">
        <v>11464</v>
      </c>
      <c r="D655" s="906">
        <v>0</v>
      </c>
      <c r="E655" s="906">
        <f t="shared" ref="E655:E657" si="86">D655/8*12</f>
        <v>0</v>
      </c>
      <c r="F655" s="129">
        <v>1</v>
      </c>
      <c r="G655" s="122" t="s">
        <v>1963</v>
      </c>
    </row>
    <row r="656" spans="1:7" x14ac:dyDescent="0.25">
      <c r="A656" s="125">
        <f t="shared" si="81"/>
        <v>616</v>
      </c>
      <c r="B656" s="130"/>
      <c r="C656" s="842" t="s">
        <v>11465</v>
      </c>
      <c r="D656" s="906">
        <v>0</v>
      </c>
      <c r="E656" s="906">
        <f t="shared" si="86"/>
        <v>0</v>
      </c>
      <c r="F656" s="129">
        <v>6185.57</v>
      </c>
      <c r="G656" s="122" t="s">
        <v>1963</v>
      </c>
    </row>
    <row r="657" spans="1:9" x14ac:dyDescent="0.25">
      <c r="A657" s="125">
        <f t="shared" si="81"/>
        <v>617</v>
      </c>
      <c r="B657" s="130"/>
      <c r="C657" s="842" t="s">
        <v>11465</v>
      </c>
      <c r="D657" s="906">
        <v>0</v>
      </c>
      <c r="E657" s="906">
        <f t="shared" si="86"/>
        <v>0</v>
      </c>
      <c r="F657" s="129">
        <f>100100-1</f>
        <v>100099</v>
      </c>
      <c r="G657" s="122" t="s">
        <v>1963</v>
      </c>
    </row>
    <row r="658" spans="1:9" x14ac:dyDescent="0.25">
      <c r="A658" s="125">
        <f t="shared" si="81"/>
        <v>618</v>
      </c>
      <c r="B658" s="130"/>
      <c r="C658" s="232" t="s">
        <v>10345</v>
      </c>
      <c r="D658" s="915"/>
      <c r="E658" s="915"/>
      <c r="F658" s="129"/>
    </row>
    <row r="659" spans="1:9" x14ac:dyDescent="0.25">
      <c r="A659" s="125">
        <f t="shared" si="81"/>
        <v>619</v>
      </c>
      <c r="B659" s="130"/>
      <c r="C659" s="842" t="s">
        <v>10370</v>
      </c>
      <c r="D659" s="906">
        <v>0</v>
      </c>
      <c r="E659" s="906">
        <f t="shared" ref="E659" si="87">D659/8*12</f>
        <v>0</v>
      </c>
      <c r="F659" s="129">
        <v>10000</v>
      </c>
      <c r="G659" s="122" t="s">
        <v>1963</v>
      </c>
    </row>
    <row r="660" spans="1:9" x14ac:dyDescent="0.25">
      <c r="A660" s="125">
        <f t="shared" si="81"/>
        <v>620</v>
      </c>
      <c r="B660" s="130"/>
      <c r="C660" s="232" t="s">
        <v>10346</v>
      </c>
      <c r="D660" s="915"/>
      <c r="E660" s="915"/>
      <c r="F660" s="129"/>
    </row>
    <row r="661" spans="1:9" x14ac:dyDescent="0.25">
      <c r="A661" s="125">
        <f t="shared" si="81"/>
        <v>621</v>
      </c>
      <c r="B661" s="130"/>
      <c r="C661" s="842" t="s">
        <v>10371</v>
      </c>
      <c r="D661" s="906">
        <v>0</v>
      </c>
      <c r="E661" s="906">
        <f t="shared" ref="E661" si="88">D661/8*12</f>
        <v>0</v>
      </c>
      <c r="F661" s="129">
        <v>1</v>
      </c>
      <c r="G661" s="122" t="s">
        <v>1963</v>
      </c>
    </row>
    <row r="662" spans="1:9" x14ac:dyDescent="0.25">
      <c r="A662" s="125">
        <f t="shared" si="81"/>
        <v>622</v>
      </c>
      <c r="B662" s="130"/>
      <c r="C662" s="232" t="s">
        <v>10347</v>
      </c>
      <c r="D662" s="915"/>
      <c r="E662" s="915"/>
      <c r="F662" s="129"/>
    </row>
    <row r="663" spans="1:9" x14ac:dyDescent="0.25">
      <c r="A663" s="125">
        <f t="shared" si="81"/>
        <v>623</v>
      </c>
      <c r="B663" s="130"/>
      <c r="C663" s="842" t="s">
        <v>10372</v>
      </c>
      <c r="D663" s="906">
        <v>0</v>
      </c>
      <c r="E663" s="906">
        <f t="shared" ref="E663" si="89">D663/8*12</f>
        <v>0</v>
      </c>
      <c r="F663" s="129">
        <v>1</v>
      </c>
      <c r="G663" s="122" t="s">
        <v>1963</v>
      </c>
    </row>
    <row r="664" spans="1:9" x14ac:dyDescent="0.25">
      <c r="A664" s="125">
        <f t="shared" si="81"/>
        <v>624</v>
      </c>
      <c r="B664" s="130"/>
      <c r="C664" s="134"/>
      <c r="D664" s="914"/>
      <c r="E664" s="914"/>
      <c r="F664" s="129"/>
    </row>
    <row r="665" spans="1:9" x14ac:dyDescent="0.25">
      <c r="A665" s="125">
        <f t="shared" si="81"/>
        <v>625</v>
      </c>
      <c r="B665" s="130"/>
      <c r="C665" s="1371" t="s">
        <v>6887</v>
      </c>
      <c r="D665" s="1371"/>
      <c r="E665" s="1371"/>
      <c r="F665" s="1371"/>
      <c r="G665" s="1371"/>
      <c r="H665" s="1371"/>
      <c r="I665" s="1371"/>
    </row>
    <row r="666" spans="1:9" x14ac:dyDescent="0.25">
      <c r="A666" s="125">
        <f t="shared" si="81"/>
        <v>626</v>
      </c>
      <c r="B666" s="130"/>
      <c r="C666" s="1371" t="s">
        <v>7682</v>
      </c>
      <c r="D666" s="1371"/>
      <c r="E666" s="1371"/>
      <c r="F666" s="1371"/>
      <c r="G666" s="1371"/>
      <c r="H666" s="1371"/>
      <c r="I666" s="1371"/>
    </row>
    <row r="667" spans="1:9" x14ac:dyDescent="0.25">
      <c r="A667" s="125">
        <f t="shared" si="81"/>
        <v>627</v>
      </c>
      <c r="B667" s="130"/>
      <c r="C667" s="232" t="s">
        <v>10352</v>
      </c>
      <c r="D667" s="915"/>
      <c r="E667" s="915"/>
      <c r="F667" s="129"/>
    </row>
    <row r="668" spans="1:9" x14ac:dyDescent="0.25">
      <c r="A668" s="125">
        <f t="shared" si="81"/>
        <v>628</v>
      </c>
      <c r="B668" s="130"/>
      <c r="C668" s="842" t="s">
        <v>10373</v>
      </c>
      <c r="D668" s="906">
        <v>0</v>
      </c>
      <c r="E668" s="906">
        <f t="shared" ref="E668:E673" si="90">D668/8*12</f>
        <v>0</v>
      </c>
      <c r="F668" s="129">
        <v>1000</v>
      </c>
      <c r="G668" s="122" t="s">
        <v>1963</v>
      </c>
    </row>
    <row r="669" spans="1:9" x14ac:dyDescent="0.25">
      <c r="A669" s="125">
        <f t="shared" si="81"/>
        <v>629</v>
      </c>
      <c r="B669" s="130"/>
      <c r="C669" s="842" t="s">
        <v>10374</v>
      </c>
      <c r="D669" s="906">
        <v>0</v>
      </c>
      <c r="E669" s="906">
        <f t="shared" si="90"/>
        <v>0</v>
      </c>
      <c r="F669" s="129">
        <v>1000</v>
      </c>
      <c r="G669" s="122" t="s">
        <v>1963</v>
      </c>
    </row>
    <row r="670" spans="1:9" x14ac:dyDescent="0.25">
      <c r="A670" s="125">
        <f t="shared" ref="A670:A733" si="91">A669+1</f>
        <v>630</v>
      </c>
      <c r="B670" s="130"/>
      <c r="C670" s="842" t="s">
        <v>10375</v>
      </c>
      <c r="D670" s="906">
        <v>0</v>
      </c>
      <c r="E670" s="906">
        <f t="shared" si="90"/>
        <v>0</v>
      </c>
      <c r="F670" s="129">
        <v>1000</v>
      </c>
      <c r="G670" s="122" t="s">
        <v>1963</v>
      </c>
    </row>
    <row r="671" spans="1:9" x14ac:dyDescent="0.25">
      <c r="A671" s="125">
        <f t="shared" si="91"/>
        <v>631</v>
      </c>
      <c r="B671" s="130"/>
      <c r="C671" s="842" t="s">
        <v>10376</v>
      </c>
      <c r="D671" s="906">
        <v>0</v>
      </c>
      <c r="E671" s="906">
        <f t="shared" si="90"/>
        <v>0</v>
      </c>
      <c r="F671" s="129">
        <v>1000</v>
      </c>
      <c r="G671" s="122" t="s">
        <v>1963</v>
      </c>
    </row>
    <row r="672" spans="1:9" x14ac:dyDescent="0.25">
      <c r="A672" s="125">
        <f t="shared" si="91"/>
        <v>632</v>
      </c>
      <c r="B672" s="130"/>
      <c r="C672" s="842" t="s">
        <v>10377</v>
      </c>
      <c r="D672" s="906">
        <v>0</v>
      </c>
      <c r="E672" s="906">
        <f t="shared" si="90"/>
        <v>0</v>
      </c>
      <c r="F672" s="129">
        <v>1000</v>
      </c>
      <c r="G672" s="122" t="s">
        <v>1963</v>
      </c>
    </row>
    <row r="673" spans="1:7" x14ac:dyDescent="0.25">
      <c r="A673" s="125">
        <f t="shared" si="91"/>
        <v>633</v>
      </c>
      <c r="B673" s="130"/>
      <c r="C673" s="842" t="s">
        <v>10378</v>
      </c>
      <c r="D673" s="906">
        <v>9695.75</v>
      </c>
      <c r="E673" s="906">
        <f t="shared" si="90"/>
        <v>14543.625</v>
      </c>
      <c r="F673" s="129">
        <f>E673</f>
        <v>14543.625</v>
      </c>
      <c r="G673" s="122" t="s">
        <v>1963</v>
      </c>
    </row>
    <row r="674" spans="1:7" x14ac:dyDescent="0.25">
      <c r="A674" s="125">
        <f t="shared" si="91"/>
        <v>634</v>
      </c>
      <c r="B674" s="130"/>
      <c r="C674" s="232" t="s">
        <v>10358</v>
      </c>
      <c r="D674" s="915"/>
      <c r="E674" s="915"/>
      <c r="F674" s="129"/>
    </row>
    <row r="675" spans="1:7" x14ac:dyDescent="0.25">
      <c r="A675" s="125">
        <f t="shared" si="91"/>
        <v>635</v>
      </c>
      <c r="B675" s="130"/>
      <c r="C675" s="842" t="s">
        <v>10379</v>
      </c>
      <c r="D675" s="906">
        <v>0</v>
      </c>
      <c r="E675" s="906">
        <f t="shared" ref="E675:E681" si="92">D675/8*12</f>
        <v>0</v>
      </c>
      <c r="F675" s="129">
        <v>1000</v>
      </c>
      <c r="G675" s="122" t="s">
        <v>1963</v>
      </c>
    </row>
    <row r="676" spans="1:7" x14ac:dyDescent="0.25">
      <c r="A676" s="125">
        <f t="shared" si="91"/>
        <v>636</v>
      </c>
      <c r="B676" s="130"/>
      <c r="C676" s="842" t="s">
        <v>10380</v>
      </c>
      <c r="D676" s="906">
        <v>0</v>
      </c>
      <c r="E676" s="906">
        <f t="shared" si="92"/>
        <v>0</v>
      </c>
      <c r="F676" s="129">
        <v>1000</v>
      </c>
      <c r="G676" s="122" t="s">
        <v>1963</v>
      </c>
    </row>
    <row r="677" spans="1:7" x14ac:dyDescent="0.25">
      <c r="A677" s="125">
        <f t="shared" si="91"/>
        <v>637</v>
      </c>
      <c r="B677" s="130"/>
      <c r="C677" s="842" t="s">
        <v>10381</v>
      </c>
      <c r="D677" s="906">
        <v>0</v>
      </c>
      <c r="E677" s="906">
        <f t="shared" si="92"/>
        <v>0</v>
      </c>
      <c r="F677" s="129">
        <v>1000</v>
      </c>
      <c r="G677" s="122" t="s">
        <v>1963</v>
      </c>
    </row>
    <row r="678" spans="1:7" x14ac:dyDescent="0.25">
      <c r="A678" s="125">
        <f t="shared" si="91"/>
        <v>638</v>
      </c>
      <c r="B678" s="130"/>
      <c r="C678" s="842" t="s">
        <v>10382</v>
      </c>
      <c r="D678" s="906">
        <v>0</v>
      </c>
      <c r="E678" s="906">
        <f t="shared" si="92"/>
        <v>0</v>
      </c>
      <c r="F678" s="129">
        <v>1000</v>
      </c>
      <c r="G678" s="122" t="s">
        <v>1963</v>
      </c>
    </row>
    <row r="679" spans="1:7" x14ac:dyDescent="0.25">
      <c r="A679" s="125">
        <f t="shared" si="91"/>
        <v>639</v>
      </c>
      <c r="B679" s="130"/>
      <c r="C679" s="842" t="s">
        <v>10383</v>
      </c>
      <c r="D679" s="906">
        <v>0</v>
      </c>
      <c r="E679" s="906">
        <f t="shared" si="92"/>
        <v>0</v>
      </c>
      <c r="F679" s="129">
        <v>1000</v>
      </c>
      <c r="G679" s="122" t="s">
        <v>1963</v>
      </c>
    </row>
    <row r="680" spans="1:7" x14ac:dyDescent="0.25">
      <c r="A680" s="125">
        <f t="shared" si="91"/>
        <v>640</v>
      </c>
      <c r="B680" s="130"/>
      <c r="C680" s="842" t="s">
        <v>10384</v>
      </c>
      <c r="D680" s="906">
        <v>0</v>
      </c>
      <c r="E680" s="906">
        <f t="shared" si="92"/>
        <v>0</v>
      </c>
      <c r="F680" s="129">
        <v>1000</v>
      </c>
      <c r="G680" s="122" t="s">
        <v>1963</v>
      </c>
    </row>
    <row r="681" spans="1:7" x14ac:dyDescent="0.25">
      <c r="A681" s="125">
        <f t="shared" si="91"/>
        <v>641</v>
      </c>
      <c r="B681" s="130"/>
      <c r="C681" s="842" t="s">
        <v>10385</v>
      </c>
      <c r="D681" s="906">
        <v>0</v>
      </c>
      <c r="E681" s="906">
        <f t="shared" si="92"/>
        <v>0</v>
      </c>
      <c r="F681" s="129">
        <v>1000</v>
      </c>
      <c r="G681" s="122" t="s">
        <v>1963</v>
      </c>
    </row>
    <row r="682" spans="1:7" x14ac:dyDescent="0.25">
      <c r="A682" s="125">
        <f t="shared" si="91"/>
        <v>642</v>
      </c>
      <c r="B682" s="130"/>
      <c r="C682" s="232" t="s">
        <v>10359</v>
      </c>
      <c r="D682" s="915"/>
      <c r="E682" s="915"/>
      <c r="F682" s="129"/>
    </row>
    <row r="683" spans="1:7" x14ac:dyDescent="0.25">
      <c r="A683" s="125">
        <f t="shared" si="91"/>
        <v>643</v>
      </c>
      <c r="B683" s="130"/>
      <c r="C683" s="842" t="s">
        <v>10386</v>
      </c>
      <c r="D683" s="906">
        <v>0</v>
      </c>
      <c r="E683" s="906">
        <f t="shared" ref="E683:E688" si="93">D683/8*12</f>
        <v>0</v>
      </c>
      <c r="F683" s="129">
        <v>1000</v>
      </c>
      <c r="G683" s="122" t="s">
        <v>1963</v>
      </c>
    </row>
    <row r="684" spans="1:7" x14ac:dyDescent="0.25">
      <c r="A684" s="125">
        <f t="shared" si="91"/>
        <v>644</v>
      </c>
      <c r="B684" s="130"/>
      <c r="C684" s="842" t="s">
        <v>10387</v>
      </c>
      <c r="D684" s="906">
        <v>0</v>
      </c>
      <c r="E684" s="906">
        <f t="shared" si="93"/>
        <v>0</v>
      </c>
      <c r="F684" s="129">
        <v>1000</v>
      </c>
      <c r="G684" s="122" t="s">
        <v>1963</v>
      </c>
    </row>
    <row r="685" spans="1:7" x14ac:dyDescent="0.25">
      <c r="A685" s="125">
        <f t="shared" si="91"/>
        <v>645</v>
      </c>
      <c r="B685" s="130"/>
      <c r="C685" s="842" t="s">
        <v>10388</v>
      </c>
      <c r="D685" s="906">
        <v>0</v>
      </c>
      <c r="E685" s="906">
        <f t="shared" si="93"/>
        <v>0</v>
      </c>
      <c r="F685" s="129">
        <v>1000</v>
      </c>
      <c r="G685" s="122" t="s">
        <v>1963</v>
      </c>
    </row>
    <row r="686" spans="1:7" x14ac:dyDescent="0.25">
      <c r="A686" s="125">
        <f t="shared" si="91"/>
        <v>646</v>
      </c>
      <c r="B686" s="130"/>
      <c r="C686" s="842" t="s">
        <v>10389</v>
      </c>
      <c r="D686" s="906">
        <v>200</v>
      </c>
      <c r="E686" s="906">
        <f t="shared" si="93"/>
        <v>300</v>
      </c>
      <c r="F686" s="129">
        <v>1000</v>
      </c>
      <c r="G686" s="122" t="s">
        <v>1963</v>
      </c>
    </row>
    <row r="687" spans="1:7" x14ac:dyDescent="0.25">
      <c r="A687" s="125">
        <f t="shared" si="91"/>
        <v>647</v>
      </c>
      <c r="B687" s="130"/>
      <c r="C687" s="842" t="s">
        <v>10391</v>
      </c>
      <c r="D687" s="906">
        <v>0</v>
      </c>
      <c r="E687" s="906">
        <f t="shared" si="93"/>
        <v>0</v>
      </c>
      <c r="F687" s="129">
        <v>1000</v>
      </c>
      <c r="G687" s="122" t="s">
        <v>1963</v>
      </c>
    </row>
    <row r="688" spans="1:7" x14ac:dyDescent="0.25">
      <c r="A688" s="125">
        <f t="shared" si="91"/>
        <v>648</v>
      </c>
      <c r="B688" s="130"/>
      <c r="C688" s="842" t="s">
        <v>10390</v>
      </c>
      <c r="D688" s="906">
        <v>0</v>
      </c>
      <c r="E688" s="906">
        <f t="shared" si="93"/>
        <v>0</v>
      </c>
      <c r="F688" s="129">
        <v>1000</v>
      </c>
      <c r="G688" s="122" t="s">
        <v>1963</v>
      </c>
    </row>
    <row r="689" spans="1:7" x14ac:dyDescent="0.25">
      <c r="A689" s="125">
        <f t="shared" si="91"/>
        <v>649</v>
      </c>
      <c r="B689" s="130"/>
      <c r="C689" s="232" t="s">
        <v>10360</v>
      </c>
      <c r="D689" s="915"/>
      <c r="E689" s="915"/>
      <c r="F689" s="129"/>
    </row>
    <row r="690" spans="1:7" x14ac:dyDescent="0.25">
      <c r="A690" s="125">
        <f t="shared" si="91"/>
        <v>650</v>
      </c>
      <c r="B690" s="130"/>
      <c r="C690" s="842" t="s">
        <v>10392</v>
      </c>
      <c r="D690" s="906">
        <v>0</v>
      </c>
      <c r="E690" s="906">
        <f t="shared" ref="E690:E694" si="94">D690/8*12</f>
        <v>0</v>
      </c>
      <c r="F690" s="129">
        <v>1000</v>
      </c>
      <c r="G690" s="122" t="s">
        <v>1963</v>
      </c>
    </row>
    <row r="691" spans="1:7" x14ac:dyDescent="0.25">
      <c r="A691" s="125">
        <f t="shared" si="91"/>
        <v>651</v>
      </c>
      <c r="B691" s="130"/>
      <c r="C691" s="842" t="s">
        <v>10393</v>
      </c>
      <c r="D691" s="906">
        <v>0</v>
      </c>
      <c r="E691" s="906">
        <f t="shared" si="94"/>
        <v>0</v>
      </c>
      <c r="F691" s="129">
        <v>3000</v>
      </c>
      <c r="G691" s="122" t="s">
        <v>1963</v>
      </c>
    </row>
    <row r="692" spans="1:7" x14ac:dyDescent="0.25">
      <c r="A692" s="125">
        <f t="shared" si="91"/>
        <v>652</v>
      </c>
      <c r="B692" s="130"/>
      <c r="C692" s="842" t="s">
        <v>10394</v>
      </c>
      <c r="D692" s="906">
        <v>0</v>
      </c>
      <c r="E692" s="906">
        <f t="shared" si="94"/>
        <v>0</v>
      </c>
      <c r="F692" s="129">
        <v>1000</v>
      </c>
      <c r="G692" s="122" t="s">
        <v>1963</v>
      </c>
    </row>
    <row r="693" spans="1:7" x14ac:dyDescent="0.25">
      <c r="A693" s="125">
        <f t="shared" si="91"/>
        <v>653</v>
      </c>
      <c r="B693" s="130"/>
      <c r="C693" s="842" t="s">
        <v>10395</v>
      </c>
      <c r="D693" s="906">
        <v>0</v>
      </c>
      <c r="E693" s="906">
        <f t="shared" si="94"/>
        <v>0</v>
      </c>
      <c r="F693" s="129">
        <v>1000</v>
      </c>
      <c r="G693" s="122" t="s">
        <v>1963</v>
      </c>
    </row>
    <row r="694" spans="1:7" x14ac:dyDescent="0.25">
      <c r="A694" s="125">
        <f t="shared" si="91"/>
        <v>654</v>
      </c>
      <c r="B694" s="130"/>
      <c r="C694" s="842" t="s">
        <v>10396</v>
      </c>
      <c r="D694" s="906">
        <v>0</v>
      </c>
      <c r="E694" s="906">
        <f t="shared" si="94"/>
        <v>0</v>
      </c>
      <c r="F694" s="129">
        <v>1000</v>
      </c>
      <c r="G694" s="122" t="s">
        <v>1963</v>
      </c>
    </row>
    <row r="695" spans="1:7" x14ac:dyDescent="0.25">
      <c r="A695" s="125">
        <f t="shared" si="91"/>
        <v>655</v>
      </c>
      <c r="B695" s="130"/>
      <c r="C695" s="232" t="s">
        <v>10361</v>
      </c>
      <c r="D695" s="915"/>
      <c r="E695" s="915"/>
      <c r="F695" s="129"/>
    </row>
    <row r="696" spans="1:7" x14ac:dyDescent="0.25">
      <c r="A696" s="125">
        <f t="shared" si="91"/>
        <v>656</v>
      </c>
      <c r="B696" s="130"/>
      <c r="C696" s="842" t="s">
        <v>10397</v>
      </c>
      <c r="D696" s="906">
        <v>0</v>
      </c>
      <c r="E696" s="906">
        <f t="shared" ref="E696:E700" si="95">D696/8*12</f>
        <v>0</v>
      </c>
      <c r="F696" s="129">
        <v>1000</v>
      </c>
      <c r="G696" s="122" t="s">
        <v>1963</v>
      </c>
    </row>
    <row r="697" spans="1:7" x14ac:dyDescent="0.25">
      <c r="A697" s="125">
        <f t="shared" si="91"/>
        <v>657</v>
      </c>
      <c r="B697" s="130"/>
      <c r="C697" s="842" t="s">
        <v>10398</v>
      </c>
      <c r="D697" s="906">
        <v>0</v>
      </c>
      <c r="E697" s="906">
        <f t="shared" si="95"/>
        <v>0</v>
      </c>
      <c r="F697" s="129">
        <v>1000</v>
      </c>
      <c r="G697" s="122" t="s">
        <v>1963</v>
      </c>
    </row>
    <row r="698" spans="1:7" x14ac:dyDescent="0.25">
      <c r="A698" s="125">
        <f t="shared" si="91"/>
        <v>658</v>
      </c>
      <c r="B698" s="130"/>
      <c r="C698" s="842" t="s">
        <v>10399</v>
      </c>
      <c r="D698" s="906">
        <v>0</v>
      </c>
      <c r="E698" s="906">
        <f t="shared" si="95"/>
        <v>0</v>
      </c>
      <c r="F698" s="129">
        <v>1000</v>
      </c>
      <c r="G698" s="122" t="s">
        <v>1963</v>
      </c>
    </row>
    <row r="699" spans="1:7" x14ac:dyDescent="0.25">
      <c r="A699" s="125">
        <f t="shared" si="91"/>
        <v>659</v>
      </c>
      <c r="B699" s="130"/>
      <c r="C699" s="842" t="s">
        <v>10400</v>
      </c>
      <c r="D699" s="906">
        <v>0</v>
      </c>
      <c r="E699" s="906">
        <f t="shared" si="95"/>
        <v>0</v>
      </c>
      <c r="F699" s="129">
        <v>1000</v>
      </c>
      <c r="G699" s="122" t="s">
        <v>1963</v>
      </c>
    </row>
    <row r="700" spans="1:7" x14ac:dyDescent="0.25">
      <c r="A700" s="125">
        <f t="shared" si="91"/>
        <v>660</v>
      </c>
      <c r="B700" s="130"/>
      <c r="C700" s="842" t="s">
        <v>10401</v>
      </c>
      <c r="D700" s="906">
        <v>0</v>
      </c>
      <c r="E700" s="906">
        <f t="shared" si="95"/>
        <v>0</v>
      </c>
      <c r="F700" s="129">
        <v>1000</v>
      </c>
      <c r="G700" s="122" t="s">
        <v>1963</v>
      </c>
    </row>
    <row r="701" spans="1:7" x14ac:dyDescent="0.25">
      <c r="A701" s="125">
        <f t="shared" si="91"/>
        <v>661</v>
      </c>
      <c r="B701" s="130"/>
      <c r="C701" s="232" t="s">
        <v>10362</v>
      </c>
      <c r="D701" s="915"/>
      <c r="E701" s="915"/>
      <c r="F701" s="129"/>
    </row>
    <row r="702" spans="1:7" x14ac:dyDescent="0.25">
      <c r="A702" s="125">
        <f t="shared" si="91"/>
        <v>662</v>
      </c>
      <c r="B702" s="130"/>
      <c r="C702" s="842" t="s">
        <v>10402</v>
      </c>
      <c r="D702" s="906">
        <v>0</v>
      </c>
      <c r="E702" s="906">
        <f t="shared" ref="E702:E706" si="96">D702/8*12</f>
        <v>0</v>
      </c>
      <c r="F702" s="129">
        <v>1000</v>
      </c>
      <c r="G702" s="122" t="s">
        <v>1963</v>
      </c>
    </row>
    <row r="703" spans="1:7" x14ac:dyDescent="0.25">
      <c r="A703" s="125">
        <f t="shared" si="91"/>
        <v>663</v>
      </c>
      <c r="B703" s="130"/>
      <c r="C703" s="842" t="s">
        <v>10403</v>
      </c>
      <c r="D703" s="906">
        <v>0</v>
      </c>
      <c r="E703" s="906">
        <f t="shared" si="96"/>
        <v>0</v>
      </c>
      <c r="F703" s="129">
        <v>1000</v>
      </c>
      <c r="G703" s="122" t="s">
        <v>1963</v>
      </c>
    </row>
    <row r="704" spans="1:7" x14ac:dyDescent="0.25">
      <c r="A704" s="125">
        <f t="shared" si="91"/>
        <v>664</v>
      </c>
      <c r="B704" s="130"/>
      <c r="C704" s="842" t="s">
        <v>10404</v>
      </c>
      <c r="D704" s="906">
        <v>0</v>
      </c>
      <c r="E704" s="906">
        <f t="shared" si="96"/>
        <v>0</v>
      </c>
      <c r="F704" s="129">
        <v>1000</v>
      </c>
      <c r="G704" s="122" t="s">
        <v>1963</v>
      </c>
    </row>
    <row r="705" spans="1:7" x14ac:dyDescent="0.25">
      <c r="A705" s="125">
        <f t="shared" si="91"/>
        <v>665</v>
      </c>
      <c r="B705" s="130"/>
      <c r="C705" s="842" t="s">
        <v>10405</v>
      </c>
      <c r="D705" s="906">
        <v>0</v>
      </c>
      <c r="E705" s="906">
        <f t="shared" si="96"/>
        <v>0</v>
      </c>
      <c r="F705" s="129">
        <v>1000</v>
      </c>
      <c r="G705" s="122" t="s">
        <v>1963</v>
      </c>
    </row>
    <row r="706" spans="1:7" x14ac:dyDescent="0.25">
      <c r="A706" s="125">
        <f t="shared" si="91"/>
        <v>666</v>
      </c>
      <c r="B706" s="130"/>
      <c r="C706" s="842" t="s">
        <v>10406</v>
      </c>
      <c r="D706" s="906">
        <v>0</v>
      </c>
      <c r="E706" s="906">
        <f t="shared" si="96"/>
        <v>0</v>
      </c>
      <c r="F706" s="129">
        <v>1000</v>
      </c>
      <c r="G706" s="122" t="s">
        <v>1963</v>
      </c>
    </row>
    <row r="707" spans="1:7" x14ac:dyDescent="0.25">
      <c r="A707" s="125">
        <f t="shared" si="91"/>
        <v>667</v>
      </c>
      <c r="B707" s="130"/>
      <c r="C707" s="232" t="s">
        <v>10363</v>
      </c>
      <c r="D707" s="915"/>
      <c r="E707" s="915"/>
      <c r="F707" s="129"/>
    </row>
    <row r="708" spans="1:7" x14ac:dyDescent="0.25">
      <c r="A708" s="125">
        <f t="shared" si="91"/>
        <v>668</v>
      </c>
      <c r="B708" s="130"/>
      <c r="C708" s="842" t="s">
        <v>10407</v>
      </c>
      <c r="D708" s="906">
        <v>0</v>
      </c>
      <c r="E708" s="906">
        <f t="shared" ref="E708:E714" si="97">D708/8*12</f>
        <v>0</v>
      </c>
      <c r="F708" s="129">
        <v>1</v>
      </c>
      <c r="G708" s="122" t="s">
        <v>1963</v>
      </c>
    </row>
    <row r="709" spans="1:7" x14ac:dyDescent="0.25">
      <c r="A709" s="125">
        <f t="shared" si="91"/>
        <v>669</v>
      </c>
      <c r="B709" s="130"/>
      <c r="C709" s="842" t="s">
        <v>10408</v>
      </c>
      <c r="D709" s="906">
        <v>0</v>
      </c>
      <c r="E709" s="906">
        <f t="shared" si="97"/>
        <v>0</v>
      </c>
      <c r="F709" s="129">
        <v>1000</v>
      </c>
      <c r="G709" s="122" t="s">
        <v>1963</v>
      </c>
    </row>
    <row r="710" spans="1:7" x14ac:dyDescent="0.25">
      <c r="A710" s="125">
        <f t="shared" si="91"/>
        <v>670</v>
      </c>
      <c r="B710" s="130"/>
      <c r="C710" s="842" t="s">
        <v>10409</v>
      </c>
      <c r="D710" s="906">
        <v>0</v>
      </c>
      <c r="E710" s="906">
        <f t="shared" si="97"/>
        <v>0</v>
      </c>
      <c r="F710" s="129">
        <v>3000</v>
      </c>
      <c r="G710" s="122" t="s">
        <v>1963</v>
      </c>
    </row>
    <row r="711" spans="1:7" x14ac:dyDescent="0.25">
      <c r="A711" s="125">
        <f t="shared" si="91"/>
        <v>671</v>
      </c>
      <c r="B711" s="130"/>
      <c r="C711" s="842" t="s">
        <v>10410</v>
      </c>
      <c r="D711" s="906">
        <v>0</v>
      </c>
      <c r="E711" s="906">
        <f t="shared" si="97"/>
        <v>0</v>
      </c>
      <c r="F711" s="129">
        <v>4000</v>
      </c>
      <c r="G711" s="122" t="s">
        <v>1963</v>
      </c>
    </row>
    <row r="712" spans="1:7" x14ac:dyDescent="0.25">
      <c r="A712" s="125">
        <f t="shared" si="91"/>
        <v>672</v>
      </c>
      <c r="B712" s="130"/>
      <c r="C712" s="842" t="s">
        <v>10410</v>
      </c>
      <c r="D712" s="906">
        <v>0</v>
      </c>
      <c r="E712" s="906">
        <f t="shared" si="97"/>
        <v>0</v>
      </c>
      <c r="F712" s="129">
        <f>15060.62-1</f>
        <v>15059.62</v>
      </c>
      <c r="G712" s="122" t="s">
        <v>1963</v>
      </c>
    </row>
    <row r="713" spans="1:7" x14ac:dyDescent="0.25">
      <c r="A713" s="125">
        <f t="shared" si="91"/>
        <v>673</v>
      </c>
      <c r="B713" s="130"/>
      <c r="C713" s="842" t="s">
        <v>10411</v>
      </c>
      <c r="D713" s="906">
        <v>0</v>
      </c>
      <c r="E713" s="906">
        <f t="shared" si="97"/>
        <v>0</v>
      </c>
      <c r="F713" s="129">
        <v>1000</v>
      </c>
      <c r="G713" s="122" t="s">
        <v>1963</v>
      </c>
    </row>
    <row r="714" spans="1:7" x14ac:dyDescent="0.25">
      <c r="A714" s="125">
        <f t="shared" si="91"/>
        <v>674</v>
      </c>
      <c r="B714" s="130"/>
      <c r="C714" s="842" t="s">
        <v>10412</v>
      </c>
      <c r="D714" s="906">
        <v>0</v>
      </c>
      <c r="E714" s="906">
        <f t="shared" si="97"/>
        <v>0</v>
      </c>
      <c r="F714" s="129">
        <v>1000</v>
      </c>
      <c r="G714" s="122" t="s">
        <v>1963</v>
      </c>
    </row>
    <row r="715" spans="1:7" x14ac:dyDescent="0.25">
      <c r="A715" s="125">
        <f t="shared" si="91"/>
        <v>675</v>
      </c>
      <c r="B715" s="130"/>
      <c r="C715" s="232" t="s">
        <v>10369</v>
      </c>
      <c r="D715" s="915"/>
      <c r="E715" s="915"/>
      <c r="F715" s="129"/>
    </row>
    <row r="716" spans="1:7" x14ac:dyDescent="0.25">
      <c r="A716" s="125">
        <f t="shared" si="91"/>
        <v>676</v>
      </c>
      <c r="B716" s="130"/>
      <c r="C716" s="842" t="s">
        <v>10428</v>
      </c>
      <c r="D716" s="906">
        <v>6992.06</v>
      </c>
      <c r="E716" s="906">
        <f>D716/3*13.33</f>
        <v>31068.05326666667</v>
      </c>
      <c r="F716" s="129">
        <v>1</v>
      </c>
      <c r="G716" s="122" t="s">
        <v>1963</v>
      </c>
    </row>
    <row r="717" spans="1:7" ht="31.5" x14ac:dyDescent="0.25">
      <c r="A717" s="125">
        <f t="shared" si="91"/>
        <v>677</v>
      </c>
      <c r="B717" s="130"/>
      <c r="C717" s="842" t="s">
        <v>10430</v>
      </c>
      <c r="D717" s="906">
        <f>16739.5-((16739.5+31068.05*23.0306%))+31068.05</f>
        <v>23912.891676700001</v>
      </c>
      <c r="E717" s="906">
        <f>D717/8*13.33</f>
        <v>39844.855756301375</v>
      </c>
      <c r="F717" s="129">
        <f>E717/13.33+0.91+17.47</f>
        <v>3007.4914595874998</v>
      </c>
      <c r="G717" s="122" t="s">
        <v>1963</v>
      </c>
    </row>
    <row r="718" spans="1:7" x14ac:dyDescent="0.25">
      <c r="A718" s="125">
        <f t="shared" si="91"/>
        <v>678</v>
      </c>
      <c r="B718" s="130"/>
      <c r="C718" s="927" t="s">
        <v>11532</v>
      </c>
      <c r="D718" s="924">
        <f>23912.89*23.0306%</f>
        <v>5507.2820443400005</v>
      </c>
      <c r="E718" s="906">
        <f>D718/8*13.33</f>
        <v>9176.5087063815263</v>
      </c>
      <c r="F718" s="129">
        <f>E718</f>
        <v>9176.5087063815263</v>
      </c>
      <c r="G718" s="122" t="s">
        <v>1963</v>
      </c>
    </row>
    <row r="719" spans="1:7" x14ac:dyDescent="0.25">
      <c r="A719" s="125">
        <f t="shared" si="91"/>
        <v>679</v>
      </c>
      <c r="B719" s="130"/>
      <c r="C719" s="842" t="s">
        <v>10427</v>
      </c>
      <c r="D719" s="906">
        <v>0</v>
      </c>
      <c r="E719" s="906">
        <f t="shared" ref="E719:E731" si="98">D719/8*12</f>
        <v>0</v>
      </c>
      <c r="F719" s="129">
        <v>300</v>
      </c>
      <c r="G719" s="122" t="s">
        <v>1963</v>
      </c>
    </row>
    <row r="720" spans="1:7" x14ac:dyDescent="0.25">
      <c r="A720" s="125">
        <f t="shared" si="91"/>
        <v>680</v>
      </c>
      <c r="B720" s="130"/>
      <c r="C720" s="842" t="s">
        <v>10426</v>
      </c>
      <c r="D720" s="906">
        <v>0</v>
      </c>
      <c r="E720" s="906">
        <f t="shared" si="98"/>
        <v>0</v>
      </c>
      <c r="F720" s="129">
        <v>500</v>
      </c>
      <c r="G720" s="122" t="s">
        <v>1963</v>
      </c>
    </row>
    <row r="721" spans="1:9" x14ac:dyDescent="0.25">
      <c r="A721" s="125">
        <f t="shared" si="91"/>
        <v>681</v>
      </c>
      <c r="B721" s="130"/>
      <c r="C721" s="842" t="s">
        <v>10429</v>
      </c>
      <c r="D721" s="906">
        <v>0</v>
      </c>
      <c r="E721" s="906">
        <f t="shared" si="98"/>
        <v>0</v>
      </c>
      <c r="F721" s="129">
        <v>3000</v>
      </c>
      <c r="G721" s="122" t="s">
        <v>1963</v>
      </c>
    </row>
    <row r="722" spans="1:9" x14ac:dyDescent="0.25">
      <c r="A722" s="125">
        <f t="shared" si="91"/>
        <v>682</v>
      </c>
      <c r="B722" s="130"/>
      <c r="C722" s="842" t="s">
        <v>10425</v>
      </c>
      <c r="D722" s="906">
        <v>0</v>
      </c>
      <c r="E722" s="906">
        <f t="shared" si="98"/>
        <v>0</v>
      </c>
      <c r="F722" s="129">
        <v>1000</v>
      </c>
      <c r="G722" s="122" t="s">
        <v>1963</v>
      </c>
    </row>
    <row r="723" spans="1:9" x14ac:dyDescent="0.25">
      <c r="A723" s="125">
        <f t="shared" si="91"/>
        <v>683</v>
      </c>
      <c r="B723" s="130"/>
      <c r="C723" s="842" t="s">
        <v>10424</v>
      </c>
      <c r="D723" s="906">
        <v>0</v>
      </c>
      <c r="E723" s="906">
        <f t="shared" si="98"/>
        <v>0</v>
      </c>
      <c r="F723" s="129">
        <v>2500</v>
      </c>
      <c r="G723" s="122" t="s">
        <v>1963</v>
      </c>
    </row>
    <row r="724" spans="1:9" x14ac:dyDescent="0.25">
      <c r="A724" s="125">
        <f t="shared" si="91"/>
        <v>684</v>
      </c>
      <c r="B724" s="130"/>
      <c r="C724" s="842" t="s">
        <v>10423</v>
      </c>
      <c r="D724" s="906">
        <v>0</v>
      </c>
      <c r="E724" s="906">
        <f t="shared" si="98"/>
        <v>0</v>
      </c>
      <c r="F724" s="129">
        <v>1000</v>
      </c>
      <c r="G724" s="122" t="s">
        <v>1963</v>
      </c>
    </row>
    <row r="725" spans="1:9" x14ac:dyDescent="0.25">
      <c r="A725" s="125">
        <f t="shared" si="91"/>
        <v>685</v>
      </c>
      <c r="B725" s="130"/>
      <c r="C725" s="842" t="s">
        <v>10422</v>
      </c>
      <c r="D725" s="906">
        <v>0</v>
      </c>
      <c r="E725" s="906">
        <f t="shared" si="98"/>
        <v>0</v>
      </c>
      <c r="F725" s="129">
        <v>3000</v>
      </c>
      <c r="G725" s="122" t="s">
        <v>1963</v>
      </c>
    </row>
    <row r="726" spans="1:9" x14ac:dyDescent="0.25">
      <c r="A726" s="125">
        <f t="shared" si="91"/>
        <v>686</v>
      </c>
      <c r="B726" s="130"/>
      <c r="C726" s="842" t="s">
        <v>10421</v>
      </c>
      <c r="D726" s="906">
        <v>0</v>
      </c>
      <c r="E726" s="906">
        <f t="shared" si="98"/>
        <v>0</v>
      </c>
      <c r="F726" s="129">
        <v>3000</v>
      </c>
      <c r="G726" s="122" t="s">
        <v>1963</v>
      </c>
    </row>
    <row r="727" spans="1:9" x14ac:dyDescent="0.25">
      <c r="A727" s="125">
        <f t="shared" si="91"/>
        <v>687</v>
      </c>
      <c r="B727" s="130"/>
      <c r="C727" s="842" t="s">
        <v>10420</v>
      </c>
      <c r="D727" s="906">
        <v>0</v>
      </c>
      <c r="E727" s="906">
        <f t="shared" si="98"/>
        <v>0</v>
      </c>
      <c r="F727" s="129">
        <v>3000</v>
      </c>
      <c r="G727" s="122" t="s">
        <v>1963</v>
      </c>
    </row>
    <row r="728" spans="1:9" x14ac:dyDescent="0.25">
      <c r="A728" s="125">
        <f t="shared" si="91"/>
        <v>688</v>
      </c>
      <c r="B728" s="130"/>
      <c r="C728" s="842" t="s">
        <v>11544</v>
      </c>
      <c r="D728" s="906">
        <f>38.89*8</f>
        <v>311.12</v>
      </c>
      <c r="E728" s="906">
        <f t="shared" si="98"/>
        <v>466.68</v>
      </c>
      <c r="F728" s="129">
        <f>E728/8</f>
        <v>58.335000000000001</v>
      </c>
      <c r="G728" s="122" t="s">
        <v>1963</v>
      </c>
    </row>
    <row r="729" spans="1:9" x14ac:dyDescent="0.25">
      <c r="A729" s="125">
        <f t="shared" si="91"/>
        <v>689</v>
      </c>
      <c r="B729" s="130"/>
      <c r="C729" s="842" t="s">
        <v>10419</v>
      </c>
      <c r="D729" s="906">
        <v>0</v>
      </c>
      <c r="E729" s="906">
        <f t="shared" si="98"/>
        <v>0</v>
      </c>
      <c r="F729" s="129">
        <v>1000</v>
      </c>
      <c r="G729" s="122" t="s">
        <v>1963</v>
      </c>
    </row>
    <row r="730" spans="1:9" ht="31.5" x14ac:dyDescent="0.25">
      <c r="A730" s="125">
        <f t="shared" si="91"/>
        <v>690</v>
      </c>
      <c r="B730" s="130"/>
      <c r="C730" s="842" t="s">
        <v>10418</v>
      </c>
      <c r="D730" s="906">
        <v>0</v>
      </c>
      <c r="E730" s="906">
        <f t="shared" si="98"/>
        <v>0</v>
      </c>
      <c r="F730" s="129">
        <v>3000</v>
      </c>
      <c r="G730" s="122" t="s">
        <v>1963</v>
      </c>
    </row>
    <row r="731" spans="1:9" x14ac:dyDescent="0.25">
      <c r="A731" s="125">
        <f t="shared" si="91"/>
        <v>691</v>
      </c>
      <c r="B731" s="130"/>
      <c r="C731" s="842" t="s">
        <v>10417</v>
      </c>
      <c r="D731" s="906">
        <v>0</v>
      </c>
      <c r="E731" s="906">
        <f t="shared" si="98"/>
        <v>0</v>
      </c>
      <c r="F731" s="129">
        <v>5000</v>
      </c>
      <c r="G731" s="122" t="s">
        <v>1963</v>
      </c>
    </row>
    <row r="732" spans="1:9" x14ac:dyDescent="0.25">
      <c r="A732" s="125">
        <f t="shared" si="91"/>
        <v>692</v>
      </c>
      <c r="B732" s="130"/>
      <c r="C732" s="134"/>
      <c r="D732" s="906"/>
      <c r="E732" s="914"/>
      <c r="F732" s="129"/>
    </row>
    <row r="733" spans="1:9" x14ac:dyDescent="0.25">
      <c r="A733" s="125">
        <f t="shared" si="91"/>
        <v>693</v>
      </c>
      <c r="B733" s="130"/>
      <c r="C733" s="793" t="s">
        <v>6887</v>
      </c>
      <c r="D733" s="918"/>
      <c r="E733" s="918"/>
      <c r="F733" s="793"/>
      <c r="G733" s="793"/>
      <c r="H733" s="793"/>
      <c r="I733" s="793"/>
    </row>
    <row r="734" spans="1:9" x14ac:dyDescent="0.25">
      <c r="A734" s="125">
        <f t="shared" ref="A734:A797" si="99">A733+1</f>
        <v>694</v>
      </c>
      <c r="B734" s="130"/>
      <c r="C734" s="793" t="s">
        <v>7815</v>
      </c>
      <c r="D734" s="918"/>
      <c r="E734" s="918"/>
      <c r="F734" s="793"/>
      <c r="G734" s="793"/>
      <c r="H734" s="793"/>
      <c r="I734" s="793"/>
    </row>
    <row r="735" spans="1:9" x14ac:dyDescent="0.25">
      <c r="A735" s="125">
        <f t="shared" si="99"/>
        <v>695</v>
      </c>
      <c r="B735" s="130"/>
      <c r="C735" s="232" t="s">
        <v>10413</v>
      </c>
      <c r="D735" s="915"/>
      <c r="E735" s="915"/>
      <c r="F735" s="129"/>
    </row>
    <row r="736" spans="1:9" ht="31.5" x14ac:dyDescent="0.25">
      <c r="A736" s="125">
        <f t="shared" si="99"/>
        <v>696</v>
      </c>
      <c r="B736" s="130"/>
      <c r="C736" s="842" t="s">
        <v>10414</v>
      </c>
      <c r="D736" s="906">
        <v>0</v>
      </c>
      <c r="E736" s="906">
        <f t="shared" ref="E736:E739" si="100">D736/8*12</f>
        <v>0</v>
      </c>
      <c r="F736" s="129">
        <v>1</v>
      </c>
      <c r="G736" s="122" t="s">
        <v>1963</v>
      </c>
    </row>
    <row r="737" spans="1:9" x14ac:dyDescent="0.25">
      <c r="A737" s="125">
        <f t="shared" si="99"/>
        <v>697</v>
      </c>
      <c r="B737" s="130"/>
      <c r="C737" s="842" t="s">
        <v>10415</v>
      </c>
      <c r="D737" s="906">
        <v>0</v>
      </c>
      <c r="E737" s="906">
        <f t="shared" si="100"/>
        <v>0</v>
      </c>
      <c r="F737" s="129">
        <v>1</v>
      </c>
      <c r="G737" s="122" t="s">
        <v>1963</v>
      </c>
    </row>
    <row r="738" spans="1:9" x14ac:dyDescent="0.25">
      <c r="A738" s="125">
        <f t="shared" si="99"/>
        <v>698</v>
      </c>
      <c r="B738" s="130"/>
      <c r="C738" s="842" t="s">
        <v>10416</v>
      </c>
      <c r="D738" s="906">
        <v>0</v>
      </c>
      <c r="E738" s="906">
        <f t="shared" si="100"/>
        <v>0</v>
      </c>
      <c r="F738" s="129">
        <v>1</v>
      </c>
      <c r="G738" s="122" t="s">
        <v>1963</v>
      </c>
    </row>
    <row r="739" spans="1:9" x14ac:dyDescent="0.25">
      <c r="A739" s="125">
        <f t="shared" si="99"/>
        <v>699</v>
      </c>
      <c r="B739" s="130"/>
      <c r="C739" s="842" t="s">
        <v>10416</v>
      </c>
      <c r="D739" s="906">
        <v>0</v>
      </c>
      <c r="E739" s="906">
        <f t="shared" si="100"/>
        <v>0</v>
      </c>
      <c r="F739" s="129">
        <v>1499</v>
      </c>
      <c r="G739" s="122" t="s">
        <v>1963</v>
      </c>
    </row>
    <row r="740" spans="1:9" x14ac:dyDescent="0.25">
      <c r="A740" s="125">
        <f t="shared" si="99"/>
        <v>700</v>
      </c>
      <c r="B740" s="130"/>
      <c r="C740" s="134"/>
      <c r="D740" s="914"/>
      <c r="E740" s="914"/>
      <c r="F740" s="129"/>
    </row>
    <row r="741" spans="1:9" x14ac:dyDescent="0.25">
      <c r="A741" s="125">
        <f t="shared" si="99"/>
        <v>701</v>
      </c>
      <c r="B741" s="130"/>
      <c r="C741" s="793" t="s">
        <v>6887</v>
      </c>
      <c r="D741" s="918"/>
      <c r="E741" s="918"/>
      <c r="F741" s="793"/>
      <c r="G741" s="793"/>
      <c r="H741" s="793"/>
      <c r="I741" s="793"/>
    </row>
    <row r="742" spans="1:9" x14ac:dyDescent="0.25">
      <c r="A742" s="125">
        <f t="shared" si="99"/>
        <v>702</v>
      </c>
      <c r="B742" s="130"/>
      <c r="C742" s="793" t="s">
        <v>7040</v>
      </c>
      <c r="D742" s="918"/>
      <c r="E742" s="918"/>
      <c r="F742" s="793"/>
      <c r="G742" s="793"/>
      <c r="H742" s="793"/>
      <c r="I742" s="793"/>
    </row>
    <row r="743" spans="1:9" x14ac:dyDescent="0.25">
      <c r="A743" s="125">
        <f t="shared" si="99"/>
        <v>703</v>
      </c>
      <c r="B743" s="130"/>
      <c r="C743" s="842" t="s">
        <v>10456</v>
      </c>
      <c r="D743" s="906">
        <v>36555</v>
      </c>
      <c r="E743" s="906">
        <f>D743/8*13.33</f>
        <v>60909.768750000003</v>
      </c>
      <c r="F743" s="129">
        <v>4823.1000000000004</v>
      </c>
      <c r="G743" s="122" t="s">
        <v>1963</v>
      </c>
    </row>
    <row r="744" spans="1:9" x14ac:dyDescent="0.25">
      <c r="A744" s="125">
        <f t="shared" si="99"/>
        <v>704</v>
      </c>
      <c r="B744" s="130"/>
      <c r="C744" s="842" t="s">
        <v>11532</v>
      </c>
      <c r="D744" s="924">
        <v>6203.08</v>
      </c>
      <c r="E744" s="906">
        <f>D744/8*13.33</f>
        <v>10335.88205</v>
      </c>
      <c r="F744" s="129">
        <f>E744</f>
        <v>10335.88205</v>
      </c>
      <c r="G744" s="122" t="s">
        <v>1963</v>
      </c>
    </row>
    <row r="745" spans="1:9" x14ac:dyDescent="0.25">
      <c r="A745" s="125">
        <f t="shared" si="99"/>
        <v>705</v>
      </c>
      <c r="B745" s="130"/>
      <c r="C745" s="842" t="s">
        <v>10444</v>
      </c>
      <c r="D745" s="906">
        <v>431</v>
      </c>
      <c r="E745" s="906">
        <f t="shared" ref="E745:E757" si="101">D745/8*12</f>
        <v>646.5</v>
      </c>
      <c r="F745" s="129">
        <v>72</v>
      </c>
      <c r="G745" s="122" t="s">
        <v>1963</v>
      </c>
    </row>
    <row r="746" spans="1:9" x14ac:dyDescent="0.25">
      <c r="A746" s="125">
        <f t="shared" si="99"/>
        <v>706</v>
      </c>
      <c r="B746" s="130"/>
      <c r="C746" s="842" t="s">
        <v>10445</v>
      </c>
      <c r="D746" s="906">
        <v>8348.1</v>
      </c>
      <c r="E746" s="906">
        <f t="shared" si="101"/>
        <v>12522.150000000001</v>
      </c>
      <c r="F746" s="129">
        <f>E746</f>
        <v>12522.150000000001</v>
      </c>
      <c r="G746" s="122" t="s">
        <v>1963</v>
      </c>
    </row>
    <row r="747" spans="1:9" x14ac:dyDescent="0.25">
      <c r="A747" s="125">
        <f t="shared" si="99"/>
        <v>707</v>
      </c>
      <c r="B747" s="130"/>
      <c r="C747" s="842" t="s">
        <v>10446</v>
      </c>
      <c r="D747" s="906">
        <v>0</v>
      </c>
      <c r="E747" s="906">
        <f t="shared" si="101"/>
        <v>0</v>
      </c>
      <c r="F747" s="129">
        <v>2000</v>
      </c>
      <c r="G747" s="122" t="s">
        <v>1963</v>
      </c>
    </row>
    <row r="748" spans="1:9" ht="31.5" x14ac:dyDescent="0.25">
      <c r="A748" s="125">
        <f t="shared" si="99"/>
        <v>708</v>
      </c>
      <c r="B748" s="130"/>
      <c r="C748" s="842" t="s">
        <v>10447</v>
      </c>
      <c r="D748" s="906">
        <v>0</v>
      </c>
      <c r="E748" s="906">
        <f t="shared" si="101"/>
        <v>0</v>
      </c>
      <c r="F748" s="129">
        <v>1500</v>
      </c>
      <c r="G748" s="122" t="s">
        <v>1963</v>
      </c>
    </row>
    <row r="749" spans="1:9" x14ac:dyDescent="0.25">
      <c r="A749" s="125">
        <f t="shared" si="99"/>
        <v>709</v>
      </c>
      <c r="B749" s="130"/>
      <c r="C749" s="842" t="s">
        <v>10448</v>
      </c>
      <c r="D749" s="906">
        <v>0</v>
      </c>
      <c r="E749" s="906">
        <f t="shared" si="101"/>
        <v>0</v>
      </c>
      <c r="F749" s="129">
        <v>1000</v>
      </c>
      <c r="G749" s="122" t="s">
        <v>1963</v>
      </c>
    </row>
    <row r="750" spans="1:9" x14ac:dyDescent="0.25">
      <c r="A750" s="125">
        <f t="shared" si="99"/>
        <v>710</v>
      </c>
      <c r="B750" s="130"/>
      <c r="C750" s="842" t="s">
        <v>10449</v>
      </c>
      <c r="D750" s="906">
        <v>0</v>
      </c>
      <c r="E750" s="906">
        <f t="shared" si="101"/>
        <v>0</v>
      </c>
      <c r="F750" s="129">
        <v>3000</v>
      </c>
      <c r="G750" s="122" t="s">
        <v>1963</v>
      </c>
    </row>
    <row r="751" spans="1:9" x14ac:dyDescent="0.25">
      <c r="A751" s="125">
        <f t="shared" si="99"/>
        <v>711</v>
      </c>
      <c r="B751" s="130"/>
      <c r="C751" s="842" t="s">
        <v>11545</v>
      </c>
      <c r="D751" s="906">
        <v>3236.3</v>
      </c>
      <c r="E751" s="906">
        <f t="shared" ref="E751" si="102">D751/8*12</f>
        <v>4854.4500000000007</v>
      </c>
      <c r="F751" s="129">
        <f>E751</f>
        <v>4854.4500000000007</v>
      </c>
      <c r="G751" s="122" t="s">
        <v>1963</v>
      </c>
    </row>
    <row r="752" spans="1:9" x14ac:dyDescent="0.25">
      <c r="A752" s="125">
        <f t="shared" si="99"/>
        <v>712</v>
      </c>
      <c r="B752" s="130"/>
      <c r="C752" s="842" t="s">
        <v>10450</v>
      </c>
      <c r="D752" s="906">
        <v>0</v>
      </c>
      <c r="E752" s="906">
        <f t="shared" si="101"/>
        <v>0</v>
      </c>
      <c r="F752" s="129">
        <v>8000</v>
      </c>
      <c r="G752" s="122" t="s">
        <v>1963</v>
      </c>
    </row>
    <row r="753" spans="1:9" x14ac:dyDescent="0.25">
      <c r="A753" s="125">
        <f t="shared" si="99"/>
        <v>713</v>
      </c>
      <c r="B753" s="130"/>
      <c r="C753" s="842" t="s">
        <v>10451</v>
      </c>
      <c r="D753" s="906">
        <v>0</v>
      </c>
      <c r="E753" s="906">
        <f t="shared" si="101"/>
        <v>0</v>
      </c>
      <c r="F753" s="129">
        <v>2000</v>
      </c>
      <c r="G753" s="122" t="s">
        <v>1963</v>
      </c>
    </row>
    <row r="754" spans="1:9" x14ac:dyDescent="0.25">
      <c r="A754" s="125">
        <f t="shared" si="99"/>
        <v>714</v>
      </c>
      <c r="B754" s="130"/>
      <c r="C754" s="842" t="s">
        <v>10452</v>
      </c>
      <c r="D754" s="906">
        <v>0</v>
      </c>
      <c r="E754" s="906">
        <f t="shared" si="101"/>
        <v>0</v>
      </c>
      <c r="F754" s="129">
        <v>50</v>
      </c>
      <c r="G754" s="122" t="s">
        <v>1963</v>
      </c>
    </row>
    <row r="755" spans="1:9" x14ac:dyDescent="0.25">
      <c r="A755" s="125">
        <f t="shared" si="99"/>
        <v>715</v>
      </c>
      <c r="B755" s="130"/>
      <c r="C755" s="842" t="s">
        <v>10453</v>
      </c>
      <c r="D755" s="906">
        <v>0</v>
      </c>
      <c r="E755" s="906">
        <f t="shared" si="101"/>
        <v>0</v>
      </c>
      <c r="F755" s="129">
        <v>1000</v>
      </c>
      <c r="G755" s="122" t="s">
        <v>1963</v>
      </c>
    </row>
    <row r="756" spans="1:9" x14ac:dyDescent="0.25">
      <c r="A756" s="125">
        <f t="shared" si="99"/>
        <v>716</v>
      </c>
      <c r="B756" s="130"/>
      <c r="C756" s="842" t="s">
        <v>10454</v>
      </c>
      <c r="D756" s="906">
        <v>0</v>
      </c>
      <c r="E756" s="906">
        <f t="shared" si="101"/>
        <v>0</v>
      </c>
      <c r="F756" s="129">
        <v>3000</v>
      </c>
      <c r="G756" s="122" t="s">
        <v>1963</v>
      </c>
    </row>
    <row r="757" spans="1:9" x14ac:dyDescent="0.25">
      <c r="A757" s="125">
        <f t="shared" si="99"/>
        <v>717</v>
      </c>
      <c r="B757" s="130"/>
      <c r="C757" s="842" t="s">
        <v>10455</v>
      </c>
      <c r="D757" s="906">
        <v>0</v>
      </c>
      <c r="E757" s="906">
        <f t="shared" si="101"/>
        <v>0</v>
      </c>
      <c r="F757" s="129">
        <v>4000</v>
      </c>
      <c r="G757" s="122" t="s">
        <v>1963</v>
      </c>
    </row>
    <row r="758" spans="1:9" x14ac:dyDescent="0.25">
      <c r="A758" s="125">
        <f t="shared" si="99"/>
        <v>718</v>
      </c>
      <c r="B758" s="130"/>
      <c r="C758" s="842" t="s">
        <v>11532</v>
      </c>
      <c r="D758" s="924">
        <v>165.26</v>
      </c>
      <c r="E758" s="906">
        <f>D758/8*13.33</f>
        <v>275.36447499999997</v>
      </c>
      <c r="F758" s="129">
        <f>E758</f>
        <v>275.36447499999997</v>
      </c>
      <c r="G758" s="122" t="s">
        <v>1963</v>
      </c>
    </row>
    <row r="759" spans="1:9" x14ac:dyDescent="0.25">
      <c r="A759" s="125">
        <f t="shared" si="99"/>
        <v>719</v>
      </c>
      <c r="B759" s="130"/>
      <c r="C759" s="927"/>
      <c r="D759" s="924"/>
      <c r="E759" s="906"/>
      <c r="F759" s="129"/>
    </row>
    <row r="760" spans="1:9" x14ac:dyDescent="0.25">
      <c r="A760" s="125">
        <f t="shared" si="99"/>
        <v>720</v>
      </c>
      <c r="B760" s="130"/>
      <c r="C760" s="793" t="s">
        <v>6887</v>
      </c>
      <c r="D760" s="918"/>
      <c r="E760" s="918"/>
      <c r="F760" s="793"/>
      <c r="G760" s="793"/>
      <c r="H760" s="793"/>
      <c r="I760" s="793"/>
    </row>
    <row r="761" spans="1:9" x14ac:dyDescent="0.25">
      <c r="A761" s="125">
        <f t="shared" si="99"/>
        <v>721</v>
      </c>
      <c r="B761" s="130"/>
      <c r="C761" s="793" t="s">
        <v>7883</v>
      </c>
      <c r="D761" s="918"/>
      <c r="E761" s="918"/>
      <c r="F761" s="793"/>
      <c r="G761" s="793"/>
      <c r="H761" s="793"/>
      <c r="I761" s="793"/>
    </row>
    <row r="762" spans="1:9" x14ac:dyDescent="0.25">
      <c r="A762" s="125">
        <f t="shared" si="99"/>
        <v>722</v>
      </c>
      <c r="B762" s="130"/>
      <c r="C762" s="884" t="s">
        <v>639</v>
      </c>
      <c r="D762" s="917"/>
      <c r="E762" s="917"/>
      <c r="F762" s="884"/>
      <c r="G762" s="884"/>
      <c r="H762" s="884"/>
      <c r="I762" s="884"/>
    </row>
    <row r="763" spans="1:9" x14ac:dyDescent="0.25">
      <c r="A763" s="125">
        <f t="shared" si="99"/>
        <v>723</v>
      </c>
      <c r="B763" s="130"/>
      <c r="C763" s="130" t="s">
        <v>1981</v>
      </c>
      <c r="D763" s="906">
        <f>99188.31-D824-D842-D882-D901-D940-D973-D991-D1009-D1401-D1454-D1471-D1488-D1883</f>
        <v>43278.860000000008</v>
      </c>
      <c r="E763" s="906">
        <f>D763/8*13.33</f>
        <v>72113.400475000017</v>
      </c>
      <c r="F763" s="136">
        <f>E763/13.33</f>
        <v>5409.857500000001</v>
      </c>
      <c r="G763" s="122" t="s">
        <v>1963</v>
      </c>
    </row>
    <row r="764" spans="1:9" x14ac:dyDescent="0.25">
      <c r="A764" s="125">
        <f t="shared" si="99"/>
        <v>724</v>
      </c>
      <c r="B764" s="130"/>
      <c r="C764" s="130" t="s">
        <v>904</v>
      </c>
      <c r="D764" s="906">
        <v>0</v>
      </c>
      <c r="E764" s="906">
        <f t="shared" ref="E764:E786" si="103">D764/8*12</f>
        <v>0</v>
      </c>
      <c r="F764" s="136">
        <v>1000</v>
      </c>
      <c r="G764" s="122" t="s">
        <v>1963</v>
      </c>
    </row>
    <row r="765" spans="1:9" x14ac:dyDescent="0.25">
      <c r="A765" s="125">
        <f t="shared" si="99"/>
        <v>725</v>
      </c>
      <c r="B765" s="130"/>
      <c r="C765" s="130" t="s">
        <v>117</v>
      </c>
      <c r="D765" s="906">
        <v>0</v>
      </c>
      <c r="E765" s="906">
        <f t="shared" si="103"/>
        <v>0</v>
      </c>
      <c r="F765" s="136">
        <v>3000</v>
      </c>
      <c r="G765" s="122" t="s">
        <v>1963</v>
      </c>
    </row>
    <row r="766" spans="1:9" x14ac:dyDescent="0.25">
      <c r="A766" s="125">
        <f t="shared" si="99"/>
        <v>726</v>
      </c>
      <c r="B766" s="130"/>
      <c r="C766" s="130" t="s">
        <v>118</v>
      </c>
      <c r="D766" s="906">
        <v>0</v>
      </c>
      <c r="E766" s="906">
        <f t="shared" si="103"/>
        <v>0</v>
      </c>
      <c r="F766" s="136">
        <v>42893.29</v>
      </c>
      <c r="G766" s="122" t="s">
        <v>1963</v>
      </c>
    </row>
    <row r="767" spans="1:9" x14ac:dyDescent="0.25">
      <c r="A767" s="125">
        <f t="shared" si="99"/>
        <v>727</v>
      </c>
      <c r="B767" s="130"/>
      <c r="C767" s="130" t="s">
        <v>11546</v>
      </c>
      <c r="D767" s="906">
        <v>0</v>
      </c>
      <c r="E767" s="906">
        <f t="shared" si="103"/>
        <v>0</v>
      </c>
      <c r="F767" s="136">
        <v>313.45</v>
      </c>
      <c r="G767" s="122" t="s">
        <v>1963</v>
      </c>
    </row>
    <row r="768" spans="1:9" x14ac:dyDescent="0.25">
      <c r="A768" s="125">
        <f t="shared" si="99"/>
        <v>728</v>
      </c>
      <c r="B768" s="130"/>
      <c r="C768" s="130" t="s">
        <v>114</v>
      </c>
      <c r="D768" s="906">
        <v>809.16</v>
      </c>
      <c r="E768" s="906">
        <v>809.16</v>
      </c>
      <c r="F768" s="136">
        <f>E768</f>
        <v>809.16</v>
      </c>
      <c r="G768" s="122" t="s">
        <v>1963</v>
      </c>
    </row>
    <row r="769" spans="1:7" x14ac:dyDescent="0.25">
      <c r="A769" s="125">
        <f t="shared" si="99"/>
        <v>729</v>
      </c>
      <c r="B769" s="130"/>
      <c r="C769" s="130" t="s">
        <v>115</v>
      </c>
      <c r="D769" s="906">
        <v>0</v>
      </c>
      <c r="E769" s="906">
        <f t="shared" si="103"/>
        <v>0</v>
      </c>
      <c r="F769" s="136">
        <v>10</v>
      </c>
      <c r="G769" s="122" t="s">
        <v>1963</v>
      </c>
    </row>
    <row r="770" spans="1:7" x14ac:dyDescent="0.25">
      <c r="A770" s="125">
        <f t="shared" si="99"/>
        <v>730</v>
      </c>
      <c r="B770" s="130"/>
      <c r="C770" s="842" t="s">
        <v>10457</v>
      </c>
      <c r="D770" s="906">
        <v>0</v>
      </c>
      <c r="E770" s="906">
        <f t="shared" si="103"/>
        <v>0</v>
      </c>
      <c r="F770" s="136">
        <v>1</v>
      </c>
      <c r="G770" s="122" t="s">
        <v>1963</v>
      </c>
    </row>
    <row r="771" spans="1:7" x14ac:dyDescent="0.25">
      <c r="A771" s="125">
        <f t="shared" si="99"/>
        <v>731</v>
      </c>
      <c r="B771" s="130"/>
      <c r="C771" s="842" t="s">
        <v>10458</v>
      </c>
      <c r="D771" s="906">
        <v>0</v>
      </c>
      <c r="E771" s="906">
        <f t="shared" si="103"/>
        <v>0</v>
      </c>
      <c r="F771" s="136">
        <v>1000</v>
      </c>
      <c r="G771" s="122" t="s">
        <v>1963</v>
      </c>
    </row>
    <row r="772" spans="1:7" x14ac:dyDescent="0.25">
      <c r="A772" s="125">
        <f t="shared" si="99"/>
        <v>732</v>
      </c>
      <c r="B772" s="130"/>
      <c r="C772" s="842" t="s">
        <v>126</v>
      </c>
      <c r="D772" s="906">
        <v>0</v>
      </c>
      <c r="E772" s="906">
        <f t="shared" si="103"/>
        <v>0</v>
      </c>
      <c r="F772" s="136">
        <v>5000</v>
      </c>
      <c r="G772" s="122" t="s">
        <v>1963</v>
      </c>
    </row>
    <row r="773" spans="1:7" x14ac:dyDescent="0.25">
      <c r="A773" s="125">
        <f t="shared" si="99"/>
        <v>733</v>
      </c>
      <c r="B773" s="130"/>
      <c r="C773" s="842" t="s">
        <v>10459</v>
      </c>
      <c r="D773" s="906">
        <v>21703.74</v>
      </c>
      <c r="E773" s="906">
        <f t="shared" si="103"/>
        <v>32555.61</v>
      </c>
      <c r="F773" s="136">
        <f>E773</f>
        <v>32555.61</v>
      </c>
      <c r="G773" s="122" t="s">
        <v>1963</v>
      </c>
    </row>
    <row r="774" spans="1:7" x14ac:dyDescent="0.25">
      <c r="A774" s="125">
        <f t="shared" si="99"/>
        <v>734</v>
      </c>
      <c r="B774" s="130"/>
      <c r="C774" s="130" t="s">
        <v>116</v>
      </c>
      <c r="D774" s="906">
        <v>81395.66</v>
      </c>
      <c r="E774" s="906">
        <f t="shared" si="103"/>
        <v>122093.49</v>
      </c>
      <c r="F774" s="136">
        <f>Pasep!F7</f>
        <v>181762.31820298068</v>
      </c>
      <c r="G774" s="122" t="s">
        <v>1963</v>
      </c>
    </row>
    <row r="775" spans="1:7" x14ac:dyDescent="0.25">
      <c r="A775" s="125">
        <f t="shared" si="99"/>
        <v>735</v>
      </c>
      <c r="B775" s="130"/>
      <c r="C775" s="130" t="s">
        <v>10460</v>
      </c>
      <c r="D775" s="906">
        <v>0</v>
      </c>
      <c r="E775" s="906">
        <f t="shared" si="103"/>
        <v>0</v>
      </c>
      <c r="F775" s="136">
        <v>1000</v>
      </c>
      <c r="G775" s="122" t="s">
        <v>1963</v>
      </c>
    </row>
    <row r="776" spans="1:7" x14ac:dyDescent="0.25">
      <c r="A776" s="125">
        <f t="shared" si="99"/>
        <v>736</v>
      </c>
      <c r="B776" s="130"/>
      <c r="C776" s="927" t="s">
        <v>985</v>
      </c>
      <c r="D776" s="906">
        <v>0</v>
      </c>
      <c r="E776" s="906">
        <f t="shared" si="103"/>
        <v>0</v>
      </c>
      <c r="F776" s="122" t="s">
        <v>1963</v>
      </c>
      <c r="G776" s="122" t="s">
        <v>1963</v>
      </c>
    </row>
    <row r="777" spans="1:7" x14ac:dyDescent="0.25">
      <c r="A777" s="125">
        <f t="shared" si="99"/>
        <v>737</v>
      </c>
      <c r="B777" s="130"/>
      <c r="C777" s="842" t="s">
        <v>7851</v>
      </c>
      <c r="D777" s="906">
        <v>0</v>
      </c>
      <c r="E777" s="906">
        <f t="shared" si="103"/>
        <v>0</v>
      </c>
      <c r="F777" s="136">
        <v>1</v>
      </c>
      <c r="G777" s="122" t="s">
        <v>1963</v>
      </c>
    </row>
    <row r="778" spans="1:7" x14ac:dyDescent="0.25">
      <c r="A778" s="125">
        <f t="shared" si="99"/>
        <v>738</v>
      </c>
      <c r="B778" s="130"/>
      <c r="C778" s="842" t="s">
        <v>7852</v>
      </c>
      <c r="D778" s="906">
        <v>0</v>
      </c>
      <c r="E778" s="906">
        <f t="shared" si="103"/>
        <v>0</v>
      </c>
      <c r="F778" s="136">
        <v>1</v>
      </c>
      <c r="G778" s="122" t="s">
        <v>1963</v>
      </c>
    </row>
    <row r="779" spans="1:7" x14ac:dyDescent="0.25">
      <c r="A779" s="125">
        <f t="shared" si="99"/>
        <v>739</v>
      </c>
      <c r="B779" s="130"/>
      <c r="C779" s="842" t="s">
        <v>5399</v>
      </c>
      <c r="D779" s="906">
        <v>293.31</v>
      </c>
      <c r="E779" s="906">
        <f t="shared" si="103"/>
        <v>439.96500000000003</v>
      </c>
      <c r="F779" s="136">
        <f>E779</f>
        <v>439.96500000000003</v>
      </c>
      <c r="G779" s="122" t="s">
        <v>1963</v>
      </c>
    </row>
    <row r="780" spans="1:7" x14ac:dyDescent="0.25">
      <c r="A780" s="125">
        <f t="shared" si="99"/>
        <v>740</v>
      </c>
      <c r="B780" s="130"/>
      <c r="C780" s="927" t="s">
        <v>985</v>
      </c>
      <c r="D780" s="906">
        <v>0</v>
      </c>
      <c r="E780" s="906">
        <f t="shared" si="103"/>
        <v>0</v>
      </c>
      <c r="F780" s="122" t="s">
        <v>1963</v>
      </c>
      <c r="G780" s="122" t="s">
        <v>1963</v>
      </c>
    </row>
    <row r="781" spans="1:7" x14ac:dyDescent="0.25">
      <c r="A781" s="125">
        <f t="shared" si="99"/>
        <v>741</v>
      </c>
      <c r="B781" s="130"/>
      <c r="C781" s="842" t="s">
        <v>7853</v>
      </c>
      <c r="D781" s="906">
        <v>0</v>
      </c>
      <c r="E781" s="906">
        <f t="shared" si="103"/>
        <v>0</v>
      </c>
      <c r="F781" s="136">
        <v>1</v>
      </c>
      <c r="G781" s="122" t="s">
        <v>1963</v>
      </c>
    </row>
    <row r="782" spans="1:7" x14ac:dyDescent="0.25">
      <c r="A782" s="125">
        <f t="shared" si="99"/>
        <v>742</v>
      </c>
      <c r="B782" s="130"/>
      <c r="C782" s="927" t="s">
        <v>985</v>
      </c>
      <c r="D782" s="906">
        <v>0</v>
      </c>
      <c r="E782" s="906">
        <f t="shared" si="103"/>
        <v>0</v>
      </c>
      <c r="F782" s="122" t="s">
        <v>1963</v>
      </c>
      <c r="G782" s="122" t="s">
        <v>1963</v>
      </c>
    </row>
    <row r="783" spans="1:7" x14ac:dyDescent="0.25">
      <c r="A783" s="125">
        <f t="shared" si="99"/>
        <v>743</v>
      </c>
      <c r="B783" s="130"/>
      <c r="C783" s="842" t="s">
        <v>7854</v>
      </c>
      <c r="D783" s="906">
        <v>0</v>
      </c>
      <c r="E783" s="906">
        <f t="shared" si="103"/>
        <v>0</v>
      </c>
      <c r="F783" s="136">
        <v>1</v>
      </c>
      <c r="G783" s="122" t="s">
        <v>1963</v>
      </c>
    </row>
    <row r="784" spans="1:7" x14ac:dyDescent="0.25">
      <c r="A784" s="125">
        <f t="shared" si="99"/>
        <v>744</v>
      </c>
      <c r="B784" s="130"/>
      <c r="C784" s="927" t="s">
        <v>5573</v>
      </c>
      <c r="D784" s="906">
        <v>0</v>
      </c>
      <c r="E784" s="906">
        <f t="shared" si="103"/>
        <v>0</v>
      </c>
      <c r="F784" s="136">
        <v>1</v>
      </c>
      <c r="G784" s="122" t="s">
        <v>1963</v>
      </c>
    </row>
    <row r="785" spans="1:9" x14ac:dyDescent="0.25">
      <c r="A785" s="125">
        <f t="shared" si="99"/>
        <v>745</v>
      </c>
      <c r="B785" s="130"/>
      <c r="C785" s="130" t="s">
        <v>10461</v>
      </c>
      <c r="D785" s="906">
        <v>0</v>
      </c>
      <c r="E785" s="906">
        <f t="shared" si="103"/>
        <v>0</v>
      </c>
      <c r="F785" s="136">
        <v>5000</v>
      </c>
      <c r="G785" s="122" t="s">
        <v>1963</v>
      </c>
    </row>
    <row r="786" spans="1:9" x14ac:dyDescent="0.25">
      <c r="A786" s="125">
        <f t="shared" si="99"/>
        <v>746</v>
      </c>
      <c r="B786" s="130"/>
      <c r="C786" s="130" t="s">
        <v>10462</v>
      </c>
      <c r="D786" s="906">
        <v>0</v>
      </c>
      <c r="E786" s="906">
        <f t="shared" si="103"/>
        <v>0</v>
      </c>
      <c r="F786" s="136">
        <v>10000</v>
      </c>
      <c r="G786" s="122" t="s">
        <v>1963</v>
      </c>
    </row>
    <row r="787" spans="1:9" x14ac:dyDescent="0.25">
      <c r="A787" s="125">
        <f t="shared" si="99"/>
        <v>747</v>
      </c>
      <c r="B787" s="130"/>
      <c r="C787" s="130"/>
      <c r="D787" s="908"/>
      <c r="E787" s="908"/>
      <c r="F787" s="136"/>
    </row>
    <row r="788" spans="1:9" x14ac:dyDescent="0.25">
      <c r="A788" s="125">
        <f t="shared" si="99"/>
        <v>748</v>
      </c>
      <c r="B788" s="130"/>
      <c r="C788" s="793" t="s">
        <v>6887</v>
      </c>
      <c r="D788" s="918"/>
      <c r="E788" s="918"/>
      <c r="F788" s="793"/>
      <c r="G788" s="793"/>
      <c r="H788" s="793"/>
      <c r="I788" s="793"/>
    </row>
    <row r="789" spans="1:9" x14ac:dyDescent="0.25">
      <c r="A789" s="125">
        <f t="shared" si="99"/>
        <v>749</v>
      </c>
      <c r="B789" s="130"/>
      <c r="C789" s="793" t="s">
        <v>7882</v>
      </c>
      <c r="D789" s="918"/>
      <c r="E789" s="918"/>
      <c r="F789" s="793"/>
      <c r="G789" s="793"/>
      <c r="H789" s="793"/>
      <c r="I789" s="793"/>
    </row>
    <row r="790" spans="1:9" x14ac:dyDescent="0.25">
      <c r="A790" s="125">
        <f t="shared" si="99"/>
        <v>750</v>
      </c>
      <c r="B790" s="130"/>
      <c r="C790" s="137" t="s">
        <v>139</v>
      </c>
      <c r="D790" s="919"/>
      <c r="E790" s="919"/>
      <c r="F790" s="136"/>
    </row>
    <row r="791" spans="1:9" x14ac:dyDescent="0.25">
      <c r="A791" s="125">
        <f t="shared" si="99"/>
        <v>751</v>
      </c>
      <c r="B791" s="130"/>
      <c r="C791" s="134" t="s">
        <v>8</v>
      </c>
      <c r="D791" s="914"/>
      <c r="E791" s="914"/>
      <c r="F791" s="128">
        <v>0.01</v>
      </c>
      <c r="G791" s="122" t="s">
        <v>1963</v>
      </c>
    </row>
    <row r="792" spans="1:9" x14ac:dyDescent="0.25">
      <c r="A792" s="125">
        <f t="shared" si="99"/>
        <v>752</v>
      </c>
      <c r="B792" s="130"/>
      <c r="C792" s="134" t="s">
        <v>139</v>
      </c>
      <c r="D792" s="906">
        <v>1003508.38</v>
      </c>
      <c r="E792" s="906">
        <f>D792</f>
        <v>1003508.38</v>
      </c>
      <c r="F792" s="136">
        <f>'ORCAMENTO RECEITA ANALITICO'!H444*F791</f>
        <v>183000.00003991171</v>
      </c>
      <c r="G792" s="122" t="s">
        <v>1963</v>
      </c>
    </row>
    <row r="793" spans="1:9" x14ac:dyDescent="0.25">
      <c r="A793" s="125">
        <f t="shared" si="99"/>
        <v>753</v>
      </c>
      <c r="B793" s="130"/>
      <c r="C793" s="134"/>
      <c r="D793" s="906"/>
      <c r="E793" s="906"/>
      <c r="F793" s="136"/>
    </row>
    <row r="794" spans="1:9" x14ac:dyDescent="0.25">
      <c r="A794" s="125">
        <f t="shared" si="99"/>
        <v>754</v>
      </c>
      <c r="B794" s="130"/>
      <c r="C794" s="134" t="s">
        <v>9</v>
      </c>
      <c r="D794" s="914"/>
      <c r="E794" s="914"/>
      <c r="F794" s="136">
        <v>-1585.34</v>
      </c>
      <c r="G794" s="122" t="s">
        <v>1963</v>
      </c>
    </row>
    <row r="795" spans="1:9" x14ac:dyDescent="0.25">
      <c r="A795" s="125">
        <f t="shared" si="99"/>
        <v>755</v>
      </c>
      <c r="B795" s="130"/>
      <c r="C795" s="130"/>
      <c r="D795" s="908"/>
      <c r="E795" s="908"/>
      <c r="F795" s="136"/>
    </row>
    <row r="796" spans="1:9" x14ac:dyDescent="0.25">
      <c r="A796" s="125">
        <f t="shared" si="99"/>
        <v>756</v>
      </c>
      <c r="B796" s="130"/>
      <c r="C796" s="1371" t="s">
        <v>6887</v>
      </c>
      <c r="D796" s="1371"/>
      <c r="E796" s="1371"/>
      <c r="F796" s="1371"/>
      <c r="G796" s="1371"/>
      <c r="H796" s="1371"/>
      <c r="I796" s="1371"/>
    </row>
    <row r="797" spans="1:9" x14ac:dyDescent="0.25">
      <c r="A797" s="125">
        <f t="shared" si="99"/>
        <v>757</v>
      </c>
      <c r="B797" s="130"/>
      <c r="C797" s="1371" t="s">
        <v>7899</v>
      </c>
      <c r="D797" s="1371"/>
      <c r="E797" s="1371"/>
      <c r="F797" s="1371"/>
      <c r="G797" s="1371"/>
      <c r="H797" s="1371"/>
      <c r="I797" s="1371"/>
    </row>
    <row r="798" spans="1:9" x14ac:dyDescent="0.25">
      <c r="A798" s="125">
        <f t="shared" ref="A798:A861" si="104">A797+1</f>
        <v>758</v>
      </c>
      <c r="B798" s="130"/>
      <c r="C798" s="884" t="s">
        <v>10463</v>
      </c>
      <c r="D798" s="917"/>
      <c r="E798" s="917"/>
      <c r="F798" s="884"/>
      <c r="G798" s="884"/>
      <c r="H798" s="884"/>
      <c r="I798" s="884"/>
    </row>
    <row r="799" spans="1:9" x14ac:dyDescent="0.25">
      <c r="A799" s="125">
        <f t="shared" si="104"/>
        <v>759</v>
      </c>
      <c r="B799" s="130"/>
      <c r="C799" s="130" t="s">
        <v>915</v>
      </c>
      <c r="D799" s="906">
        <v>0</v>
      </c>
      <c r="E799" s="906">
        <f t="shared" ref="E799:E802" si="105">D799/8*12</f>
        <v>0</v>
      </c>
      <c r="F799" s="136">
        <v>1</v>
      </c>
      <c r="G799" s="122" t="s">
        <v>1963</v>
      </c>
    </row>
    <row r="800" spans="1:9" x14ac:dyDescent="0.25">
      <c r="A800" s="125">
        <f t="shared" si="104"/>
        <v>760</v>
      </c>
      <c r="B800" s="130"/>
      <c r="C800" s="130" t="s">
        <v>914</v>
      </c>
      <c r="D800" s="906">
        <v>0</v>
      </c>
      <c r="E800" s="906">
        <f t="shared" si="105"/>
        <v>0</v>
      </c>
      <c r="F800" s="136">
        <v>1</v>
      </c>
      <c r="G800" s="122" t="s">
        <v>1963</v>
      </c>
    </row>
    <row r="801" spans="1:9" x14ac:dyDescent="0.25">
      <c r="A801" s="125">
        <f t="shared" si="104"/>
        <v>761</v>
      </c>
      <c r="B801" s="130"/>
      <c r="C801" s="130" t="s">
        <v>11524</v>
      </c>
      <c r="D801" s="906">
        <v>0</v>
      </c>
      <c r="E801" s="906">
        <f t="shared" si="105"/>
        <v>0</v>
      </c>
      <c r="F801" s="136">
        <v>1</v>
      </c>
      <c r="G801" s="122" t="s">
        <v>1963</v>
      </c>
    </row>
    <row r="802" spans="1:9" x14ac:dyDescent="0.25">
      <c r="A802" s="125">
        <f t="shared" si="104"/>
        <v>762</v>
      </c>
      <c r="B802" s="130"/>
      <c r="C802" s="130" t="s">
        <v>11523</v>
      </c>
      <c r="D802" s="906">
        <v>0</v>
      </c>
      <c r="E802" s="906">
        <f t="shared" si="105"/>
        <v>0</v>
      </c>
      <c r="F802" s="136">
        <f>5000-2</f>
        <v>4998</v>
      </c>
      <c r="G802" s="122" t="s">
        <v>1963</v>
      </c>
    </row>
    <row r="803" spans="1:9" x14ac:dyDescent="0.25">
      <c r="A803" s="125">
        <f t="shared" si="104"/>
        <v>763</v>
      </c>
      <c r="B803" s="804"/>
      <c r="C803" s="804"/>
      <c r="D803" s="920"/>
      <c r="E803" s="920"/>
      <c r="F803" s="804"/>
    </row>
    <row r="804" spans="1:9" x14ac:dyDescent="0.25">
      <c r="A804" s="125">
        <f t="shared" si="104"/>
        <v>764</v>
      </c>
      <c r="B804" s="885"/>
      <c r="C804" s="793" t="s">
        <v>7911</v>
      </c>
      <c r="D804" s="793"/>
      <c r="E804" s="793"/>
      <c r="F804" s="793"/>
      <c r="G804" s="793"/>
      <c r="H804" s="793"/>
      <c r="I804" s="793"/>
    </row>
    <row r="805" spans="1:9" x14ac:dyDescent="0.25">
      <c r="A805" s="125">
        <f t="shared" si="104"/>
        <v>765</v>
      </c>
      <c r="B805" s="885"/>
      <c r="C805" s="793" t="s">
        <v>7912</v>
      </c>
      <c r="D805" s="793"/>
      <c r="E805" s="793"/>
      <c r="F805" s="793"/>
      <c r="G805" s="793"/>
      <c r="H805" s="793"/>
      <c r="I805" s="793"/>
    </row>
    <row r="806" spans="1:9" x14ac:dyDescent="0.25">
      <c r="A806" s="125">
        <f t="shared" si="104"/>
        <v>766</v>
      </c>
      <c r="B806" s="948"/>
      <c r="C806" s="793"/>
      <c r="D806" s="793"/>
      <c r="E806" s="793"/>
      <c r="F806" s="793"/>
      <c r="G806" s="793"/>
      <c r="H806" s="793"/>
      <c r="I806" s="793"/>
    </row>
    <row r="807" spans="1:9" x14ac:dyDescent="0.25">
      <c r="A807" s="125">
        <f t="shared" si="104"/>
        <v>767</v>
      </c>
      <c r="B807" s="885"/>
      <c r="C807" s="949" t="s">
        <v>10464</v>
      </c>
      <c r="D807" s="917"/>
      <c r="E807" s="917"/>
      <c r="F807" s="884"/>
      <c r="G807" s="884"/>
      <c r="H807" s="884"/>
      <c r="I807" s="884"/>
    </row>
    <row r="808" spans="1:9" ht="31.5" x14ac:dyDescent="0.25">
      <c r="A808" s="125">
        <f t="shared" si="104"/>
        <v>768</v>
      </c>
      <c r="B808" s="130"/>
      <c r="C808" s="842" t="s">
        <v>10465</v>
      </c>
      <c r="D808" s="906">
        <v>0</v>
      </c>
      <c r="E808" s="906">
        <f t="shared" ref="E808:E811" si="106">D808/8*12</f>
        <v>0</v>
      </c>
      <c r="F808" s="136">
        <v>100</v>
      </c>
      <c r="G808" s="122" t="s">
        <v>1963</v>
      </c>
    </row>
    <row r="809" spans="1:9" ht="31.5" x14ac:dyDescent="0.25">
      <c r="A809" s="125">
        <f t="shared" si="104"/>
        <v>769</v>
      </c>
      <c r="B809" s="130"/>
      <c r="C809" s="842" t="s">
        <v>10466</v>
      </c>
      <c r="D809" s="906">
        <v>0</v>
      </c>
      <c r="E809" s="906">
        <f t="shared" si="106"/>
        <v>0</v>
      </c>
      <c r="F809" s="136">
        <v>500</v>
      </c>
      <c r="G809" s="122" t="s">
        <v>1963</v>
      </c>
    </row>
    <row r="810" spans="1:9" ht="31.5" x14ac:dyDescent="0.25">
      <c r="A810" s="125">
        <f t="shared" si="104"/>
        <v>770</v>
      </c>
      <c r="B810" s="130"/>
      <c r="C810" s="842" t="s">
        <v>10467</v>
      </c>
      <c r="D810" s="906">
        <v>0</v>
      </c>
      <c r="E810" s="906">
        <f t="shared" si="106"/>
        <v>0</v>
      </c>
      <c r="F810" s="136">
        <v>500</v>
      </c>
      <c r="G810" s="122" t="s">
        <v>1963</v>
      </c>
    </row>
    <row r="811" spans="1:9" x14ac:dyDescent="0.25">
      <c r="A811" s="125">
        <f t="shared" si="104"/>
        <v>771</v>
      </c>
      <c r="B811" s="130"/>
      <c r="C811" s="842" t="s">
        <v>10468</v>
      </c>
      <c r="D811" s="906">
        <v>0</v>
      </c>
      <c r="E811" s="906">
        <f t="shared" si="106"/>
        <v>0</v>
      </c>
      <c r="F811" s="136">
        <v>500</v>
      </c>
      <c r="G811" s="122" t="s">
        <v>1963</v>
      </c>
    </row>
    <row r="812" spans="1:9" x14ac:dyDescent="0.25">
      <c r="A812" s="125">
        <f t="shared" si="104"/>
        <v>772</v>
      </c>
      <c r="B812" s="130"/>
      <c r="C812" s="927" t="s">
        <v>10471</v>
      </c>
      <c r="D812" s="928"/>
      <c r="E812" s="928"/>
      <c r="F812" s="136"/>
    </row>
    <row r="813" spans="1:9" x14ac:dyDescent="0.25">
      <c r="A813" s="125">
        <f t="shared" si="104"/>
        <v>773</v>
      </c>
      <c r="B813" s="130"/>
      <c r="C813" s="842" t="s">
        <v>10509</v>
      </c>
      <c r="D813" s="906">
        <v>0</v>
      </c>
      <c r="E813" s="906">
        <f t="shared" ref="E813:E816" si="107">D813/8*12</f>
        <v>0</v>
      </c>
      <c r="F813" s="136">
        <v>500</v>
      </c>
      <c r="G813" s="122" t="s">
        <v>1963</v>
      </c>
    </row>
    <row r="814" spans="1:9" ht="31.5" x14ac:dyDescent="0.25">
      <c r="A814" s="125">
        <f t="shared" si="104"/>
        <v>774</v>
      </c>
      <c r="B814" s="130"/>
      <c r="C814" s="842" t="s">
        <v>10510</v>
      </c>
      <c r="D814" s="906">
        <v>0</v>
      </c>
      <c r="E814" s="906">
        <f t="shared" si="107"/>
        <v>0</v>
      </c>
      <c r="F814" s="136">
        <v>500</v>
      </c>
      <c r="G814" s="122" t="s">
        <v>1963</v>
      </c>
    </row>
    <row r="815" spans="1:9" x14ac:dyDescent="0.25">
      <c r="A815" s="125">
        <f t="shared" si="104"/>
        <v>775</v>
      </c>
      <c r="B815" s="130"/>
      <c r="C815" s="842" t="s">
        <v>7931</v>
      </c>
      <c r="D815" s="906">
        <v>0</v>
      </c>
      <c r="E815" s="906">
        <f t="shared" si="107"/>
        <v>0</v>
      </c>
      <c r="F815" s="136">
        <v>500</v>
      </c>
      <c r="G815" s="122" t="s">
        <v>1963</v>
      </c>
    </row>
    <row r="816" spans="1:9" x14ac:dyDescent="0.25">
      <c r="A816" s="125">
        <f t="shared" si="104"/>
        <v>776</v>
      </c>
      <c r="B816" s="130"/>
      <c r="C816" s="842" t="s">
        <v>10511</v>
      </c>
      <c r="D816" s="906">
        <v>0</v>
      </c>
      <c r="E816" s="906">
        <f t="shared" si="107"/>
        <v>0</v>
      </c>
      <c r="F816" s="136">
        <v>500</v>
      </c>
      <c r="G816" s="122" t="s">
        <v>1963</v>
      </c>
    </row>
    <row r="817" spans="1:7" x14ac:dyDescent="0.25">
      <c r="A817" s="125">
        <f t="shared" si="104"/>
        <v>777</v>
      </c>
      <c r="B817" s="130"/>
      <c r="C817" s="927" t="s">
        <v>10472</v>
      </c>
      <c r="D817" s="928"/>
      <c r="E817" s="928"/>
      <c r="F817" s="136"/>
    </row>
    <row r="818" spans="1:7" x14ac:dyDescent="0.25">
      <c r="A818" s="125">
        <f t="shared" si="104"/>
        <v>778</v>
      </c>
      <c r="B818" s="130"/>
      <c r="C818" s="842" t="s">
        <v>10512</v>
      </c>
      <c r="D818" s="906">
        <v>0</v>
      </c>
      <c r="E818" s="906">
        <f t="shared" ref="E818:E821" si="108">D818/8*12</f>
        <v>0</v>
      </c>
      <c r="F818" s="136">
        <v>500</v>
      </c>
      <c r="G818" s="122" t="s">
        <v>1963</v>
      </c>
    </row>
    <row r="819" spans="1:7" ht="31.5" x14ac:dyDescent="0.25">
      <c r="A819" s="125">
        <f t="shared" si="104"/>
        <v>779</v>
      </c>
      <c r="B819" s="130"/>
      <c r="C819" s="842" t="s">
        <v>10513</v>
      </c>
      <c r="D819" s="906">
        <v>0</v>
      </c>
      <c r="E819" s="906">
        <f t="shared" si="108"/>
        <v>0</v>
      </c>
      <c r="F819" s="136">
        <v>500</v>
      </c>
      <c r="G819" s="122" t="s">
        <v>1963</v>
      </c>
    </row>
    <row r="820" spans="1:7" ht="31.5" x14ac:dyDescent="0.25">
      <c r="A820" s="125">
        <f t="shared" si="104"/>
        <v>780</v>
      </c>
      <c r="B820" s="130"/>
      <c r="C820" s="842" t="s">
        <v>10515</v>
      </c>
      <c r="D820" s="906">
        <v>0</v>
      </c>
      <c r="E820" s="906">
        <f t="shared" si="108"/>
        <v>0</v>
      </c>
      <c r="F820" s="136">
        <v>500</v>
      </c>
      <c r="G820" s="122" t="s">
        <v>1963</v>
      </c>
    </row>
    <row r="821" spans="1:7" x14ac:dyDescent="0.25">
      <c r="A821" s="125">
        <f t="shared" si="104"/>
        <v>781</v>
      </c>
      <c r="B821" s="130"/>
      <c r="C821" s="842" t="s">
        <v>11547</v>
      </c>
      <c r="D821" s="906">
        <v>268.67</v>
      </c>
      <c r="E821" s="906">
        <f t="shared" si="108"/>
        <v>403.005</v>
      </c>
      <c r="F821" s="136">
        <v>40000</v>
      </c>
      <c r="G821" s="122" t="s">
        <v>1963</v>
      </c>
    </row>
    <row r="822" spans="1:7" x14ac:dyDescent="0.25">
      <c r="A822" s="125">
        <f t="shared" si="104"/>
        <v>782</v>
      </c>
      <c r="B822" s="130"/>
      <c r="C822" s="927" t="s">
        <v>10475</v>
      </c>
      <c r="D822" s="928"/>
      <c r="E822" s="928"/>
      <c r="F822" s="136"/>
    </row>
    <row r="823" spans="1:7" x14ac:dyDescent="0.25">
      <c r="A823" s="125">
        <f t="shared" si="104"/>
        <v>783</v>
      </c>
      <c r="B823" s="130"/>
      <c r="C823" s="134" t="s">
        <v>10476</v>
      </c>
      <c r="D823" s="906">
        <v>0</v>
      </c>
      <c r="E823" s="906">
        <f t="shared" ref="E823:E855" si="109">D823/8*12</f>
        <v>0</v>
      </c>
      <c r="F823" s="136">
        <v>1</v>
      </c>
      <c r="G823" s="122" t="s">
        <v>1963</v>
      </c>
    </row>
    <row r="824" spans="1:7" x14ac:dyDescent="0.25">
      <c r="A824" s="125">
        <f t="shared" si="104"/>
        <v>784</v>
      </c>
      <c r="B824" s="130"/>
      <c r="C824" s="134" t="s">
        <v>11570</v>
      </c>
      <c r="D824" s="906">
        <f>(444.07+814.65+1101.08)</f>
        <v>2359.8000000000002</v>
      </c>
      <c r="E824" s="906">
        <f>D824*13.33</f>
        <v>31456.134000000002</v>
      </c>
      <c r="F824" s="136">
        <f>E824/13.33</f>
        <v>2359.8000000000002</v>
      </c>
    </row>
    <row r="825" spans="1:7" x14ac:dyDescent="0.25">
      <c r="A825" s="125">
        <f t="shared" si="104"/>
        <v>785</v>
      </c>
      <c r="B825" s="130"/>
      <c r="C825" s="134" t="s">
        <v>10477</v>
      </c>
      <c r="D825" s="906">
        <f>(124529.05+85414.03+51120.23)-60124.45</f>
        <v>200938.86000000004</v>
      </c>
      <c r="E825" s="906">
        <f>D825/8*13.33</f>
        <v>334814.37547500007</v>
      </c>
      <c r="F825" s="136">
        <v>27261.759999999998</v>
      </c>
      <c r="G825" s="122" t="s">
        <v>1963</v>
      </c>
    </row>
    <row r="826" spans="1:7" x14ac:dyDescent="0.25">
      <c r="A826" s="125">
        <f t="shared" si="104"/>
        <v>786</v>
      </c>
      <c r="B826" s="130"/>
      <c r="C826" s="134" t="s">
        <v>10478</v>
      </c>
      <c r="D826" s="906">
        <v>2576.0700000000002</v>
      </c>
      <c r="E826" s="906">
        <f t="shared" si="109"/>
        <v>3864.1050000000005</v>
      </c>
      <c r="F826" s="136">
        <f>E826/12</f>
        <v>322.00875000000002</v>
      </c>
      <c r="G826" s="122" t="s">
        <v>1963</v>
      </c>
    </row>
    <row r="827" spans="1:7" x14ac:dyDescent="0.25">
      <c r="A827" s="125">
        <f t="shared" si="104"/>
        <v>787</v>
      </c>
      <c r="B827" s="130"/>
      <c r="C827" s="842" t="s">
        <v>11532</v>
      </c>
      <c r="D827" s="924">
        <f>D825*23.0306%</f>
        <v>46277.42509116001</v>
      </c>
      <c r="E827" s="906">
        <f>D827/8*13.33</f>
        <v>77109.759558145364</v>
      </c>
      <c r="F827" s="129">
        <f>E827</f>
        <v>77109.759558145364</v>
      </c>
      <c r="G827" s="122" t="s">
        <v>1963</v>
      </c>
    </row>
    <row r="828" spans="1:7" x14ac:dyDescent="0.25">
      <c r="A828" s="125">
        <f t="shared" si="104"/>
        <v>788</v>
      </c>
      <c r="B828" s="130"/>
      <c r="C828" s="134" t="s">
        <v>119</v>
      </c>
      <c r="D828" s="906">
        <v>1867</v>
      </c>
      <c r="E828" s="906">
        <f t="shared" si="109"/>
        <v>2800.5</v>
      </c>
      <c r="F828" s="136">
        <f>E828/12</f>
        <v>233.375</v>
      </c>
      <c r="G828" s="122" t="s">
        <v>1963</v>
      </c>
    </row>
    <row r="829" spans="1:7" x14ac:dyDescent="0.25">
      <c r="A829" s="125">
        <f t="shared" si="104"/>
        <v>789</v>
      </c>
      <c r="B829" s="130"/>
      <c r="C829" s="134" t="s">
        <v>120</v>
      </c>
      <c r="D829" s="906">
        <v>10851.04</v>
      </c>
      <c r="E829" s="906">
        <f t="shared" si="109"/>
        <v>16276.560000000001</v>
      </c>
      <c r="F829" s="136">
        <v>15000</v>
      </c>
      <c r="G829" s="122" t="s">
        <v>1963</v>
      </c>
    </row>
    <row r="830" spans="1:7" x14ac:dyDescent="0.25">
      <c r="A830" s="125">
        <f t="shared" si="104"/>
        <v>790</v>
      </c>
      <c r="B830" s="130"/>
      <c r="C830" s="134" t="s">
        <v>10480</v>
      </c>
      <c r="D830" s="906">
        <v>0</v>
      </c>
      <c r="E830" s="906">
        <f t="shared" si="109"/>
        <v>0</v>
      </c>
      <c r="F830" s="136">
        <v>5000</v>
      </c>
      <c r="G830" s="122" t="s">
        <v>1963</v>
      </c>
    </row>
    <row r="831" spans="1:7" x14ac:dyDescent="0.25">
      <c r="A831" s="125">
        <f t="shared" si="104"/>
        <v>791</v>
      </c>
      <c r="B831" s="130"/>
      <c r="C831" s="134" t="s">
        <v>10481</v>
      </c>
      <c r="D831" s="906">
        <v>470.7</v>
      </c>
      <c r="E831" s="906">
        <f t="shared" si="109"/>
        <v>706.05</v>
      </c>
      <c r="F831" s="136">
        <f>E831</f>
        <v>706.05</v>
      </c>
      <c r="G831" s="122" t="s">
        <v>1963</v>
      </c>
    </row>
    <row r="832" spans="1:7" x14ac:dyDescent="0.25">
      <c r="A832" s="125">
        <f t="shared" si="104"/>
        <v>792</v>
      </c>
      <c r="B832" s="130"/>
      <c r="C832" s="134" t="s">
        <v>10482</v>
      </c>
      <c r="D832" s="906">
        <v>0</v>
      </c>
      <c r="E832" s="906">
        <f t="shared" si="109"/>
        <v>0</v>
      </c>
      <c r="F832" s="136">
        <v>2000</v>
      </c>
      <c r="G832" s="122" t="s">
        <v>1963</v>
      </c>
    </row>
    <row r="833" spans="1:258" x14ac:dyDescent="0.25">
      <c r="A833" s="125">
        <f t="shared" si="104"/>
        <v>793</v>
      </c>
      <c r="B833" s="130"/>
      <c r="C833" s="134" t="s">
        <v>11548</v>
      </c>
      <c r="D833" s="906">
        <f>18865.32-14148.99</f>
        <v>4716.33</v>
      </c>
      <c r="E833" s="906">
        <f t="shared" si="109"/>
        <v>7074.4949999999999</v>
      </c>
      <c r="F833" s="136">
        <f>E833</f>
        <v>7074.4949999999999</v>
      </c>
      <c r="G833" s="122" t="s">
        <v>1963</v>
      </c>
    </row>
    <row r="834" spans="1:258" x14ac:dyDescent="0.25">
      <c r="A834" s="125">
        <f t="shared" si="104"/>
        <v>794</v>
      </c>
      <c r="B834" s="130"/>
      <c r="C834" s="134" t="s">
        <v>10483</v>
      </c>
      <c r="D834" s="906">
        <v>14148.99</v>
      </c>
      <c r="E834" s="906">
        <f t="shared" si="109"/>
        <v>21223.485000000001</v>
      </c>
      <c r="F834" s="136">
        <f>E834</f>
        <v>21223.485000000001</v>
      </c>
      <c r="G834" s="122" t="s">
        <v>1963</v>
      </c>
    </row>
    <row r="835" spans="1:258" x14ac:dyDescent="0.25">
      <c r="A835" s="125">
        <f t="shared" si="104"/>
        <v>795</v>
      </c>
      <c r="B835" s="130"/>
      <c r="C835" s="134" t="s">
        <v>2</v>
      </c>
      <c r="D835" s="906">
        <v>32094.42</v>
      </c>
      <c r="E835" s="906">
        <f t="shared" si="109"/>
        <v>48141.63</v>
      </c>
      <c r="F835" s="136">
        <f>E835</f>
        <v>48141.63</v>
      </c>
      <c r="G835" s="122" t="s">
        <v>1963</v>
      </c>
    </row>
    <row r="836" spans="1:258" x14ac:dyDescent="0.25">
      <c r="A836" s="125">
        <f t="shared" si="104"/>
        <v>796</v>
      </c>
      <c r="B836" s="130"/>
      <c r="C836" s="842" t="s">
        <v>11532</v>
      </c>
      <c r="D836" s="906">
        <v>20</v>
      </c>
      <c r="E836" s="906">
        <f t="shared" ref="E836" si="110">D836/8*12</f>
        <v>30</v>
      </c>
      <c r="F836" s="136">
        <v>0</v>
      </c>
      <c r="G836" s="122" t="s">
        <v>1963</v>
      </c>
    </row>
    <row r="837" spans="1:258" x14ac:dyDescent="0.25">
      <c r="A837" s="125">
        <f t="shared" si="104"/>
        <v>797</v>
      </c>
      <c r="B837" s="130"/>
      <c r="C837" s="134" t="s">
        <v>121</v>
      </c>
      <c r="D837" s="906">
        <v>26386.67</v>
      </c>
      <c r="E837" s="906">
        <f t="shared" si="109"/>
        <v>39580.004999999997</v>
      </c>
      <c r="F837" s="136">
        <v>655.94</v>
      </c>
      <c r="G837" s="122" t="s">
        <v>1963</v>
      </c>
    </row>
    <row r="838" spans="1:258" x14ac:dyDescent="0.25">
      <c r="A838" s="125">
        <f t="shared" si="104"/>
        <v>798</v>
      </c>
      <c r="B838" s="130"/>
      <c r="C838" s="134" t="s">
        <v>122</v>
      </c>
      <c r="D838" s="906">
        <v>149.5</v>
      </c>
      <c r="E838" s="906">
        <f t="shared" si="109"/>
        <v>224.25</v>
      </c>
      <c r="F838" s="136">
        <f>E838+500</f>
        <v>724.25</v>
      </c>
      <c r="G838" s="122" t="s">
        <v>1963</v>
      </c>
    </row>
    <row r="839" spans="1:258" x14ac:dyDescent="0.25">
      <c r="A839" s="125">
        <f t="shared" si="104"/>
        <v>799</v>
      </c>
      <c r="B839" s="130"/>
      <c r="C839" s="134" t="s">
        <v>10479</v>
      </c>
      <c r="D839" s="906">
        <v>5738.44</v>
      </c>
      <c r="E839" s="906">
        <f t="shared" si="109"/>
        <v>8607.66</v>
      </c>
      <c r="F839" s="136">
        <f>E839</f>
        <v>8607.66</v>
      </c>
      <c r="G839" s="122" t="s">
        <v>1963</v>
      </c>
    </row>
    <row r="840" spans="1:258" x14ac:dyDescent="0.25">
      <c r="A840" s="125">
        <f t="shared" si="104"/>
        <v>800</v>
      </c>
      <c r="B840" s="130"/>
      <c r="C840" s="232" t="s">
        <v>10484</v>
      </c>
      <c r="D840" s="915"/>
      <c r="E840" s="915"/>
      <c r="F840" s="136"/>
    </row>
    <row r="841" spans="1:258" s="130" customFormat="1" x14ac:dyDescent="0.25">
      <c r="A841" s="125">
        <f t="shared" si="104"/>
        <v>801</v>
      </c>
      <c r="B841" s="885"/>
      <c r="C841" s="842" t="s">
        <v>10505</v>
      </c>
      <c r="D841" s="924">
        <v>0</v>
      </c>
      <c r="E841" s="906">
        <f t="shared" si="109"/>
        <v>0</v>
      </c>
      <c r="F841" s="136">
        <v>1</v>
      </c>
      <c r="G841" s="122" t="s">
        <v>1963</v>
      </c>
      <c r="H841" s="885"/>
      <c r="I841" s="885"/>
      <c r="J841" s="885"/>
      <c r="K841" s="885"/>
      <c r="L841" s="885"/>
      <c r="M841" s="885"/>
      <c r="N841" s="885"/>
      <c r="O841" s="885"/>
      <c r="P841" s="885"/>
      <c r="Q841" s="885"/>
      <c r="R841" s="885"/>
      <c r="S841" s="885"/>
      <c r="T841" s="885"/>
      <c r="U841" s="885"/>
      <c r="V841" s="885"/>
      <c r="W841" s="885"/>
      <c r="X841" s="885"/>
      <c r="Y841" s="885"/>
      <c r="Z841" s="885"/>
      <c r="AA841" s="885"/>
      <c r="AB841" s="885"/>
      <c r="AC841" s="885"/>
      <c r="AD841" s="885"/>
      <c r="AE841" s="885"/>
      <c r="AF841" s="885"/>
      <c r="AG841" s="885"/>
      <c r="AH841" s="885"/>
      <c r="AI841" s="885"/>
      <c r="AJ841" s="885"/>
      <c r="AK841" s="885"/>
      <c r="AL841" s="885"/>
      <c r="AM841" s="885"/>
      <c r="AN841" s="885"/>
      <c r="AO841" s="885"/>
      <c r="AP841" s="885"/>
      <c r="AQ841" s="885"/>
      <c r="AR841" s="885"/>
      <c r="AS841" s="885"/>
      <c r="AT841" s="885"/>
      <c r="AU841" s="885"/>
      <c r="AV841" s="885"/>
      <c r="AW841" s="885"/>
      <c r="AX841" s="885"/>
      <c r="AY841" s="885"/>
      <c r="AZ841" s="885"/>
      <c r="BA841" s="885"/>
      <c r="BB841" s="885"/>
      <c r="BC841" s="885"/>
      <c r="BD841" s="885"/>
      <c r="BE841" s="885"/>
      <c r="BF841" s="885"/>
      <c r="BG841" s="885"/>
      <c r="BH841" s="885"/>
      <c r="BI841" s="885"/>
      <c r="BJ841" s="885"/>
      <c r="BK841" s="885"/>
      <c r="BL841" s="885"/>
      <c r="BM841" s="885"/>
      <c r="BN841" s="885"/>
      <c r="BO841" s="885"/>
      <c r="BP841" s="885"/>
      <c r="BQ841" s="885"/>
      <c r="BR841" s="885"/>
      <c r="BS841" s="885"/>
      <c r="BT841" s="885"/>
      <c r="BU841" s="885"/>
      <c r="BV841" s="885"/>
      <c r="BW841" s="885"/>
      <c r="BX841" s="885"/>
      <c r="BY841" s="885"/>
      <c r="BZ841" s="885"/>
      <c r="CA841" s="885"/>
      <c r="CB841" s="885"/>
      <c r="CC841" s="885"/>
      <c r="CD841" s="885"/>
      <c r="CE841" s="885"/>
      <c r="CF841" s="885"/>
      <c r="CG841" s="885"/>
      <c r="CH841" s="885"/>
      <c r="CI841" s="885"/>
      <c r="CJ841" s="885"/>
      <c r="CK841" s="885"/>
      <c r="CL841" s="885"/>
      <c r="CM841" s="885"/>
      <c r="CN841" s="885"/>
      <c r="CO841" s="885"/>
      <c r="CP841" s="885"/>
      <c r="CQ841" s="885"/>
      <c r="CR841" s="885"/>
      <c r="CS841" s="885"/>
      <c r="CT841" s="885"/>
      <c r="CU841" s="885"/>
      <c r="CV841" s="885"/>
      <c r="CW841" s="885"/>
      <c r="CX841" s="885"/>
      <c r="CY841" s="885"/>
      <c r="CZ841" s="885"/>
      <c r="DA841" s="885"/>
      <c r="DB841" s="885"/>
      <c r="DC841" s="885"/>
      <c r="DD841" s="885"/>
      <c r="DE841" s="885"/>
      <c r="DF841" s="885"/>
      <c r="DG841" s="885"/>
      <c r="DH841" s="885"/>
      <c r="DI841" s="885"/>
      <c r="DJ841" s="885"/>
      <c r="DK841" s="885"/>
      <c r="DL841" s="885"/>
      <c r="DM841" s="885"/>
      <c r="DN841" s="885"/>
      <c r="DO841" s="885"/>
      <c r="DP841" s="885"/>
      <c r="DQ841" s="885"/>
      <c r="DR841" s="885"/>
      <c r="DS841" s="885"/>
      <c r="DT841" s="885"/>
      <c r="DU841" s="885"/>
      <c r="DV841" s="885"/>
      <c r="DW841" s="885"/>
      <c r="DX841" s="885"/>
      <c r="DY841" s="885"/>
      <c r="DZ841" s="885"/>
      <c r="EA841" s="885"/>
      <c r="EB841" s="885"/>
      <c r="EC841" s="885"/>
      <c r="ED841" s="885"/>
      <c r="EE841" s="885"/>
      <c r="EF841" s="885"/>
      <c r="EG841" s="885"/>
      <c r="EH841" s="885"/>
      <c r="EI841" s="885"/>
      <c r="EJ841" s="885"/>
      <c r="EK841" s="885"/>
      <c r="EL841" s="885"/>
      <c r="EM841" s="885"/>
      <c r="EN841" s="885"/>
      <c r="EO841" s="885"/>
      <c r="EP841" s="885"/>
      <c r="EQ841" s="885"/>
      <c r="ER841" s="885"/>
      <c r="ES841" s="885"/>
      <c r="ET841" s="885"/>
      <c r="EU841" s="885"/>
      <c r="EV841" s="885"/>
      <c r="EW841" s="885"/>
      <c r="EX841" s="885"/>
      <c r="EY841" s="885"/>
      <c r="EZ841" s="885"/>
      <c r="FA841" s="885"/>
      <c r="FB841" s="885"/>
      <c r="FC841" s="885"/>
      <c r="FD841" s="885"/>
      <c r="FE841" s="885"/>
      <c r="FF841" s="885"/>
      <c r="FG841" s="885"/>
      <c r="FH841" s="885"/>
      <c r="FI841" s="885"/>
      <c r="FJ841" s="885"/>
      <c r="FK841" s="885"/>
      <c r="FL841" s="885"/>
      <c r="FM841" s="885"/>
      <c r="FN841" s="885"/>
      <c r="FO841" s="885"/>
      <c r="FP841" s="885"/>
      <c r="FQ841" s="885"/>
      <c r="FR841" s="885"/>
      <c r="FS841" s="885"/>
      <c r="FT841" s="885"/>
      <c r="FU841" s="885"/>
      <c r="FV841" s="885"/>
      <c r="FW841" s="885"/>
      <c r="FX841" s="885"/>
      <c r="FY841" s="885"/>
      <c r="FZ841" s="885"/>
      <c r="GA841" s="885"/>
      <c r="GB841" s="885"/>
      <c r="GC841" s="885"/>
      <c r="GD841" s="885"/>
      <c r="GE841" s="885"/>
      <c r="GF841" s="885"/>
      <c r="GG841" s="885"/>
      <c r="GH841" s="885"/>
      <c r="GI841" s="885"/>
      <c r="GJ841" s="885"/>
      <c r="GK841" s="885"/>
      <c r="GL841" s="885"/>
      <c r="GM841" s="885"/>
      <c r="GN841" s="885"/>
      <c r="GO841" s="885"/>
      <c r="GP841" s="885"/>
      <c r="GQ841" s="885"/>
      <c r="GR841" s="885"/>
      <c r="GS841" s="885"/>
      <c r="GT841" s="885"/>
      <c r="GU841" s="885"/>
      <c r="GV841" s="885"/>
      <c r="GW841" s="885"/>
      <c r="GX841" s="885"/>
      <c r="GY841" s="885"/>
      <c r="GZ841" s="885"/>
      <c r="HA841" s="885"/>
      <c r="HB841" s="885"/>
      <c r="HC841" s="885"/>
      <c r="HD841" s="885"/>
      <c r="HE841" s="885"/>
      <c r="HF841" s="885"/>
      <c r="HG841" s="885"/>
      <c r="HH841" s="885"/>
      <c r="HI841" s="885"/>
      <c r="HJ841" s="885"/>
      <c r="HK841" s="885"/>
      <c r="HL841" s="885"/>
      <c r="HM841" s="885"/>
      <c r="HN841" s="885"/>
      <c r="HO841" s="885"/>
      <c r="HP841" s="885"/>
      <c r="HQ841" s="885"/>
      <c r="HR841" s="885"/>
      <c r="HS841" s="885"/>
      <c r="HT841" s="885"/>
      <c r="HU841" s="885"/>
      <c r="HV841" s="885"/>
      <c r="HW841" s="885"/>
      <c r="HX841" s="885"/>
      <c r="HY841" s="885"/>
      <c r="HZ841" s="885"/>
      <c r="IA841" s="885"/>
      <c r="IB841" s="885"/>
      <c r="IC841" s="885"/>
      <c r="ID841" s="885"/>
      <c r="IE841" s="885"/>
      <c r="IF841" s="885"/>
      <c r="IG841" s="885"/>
      <c r="IH841" s="885"/>
      <c r="II841" s="885"/>
      <c r="IJ841" s="885"/>
      <c r="IK841" s="885"/>
      <c r="IL841" s="885"/>
      <c r="IM841" s="885"/>
      <c r="IN841" s="885"/>
      <c r="IO841" s="885"/>
      <c r="IP841" s="885"/>
      <c r="IQ841" s="885"/>
      <c r="IR841" s="885"/>
      <c r="IS841" s="885"/>
      <c r="IT841" s="885"/>
      <c r="IU841" s="885"/>
      <c r="IV841" s="885"/>
      <c r="IW841" s="885"/>
      <c r="IX841" s="885"/>
    </row>
    <row r="842" spans="1:258" s="130" customFormat="1" x14ac:dyDescent="0.25">
      <c r="A842" s="125">
        <f t="shared" si="104"/>
        <v>802</v>
      </c>
      <c r="B842" s="981"/>
      <c r="C842" s="134" t="s">
        <v>11573</v>
      </c>
      <c r="D842" s="924">
        <f>457.26+444.07</f>
        <v>901.32999999999993</v>
      </c>
      <c r="E842" s="906">
        <f>D842*13.33</f>
        <v>12014.728899999998</v>
      </c>
      <c r="F842" s="136">
        <f>E842/13.33</f>
        <v>901.32999999999981</v>
      </c>
      <c r="G842" s="122" t="s">
        <v>1963</v>
      </c>
      <c r="H842" s="981"/>
      <c r="I842" s="981"/>
      <c r="J842" s="981"/>
      <c r="K842" s="981"/>
      <c r="L842" s="981"/>
      <c r="M842" s="981"/>
      <c r="N842" s="981"/>
      <c r="O842" s="981"/>
      <c r="P842" s="981"/>
      <c r="Q842" s="981"/>
      <c r="R842" s="981"/>
      <c r="S842" s="981"/>
      <c r="T842" s="981"/>
      <c r="U842" s="981"/>
      <c r="V842" s="981"/>
      <c r="W842" s="981"/>
      <c r="X842" s="981"/>
      <c r="Y842" s="981"/>
      <c r="Z842" s="981"/>
      <c r="AA842" s="981"/>
      <c r="AB842" s="981"/>
      <c r="AC842" s="981"/>
      <c r="AD842" s="981"/>
      <c r="AE842" s="981"/>
      <c r="AF842" s="981"/>
      <c r="AG842" s="981"/>
      <c r="AH842" s="981"/>
      <c r="AI842" s="981"/>
      <c r="AJ842" s="981"/>
      <c r="AK842" s="981"/>
      <c r="AL842" s="981"/>
      <c r="AM842" s="981"/>
      <c r="AN842" s="981"/>
      <c r="AO842" s="981"/>
      <c r="AP842" s="981"/>
      <c r="AQ842" s="981"/>
      <c r="AR842" s="981"/>
      <c r="AS842" s="981"/>
      <c r="AT842" s="981"/>
      <c r="AU842" s="981"/>
      <c r="AV842" s="981"/>
      <c r="AW842" s="981"/>
      <c r="AX842" s="981"/>
      <c r="AY842" s="981"/>
      <c r="AZ842" s="981"/>
      <c r="BA842" s="981"/>
      <c r="BB842" s="981"/>
      <c r="BC842" s="981"/>
      <c r="BD842" s="981"/>
      <c r="BE842" s="981"/>
      <c r="BF842" s="981"/>
      <c r="BG842" s="981"/>
      <c r="BH842" s="981"/>
      <c r="BI842" s="981"/>
      <c r="BJ842" s="981"/>
      <c r="BK842" s="981"/>
      <c r="BL842" s="981"/>
      <c r="BM842" s="981"/>
      <c r="BN842" s="981"/>
      <c r="BO842" s="981"/>
      <c r="BP842" s="981"/>
      <c r="BQ842" s="981"/>
      <c r="BR842" s="981"/>
      <c r="BS842" s="981"/>
      <c r="BT842" s="981"/>
      <c r="BU842" s="981"/>
      <c r="BV842" s="981"/>
      <c r="BW842" s="981"/>
      <c r="BX842" s="981"/>
      <c r="BY842" s="981"/>
      <c r="BZ842" s="981"/>
      <c r="CA842" s="981"/>
      <c r="CB842" s="981"/>
      <c r="CC842" s="981"/>
      <c r="CD842" s="981"/>
      <c r="CE842" s="981"/>
      <c r="CF842" s="981"/>
      <c r="CG842" s="981"/>
      <c r="CH842" s="981"/>
      <c r="CI842" s="981"/>
      <c r="CJ842" s="981"/>
      <c r="CK842" s="981"/>
      <c r="CL842" s="981"/>
      <c r="CM842" s="981"/>
      <c r="CN842" s="981"/>
      <c r="CO842" s="981"/>
      <c r="CP842" s="981"/>
      <c r="CQ842" s="981"/>
      <c r="CR842" s="981"/>
      <c r="CS842" s="981"/>
      <c r="CT842" s="981"/>
      <c r="CU842" s="981"/>
      <c r="CV842" s="981"/>
      <c r="CW842" s="981"/>
      <c r="CX842" s="981"/>
      <c r="CY842" s="981"/>
      <c r="CZ842" s="981"/>
      <c r="DA842" s="981"/>
      <c r="DB842" s="981"/>
      <c r="DC842" s="981"/>
      <c r="DD842" s="981"/>
      <c r="DE842" s="981"/>
      <c r="DF842" s="981"/>
      <c r="DG842" s="981"/>
      <c r="DH842" s="981"/>
      <c r="DI842" s="981"/>
      <c r="DJ842" s="981"/>
      <c r="DK842" s="981"/>
      <c r="DL842" s="981"/>
      <c r="DM842" s="981"/>
      <c r="DN842" s="981"/>
      <c r="DO842" s="981"/>
      <c r="DP842" s="981"/>
      <c r="DQ842" s="981"/>
      <c r="DR842" s="981"/>
      <c r="DS842" s="981"/>
      <c r="DT842" s="981"/>
      <c r="DU842" s="981"/>
      <c r="DV842" s="981"/>
      <c r="DW842" s="981"/>
      <c r="DX842" s="981"/>
      <c r="DY842" s="981"/>
      <c r="DZ842" s="981"/>
      <c r="EA842" s="981"/>
      <c r="EB842" s="981"/>
      <c r="EC842" s="981"/>
      <c r="ED842" s="981"/>
      <c r="EE842" s="981"/>
      <c r="EF842" s="981"/>
      <c r="EG842" s="981"/>
      <c r="EH842" s="981"/>
      <c r="EI842" s="981"/>
      <c r="EJ842" s="981"/>
      <c r="EK842" s="981"/>
      <c r="EL842" s="981"/>
      <c r="EM842" s="981"/>
      <c r="EN842" s="981"/>
      <c r="EO842" s="981"/>
      <c r="EP842" s="981"/>
      <c r="EQ842" s="981"/>
      <c r="ER842" s="981"/>
      <c r="ES842" s="981"/>
      <c r="ET842" s="981"/>
      <c r="EU842" s="981"/>
      <c r="EV842" s="981"/>
      <c r="EW842" s="981"/>
      <c r="EX842" s="981"/>
      <c r="EY842" s="981"/>
      <c r="EZ842" s="981"/>
      <c r="FA842" s="981"/>
      <c r="FB842" s="981"/>
      <c r="FC842" s="981"/>
      <c r="FD842" s="981"/>
      <c r="FE842" s="981"/>
      <c r="FF842" s="981"/>
      <c r="FG842" s="981"/>
      <c r="FH842" s="981"/>
      <c r="FI842" s="981"/>
      <c r="FJ842" s="981"/>
      <c r="FK842" s="981"/>
      <c r="FL842" s="981"/>
      <c r="FM842" s="981"/>
      <c r="FN842" s="981"/>
      <c r="FO842" s="981"/>
      <c r="FP842" s="981"/>
      <c r="FQ842" s="981"/>
      <c r="FR842" s="981"/>
      <c r="FS842" s="981"/>
      <c r="FT842" s="981"/>
      <c r="FU842" s="981"/>
      <c r="FV842" s="981"/>
      <c r="FW842" s="981"/>
      <c r="FX842" s="981"/>
      <c r="FY842" s="981"/>
      <c r="FZ842" s="981"/>
      <c r="GA842" s="981"/>
      <c r="GB842" s="981"/>
      <c r="GC842" s="981"/>
      <c r="GD842" s="981"/>
      <c r="GE842" s="981"/>
      <c r="GF842" s="981"/>
      <c r="GG842" s="981"/>
      <c r="GH842" s="981"/>
      <c r="GI842" s="981"/>
      <c r="GJ842" s="981"/>
      <c r="GK842" s="981"/>
      <c r="GL842" s="981"/>
      <c r="GM842" s="981"/>
      <c r="GN842" s="981"/>
      <c r="GO842" s="981"/>
      <c r="GP842" s="981"/>
      <c r="GQ842" s="981"/>
      <c r="GR842" s="981"/>
      <c r="GS842" s="981"/>
      <c r="GT842" s="981"/>
      <c r="GU842" s="981"/>
      <c r="GV842" s="981"/>
      <c r="GW842" s="981"/>
      <c r="GX842" s="981"/>
      <c r="GY842" s="981"/>
      <c r="GZ842" s="981"/>
      <c r="HA842" s="981"/>
      <c r="HB842" s="981"/>
      <c r="HC842" s="981"/>
      <c r="HD842" s="981"/>
      <c r="HE842" s="981"/>
      <c r="HF842" s="981"/>
      <c r="HG842" s="981"/>
      <c r="HH842" s="981"/>
      <c r="HI842" s="981"/>
      <c r="HJ842" s="981"/>
      <c r="HK842" s="981"/>
      <c r="HL842" s="981"/>
      <c r="HM842" s="981"/>
      <c r="HN842" s="981"/>
      <c r="HO842" s="981"/>
      <c r="HP842" s="981"/>
      <c r="HQ842" s="981"/>
      <c r="HR842" s="981"/>
      <c r="HS842" s="981"/>
      <c r="HT842" s="981"/>
      <c r="HU842" s="981"/>
      <c r="HV842" s="981"/>
      <c r="HW842" s="981"/>
      <c r="HX842" s="981"/>
      <c r="HY842" s="981"/>
      <c r="HZ842" s="981"/>
      <c r="IA842" s="981"/>
      <c r="IB842" s="981"/>
      <c r="IC842" s="981"/>
      <c r="ID842" s="981"/>
      <c r="IE842" s="981"/>
      <c r="IF842" s="981"/>
      <c r="IG842" s="981"/>
      <c r="IH842" s="981"/>
      <c r="II842" s="981"/>
      <c r="IJ842" s="981"/>
      <c r="IK842" s="981"/>
      <c r="IL842" s="981"/>
      <c r="IM842" s="981"/>
      <c r="IN842" s="981"/>
      <c r="IO842" s="981"/>
      <c r="IP842" s="981"/>
      <c r="IQ842" s="981"/>
      <c r="IR842" s="981"/>
      <c r="IS842" s="981"/>
      <c r="IT842" s="981"/>
      <c r="IU842" s="981"/>
      <c r="IV842" s="981"/>
      <c r="IW842" s="981"/>
      <c r="IX842" s="981"/>
    </row>
    <row r="843" spans="1:258" s="130" customFormat="1" x14ac:dyDescent="0.25">
      <c r="A843" s="125">
        <f t="shared" si="104"/>
        <v>803</v>
      </c>
      <c r="B843" s="885"/>
      <c r="C843" s="842" t="s">
        <v>10516</v>
      </c>
      <c r="D843" s="924">
        <v>0</v>
      </c>
      <c r="E843" s="906">
        <f t="shared" si="109"/>
        <v>0</v>
      </c>
      <c r="F843" s="136">
        <v>1</v>
      </c>
      <c r="G843" s="122" t="s">
        <v>1963</v>
      </c>
      <c r="H843" s="885"/>
      <c r="I843" s="885"/>
      <c r="J843" s="885"/>
      <c r="K843" s="885"/>
      <c r="L843" s="885"/>
      <c r="M843" s="885"/>
      <c r="N843" s="885"/>
      <c r="O843" s="885"/>
      <c r="P843" s="885"/>
      <c r="Q843" s="885"/>
      <c r="R843" s="885"/>
      <c r="S843" s="885"/>
      <c r="T843" s="885"/>
      <c r="U843" s="885"/>
      <c r="V843" s="885"/>
      <c r="W843" s="885"/>
      <c r="X843" s="885"/>
      <c r="Y843" s="885"/>
      <c r="Z843" s="885"/>
      <c r="AA843" s="885"/>
      <c r="AB843" s="885"/>
      <c r="AC843" s="885"/>
      <c r="AD843" s="885"/>
      <c r="AE843" s="885"/>
      <c r="AF843" s="885"/>
      <c r="AG843" s="885"/>
      <c r="AH843" s="885"/>
      <c r="AI843" s="885"/>
      <c r="AJ843" s="885"/>
      <c r="AK843" s="885"/>
      <c r="AL843" s="885"/>
      <c r="AM843" s="885"/>
      <c r="AN843" s="885"/>
      <c r="AO843" s="885"/>
      <c r="AP843" s="885"/>
      <c r="AQ843" s="885"/>
      <c r="AR843" s="885"/>
      <c r="AS843" s="885"/>
      <c r="AT843" s="885"/>
      <c r="AU843" s="885"/>
      <c r="AV843" s="885"/>
      <c r="AW843" s="885"/>
      <c r="AX843" s="885"/>
      <c r="AY843" s="885"/>
      <c r="AZ843" s="885"/>
      <c r="BA843" s="885"/>
      <c r="BB843" s="885"/>
      <c r="BC843" s="885"/>
      <c r="BD843" s="885"/>
      <c r="BE843" s="885"/>
      <c r="BF843" s="885"/>
      <c r="BG843" s="885"/>
      <c r="BH843" s="885"/>
      <c r="BI843" s="885"/>
      <c r="BJ843" s="885"/>
      <c r="BK843" s="885"/>
      <c r="BL843" s="885"/>
      <c r="BM843" s="885"/>
      <c r="BN843" s="885"/>
      <c r="BO843" s="885"/>
      <c r="BP843" s="885"/>
      <c r="BQ843" s="885"/>
      <c r="BR843" s="885"/>
      <c r="BS843" s="885"/>
      <c r="BT843" s="885"/>
      <c r="BU843" s="885"/>
      <c r="BV843" s="885"/>
      <c r="BW843" s="885"/>
      <c r="BX843" s="885"/>
      <c r="BY843" s="885"/>
      <c r="BZ843" s="885"/>
      <c r="CA843" s="885"/>
      <c r="CB843" s="885"/>
      <c r="CC843" s="885"/>
      <c r="CD843" s="885"/>
      <c r="CE843" s="885"/>
      <c r="CF843" s="885"/>
      <c r="CG843" s="885"/>
      <c r="CH843" s="885"/>
      <c r="CI843" s="885"/>
      <c r="CJ843" s="885"/>
      <c r="CK843" s="885"/>
      <c r="CL843" s="885"/>
      <c r="CM843" s="885"/>
      <c r="CN843" s="885"/>
      <c r="CO843" s="885"/>
      <c r="CP843" s="885"/>
      <c r="CQ843" s="885"/>
      <c r="CR843" s="885"/>
      <c r="CS843" s="885"/>
      <c r="CT843" s="885"/>
      <c r="CU843" s="885"/>
      <c r="CV843" s="885"/>
      <c r="CW843" s="885"/>
      <c r="CX843" s="885"/>
      <c r="CY843" s="885"/>
      <c r="CZ843" s="885"/>
      <c r="DA843" s="885"/>
      <c r="DB843" s="885"/>
      <c r="DC843" s="885"/>
      <c r="DD843" s="885"/>
      <c r="DE843" s="885"/>
      <c r="DF843" s="885"/>
      <c r="DG843" s="885"/>
      <c r="DH843" s="885"/>
      <c r="DI843" s="885"/>
      <c r="DJ843" s="885"/>
      <c r="DK843" s="885"/>
      <c r="DL843" s="885"/>
      <c r="DM843" s="885"/>
      <c r="DN843" s="885"/>
      <c r="DO843" s="885"/>
      <c r="DP843" s="885"/>
      <c r="DQ843" s="885"/>
      <c r="DR843" s="885"/>
      <c r="DS843" s="885"/>
      <c r="DT843" s="885"/>
      <c r="DU843" s="885"/>
      <c r="DV843" s="885"/>
      <c r="DW843" s="885"/>
      <c r="DX843" s="885"/>
      <c r="DY843" s="885"/>
      <c r="DZ843" s="885"/>
      <c r="EA843" s="885"/>
      <c r="EB843" s="885"/>
      <c r="EC843" s="885"/>
      <c r="ED843" s="885"/>
      <c r="EE843" s="885"/>
      <c r="EF843" s="885"/>
      <c r="EG843" s="885"/>
      <c r="EH843" s="885"/>
      <c r="EI843" s="885"/>
      <c r="EJ843" s="885"/>
      <c r="EK843" s="885"/>
      <c r="EL843" s="885"/>
      <c r="EM843" s="885"/>
      <c r="EN843" s="885"/>
      <c r="EO843" s="885"/>
      <c r="EP843" s="885"/>
      <c r="EQ843" s="885"/>
      <c r="ER843" s="885"/>
      <c r="ES843" s="885"/>
      <c r="ET843" s="885"/>
      <c r="EU843" s="885"/>
      <c r="EV843" s="885"/>
      <c r="EW843" s="885"/>
      <c r="EX843" s="885"/>
      <c r="EY843" s="885"/>
      <c r="EZ843" s="885"/>
      <c r="FA843" s="885"/>
      <c r="FB843" s="885"/>
      <c r="FC843" s="885"/>
      <c r="FD843" s="885"/>
      <c r="FE843" s="885"/>
      <c r="FF843" s="885"/>
      <c r="FG843" s="885"/>
      <c r="FH843" s="885"/>
      <c r="FI843" s="885"/>
      <c r="FJ843" s="885"/>
      <c r="FK843" s="885"/>
      <c r="FL843" s="885"/>
      <c r="FM843" s="885"/>
      <c r="FN843" s="885"/>
      <c r="FO843" s="885"/>
      <c r="FP843" s="885"/>
      <c r="FQ843" s="885"/>
      <c r="FR843" s="885"/>
      <c r="FS843" s="885"/>
      <c r="FT843" s="885"/>
      <c r="FU843" s="885"/>
      <c r="FV843" s="885"/>
      <c r="FW843" s="885"/>
      <c r="FX843" s="885"/>
      <c r="FY843" s="885"/>
      <c r="FZ843" s="885"/>
      <c r="GA843" s="885"/>
      <c r="GB843" s="885"/>
      <c r="GC843" s="885"/>
      <c r="GD843" s="885"/>
      <c r="GE843" s="885"/>
      <c r="GF843" s="885"/>
      <c r="GG843" s="885"/>
      <c r="GH843" s="885"/>
      <c r="GI843" s="885"/>
      <c r="GJ843" s="885"/>
      <c r="GK843" s="885"/>
      <c r="GL843" s="885"/>
      <c r="GM843" s="885"/>
      <c r="GN843" s="885"/>
      <c r="GO843" s="885"/>
      <c r="GP843" s="885"/>
      <c r="GQ843" s="885"/>
      <c r="GR843" s="885"/>
      <c r="GS843" s="885"/>
      <c r="GT843" s="885"/>
      <c r="GU843" s="885"/>
      <c r="GV843" s="885"/>
      <c r="GW843" s="885"/>
      <c r="GX843" s="885"/>
      <c r="GY843" s="885"/>
      <c r="GZ843" s="885"/>
      <c r="HA843" s="885"/>
      <c r="HB843" s="885"/>
      <c r="HC843" s="885"/>
      <c r="HD843" s="885"/>
      <c r="HE843" s="885"/>
      <c r="HF843" s="885"/>
      <c r="HG843" s="885"/>
      <c r="HH843" s="885"/>
      <c r="HI843" s="885"/>
      <c r="HJ843" s="885"/>
      <c r="HK843" s="885"/>
      <c r="HL843" s="885"/>
      <c r="HM843" s="885"/>
      <c r="HN843" s="885"/>
      <c r="HO843" s="885"/>
      <c r="HP843" s="885"/>
      <c r="HQ843" s="885"/>
      <c r="HR843" s="885"/>
      <c r="HS843" s="885"/>
      <c r="HT843" s="885"/>
      <c r="HU843" s="885"/>
      <c r="HV843" s="885"/>
      <c r="HW843" s="885"/>
      <c r="HX843" s="885"/>
      <c r="HY843" s="885"/>
      <c r="HZ843" s="885"/>
      <c r="IA843" s="885"/>
      <c r="IB843" s="885"/>
      <c r="IC843" s="885"/>
      <c r="ID843" s="885"/>
      <c r="IE843" s="885"/>
      <c r="IF843" s="885"/>
      <c r="IG843" s="885"/>
      <c r="IH843" s="885"/>
      <c r="II843" s="885"/>
      <c r="IJ843" s="885"/>
      <c r="IK843" s="885"/>
      <c r="IL843" s="885"/>
      <c r="IM843" s="885"/>
      <c r="IN843" s="885"/>
      <c r="IO843" s="885"/>
      <c r="IP843" s="885"/>
      <c r="IQ843" s="885"/>
      <c r="IR843" s="885"/>
      <c r="IS843" s="885"/>
      <c r="IT843" s="885"/>
      <c r="IU843" s="885"/>
      <c r="IV843" s="885"/>
      <c r="IW843" s="885"/>
      <c r="IX843" s="885"/>
    </row>
    <row r="844" spans="1:258" s="130" customFormat="1" x14ac:dyDescent="0.25">
      <c r="A844" s="125">
        <f t="shared" si="104"/>
        <v>804</v>
      </c>
      <c r="B844" s="885"/>
      <c r="C844" s="842" t="s">
        <v>10503</v>
      </c>
      <c r="D844" s="924">
        <v>0</v>
      </c>
      <c r="E844" s="906">
        <f t="shared" si="109"/>
        <v>0</v>
      </c>
      <c r="F844" s="136">
        <v>1</v>
      </c>
      <c r="G844" s="122" t="s">
        <v>1963</v>
      </c>
      <c r="H844" s="885"/>
      <c r="I844" s="885"/>
      <c r="J844" s="885"/>
      <c r="K844" s="885"/>
      <c r="L844" s="885"/>
      <c r="M844" s="885"/>
      <c r="N844" s="885"/>
      <c r="O844" s="885"/>
      <c r="P844" s="885"/>
      <c r="Q844" s="885"/>
      <c r="R844" s="885"/>
      <c r="S844" s="885"/>
      <c r="T844" s="885"/>
      <c r="U844" s="885"/>
      <c r="V844" s="885"/>
      <c r="W844" s="885"/>
      <c r="X844" s="885"/>
      <c r="Y844" s="885"/>
      <c r="Z844" s="885"/>
      <c r="AA844" s="885"/>
      <c r="AB844" s="885"/>
      <c r="AC844" s="885"/>
      <c r="AD844" s="885"/>
      <c r="AE844" s="885"/>
      <c r="AF844" s="885"/>
      <c r="AG844" s="885"/>
      <c r="AH844" s="885"/>
      <c r="AI844" s="885"/>
      <c r="AJ844" s="885"/>
      <c r="AK844" s="885"/>
      <c r="AL844" s="885"/>
      <c r="AM844" s="885"/>
      <c r="AN844" s="885"/>
      <c r="AO844" s="885"/>
      <c r="AP844" s="885"/>
      <c r="AQ844" s="885"/>
      <c r="AR844" s="885"/>
      <c r="AS844" s="885"/>
      <c r="AT844" s="885"/>
      <c r="AU844" s="885"/>
      <c r="AV844" s="885"/>
      <c r="AW844" s="885"/>
      <c r="AX844" s="885"/>
      <c r="AY844" s="885"/>
      <c r="AZ844" s="885"/>
      <c r="BA844" s="885"/>
      <c r="BB844" s="885"/>
      <c r="BC844" s="885"/>
      <c r="BD844" s="885"/>
      <c r="BE844" s="885"/>
      <c r="BF844" s="885"/>
      <c r="BG844" s="885"/>
      <c r="BH844" s="885"/>
      <c r="BI844" s="885"/>
      <c r="BJ844" s="885"/>
      <c r="BK844" s="885"/>
      <c r="BL844" s="885"/>
      <c r="BM844" s="885"/>
      <c r="BN844" s="885"/>
      <c r="BO844" s="885"/>
      <c r="BP844" s="885"/>
      <c r="BQ844" s="885"/>
      <c r="BR844" s="885"/>
      <c r="BS844" s="885"/>
      <c r="BT844" s="885"/>
      <c r="BU844" s="885"/>
      <c r="BV844" s="885"/>
      <c r="BW844" s="885"/>
      <c r="BX844" s="885"/>
      <c r="BY844" s="885"/>
      <c r="BZ844" s="885"/>
      <c r="CA844" s="885"/>
      <c r="CB844" s="885"/>
      <c r="CC844" s="885"/>
      <c r="CD844" s="885"/>
      <c r="CE844" s="885"/>
      <c r="CF844" s="885"/>
      <c r="CG844" s="885"/>
      <c r="CH844" s="885"/>
      <c r="CI844" s="885"/>
      <c r="CJ844" s="885"/>
      <c r="CK844" s="885"/>
      <c r="CL844" s="885"/>
      <c r="CM844" s="885"/>
      <c r="CN844" s="885"/>
      <c r="CO844" s="885"/>
      <c r="CP844" s="885"/>
      <c r="CQ844" s="885"/>
      <c r="CR844" s="885"/>
      <c r="CS844" s="885"/>
      <c r="CT844" s="885"/>
      <c r="CU844" s="885"/>
      <c r="CV844" s="885"/>
      <c r="CW844" s="885"/>
      <c r="CX844" s="885"/>
      <c r="CY844" s="885"/>
      <c r="CZ844" s="885"/>
      <c r="DA844" s="885"/>
      <c r="DB844" s="885"/>
      <c r="DC844" s="885"/>
      <c r="DD844" s="885"/>
      <c r="DE844" s="885"/>
      <c r="DF844" s="885"/>
      <c r="DG844" s="885"/>
      <c r="DH844" s="885"/>
      <c r="DI844" s="885"/>
      <c r="DJ844" s="885"/>
      <c r="DK844" s="885"/>
      <c r="DL844" s="885"/>
      <c r="DM844" s="885"/>
      <c r="DN844" s="885"/>
      <c r="DO844" s="885"/>
      <c r="DP844" s="885"/>
      <c r="DQ844" s="885"/>
      <c r="DR844" s="885"/>
      <c r="DS844" s="885"/>
      <c r="DT844" s="885"/>
      <c r="DU844" s="885"/>
      <c r="DV844" s="885"/>
      <c r="DW844" s="885"/>
      <c r="DX844" s="885"/>
      <c r="DY844" s="885"/>
      <c r="DZ844" s="885"/>
      <c r="EA844" s="885"/>
      <c r="EB844" s="885"/>
      <c r="EC844" s="885"/>
      <c r="ED844" s="885"/>
      <c r="EE844" s="885"/>
      <c r="EF844" s="885"/>
      <c r="EG844" s="885"/>
      <c r="EH844" s="885"/>
      <c r="EI844" s="885"/>
      <c r="EJ844" s="885"/>
      <c r="EK844" s="885"/>
      <c r="EL844" s="885"/>
      <c r="EM844" s="885"/>
      <c r="EN844" s="885"/>
      <c r="EO844" s="885"/>
      <c r="EP844" s="885"/>
      <c r="EQ844" s="885"/>
      <c r="ER844" s="885"/>
      <c r="ES844" s="885"/>
      <c r="ET844" s="885"/>
      <c r="EU844" s="885"/>
      <c r="EV844" s="885"/>
      <c r="EW844" s="885"/>
      <c r="EX844" s="885"/>
      <c r="EY844" s="885"/>
      <c r="EZ844" s="885"/>
      <c r="FA844" s="885"/>
      <c r="FB844" s="885"/>
      <c r="FC844" s="885"/>
      <c r="FD844" s="885"/>
      <c r="FE844" s="885"/>
      <c r="FF844" s="885"/>
      <c r="FG844" s="885"/>
      <c r="FH844" s="885"/>
      <c r="FI844" s="885"/>
      <c r="FJ844" s="885"/>
      <c r="FK844" s="885"/>
      <c r="FL844" s="885"/>
      <c r="FM844" s="885"/>
      <c r="FN844" s="885"/>
      <c r="FO844" s="885"/>
      <c r="FP844" s="885"/>
      <c r="FQ844" s="885"/>
      <c r="FR844" s="885"/>
      <c r="FS844" s="885"/>
      <c r="FT844" s="885"/>
      <c r="FU844" s="885"/>
      <c r="FV844" s="885"/>
      <c r="FW844" s="885"/>
      <c r="FX844" s="885"/>
      <c r="FY844" s="885"/>
      <c r="FZ844" s="885"/>
      <c r="GA844" s="885"/>
      <c r="GB844" s="885"/>
      <c r="GC844" s="885"/>
      <c r="GD844" s="885"/>
      <c r="GE844" s="885"/>
      <c r="GF844" s="885"/>
      <c r="GG844" s="885"/>
      <c r="GH844" s="885"/>
      <c r="GI844" s="885"/>
      <c r="GJ844" s="885"/>
      <c r="GK844" s="885"/>
      <c r="GL844" s="885"/>
      <c r="GM844" s="885"/>
      <c r="GN844" s="885"/>
      <c r="GO844" s="885"/>
      <c r="GP844" s="885"/>
      <c r="GQ844" s="885"/>
      <c r="GR844" s="885"/>
      <c r="GS844" s="885"/>
      <c r="GT844" s="885"/>
      <c r="GU844" s="885"/>
      <c r="GV844" s="885"/>
      <c r="GW844" s="885"/>
      <c r="GX844" s="885"/>
      <c r="GY844" s="885"/>
      <c r="GZ844" s="885"/>
      <c r="HA844" s="885"/>
      <c r="HB844" s="885"/>
      <c r="HC844" s="885"/>
      <c r="HD844" s="885"/>
      <c r="HE844" s="885"/>
      <c r="HF844" s="885"/>
      <c r="HG844" s="885"/>
      <c r="HH844" s="885"/>
      <c r="HI844" s="885"/>
      <c r="HJ844" s="885"/>
      <c r="HK844" s="885"/>
      <c r="HL844" s="885"/>
      <c r="HM844" s="885"/>
      <c r="HN844" s="885"/>
      <c r="HO844" s="885"/>
      <c r="HP844" s="885"/>
      <c r="HQ844" s="885"/>
      <c r="HR844" s="885"/>
      <c r="HS844" s="885"/>
      <c r="HT844" s="885"/>
      <c r="HU844" s="885"/>
      <c r="HV844" s="885"/>
      <c r="HW844" s="885"/>
      <c r="HX844" s="885"/>
      <c r="HY844" s="885"/>
      <c r="HZ844" s="885"/>
      <c r="IA844" s="885"/>
      <c r="IB844" s="885"/>
      <c r="IC844" s="885"/>
      <c r="ID844" s="885"/>
      <c r="IE844" s="885"/>
      <c r="IF844" s="885"/>
      <c r="IG844" s="885"/>
      <c r="IH844" s="885"/>
      <c r="II844" s="885"/>
      <c r="IJ844" s="885"/>
      <c r="IK844" s="885"/>
      <c r="IL844" s="885"/>
      <c r="IM844" s="885"/>
      <c r="IN844" s="885"/>
      <c r="IO844" s="885"/>
      <c r="IP844" s="885"/>
      <c r="IQ844" s="885"/>
      <c r="IR844" s="885"/>
      <c r="IS844" s="885"/>
      <c r="IT844" s="885"/>
      <c r="IU844" s="885"/>
      <c r="IV844" s="885"/>
      <c r="IW844" s="885"/>
      <c r="IX844" s="885"/>
    </row>
    <row r="845" spans="1:258" s="130" customFormat="1" x14ac:dyDescent="0.25">
      <c r="A845" s="125">
        <f t="shared" si="104"/>
        <v>805</v>
      </c>
      <c r="B845" s="885"/>
      <c r="C845" s="842" t="s">
        <v>10517</v>
      </c>
      <c r="D845" s="924">
        <v>0</v>
      </c>
      <c r="E845" s="906">
        <f t="shared" si="109"/>
        <v>0</v>
      </c>
      <c r="F845" s="136">
        <v>820.05</v>
      </c>
      <c r="G845" s="122" t="s">
        <v>1963</v>
      </c>
      <c r="H845" s="885"/>
      <c r="I845" s="885"/>
      <c r="J845" s="885"/>
      <c r="K845" s="885"/>
      <c r="L845" s="885"/>
      <c r="M845" s="885"/>
      <c r="N845" s="885"/>
      <c r="O845" s="885"/>
      <c r="P845" s="885"/>
      <c r="Q845" s="885"/>
      <c r="R845" s="885"/>
      <c r="S845" s="885"/>
      <c r="T845" s="885"/>
      <c r="U845" s="885"/>
      <c r="V845" s="885"/>
      <c r="W845" s="885"/>
      <c r="X845" s="885"/>
      <c r="Y845" s="885"/>
      <c r="Z845" s="885"/>
      <c r="AA845" s="885"/>
      <c r="AB845" s="885"/>
      <c r="AC845" s="885"/>
      <c r="AD845" s="885"/>
      <c r="AE845" s="885"/>
      <c r="AF845" s="885"/>
      <c r="AG845" s="885"/>
      <c r="AH845" s="885"/>
      <c r="AI845" s="885"/>
      <c r="AJ845" s="885"/>
      <c r="AK845" s="885"/>
      <c r="AL845" s="885"/>
      <c r="AM845" s="885"/>
      <c r="AN845" s="885"/>
      <c r="AO845" s="885"/>
      <c r="AP845" s="885"/>
      <c r="AQ845" s="885"/>
      <c r="AR845" s="885"/>
      <c r="AS845" s="885"/>
      <c r="AT845" s="885"/>
      <c r="AU845" s="885"/>
      <c r="AV845" s="885"/>
      <c r="AW845" s="885"/>
      <c r="AX845" s="885"/>
      <c r="AY845" s="885"/>
      <c r="AZ845" s="885"/>
      <c r="BA845" s="885"/>
      <c r="BB845" s="885"/>
      <c r="BC845" s="885"/>
      <c r="BD845" s="885"/>
      <c r="BE845" s="885"/>
      <c r="BF845" s="885"/>
      <c r="BG845" s="885"/>
      <c r="BH845" s="885"/>
      <c r="BI845" s="885"/>
      <c r="BJ845" s="885"/>
      <c r="BK845" s="885"/>
      <c r="BL845" s="885"/>
      <c r="BM845" s="885"/>
      <c r="BN845" s="885"/>
      <c r="BO845" s="885"/>
      <c r="BP845" s="885"/>
      <c r="BQ845" s="885"/>
      <c r="BR845" s="885"/>
      <c r="BS845" s="885"/>
      <c r="BT845" s="885"/>
      <c r="BU845" s="885"/>
      <c r="BV845" s="885"/>
      <c r="BW845" s="885"/>
      <c r="BX845" s="885"/>
      <c r="BY845" s="885"/>
      <c r="BZ845" s="885"/>
      <c r="CA845" s="885"/>
      <c r="CB845" s="885"/>
      <c r="CC845" s="885"/>
      <c r="CD845" s="885"/>
      <c r="CE845" s="885"/>
      <c r="CF845" s="885"/>
      <c r="CG845" s="885"/>
      <c r="CH845" s="885"/>
      <c r="CI845" s="885"/>
      <c r="CJ845" s="885"/>
      <c r="CK845" s="885"/>
      <c r="CL845" s="885"/>
      <c r="CM845" s="885"/>
      <c r="CN845" s="885"/>
      <c r="CO845" s="885"/>
      <c r="CP845" s="885"/>
      <c r="CQ845" s="885"/>
      <c r="CR845" s="885"/>
      <c r="CS845" s="885"/>
      <c r="CT845" s="885"/>
      <c r="CU845" s="885"/>
      <c r="CV845" s="885"/>
      <c r="CW845" s="885"/>
      <c r="CX845" s="885"/>
      <c r="CY845" s="885"/>
      <c r="CZ845" s="885"/>
      <c r="DA845" s="885"/>
      <c r="DB845" s="885"/>
      <c r="DC845" s="885"/>
      <c r="DD845" s="885"/>
      <c r="DE845" s="885"/>
      <c r="DF845" s="885"/>
      <c r="DG845" s="885"/>
      <c r="DH845" s="885"/>
      <c r="DI845" s="885"/>
      <c r="DJ845" s="885"/>
      <c r="DK845" s="885"/>
      <c r="DL845" s="885"/>
      <c r="DM845" s="885"/>
      <c r="DN845" s="885"/>
      <c r="DO845" s="885"/>
      <c r="DP845" s="885"/>
      <c r="DQ845" s="885"/>
      <c r="DR845" s="885"/>
      <c r="DS845" s="885"/>
      <c r="DT845" s="885"/>
      <c r="DU845" s="885"/>
      <c r="DV845" s="885"/>
      <c r="DW845" s="885"/>
      <c r="DX845" s="885"/>
      <c r="DY845" s="885"/>
      <c r="DZ845" s="885"/>
      <c r="EA845" s="885"/>
      <c r="EB845" s="885"/>
      <c r="EC845" s="885"/>
      <c r="ED845" s="885"/>
      <c r="EE845" s="885"/>
      <c r="EF845" s="885"/>
      <c r="EG845" s="885"/>
      <c r="EH845" s="885"/>
      <c r="EI845" s="885"/>
      <c r="EJ845" s="885"/>
      <c r="EK845" s="885"/>
      <c r="EL845" s="885"/>
      <c r="EM845" s="885"/>
      <c r="EN845" s="885"/>
      <c r="EO845" s="885"/>
      <c r="EP845" s="885"/>
      <c r="EQ845" s="885"/>
      <c r="ER845" s="885"/>
      <c r="ES845" s="885"/>
      <c r="ET845" s="885"/>
      <c r="EU845" s="885"/>
      <c r="EV845" s="885"/>
      <c r="EW845" s="885"/>
      <c r="EX845" s="885"/>
      <c r="EY845" s="885"/>
      <c r="EZ845" s="885"/>
      <c r="FA845" s="885"/>
      <c r="FB845" s="885"/>
      <c r="FC845" s="885"/>
      <c r="FD845" s="885"/>
      <c r="FE845" s="885"/>
      <c r="FF845" s="885"/>
      <c r="FG845" s="885"/>
      <c r="FH845" s="885"/>
      <c r="FI845" s="885"/>
      <c r="FJ845" s="885"/>
      <c r="FK845" s="885"/>
      <c r="FL845" s="885"/>
      <c r="FM845" s="885"/>
      <c r="FN845" s="885"/>
      <c r="FO845" s="885"/>
      <c r="FP845" s="885"/>
      <c r="FQ845" s="885"/>
      <c r="FR845" s="885"/>
      <c r="FS845" s="885"/>
      <c r="FT845" s="885"/>
      <c r="FU845" s="885"/>
      <c r="FV845" s="885"/>
      <c r="FW845" s="885"/>
      <c r="FX845" s="885"/>
      <c r="FY845" s="885"/>
      <c r="FZ845" s="885"/>
      <c r="GA845" s="885"/>
      <c r="GB845" s="885"/>
      <c r="GC845" s="885"/>
      <c r="GD845" s="885"/>
      <c r="GE845" s="885"/>
      <c r="GF845" s="885"/>
      <c r="GG845" s="885"/>
      <c r="GH845" s="885"/>
      <c r="GI845" s="885"/>
      <c r="GJ845" s="885"/>
      <c r="GK845" s="885"/>
      <c r="GL845" s="885"/>
      <c r="GM845" s="885"/>
      <c r="GN845" s="885"/>
      <c r="GO845" s="885"/>
      <c r="GP845" s="885"/>
      <c r="GQ845" s="885"/>
      <c r="GR845" s="885"/>
      <c r="GS845" s="885"/>
      <c r="GT845" s="885"/>
      <c r="GU845" s="885"/>
      <c r="GV845" s="885"/>
      <c r="GW845" s="885"/>
      <c r="GX845" s="885"/>
      <c r="GY845" s="885"/>
      <c r="GZ845" s="885"/>
      <c r="HA845" s="885"/>
      <c r="HB845" s="885"/>
      <c r="HC845" s="885"/>
      <c r="HD845" s="885"/>
      <c r="HE845" s="885"/>
      <c r="HF845" s="885"/>
      <c r="HG845" s="885"/>
      <c r="HH845" s="885"/>
      <c r="HI845" s="885"/>
      <c r="HJ845" s="885"/>
      <c r="HK845" s="885"/>
      <c r="HL845" s="885"/>
      <c r="HM845" s="885"/>
      <c r="HN845" s="885"/>
      <c r="HO845" s="885"/>
      <c r="HP845" s="885"/>
      <c r="HQ845" s="885"/>
      <c r="HR845" s="885"/>
      <c r="HS845" s="885"/>
      <c r="HT845" s="885"/>
      <c r="HU845" s="885"/>
      <c r="HV845" s="885"/>
      <c r="HW845" s="885"/>
      <c r="HX845" s="885"/>
      <c r="HY845" s="885"/>
      <c r="HZ845" s="885"/>
      <c r="IA845" s="885"/>
      <c r="IB845" s="885"/>
      <c r="IC845" s="885"/>
      <c r="ID845" s="885"/>
      <c r="IE845" s="885"/>
      <c r="IF845" s="885"/>
      <c r="IG845" s="885"/>
      <c r="IH845" s="885"/>
      <c r="II845" s="885"/>
      <c r="IJ845" s="885"/>
      <c r="IK845" s="885"/>
      <c r="IL845" s="885"/>
      <c r="IM845" s="885"/>
      <c r="IN845" s="885"/>
      <c r="IO845" s="885"/>
      <c r="IP845" s="885"/>
      <c r="IQ845" s="885"/>
      <c r="IR845" s="885"/>
      <c r="IS845" s="885"/>
      <c r="IT845" s="885"/>
      <c r="IU845" s="885"/>
      <c r="IV845" s="885"/>
      <c r="IW845" s="885"/>
      <c r="IX845" s="885"/>
    </row>
    <row r="846" spans="1:258" s="130" customFormat="1" x14ac:dyDescent="0.25">
      <c r="A846" s="125">
        <f t="shared" si="104"/>
        <v>806</v>
      </c>
      <c r="B846" s="885"/>
      <c r="C846" s="842" t="s">
        <v>10518</v>
      </c>
      <c r="D846" s="924">
        <v>0</v>
      </c>
      <c r="E846" s="906">
        <f t="shared" si="109"/>
        <v>0</v>
      </c>
      <c r="F846" s="136">
        <v>76.05</v>
      </c>
      <c r="G846" s="122" t="s">
        <v>1963</v>
      </c>
      <c r="H846" s="885"/>
      <c r="I846" s="885"/>
      <c r="J846" s="885"/>
      <c r="K846" s="885"/>
      <c r="L846" s="885"/>
      <c r="M846" s="885"/>
      <c r="N846" s="885"/>
      <c r="O846" s="885"/>
      <c r="P846" s="885"/>
      <c r="Q846" s="885"/>
      <c r="R846" s="885"/>
      <c r="S846" s="885"/>
      <c r="T846" s="885"/>
      <c r="U846" s="885"/>
      <c r="V846" s="885"/>
      <c r="W846" s="885"/>
      <c r="X846" s="885"/>
      <c r="Y846" s="885"/>
      <c r="Z846" s="885"/>
      <c r="AA846" s="885"/>
      <c r="AB846" s="885"/>
      <c r="AC846" s="885"/>
      <c r="AD846" s="885"/>
      <c r="AE846" s="885"/>
      <c r="AF846" s="885"/>
      <c r="AG846" s="885"/>
      <c r="AH846" s="885"/>
      <c r="AI846" s="885"/>
      <c r="AJ846" s="885"/>
      <c r="AK846" s="885"/>
      <c r="AL846" s="885"/>
      <c r="AM846" s="885"/>
      <c r="AN846" s="885"/>
      <c r="AO846" s="885"/>
      <c r="AP846" s="885"/>
      <c r="AQ846" s="885"/>
      <c r="AR846" s="885"/>
      <c r="AS846" s="885"/>
      <c r="AT846" s="885"/>
      <c r="AU846" s="885"/>
      <c r="AV846" s="885"/>
      <c r="AW846" s="885"/>
      <c r="AX846" s="885"/>
      <c r="AY846" s="885"/>
      <c r="AZ846" s="885"/>
      <c r="BA846" s="885"/>
      <c r="BB846" s="885"/>
      <c r="BC846" s="885"/>
      <c r="BD846" s="885"/>
      <c r="BE846" s="885"/>
      <c r="BF846" s="885"/>
      <c r="BG846" s="885"/>
      <c r="BH846" s="885"/>
      <c r="BI846" s="885"/>
      <c r="BJ846" s="885"/>
      <c r="BK846" s="885"/>
      <c r="BL846" s="885"/>
      <c r="BM846" s="885"/>
      <c r="BN846" s="885"/>
      <c r="BO846" s="885"/>
      <c r="BP846" s="885"/>
      <c r="BQ846" s="885"/>
      <c r="BR846" s="885"/>
      <c r="BS846" s="885"/>
      <c r="BT846" s="885"/>
      <c r="BU846" s="885"/>
      <c r="BV846" s="885"/>
      <c r="BW846" s="885"/>
      <c r="BX846" s="885"/>
      <c r="BY846" s="885"/>
      <c r="BZ846" s="885"/>
      <c r="CA846" s="885"/>
      <c r="CB846" s="885"/>
      <c r="CC846" s="885"/>
      <c r="CD846" s="885"/>
      <c r="CE846" s="885"/>
      <c r="CF846" s="885"/>
      <c r="CG846" s="885"/>
      <c r="CH846" s="885"/>
      <c r="CI846" s="885"/>
      <c r="CJ846" s="885"/>
      <c r="CK846" s="885"/>
      <c r="CL846" s="885"/>
      <c r="CM846" s="885"/>
      <c r="CN846" s="885"/>
      <c r="CO846" s="885"/>
      <c r="CP846" s="885"/>
      <c r="CQ846" s="885"/>
      <c r="CR846" s="885"/>
      <c r="CS846" s="885"/>
      <c r="CT846" s="885"/>
      <c r="CU846" s="885"/>
      <c r="CV846" s="885"/>
      <c r="CW846" s="885"/>
      <c r="CX846" s="885"/>
      <c r="CY846" s="885"/>
      <c r="CZ846" s="885"/>
      <c r="DA846" s="885"/>
      <c r="DB846" s="885"/>
      <c r="DC846" s="885"/>
      <c r="DD846" s="885"/>
      <c r="DE846" s="885"/>
      <c r="DF846" s="885"/>
      <c r="DG846" s="885"/>
      <c r="DH846" s="885"/>
      <c r="DI846" s="885"/>
      <c r="DJ846" s="885"/>
      <c r="DK846" s="885"/>
      <c r="DL846" s="885"/>
      <c r="DM846" s="885"/>
      <c r="DN846" s="885"/>
      <c r="DO846" s="885"/>
      <c r="DP846" s="885"/>
      <c r="DQ846" s="885"/>
      <c r="DR846" s="885"/>
      <c r="DS846" s="885"/>
      <c r="DT846" s="885"/>
      <c r="DU846" s="885"/>
      <c r="DV846" s="885"/>
      <c r="DW846" s="885"/>
      <c r="DX846" s="885"/>
      <c r="DY846" s="885"/>
      <c r="DZ846" s="885"/>
      <c r="EA846" s="885"/>
      <c r="EB846" s="885"/>
      <c r="EC846" s="885"/>
      <c r="ED846" s="885"/>
      <c r="EE846" s="885"/>
      <c r="EF846" s="885"/>
      <c r="EG846" s="885"/>
      <c r="EH846" s="885"/>
      <c r="EI846" s="885"/>
      <c r="EJ846" s="885"/>
      <c r="EK846" s="885"/>
      <c r="EL846" s="885"/>
      <c r="EM846" s="885"/>
      <c r="EN846" s="885"/>
      <c r="EO846" s="885"/>
      <c r="EP846" s="885"/>
      <c r="EQ846" s="885"/>
      <c r="ER846" s="885"/>
      <c r="ES846" s="885"/>
      <c r="ET846" s="885"/>
      <c r="EU846" s="885"/>
      <c r="EV846" s="885"/>
      <c r="EW846" s="885"/>
      <c r="EX846" s="885"/>
      <c r="EY846" s="885"/>
      <c r="EZ846" s="885"/>
      <c r="FA846" s="885"/>
      <c r="FB846" s="885"/>
      <c r="FC846" s="885"/>
      <c r="FD846" s="885"/>
      <c r="FE846" s="885"/>
      <c r="FF846" s="885"/>
      <c r="FG846" s="885"/>
      <c r="FH846" s="885"/>
      <c r="FI846" s="885"/>
      <c r="FJ846" s="885"/>
      <c r="FK846" s="885"/>
      <c r="FL846" s="885"/>
      <c r="FM846" s="885"/>
      <c r="FN846" s="885"/>
      <c r="FO846" s="885"/>
      <c r="FP846" s="885"/>
      <c r="FQ846" s="885"/>
      <c r="FR846" s="885"/>
      <c r="FS846" s="885"/>
      <c r="FT846" s="885"/>
      <c r="FU846" s="885"/>
      <c r="FV846" s="885"/>
      <c r="FW846" s="885"/>
      <c r="FX846" s="885"/>
      <c r="FY846" s="885"/>
      <c r="FZ846" s="885"/>
      <c r="GA846" s="885"/>
      <c r="GB846" s="885"/>
      <c r="GC846" s="885"/>
      <c r="GD846" s="885"/>
      <c r="GE846" s="885"/>
      <c r="GF846" s="885"/>
      <c r="GG846" s="885"/>
      <c r="GH846" s="885"/>
      <c r="GI846" s="885"/>
      <c r="GJ846" s="885"/>
      <c r="GK846" s="885"/>
      <c r="GL846" s="885"/>
      <c r="GM846" s="885"/>
      <c r="GN846" s="885"/>
      <c r="GO846" s="885"/>
      <c r="GP846" s="885"/>
      <c r="GQ846" s="885"/>
      <c r="GR846" s="885"/>
      <c r="GS846" s="885"/>
      <c r="GT846" s="885"/>
      <c r="GU846" s="885"/>
      <c r="GV846" s="885"/>
      <c r="GW846" s="885"/>
      <c r="GX846" s="885"/>
      <c r="GY846" s="885"/>
      <c r="GZ846" s="885"/>
      <c r="HA846" s="885"/>
      <c r="HB846" s="885"/>
      <c r="HC846" s="885"/>
      <c r="HD846" s="885"/>
      <c r="HE846" s="885"/>
      <c r="HF846" s="885"/>
      <c r="HG846" s="885"/>
      <c r="HH846" s="885"/>
      <c r="HI846" s="885"/>
      <c r="HJ846" s="885"/>
      <c r="HK846" s="885"/>
      <c r="HL846" s="885"/>
      <c r="HM846" s="885"/>
      <c r="HN846" s="885"/>
      <c r="HO846" s="885"/>
      <c r="HP846" s="885"/>
      <c r="HQ846" s="885"/>
      <c r="HR846" s="885"/>
      <c r="HS846" s="885"/>
      <c r="HT846" s="885"/>
      <c r="HU846" s="885"/>
      <c r="HV846" s="885"/>
      <c r="HW846" s="885"/>
      <c r="HX846" s="885"/>
      <c r="HY846" s="885"/>
      <c r="HZ846" s="885"/>
      <c r="IA846" s="885"/>
      <c r="IB846" s="885"/>
      <c r="IC846" s="885"/>
      <c r="ID846" s="885"/>
      <c r="IE846" s="885"/>
      <c r="IF846" s="885"/>
      <c r="IG846" s="885"/>
      <c r="IH846" s="885"/>
      <c r="II846" s="885"/>
      <c r="IJ846" s="885"/>
      <c r="IK846" s="885"/>
      <c r="IL846" s="885"/>
      <c r="IM846" s="885"/>
      <c r="IN846" s="885"/>
      <c r="IO846" s="885"/>
      <c r="IP846" s="885"/>
      <c r="IQ846" s="885"/>
      <c r="IR846" s="885"/>
      <c r="IS846" s="885"/>
      <c r="IT846" s="885"/>
      <c r="IU846" s="885"/>
      <c r="IV846" s="885"/>
      <c r="IW846" s="885"/>
      <c r="IX846" s="885"/>
    </row>
    <row r="847" spans="1:258" s="130" customFormat="1" x14ac:dyDescent="0.25">
      <c r="A847" s="125">
        <f t="shared" si="104"/>
        <v>807</v>
      </c>
      <c r="B847" s="885"/>
      <c r="C847" s="842" t="s">
        <v>125</v>
      </c>
      <c r="D847" s="924">
        <v>144</v>
      </c>
      <c r="E847" s="906">
        <f t="shared" si="109"/>
        <v>216</v>
      </c>
      <c r="F847" s="136">
        <v>500</v>
      </c>
      <c r="G847" s="122" t="s">
        <v>1963</v>
      </c>
      <c r="H847" s="885"/>
      <c r="I847" s="885"/>
      <c r="J847" s="885"/>
      <c r="K847" s="885"/>
      <c r="L847" s="885"/>
      <c r="M847" s="885"/>
      <c r="N847" s="885"/>
      <c r="O847" s="885"/>
      <c r="P847" s="885"/>
      <c r="Q847" s="885"/>
      <c r="R847" s="885"/>
      <c r="S847" s="885"/>
      <c r="T847" s="885"/>
      <c r="U847" s="885"/>
      <c r="V847" s="885"/>
      <c r="W847" s="885"/>
      <c r="X847" s="885"/>
      <c r="Y847" s="885"/>
      <c r="Z847" s="885"/>
      <c r="AA847" s="885"/>
      <c r="AB847" s="885"/>
      <c r="AC847" s="885"/>
      <c r="AD847" s="885"/>
      <c r="AE847" s="885"/>
      <c r="AF847" s="885"/>
      <c r="AG847" s="885"/>
      <c r="AH847" s="885"/>
      <c r="AI847" s="885"/>
      <c r="AJ847" s="885"/>
      <c r="AK847" s="885"/>
      <c r="AL847" s="885"/>
      <c r="AM847" s="885"/>
      <c r="AN847" s="885"/>
      <c r="AO847" s="885"/>
      <c r="AP847" s="885"/>
      <c r="AQ847" s="885"/>
      <c r="AR847" s="885"/>
      <c r="AS847" s="885"/>
      <c r="AT847" s="885"/>
      <c r="AU847" s="885"/>
      <c r="AV847" s="885"/>
      <c r="AW847" s="885"/>
      <c r="AX847" s="885"/>
      <c r="AY847" s="885"/>
      <c r="AZ847" s="885"/>
      <c r="BA847" s="885"/>
      <c r="BB847" s="885"/>
      <c r="BC847" s="885"/>
      <c r="BD847" s="885"/>
      <c r="BE847" s="885"/>
      <c r="BF847" s="885"/>
      <c r="BG847" s="885"/>
      <c r="BH847" s="885"/>
      <c r="BI847" s="885"/>
      <c r="BJ847" s="885"/>
      <c r="BK847" s="885"/>
      <c r="BL847" s="885"/>
      <c r="BM847" s="885"/>
      <c r="BN847" s="885"/>
      <c r="BO847" s="885"/>
      <c r="BP847" s="885"/>
      <c r="BQ847" s="885"/>
      <c r="BR847" s="885"/>
      <c r="BS847" s="885"/>
      <c r="BT847" s="885"/>
      <c r="BU847" s="885"/>
      <c r="BV847" s="885"/>
      <c r="BW847" s="885"/>
      <c r="BX847" s="885"/>
      <c r="BY847" s="885"/>
      <c r="BZ847" s="885"/>
      <c r="CA847" s="885"/>
      <c r="CB847" s="885"/>
      <c r="CC847" s="885"/>
      <c r="CD847" s="885"/>
      <c r="CE847" s="885"/>
      <c r="CF847" s="885"/>
      <c r="CG847" s="885"/>
      <c r="CH847" s="885"/>
      <c r="CI847" s="885"/>
      <c r="CJ847" s="885"/>
      <c r="CK847" s="885"/>
      <c r="CL847" s="885"/>
      <c r="CM847" s="885"/>
      <c r="CN847" s="885"/>
      <c r="CO847" s="885"/>
      <c r="CP847" s="885"/>
      <c r="CQ847" s="885"/>
      <c r="CR847" s="885"/>
      <c r="CS847" s="885"/>
      <c r="CT847" s="885"/>
      <c r="CU847" s="885"/>
      <c r="CV847" s="885"/>
      <c r="CW847" s="885"/>
      <c r="CX847" s="885"/>
      <c r="CY847" s="885"/>
      <c r="CZ847" s="885"/>
      <c r="DA847" s="885"/>
      <c r="DB847" s="885"/>
      <c r="DC847" s="885"/>
      <c r="DD847" s="885"/>
      <c r="DE847" s="885"/>
      <c r="DF847" s="885"/>
      <c r="DG847" s="885"/>
      <c r="DH847" s="885"/>
      <c r="DI847" s="885"/>
      <c r="DJ847" s="885"/>
      <c r="DK847" s="885"/>
      <c r="DL847" s="885"/>
      <c r="DM847" s="885"/>
      <c r="DN847" s="885"/>
      <c r="DO847" s="885"/>
      <c r="DP847" s="885"/>
      <c r="DQ847" s="885"/>
      <c r="DR847" s="885"/>
      <c r="DS847" s="885"/>
      <c r="DT847" s="885"/>
      <c r="DU847" s="885"/>
      <c r="DV847" s="885"/>
      <c r="DW847" s="885"/>
      <c r="DX847" s="885"/>
      <c r="DY847" s="885"/>
      <c r="DZ847" s="885"/>
      <c r="EA847" s="885"/>
      <c r="EB847" s="885"/>
      <c r="EC847" s="885"/>
      <c r="ED847" s="885"/>
      <c r="EE847" s="885"/>
      <c r="EF847" s="885"/>
      <c r="EG847" s="885"/>
      <c r="EH847" s="885"/>
      <c r="EI847" s="885"/>
      <c r="EJ847" s="885"/>
      <c r="EK847" s="885"/>
      <c r="EL847" s="885"/>
      <c r="EM847" s="885"/>
      <c r="EN847" s="885"/>
      <c r="EO847" s="885"/>
      <c r="EP847" s="885"/>
      <c r="EQ847" s="885"/>
      <c r="ER847" s="885"/>
      <c r="ES847" s="885"/>
      <c r="ET847" s="885"/>
      <c r="EU847" s="885"/>
      <c r="EV847" s="885"/>
      <c r="EW847" s="885"/>
      <c r="EX847" s="885"/>
      <c r="EY847" s="885"/>
      <c r="EZ847" s="885"/>
      <c r="FA847" s="885"/>
      <c r="FB847" s="885"/>
      <c r="FC847" s="885"/>
      <c r="FD847" s="885"/>
      <c r="FE847" s="885"/>
      <c r="FF847" s="885"/>
      <c r="FG847" s="885"/>
      <c r="FH847" s="885"/>
      <c r="FI847" s="885"/>
      <c r="FJ847" s="885"/>
      <c r="FK847" s="885"/>
      <c r="FL847" s="885"/>
      <c r="FM847" s="885"/>
      <c r="FN847" s="885"/>
      <c r="FO847" s="885"/>
      <c r="FP847" s="885"/>
      <c r="FQ847" s="885"/>
      <c r="FR847" s="885"/>
      <c r="FS847" s="885"/>
      <c r="FT847" s="885"/>
      <c r="FU847" s="885"/>
      <c r="FV847" s="885"/>
      <c r="FW847" s="885"/>
      <c r="FX847" s="885"/>
      <c r="FY847" s="885"/>
      <c r="FZ847" s="885"/>
      <c r="GA847" s="885"/>
      <c r="GB847" s="885"/>
      <c r="GC847" s="885"/>
      <c r="GD847" s="885"/>
      <c r="GE847" s="885"/>
      <c r="GF847" s="885"/>
      <c r="GG847" s="885"/>
      <c r="GH847" s="885"/>
      <c r="GI847" s="885"/>
      <c r="GJ847" s="885"/>
      <c r="GK847" s="885"/>
      <c r="GL847" s="885"/>
      <c r="GM847" s="885"/>
      <c r="GN847" s="885"/>
      <c r="GO847" s="885"/>
      <c r="GP847" s="885"/>
      <c r="GQ847" s="885"/>
      <c r="GR847" s="885"/>
      <c r="GS847" s="885"/>
      <c r="GT847" s="885"/>
      <c r="GU847" s="885"/>
      <c r="GV847" s="885"/>
      <c r="GW847" s="885"/>
      <c r="GX847" s="885"/>
      <c r="GY847" s="885"/>
      <c r="GZ847" s="885"/>
      <c r="HA847" s="885"/>
      <c r="HB847" s="885"/>
      <c r="HC847" s="885"/>
      <c r="HD847" s="885"/>
      <c r="HE847" s="885"/>
      <c r="HF847" s="885"/>
      <c r="HG847" s="885"/>
      <c r="HH847" s="885"/>
      <c r="HI847" s="885"/>
      <c r="HJ847" s="885"/>
      <c r="HK847" s="885"/>
      <c r="HL847" s="885"/>
      <c r="HM847" s="885"/>
      <c r="HN847" s="885"/>
      <c r="HO847" s="885"/>
      <c r="HP847" s="885"/>
      <c r="HQ847" s="885"/>
      <c r="HR847" s="885"/>
      <c r="HS847" s="885"/>
      <c r="HT847" s="885"/>
      <c r="HU847" s="885"/>
      <c r="HV847" s="885"/>
      <c r="HW847" s="885"/>
      <c r="HX847" s="885"/>
      <c r="HY847" s="885"/>
      <c r="HZ847" s="885"/>
      <c r="IA847" s="885"/>
      <c r="IB847" s="885"/>
      <c r="IC847" s="885"/>
      <c r="ID847" s="885"/>
      <c r="IE847" s="885"/>
      <c r="IF847" s="885"/>
      <c r="IG847" s="885"/>
      <c r="IH847" s="885"/>
      <c r="II847" s="885"/>
      <c r="IJ847" s="885"/>
      <c r="IK847" s="885"/>
      <c r="IL847" s="885"/>
      <c r="IM847" s="885"/>
      <c r="IN847" s="885"/>
      <c r="IO847" s="885"/>
      <c r="IP847" s="885"/>
      <c r="IQ847" s="885"/>
      <c r="IR847" s="885"/>
      <c r="IS847" s="885"/>
      <c r="IT847" s="885"/>
      <c r="IU847" s="885"/>
      <c r="IV847" s="885"/>
      <c r="IW847" s="885"/>
      <c r="IX847" s="885"/>
    </row>
    <row r="848" spans="1:258" s="130" customFormat="1" x14ac:dyDescent="0.25">
      <c r="A848" s="125">
        <f t="shared" si="104"/>
        <v>808</v>
      </c>
      <c r="B848" s="885"/>
      <c r="C848" s="842" t="s">
        <v>10502</v>
      </c>
      <c r="D848" s="924">
        <v>200</v>
      </c>
      <c r="E848" s="906">
        <f t="shared" si="109"/>
        <v>300</v>
      </c>
      <c r="F848" s="136">
        <v>500</v>
      </c>
      <c r="G848" s="122" t="s">
        <v>1963</v>
      </c>
      <c r="H848" s="885"/>
      <c r="I848" s="885"/>
      <c r="J848" s="885"/>
      <c r="K848" s="885"/>
      <c r="L848" s="885"/>
      <c r="M848" s="885"/>
      <c r="N848" s="885"/>
      <c r="O848" s="885"/>
      <c r="P848" s="885"/>
      <c r="Q848" s="885"/>
      <c r="R848" s="885"/>
      <c r="S848" s="885"/>
      <c r="T848" s="885"/>
      <c r="U848" s="885"/>
      <c r="V848" s="885"/>
      <c r="W848" s="885"/>
      <c r="X848" s="885"/>
      <c r="Y848" s="885"/>
      <c r="Z848" s="885"/>
      <c r="AA848" s="885"/>
      <c r="AB848" s="885"/>
      <c r="AC848" s="885"/>
      <c r="AD848" s="885"/>
      <c r="AE848" s="885"/>
      <c r="AF848" s="885"/>
      <c r="AG848" s="885"/>
      <c r="AH848" s="885"/>
      <c r="AI848" s="885"/>
      <c r="AJ848" s="885"/>
      <c r="AK848" s="885"/>
      <c r="AL848" s="885"/>
      <c r="AM848" s="885"/>
      <c r="AN848" s="885"/>
      <c r="AO848" s="885"/>
      <c r="AP848" s="885"/>
      <c r="AQ848" s="885"/>
      <c r="AR848" s="885"/>
      <c r="AS848" s="885"/>
      <c r="AT848" s="885"/>
      <c r="AU848" s="885"/>
      <c r="AV848" s="885"/>
      <c r="AW848" s="885"/>
      <c r="AX848" s="885"/>
      <c r="AY848" s="885"/>
      <c r="AZ848" s="885"/>
      <c r="BA848" s="885"/>
      <c r="BB848" s="885"/>
      <c r="BC848" s="885"/>
      <c r="BD848" s="885"/>
      <c r="BE848" s="885"/>
      <c r="BF848" s="885"/>
      <c r="BG848" s="885"/>
      <c r="BH848" s="885"/>
      <c r="BI848" s="885"/>
      <c r="BJ848" s="885"/>
      <c r="BK848" s="885"/>
      <c r="BL848" s="885"/>
      <c r="BM848" s="885"/>
      <c r="BN848" s="885"/>
      <c r="BO848" s="885"/>
      <c r="BP848" s="885"/>
      <c r="BQ848" s="885"/>
      <c r="BR848" s="885"/>
      <c r="BS848" s="885"/>
      <c r="BT848" s="885"/>
      <c r="BU848" s="885"/>
      <c r="BV848" s="885"/>
      <c r="BW848" s="885"/>
      <c r="BX848" s="885"/>
      <c r="BY848" s="885"/>
      <c r="BZ848" s="885"/>
      <c r="CA848" s="885"/>
      <c r="CB848" s="885"/>
      <c r="CC848" s="885"/>
      <c r="CD848" s="885"/>
      <c r="CE848" s="885"/>
      <c r="CF848" s="885"/>
      <c r="CG848" s="885"/>
      <c r="CH848" s="885"/>
      <c r="CI848" s="885"/>
      <c r="CJ848" s="885"/>
      <c r="CK848" s="885"/>
      <c r="CL848" s="885"/>
      <c r="CM848" s="885"/>
      <c r="CN848" s="885"/>
      <c r="CO848" s="885"/>
      <c r="CP848" s="885"/>
      <c r="CQ848" s="885"/>
      <c r="CR848" s="885"/>
      <c r="CS848" s="885"/>
      <c r="CT848" s="885"/>
      <c r="CU848" s="885"/>
      <c r="CV848" s="885"/>
      <c r="CW848" s="885"/>
      <c r="CX848" s="885"/>
      <c r="CY848" s="885"/>
      <c r="CZ848" s="885"/>
      <c r="DA848" s="885"/>
      <c r="DB848" s="885"/>
      <c r="DC848" s="885"/>
      <c r="DD848" s="885"/>
      <c r="DE848" s="885"/>
      <c r="DF848" s="885"/>
      <c r="DG848" s="885"/>
      <c r="DH848" s="885"/>
      <c r="DI848" s="885"/>
      <c r="DJ848" s="885"/>
      <c r="DK848" s="885"/>
      <c r="DL848" s="885"/>
      <c r="DM848" s="885"/>
      <c r="DN848" s="885"/>
      <c r="DO848" s="885"/>
      <c r="DP848" s="885"/>
      <c r="DQ848" s="885"/>
      <c r="DR848" s="885"/>
      <c r="DS848" s="885"/>
      <c r="DT848" s="885"/>
      <c r="DU848" s="885"/>
      <c r="DV848" s="885"/>
      <c r="DW848" s="885"/>
      <c r="DX848" s="885"/>
      <c r="DY848" s="885"/>
      <c r="DZ848" s="885"/>
      <c r="EA848" s="885"/>
      <c r="EB848" s="885"/>
      <c r="EC848" s="885"/>
      <c r="ED848" s="885"/>
      <c r="EE848" s="885"/>
      <c r="EF848" s="885"/>
      <c r="EG848" s="885"/>
      <c r="EH848" s="885"/>
      <c r="EI848" s="885"/>
      <c r="EJ848" s="885"/>
      <c r="EK848" s="885"/>
      <c r="EL848" s="885"/>
      <c r="EM848" s="885"/>
      <c r="EN848" s="885"/>
      <c r="EO848" s="885"/>
      <c r="EP848" s="885"/>
      <c r="EQ848" s="885"/>
      <c r="ER848" s="885"/>
      <c r="ES848" s="885"/>
      <c r="ET848" s="885"/>
      <c r="EU848" s="885"/>
      <c r="EV848" s="885"/>
      <c r="EW848" s="885"/>
      <c r="EX848" s="885"/>
      <c r="EY848" s="885"/>
      <c r="EZ848" s="885"/>
      <c r="FA848" s="885"/>
      <c r="FB848" s="885"/>
      <c r="FC848" s="885"/>
      <c r="FD848" s="885"/>
      <c r="FE848" s="885"/>
      <c r="FF848" s="885"/>
      <c r="FG848" s="885"/>
      <c r="FH848" s="885"/>
      <c r="FI848" s="885"/>
      <c r="FJ848" s="885"/>
      <c r="FK848" s="885"/>
      <c r="FL848" s="885"/>
      <c r="FM848" s="885"/>
      <c r="FN848" s="885"/>
      <c r="FO848" s="885"/>
      <c r="FP848" s="885"/>
      <c r="FQ848" s="885"/>
      <c r="FR848" s="885"/>
      <c r="FS848" s="885"/>
      <c r="FT848" s="885"/>
      <c r="FU848" s="885"/>
      <c r="FV848" s="885"/>
      <c r="FW848" s="885"/>
      <c r="FX848" s="885"/>
      <c r="FY848" s="885"/>
      <c r="FZ848" s="885"/>
      <c r="GA848" s="885"/>
      <c r="GB848" s="885"/>
      <c r="GC848" s="885"/>
      <c r="GD848" s="885"/>
      <c r="GE848" s="885"/>
      <c r="GF848" s="885"/>
      <c r="GG848" s="885"/>
      <c r="GH848" s="885"/>
      <c r="GI848" s="885"/>
      <c r="GJ848" s="885"/>
      <c r="GK848" s="885"/>
      <c r="GL848" s="885"/>
      <c r="GM848" s="885"/>
      <c r="GN848" s="885"/>
      <c r="GO848" s="885"/>
      <c r="GP848" s="885"/>
      <c r="GQ848" s="885"/>
      <c r="GR848" s="885"/>
      <c r="GS848" s="885"/>
      <c r="GT848" s="885"/>
      <c r="GU848" s="885"/>
      <c r="GV848" s="885"/>
      <c r="GW848" s="885"/>
      <c r="GX848" s="885"/>
      <c r="GY848" s="885"/>
      <c r="GZ848" s="885"/>
      <c r="HA848" s="885"/>
      <c r="HB848" s="885"/>
      <c r="HC848" s="885"/>
      <c r="HD848" s="885"/>
      <c r="HE848" s="885"/>
      <c r="HF848" s="885"/>
      <c r="HG848" s="885"/>
      <c r="HH848" s="885"/>
      <c r="HI848" s="885"/>
      <c r="HJ848" s="885"/>
      <c r="HK848" s="885"/>
      <c r="HL848" s="885"/>
      <c r="HM848" s="885"/>
      <c r="HN848" s="885"/>
      <c r="HO848" s="885"/>
      <c r="HP848" s="885"/>
      <c r="HQ848" s="885"/>
      <c r="HR848" s="885"/>
      <c r="HS848" s="885"/>
      <c r="HT848" s="885"/>
      <c r="HU848" s="885"/>
      <c r="HV848" s="885"/>
      <c r="HW848" s="885"/>
      <c r="HX848" s="885"/>
      <c r="HY848" s="885"/>
      <c r="HZ848" s="885"/>
      <c r="IA848" s="885"/>
      <c r="IB848" s="885"/>
      <c r="IC848" s="885"/>
      <c r="ID848" s="885"/>
      <c r="IE848" s="885"/>
      <c r="IF848" s="885"/>
      <c r="IG848" s="885"/>
      <c r="IH848" s="885"/>
      <c r="II848" s="885"/>
      <c r="IJ848" s="885"/>
      <c r="IK848" s="885"/>
      <c r="IL848" s="885"/>
      <c r="IM848" s="885"/>
      <c r="IN848" s="885"/>
      <c r="IO848" s="885"/>
      <c r="IP848" s="885"/>
      <c r="IQ848" s="885"/>
      <c r="IR848" s="885"/>
      <c r="IS848" s="885"/>
      <c r="IT848" s="885"/>
      <c r="IU848" s="885"/>
      <c r="IV848" s="885"/>
      <c r="IW848" s="885"/>
      <c r="IX848" s="885"/>
    </row>
    <row r="849" spans="1:258" s="130" customFormat="1" x14ac:dyDescent="0.25">
      <c r="A849" s="125">
        <f t="shared" si="104"/>
        <v>809</v>
      </c>
      <c r="B849" s="885"/>
      <c r="C849" s="842" t="s">
        <v>10519</v>
      </c>
      <c r="D849" s="924">
        <v>0</v>
      </c>
      <c r="E849" s="906">
        <f t="shared" si="109"/>
        <v>0</v>
      </c>
      <c r="F849" s="136">
        <v>500</v>
      </c>
      <c r="G849" s="122" t="s">
        <v>1963</v>
      </c>
      <c r="H849" s="885"/>
      <c r="I849" s="885"/>
      <c r="J849" s="885"/>
      <c r="K849" s="885"/>
      <c r="L849" s="885"/>
      <c r="M849" s="885"/>
      <c r="N849" s="885"/>
      <c r="O849" s="885"/>
      <c r="P849" s="885"/>
      <c r="Q849" s="885"/>
      <c r="R849" s="885"/>
      <c r="S849" s="885"/>
      <c r="T849" s="885"/>
      <c r="U849" s="885"/>
      <c r="V849" s="885"/>
      <c r="W849" s="885"/>
      <c r="X849" s="885"/>
      <c r="Y849" s="885"/>
      <c r="Z849" s="885"/>
      <c r="AA849" s="885"/>
      <c r="AB849" s="885"/>
      <c r="AC849" s="885"/>
      <c r="AD849" s="885"/>
      <c r="AE849" s="885"/>
      <c r="AF849" s="885"/>
      <c r="AG849" s="885"/>
      <c r="AH849" s="885"/>
      <c r="AI849" s="885"/>
      <c r="AJ849" s="885"/>
      <c r="AK849" s="885"/>
      <c r="AL849" s="885"/>
      <c r="AM849" s="885"/>
      <c r="AN849" s="885"/>
      <c r="AO849" s="885"/>
      <c r="AP849" s="885"/>
      <c r="AQ849" s="885"/>
      <c r="AR849" s="885"/>
      <c r="AS849" s="885"/>
      <c r="AT849" s="885"/>
      <c r="AU849" s="885"/>
      <c r="AV849" s="885"/>
      <c r="AW849" s="885"/>
      <c r="AX849" s="885"/>
      <c r="AY849" s="885"/>
      <c r="AZ849" s="885"/>
      <c r="BA849" s="885"/>
      <c r="BB849" s="885"/>
      <c r="BC849" s="885"/>
      <c r="BD849" s="885"/>
      <c r="BE849" s="885"/>
      <c r="BF849" s="885"/>
      <c r="BG849" s="885"/>
      <c r="BH849" s="885"/>
      <c r="BI849" s="885"/>
      <c r="BJ849" s="885"/>
      <c r="BK849" s="885"/>
      <c r="BL849" s="885"/>
      <c r="BM849" s="885"/>
      <c r="BN849" s="885"/>
      <c r="BO849" s="885"/>
      <c r="BP849" s="885"/>
      <c r="BQ849" s="885"/>
      <c r="BR849" s="885"/>
      <c r="BS849" s="885"/>
      <c r="BT849" s="885"/>
      <c r="BU849" s="885"/>
      <c r="BV849" s="885"/>
      <c r="BW849" s="885"/>
      <c r="BX849" s="885"/>
      <c r="BY849" s="885"/>
      <c r="BZ849" s="885"/>
      <c r="CA849" s="885"/>
      <c r="CB849" s="885"/>
      <c r="CC849" s="885"/>
      <c r="CD849" s="885"/>
      <c r="CE849" s="885"/>
      <c r="CF849" s="885"/>
      <c r="CG849" s="885"/>
      <c r="CH849" s="885"/>
      <c r="CI849" s="885"/>
      <c r="CJ849" s="885"/>
      <c r="CK849" s="885"/>
      <c r="CL849" s="885"/>
      <c r="CM849" s="885"/>
      <c r="CN849" s="885"/>
      <c r="CO849" s="885"/>
      <c r="CP849" s="885"/>
      <c r="CQ849" s="885"/>
      <c r="CR849" s="885"/>
      <c r="CS849" s="885"/>
      <c r="CT849" s="885"/>
      <c r="CU849" s="885"/>
      <c r="CV849" s="885"/>
      <c r="CW849" s="885"/>
      <c r="CX849" s="885"/>
      <c r="CY849" s="885"/>
      <c r="CZ849" s="885"/>
      <c r="DA849" s="885"/>
      <c r="DB849" s="885"/>
      <c r="DC849" s="885"/>
      <c r="DD849" s="885"/>
      <c r="DE849" s="885"/>
      <c r="DF849" s="885"/>
      <c r="DG849" s="885"/>
      <c r="DH849" s="885"/>
      <c r="DI849" s="885"/>
      <c r="DJ849" s="885"/>
      <c r="DK849" s="885"/>
      <c r="DL849" s="885"/>
      <c r="DM849" s="885"/>
      <c r="DN849" s="885"/>
      <c r="DO849" s="885"/>
      <c r="DP849" s="885"/>
      <c r="DQ849" s="885"/>
      <c r="DR849" s="885"/>
      <c r="DS849" s="885"/>
      <c r="DT849" s="885"/>
      <c r="DU849" s="885"/>
      <c r="DV849" s="885"/>
      <c r="DW849" s="885"/>
      <c r="DX849" s="885"/>
      <c r="DY849" s="885"/>
      <c r="DZ849" s="885"/>
      <c r="EA849" s="885"/>
      <c r="EB849" s="885"/>
      <c r="EC849" s="885"/>
      <c r="ED849" s="885"/>
      <c r="EE849" s="885"/>
      <c r="EF849" s="885"/>
      <c r="EG849" s="885"/>
      <c r="EH849" s="885"/>
      <c r="EI849" s="885"/>
      <c r="EJ849" s="885"/>
      <c r="EK849" s="885"/>
      <c r="EL849" s="885"/>
      <c r="EM849" s="885"/>
      <c r="EN849" s="885"/>
      <c r="EO849" s="885"/>
      <c r="EP849" s="885"/>
      <c r="EQ849" s="885"/>
      <c r="ER849" s="885"/>
      <c r="ES849" s="885"/>
      <c r="ET849" s="885"/>
      <c r="EU849" s="885"/>
      <c r="EV849" s="885"/>
      <c r="EW849" s="885"/>
      <c r="EX849" s="885"/>
      <c r="EY849" s="885"/>
      <c r="EZ849" s="885"/>
      <c r="FA849" s="885"/>
      <c r="FB849" s="885"/>
      <c r="FC849" s="885"/>
      <c r="FD849" s="885"/>
      <c r="FE849" s="885"/>
      <c r="FF849" s="885"/>
      <c r="FG849" s="885"/>
      <c r="FH849" s="885"/>
      <c r="FI849" s="885"/>
      <c r="FJ849" s="885"/>
      <c r="FK849" s="885"/>
      <c r="FL849" s="885"/>
      <c r="FM849" s="885"/>
      <c r="FN849" s="885"/>
      <c r="FO849" s="885"/>
      <c r="FP849" s="885"/>
      <c r="FQ849" s="885"/>
      <c r="FR849" s="885"/>
      <c r="FS849" s="885"/>
      <c r="FT849" s="885"/>
      <c r="FU849" s="885"/>
      <c r="FV849" s="885"/>
      <c r="FW849" s="885"/>
      <c r="FX849" s="885"/>
      <c r="FY849" s="885"/>
      <c r="FZ849" s="885"/>
      <c r="GA849" s="885"/>
      <c r="GB849" s="885"/>
      <c r="GC849" s="885"/>
      <c r="GD849" s="885"/>
      <c r="GE849" s="885"/>
      <c r="GF849" s="885"/>
      <c r="GG849" s="885"/>
      <c r="GH849" s="885"/>
      <c r="GI849" s="885"/>
      <c r="GJ849" s="885"/>
      <c r="GK849" s="885"/>
      <c r="GL849" s="885"/>
      <c r="GM849" s="885"/>
      <c r="GN849" s="885"/>
      <c r="GO849" s="885"/>
      <c r="GP849" s="885"/>
      <c r="GQ849" s="885"/>
      <c r="GR849" s="885"/>
      <c r="GS849" s="885"/>
      <c r="GT849" s="885"/>
      <c r="GU849" s="885"/>
      <c r="GV849" s="885"/>
      <c r="GW849" s="885"/>
      <c r="GX849" s="885"/>
      <c r="GY849" s="885"/>
      <c r="GZ849" s="885"/>
      <c r="HA849" s="885"/>
      <c r="HB849" s="885"/>
      <c r="HC849" s="885"/>
      <c r="HD849" s="885"/>
      <c r="HE849" s="885"/>
      <c r="HF849" s="885"/>
      <c r="HG849" s="885"/>
      <c r="HH849" s="885"/>
      <c r="HI849" s="885"/>
      <c r="HJ849" s="885"/>
      <c r="HK849" s="885"/>
      <c r="HL849" s="885"/>
      <c r="HM849" s="885"/>
      <c r="HN849" s="885"/>
      <c r="HO849" s="885"/>
      <c r="HP849" s="885"/>
      <c r="HQ849" s="885"/>
      <c r="HR849" s="885"/>
      <c r="HS849" s="885"/>
      <c r="HT849" s="885"/>
      <c r="HU849" s="885"/>
      <c r="HV849" s="885"/>
      <c r="HW849" s="885"/>
      <c r="HX849" s="885"/>
      <c r="HY849" s="885"/>
      <c r="HZ849" s="885"/>
      <c r="IA849" s="885"/>
      <c r="IB849" s="885"/>
      <c r="IC849" s="885"/>
      <c r="ID849" s="885"/>
      <c r="IE849" s="885"/>
      <c r="IF849" s="885"/>
      <c r="IG849" s="885"/>
      <c r="IH849" s="885"/>
      <c r="II849" s="885"/>
      <c r="IJ849" s="885"/>
      <c r="IK849" s="885"/>
      <c r="IL849" s="885"/>
      <c r="IM849" s="885"/>
      <c r="IN849" s="885"/>
      <c r="IO849" s="885"/>
      <c r="IP849" s="885"/>
      <c r="IQ849" s="885"/>
      <c r="IR849" s="885"/>
      <c r="IS849" s="885"/>
      <c r="IT849" s="885"/>
      <c r="IU849" s="885"/>
      <c r="IV849" s="885"/>
      <c r="IW849" s="885"/>
      <c r="IX849" s="885"/>
    </row>
    <row r="850" spans="1:258" s="130" customFormat="1" x14ac:dyDescent="0.25">
      <c r="A850" s="125">
        <f t="shared" si="104"/>
        <v>810</v>
      </c>
      <c r="B850" s="885"/>
      <c r="C850" s="842" t="s">
        <v>10501</v>
      </c>
      <c r="D850" s="924">
        <v>56.75</v>
      </c>
      <c r="E850" s="906">
        <f t="shared" si="109"/>
        <v>85.125</v>
      </c>
      <c r="F850" s="136">
        <f>E850</f>
        <v>85.125</v>
      </c>
      <c r="G850" s="122" t="s">
        <v>1963</v>
      </c>
      <c r="H850" s="885"/>
      <c r="I850" s="885"/>
      <c r="J850" s="885"/>
      <c r="K850" s="885"/>
      <c r="L850" s="885"/>
      <c r="M850" s="885"/>
      <c r="N850" s="885"/>
      <c r="O850" s="885"/>
      <c r="P850" s="885"/>
      <c r="Q850" s="885"/>
      <c r="R850" s="885"/>
      <c r="S850" s="885"/>
      <c r="T850" s="885"/>
      <c r="U850" s="885"/>
      <c r="V850" s="885"/>
      <c r="W850" s="885"/>
      <c r="X850" s="885"/>
      <c r="Y850" s="885"/>
      <c r="Z850" s="885"/>
      <c r="AA850" s="885"/>
      <c r="AB850" s="885"/>
      <c r="AC850" s="885"/>
      <c r="AD850" s="885"/>
      <c r="AE850" s="885"/>
      <c r="AF850" s="885"/>
      <c r="AG850" s="885"/>
      <c r="AH850" s="885"/>
      <c r="AI850" s="885"/>
      <c r="AJ850" s="885"/>
      <c r="AK850" s="885"/>
      <c r="AL850" s="885"/>
      <c r="AM850" s="885"/>
      <c r="AN850" s="885"/>
      <c r="AO850" s="885"/>
      <c r="AP850" s="885"/>
      <c r="AQ850" s="885"/>
      <c r="AR850" s="885"/>
      <c r="AS850" s="885"/>
      <c r="AT850" s="885"/>
      <c r="AU850" s="885"/>
      <c r="AV850" s="885"/>
      <c r="AW850" s="885"/>
      <c r="AX850" s="885"/>
      <c r="AY850" s="885"/>
      <c r="AZ850" s="885"/>
      <c r="BA850" s="885"/>
      <c r="BB850" s="885"/>
      <c r="BC850" s="885"/>
      <c r="BD850" s="885"/>
      <c r="BE850" s="885"/>
      <c r="BF850" s="885"/>
      <c r="BG850" s="885"/>
      <c r="BH850" s="885"/>
      <c r="BI850" s="885"/>
      <c r="BJ850" s="885"/>
      <c r="BK850" s="885"/>
      <c r="BL850" s="885"/>
      <c r="BM850" s="885"/>
      <c r="BN850" s="885"/>
      <c r="BO850" s="885"/>
      <c r="BP850" s="885"/>
      <c r="BQ850" s="885"/>
      <c r="BR850" s="885"/>
      <c r="BS850" s="885"/>
      <c r="BT850" s="885"/>
      <c r="BU850" s="885"/>
      <c r="BV850" s="885"/>
      <c r="BW850" s="885"/>
      <c r="BX850" s="885"/>
      <c r="BY850" s="885"/>
      <c r="BZ850" s="885"/>
      <c r="CA850" s="885"/>
      <c r="CB850" s="885"/>
      <c r="CC850" s="885"/>
      <c r="CD850" s="885"/>
      <c r="CE850" s="885"/>
      <c r="CF850" s="885"/>
      <c r="CG850" s="885"/>
      <c r="CH850" s="885"/>
      <c r="CI850" s="885"/>
      <c r="CJ850" s="885"/>
      <c r="CK850" s="885"/>
      <c r="CL850" s="885"/>
      <c r="CM850" s="885"/>
      <c r="CN850" s="885"/>
      <c r="CO850" s="885"/>
      <c r="CP850" s="885"/>
      <c r="CQ850" s="885"/>
      <c r="CR850" s="885"/>
      <c r="CS850" s="885"/>
      <c r="CT850" s="885"/>
      <c r="CU850" s="885"/>
      <c r="CV850" s="885"/>
      <c r="CW850" s="885"/>
      <c r="CX850" s="885"/>
      <c r="CY850" s="885"/>
      <c r="CZ850" s="885"/>
      <c r="DA850" s="885"/>
      <c r="DB850" s="885"/>
      <c r="DC850" s="885"/>
      <c r="DD850" s="885"/>
      <c r="DE850" s="885"/>
      <c r="DF850" s="885"/>
      <c r="DG850" s="885"/>
      <c r="DH850" s="885"/>
      <c r="DI850" s="885"/>
      <c r="DJ850" s="885"/>
      <c r="DK850" s="885"/>
      <c r="DL850" s="885"/>
      <c r="DM850" s="885"/>
      <c r="DN850" s="885"/>
      <c r="DO850" s="885"/>
      <c r="DP850" s="885"/>
      <c r="DQ850" s="885"/>
      <c r="DR850" s="885"/>
      <c r="DS850" s="885"/>
      <c r="DT850" s="885"/>
      <c r="DU850" s="885"/>
      <c r="DV850" s="885"/>
      <c r="DW850" s="885"/>
      <c r="DX850" s="885"/>
      <c r="DY850" s="885"/>
      <c r="DZ850" s="885"/>
      <c r="EA850" s="885"/>
      <c r="EB850" s="885"/>
      <c r="EC850" s="885"/>
      <c r="ED850" s="885"/>
      <c r="EE850" s="885"/>
      <c r="EF850" s="885"/>
      <c r="EG850" s="885"/>
      <c r="EH850" s="885"/>
      <c r="EI850" s="885"/>
      <c r="EJ850" s="885"/>
      <c r="EK850" s="885"/>
      <c r="EL850" s="885"/>
      <c r="EM850" s="885"/>
      <c r="EN850" s="885"/>
      <c r="EO850" s="885"/>
      <c r="EP850" s="885"/>
      <c r="EQ850" s="885"/>
      <c r="ER850" s="885"/>
      <c r="ES850" s="885"/>
      <c r="ET850" s="885"/>
      <c r="EU850" s="885"/>
      <c r="EV850" s="885"/>
      <c r="EW850" s="885"/>
      <c r="EX850" s="885"/>
      <c r="EY850" s="885"/>
      <c r="EZ850" s="885"/>
      <c r="FA850" s="885"/>
      <c r="FB850" s="885"/>
      <c r="FC850" s="885"/>
      <c r="FD850" s="885"/>
      <c r="FE850" s="885"/>
      <c r="FF850" s="885"/>
      <c r="FG850" s="885"/>
      <c r="FH850" s="885"/>
      <c r="FI850" s="885"/>
      <c r="FJ850" s="885"/>
      <c r="FK850" s="885"/>
      <c r="FL850" s="885"/>
      <c r="FM850" s="885"/>
      <c r="FN850" s="885"/>
      <c r="FO850" s="885"/>
      <c r="FP850" s="885"/>
      <c r="FQ850" s="885"/>
      <c r="FR850" s="885"/>
      <c r="FS850" s="885"/>
      <c r="FT850" s="885"/>
      <c r="FU850" s="885"/>
      <c r="FV850" s="885"/>
      <c r="FW850" s="885"/>
      <c r="FX850" s="885"/>
      <c r="FY850" s="885"/>
      <c r="FZ850" s="885"/>
      <c r="GA850" s="885"/>
      <c r="GB850" s="885"/>
      <c r="GC850" s="885"/>
      <c r="GD850" s="885"/>
      <c r="GE850" s="885"/>
      <c r="GF850" s="885"/>
      <c r="GG850" s="885"/>
      <c r="GH850" s="885"/>
      <c r="GI850" s="885"/>
      <c r="GJ850" s="885"/>
      <c r="GK850" s="885"/>
      <c r="GL850" s="885"/>
      <c r="GM850" s="885"/>
      <c r="GN850" s="885"/>
      <c r="GO850" s="885"/>
      <c r="GP850" s="885"/>
      <c r="GQ850" s="885"/>
      <c r="GR850" s="885"/>
      <c r="GS850" s="885"/>
      <c r="GT850" s="885"/>
      <c r="GU850" s="885"/>
      <c r="GV850" s="885"/>
      <c r="GW850" s="885"/>
      <c r="GX850" s="885"/>
      <c r="GY850" s="885"/>
      <c r="GZ850" s="885"/>
      <c r="HA850" s="885"/>
      <c r="HB850" s="885"/>
      <c r="HC850" s="885"/>
      <c r="HD850" s="885"/>
      <c r="HE850" s="885"/>
      <c r="HF850" s="885"/>
      <c r="HG850" s="885"/>
      <c r="HH850" s="885"/>
      <c r="HI850" s="885"/>
      <c r="HJ850" s="885"/>
      <c r="HK850" s="885"/>
      <c r="HL850" s="885"/>
      <c r="HM850" s="885"/>
      <c r="HN850" s="885"/>
      <c r="HO850" s="885"/>
      <c r="HP850" s="885"/>
      <c r="HQ850" s="885"/>
      <c r="HR850" s="885"/>
      <c r="HS850" s="885"/>
      <c r="HT850" s="885"/>
      <c r="HU850" s="885"/>
      <c r="HV850" s="885"/>
      <c r="HW850" s="885"/>
      <c r="HX850" s="885"/>
      <c r="HY850" s="885"/>
      <c r="HZ850" s="885"/>
      <c r="IA850" s="885"/>
      <c r="IB850" s="885"/>
      <c r="IC850" s="885"/>
      <c r="ID850" s="885"/>
      <c r="IE850" s="885"/>
      <c r="IF850" s="885"/>
      <c r="IG850" s="885"/>
      <c r="IH850" s="885"/>
      <c r="II850" s="885"/>
      <c r="IJ850" s="885"/>
      <c r="IK850" s="885"/>
      <c r="IL850" s="885"/>
      <c r="IM850" s="885"/>
      <c r="IN850" s="885"/>
      <c r="IO850" s="885"/>
      <c r="IP850" s="885"/>
      <c r="IQ850" s="885"/>
      <c r="IR850" s="885"/>
      <c r="IS850" s="885"/>
      <c r="IT850" s="885"/>
      <c r="IU850" s="885"/>
      <c r="IV850" s="885"/>
      <c r="IW850" s="885"/>
      <c r="IX850" s="885"/>
    </row>
    <row r="851" spans="1:258" s="130" customFormat="1" x14ac:dyDescent="0.25">
      <c r="A851" s="125">
        <f t="shared" si="104"/>
        <v>811</v>
      </c>
      <c r="B851" s="885"/>
      <c r="C851" s="842" t="s">
        <v>10500</v>
      </c>
      <c r="D851" s="924">
        <v>0</v>
      </c>
      <c r="E851" s="906">
        <f t="shared" si="109"/>
        <v>0</v>
      </c>
      <c r="F851" s="136">
        <v>1000</v>
      </c>
      <c r="G851" s="122" t="s">
        <v>1963</v>
      </c>
      <c r="H851" s="885"/>
      <c r="I851" s="885"/>
      <c r="J851" s="885"/>
      <c r="K851" s="885"/>
      <c r="L851" s="885"/>
      <c r="M851" s="885"/>
      <c r="N851" s="885"/>
      <c r="O851" s="885"/>
      <c r="P851" s="885"/>
      <c r="Q851" s="885"/>
      <c r="R851" s="885"/>
      <c r="S851" s="885"/>
      <c r="T851" s="885"/>
      <c r="U851" s="885"/>
      <c r="V851" s="885"/>
      <c r="W851" s="885"/>
      <c r="X851" s="885"/>
      <c r="Y851" s="885"/>
      <c r="Z851" s="885"/>
      <c r="AA851" s="885"/>
      <c r="AB851" s="885"/>
      <c r="AC851" s="885"/>
      <c r="AD851" s="885"/>
      <c r="AE851" s="885"/>
      <c r="AF851" s="885"/>
      <c r="AG851" s="885"/>
      <c r="AH851" s="885"/>
      <c r="AI851" s="885"/>
      <c r="AJ851" s="885"/>
      <c r="AK851" s="885"/>
      <c r="AL851" s="885"/>
      <c r="AM851" s="885"/>
      <c r="AN851" s="885"/>
      <c r="AO851" s="885"/>
      <c r="AP851" s="885"/>
      <c r="AQ851" s="885"/>
      <c r="AR851" s="885"/>
      <c r="AS851" s="885"/>
      <c r="AT851" s="885"/>
      <c r="AU851" s="885"/>
      <c r="AV851" s="885"/>
      <c r="AW851" s="885"/>
      <c r="AX851" s="885"/>
      <c r="AY851" s="885"/>
      <c r="AZ851" s="885"/>
      <c r="BA851" s="885"/>
      <c r="BB851" s="885"/>
      <c r="BC851" s="885"/>
      <c r="BD851" s="885"/>
      <c r="BE851" s="885"/>
      <c r="BF851" s="885"/>
      <c r="BG851" s="885"/>
      <c r="BH851" s="885"/>
      <c r="BI851" s="885"/>
      <c r="BJ851" s="885"/>
      <c r="BK851" s="885"/>
      <c r="BL851" s="885"/>
      <c r="BM851" s="885"/>
      <c r="BN851" s="885"/>
      <c r="BO851" s="885"/>
      <c r="BP851" s="885"/>
      <c r="BQ851" s="885"/>
      <c r="BR851" s="885"/>
      <c r="BS851" s="885"/>
      <c r="BT851" s="885"/>
      <c r="BU851" s="885"/>
      <c r="BV851" s="885"/>
      <c r="BW851" s="885"/>
      <c r="BX851" s="885"/>
      <c r="BY851" s="885"/>
      <c r="BZ851" s="885"/>
      <c r="CA851" s="885"/>
      <c r="CB851" s="885"/>
      <c r="CC851" s="885"/>
      <c r="CD851" s="885"/>
      <c r="CE851" s="885"/>
      <c r="CF851" s="885"/>
      <c r="CG851" s="885"/>
      <c r="CH851" s="885"/>
      <c r="CI851" s="885"/>
      <c r="CJ851" s="885"/>
      <c r="CK851" s="885"/>
      <c r="CL851" s="885"/>
      <c r="CM851" s="885"/>
      <c r="CN851" s="885"/>
      <c r="CO851" s="885"/>
      <c r="CP851" s="885"/>
      <c r="CQ851" s="885"/>
      <c r="CR851" s="885"/>
      <c r="CS851" s="885"/>
      <c r="CT851" s="885"/>
      <c r="CU851" s="885"/>
      <c r="CV851" s="885"/>
      <c r="CW851" s="885"/>
      <c r="CX851" s="885"/>
      <c r="CY851" s="885"/>
      <c r="CZ851" s="885"/>
      <c r="DA851" s="885"/>
      <c r="DB851" s="885"/>
      <c r="DC851" s="885"/>
      <c r="DD851" s="885"/>
      <c r="DE851" s="885"/>
      <c r="DF851" s="885"/>
      <c r="DG851" s="885"/>
      <c r="DH851" s="885"/>
      <c r="DI851" s="885"/>
      <c r="DJ851" s="885"/>
      <c r="DK851" s="885"/>
      <c r="DL851" s="885"/>
      <c r="DM851" s="885"/>
      <c r="DN851" s="885"/>
      <c r="DO851" s="885"/>
      <c r="DP851" s="885"/>
      <c r="DQ851" s="885"/>
      <c r="DR851" s="885"/>
      <c r="DS851" s="885"/>
      <c r="DT851" s="885"/>
      <c r="DU851" s="885"/>
      <c r="DV851" s="885"/>
      <c r="DW851" s="885"/>
      <c r="DX851" s="885"/>
      <c r="DY851" s="885"/>
      <c r="DZ851" s="885"/>
      <c r="EA851" s="885"/>
      <c r="EB851" s="885"/>
      <c r="EC851" s="885"/>
      <c r="ED851" s="885"/>
      <c r="EE851" s="885"/>
      <c r="EF851" s="885"/>
      <c r="EG851" s="885"/>
      <c r="EH851" s="885"/>
      <c r="EI851" s="885"/>
      <c r="EJ851" s="885"/>
      <c r="EK851" s="885"/>
      <c r="EL851" s="885"/>
      <c r="EM851" s="885"/>
      <c r="EN851" s="885"/>
      <c r="EO851" s="885"/>
      <c r="EP851" s="885"/>
      <c r="EQ851" s="885"/>
      <c r="ER851" s="885"/>
      <c r="ES851" s="885"/>
      <c r="ET851" s="885"/>
      <c r="EU851" s="885"/>
      <c r="EV851" s="885"/>
      <c r="EW851" s="885"/>
      <c r="EX851" s="885"/>
      <c r="EY851" s="885"/>
      <c r="EZ851" s="885"/>
      <c r="FA851" s="885"/>
      <c r="FB851" s="885"/>
      <c r="FC851" s="885"/>
      <c r="FD851" s="885"/>
      <c r="FE851" s="885"/>
      <c r="FF851" s="885"/>
      <c r="FG851" s="885"/>
      <c r="FH851" s="885"/>
      <c r="FI851" s="885"/>
      <c r="FJ851" s="885"/>
      <c r="FK851" s="885"/>
      <c r="FL851" s="885"/>
      <c r="FM851" s="885"/>
      <c r="FN851" s="885"/>
      <c r="FO851" s="885"/>
      <c r="FP851" s="885"/>
      <c r="FQ851" s="885"/>
      <c r="FR851" s="885"/>
      <c r="FS851" s="885"/>
      <c r="FT851" s="885"/>
      <c r="FU851" s="885"/>
      <c r="FV851" s="885"/>
      <c r="FW851" s="885"/>
      <c r="FX851" s="885"/>
      <c r="FY851" s="885"/>
      <c r="FZ851" s="885"/>
      <c r="GA851" s="885"/>
      <c r="GB851" s="885"/>
      <c r="GC851" s="885"/>
      <c r="GD851" s="885"/>
      <c r="GE851" s="885"/>
      <c r="GF851" s="885"/>
      <c r="GG851" s="885"/>
      <c r="GH851" s="885"/>
      <c r="GI851" s="885"/>
      <c r="GJ851" s="885"/>
      <c r="GK851" s="885"/>
      <c r="GL851" s="885"/>
      <c r="GM851" s="885"/>
      <c r="GN851" s="885"/>
      <c r="GO851" s="885"/>
      <c r="GP851" s="885"/>
      <c r="GQ851" s="885"/>
      <c r="GR851" s="885"/>
      <c r="GS851" s="885"/>
      <c r="GT851" s="885"/>
      <c r="GU851" s="885"/>
      <c r="GV851" s="885"/>
      <c r="GW851" s="885"/>
      <c r="GX851" s="885"/>
      <c r="GY851" s="885"/>
      <c r="GZ851" s="885"/>
      <c r="HA851" s="885"/>
      <c r="HB851" s="885"/>
      <c r="HC851" s="885"/>
      <c r="HD851" s="885"/>
      <c r="HE851" s="885"/>
      <c r="HF851" s="885"/>
      <c r="HG851" s="885"/>
      <c r="HH851" s="885"/>
      <c r="HI851" s="885"/>
      <c r="HJ851" s="885"/>
      <c r="HK851" s="885"/>
      <c r="HL851" s="885"/>
      <c r="HM851" s="885"/>
      <c r="HN851" s="885"/>
      <c r="HO851" s="885"/>
      <c r="HP851" s="885"/>
      <c r="HQ851" s="885"/>
      <c r="HR851" s="885"/>
      <c r="HS851" s="885"/>
      <c r="HT851" s="885"/>
      <c r="HU851" s="885"/>
      <c r="HV851" s="885"/>
      <c r="HW851" s="885"/>
      <c r="HX851" s="885"/>
      <c r="HY851" s="885"/>
      <c r="HZ851" s="885"/>
      <c r="IA851" s="885"/>
      <c r="IB851" s="885"/>
      <c r="IC851" s="885"/>
      <c r="ID851" s="885"/>
      <c r="IE851" s="885"/>
      <c r="IF851" s="885"/>
      <c r="IG851" s="885"/>
      <c r="IH851" s="885"/>
      <c r="II851" s="885"/>
      <c r="IJ851" s="885"/>
      <c r="IK851" s="885"/>
      <c r="IL851" s="885"/>
      <c r="IM851" s="885"/>
      <c r="IN851" s="885"/>
      <c r="IO851" s="885"/>
      <c r="IP851" s="885"/>
      <c r="IQ851" s="885"/>
      <c r="IR851" s="885"/>
      <c r="IS851" s="885"/>
      <c r="IT851" s="885"/>
      <c r="IU851" s="885"/>
      <c r="IV851" s="885"/>
      <c r="IW851" s="885"/>
      <c r="IX851" s="885"/>
    </row>
    <row r="852" spans="1:258" s="130" customFormat="1" x14ac:dyDescent="0.25">
      <c r="A852" s="125">
        <f t="shared" si="104"/>
        <v>812</v>
      </c>
      <c r="B852" s="885"/>
      <c r="C852" s="842" t="s">
        <v>10520</v>
      </c>
      <c r="D852" s="924">
        <v>3180</v>
      </c>
      <c r="E852" s="906">
        <f t="shared" si="109"/>
        <v>4770</v>
      </c>
      <c r="F852" s="136">
        <f>E852</f>
        <v>4770</v>
      </c>
      <c r="G852" s="122" t="s">
        <v>1963</v>
      </c>
      <c r="H852" s="885"/>
      <c r="I852" s="885"/>
      <c r="J852" s="885"/>
      <c r="K852" s="885"/>
      <c r="L852" s="885"/>
      <c r="M852" s="885"/>
      <c r="N852" s="885"/>
      <c r="O852" s="885"/>
      <c r="P852" s="885"/>
      <c r="Q852" s="885"/>
      <c r="R852" s="885"/>
      <c r="S852" s="885"/>
      <c r="T852" s="885"/>
      <c r="U852" s="885"/>
      <c r="V852" s="885"/>
      <c r="W852" s="885"/>
      <c r="X852" s="885"/>
      <c r="Y852" s="885"/>
      <c r="Z852" s="885"/>
      <c r="AA852" s="885"/>
      <c r="AB852" s="885"/>
      <c r="AC852" s="885"/>
      <c r="AD852" s="885"/>
      <c r="AE852" s="885"/>
      <c r="AF852" s="885"/>
      <c r="AG852" s="885"/>
      <c r="AH852" s="885"/>
      <c r="AI852" s="885"/>
      <c r="AJ852" s="885"/>
      <c r="AK852" s="885"/>
      <c r="AL852" s="885"/>
      <c r="AM852" s="885"/>
      <c r="AN852" s="885"/>
      <c r="AO852" s="885"/>
      <c r="AP852" s="885"/>
      <c r="AQ852" s="885"/>
      <c r="AR852" s="885"/>
      <c r="AS852" s="885"/>
      <c r="AT852" s="885"/>
      <c r="AU852" s="885"/>
      <c r="AV852" s="885"/>
      <c r="AW852" s="885"/>
      <c r="AX852" s="885"/>
      <c r="AY852" s="885"/>
      <c r="AZ852" s="885"/>
      <c r="BA852" s="885"/>
      <c r="BB852" s="885"/>
      <c r="BC852" s="885"/>
      <c r="BD852" s="885"/>
      <c r="BE852" s="885"/>
      <c r="BF852" s="885"/>
      <c r="BG852" s="885"/>
      <c r="BH852" s="885"/>
      <c r="BI852" s="885"/>
      <c r="BJ852" s="885"/>
      <c r="BK852" s="885"/>
      <c r="BL852" s="885"/>
      <c r="BM852" s="885"/>
      <c r="BN852" s="885"/>
      <c r="BO852" s="885"/>
      <c r="BP852" s="885"/>
      <c r="BQ852" s="885"/>
      <c r="BR852" s="885"/>
      <c r="BS852" s="885"/>
      <c r="BT852" s="885"/>
      <c r="BU852" s="885"/>
      <c r="BV852" s="885"/>
      <c r="BW852" s="885"/>
      <c r="BX852" s="885"/>
      <c r="BY852" s="885"/>
      <c r="BZ852" s="885"/>
      <c r="CA852" s="885"/>
      <c r="CB852" s="885"/>
      <c r="CC852" s="885"/>
      <c r="CD852" s="885"/>
      <c r="CE852" s="885"/>
      <c r="CF852" s="885"/>
      <c r="CG852" s="885"/>
      <c r="CH852" s="885"/>
      <c r="CI852" s="885"/>
      <c r="CJ852" s="885"/>
      <c r="CK852" s="885"/>
      <c r="CL852" s="885"/>
      <c r="CM852" s="885"/>
      <c r="CN852" s="885"/>
      <c r="CO852" s="885"/>
      <c r="CP852" s="885"/>
      <c r="CQ852" s="885"/>
      <c r="CR852" s="885"/>
      <c r="CS852" s="885"/>
      <c r="CT852" s="885"/>
      <c r="CU852" s="885"/>
      <c r="CV852" s="885"/>
      <c r="CW852" s="885"/>
      <c r="CX852" s="885"/>
      <c r="CY852" s="885"/>
      <c r="CZ852" s="885"/>
      <c r="DA852" s="885"/>
      <c r="DB852" s="885"/>
      <c r="DC852" s="885"/>
      <c r="DD852" s="885"/>
      <c r="DE852" s="885"/>
      <c r="DF852" s="885"/>
      <c r="DG852" s="885"/>
      <c r="DH852" s="885"/>
      <c r="DI852" s="885"/>
      <c r="DJ852" s="885"/>
      <c r="DK852" s="885"/>
      <c r="DL852" s="885"/>
      <c r="DM852" s="885"/>
      <c r="DN852" s="885"/>
      <c r="DO852" s="885"/>
      <c r="DP852" s="885"/>
      <c r="DQ852" s="885"/>
      <c r="DR852" s="885"/>
      <c r="DS852" s="885"/>
      <c r="DT852" s="885"/>
      <c r="DU852" s="885"/>
      <c r="DV852" s="885"/>
      <c r="DW852" s="885"/>
      <c r="DX852" s="885"/>
      <c r="DY852" s="885"/>
      <c r="DZ852" s="885"/>
      <c r="EA852" s="885"/>
      <c r="EB852" s="885"/>
      <c r="EC852" s="885"/>
      <c r="ED852" s="885"/>
      <c r="EE852" s="885"/>
      <c r="EF852" s="885"/>
      <c r="EG852" s="885"/>
      <c r="EH852" s="885"/>
      <c r="EI852" s="885"/>
      <c r="EJ852" s="885"/>
      <c r="EK852" s="885"/>
      <c r="EL852" s="885"/>
      <c r="EM852" s="885"/>
      <c r="EN852" s="885"/>
      <c r="EO852" s="885"/>
      <c r="EP852" s="885"/>
      <c r="EQ852" s="885"/>
      <c r="ER852" s="885"/>
      <c r="ES852" s="885"/>
      <c r="ET852" s="885"/>
      <c r="EU852" s="885"/>
      <c r="EV852" s="885"/>
      <c r="EW852" s="885"/>
      <c r="EX852" s="885"/>
      <c r="EY852" s="885"/>
      <c r="EZ852" s="885"/>
      <c r="FA852" s="885"/>
      <c r="FB852" s="885"/>
      <c r="FC852" s="885"/>
      <c r="FD852" s="885"/>
      <c r="FE852" s="885"/>
      <c r="FF852" s="885"/>
      <c r="FG852" s="885"/>
      <c r="FH852" s="885"/>
      <c r="FI852" s="885"/>
      <c r="FJ852" s="885"/>
      <c r="FK852" s="885"/>
      <c r="FL852" s="885"/>
      <c r="FM852" s="885"/>
      <c r="FN852" s="885"/>
      <c r="FO852" s="885"/>
      <c r="FP852" s="885"/>
      <c r="FQ852" s="885"/>
      <c r="FR852" s="885"/>
      <c r="FS852" s="885"/>
      <c r="FT852" s="885"/>
      <c r="FU852" s="885"/>
      <c r="FV852" s="885"/>
      <c r="FW852" s="885"/>
      <c r="FX852" s="885"/>
      <c r="FY852" s="885"/>
      <c r="FZ852" s="885"/>
      <c r="GA852" s="885"/>
      <c r="GB852" s="885"/>
      <c r="GC852" s="885"/>
      <c r="GD852" s="885"/>
      <c r="GE852" s="885"/>
      <c r="GF852" s="885"/>
      <c r="GG852" s="885"/>
      <c r="GH852" s="885"/>
      <c r="GI852" s="885"/>
      <c r="GJ852" s="885"/>
      <c r="GK852" s="885"/>
      <c r="GL852" s="885"/>
      <c r="GM852" s="885"/>
      <c r="GN852" s="885"/>
      <c r="GO852" s="885"/>
      <c r="GP852" s="885"/>
      <c r="GQ852" s="885"/>
      <c r="GR852" s="885"/>
      <c r="GS852" s="885"/>
      <c r="GT852" s="885"/>
      <c r="GU852" s="885"/>
      <c r="GV852" s="885"/>
      <c r="GW852" s="885"/>
      <c r="GX852" s="885"/>
      <c r="GY852" s="885"/>
      <c r="GZ852" s="885"/>
      <c r="HA852" s="885"/>
      <c r="HB852" s="885"/>
      <c r="HC852" s="885"/>
      <c r="HD852" s="885"/>
      <c r="HE852" s="885"/>
      <c r="HF852" s="885"/>
      <c r="HG852" s="885"/>
      <c r="HH852" s="885"/>
      <c r="HI852" s="885"/>
      <c r="HJ852" s="885"/>
      <c r="HK852" s="885"/>
      <c r="HL852" s="885"/>
      <c r="HM852" s="885"/>
      <c r="HN852" s="885"/>
      <c r="HO852" s="885"/>
      <c r="HP852" s="885"/>
      <c r="HQ852" s="885"/>
      <c r="HR852" s="885"/>
      <c r="HS852" s="885"/>
      <c r="HT852" s="885"/>
      <c r="HU852" s="885"/>
      <c r="HV852" s="885"/>
      <c r="HW852" s="885"/>
      <c r="HX852" s="885"/>
      <c r="HY852" s="885"/>
      <c r="HZ852" s="885"/>
      <c r="IA852" s="885"/>
      <c r="IB852" s="885"/>
      <c r="IC852" s="885"/>
      <c r="ID852" s="885"/>
      <c r="IE852" s="885"/>
      <c r="IF852" s="885"/>
      <c r="IG852" s="885"/>
      <c r="IH852" s="885"/>
      <c r="II852" s="885"/>
      <c r="IJ852" s="885"/>
      <c r="IK852" s="885"/>
      <c r="IL852" s="885"/>
      <c r="IM852" s="885"/>
      <c r="IN852" s="885"/>
      <c r="IO852" s="885"/>
      <c r="IP852" s="885"/>
      <c r="IQ852" s="885"/>
      <c r="IR852" s="885"/>
      <c r="IS852" s="885"/>
      <c r="IT852" s="885"/>
      <c r="IU852" s="885"/>
      <c r="IV852" s="885"/>
      <c r="IW852" s="885"/>
      <c r="IX852" s="885"/>
    </row>
    <row r="853" spans="1:258" s="130" customFormat="1" x14ac:dyDescent="0.25">
      <c r="A853" s="125">
        <f t="shared" si="104"/>
        <v>813</v>
      </c>
      <c r="B853" s="885"/>
      <c r="C853" s="842" t="s">
        <v>10498</v>
      </c>
      <c r="D853" s="924">
        <v>0</v>
      </c>
      <c r="E853" s="906">
        <f t="shared" si="109"/>
        <v>0</v>
      </c>
      <c r="F853" s="136">
        <v>1</v>
      </c>
      <c r="G853" s="122" t="s">
        <v>1963</v>
      </c>
      <c r="H853" s="885"/>
      <c r="I853" s="885"/>
      <c r="J853" s="885"/>
      <c r="K853" s="885"/>
      <c r="L853" s="885"/>
      <c r="M853" s="885"/>
      <c r="N853" s="885"/>
      <c r="O853" s="885"/>
      <c r="P853" s="885"/>
      <c r="Q853" s="885"/>
      <c r="R853" s="885"/>
      <c r="S853" s="885"/>
      <c r="T853" s="885"/>
      <c r="U853" s="885"/>
      <c r="V853" s="885"/>
      <c r="W853" s="885"/>
      <c r="X853" s="885"/>
      <c r="Y853" s="885"/>
      <c r="Z853" s="885"/>
      <c r="AA853" s="885"/>
      <c r="AB853" s="885"/>
      <c r="AC853" s="885"/>
      <c r="AD853" s="885"/>
      <c r="AE853" s="885"/>
      <c r="AF853" s="885"/>
      <c r="AG853" s="885"/>
      <c r="AH853" s="885"/>
      <c r="AI853" s="885"/>
      <c r="AJ853" s="885"/>
      <c r="AK853" s="885"/>
      <c r="AL853" s="885"/>
      <c r="AM853" s="885"/>
      <c r="AN853" s="885"/>
      <c r="AO853" s="885"/>
      <c r="AP853" s="885"/>
      <c r="AQ853" s="885"/>
      <c r="AR853" s="885"/>
      <c r="AS853" s="885"/>
      <c r="AT853" s="885"/>
      <c r="AU853" s="885"/>
      <c r="AV853" s="885"/>
      <c r="AW853" s="885"/>
      <c r="AX853" s="885"/>
      <c r="AY853" s="885"/>
      <c r="AZ853" s="885"/>
      <c r="BA853" s="885"/>
      <c r="BB853" s="885"/>
      <c r="BC853" s="885"/>
      <c r="BD853" s="885"/>
      <c r="BE853" s="885"/>
      <c r="BF853" s="885"/>
      <c r="BG853" s="885"/>
      <c r="BH853" s="885"/>
      <c r="BI853" s="885"/>
      <c r="BJ853" s="885"/>
      <c r="BK853" s="885"/>
      <c r="BL853" s="885"/>
      <c r="BM853" s="885"/>
      <c r="BN853" s="885"/>
      <c r="BO853" s="885"/>
      <c r="BP853" s="885"/>
      <c r="BQ853" s="885"/>
      <c r="BR853" s="885"/>
      <c r="BS853" s="885"/>
      <c r="BT853" s="885"/>
      <c r="BU853" s="885"/>
      <c r="BV853" s="885"/>
      <c r="BW853" s="885"/>
      <c r="BX853" s="885"/>
      <c r="BY853" s="885"/>
      <c r="BZ853" s="885"/>
      <c r="CA853" s="885"/>
      <c r="CB853" s="885"/>
      <c r="CC853" s="885"/>
      <c r="CD853" s="885"/>
      <c r="CE853" s="885"/>
      <c r="CF853" s="885"/>
      <c r="CG853" s="885"/>
      <c r="CH853" s="885"/>
      <c r="CI853" s="885"/>
      <c r="CJ853" s="885"/>
      <c r="CK853" s="885"/>
      <c r="CL853" s="885"/>
      <c r="CM853" s="885"/>
      <c r="CN853" s="885"/>
      <c r="CO853" s="885"/>
      <c r="CP853" s="885"/>
      <c r="CQ853" s="885"/>
      <c r="CR853" s="885"/>
      <c r="CS853" s="885"/>
      <c r="CT853" s="885"/>
      <c r="CU853" s="885"/>
      <c r="CV853" s="885"/>
      <c r="CW853" s="885"/>
      <c r="CX853" s="885"/>
      <c r="CY853" s="885"/>
      <c r="CZ853" s="885"/>
      <c r="DA853" s="885"/>
      <c r="DB853" s="885"/>
      <c r="DC853" s="885"/>
      <c r="DD853" s="885"/>
      <c r="DE853" s="885"/>
      <c r="DF853" s="885"/>
      <c r="DG853" s="885"/>
      <c r="DH853" s="885"/>
      <c r="DI853" s="885"/>
      <c r="DJ853" s="885"/>
      <c r="DK853" s="885"/>
      <c r="DL853" s="885"/>
      <c r="DM853" s="885"/>
      <c r="DN853" s="885"/>
      <c r="DO853" s="885"/>
      <c r="DP853" s="885"/>
      <c r="DQ853" s="885"/>
      <c r="DR853" s="885"/>
      <c r="DS853" s="885"/>
      <c r="DT853" s="885"/>
      <c r="DU853" s="885"/>
      <c r="DV853" s="885"/>
      <c r="DW853" s="885"/>
      <c r="DX853" s="885"/>
      <c r="DY853" s="885"/>
      <c r="DZ853" s="885"/>
      <c r="EA853" s="885"/>
      <c r="EB853" s="885"/>
      <c r="EC853" s="885"/>
      <c r="ED853" s="885"/>
      <c r="EE853" s="885"/>
      <c r="EF853" s="885"/>
      <c r="EG853" s="885"/>
      <c r="EH853" s="885"/>
      <c r="EI853" s="885"/>
      <c r="EJ853" s="885"/>
      <c r="EK853" s="885"/>
      <c r="EL853" s="885"/>
      <c r="EM853" s="885"/>
      <c r="EN853" s="885"/>
      <c r="EO853" s="885"/>
      <c r="EP853" s="885"/>
      <c r="EQ853" s="885"/>
      <c r="ER853" s="885"/>
      <c r="ES853" s="885"/>
      <c r="ET853" s="885"/>
      <c r="EU853" s="885"/>
      <c r="EV853" s="885"/>
      <c r="EW853" s="885"/>
      <c r="EX853" s="885"/>
      <c r="EY853" s="885"/>
      <c r="EZ853" s="885"/>
      <c r="FA853" s="885"/>
      <c r="FB853" s="885"/>
      <c r="FC853" s="885"/>
      <c r="FD853" s="885"/>
      <c r="FE853" s="885"/>
      <c r="FF853" s="885"/>
      <c r="FG853" s="885"/>
      <c r="FH853" s="885"/>
      <c r="FI853" s="885"/>
      <c r="FJ853" s="885"/>
      <c r="FK853" s="885"/>
      <c r="FL853" s="885"/>
      <c r="FM853" s="885"/>
      <c r="FN853" s="885"/>
      <c r="FO853" s="885"/>
      <c r="FP853" s="885"/>
      <c r="FQ853" s="885"/>
      <c r="FR853" s="885"/>
      <c r="FS853" s="885"/>
      <c r="FT853" s="885"/>
      <c r="FU853" s="885"/>
      <c r="FV853" s="885"/>
      <c r="FW853" s="885"/>
      <c r="FX853" s="885"/>
      <c r="FY853" s="885"/>
      <c r="FZ853" s="885"/>
      <c r="GA853" s="885"/>
      <c r="GB853" s="885"/>
      <c r="GC853" s="885"/>
      <c r="GD853" s="885"/>
      <c r="GE853" s="885"/>
      <c r="GF853" s="885"/>
      <c r="GG853" s="885"/>
      <c r="GH853" s="885"/>
      <c r="GI853" s="885"/>
      <c r="GJ853" s="885"/>
      <c r="GK853" s="885"/>
      <c r="GL853" s="885"/>
      <c r="GM853" s="885"/>
      <c r="GN853" s="885"/>
      <c r="GO853" s="885"/>
      <c r="GP853" s="885"/>
      <c r="GQ853" s="885"/>
      <c r="GR853" s="885"/>
      <c r="GS853" s="885"/>
      <c r="GT853" s="885"/>
      <c r="GU853" s="885"/>
      <c r="GV853" s="885"/>
      <c r="GW853" s="885"/>
      <c r="GX853" s="885"/>
      <c r="GY853" s="885"/>
      <c r="GZ853" s="885"/>
      <c r="HA853" s="885"/>
      <c r="HB853" s="885"/>
      <c r="HC853" s="885"/>
      <c r="HD853" s="885"/>
      <c r="HE853" s="885"/>
      <c r="HF853" s="885"/>
      <c r="HG853" s="885"/>
      <c r="HH853" s="885"/>
      <c r="HI853" s="885"/>
      <c r="HJ853" s="885"/>
      <c r="HK853" s="885"/>
      <c r="HL853" s="885"/>
      <c r="HM853" s="885"/>
      <c r="HN853" s="885"/>
      <c r="HO853" s="885"/>
      <c r="HP853" s="885"/>
      <c r="HQ853" s="885"/>
      <c r="HR853" s="885"/>
      <c r="HS853" s="885"/>
      <c r="HT853" s="885"/>
      <c r="HU853" s="885"/>
      <c r="HV853" s="885"/>
      <c r="HW853" s="885"/>
      <c r="HX853" s="885"/>
      <c r="HY853" s="885"/>
      <c r="HZ853" s="885"/>
      <c r="IA853" s="885"/>
      <c r="IB853" s="885"/>
      <c r="IC853" s="885"/>
      <c r="ID853" s="885"/>
      <c r="IE853" s="885"/>
      <c r="IF853" s="885"/>
      <c r="IG853" s="885"/>
      <c r="IH853" s="885"/>
      <c r="II853" s="885"/>
      <c r="IJ853" s="885"/>
      <c r="IK853" s="885"/>
      <c r="IL853" s="885"/>
      <c r="IM853" s="885"/>
      <c r="IN853" s="885"/>
      <c r="IO853" s="885"/>
      <c r="IP853" s="885"/>
      <c r="IQ853" s="885"/>
      <c r="IR853" s="885"/>
      <c r="IS853" s="885"/>
      <c r="IT853" s="885"/>
      <c r="IU853" s="885"/>
      <c r="IV853" s="885"/>
      <c r="IW853" s="885"/>
      <c r="IX853" s="885"/>
    </row>
    <row r="854" spans="1:258" s="130" customFormat="1" x14ac:dyDescent="0.25">
      <c r="A854" s="125">
        <f t="shared" si="104"/>
        <v>814</v>
      </c>
      <c r="B854" s="885"/>
      <c r="C854" s="842" t="s">
        <v>10497</v>
      </c>
      <c r="D854" s="924">
        <v>0</v>
      </c>
      <c r="E854" s="906">
        <f t="shared" si="109"/>
        <v>0</v>
      </c>
      <c r="F854" s="136">
        <v>1</v>
      </c>
      <c r="G854" s="122" t="s">
        <v>1963</v>
      </c>
      <c r="H854" s="885"/>
      <c r="I854" s="885"/>
      <c r="J854" s="885"/>
      <c r="K854" s="885"/>
      <c r="L854" s="885"/>
      <c r="M854" s="885"/>
      <c r="N854" s="885"/>
      <c r="O854" s="885"/>
      <c r="P854" s="885"/>
      <c r="Q854" s="885"/>
      <c r="R854" s="885"/>
      <c r="S854" s="885"/>
      <c r="T854" s="885"/>
      <c r="U854" s="885"/>
      <c r="V854" s="885"/>
      <c r="W854" s="885"/>
      <c r="X854" s="885"/>
      <c r="Y854" s="885"/>
      <c r="Z854" s="885"/>
      <c r="AA854" s="885"/>
      <c r="AB854" s="885"/>
      <c r="AC854" s="885"/>
      <c r="AD854" s="885"/>
      <c r="AE854" s="885"/>
      <c r="AF854" s="885"/>
      <c r="AG854" s="885"/>
      <c r="AH854" s="885"/>
      <c r="AI854" s="885"/>
      <c r="AJ854" s="885"/>
      <c r="AK854" s="885"/>
      <c r="AL854" s="885"/>
      <c r="AM854" s="885"/>
      <c r="AN854" s="885"/>
      <c r="AO854" s="885"/>
      <c r="AP854" s="885"/>
      <c r="AQ854" s="885"/>
      <c r="AR854" s="885"/>
      <c r="AS854" s="885"/>
      <c r="AT854" s="885"/>
      <c r="AU854" s="885"/>
      <c r="AV854" s="885"/>
      <c r="AW854" s="885"/>
      <c r="AX854" s="885"/>
      <c r="AY854" s="885"/>
      <c r="AZ854" s="885"/>
      <c r="BA854" s="885"/>
      <c r="BB854" s="885"/>
      <c r="BC854" s="885"/>
      <c r="BD854" s="885"/>
      <c r="BE854" s="885"/>
      <c r="BF854" s="885"/>
      <c r="BG854" s="885"/>
      <c r="BH854" s="885"/>
      <c r="BI854" s="885"/>
      <c r="BJ854" s="885"/>
      <c r="BK854" s="885"/>
      <c r="BL854" s="885"/>
      <c r="BM854" s="885"/>
      <c r="BN854" s="885"/>
      <c r="BO854" s="885"/>
      <c r="BP854" s="885"/>
      <c r="BQ854" s="885"/>
      <c r="BR854" s="885"/>
      <c r="BS854" s="885"/>
      <c r="BT854" s="885"/>
      <c r="BU854" s="885"/>
      <c r="BV854" s="885"/>
      <c r="BW854" s="885"/>
      <c r="BX854" s="885"/>
      <c r="BY854" s="885"/>
      <c r="BZ854" s="885"/>
      <c r="CA854" s="885"/>
      <c r="CB854" s="885"/>
      <c r="CC854" s="885"/>
      <c r="CD854" s="885"/>
      <c r="CE854" s="885"/>
      <c r="CF854" s="885"/>
      <c r="CG854" s="885"/>
      <c r="CH854" s="885"/>
      <c r="CI854" s="885"/>
      <c r="CJ854" s="885"/>
      <c r="CK854" s="885"/>
      <c r="CL854" s="885"/>
      <c r="CM854" s="885"/>
      <c r="CN854" s="885"/>
      <c r="CO854" s="885"/>
      <c r="CP854" s="885"/>
      <c r="CQ854" s="885"/>
      <c r="CR854" s="885"/>
      <c r="CS854" s="885"/>
      <c r="CT854" s="885"/>
      <c r="CU854" s="885"/>
      <c r="CV854" s="885"/>
      <c r="CW854" s="885"/>
      <c r="CX854" s="885"/>
      <c r="CY854" s="885"/>
      <c r="CZ854" s="885"/>
      <c r="DA854" s="885"/>
      <c r="DB854" s="885"/>
      <c r="DC854" s="885"/>
      <c r="DD854" s="885"/>
      <c r="DE854" s="885"/>
      <c r="DF854" s="885"/>
      <c r="DG854" s="885"/>
      <c r="DH854" s="885"/>
      <c r="DI854" s="885"/>
      <c r="DJ854" s="885"/>
      <c r="DK854" s="885"/>
      <c r="DL854" s="885"/>
      <c r="DM854" s="885"/>
      <c r="DN854" s="885"/>
      <c r="DO854" s="885"/>
      <c r="DP854" s="885"/>
      <c r="DQ854" s="885"/>
      <c r="DR854" s="885"/>
      <c r="DS854" s="885"/>
      <c r="DT854" s="885"/>
      <c r="DU854" s="885"/>
      <c r="DV854" s="885"/>
      <c r="DW854" s="885"/>
      <c r="DX854" s="885"/>
      <c r="DY854" s="885"/>
      <c r="DZ854" s="885"/>
      <c r="EA854" s="885"/>
      <c r="EB854" s="885"/>
      <c r="EC854" s="885"/>
      <c r="ED854" s="885"/>
      <c r="EE854" s="885"/>
      <c r="EF854" s="885"/>
      <c r="EG854" s="885"/>
      <c r="EH854" s="885"/>
      <c r="EI854" s="885"/>
      <c r="EJ854" s="885"/>
      <c r="EK854" s="885"/>
      <c r="EL854" s="885"/>
      <c r="EM854" s="885"/>
      <c r="EN854" s="885"/>
      <c r="EO854" s="885"/>
      <c r="EP854" s="885"/>
      <c r="EQ854" s="885"/>
      <c r="ER854" s="885"/>
      <c r="ES854" s="885"/>
      <c r="ET854" s="885"/>
      <c r="EU854" s="885"/>
      <c r="EV854" s="885"/>
      <c r="EW854" s="885"/>
      <c r="EX854" s="885"/>
      <c r="EY854" s="885"/>
      <c r="EZ854" s="885"/>
      <c r="FA854" s="885"/>
      <c r="FB854" s="885"/>
      <c r="FC854" s="885"/>
      <c r="FD854" s="885"/>
      <c r="FE854" s="885"/>
      <c r="FF854" s="885"/>
      <c r="FG854" s="885"/>
      <c r="FH854" s="885"/>
      <c r="FI854" s="885"/>
      <c r="FJ854" s="885"/>
      <c r="FK854" s="885"/>
      <c r="FL854" s="885"/>
      <c r="FM854" s="885"/>
      <c r="FN854" s="885"/>
      <c r="FO854" s="885"/>
      <c r="FP854" s="885"/>
      <c r="FQ854" s="885"/>
      <c r="FR854" s="885"/>
      <c r="FS854" s="885"/>
      <c r="FT854" s="885"/>
      <c r="FU854" s="885"/>
      <c r="FV854" s="885"/>
      <c r="FW854" s="885"/>
      <c r="FX854" s="885"/>
      <c r="FY854" s="885"/>
      <c r="FZ854" s="885"/>
      <c r="GA854" s="885"/>
      <c r="GB854" s="885"/>
      <c r="GC854" s="885"/>
      <c r="GD854" s="885"/>
      <c r="GE854" s="885"/>
      <c r="GF854" s="885"/>
      <c r="GG854" s="885"/>
      <c r="GH854" s="885"/>
      <c r="GI854" s="885"/>
      <c r="GJ854" s="885"/>
      <c r="GK854" s="885"/>
      <c r="GL854" s="885"/>
      <c r="GM854" s="885"/>
      <c r="GN854" s="885"/>
      <c r="GO854" s="885"/>
      <c r="GP854" s="885"/>
      <c r="GQ854" s="885"/>
      <c r="GR854" s="885"/>
      <c r="GS854" s="885"/>
      <c r="GT854" s="885"/>
      <c r="GU854" s="885"/>
      <c r="GV854" s="885"/>
      <c r="GW854" s="885"/>
      <c r="GX854" s="885"/>
      <c r="GY854" s="885"/>
      <c r="GZ854" s="885"/>
      <c r="HA854" s="885"/>
      <c r="HB854" s="885"/>
      <c r="HC854" s="885"/>
      <c r="HD854" s="885"/>
      <c r="HE854" s="885"/>
      <c r="HF854" s="885"/>
      <c r="HG854" s="885"/>
      <c r="HH854" s="885"/>
      <c r="HI854" s="885"/>
      <c r="HJ854" s="885"/>
      <c r="HK854" s="885"/>
      <c r="HL854" s="885"/>
      <c r="HM854" s="885"/>
      <c r="HN854" s="885"/>
      <c r="HO854" s="885"/>
      <c r="HP854" s="885"/>
      <c r="HQ854" s="885"/>
      <c r="HR854" s="885"/>
      <c r="HS854" s="885"/>
      <c r="HT854" s="885"/>
      <c r="HU854" s="885"/>
      <c r="HV854" s="885"/>
      <c r="HW854" s="885"/>
      <c r="HX854" s="885"/>
      <c r="HY854" s="885"/>
      <c r="HZ854" s="885"/>
      <c r="IA854" s="885"/>
      <c r="IB854" s="885"/>
      <c r="IC854" s="885"/>
      <c r="ID854" s="885"/>
      <c r="IE854" s="885"/>
      <c r="IF854" s="885"/>
      <c r="IG854" s="885"/>
      <c r="IH854" s="885"/>
      <c r="II854" s="885"/>
      <c r="IJ854" s="885"/>
      <c r="IK854" s="885"/>
      <c r="IL854" s="885"/>
      <c r="IM854" s="885"/>
      <c r="IN854" s="885"/>
      <c r="IO854" s="885"/>
      <c r="IP854" s="885"/>
      <c r="IQ854" s="885"/>
      <c r="IR854" s="885"/>
      <c r="IS854" s="885"/>
      <c r="IT854" s="885"/>
      <c r="IU854" s="885"/>
      <c r="IV854" s="885"/>
      <c r="IW854" s="885"/>
      <c r="IX854" s="885"/>
    </row>
    <row r="855" spans="1:258" s="130" customFormat="1" x14ac:dyDescent="0.25">
      <c r="A855" s="125">
        <f t="shared" si="104"/>
        <v>815</v>
      </c>
      <c r="B855" s="885"/>
      <c r="C855" s="842" t="s">
        <v>10496</v>
      </c>
      <c r="D855" s="924">
        <v>135.35</v>
      </c>
      <c r="E855" s="906">
        <f t="shared" si="109"/>
        <v>203.02499999999998</v>
      </c>
      <c r="F855" s="136">
        <f>E855</f>
        <v>203.02499999999998</v>
      </c>
      <c r="G855" s="122" t="s">
        <v>1963</v>
      </c>
      <c r="H855" s="885"/>
      <c r="I855" s="885"/>
      <c r="J855" s="885"/>
      <c r="K855" s="885"/>
      <c r="L855" s="885"/>
      <c r="M855" s="885"/>
      <c r="N855" s="885"/>
      <c r="O855" s="885"/>
      <c r="P855" s="885"/>
      <c r="Q855" s="885"/>
      <c r="R855" s="885"/>
      <c r="S855" s="885"/>
      <c r="T855" s="885"/>
      <c r="U855" s="885"/>
      <c r="V855" s="885"/>
      <c r="W855" s="885"/>
      <c r="X855" s="885"/>
      <c r="Y855" s="885"/>
      <c r="Z855" s="885"/>
      <c r="AA855" s="885"/>
      <c r="AB855" s="885"/>
      <c r="AC855" s="885"/>
      <c r="AD855" s="885"/>
      <c r="AE855" s="885"/>
      <c r="AF855" s="885"/>
      <c r="AG855" s="885"/>
      <c r="AH855" s="885"/>
      <c r="AI855" s="885"/>
      <c r="AJ855" s="885"/>
      <c r="AK855" s="885"/>
      <c r="AL855" s="885"/>
      <c r="AM855" s="885"/>
      <c r="AN855" s="885"/>
      <c r="AO855" s="885"/>
      <c r="AP855" s="885"/>
      <c r="AQ855" s="885"/>
      <c r="AR855" s="885"/>
      <c r="AS855" s="885"/>
      <c r="AT855" s="885"/>
      <c r="AU855" s="885"/>
      <c r="AV855" s="885"/>
      <c r="AW855" s="885"/>
      <c r="AX855" s="885"/>
      <c r="AY855" s="885"/>
      <c r="AZ855" s="885"/>
      <c r="BA855" s="885"/>
      <c r="BB855" s="885"/>
      <c r="BC855" s="885"/>
      <c r="BD855" s="885"/>
      <c r="BE855" s="885"/>
      <c r="BF855" s="885"/>
      <c r="BG855" s="885"/>
      <c r="BH855" s="885"/>
      <c r="BI855" s="885"/>
      <c r="BJ855" s="885"/>
      <c r="BK855" s="885"/>
      <c r="BL855" s="885"/>
      <c r="BM855" s="885"/>
      <c r="BN855" s="885"/>
      <c r="BO855" s="885"/>
      <c r="BP855" s="885"/>
      <c r="BQ855" s="885"/>
      <c r="BR855" s="885"/>
      <c r="BS855" s="885"/>
      <c r="BT855" s="885"/>
      <c r="BU855" s="885"/>
      <c r="BV855" s="885"/>
      <c r="BW855" s="885"/>
      <c r="BX855" s="885"/>
      <c r="BY855" s="885"/>
      <c r="BZ855" s="885"/>
      <c r="CA855" s="885"/>
      <c r="CB855" s="885"/>
      <c r="CC855" s="885"/>
      <c r="CD855" s="885"/>
      <c r="CE855" s="885"/>
      <c r="CF855" s="885"/>
      <c r="CG855" s="885"/>
      <c r="CH855" s="885"/>
      <c r="CI855" s="885"/>
      <c r="CJ855" s="885"/>
      <c r="CK855" s="885"/>
      <c r="CL855" s="885"/>
      <c r="CM855" s="885"/>
      <c r="CN855" s="885"/>
      <c r="CO855" s="885"/>
      <c r="CP855" s="885"/>
      <c r="CQ855" s="885"/>
      <c r="CR855" s="885"/>
      <c r="CS855" s="885"/>
      <c r="CT855" s="885"/>
      <c r="CU855" s="885"/>
      <c r="CV855" s="885"/>
      <c r="CW855" s="885"/>
      <c r="CX855" s="885"/>
      <c r="CY855" s="885"/>
      <c r="CZ855" s="885"/>
      <c r="DA855" s="885"/>
      <c r="DB855" s="885"/>
      <c r="DC855" s="885"/>
      <c r="DD855" s="885"/>
      <c r="DE855" s="885"/>
      <c r="DF855" s="885"/>
      <c r="DG855" s="885"/>
      <c r="DH855" s="885"/>
      <c r="DI855" s="885"/>
      <c r="DJ855" s="885"/>
      <c r="DK855" s="885"/>
      <c r="DL855" s="885"/>
      <c r="DM855" s="885"/>
      <c r="DN855" s="885"/>
      <c r="DO855" s="885"/>
      <c r="DP855" s="885"/>
      <c r="DQ855" s="885"/>
      <c r="DR855" s="885"/>
      <c r="DS855" s="885"/>
      <c r="DT855" s="885"/>
      <c r="DU855" s="885"/>
      <c r="DV855" s="885"/>
      <c r="DW855" s="885"/>
      <c r="DX855" s="885"/>
      <c r="DY855" s="885"/>
      <c r="DZ855" s="885"/>
      <c r="EA855" s="885"/>
      <c r="EB855" s="885"/>
      <c r="EC855" s="885"/>
      <c r="ED855" s="885"/>
      <c r="EE855" s="885"/>
      <c r="EF855" s="885"/>
      <c r="EG855" s="885"/>
      <c r="EH855" s="885"/>
      <c r="EI855" s="885"/>
      <c r="EJ855" s="885"/>
      <c r="EK855" s="885"/>
      <c r="EL855" s="885"/>
      <c r="EM855" s="885"/>
      <c r="EN855" s="885"/>
      <c r="EO855" s="885"/>
      <c r="EP855" s="885"/>
      <c r="EQ855" s="885"/>
      <c r="ER855" s="885"/>
      <c r="ES855" s="885"/>
      <c r="ET855" s="885"/>
      <c r="EU855" s="885"/>
      <c r="EV855" s="885"/>
      <c r="EW855" s="885"/>
      <c r="EX855" s="885"/>
      <c r="EY855" s="885"/>
      <c r="EZ855" s="885"/>
      <c r="FA855" s="885"/>
      <c r="FB855" s="885"/>
      <c r="FC855" s="885"/>
      <c r="FD855" s="885"/>
      <c r="FE855" s="885"/>
      <c r="FF855" s="885"/>
      <c r="FG855" s="885"/>
      <c r="FH855" s="885"/>
      <c r="FI855" s="885"/>
      <c r="FJ855" s="885"/>
      <c r="FK855" s="885"/>
      <c r="FL855" s="885"/>
      <c r="FM855" s="885"/>
      <c r="FN855" s="885"/>
      <c r="FO855" s="885"/>
      <c r="FP855" s="885"/>
      <c r="FQ855" s="885"/>
      <c r="FR855" s="885"/>
      <c r="FS855" s="885"/>
      <c r="FT855" s="885"/>
      <c r="FU855" s="885"/>
      <c r="FV855" s="885"/>
      <c r="FW855" s="885"/>
      <c r="FX855" s="885"/>
      <c r="FY855" s="885"/>
      <c r="FZ855" s="885"/>
      <c r="GA855" s="885"/>
      <c r="GB855" s="885"/>
      <c r="GC855" s="885"/>
      <c r="GD855" s="885"/>
      <c r="GE855" s="885"/>
      <c r="GF855" s="885"/>
      <c r="GG855" s="885"/>
      <c r="GH855" s="885"/>
      <c r="GI855" s="885"/>
      <c r="GJ855" s="885"/>
      <c r="GK855" s="885"/>
      <c r="GL855" s="885"/>
      <c r="GM855" s="885"/>
      <c r="GN855" s="885"/>
      <c r="GO855" s="885"/>
      <c r="GP855" s="885"/>
      <c r="GQ855" s="885"/>
      <c r="GR855" s="885"/>
      <c r="GS855" s="885"/>
      <c r="GT855" s="885"/>
      <c r="GU855" s="885"/>
      <c r="GV855" s="885"/>
      <c r="GW855" s="885"/>
      <c r="GX855" s="885"/>
      <c r="GY855" s="885"/>
      <c r="GZ855" s="885"/>
      <c r="HA855" s="885"/>
      <c r="HB855" s="885"/>
      <c r="HC855" s="885"/>
      <c r="HD855" s="885"/>
      <c r="HE855" s="885"/>
      <c r="HF855" s="885"/>
      <c r="HG855" s="885"/>
      <c r="HH855" s="885"/>
      <c r="HI855" s="885"/>
      <c r="HJ855" s="885"/>
      <c r="HK855" s="885"/>
      <c r="HL855" s="885"/>
      <c r="HM855" s="885"/>
      <c r="HN855" s="885"/>
      <c r="HO855" s="885"/>
      <c r="HP855" s="885"/>
      <c r="HQ855" s="885"/>
      <c r="HR855" s="885"/>
      <c r="HS855" s="885"/>
      <c r="HT855" s="885"/>
      <c r="HU855" s="885"/>
      <c r="HV855" s="885"/>
      <c r="HW855" s="885"/>
      <c r="HX855" s="885"/>
      <c r="HY855" s="885"/>
      <c r="HZ855" s="885"/>
      <c r="IA855" s="885"/>
      <c r="IB855" s="885"/>
      <c r="IC855" s="885"/>
      <c r="ID855" s="885"/>
      <c r="IE855" s="885"/>
      <c r="IF855" s="885"/>
      <c r="IG855" s="885"/>
      <c r="IH855" s="885"/>
      <c r="II855" s="885"/>
      <c r="IJ855" s="885"/>
      <c r="IK855" s="885"/>
      <c r="IL855" s="885"/>
      <c r="IM855" s="885"/>
      <c r="IN855" s="885"/>
      <c r="IO855" s="885"/>
      <c r="IP855" s="885"/>
      <c r="IQ855" s="885"/>
      <c r="IR855" s="885"/>
      <c r="IS855" s="885"/>
      <c r="IT855" s="885"/>
      <c r="IU855" s="885"/>
      <c r="IV855" s="885"/>
      <c r="IW855" s="885"/>
      <c r="IX855" s="885"/>
    </row>
    <row r="856" spans="1:258" s="130" customFormat="1" x14ac:dyDescent="0.25">
      <c r="A856" s="125">
        <f t="shared" si="104"/>
        <v>816</v>
      </c>
      <c r="B856" s="885"/>
      <c r="C856" s="842" t="s">
        <v>10495</v>
      </c>
      <c r="D856" s="924">
        <v>0</v>
      </c>
      <c r="E856" s="906">
        <f>D856/8*12</f>
        <v>0</v>
      </c>
      <c r="F856" s="136">
        <v>3000</v>
      </c>
      <c r="G856" s="122" t="s">
        <v>1963</v>
      </c>
      <c r="H856" s="885"/>
      <c r="I856" s="885"/>
      <c r="J856" s="885"/>
      <c r="K856" s="885"/>
      <c r="L856" s="885"/>
      <c r="M856" s="885"/>
      <c r="N856" s="885"/>
      <c r="O856" s="885"/>
      <c r="P856" s="885"/>
      <c r="Q856" s="885"/>
      <c r="R856" s="885"/>
      <c r="S856" s="885"/>
      <c r="T856" s="885"/>
      <c r="U856" s="885"/>
      <c r="V856" s="885"/>
      <c r="W856" s="885"/>
      <c r="X856" s="885"/>
      <c r="Y856" s="885"/>
      <c r="Z856" s="885"/>
      <c r="AA856" s="885"/>
      <c r="AB856" s="885"/>
      <c r="AC856" s="885"/>
      <c r="AD856" s="885"/>
      <c r="AE856" s="885"/>
      <c r="AF856" s="885"/>
      <c r="AG856" s="885"/>
      <c r="AH856" s="885"/>
      <c r="AI856" s="885"/>
      <c r="AJ856" s="885"/>
      <c r="AK856" s="885"/>
      <c r="AL856" s="885"/>
      <c r="AM856" s="885"/>
      <c r="AN856" s="885"/>
      <c r="AO856" s="885"/>
      <c r="AP856" s="885"/>
      <c r="AQ856" s="885"/>
      <c r="AR856" s="885"/>
      <c r="AS856" s="885"/>
      <c r="AT856" s="885"/>
      <c r="AU856" s="885"/>
      <c r="AV856" s="885"/>
      <c r="AW856" s="885"/>
      <c r="AX856" s="885"/>
      <c r="AY856" s="885"/>
      <c r="AZ856" s="885"/>
      <c r="BA856" s="885"/>
      <c r="BB856" s="885"/>
      <c r="BC856" s="885"/>
      <c r="BD856" s="885"/>
      <c r="BE856" s="885"/>
      <c r="BF856" s="885"/>
      <c r="BG856" s="885"/>
      <c r="BH856" s="885"/>
      <c r="BI856" s="885"/>
      <c r="BJ856" s="885"/>
      <c r="BK856" s="885"/>
      <c r="BL856" s="885"/>
      <c r="BM856" s="885"/>
      <c r="BN856" s="885"/>
      <c r="BO856" s="885"/>
      <c r="BP856" s="885"/>
      <c r="BQ856" s="885"/>
      <c r="BR856" s="885"/>
      <c r="BS856" s="885"/>
      <c r="BT856" s="885"/>
      <c r="BU856" s="885"/>
      <c r="BV856" s="885"/>
      <c r="BW856" s="885"/>
      <c r="BX856" s="885"/>
      <c r="BY856" s="885"/>
      <c r="BZ856" s="885"/>
      <c r="CA856" s="885"/>
      <c r="CB856" s="885"/>
      <c r="CC856" s="885"/>
      <c r="CD856" s="885"/>
      <c r="CE856" s="885"/>
      <c r="CF856" s="885"/>
      <c r="CG856" s="885"/>
      <c r="CH856" s="885"/>
      <c r="CI856" s="885"/>
      <c r="CJ856" s="885"/>
      <c r="CK856" s="885"/>
      <c r="CL856" s="885"/>
      <c r="CM856" s="885"/>
      <c r="CN856" s="885"/>
      <c r="CO856" s="885"/>
      <c r="CP856" s="885"/>
      <c r="CQ856" s="885"/>
      <c r="CR856" s="885"/>
      <c r="CS856" s="885"/>
      <c r="CT856" s="885"/>
      <c r="CU856" s="885"/>
      <c r="CV856" s="885"/>
      <c r="CW856" s="885"/>
      <c r="CX856" s="885"/>
      <c r="CY856" s="885"/>
      <c r="CZ856" s="885"/>
      <c r="DA856" s="885"/>
      <c r="DB856" s="885"/>
      <c r="DC856" s="885"/>
      <c r="DD856" s="885"/>
      <c r="DE856" s="885"/>
      <c r="DF856" s="885"/>
      <c r="DG856" s="885"/>
      <c r="DH856" s="885"/>
      <c r="DI856" s="885"/>
      <c r="DJ856" s="885"/>
      <c r="DK856" s="885"/>
      <c r="DL856" s="885"/>
      <c r="DM856" s="885"/>
      <c r="DN856" s="885"/>
      <c r="DO856" s="885"/>
      <c r="DP856" s="885"/>
      <c r="DQ856" s="885"/>
      <c r="DR856" s="885"/>
      <c r="DS856" s="885"/>
      <c r="DT856" s="885"/>
      <c r="DU856" s="885"/>
      <c r="DV856" s="885"/>
      <c r="DW856" s="885"/>
      <c r="DX856" s="885"/>
      <c r="DY856" s="885"/>
      <c r="DZ856" s="885"/>
      <c r="EA856" s="885"/>
      <c r="EB856" s="885"/>
      <c r="EC856" s="885"/>
      <c r="ED856" s="885"/>
      <c r="EE856" s="885"/>
      <c r="EF856" s="885"/>
      <c r="EG856" s="885"/>
      <c r="EH856" s="885"/>
      <c r="EI856" s="885"/>
      <c r="EJ856" s="885"/>
      <c r="EK856" s="885"/>
      <c r="EL856" s="885"/>
      <c r="EM856" s="885"/>
      <c r="EN856" s="885"/>
      <c r="EO856" s="885"/>
      <c r="EP856" s="885"/>
      <c r="EQ856" s="885"/>
      <c r="ER856" s="885"/>
      <c r="ES856" s="885"/>
      <c r="ET856" s="885"/>
      <c r="EU856" s="885"/>
      <c r="EV856" s="885"/>
      <c r="EW856" s="885"/>
      <c r="EX856" s="885"/>
      <c r="EY856" s="885"/>
      <c r="EZ856" s="885"/>
      <c r="FA856" s="885"/>
      <c r="FB856" s="885"/>
      <c r="FC856" s="885"/>
      <c r="FD856" s="885"/>
      <c r="FE856" s="885"/>
      <c r="FF856" s="885"/>
      <c r="FG856" s="885"/>
      <c r="FH856" s="885"/>
      <c r="FI856" s="885"/>
      <c r="FJ856" s="885"/>
      <c r="FK856" s="885"/>
      <c r="FL856" s="885"/>
      <c r="FM856" s="885"/>
      <c r="FN856" s="885"/>
      <c r="FO856" s="885"/>
      <c r="FP856" s="885"/>
      <c r="FQ856" s="885"/>
      <c r="FR856" s="885"/>
      <c r="FS856" s="885"/>
      <c r="FT856" s="885"/>
      <c r="FU856" s="885"/>
      <c r="FV856" s="885"/>
      <c r="FW856" s="885"/>
      <c r="FX856" s="885"/>
      <c r="FY856" s="885"/>
      <c r="FZ856" s="885"/>
      <c r="GA856" s="885"/>
      <c r="GB856" s="885"/>
      <c r="GC856" s="885"/>
      <c r="GD856" s="885"/>
      <c r="GE856" s="885"/>
      <c r="GF856" s="885"/>
      <c r="GG856" s="885"/>
      <c r="GH856" s="885"/>
      <c r="GI856" s="885"/>
      <c r="GJ856" s="885"/>
      <c r="GK856" s="885"/>
      <c r="GL856" s="885"/>
      <c r="GM856" s="885"/>
      <c r="GN856" s="885"/>
      <c r="GO856" s="885"/>
      <c r="GP856" s="885"/>
      <c r="GQ856" s="885"/>
      <c r="GR856" s="885"/>
      <c r="GS856" s="885"/>
      <c r="GT856" s="885"/>
      <c r="GU856" s="885"/>
      <c r="GV856" s="885"/>
      <c r="GW856" s="885"/>
      <c r="GX856" s="885"/>
      <c r="GY856" s="885"/>
      <c r="GZ856" s="885"/>
      <c r="HA856" s="885"/>
      <c r="HB856" s="885"/>
      <c r="HC856" s="885"/>
      <c r="HD856" s="885"/>
      <c r="HE856" s="885"/>
      <c r="HF856" s="885"/>
      <c r="HG856" s="885"/>
      <c r="HH856" s="885"/>
      <c r="HI856" s="885"/>
      <c r="HJ856" s="885"/>
      <c r="HK856" s="885"/>
      <c r="HL856" s="885"/>
      <c r="HM856" s="885"/>
      <c r="HN856" s="885"/>
      <c r="HO856" s="885"/>
      <c r="HP856" s="885"/>
      <c r="HQ856" s="885"/>
      <c r="HR856" s="885"/>
      <c r="HS856" s="885"/>
      <c r="HT856" s="885"/>
      <c r="HU856" s="885"/>
      <c r="HV856" s="885"/>
      <c r="HW856" s="885"/>
      <c r="HX856" s="885"/>
      <c r="HY856" s="885"/>
      <c r="HZ856" s="885"/>
      <c r="IA856" s="885"/>
      <c r="IB856" s="885"/>
      <c r="IC856" s="885"/>
      <c r="ID856" s="885"/>
      <c r="IE856" s="885"/>
      <c r="IF856" s="885"/>
      <c r="IG856" s="885"/>
      <c r="IH856" s="885"/>
      <c r="II856" s="885"/>
      <c r="IJ856" s="885"/>
      <c r="IK856" s="885"/>
      <c r="IL856" s="885"/>
      <c r="IM856" s="885"/>
      <c r="IN856" s="885"/>
      <c r="IO856" s="885"/>
      <c r="IP856" s="885"/>
      <c r="IQ856" s="885"/>
      <c r="IR856" s="885"/>
      <c r="IS856" s="885"/>
      <c r="IT856" s="885"/>
      <c r="IU856" s="885"/>
      <c r="IV856" s="885"/>
      <c r="IW856" s="885"/>
      <c r="IX856" s="885"/>
    </row>
    <row r="857" spans="1:258" s="130" customFormat="1" x14ac:dyDescent="0.25">
      <c r="A857" s="125">
        <f t="shared" si="104"/>
        <v>817</v>
      </c>
      <c r="B857" s="885"/>
      <c r="C857" s="231" t="s">
        <v>10528</v>
      </c>
      <c r="D857" s="916"/>
      <c r="E857" s="916"/>
      <c r="F857" s="885"/>
      <c r="G857" s="885"/>
      <c r="H857" s="885"/>
      <c r="I857" s="885"/>
      <c r="J857" s="885"/>
      <c r="K857" s="885"/>
      <c r="L857" s="885"/>
      <c r="M857" s="885"/>
      <c r="N857" s="885"/>
      <c r="O857" s="885"/>
      <c r="P857" s="885"/>
      <c r="Q857" s="885"/>
      <c r="R857" s="885"/>
      <c r="S857" s="885"/>
      <c r="T857" s="885"/>
      <c r="U857" s="885"/>
      <c r="V857" s="885"/>
      <c r="W857" s="885"/>
      <c r="X857" s="885"/>
      <c r="Y857" s="885"/>
      <c r="Z857" s="885"/>
      <c r="AA857" s="885"/>
      <c r="AB857" s="885"/>
      <c r="AC857" s="885"/>
      <c r="AD857" s="885"/>
      <c r="AE857" s="885"/>
      <c r="AF857" s="885"/>
      <c r="AG857" s="885"/>
      <c r="AH857" s="885"/>
      <c r="AI857" s="885"/>
      <c r="AJ857" s="885"/>
      <c r="AK857" s="885"/>
      <c r="AL857" s="885"/>
      <c r="AM857" s="885"/>
      <c r="AN857" s="885"/>
      <c r="AO857" s="885"/>
      <c r="AP857" s="885"/>
      <c r="AQ857" s="885"/>
      <c r="AR857" s="885"/>
      <c r="AS857" s="885"/>
      <c r="AT857" s="885"/>
      <c r="AU857" s="885"/>
      <c r="AV857" s="885"/>
      <c r="AW857" s="885"/>
      <c r="AX857" s="885"/>
      <c r="AY857" s="885"/>
      <c r="AZ857" s="885"/>
      <c r="BA857" s="885"/>
      <c r="BB857" s="885"/>
      <c r="BC857" s="885"/>
      <c r="BD857" s="885"/>
      <c r="BE857" s="885"/>
      <c r="BF857" s="885"/>
      <c r="BG857" s="885"/>
      <c r="BH857" s="885"/>
      <c r="BI857" s="885"/>
      <c r="BJ857" s="885"/>
      <c r="BK857" s="885"/>
      <c r="BL857" s="885"/>
      <c r="BM857" s="885"/>
      <c r="BN857" s="885"/>
      <c r="BO857" s="885"/>
      <c r="BP857" s="885"/>
      <c r="BQ857" s="885"/>
      <c r="BR857" s="885"/>
      <c r="BS857" s="885"/>
      <c r="BT857" s="885"/>
      <c r="BU857" s="885"/>
      <c r="BV857" s="885"/>
      <c r="BW857" s="885"/>
      <c r="BX857" s="885"/>
      <c r="BY857" s="885"/>
      <c r="BZ857" s="885"/>
      <c r="CA857" s="885"/>
      <c r="CB857" s="885"/>
      <c r="CC857" s="885"/>
      <c r="CD857" s="885"/>
      <c r="CE857" s="885"/>
      <c r="CF857" s="885"/>
      <c r="CG857" s="885"/>
      <c r="CH857" s="885"/>
      <c r="CI857" s="885"/>
      <c r="CJ857" s="885"/>
      <c r="CK857" s="885"/>
      <c r="CL857" s="885"/>
      <c r="CM857" s="885"/>
      <c r="CN857" s="885"/>
      <c r="CO857" s="885"/>
      <c r="CP857" s="885"/>
      <c r="CQ857" s="885"/>
      <c r="CR857" s="885"/>
      <c r="CS857" s="885"/>
      <c r="CT857" s="885"/>
      <c r="CU857" s="885"/>
      <c r="CV857" s="885"/>
      <c r="CW857" s="885"/>
      <c r="CX857" s="885"/>
      <c r="CY857" s="885"/>
      <c r="CZ857" s="885"/>
      <c r="DA857" s="885"/>
      <c r="DB857" s="885"/>
      <c r="DC857" s="885"/>
      <c r="DD857" s="885"/>
      <c r="DE857" s="885"/>
      <c r="DF857" s="885"/>
      <c r="DG857" s="885"/>
      <c r="DH857" s="885"/>
      <c r="DI857" s="885"/>
      <c r="DJ857" s="885"/>
      <c r="DK857" s="885"/>
      <c r="DL857" s="885"/>
      <c r="DM857" s="885"/>
      <c r="DN857" s="885"/>
      <c r="DO857" s="885"/>
      <c r="DP857" s="885"/>
      <c r="DQ857" s="885"/>
      <c r="DR857" s="885"/>
      <c r="DS857" s="885"/>
      <c r="DT857" s="885"/>
      <c r="DU857" s="885"/>
      <c r="DV857" s="885"/>
      <c r="DW857" s="885"/>
      <c r="DX857" s="885"/>
      <c r="DY857" s="885"/>
      <c r="DZ857" s="885"/>
      <c r="EA857" s="885"/>
      <c r="EB857" s="885"/>
      <c r="EC857" s="885"/>
      <c r="ED857" s="885"/>
      <c r="EE857" s="885"/>
      <c r="EF857" s="885"/>
      <c r="EG857" s="885"/>
      <c r="EH857" s="885"/>
      <c r="EI857" s="885"/>
      <c r="EJ857" s="885"/>
      <c r="EK857" s="885"/>
      <c r="EL857" s="885"/>
      <c r="EM857" s="885"/>
      <c r="EN857" s="885"/>
      <c r="EO857" s="885"/>
      <c r="EP857" s="885"/>
      <c r="EQ857" s="885"/>
      <c r="ER857" s="885"/>
      <c r="ES857" s="885"/>
      <c r="ET857" s="885"/>
      <c r="EU857" s="885"/>
      <c r="EV857" s="885"/>
      <c r="EW857" s="885"/>
      <c r="EX857" s="885"/>
      <c r="EY857" s="885"/>
      <c r="EZ857" s="885"/>
      <c r="FA857" s="885"/>
      <c r="FB857" s="885"/>
      <c r="FC857" s="885"/>
      <c r="FD857" s="885"/>
      <c r="FE857" s="885"/>
      <c r="FF857" s="885"/>
      <c r="FG857" s="885"/>
      <c r="FH857" s="885"/>
      <c r="FI857" s="885"/>
      <c r="FJ857" s="885"/>
      <c r="FK857" s="885"/>
      <c r="FL857" s="885"/>
      <c r="FM857" s="885"/>
      <c r="FN857" s="885"/>
      <c r="FO857" s="885"/>
      <c r="FP857" s="885"/>
      <c r="FQ857" s="885"/>
      <c r="FR857" s="885"/>
      <c r="FS857" s="885"/>
      <c r="FT857" s="885"/>
      <c r="FU857" s="885"/>
      <c r="FV857" s="885"/>
      <c r="FW857" s="885"/>
      <c r="FX857" s="885"/>
      <c r="FY857" s="885"/>
      <c r="FZ857" s="885"/>
      <c r="GA857" s="885"/>
      <c r="GB857" s="885"/>
      <c r="GC857" s="885"/>
      <c r="GD857" s="885"/>
      <c r="GE857" s="885"/>
      <c r="GF857" s="885"/>
      <c r="GG857" s="885"/>
      <c r="GH857" s="885"/>
      <c r="GI857" s="885"/>
      <c r="GJ857" s="885"/>
      <c r="GK857" s="885"/>
      <c r="GL857" s="885"/>
      <c r="GM857" s="885"/>
      <c r="GN857" s="885"/>
      <c r="GO857" s="885"/>
      <c r="GP857" s="885"/>
      <c r="GQ857" s="885"/>
      <c r="GR857" s="885"/>
      <c r="GS857" s="885"/>
      <c r="GT857" s="885"/>
      <c r="GU857" s="885"/>
      <c r="GV857" s="885"/>
      <c r="GW857" s="885"/>
      <c r="GX857" s="885"/>
      <c r="GY857" s="885"/>
      <c r="GZ857" s="885"/>
      <c r="HA857" s="885"/>
      <c r="HB857" s="885"/>
      <c r="HC857" s="885"/>
      <c r="HD857" s="885"/>
      <c r="HE857" s="885"/>
      <c r="HF857" s="885"/>
      <c r="HG857" s="885"/>
      <c r="HH857" s="885"/>
      <c r="HI857" s="885"/>
      <c r="HJ857" s="885"/>
      <c r="HK857" s="885"/>
      <c r="HL857" s="885"/>
      <c r="HM857" s="885"/>
      <c r="HN857" s="885"/>
      <c r="HO857" s="885"/>
      <c r="HP857" s="885"/>
      <c r="HQ857" s="885"/>
      <c r="HR857" s="885"/>
      <c r="HS857" s="885"/>
      <c r="HT857" s="885"/>
      <c r="HU857" s="885"/>
      <c r="HV857" s="885"/>
      <c r="HW857" s="885"/>
      <c r="HX857" s="885"/>
      <c r="HY857" s="885"/>
      <c r="HZ857" s="885"/>
      <c r="IA857" s="885"/>
      <c r="IB857" s="885"/>
      <c r="IC857" s="885"/>
      <c r="ID857" s="885"/>
      <c r="IE857" s="885"/>
      <c r="IF857" s="885"/>
      <c r="IG857" s="885"/>
      <c r="IH857" s="885"/>
      <c r="II857" s="885"/>
      <c r="IJ857" s="885"/>
      <c r="IK857" s="885"/>
      <c r="IL857" s="885"/>
      <c r="IM857" s="885"/>
      <c r="IN857" s="885"/>
      <c r="IO857" s="885"/>
      <c r="IP857" s="885"/>
      <c r="IQ857" s="885"/>
      <c r="IR857" s="885"/>
      <c r="IS857" s="885"/>
      <c r="IT857" s="885"/>
      <c r="IU857" s="885"/>
      <c r="IV857" s="885"/>
      <c r="IW857" s="885"/>
      <c r="IX857" s="885"/>
    </row>
    <row r="858" spans="1:258" s="130" customFormat="1" x14ac:dyDescent="0.25">
      <c r="A858" s="125">
        <f t="shared" si="104"/>
        <v>818</v>
      </c>
      <c r="B858" s="885"/>
      <c r="C858" s="842" t="s">
        <v>10502</v>
      </c>
      <c r="D858" s="924">
        <v>0</v>
      </c>
      <c r="E858" s="906">
        <f t="shared" ref="E858:E861" si="111">D858/8*12</f>
        <v>0</v>
      </c>
      <c r="F858" s="136">
        <v>500</v>
      </c>
      <c r="G858" s="122" t="s">
        <v>1963</v>
      </c>
      <c r="H858" s="885"/>
      <c r="I858" s="885"/>
      <c r="J858" s="885"/>
      <c r="K858" s="885"/>
      <c r="L858" s="885"/>
      <c r="M858" s="885"/>
      <c r="N858" s="885"/>
      <c r="O858" s="885"/>
      <c r="P858" s="885"/>
      <c r="Q858" s="885"/>
      <c r="R858" s="885"/>
      <c r="S858" s="885"/>
      <c r="T858" s="885"/>
      <c r="U858" s="885"/>
      <c r="V858" s="885"/>
      <c r="W858" s="885"/>
      <c r="X858" s="885"/>
      <c r="Y858" s="885"/>
      <c r="Z858" s="885"/>
      <c r="AA858" s="885"/>
      <c r="AB858" s="885"/>
      <c r="AC858" s="885"/>
      <c r="AD858" s="885"/>
      <c r="AE858" s="885"/>
      <c r="AF858" s="885"/>
      <c r="AG858" s="885"/>
      <c r="AH858" s="885"/>
      <c r="AI858" s="885"/>
      <c r="AJ858" s="885"/>
      <c r="AK858" s="885"/>
      <c r="AL858" s="885"/>
      <c r="AM858" s="885"/>
      <c r="AN858" s="885"/>
      <c r="AO858" s="885"/>
      <c r="AP858" s="885"/>
      <c r="AQ858" s="885"/>
      <c r="AR858" s="885"/>
      <c r="AS858" s="885"/>
      <c r="AT858" s="885"/>
      <c r="AU858" s="885"/>
      <c r="AV858" s="885"/>
      <c r="AW858" s="885"/>
      <c r="AX858" s="885"/>
      <c r="AY858" s="885"/>
      <c r="AZ858" s="885"/>
      <c r="BA858" s="885"/>
      <c r="BB858" s="885"/>
      <c r="BC858" s="885"/>
      <c r="BD858" s="885"/>
      <c r="BE858" s="885"/>
      <c r="BF858" s="885"/>
      <c r="BG858" s="885"/>
      <c r="BH858" s="885"/>
      <c r="BI858" s="885"/>
      <c r="BJ858" s="885"/>
      <c r="BK858" s="885"/>
      <c r="BL858" s="885"/>
      <c r="BM858" s="885"/>
      <c r="BN858" s="885"/>
      <c r="BO858" s="885"/>
      <c r="BP858" s="885"/>
      <c r="BQ858" s="885"/>
      <c r="BR858" s="885"/>
      <c r="BS858" s="885"/>
      <c r="BT858" s="885"/>
      <c r="BU858" s="885"/>
      <c r="BV858" s="885"/>
      <c r="BW858" s="885"/>
      <c r="BX858" s="885"/>
      <c r="BY858" s="885"/>
      <c r="BZ858" s="885"/>
      <c r="CA858" s="885"/>
      <c r="CB858" s="885"/>
      <c r="CC858" s="885"/>
      <c r="CD858" s="885"/>
      <c r="CE858" s="885"/>
      <c r="CF858" s="885"/>
      <c r="CG858" s="885"/>
      <c r="CH858" s="885"/>
      <c r="CI858" s="885"/>
      <c r="CJ858" s="885"/>
      <c r="CK858" s="885"/>
      <c r="CL858" s="885"/>
      <c r="CM858" s="885"/>
      <c r="CN858" s="885"/>
      <c r="CO858" s="885"/>
      <c r="CP858" s="885"/>
      <c r="CQ858" s="885"/>
      <c r="CR858" s="885"/>
      <c r="CS858" s="885"/>
      <c r="CT858" s="885"/>
      <c r="CU858" s="885"/>
      <c r="CV858" s="885"/>
      <c r="CW858" s="885"/>
      <c r="CX858" s="885"/>
      <c r="CY858" s="885"/>
      <c r="CZ858" s="885"/>
      <c r="DA858" s="885"/>
      <c r="DB858" s="885"/>
      <c r="DC858" s="885"/>
      <c r="DD858" s="885"/>
      <c r="DE858" s="885"/>
      <c r="DF858" s="885"/>
      <c r="DG858" s="885"/>
      <c r="DH858" s="885"/>
      <c r="DI858" s="885"/>
      <c r="DJ858" s="885"/>
      <c r="DK858" s="885"/>
      <c r="DL858" s="885"/>
      <c r="DM858" s="885"/>
      <c r="DN858" s="885"/>
      <c r="DO858" s="885"/>
      <c r="DP858" s="885"/>
      <c r="DQ858" s="885"/>
      <c r="DR858" s="885"/>
      <c r="DS858" s="885"/>
      <c r="DT858" s="885"/>
      <c r="DU858" s="885"/>
      <c r="DV858" s="885"/>
      <c r="DW858" s="885"/>
      <c r="DX858" s="885"/>
      <c r="DY858" s="885"/>
      <c r="DZ858" s="885"/>
      <c r="EA858" s="885"/>
      <c r="EB858" s="885"/>
      <c r="EC858" s="885"/>
      <c r="ED858" s="885"/>
      <c r="EE858" s="885"/>
      <c r="EF858" s="885"/>
      <c r="EG858" s="885"/>
      <c r="EH858" s="885"/>
      <c r="EI858" s="885"/>
      <c r="EJ858" s="885"/>
      <c r="EK858" s="885"/>
      <c r="EL858" s="885"/>
      <c r="EM858" s="885"/>
      <c r="EN858" s="885"/>
      <c r="EO858" s="885"/>
      <c r="EP858" s="885"/>
      <c r="EQ858" s="885"/>
      <c r="ER858" s="885"/>
      <c r="ES858" s="885"/>
      <c r="ET858" s="885"/>
      <c r="EU858" s="885"/>
      <c r="EV858" s="885"/>
      <c r="EW858" s="885"/>
      <c r="EX858" s="885"/>
      <c r="EY858" s="885"/>
      <c r="EZ858" s="885"/>
      <c r="FA858" s="885"/>
      <c r="FB858" s="885"/>
      <c r="FC858" s="885"/>
      <c r="FD858" s="885"/>
      <c r="FE858" s="885"/>
      <c r="FF858" s="885"/>
      <c r="FG858" s="885"/>
      <c r="FH858" s="885"/>
      <c r="FI858" s="885"/>
      <c r="FJ858" s="885"/>
      <c r="FK858" s="885"/>
      <c r="FL858" s="885"/>
      <c r="FM858" s="885"/>
      <c r="FN858" s="885"/>
      <c r="FO858" s="885"/>
      <c r="FP858" s="885"/>
      <c r="FQ858" s="885"/>
      <c r="FR858" s="885"/>
      <c r="FS858" s="885"/>
      <c r="FT858" s="885"/>
      <c r="FU858" s="885"/>
      <c r="FV858" s="885"/>
      <c r="FW858" s="885"/>
      <c r="FX858" s="885"/>
      <c r="FY858" s="885"/>
      <c r="FZ858" s="885"/>
      <c r="GA858" s="885"/>
      <c r="GB858" s="885"/>
      <c r="GC858" s="885"/>
      <c r="GD858" s="885"/>
      <c r="GE858" s="885"/>
      <c r="GF858" s="885"/>
      <c r="GG858" s="885"/>
      <c r="GH858" s="885"/>
      <c r="GI858" s="885"/>
      <c r="GJ858" s="885"/>
      <c r="GK858" s="885"/>
      <c r="GL858" s="885"/>
      <c r="GM858" s="885"/>
      <c r="GN858" s="885"/>
      <c r="GO858" s="885"/>
      <c r="GP858" s="885"/>
      <c r="GQ858" s="885"/>
      <c r="GR858" s="885"/>
      <c r="GS858" s="885"/>
      <c r="GT858" s="885"/>
      <c r="GU858" s="885"/>
      <c r="GV858" s="885"/>
      <c r="GW858" s="885"/>
      <c r="GX858" s="885"/>
      <c r="GY858" s="885"/>
      <c r="GZ858" s="885"/>
      <c r="HA858" s="885"/>
      <c r="HB858" s="885"/>
      <c r="HC858" s="885"/>
      <c r="HD858" s="885"/>
      <c r="HE858" s="885"/>
      <c r="HF858" s="885"/>
      <c r="HG858" s="885"/>
      <c r="HH858" s="885"/>
      <c r="HI858" s="885"/>
      <c r="HJ858" s="885"/>
      <c r="HK858" s="885"/>
      <c r="HL858" s="885"/>
      <c r="HM858" s="885"/>
      <c r="HN858" s="885"/>
      <c r="HO858" s="885"/>
      <c r="HP858" s="885"/>
      <c r="HQ858" s="885"/>
      <c r="HR858" s="885"/>
      <c r="HS858" s="885"/>
      <c r="HT858" s="885"/>
      <c r="HU858" s="885"/>
      <c r="HV858" s="885"/>
      <c r="HW858" s="885"/>
      <c r="HX858" s="885"/>
      <c r="HY858" s="885"/>
      <c r="HZ858" s="885"/>
      <c r="IA858" s="885"/>
      <c r="IB858" s="885"/>
      <c r="IC858" s="885"/>
      <c r="ID858" s="885"/>
      <c r="IE858" s="885"/>
      <c r="IF858" s="885"/>
      <c r="IG858" s="885"/>
      <c r="IH858" s="885"/>
      <c r="II858" s="885"/>
      <c r="IJ858" s="885"/>
      <c r="IK858" s="885"/>
      <c r="IL858" s="885"/>
      <c r="IM858" s="885"/>
      <c r="IN858" s="885"/>
      <c r="IO858" s="885"/>
      <c r="IP858" s="885"/>
      <c r="IQ858" s="885"/>
      <c r="IR858" s="885"/>
      <c r="IS858" s="885"/>
      <c r="IT858" s="885"/>
      <c r="IU858" s="885"/>
      <c r="IV858" s="885"/>
      <c r="IW858" s="885"/>
      <c r="IX858" s="885"/>
    </row>
    <row r="859" spans="1:258" s="130" customFormat="1" x14ac:dyDescent="0.25">
      <c r="A859" s="125">
        <f t="shared" si="104"/>
        <v>819</v>
      </c>
      <c r="B859" s="885"/>
      <c r="C859" s="842" t="s">
        <v>10500</v>
      </c>
      <c r="D859" s="924">
        <v>0</v>
      </c>
      <c r="E859" s="906">
        <f t="shared" si="111"/>
        <v>0</v>
      </c>
      <c r="F859" s="136">
        <v>500</v>
      </c>
      <c r="G859" s="122" t="s">
        <v>1963</v>
      </c>
      <c r="H859" s="885"/>
      <c r="I859" s="885"/>
      <c r="J859" s="885"/>
      <c r="K859" s="885"/>
      <c r="L859" s="885"/>
      <c r="M859" s="885"/>
      <c r="N859" s="885"/>
      <c r="O859" s="885"/>
      <c r="P859" s="885"/>
      <c r="Q859" s="885"/>
      <c r="R859" s="885"/>
      <c r="S859" s="885"/>
      <c r="T859" s="885"/>
      <c r="U859" s="885"/>
      <c r="V859" s="885"/>
      <c r="W859" s="885"/>
      <c r="X859" s="885"/>
      <c r="Y859" s="885"/>
      <c r="Z859" s="885"/>
      <c r="AA859" s="885"/>
      <c r="AB859" s="885"/>
      <c r="AC859" s="885"/>
      <c r="AD859" s="885"/>
      <c r="AE859" s="885"/>
      <c r="AF859" s="885"/>
      <c r="AG859" s="885"/>
      <c r="AH859" s="885"/>
      <c r="AI859" s="885"/>
      <c r="AJ859" s="885"/>
      <c r="AK859" s="885"/>
      <c r="AL859" s="885"/>
      <c r="AM859" s="885"/>
      <c r="AN859" s="885"/>
      <c r="AO859" s="885"/>
      <c r="AP859" s="885"/>
      <c r="AQ859" s="885"/>
      <c r="AR859" s="885"/>
      <c r="AS859" s="885"/>
      <c r="AT859" s="885"/>
      <c r="AU859" s="885"/>
      <c r="AV859" s="885"/>
      <c r="AW859" s="885"/>
      <c r="AX859" s="885"/>
      <c r="AY859" s="885"/>
      <c r="AZ859" s="885"/>
      <c r="BA859" s="885"/>
      <c r="BB859" s="885"/>
      <c r="BC859" s="885"/>
      <c r="BD859" s="885"/>
      <c r="BE859" s="885"/>
      <c r="BF859" s="885"/>
      <c r="BG859" s="885"/>
      <c r="BH859" s="885"/>
      <c r="BI859" s="885"/>
      <c r="BJ859" s="885"/>
      <c r="BK859" s="885"/>
      <c r="BL859" s="885"/>
      <c r="BM859" s="885"/>
      <c r="BN859" s="885"/>
      <c r="BO859" s="885"/>
      <c r="BP859" s="885"/>
      <c r="BQ859" s="885"/>
      <c r="BR859" s="885"/>
      <c r="BS859" s="885"/>
      <c r="BT859" s="885"/>
      <c r="BU859" s="885"/>
      <c r="BV859" s="885"/>
      <c r="BW859" s="885"/>
      <c r="BX859" s="885"/>
      <c r="BY859" s="885"/>
      <c r="BZ859" s="885"/>
      <c r="CA859" s="885"/>
      <c r="CB859" s="885"/>
      <c r="CC859" s="885"/>
      <c r="CD859" s="885"/>
      <c r="CE859" s="885"/>
      <c r="CF859" s="885"/>
      <c r="CG859" s="885"/>
      <c r="CH859" s="885"/>
      <c r="CI859" s="885"/>
      <c r="CJ859" s="885"/>
      <c r="CK859" s="885"/>
      <c r="CL859" s="885"/>
      <c r="CM859" s="885"/>
      <c r="CN859" s="885"/>
      <c r="CO859" s="885"/>
      <c r="CP859" s="885"/>
      <c r="CQ859" s="885"/>
      <c r="CR859" s="885"/>
      <c r="CS859" s="885"/>
      <c r="CT859" s="885"/>
      <c r="CU859" s="885"/>
      <c r="CV859" s="885"/>
      <c r="CW859" s="885"/>
      <c r="CX859" s="885"/>
      <c r="CY859" s="885"/>
      <c r="CZ859" s="885"/>
      <c r="DA859" s="885"/>
      <c r="DB859" s="885"/>
      <c r="DC859" s="885"/>
      <c r="DD859" s="885"/>
      <c r="DE859" s="885"/>
      <c r="DF859" s="885"/>
      <c r="DG859" s="885"/>
      <c r="DH859" s="885"/>
      <c r="DI859" s="885"/>
      <c r="DJ859" s="885"/>
      <c r="DK859" s="885"/>
      <c r="DL859" s="885"/>
      <c r="DM859" s="885"/>
      <c r="DN859" s="885"/>
      <c r="DO859" s="885"/>
      <c r="DP859" s="885"/>
      <c r="DQ859" s="885"/>
      <c r="DR859" s="885"/>
      <c r="DS859" s="885"/>
      <c r="DT859" s="885"/>
      <c r="DU859" s="885"/>
      <c r="DV859" s="885"/>
      <c r="DW859" s="885"/>
      <c r="DX859" s="885"/>
      <c r="DY859" s="885"/>
      <c r="DZ859" s="885"/>
      <c r="EA859" s="885"/>
      <c r="EB859" s="885"/>
      <c r="EC859" s="885"/>
      <c r="ED859" s="885"/>
      <c r="EE859" s="885"/>
      <c r="EF859" s="885"/>
      <c r="EG859" s="885"/>
      <c r="EH859" s="885"/>
      <c r="EI859" s="885"/>
      <c r="EJ859" s="885"/>
      <c r="EK859" s="885"/>
      <c r="EL859" s="885"/>
      <c r="EM859" s="885"/>
      <c r="EN859" s="885"/>
      <c r="EO859" s="885"/>
      <c r="EP859" s="885"/>
      <c r="EQ859" s="885"/>
      <c r="ER859" s="885"/>
      <c r="ES859" s="885"/>
      <c r="ET859" s="885"/>
      <c r="EU859" s="885"/>
      <c r="EV859" s="885"/>
      <c r="EW859" s="885"/>
      <c r="EX859" s="885"/>
      <c r="EY859" s="885"/>
      <c r="EZ859" s="885"/>
      <c r="FA859" s="885"/>
      <c r="FB859" s="885"/>
      <c r="FC859" s="885"/>
      <c r="FD859" s="885"/>
      <c r="FE859" s="885"/>
      <c r="FF859" s="885"/>
      <c r="FG859" s="885"/>
      <c r="FH859" s="885"/>
      <c r="FI859" s="885"/>
      <c r="FJ859" s="885"/>
      <c r="FK859" s="885"/>
      <c r="FL859" s="885"/>
      <c r="FM859" s="885"/>
      <c r="FN859" s="885"/>
      <c r="FO859" s="885"/>
      <c r="FP859" s="885"/>
      <c r="FQ859" s="885"/>
      <c r="FR859" s="885"/>
      <c r="FS859" s="885"/>
      <c r="FT859" s="885"/>
      <c r="FU859" s="885"/>
      <c r="FV859" s="885"/>
      <c r="FW859" s="885"/>
      <c r="FX859" s="885"/>
      <c r="FY859" s="885"/>
      <c r="FZ859" s="885"/>
      <c r="GA859" s="885"/>
      <c r="GB859" s="885"/>
      <c r="GC859" s="885"/>
      <c r="GD859" s="885"/>
      <c r="GE859" s="885"/>
      <c r="GF859" s="885"/>
      <c r="GG859" s="885"/>
      <c r="GH859" s="885"/>
      <c r="GI859" s="885"/>
      <c r="GJ859" s="885"/>
      <c r="GK859" s="885"/>
      <c r="GL859" s="885"/>
      <c r="GM859" s="885"/>
      <c r="GN859" s="885"/>
      <c r="GO859" s="885"/>
      <c r="GP859" s="885"/>
      <c r="GQ859" s="885"/>
      <c r="GR859" s="885"/>
      <c r="GS859" s="885"/>
      <c r="GT859" s="885"/>
      <c r="GU859" s="885"/>
      <c r="GV859" s="885"/>
      <c r="GW859" s="885"/>
      <c r="GX859" s="885"/>
      <c r="GY859" s="885"/>
      <c r="GZ859" s="885"/>
      <c r="HA859" s="885"/>
      <c r="HB859" s="885"/>
      <c r="HC859" s="885"/>
      <c r="HD859" s="885"/>
      <c r="HE859" s="885"/>
      <c r="HF859" s="885"/>
      <c r="HG859" s="885"/>
      <c r="HH859" s="885"/>
      <c r="HI859" s="885"/>
      <c r="HJ859" s="885"/>
      <c r="HK859" s="885"/>
      <c r="HL859" s="885"/>
      <c r="HM859" s="885"/>
      <c r="HN859" s="885"/>
      <c r="HO859" s="885"/>
      <c r="HP859" s="885"/>
      <c r="HQ859" s="885"/>
      <c r="HR859" s="885"/>
      <c r="HS859" s="885"/>
      <c r="HT859" s="885"/>
      <c r="HU859" s="885"/>
      <c r="HV859" s="885"/>
      <c r="HW859" s="885"/>
      <c r="HX859" s="885"/>
      <c r="HY859" s="885"/>
      <c r="HZ859" s="885"/>
      <c r="IA859" s="885"/>
      <c r="IB859" s="885"/>
      <c r="IC859" s="885"/>
      <c r="ID859" s="885"/>
      <c r="IE859" s="885"/>
      <c r="IF859" s="885"/>
      <c r="IG859" s="885"/>
      <c r="IH859" s="885"/>
      <c r="II859" s="885"/>
      <c r="IJ859" s="885"/>
      <c r="IK859" s="885"/>
      <c r="IL859" s="885"/>
      <c r="IM859" s="885"/>
      <c r="IN859" s="885"/>
      <c r="IO859" s="885"/>
      <c r="IP859" s="885"/>
      <c r="IQ859" s="885"/>
      <c r="IR859" s="885"/>
      <c r="IS859" s="885"/>
      <c r="IT859" s="885"/>
      <c r="IU859" s="885"/>
      <c r="IV859" s="885"/>
      <c r="IW859" s="885"/>
      <c r="IX859" s="885"/>
    </row>
    <row r="860" spans="1:258" s="130" customFormat="1" x14ac:dyDescent="0.25">
      <c r="A860" s="125">
        <f t="shared" si="104"/>
        <v>820</v>
      </c>
      <c r="B860" s="885"/>
      <c r="C860" s="842" t="s">
        <v>10499</v>
      </c>
      <c r="D860" s="924">
        <v>0</v>
      </c>
      <c r="E860" s="906">
        <f t="shared" si="111"/>
        <v>0</v>
      </c>
      <c r="F860" s="136">
        <v>500</v>
      </c>
      <c r="G860" s="122" t="s">
        <v>1963</v>
      </c>
      <c r="H860" s="885"/>
      <c r="I860" s="885"/>
      <c r="J860" s="885"/>
      <c r="K860" s="885"/>
      <c r="L860" s="885"/>
      <c r="M860" s="885"/>
      <c r="N860" s="885"/>
      <c r="O860" s="885"/>
      <c r="P860" s="885"/>
      <c r="Q860" s="885"/>
      <c r="R860" s="885"/>
      <c r="S860" s="885"/>
      <c r="T860" s="885"/>
      <c r="U860" s="885"/>
      <c r="V860" s="885"/>
      <c r="W860" s="885"/>
      <c r="X860" s="885"/>
      <c r="Y860" s="885"/>
      <c r="Z860" s="885"/>
      <c r="AA860" s="885"/>
      <c r="AB860" s="885"/>
      <c r="AC860" s="885"/>
      <c r="AD860" s="885"/>
      <c r="AE860" s="885"/>
      <c r="AF860" s="885"/>
      <c r="AG860" s="885"/>
      <c r="AH860" s="885"/>
      <c r="AI860" s="885"/>
      <c r="AJ860" s="885"/>
      <c r="AK860" s="885"/>
      <c r="AL860" s="885"/>
      <c r="AM860" s="885"/>
      <c r="AN860" s="885"/>
      <c r="AO860" s="885"/>
      <c r="AP860" s="885"/>
      <c r="AQ860" s="885"/>
      <c r="AR860" s="885"/>
      <c r="AS860" s="885"/>
      <c r="AT860" s="885"/>
      <c r="AU860" s="885"/>
      <c r="AV860" s="885"/>
      <c r="AW860" s="885"/>
      <c r="AX860" s="885"/>
      <c r="AY860" s="885"/>
      <c r="AZ860" s="885"/>
      <c r="BA860" s="885"/>
      <c r="BB860" s="885"/>
      <c r="BC860" s="885"/>
      <c r="BD860" s="885"/>
      <c r="BE860" s="885"/>
      <c r="BF860" s="885"/>
      <c r="BG860" s="885"/>
      <c r="BH860" s="885"/>
      <c r="BI860" s="885"/>
      <c r="BJ860" s="885"/>
      <c r="BK860" s="885"/>
      <c r="BL860" s="885"/>
      <c r="BM860" s="885"/>
      <c r="BN860" s="885"/>
      <c r="BO860" s="885"/>
      <c r="BP860" s="885"/>
      <c r="BQ860" s="885"/>
      <c r="BR860" s="885"/>
      <c r="BS860" s="885"/>
      <c r="BT860" s="885"/>
      <c r="BU860" s="885"/>
      <c r="BV860" s="885"/>
      <c r="BW860" s="885"/>
      <c r="BX860" s="885"/>
      <c r="BY860" s="885"/>
      <c r="BZ860" s="885"/>
      <c r="CA860" s="885"/>
      <c r="CB860" s="885"/>
      <c r="CC860" s="885"/>
      <c r="CD860" s="885"/>
      <c r="CE860" s="885"/>
      <c r="CF860" s="885"/>
      <c r="CG860" s="885"/>
      <c r="CH860" s="885"/>
      <c r="CI860" s="885"/>
      <c r="CJ860" s="885"/>
      <c r="CK860" s="885"/>
      <c r="CL860" s="885"/>
      <c r="CM860" s="885"/>
      <c r="CN860" s="885"/>
      <c r="CO860" s="885"/>
      <c r="CP860" s="885"/>
      <c r="CQ860" s="885"/>
      <c r="CR860" s="885"/>
      <c r="CS860" s="885"/>
      <c r="CT860" s="885"/>
      <c r="CU860" s="885"/>
      <c r="CV860" s="885"/>
      <c r="CW860" s="885"/>
      <c r="CX860" s="885"/>
      <c r="CY860" s="885"/>
      <c r="CZ860" s="885"/>
      <c r="DA860" s="885"/>
      <c r="DB860" s="885"/>
      <c r="DC860" s="885"/>
      <c r="DD860" s="885"/>
      <c r="DE860" s="885"/>
      <c r="DF860" s="885"/>
      <c r="DG860" s="885"/>
      <c r="DH860" s="885"/>
      <c r="DI860" s="885"/>
      <c r="DJ860" s="885"/>
      <c r="DK860" s="885"/>
      <c r="DL860" s="885"/>
      <c r="DM860" s="885"/>
      <c r="DN860" s="885"/>
      <c r="DO860" s="885"/>
      <c r="DP860" s="885"/>
      <c r="DQ860" s="885"/>
      <c r="DR860" s="885"/>
      <c r="DS860" s="885"/>
      <c r="DT860" s="885"/>
      <c r="DU860" s="885"/>
      <c r="DV860" s="885"/>
      <c r="DW860" s="885"/>
      <c r="DX860" s="885"/>
      <c r="DY860" s="885"/>
      <c r="DZ860" s="885"/>
      <c r="EA860" s="885"/>
      <c r="EB860" s="885"/>
      <c r="EC860" s="885"/>
      <c r="ED860" s="885"/>
      <c r="EE860" s="885"/>
      <c r="EF860" s="885"/>
      <c r="EG860" s="885"/>
      <c r="EH860" s="885"/>
      <c r="EI860" s="885"/>
      <c r="EJ860" s="885"/>
      <c r="EK860" s="885"/>
      <c r="EL860" s="885"/>
      <c r="EM860" s="885"/>
      <c r="EN860" s="885"/>
      <c r="EO860" s="885"/>
      <c r="EP860" s="885"/>
      <c r="EQ860" s="885"/>
      <c r="ER860" s="885"/>
      <c r="ES860" s="885"/>
      <c r="ET860" s="885"/>
      <c r="EU860" s="885"/>
      <c r="EV860" s="885"/>
      <c r="EW860" s="885"/>
      <c r="EX860" s="885"/>
      <c r="EY860" s="885"/>
      <c r="EZ860" s="885"/>
      <c r="FA860" s="885"/>
      <c r="FB860" s="885"/>
      <c r="FC860" s="885"/>
      <c r="FD860" s="885"/>
      <c r="FE860" s="885"/>
      <c r="FF860" s="885"/>
      <c r="FG860" s="885"/>
      <c r="FH860" s="885"/>
      <c r="FI860" s="885"/>
      <c r="FJ860" s="885"/>
      <c r="FK860" s="885"/>
      <c r="FL860" s="885"/>
      <c r="FM860" s="885"/>
      <c r="FN860" s="885"/>
      <c r="FO860" s="885"/>
      <c r="FP860" s="885"/>
      <c r="FQ860" s="885"/>
      <c r="FR860" s="885"/>
      <c r="FS860" s="885"/>
      <c r="FT860" s="885"/>
      <c r="FU860" s="885"/>
      <c r="FV860" s="885"/>
      <c r="FW860" s="885"/>
      <c r="FX860" s="885"/>
      <c r="FY860" s="885"/>
      <c r="FZ860" s="885"/>
      <c r="GA860" s="885"/>
      <c r="GB860" s="885"/>
      <c r="GC860" s="885"/>
      <c r="GD860" s="885"/>
      <c r="GE860" s="885"/>
      <c r="GF860" s="885"/>
      <c r="GG860" s="885"/>
      <c r="GH860" s="885"/>
      <c r="GI860" s="885"/>
      <c r="GJ860" s="885"/>
      <c r="GK860" s="885"/>
      <c r="GL860" s="885"/>
      <c r="GM860" s="885"/>
      <c r="GN860" s="885"/>
      <c r="GO860" s="885"/>
      <c r="GP860" s="885"/>
      <c r="GQ860" s="885"/>
      <c r="GR860" s="885"/>
      <c r="GS860" s="885"/>
      <c r="GT860" s="885"/>
      <c r="GU860" s="885"/>
      <c r="GV860" s="885"/>
      <c r="GW860" s="885"/>
      <c r="GX860" s="885"/>
      <c r="GY860" s="885"/>
      <c r="GZ860" s="885"/>
      <c r="HA860" s="885"/>
      <c r="HB860" s="885"/>
      <c r="HC860" s="885"/>
      <c r="HD860" s="885"/>
      <c r="HE860" s="885"/>
      <c r="HF860" s="885"/>
      <c r="HG860" s="885"/>
      <c r="HH860" s="885"/>
      <c r="HI860" s="885"/>
      <c r="HJ860" s="885"/>
      <c r="HK860" s="885"/>
      <c r="HL860" s="885"/>
      <c r="HM860" s="885"/>
      <c r="HN860" s="885"/>
      <c r="HO860" s="885"/>
      <c r="HP860" s="885"/>
      <c r="HQ860" s="885"/>
      <c r="HR860" s="885"/>
      <c r="HS860" s="885"/>
      <c r="HT860" s="885"/>
      <c r="HU860" s="885"/>
      <c r="HV860" s="885"/>
      <c r="HW860" s="885"/>
      <c r="HX860" s="885"/>
      <c r="HY860" s="885"/>
      <c r="HZ860" s="885"/>
      <c r="IA860" s="885"/>
      <c r="IB860" s="885"/>
      <c r="IC860" s="885"/>
      <c r="ID860" s="885"/>
      <c r="IE860" s="885"/>
      <c r="IF860" s="885"/>
      <c r="IG860" s="885"/>
      <c r="IH860" s="885"/>
      <c r="II860" s="885"/>
      <c r="IJ860" s="885"/>
      <c r="IK860" s="885"/>
      <c r="IL860" s="885"/>
      <c r="IM860" s="885"/>
      <c r="IN860" s="885"/>
      <c r="IO860" s="885"/>
      <c r="IP860" s="885"/>
      <c r="IQ860" s="885"/>
      <c r="IR860" s="885"/>
      <c r="IS860" s="885"/>
      <c r="IT860" s="885"/>
      <c r="IU860" s="885"/>
      <c r="IV860" s="885"/>
      <c r="IW860" s="885"/>
      <c r="IX860" s="885"/>
    </row>
    <row r="861" spans="1:258" s="130" customFormat="1" x14ac:dyDescent="0.25">
      <c r="A861" s="125">
        <f t="shared" si="104"/>
        <v>821</v>
      </c>
      <c r="B861" s="885"/>
      <c r="C861" s="842" t="s">
        <v>10521</v>
      </c>
      <c r="D861" s="924">
        <v>0</v>
      </c>
      <c r="E861" s="906">
        <f t="shared" si="111"/>
        <v>0</v>
      </c>
      <c r="F861" s="136">
        <v>500</v>
      </c>
      <c r="G861" s="122" t="s">
        <v>1963</v>
      </c>
      <c r="H861" s="885"/>
      <c r="I861" s="885"/>
      <c r="J861" s="885"/>
      <c r="K861" s="885"/>
      <c r="L861" s="885"/>
      <c r="M861" s="885"/>
      <c r="N861" s="885"/>
      <c r="O861" s="885"/>
      <c r="P861" s="885"/>
      <c r="Q861" s="885"/>
      <c r="R861" s="885"/>
      <c r="S861" s="885"/>
      <c r="T861" s="885"/>
      <c r="U861" s="885"/>
      <c r="V861" s="885"/>
      <c r="W861" s="885"/>
      <c r="X861" s="885"/>
      <c r="Y861" s="885"/>
      <c r="Z861" s="885"/>
      <c r="AA861" s="885"/>
      <c r="AB861" s="885"/>
      <c r="AC861" s="885"/>
      <c r="AD861" s="885"/>
      <c r="AE861" s="885"/>
      <c r="AF861" s="885"/>
      <c r="AG861" s="885"/>
      <c r="AH861" s="885"/>
      <c r="AI861" s="885"/>
      <c r="AJ861" s="885"/>
      <c r="AK861" s="885"/>
      <c r="AL861" s="885"/>
      <c r="AM861" s="885"/>
      <c r="AN861" s="885"/>
      <c r="AO861" s="885"/>
      <c r="AP861" s="885"/>
      <c r="AQ861" s="885"/>
      <c r="AR861" s="885"/>
      <c r="AS861" s="885"/>
      <c r="AT861" s="885"/>
      <c r="AU861" s="885"/>
      <c r="AV861" s="885"/>
      <c r="AW861" s="885"/>
      <c r="AX861" s="885"/>
      <c r="AY861" s="885"/>
      <c r="AZ861" s="885"/>
      <c r="BA861" s="885"/>
      <c r="BB861" s="885"/>
      <c r="BC861" s="885"/>
      <c r="BD861" s="885"/>
      <c r="BE861" s="885"/>
      <c r="BF861" s="885"/>
      <c r="BG861" s="885"/>
      <c r="BH861" s="885"/>
      <c r="BI861" s="885"/>
      <c r="BJ861" s="885"/>
      <c r="BK861" s="885"/>
      <c r="BL861" s="885"/>
      <c r="BM861" s="885"/>
      <c r="BN861" s="885"/>
      <c r="BO861" s="885"/>
      <c r="BP861" s="885"/>
      <c r="BQ861" s="885"/>
      <c r="BR861" s="885"/>
      <c r="BS861" s="885"/>
      <c r="BT861" s="885"/>
      <c r="BU861" s="885"/>
      <c r="BV861" s="885"/>
      <c r="BW861" s="885"/>
      <c r="BX861" s="885"/>
      <c r="BY861" s="885"/>
      <c r="BZ861" s="885"/>
      <c r="CA861" s="885"/>
      <c r="CB861" s="885"/>
      <c r="CC861" s="885"/>
      <c r="CD861" s="885"/>
      <c r="CE861" s="885"/>
      <c r="CF861" s="885"/>
      <c r="CG861" s="885"/>
      <c r="CH861" s="885"/>
      <c r="CI861" s="885"/>
      <c r="CJ861" s="885"/>
      <c r="CK861" s="885"/>
      <c r="CL861" s="885"/>
      <c r="CM861" s="885"/>
      <c r="CN861" s="885"/>
      <c r="CO861" s="885"/>
      <c r="CP861" s="885"/>
      <c r="CQ861" s="885"/>
      <c r="CR861" s="885"/>
      <c r="CS861" s="885"/>
      <c r="CT861" s="885"/>
      <c r="CU861" s="885"/>
      <c r="CV861" s="885"/>
      <c r="CW861" s="885"/>
      <c r="CX861" s="885"/>
      <c r="CY861" s="885"/>
      <c r="CZ861" s="885"/>
      <c r="DA861" s="885"/>
      <c r="DB861" s="885"/>
      <c r="DC861" s="885"/>
      <c r="DD861" s="885"/>
      <c r="DE861" s="885"/>
      <c r="DF861" s="885"/>
      <c r="DG861" s="885"/>
      <c r="DH861" s="885"/>
      <c r="DI861" s="885"/>
      <c r="DJ861" s="885"/>
      <c r="DK861" s="885"/>
      <c r="DL861" s="885"/>
      <c r="DM861" s="885"/>
      <c r="DN861" s="885"/>
      <c r="DO861" s="885"/>
      <c r="DP861" s="885"/>
      <c r="DQ861" s="885"/>
      <c r="DR861" s="885"/>
      <c r="DS861" s="885"/>
      <c r="DT861" s="885"/>
      <c r="DU861" s="885"/>
      <c r="DV861" s="885"/>
      <c r="DW861" s="885"/>
      <c r="DX861" s="885"/>
      <c r="DY861" s="885"/>
      <c r="DZ861" s="885"/>
      <c r="EA861" s="885"/>
      <c r="EB861" s="885"/>
      <c r="EC861" s="885"/>
      <c r="ED861" s="885"/>
      <c r="EE861" s="885"/>
      <c r="EF861" s="885"/>
      <c r="EG861" s="885"/>
      <c r="EH861" s="885"/>
      <c r="EI861" s="885"/>
      <c r="EJ861" s="885"/>
      <c r="EK861" s="885"/>
      <c r="EL861" s="885"/>
      <c r="EM861" s="885"/>
      <c r="EN861" s="885"/>
      <c r="EO861" s="885"/>
      <c r="EP861" s="885"/>
      <c r="EQ861" s="885"/>
      <c r="ER861" s="885"/>
      <c r="ES861" s="885"/>
      <c r="ET861" s="885"/>
      <c r="EU861" s="885"/>
      <c r="EV861" s="885"/>
      <c r="EW861" s="885"/>
      <c r="EX861" s="885"/>
      <c r="EY861" s="885"/>
      <c r="EZ861" s="885"/>
      <c r="FA861" s="885"/>
      <c r="FB861" s="885"/>
      <c r="FC861" s="885"/>
      <c r="FD861" s="885"/>
      <c r="FE861" s="885"/>
      <c r="FF861" s="885"/>
      <c r="FG861" s="885"/>
      <c r="FH861" s="885"/>
      <c r="FI861" s="885"/>
      <c r="FJ861" s="885"/>
      <c r="FK861" s="885"/>
      <c r="FL861" s="885"/>
      <c r="FM861" s="885"/>
      <c r="FN861" s="885"/>
      <c r="FO861" s="885"/>
      <c r="FP861" s="885"/>
      <c r="FQ861" s="885"/>
      <c r="FR861" s="885"/>
      <c r="FS861" s="885"/>
      <c r="FT861" s="885"/>
      <c r="FU861" s="885"/>
      <c r="FV861" s="885"/>
      <c r="FW861" s="885"/>
      <c r="FX861" s="885"/>
      <c r="FY861" s="885"/>
      <c r="FZ861" s="885"/>
      <c r="GA861" s="885"/>
      <c r="GB861" s="885"/>
      <c r="GC861" s="885"/>
      <c r="GD861" s="885"/>
      <c r="GE861" s="885"/>
      <c r="GF861" s="885"/>
      <c r="GG861" s="885"/>
      <c r="GH861" s="885"/>
      <c r="GI861" s="885"/>
      <c r="GJ861" s="885"/>
      <c r="GK861" s="885"/>
      <c r="GL861" s="885"/>
      <c r="GM861" s="885"/>
      <c r="GN861" s="885"/>
      <c r="GO861" s="885"/>
      <c r="GP861" s="885"/>
      <c r="GQ861" s="885"/>
      <c r="GR861" s="885"/>
      <c r="GS861" s="885"/>
      <c r="GT861" s="885"/>
      <c r="GU861" s="885"/>
      <c r="GV861" s="885"/>
      <c r="GW861" s="885"/>
      <c r="GX861" s="885"/>
      <c r="GY861" s="885"/>
      <c r="GZ861" s="885"/>
      <c r="HA861" s="885"/>
      <c r="HB861" s="885"/>
      <c r="HC861" s="885"/>
      <c r="HD861" s="885"/>
      <c r="HE861" s="885"/>
      <c r="HF861" s="885"/>
      <c r="HG861" s="885"/>
      <c r="HH861" s="885"/>
      <c r="HI861" s="885"/>
      <c r="HJ861" s="885"/>
      <c r="HK861" s="885"/>
      <c r="HL861" s="885"/>
      <c r="HM861" s="885"/>
      <c r="HN861" s="885"/>
      <c r="HO861" s="885"/>
      <c r="HP861" s="885"/>
      <c r="HQ861" s="885"/>
      <c r="HR861" s="885"/>
      <c r="HS861" s="885"/>
      <c r="HT861" s="885"/>
      <c r="HU861" s="885"/>
      <c r="HV861" s="885"/>
      <c r="HW861" s="885"/>
      <c r="HX861" s="885"/>
      <c r="HY861" s="885"/>
      <c r="HZ861" s="885"/>
      <c r="IA861" s="885"/>
      <c r="IB861" s="885"/>
      <c r="IC861" s="885"/>
      <c r="ID861" s="885"/>
      <c r="IE861" s="885"/>
      <c r="IF861" s="885"/>
      <c r="IG861" s="885"/>
      <c r="IH861" s="885"/>
      <c r="II861" s="885"/>
      <c r="IJ861" s="885"/>
      <c r="IK861" s="885"/>
      <c r="IL861" s="885"/>
      <c r="IM861" s="885"/>
      <c r="IN861" s="885"/>
      <c r="IO861" s="885"/>
      <c r="IP861" s="885"/>
      <c r="IQ861" s="885"/>
      <c r="IR861" s="885"/>
      <c r="IS861" s="885"/>
      <c r="IT861" s="885"/>
      <c r="IU861" s="885"/>
      <c r="IV861" s="885"/>
      <c r="IW861" s="885"/>
      <c r="IX861" s="885"/>
    </row>
    <row r="862" spans="1:258" s="130" customFormat="1" x14ac:dyDescent="0.25">
      <c r="A862" s="125">
        <f t="shared" ref="A862:A925" si="112">A861+1</f>
        <v>822</v>
      </c>
      <c r="B862" s="1055"/>
      <c r="C862" s="927" t="s">
        <v>11779</v>
      </c>
      <c r="D862" s="924"/>
      <c r="E862" s="906"/>
      <c r="F862" s="136"/>
      <c r="G862" s="122"/>
      <c r="H862" s="1055"/>
      <c r="I862" s="1055"/>
      <c r="J862" s="1055"/>
      <c r="K862" s="1055"/>
      <c r="L862" s="1055"/>
      <c r="M862" s="1055"/>
      <c r="N862" s="1055"/>
      <c r="O862" s="1055"/>
      <c r="P862" s="1055"/>
      <c r="Q862" s="1055"/>
      <c r="R862" s="1055"/>
      <c r="S862" s="1055"/>
      <c r="T862" s="1055"/>
      <c r="U862" s="1055"/>
      <c r="V862" s="1055"/>
      <c r="W862" s="1055"/>
      <c r="X862" s="1055"/>
      <c r="Y862" s="1055"/>
      <c r="Z862" s="1055"/>
      <c r="AA862" s="1055"/>
      <c r="AB862" s="1055"/>
      <c r="AC862" s="1055"/>
      <c r="AD862" s="1055"/>
      <c r="AE862" s="1055"/>
      <c r="AF862" s="1055"/>
      <c r="AG862" s="1055"/>
      <c r="AH862" s="1055"/>
      <c r="AI862" s="1055"/>
      <c r="AJ862" s="1055"/>
      <c r="AK862" s="1055"/>
      <c r="AL862" s="1055"/>
      <c r="AM862" s="1055"/>
      <c r="AN862" s="1055"/>
      <c r="AO862" s="1055"/>
      <c r="AP862" s="1055"/>
      <c r="AQ862" s="1055"/>
      <c r="AR862" s="1055"/>
      <c r="AS862" s="1055"/>
      <c r="AT862" s="1055"/>
      <c r="AU862" s="1055"/>
      <c r="AV862" s="1055"/>
      <c r="AW862" s="1055"/>
      <c r="AX862" s="1055"/>
      <c r="AY862" s="1055"/>
      <c r="AZ862" s="1055"/>
      <c r="BA862" s="1055"/>
      <c r="BB862" s="1055"/>
      <c r="BC862" s="1055"/>
      <c r="BD862" s="1055"/>
      <c r="BE862" s="1055"/>
      <c r="BF862" s="1055"/>
      <c r="BG862" s="1055"/>
      <c r="BH862" s="1055"/>
      <c r="BI862" s="1055"/>
      <c r="BJ862" s="1055"/>
      <c r="BK862" s="1055"/>
      <c r="BL862" s="1055"/>
      <c r="BM862" s="1055"/>
      <c r="BN862" s="1055"/>
      <c r="BO862" s="1055"/>
      <c r="BP862" s="1055"/>
      <c r="BQ862" s="1055"/>
      <c r="BR862" s="1055"/>
      <c r="BS862" s="1055"/>
      <c r="BT862" s="1055"/>
      <c r="BU862" s="1055"/>
      <c r="BV862" s="1055"/>
      <c r="BW862" s="1055"/>
      <c r="BX862" s="1055"/>
      <c r="BY862" s="1055"/>
      <c r="BZ862" s="1055"/>
      <c r="CA862" s="1055"/>
      <c r="CB862" s="1055"/>
      <c r="CC862" s="1055"/>
      <c r="CD862" s="1055"/>
      <c r="CE862" s="1055"/>
      <c r="CF862" s="1055"/>
      <c r="CG862" s="1055"/>
      <c r="CH862" s="1055"/>
      <c r="CI862" s="1055"/>
      <c r="CJ862" s="1055"/>
      <c r="CK862" s="1055"/>
      <c r="CL862" s="1055"/>
      <c r="CM862" s="1055"/>
      <c r="CN862" s="1055"/>
      <c r="CO862" s="1055"/>
      <c r="CP862" s="1055"/>
      <c r="CQ862" s="1055"/>
      <c r="CR862" s="1055"/>
      <c r="CS862" s="1055"/>
      <c r="CT862" s="1055"/>
      <c r="CU862" s="1055"/>
      <c r="CV862" s="1055"/>
      <c r="CW862" s="1055"/>
      <c r="CX862" s="1055"/>
      <c r="CY862" s="1055"/>
      <c r="CZ862" s="1055"/>
      <c r="DA862" s="1055"/>
      <c r="DB862" s="1055"/>
      <c r="DC862" s="1055"/>
      <c r="DD862" s="1055"/>
      <c r="DE862" s="1055"/>
      <c r="DF862" s="1055"/>
      <c r="DG862" s="1055"/>
      <c r="DH862" s="1055"/>
      <c r="DI862" s="1055"/>
      <c r="DJ862" s="1055"/>
      <c r="DK862" s="1055"/>
      <c r="DL862" s="1055"/>
      <c r="DM862" s="1055"/>
      <c r="DN862" s="1055"/>
      <c r="DO862" s="1055"/>
      <c r="DP862" s="1055"/>
      <c r="DQ862" s="1055"/>
      <c r="DR862" s="1055"/>
      <c r="DS862" s="1055"/>
      <c r="DT862" s="1055"/>
      <c r="DU862" s="1055"/>
      <c r="DV862" s="1055"/>
      <c r="DW862" s="1055"/>
      <c r="DX862" s="1055"/>
      <c r="DY862" s="1055"/>
      <c r="DZ862" s="1055"/>
      <c r="EA862" s="1055"/>
      <c r="EB862" s="1055"/>
      <c r="EC862" s="1055"/>
      <c r="ED862" s="1055"/>
      <c r="EE862" s="1055"/>
      <c r="EF862" s="1055"/>
      <c r="EG862" s="1055"/>
      <c r="EH862" s="1055"/>
      <c r="EI862" s="1055"/>
      <c r="EJ862" s="1055"/>
      <c r="EK862" s="1055"/>
      <c r="EL862" s="1055"/>
      <c r="EM862" s="1055"/>
      <c r="EN862" s="1055"/>
      <c r="EO862" s="1055"/>
      <c r="EP862" s="1055"/>
      <c r="EQ862" s="1055"/>
      <c r="ER862" s="1055"/>
      <c r="ES862" s="1055"/>
      <c r="ET862" s="1055"/>
      <c r="EU862" s="1055"/>
      <c r="EV862" s="1055"/>
      <c r="EW862" s="1055"/>
      <c r="EX862" s="1055"/>
      <c r="EY862" s="1055"/>
      <c r="EZ862" s="1055"/>
      <c r="FA862" s="1055"/>
      <c r="FB862" s="1055"/>
      <c r="FC862" s="1055"/>
      <c r="FD862" s="1055"/>
      <c r="FE862" s="1055"/>
      <c r="FF862" s="1055"/>
      <c r="FG862" s="1055"/>
      <c r="FH862" s="1055"/>
      <c r="FI862" s="1055"/>
      <c r="FJ862" s="1055"/>
      <c r="FK862" s="1055"/>
      <c r="FL862" s="1055"/>
      <c r="FM862" s="1055"/>
      <c r="FN862" s="1055"/>
      <c r="FO862" s="1055"/>
      <c r="FP862" s="1055"/>
      <c r="FQ862" s="1055"/>
      <c r="FR862" s="1055"/>
      <c r="FS862" s="1055"/>
      <c r="FT862" s="1055"/>
      <c r="FU862" s="1055"/>
      <c r="FV862" s="1055"/>
      <c r="FW862" s="1055"/>
      <c r="FX862" s="1055"/>
      <c r="FY862" s="1055"/>
      <c r="FZ862" s="1055"/>
      <c r="GA862" s="1055"/>
      <c r="GB862" s="1055"/>
      <c r="GC862" s="1055"/>
      <c r="GD862" s="1055"/>
      <c r="GE862" s="1055"/>
      <c r="GF862" s="1055"/>
      <c r="GG862" s="1055"/>
      <c r="GH862" s="1055"/>
      <c r="GI862" s="1055"/>
      <c r="GJ862" s="1055"/>
      <c r="GK862" s="1055"/>
      <c r="GL862" s="1055"/>
      <c r="GM862" s="1055"/>
      <c r="GN862" s="1055"/>
      <c r="GO862" s="1055"/>
      <c r="GP862" s="1055"/>
      <c r="GQ862" s="1055"/>
      <c r="GR862" s="1055"/>
      <c r="GS862" s="1055"/>
      <c r="GT862" s="1055"/>
      <c r="GU862" s="1055"/>
      <c r="GV862" s="1055"/>
      <c r="GW862" s="1055"/>
      <c r="GX862" s="1055"/>
      <c r="GY862" s="1055"/>
      <c r="GZ862" s="1055"/>
      <c r="HA862" s="1055"/>
      <c r="HB862" s="1055"/>
      <c r="HC862" s="1055"/>
      <c r="HD862" s="1055"/>
      <c r="HE862" s="1055"/>
      <c r="HF862" s="1055"/>
      <c r="HG862" s="1055"/>
      <c r="HH862" s="1055"/>
      <c r="HI862" s="1055"/>
      <c r="HJ862" s="1055"/>
      <c r="HK862" s="1055"/>
      <c r="HL862" s="1055"/>
      <c r="HM862" s="1055"/>
      <c r="HN862" s="1055"/>
      <c r="HO862" s="1055"/>
      <c r="HP862" s="1055"/>
      <c r="HQ862" s="1055"/>
      <c r="HR862" s="1055"/>
      <c r="HS862" s="1055"/>
      <c r="HT862" s="1055"/>
      <c r="HU862" s="1055"/>
      <c r="HV862" s="1055"/>
      <c r="HW862" s="1055"/>
      <c r="HX862" s="1055"/>
      <c r="HY862" s="1055"/>
      <c r="HZ862" s="1055"/>
      <c r="IA862" s="1055"/>
      <c r="IB862" s="1055"/>
      <c r="IC862" s="1055"/>
      <c r="ID862" s="1055"/>
      <c r="IE862" s="1055"/>
      <c r="IF862" s="1055"/>
      <c r="IG862" s="1055"/>
      <c r="IH862" s="1055"/>
      <c r="II862" s="1055"/>
      <c r="IJ862" s="1055"/>
      <c r="IK862" s="1055"/>
      <c r="IL862" s="1055"/>
      <c r="IM862" s="1055"/>
      <c r="IN862" s="1055"/>
      <c r="IO862" s="1055"/>
      <c r="IP862" s="1055"/>
      <c r="IQ862" s="1055"/>
      <c r="IR862" s="1055"/>
      <c r="IS862" s="1055"/>
      <c r="IT862" s="1055"/>
      <c r="IU862" s="1055"/>
      <c r="IV862" s="1055"/>
      <c r="IW862" s="1055"/>
      <c r="IX862" s="1055"/>
    </row>
    <row r="863" spans="1:258" s="130" customFormat="1" x14ac:dyDescent="0.25">
      <c r="A863" s="125">
        <f t="shared" si="112"/>
        <v>823</v>
      </c>
      <c r="B863" s="1055"/>
      <c r="C863" s="641" t="s">
        <v>11756</v>
      </c>
      <c r="D863" s="924">
        <v>0</v>
      </c>
      <c r="E863" s="906">
        <f t="shared" ref="E863:E874" si="113">D863/8*12</f>
        <v>0</v>
      </c>
      <c r="F863" s="136">
        <v>1</v>
      </c>
      <c r="G863" s="122" t="s">
        <v>1963</v>
      </c>
      <c r="H863" s="1055"/>
      <c r="I863" s="1055"/>
      <c r="J863" s="1055"/>
      <c r="K863" s="1055"/>
      <c r="L863" s="1055"/>
      <c r="M863" s="1055"/>
      <c r="N863" s="1055"/>
      <c r="O863" s="1055"/>
      <c r="P863" s="1055"/>
      <c r="Q863" s="1055"/>
      <c r="R863" s="1055"/>
      <c r="S863" s="1055"/>
      <c r="T863" s="1055"/>
      <c r="U863" s="1055"/>
      <c r="V863" s="1055"/>
      <c r="W863" s="1055"/>
      <c r="X863" s="1055"/>
      <c r="Y863" s="1055"/>
      <c r="Z863" s="1055"/>
      <c r="AA863" s="1055"/>
      <c r="AB863" s="1055"/>
      <c r="AC863" s="1055"/>
      <c r="AD863" s="1055"/>
      <c r="AE863" s="1055"/>
      <c r="AF863" s="1055"/>
      <c r="AG863" s="1055"/>
      <c r="AH863" s="1055"/>
      <c r="AI863" s="1055"/>
      <c r="AJ863" s="1055"/>
      <c r="AK863" s="1055"/>
      <c r="AL863" s="1055"/>
      <c r="AM863" s="1055"/>
      <c r="AN863" s="1055"/>
      <c r="AO863" s="1055"/>
      <c r="AP863" s="1055"/>
      <c r="AQ863" s="1055"/>
      <c r="AR863" s="1055"/>
      <c r="AS863" s="1055"/>
      <c r="AT863" s="1055"/>
      <c r="AU863" s="1055"/>
      <c r="AV863" s="1055"/>
      <c r="AW863" s="1055"/>
      <c r="AX863" s="1055"/>
      <c r="AY863" s="1055"/>
      <c r="AZ863" s="1055"/>
      <c r="BA863" s="1055"/>
      <c r="BB863" s="1055"/>
      <c r="BC863" s="1055"/>
      <c r="BD863" s="1055"/>
      <c r="BE863" s="1055"/>
      <c r="BF863" s="1055"/>
      <c r="BG863" s="1055"/>
      <c r="BH863" s="1055"/>
      <c r="BI863" s="1055"/>
      <c r="BJ863" s="1055"/>
      <c r="BK863" s="1055"/>
      <c r="BL863" s="1055"/>
      <c r="BM863" s="1055"/>
      <c r="BN863" s="1055"/>
      <c r="BO863" s="1055"/>
      <c r="BP863" s="1055"/>
      <c r="BQ863" s="1055"/>
      <c r="BR863" s="1055"/>
      <c r="BS863" s="1055"/>
      <c r="BT863" s="1055"/>
      <c r="BU863" s="1055"/>
      <c r="BV863" s="1055"/>
      <c r="BW863" s="1055"/>
      <c r="BX863" s="1055"/>
      <c r="BY863" s="1055"/>
      <c r="BZ863" s="1055"/>
      <c r="CA863" s="1055"/>
      <c r="CB863" s="1055"/>
      <c r="CC863" s="1055"/>
      <c r="CD863" s="1055"/>
      <c r="CE863" s="1055"/>
      <c r="CF863" s="1055"/>
      <c r="CG863" s="1055"/>
      <c r="CH863" s="1055"/>
      <c r="CI863" s="1055"/>
      <c r="CJ863" s="1055"/>
      <c r="CK863" s="1055"/>
      <c r="CL863" s="1055"/>
      <c r="CM863" s="1055"/>
      <c r="CN863" s="1055"/>
      <c r="CO863" s="1055"/>
      <c r="CP863" s="1055"/>
      <c r="CQ863" s="1055"/>
      <c r="CR863" s="1055"/>
      <c r="CS863" s="1055"/>
      <c r="CT863" s="1055"/>
      <c r="CU863" s="1055"/>
      <c r="CV863" s="1055"/>
      <c r="CW863" s="1055"/>
      <c r="CX863" s="1055"/>
      <c r="CY863" s="1055"/>
      <c r="CZ863" s="1055"/>
      <c r="DA863" s="1055"/>
      <c r="DB863" s="1055"/>
      <c r="DC863" s="1055"/>
      <c r="DD863" s="1055"/>
      <c r="DE863" s="1055"/>
      <c r="DF863" s="1055"/>
      <c r="DG863" s="1055"/>
      <c r="DH863" s="1055"/>
      <c r="DI863" s="1055"/>
      <c r="DJ863" s="1055"/>
      <c r="DK863" s="1055"/>
      <c r="DL863" s="1055"/>
      <c r="DM863" s="1055"/>
      <c r="DN863" s="1055"/>
      <c r="DO863" s="1055"/>
      <c r="DP863" s="1055"/>
      <c r="DQ863" s="1055"/>
      <c r="DR863" s="1055"/>
      <c r="DS863" s="1055"/>
      <c r="DT863" s="1055"/>
      <c r="DU863" s="1055"/>
      <c r="DV863" s="1055"/>
      <c r="DW863" s="1055"/>
      <c r="DX863" s="1055"/>
      <c r="DY863" s="1055"/>
      <c r="DZ863" s="1055"/>
      <c r="EA863" s="1055"/>
      <c r="EB863" s="1055"/>
      <c r="EC863" s="1055"/>
      <c r="ED863" s="1055"/>
      <c r="EE863" s="1055"/>
      <c r="EF863" s="1055"/>
      <c r="EG863" s="1055"/>
      <c r="EH863" s="1055"/>
      <c r="EI863" s="1055"/>
      <c r="EJ863" s="1055"/>
      <c r="EK863" s="1055"/>
      <c r="EL863" s="1055"/>
      <c r="EM863" s="1055"/>
      <c r="EN863" s="1055"/>
      <c r="EO863" s="1055"/>
      <c r="EP863" s="1055"/>
      <c r="EQ863" s="1055"/>
      <c r="ER863" s="1055"/>
      <c r="ES863" s="1055"/>
      <c r="ET863" s="1055"/>
      <c r="EU863" s="1055"/>
      <c r="EV863" s="1055"/>
      <c r="EW863" s="1055"/>
      <c r="EX863" s="1055"/>
      <c r="EY863" s="1055"/>
      <c r="EZ863" s="1055"/>
      <c r="FA863" s="1055"/>
      <c r="FB863" s="1055"/>
      <c r="FC863" s="1055"/>
      <c r="FD863" s="1055"/>
      <c r="FE863" s="1055"/>
      <c r="FF863" s="1055"/>
      <c r="FG863" s="1055"/>
      <c r="FH863" s="1055"/>
      <c r="FI863" s="1055"/>
      <c r="FJ863" s="1055"/>
      <c r="FK863" s="1055"/>
      <c r="FL863" s="1055"/>
      <c r="FM863" s="1055"/>
      <c r="FN863" s="1055"/>
      <c r="FO863" s="1055"/>
      <c r="FP863" s="1055"/>
      <c r="FQ863" s="1055"/>
      <c r="FR863" s="1055"/>
      <c r="FS863" s="1055"/>
      <c r="FT863" s="1055"/>
      <c r="FU863" s="1055"/>
      <c r="FV863" s="1055"/>
      <c r="FW863" s="1055"/>
      <c r="FX863" s="1055"/>
      <c r="FY863" s="1055"/>
      <c r="FZ863" s="1055"/>
      <c r="GA863" s="1055"/>
      <c r="GB863" s="1055"/>
      <c r="GC863" s="1055"/>
      <c r="GD863" s="1055"/>
      <c r="GE863" s="1055"/>
      <c r="GF863" s="1055"/>
      <c r="GG863" s="1055"/>
      <c r="GH863" s="1055"/>
      <c r="GI863" s="1055"/>
      <c r="GJ863" s="1055"/>
      <c r="GK863" s="1055"/>
      <c r="GL863" s="1055"/>
      <c r="GM863" s="1055"/>
      <c r="GN863" s="1055"/>
      <c r="GO863" s="1055"/>
      <c r="GP863" s="1055"/>
      <c r="GQ863" s="1055"/>
      <c r="GR863" s="1055"/>
      <c r="GS863" s="1055"/>
      <c r="GT863" s="1055"/>
      <c r="GU863" s="1055"/>
      <c r="GV863" s="1055"/>
      <c r="GW863" s="1055"/>
      <c r="GX863" s="1055"/>
      <c r="GY863" s="1055"/>
      <c r="GZ863" s="1055"/>
      <c r="HA863" s="1055"/>
      <c r="HB863" s="1055"/>
      <c r="HC863" s="1055"/>
      <c r="HD863" s="1055"/>
      <c r="HE863" s="1055"/>
      <c r="HF863" s="1055"/>
      <c r="HG863" s="1055"/>
      <c r="HH863" s="1055"/>
      <c r="HI863" s="1055"/>
      <c r="HJ863" s="1055"/>
      <c r="HK863" s="1055"/>
      <c r="HL863" s="1055"/>
      <c r="HM863" s="1055"/>
      <c r="HN863" s="1055"/>
      <c r="HO863" s="1055"/>
      <c r="HP863" s="1055"/>
      <c r="HQ863" s="1055"/>
      <c r="HR863" s="1055"/>
      <c r="HS863" s="1055"/>
      <c r="HT863" s="1055"/>
      <c r="HU863" s="1055"/>
      <c r="HV863" s="1055"/>
      <c r="HW863" s="1055"/>
      <c r="HX863" s="1055"/>
      <c r="HY863" s="1055"/>
      <c r="HZ863" s="1055"/>
      <c r="IA863" s="1055"/>
      <c r="IB863" s="1055"/>
      <c r="IC863" s="1055"/>
      <c r="ID863" s="1055"/>
      <c r="IE863" s="1055"/>
      <c r="IF863" s="1055"/>
      <c r="IG863" s="1055"/>
      <c r="IH863" s="1055"/>
      <c r="II863" s="1055"/>
      <c r="IJ863" s="1055"/>
      <c r="IK863" s="1055"/>
      <c r="IL863" s="1055"/>
      <c r="IM863" s="1055"/>
      <c r="IN863" s="1055"/>
      <c r="IO863" s="1055"/>
      <c r="IP863" s="1055"/>
      <c r="IQ863" s="1055"/>
      <c r="IR863" s="1055"/>
      <c r="IS863" s="1055"/>
      <c r="IT863" s="1055"/>
      <c r="IU863" s="1055"/>
      <c r="IV863" s="1055"/>
      <c r="IW863" s="1055"/>
      <c r="IX863" s="1055"/>
    </row>
    <row r="864" spans="1:258" s="130" customFormat="1" x14ac:dyDescent="0.25">
      <c r="A864" s="125">
        <f t="shared" si="112"/>
        <v>824</v>
      </c>
      <c r="B864" s="1055"/>
      <c r="C864" s="641" t="s">
        <v>11757</v>
      </c>
      <c r="D864" s="924">
        <v>0</v>
      </c>
      <c r="E864" s="906">
        <f t="shared" si="113"/>
        <v>0</v>
      </c>
      <c r="F864" s="136">
        <v>1100</v>
      </c>
      <c r="G864" s="122" t="s">
        <v>1963</v>
      </c>
      <c r="H864" s="1055"/>
      <c r="I864" s="1055"/>
      <c r="J864" s="1055"/>
      <c r="K864" s="1055"/>
      <c r="L864" s="1055"/>
      <c r="M864" s="1055"/>
      <c r="N864" s="1055"/>
      <c r="O864" s="1055"/>
      <c r="P864" s="1055"/>
      <c r="Q864" s="1055"/>
      <c r="R864" s="1055"/>
      <c r="S864" s="1055"/>
      <c r="T864" s="1055"/>
      <c r="U864" s="1055"/>
      <c r="V864" s="1055"/>
      <c r="W864" s="1055"/>
      <c r="X864" s="1055"/>
      <c r="Y864" s="1055"/>
      <c r="Z864" s="1055"/>
      <c r="AA864" s="1055"/>
      <c r="AB864" s="1055"/>
      <c r="AC864" s="1055"/>
      <c r="AD864" s="1055"/>
      <c r="AE864" s="1055"/>
      <c r="AF864" s="1055"/>
      <c r="AG864" s="1055"/>
      <c r="AH864" s="1055"/>
      <c r="AI864" s="1055"/>
      <c r="AJ864" s="1055"/>
      <c r="AK864" s="1055"/>
      <c r="AL864" s="1055"/>
      <c r="AM864" s="1055"/>
      <c r="AN864" s="1055"/>
      <c r="AO864" s="1055"/>
      <c r="AP864" s="1055"/>
      <c r="AQ864" s="1055"/>
      <c r="AR864" s="1055"/>
      <c r="AS864" s="1055"/>
      <c r="AT864" s="1055"/>
      <c r="AU864" s="1055"/>
      <c r="AV864" s="1055"/>
      <c r="AW864" s="1055"/>
      <c r="AX864" s="1055"/>
      <c r="AY864" s="1055"/>
      <c r="AZ864" s="1055"/>
      <c r="BA864" s="1055"/>
      <c r="BB864" s="1055"/>
      <c r="BC864" s="1055"/>
      <c r="BD864" s="1055"/>
      <c r="BE864" s="1055"/>
      <c r="BF864" s="1055"/>
      <c r="BG864" s="1055"/>
      <c r="BH864" s="1055"/>
      <c r="BI864" s="1055"/>
      <c r="BJ864" s="1055"/>
      <c r="BK864" s="1055"/>
      <c r="BL864" s="1055"/>
      <c r="BM864" s="1055"/>
      <c r="BN864" s="1055"/>
      <c r="BO864" s="1055"/>
      <c r="BP864" s="1055"/>
      <c r="BQ864" s="1055"/>
      <c r="BR864" s="1055"/>
      <c r="BS864" s="1055"/>
      <c r="BT864" s="1055"/>
      <c r="BU864" s="1055"/>
      <c r="BV864" s="1055"/>
      <c r="BW864" s="1055"/>
      <c r="BX864" s="1055"/>
      <c r="BY864" s="1055"/>
      <c r="BZ864" s="1055"/>
      <c r="CA864" s="1055"/>
      <c r="CB864" s="1055"/>
      <c r="CC864" s="1055"/>
      <c r="CD864" s="1055"/>
      <c r="CE864" s="1055"/>
      <c r="CF864" s="1055"/>
      <c r="CG864" s="1055"/>
      <c r="CH864" s="1055"/>
      <c r="CI864" s="1055"/>
      <c r="CJ864" s="1055"/>
      <c r="CK864" s="1055"/>
      <c r="CL864" s="1055"/>
      <c r="CM864" s="1055"/>
      <c r="CN864" s="1055"/>
      <c r="CO864" s="1055"/>
      <c r="CP864" s="1055"/>
      <c r="CQ864" s="1055"/>
      <c r="CR864" s="1055"/>
      <c r="CS864" s="1055"/>
      <c r="CT864" s="1055"/>
      <c r="CU864" s="1055"/>
      <c r="CV864" s="1055"/>
      <c r="CW864" s="1055"/>
      <c r="CX864" s="1055"/>
      <c r="CY864" s="1055"/>
      <c r="CZ864" s="1055"/>
      <c r="DA864" s="1055"/>
      <c r="DB864" s="1055"/>
      <c r="DC864" s="1055"/>
      <c r="DD864" s="1055"/>
      <c r="DE864" s="1055"/>
      <c r="DF864" s="1055"/>
      <c r="DG864" s="1055"/>
      <c r="DH864" s="1055"/>
      <c r="DI864" s="1055"/>
      <c r="DJ864" s="1055"/>
      <c r="DK864" s="1055"/>
      <c r="DL864" s="1055"/>
      <c r="DM864" s="1055"/>
      <c r="DN864" s="1055"/>
      <c r="DO864" s="1055"/>
      <c r="DP864" s="1055"/>
      <c r="DQ864" s="1055"/>
      <c r="DR864" s="1055"/>
      <c r="DS864" s="1055"/>
      <c r="DT864" s="1055"/>
      <c r="DU864" s="1055"/>
      <c r="DV864" s="1055"/>
      <c r="DW864" s="1055"/>
      <c r="DX864" s="1055"/>
      <c r="DY864" s="1055"/>
      <c r="DZ864" s="1055"/>
      <c r="EA864" s="1055"/>
      <c r="EB864" s="1055"/>
      <c r="EC864" s="1055"/>
      <c r="ED864" s="1055"/>
      <c r="EE864" s="1055"/>
      <c r="EF864" s="1055"/>
      <c r="EG864" s="1055"/>
      <c r="EH864" s="1055"/>
      <c r="EI864" s="1055"/>
      <c r="EJ864" s="1055"/>
      <c r="EK864" s="1055"/>
      <c r="EL864" s="1055"/>
      <c r="EM864" s="1055"/>
      <c r="EN864" s="1055"/>
      <c r="EO864" s="1055"/>
      <c r="EP864" s="1055"/>
      <c r="EQ864" s="1055"/>
      <c r="ER864" s="1055"/>
      <c r="ES864" s="1055"/>
      <c r="ET864" s="1055"/>
      <c r="EU864" s="1055"/>
      <c r="EV864" s="1055"/>
      <c r="EW864" s="1055"/>
      <c r="EX864" s="1055"/>
      <c r="EY864" s="1055"/>
      <c r="EZ864" s="1055"/>
      <c r="FA864" s="1055"/>
      <c r="FB864" s="1055"/>
      <c r="FC864" s="1055"/>
      <c r="FD864" s="1055"/>
      <c r="FE864" s="1055"/>
      <c r="FF864" s="1055"/>
      <c r="FG864" s="1055"/>
      <c r="FH864" s="1055"/>
      <c r="FI864" s="1055"/>
      <c r="FJ864" s="1055"/>
      <c r="FK864" s="1055"/>
      <c r="FL864" s="1055"/>
      <c r="FM864" s="1055"/>
      <c r="FN864" s="1055"/>
      <c r="FO864" s="1055"/>
      <c r="FP864" s="1055"/>
      <c r="FQ864" s="1055"/>
      <c r="FR864" s="1055"/>
      <c r="FS864" s="1055"/>
      <c r="FT864" s="1055"/>
      <c r="FU864" s="1055"/>
      <c r="FV864" s="1055"/>
      <c r="FW864" s="1055"/>
      <c r="FX864" s="1055"/>
      <c r="FY864" s="1055"/>
      <c r="FZ864" s="1055"/>
      <c r="GA864" s="1055"/>
      <c r="GB864" s="1055"/>
      <c r="GC864" s="1055"/>
      <c r="GD864" s="1055"/>
      <c r="GE864" s="1055"/>
      <c r="GF864" s="1055"/>
      <c r="GG864" s="1055"/>
      <c r="GH864" s="1055"/>
      <c r="GI864" s="1055"/>
      <c r="GJ864" s="1055"/>
      <c r="GK864" s="1055"/>
      <c r="GL864" s="1055"/>
      <c r="GM864" s="1055"/>
      <c r="GN864" s="1055"/>
      <c r="GO864" s="1055"/>
      <c r="GP864" s="1055"/>
      <c r="GQ864" s="1055"/>
      <c r="GR864" s="1055"/>
      <c r="GS864" s="1055"/>
      <c r="GT864" s="1055"/>
      <c r="GU864" s="1055"/>
      <c r="GV864" s="1055"/>
      <c r="GW864" s="1055"/>
      <c r="GX864" s="1055"/>
      <c r="GY864" s="1055"/>
      <c r="GZ864" s="1055"/>
      <c r="HA864" s="1055"/>
      <c r="HB864" s="1055"/>
      <c r="HC864" s="1055"/>
      <c r="HD864" s="1055"/>
      <c r="HE864" s="1055"/>
      <c r="HF864" s="1055"/>
      <c r="HG864" s="1055"/>
      <c r="HH864" s="1055"/>
      <c r="HI864" s="1055"/>
      <c r="HJ864" s="1055"/>
      <c r="HK864" s="1055"/>
      <c r="HL864" s="1055"/>
      <c r="HM864" s="1055"/>
      <c r="HN864" s="1055"/>
      <c r="HO864" s="1055"/>
      <c r="HP864" s="1055"/>
      <c r="HQ864" s="1055"/>
      <c r="HR864" s="1055"/>
      <c r="HS864" s="1055"/>
      <c r="HT864" s="1055"/>
      <c r="HU864" s="1055"/>
      <c r="HV864" s="1055"/>
      <c r="HW864" s="1055"/>
      <c r="HX864" s="1055"/>
      <c r="HY864" s="1055"/>
      <c r="HZ864" s="1055"/>
      <c r="IA864" s="1055"/>
      <c r="IB864" s="1055"/>
      <c r="IC864" s="1055"/>
      <c r="ID864" s="1055"/>
      <c r="IE864" s="1055"/>
      <c r="IF864" s="1055"/>
      <c r="IG864" s="1055"/>
      <c r="IH864" s="1055"/>
      <c r="II864" s="1055"/>
      <c r="IJ864" s="1055"/>
      <c r="IK864" s="1055"/>
      <c r="IL864" s="1055"/>
      <c r="IM864" s="1055"/>
      <c r="IN864" s="1055"/>
      <c r="IO864" s="1055"/>
      <c r="IP864" s="1055"/>
      <c r="IQ864" s="1055"/>
      <c r="IR864" s="1055"/>
      <c r="IS864" s="1055"/>
      <c r="IT864" s="1055"/>
      <c r="IU864" s="1055"/>
      <c r="IV864" s="1055"/>
      <c r="IW864" s="1055"/>
      <c r="IX864" s="1055"/>
    </row>
    <row r="865" spans="1:258" s="130" customFormat="1" x14ac:dyDescent="0.25">
      <c r="A865" s="125">
        <f t="shared" si="112"/>
        <v>825</v>
      </c>
      <c r="B865" s="1055"/>
      <c r="C865" s="641" t="s">
        <v>11760</v>
      </c>
      <c r="D865" s="924">
        <v>0</v>
      </c>
      <c r="E865" s="906">
        <f t="shared" si="113"/>
        <v>0</v>
      </c>
      <c r="F865" s="136">
        <v>0</v>
      </c>
      <c r="G865" s="122" t="s">
        <v>1963</v>
      </c>
      <c r="H865" s="1055"/>
      <c r="I865" s="1055"/>
      <c r="J865" s="1055"/>
      <c r="K865" s="1055"/>
      <c r="L865" s="1055"/>
      <c r="M865" s="1055"/>
      <c r="N865" s="1055"/>
      <c r="O865" s="1055"/>
      <c r="P865" s="1055"/>
      <c r="Q865" s="1055"/>
      <c r="R865" s="1055"/>
      <c r="S865" s="1055"/>
      <c r="T865" s="1055"/>
      <c r="U865" s="1055"/>
      <c r="V865" s="1055"/>
      <c r="W865" s="1055"/>
      <c r="X865" s="1055"/>
      <c r="Y865" s="1055"/>
      <c r="Z865" s="1055"/>
      <c r="AA865" s="1055"/>
      <c r="AB865" s="1055"/>
      <c r="AC865" s="1055"/>
      <c r="AD865" s="1055"/>
      <c r="AE865" s="1055"/>
      <c r="AF865" s="1055"/>
      <c r="AG865" s="1055"/>
      <c r="AH865" s="1055"/>
      <c r="AI865" s="1055"/>
      <c r="AJ865" s="1055"/>
      <c r="AK865" s="1055"/>
      <c r="AL865" s="1055"/>
      <c r="AM865" s="1055"/>
      <c r="AN865" s="1055"/>
      <c r="AO865" s="1055"/>
      <c r="AP865" s="1055"/>
      <c r="AQ865" s="1055"/>
      <c r="AR865" s="1055"/>
      <c r="AS865" s="1055"/>
      <c r="AT865" s="1055"/>
      <c r="AU865" s="1055"/>
      <c r="AV865" s="1055"/>
      <c r="AW865" s="1055"/>
      <c r="AX865" s="1055"/>
      <c r="AY865" s="1055"/>
      <c r="AZ865" s="1055"/>
      <c r="BA865" s="1055"/>
      <c r="BB865" s="1055"/>
      <c r="BC865" s="1055"/>
      <c r="BD865" s="1055"/>
      <c r="BE865" s="1055"/>
      <c r="BF865" s="1055"/>
      <c r="BG865" s="1055"/>
      <c r="BH865" s="1055"/>
      <c r="BI865" s="1055"/>
      <c r="BJ865" s="1055"/>
      <c r="BK865" s="1055"/>
      <c r="BL865" s="1055"/>
      <c r="BM865" s="1055"/>
      <c r="BN865" s="1055"/>
      <c r="BO865" s="1055"/>
      <c r="BP865" s="1055"/>
      <c r="BQ865" s="1055"/>
      <c r="BR865" s="1055"/>
      <c r="BS865" s="1055"/>
      <c r="BT865" s="1055"/>
      <c r="BU865" s="1055"/>
      <c r="BV865" s="1055"/>
      <c r="BW865" s="1055"/>
      <c r="BX865" s="1055"/>
      <c r="BY865" s="1055"/>
      <c r="BZ865" s="1055"/>
      <c r="CA865" s="1055"/>
      <c r="CB865" s="1055"/>
      <c r="CC865" s="1055"/>
      <c r="CD865" s="1055"/>
      <c r="CE865" s="1055"/>
      <c r="CF865" s="1055"/>
      <c r="CG865" s="1055"/>
      <c r="CH865" s="1055"/>
      <c r="CI865" s="1055"/>
      <c r="CJ865" s="1055"/>
      <c r="CK865" s="1055"/>
      <c r="CL865" s="1055"/>
      <c r="CM865" s="1055"/>
      <c r="CN865" s="1055"/>
      <c r="CO865" s="1055"/>
      <c r="CP865" s="1055"/>
      <c r="CQ865" s="1055"/>
      <c r="CR865" s="1055"/>
      <c r="CS865" s="1055"/>
      <c r="CT865" s="1055"/>
      <c r="CU865" s="1055"/>
      <c r="CV865" s="1055"/>
      <c r="CW865" s="1055"/>
      <c r="CX865" s="1055"/>
      <c r="CY865" s="1055"/>
      <c r="CZ865" s="1055"/>
      <c r="DA865" s="1055"/>
      <c r="DB865" s="1055"/>
      <c r="DC865" s="1055"/>
      <c r="DD865" s="1055"/>
      <c r="DE865" s="1055"/>
      <c r="DF865" s="1055"/>
      <c r="DG865" s="1055"/>
      <c r="DH865" s="1055"/>
      <c r="DI865" s="1055"/>
      <c r="DJ865" s="1055"/>
      <c r="DK865" s="1055"/>
      <c r="DL865" s="1055"/>
      <c r="DM865" s="1055"/>
      <c r="DN865" s="1055"/>
      <c r="DO865" s="1055"/>
      <c r="DP865" s="1055"/>
      <c r="DQ865" s="1055"/>
      <c r="DR865" s="1055"/>
      <c r="DS865" s="1055"/>
      <c r="DT865" s="1055"/>
      <c r="DU865" s="1055"/>
      <c r="DV865" s="1055"/>
      <c r="DW865" s="1055"/>
      <c r="DX865" s="1055"/>
      <c r="DY865" s="1055"/>
      <c r="DZ865" s="1055"/>
      <c r="EA865" s="1055"/>
      <c r="EB865" s="1055"/>
      <c r="EC865" s="1055"/>
      <c r="ED865" s="1055"/>
      <c r="EE865" s="1055"/>
      <c r="EF865" s="1055"/>
      <c r="EG865" s="1055"/>
      <c r="EH865" s="1055"/>
      <c r="EI865" s="1055"/>
      <c r="EJ865" s="1055"/>
      <c r="EK865" s="1055"/>
      <c r="EL865" s="1055"/>
      <c r="EM865" s="1055"/>
      <c r="EN865" s="1055"/>
      <c r="EO865" s="1055"/>
      <c r="EP865" s="1055"/>
      <c r="EQ865" s="1055"/>
      <c r="ER865" s="1055"/>
      <c r="ES865" s="1055"/>
      <c r="ET865" s="1055"/>
      <c r="EU865" s="1055"/>
      <c r="EV865" s="1055"/>
      <c r="EW865" s="1055"/>
      <c r="EX865" s="1055"/>
      <c r="EY865" s="1055"/>
      <c r="EZ865" s="1055"/>
      <c r="FA865" s="1055"/>
      <c r="FB865" s="1055"/>
      <c r="FC865" s="1055"/>
      <c r="FD865" s="1055"/>
      <c r="FE865" s="1055"/>
      <c r="FF865" s="1055"/>
      <c r="FG865" s="1055"/>
      <c r="FH865" s="1055"/>
      <c r="FI865" s="1055"/>
      <c r="FJ865" s="1055"/>
      <c r="FK865" s="1055"/>
      <c r="FL865" s="1055"/>
      <c r="FM865" s="1055"/>
      <c r="FN865" s="1055"/>
      <c r="FO865" s="1055"/>
      <c r="FP865" s="1055"/>
      <c r="FQ865" s="1055"/>
      <c r="FR865" s="1055"/>
      <c r="FS865" s="1055"/>
      <c r="FT865" s="1055"/>
      <c r="FU865" s="1055"/>
      <c r="FV865" s="1055"/>
      <c r="FW865" s="1055"/>
      <c r="FX865" s="1055"/>
      <c r="FY865" s="1055"/>
      <c r="FZ865" s="1055"/>
      <c r="GA865" s="1055"/>
      <c r="GB865" s="1055"/>
      <c r="GC865" s="1055"/>
      <c r="GD865" s="1055"/>
      <c r="GE865" s="1055"/>
      <c r="GF865" s="1055"/>
      <c r="GG865" s="1055"/>
      <c r="GH865" s="1055"/>
      <c r="GI865" s="1055"/>
      <c r="GJ865" s="1055"/>
      <c r="GK865" s="1055"/>
      <c r="GL865" s="1055"/>
      <c r="GM865" s="1055"/>
      <c r="GN865" s="1055"/>
      <c r="GO865" s="1055"/>
      <c r="GP865" s="1055"/>
      <c r="GQ865" s="1055"/>
      <c r="GR865" s="1055"/>
      <c r="GS865" s="1055"/>
      <c r="GT865" s="1055"/>
      <c r="GU865" s="1055"/>
      <c r="GV865" s="1055"/>
      <c r="GW865" s="1055"/>
      <c r="GX865" s="1055"/>
      <c r="GY865" s="1055"/>
      <c r="GZ865" s="1055"/>
      <c r="HA865" s="1055"/>
      <c r="HB865" s="1055"/>
      <c r="HC865" s="1055"/>
      <c r="HD865" s="1055"/>
      <c r="HE865" s="1055"/>
      <c r="HF865" s="1055"/>
      <c r="HG865" s="1055"/>
      <c r="HH865" s="1055"/>
      <c r="HI865" s="1055"/>
      <c r="HJ865" s="1055"/>
      <c r="HK865" s="1055"/>
      <c r="HL865" s="1055"/>
      <c r="HM865" s="1055"/>
      <c r="HN865" s="1055"/>
      <c r="HO865" s="1055"/>
      <c r="HP865" s="1055"/>
      <c r="HQ865" s="1055"/>
      <c r="HR865" s="1055"/>
      <c r="HS865" s="1055"/>
      <c r="HT865" s="1055"/>
      <c r="HU865" s="1055"/>
      <c r="HV865" s="1055"/>
      <c r="HW865" s="1055"/>
      <c r="HX865" s="1055"/>
      <c r="HY865" s="1055"/>
      <c r="HZ865" s="1055"/>
      <c r="IA865" s="1055"/>
      <c r="IB865" s="1055"/>
      <c r="IC865" s="1055"/>
      <c r="ID865" s="1055"/>
      <c r="IE865" s="1055"/>
      <c r="IF865" s="1055"/>
      <c r="IG865" s="1055"/>
      <c r="IH865" s="1055"/>
      <c r="II865" s="1055"/>
      <c r="IJ865" s="1055"/>
      <c r="IK865" s="1055"/>
      <c r="IL865" s="1055"/>
      <c r="IM865" s="1055"/>
      <c r="IN865" s="1055"/>
      <c r="IO865" s="1055"/>
      <c r="IP865" s="1055"/>
      <c r="IQ865" s="1055"/>
      <c r="IR865" s="1055"/>
      <c r="IS865" s="1055"/>
      <c r="IT865" s="1055"/>
      <c r="IU865" s="1055"/>
      <c r="IV865" s="1055"/>
      <c r="IW865" s="1055"/>
      <c r="IX865" s="1055"/>
    </row>
    <row r="866" spans="1:258" s="130" customFormat="1" x14ac:dyDescent="0.25">
      <c r="A866" s="125">
        <f t="shared" si="112"/>
        <v>826</v>
      </c>
      <c r="B866" s="1055"/>
      <c r="C866" s="641" t="s">
        <v>11761</v>
      </c>
      <c r="D866" s="924">
        <v>0</v>
      </c>
      <c r="E866" s="906">
        <f t="shared" si="113"/>
        <v>0</v>
      </c>
      <c r="F866" s="136">
        <v>1</v>
      </c>
      <c r="G866" s="122" t="s">
        <v>1963</v>
      </c>
      <c r="H866" s="1055"/>
      <c r="I866" s="1055"/>
      <c r="J866" s="1055"/>
      <c r="K866" s="1055"/>
      <c r="L866" s="1055"/>
      <c r="M866" s="1055"/>
      <c r="N866" s="1055"/>
      <c r="O866" s="1055"/>
      <c r="P866" s="1055"/>
      <c r="Q866" s="1055"/>
      <c r="R866" s="1055"/>
      <c r="S866" s="1055"/>
      <c r="T866" s="1055"/>
      <c r="U866" s="1055"/>
      <c r="V866" s="1055"/>
      <c r="W866" s="1055"/>
      <c r="X866" s="1055"/>
      <c r="Y866" s="1055"/>
      <c r="Z866" s="1055"/>
      <c r="AA866" s="1055"/>
      <c r="AB866" s="1055"/>
      <c r="AC866" s="1055"/>
      <c r="AD866" s="1055"/>
      <c r="AE866" s="1055"/>
      <c r="AF866" s="1055"/>
      <c r="AG866" s="1055"/>
      <c r="AH866" s="1055"/>
      <c r="AI866" s="1055"/>
      <c r="AJ866" s="1055"/>
      <c r="AK866" s="1055"/>
      <c r="AL866" s="1055"/>
      <c r="AM866" s="1055"/>
      <c r="AN866" s="1055"/>
      <c r="AO866" s="1055"/>
      <c r="AP866" s="1055"/>
      <c r="AQ866" s="1055"/>
      <c r="AR866" s="1055"/>
      <c r="AS866" s="1055"/>
      <c r="AT866" s="1055"/>
      <c r="AU866" s="1055"/>
      <c r="AV866" s="1055"/>
      <c r="AW866" s="1055"/>
      <c r="AX866" s="1055"/>
      <c r="AY866" s="1055"/>
      <c r="AZ866" s="1055"/>
      <c r="BA866" s="1055"/>
      <c r="BB866" s="1055"/>
      <c r="BC866" s="1055"/>
      <c r="BD866" s="1055"/>
      <c r="BE866" s="1055"/>
      <c r="BF866" s="1055"/>
      <c r="BG866" s="1055"/>
      <c r="BH866" s="1055"/>
      <c r="BI866" s="1055"/>
      <c r="BJ866" s="1055"/>
      <c r="BK866" s="1055"/>
      <c r="BL866" s="1055"/>
      <c r="BM866" s="1055"/>
      <c r="BN866" s="1055"/>
      <c r="BO866" s="1055"/>
      <c r="BP866" s="1055"/>
      <c r="BQ866" s="1055"/>
      <c r="BR866" s="1055"/>
      <c r="BS866" s="1055"/>
      <c r="BT866" s="1055"/>
      <c r="BU866" s="1055"/>
      <c r="BV866" s="1055"/>
      <c r="BW866" s="1055"/>
      <c r="BX866" s="1055"/>
      <c r="BY866" s="1055"/>
      <c r="BZ866" s="1055"/>
      <c r="CA866" s="1055"/>
      <c r="CB866" s="1055"/>
      <c r="CC866" s="1055"/>
      <c r="CD866" s="1055"/>
      <c r="CE866" s="1055"/>
      <c r="CF866" s="1055"/>
      <c r="CG866" s="1055"/>
      <c r="CH866" s="1055"/>
      <c r="CI866" s="1055"/>
      <c r="CJ866" s="1055"/>
      <c r="CK866" s="1055"/>
      <c r="CL866" s="1055"/>
      <c r="CM866" s="1055"/>
      <c r="CN866" s="1055"/>
      <c r="CO866" s="1055"/>
      <c r="CP866" s="1055"/>
      <c r="CQ866" s="1055"/>
      <c r="CR866" s="1055"/>
      <c r="CS866" s="1055"/>
      <c r="CT866" s="1055"/>
      <c r="CU866" s="1055"/>
      <c r="CV866" s="1055"/>
      <c r="CW866" s="1055"/>
      <c r="CX866" s="1055"/>
      <c r="CY866" s="1055"/>
      <c r="CZ866" s="1055"/>
      <c r="DA866" s="1055"/>
      <c r="DB866" s="1055"/>
      <c r="DC866" s="1055"/>
      <c r="DD866" s="1055"/>
      <c r="DE866" s="1055"/>
      <c r="DF866" s="1055"/>
      <c r="DG866" s="1055"/>
      <c r="DH866" s="1055"/>
      <c r="DI866" s="1055"/>
      <c r="DJ866" s="1055"/>
      <c r="DK866" s="1055"/>
      <c r="DL866" s="1055"/>
      <c r="DM866" s="1055"/>
      <c r="DN866" s="1055"/>
      <c r="DO866" s="1055"/>
      <c r="DP866" s="1055"/>
      <c r="DQ866" s="1055"/>
      <c r="DR866" s="1055"/>
      <c r="DS866" s="1055"/>
      <c r="DT866" s="1055"/>
      <c r="DU866" s="1055"/>
      <c r="DV866" s="1055"/>
      <c r="DW866" s="1055"/>
      <c r="DX866" s="1055"/>
      <c r="DY866" s="1055"/>
      <c r="DZ866" s="1055"/>
      <c r="EA866" s="1055"/>
      <c r="EB866" s="1055"/>
      <c r="EC866" s="1055"/>
      <c r="ED866" s="1055"/>
      <c r="EE866" s="1055"/>
      <c r="EF866" s="1055"/>
      <c r="EG866" s="1055"/>
      <c r="EH866" s="1055"/>
      <c r="EI866" s="1055"/>
      <c r="EJ866" s="1055"/>
      <c r="EK866" s="1055"/>
      <c r="EL866" s="1055"/>
      <c r="EM866" s="1055"/>
      <c r="EN866" s="1055"/>
      <c r="EO866" s="1055"/>
      <c r="EP866" s="1055"/>
      <c r="EQ866" s="1055"/>
      <c r="ER866" s="1055"/>
      <c r="ES866" s="1055"/>
      <c r="ET866" s="1055"/>
      <c r="EU866" s="1055"/>
      <c r="EV866" s="1055"/>
      <c r="EW866" s="1055"/>
      <c r="EX866" s="1055"/>
      <c r="EY866" s="1055"/>
      <c r="EZ866" s="1055"/>
      <c r="FA866" s="1055"/>
      <c r="FB866" s="1055"/>
      <c r="FC866" s="1055"/>
      <c r="FD866" s="1055"/>
      <c r="FE866" s="1055"/>
      <c r="FF866" s="1055"/>
      <c r="FG866" s="1055"/>
      <c r="FH866" s="1055"/>
      <c r="FI866" s="1055"/>
      <c r="FJ866" s="1055"/>
      <c r="FK866" s="1055"/>
      <c r="FL866" s="1055"/>
      <c r="FM866" s="1055"/>
      <c r="FN866" s="1055"/>
      <c r="FO866" s="1055"/>
      <c r="FP866" s="1055"/>
      <c r="FQ866" s="1055"/>
      <c r="FR866" s="1055"/>
      <c r="FS866" s="1055"/>
      <c r="FT866" s="1055"/>
      <c r="FU866" s="1055"/>
      <c r="FV866" s="1055"/>
      <c r="FW866" s="1055"/>
      <c r="FX866" s="1055"/>
      <c r="FY866" s="1055"/>
      <c r="FZ866" s="1055"/>
      <c r="GA866" s="1055"/>
      <c r="GB866" s="1055"/>
      <c r="GC866" s="1055"/>
      <c r="GD866" s="1055"/>
      <c r="GE866" s="1055"/>
      <c r="GF866" s="1055"/>
      <c r="GG866" s="1055"/>
      <c r="GH866" s="1055"/>
      <c r="GI866" s="1055"/>
      <c r="GJ866" s="1055"/>
      <c r="GK866" s="1055"/>
      <c r="GL866" s="1055"/>
      <c r="GM866" s="1055"/>
      <c r="GN866" s="1055"/>
      <c r="GO866" s="1055"/>
      <c r="GP866" s="1055"/>
      <c r="GQ866" s="1055"/>
      <c r="GR866" s="1055"/>
      <c r="GS866" s="1055"/>
      <c r="GT866" s="1055"/>
      <c r="GU866" s="1055"/>
      <c r="GV866" s="1055"/>
      <c r="GW866" s="1055"/>
      <c r="GX866" s="1055"/>
      <c r="GY866" s="1055"/>
      <c r="GZ866" s="1055"/>
      <c r="HA866" s="1055"/>
      <c r="HB866" s="1055"/>
      <c r="HC866" s="1055"/>
      <c r="HD866" s="1055"/>
      <c r="HE866" s="1055"/>
      <c r="HF866" s="1055"/>
      <c r="HG866" s="1055"/>
      <c r="HH866" s="1055"/>
      <c r="HI866" s="1055"/>
      <c r="HJ866" s="1055"/>
      <c r="HK866" s="1055"/>
      <c r="HL866" s="1055"/>
      <c r="HM866" s="1055"/>
      <c r="HN866" s="1055"/>
      <c r="HO866" s="1055"/>
      <c r="HP866" s="1055"/>
      <c r="HQ866" s="1055"/>
      <c r="HR866" s="1055"/>
      <c r="HS866" s="1055"/>
      <c r="HT866" s="1055"/>
      <c r="HU866" s="1055"/>
      <c r="HV866" s="1055"/>
      <c r="HW866" s="1055"/>
      <c r="HX866" s="1055"/>
      <c r="HY866" s="1055"/>
      <c r="HZ866" s="1055"/>
      <c r="IA866" s="1055"/>
      <c r="IB866" s="1055"/>
      <c r="IC866" s="1055"/>
      <c r="ID866" s="1055"/>
      <c r="IE866" s="1055"/>
      <c r="IF866" s="1055"/>
      <c r="IG866" s="1055"/>
      <c r="IH866" s="1055"/>
      <c r="II866" s="1055"/>
      <c r="IJ866" s="1055"/>
      <c r="IK866" s="1055"/>
      <c r="IL866" s="1055"/>
      <c r="IM866" s="1055"/>
      <c r="IN866" s="1055"/>
      <c r="IO866" s="1055"/>
      <c r="IP866" s="1055"/>
      <c r="IQ866" s="1055"/>
      <c r="IR866" s="1055"/>
      <c r="IS866" s="1055"/>
      <c r="IT866" s="1055"/>
      <c r="IU866" s="1055"/>
      <c r="IV866" s="1055"/>
      <c r="IW866" s="1055"/>
      <c r="IX866" s="1055"/>
    </row>
    <row r="867" spans="1:258" s="130" customFormat="1" x14ac:dyDescent="0.25">
      <c r="A867" s="125">
        <f t="shared" si="112"/>
        <v>827</v>
      </c>
      <c r="B867" s="1055"/>
      <c r="C867" s="641" t="s">
        <v>11764</v>
      </c>
      <c r="D867" s="924">
        <v>0</v>
      </c>
      <c r="E867" s="906">
        <f t="shared" si="113"/>
        <v>0</v>
      </c>
      <c r="F867" s="136">
        <v>144</v>
      </c>
      <c r="G867" s="122" t="s">
        <v>1963</v>
      </c>
      <c r="H867" s="1055"/>
      <c r="I867" s="1055"/>
      <c r="J867" s="1055"/>
      <c r="K867" s="1055"/>
      <c r="L867" s="1055"/>
      <c r="M867" s="1055"/>
      <c r="N867" s="1055"/>
      <c r="O867" s="1055"/>
      <c r="P867" s="1055"/>
      <c r="Q867" s="1055"/>
      <c r="R867" s="1055"/>
      <c r="S867" s="1055"/>
      <c r="T867" s="1055"/>
      <c r="U867" s="1055"/>
      <c r="V867" s="1055"/>
      <c r="W867" s="1055"/>
      <c r="X867" s="1055"/>
      <c r="Y867" s="1055"/>
      <c r="Z867" s="1055"/>
      <c r="AA867" s="1055"/>
      <c r="AB867" s="1055"/>
      <c r="AC867" s="1055"/>
      <c r="AD867" s="1055"/>
      <c r="AE867" s="1055"/>
      <c r="AF867" s="1055"/>
      <c r="AG867" s="1055"/>
      <c r="AH867" s="1055"/>
      <c r="AI867" s="1055"/>
      <c r="AJ867" s="1055"/>
      <c r="AK867" s="1055"/>
      <c r="AL867" s="1055"/>
      <c r="AM867" s="1055"/>
      <c r="AN867" s="1055"/>
      <c r="AO867" s="1055"/>
      <c r="AP867" s="1055"/>
      <c r="AQ867" s="1055"/>
      <c r="AR867" s="1055"/>
      <c r="AS867" s="1055"/>
      <c r="AT867" s="1055"/>
      <c r="AU867" s="1055"/>
      <c r="AV867" s="1055"/>
      <c r="AW867" s="1055"/>
      <c r="AX867" s="1055"/>
      <c r="AY867" s="1055"/>
      <c r="AZ867" s="1055"/>
      <c r="BA867" s="1055"/>
      <c r="BB867" s="1055"/>
      <c r="BC867" s="1055"/>
      <c r="BD867" s="1055"/>
      <c r="BE867" s="1055"/>
      <c r="BF867" s="1055"/>
      <c r="BG867" s="1055"/>
      <c r="BH867" s="1055"/>
      <c r="BI867" s="1055"/>
      <c r="BJ867" s="1055"/>
      <c r="BK867" s="1055"/>
      <c r="BL867" s="1055"/>
      <c r="BM867" s="1055"/>
      <c r="BN867" s="1055"/>
      <c r="BO867" s="1055"/>
      <c r="BP867" s="1055"/>
      <c r="BQ867" s="1055"/>
      <c r="BR867" s="1055"/>
      <c r="BS867" s="1055"/>
      <c r="BT867" s="1055"/>
      <c r="BU867" s="1055"/>
      <c r="BV867" s="1055"/>
      <c r="BW867" s="1055"/>
      <c r="BX867" s="1055"/>
      <c r="BY867" s="1055"/>
      <c r="BZ867" s="1055"/>
      <c r="CA867" s="1055"/>
      <c r="CB867" s="1055"/>
      <c r="CC867" s="1055"/>
      <c r="CD867" s="1055"/>
      <c r="CE867" s="1055"/>
      <c r="CF867" s="1055"/>
      <c r="CG867" s="1055"/>
      <c r="CH867" s="1055"/>
      <c r="CI867" s="1055"/>
      <c r="CJ867" s="1055"/>
      <c r="CK867" s="1055"/>
      <c r="CL867" s="1055"/>
      <c r="CM867" s="1055"/>
      <c r="CN867" s="1055"/>
      <c r="CO867" s="1055"/>
      <c r="CP867" s="1055"/>
      <c r="CQ867" s="1055"/>
      <c r="CR867" s="1055"/>
      <c r="CS867" s="1055"/>
      <c r="CT867" s="1055"/>
      <c r="CU867" s="1055"/>
      <c r="CV867" s="1055"/>
      <c r="CW867" s="1055"/>
      <c r="CX867" s="1055"/>
      <c r="CY867" s="1055"/>
      <c r="CZ867" s="1055"/>
      <c r="DA867" s="1055"/>
      <c r="DB867" s="1055"/>
      <c r="DC867" s="1055"/>
      <c r="DD867" s="1055"/>
      <c r="DE867" s="1055"/>
      <c r="DF867" s="1055"/>
      <c r="DG867" s="1055"/>
      <c r="DH867" s="1055"/>
      <c r="DI867" s="1055"/>
      <c r="DJ867" s="1055"/>
      <c r="DK867" s="1055"/>
      <c r="DL867" s="1055"/>
      <c r="DM867" s="1055"/>
      <c r="DN867" s="1055"/>
      <c r="DO867" s="1055"/>
      <c r="DP867" s="1055"/>
      <c r="DQ867" s="1055"/>
      <c r="DR867" s="1055"/>
      <c r="DS867" s="1055"/>
      <c r="DT867" s="1055"/>
      <c r="DU867" s="1055"/>
      <c r="DV867" s="1055"/>
      <c r="DW867" s="1055"/>
      <c r="DX867" s="1055"/>
      <c r="DY867" s="1055"/>
      <c r="DZ867" s="1055"/>
      <c r="EA867" s="1055"/>
      <c r="EB867" s="1055"/>
      <c r="EC867" s="1055"/>
      <c r="ED867" s="1055"/>
      <c r="EE867" s="1055"/>
      <c r="EF867" s="1055"/>
      <c r="EG867" s="1055"/>
      <c r="EH867" s="1055"/>
      <c r="EI867" s="1055"/>
      <c r="EJ867" s="1055"/>
      <c r="EK867" s="1055"/>
      <c r="EL867" s="1055"/>
      <c r="EM867" s="1055"/>
      <c r="EN867" s="1055"/>
      <c r="EO867" s="1055"/>
      <c r="EP867" s="1055"/>
      <c r="EQ867" s="1055"/>
      <c r="ER867" s="1055"/>
      <c r="ES867" s="1055"/>
      <c r="ET867" s="1055"/>
      <c r="EU867" s="1055"/>
      <c r="EV867" s="1055"/>
      <c r="EW867" s="1055"/>
      <c r="EX867" s="1055"/>
      <c r="EY867" s="1055"/>
      <c r="EZ867" s="1055"/>
      <c r="FA867" s="1055"/>
      <c r="FB867" s="1055"/>
      <c r="FC867" s="1055"/>
      <c r="FD867" s="1055"/>
      <c r="FE867" s="1055"/>
      <c r="FF867" s="1055"/>
      <c r="FG867" s="1055"/>
      <c r="FH867" s="1055"/>
      <c r="FI867" s="1055"/>
      <c r="FJ867" s="1055"/>
      <c r="FK867" s="1055"/>
      <c r="FL867" s="1055"/>
      <c r="FM867" s="1055"/>
      <c r="FN867" s="1055"/>
      <c r="FO867" s="1055"/>
      <c r="FP867" s="1055"/>
      <c r="FQ867" s="1055"/>
      <c r="FR867" s="1055"/>
      <c r="FS867" s="1055"/>
      <c r="FT867" s="1055"/>
      <c r="FU867" s="1055"/>
      <c r="FV867" s="1055"/>
      <c r="FW867" s="1055"/>
      <c r="FX867" s="1055"/>
      <c r="FY867" s="1055"/>
      <c r="FZ867" s="1055"/>
      <c r="GA867" s="1055"/>
      <c r="GB867" s="1055"/>
      <c r="GC867" s="1055"/>
      <c r="GD867" s="1055"/>
      <c r="GE867" s="1055"/>
      <c r="GF867" s="1055"/>
      <c r="GG867" s="1055"/>
      <c r="GH867" s="1055"/>
      <c r="GI867" s="1055"/>
      <c r="GJ867" s="1055"/>
      <c r="GK867" s="1055"/>
      <c r="GL867" s="1055"/>
      <c r="GM867" s="1055"/>
      <c r="GN867" s="1055"/>
      <c r="GO867" s="1055"/>
      <c r="GP867" s="1055"/>
      <c r="GQ867" s="1055"/>
      <c r="GR867" s="1055"/>
      <c r="GS867" s="1055"/>
      <c r="GT867" s="1055"/>
      <c r="GU867" s="1055"/>
      <c r="GV867" s="1055"/>
      <c r="GW867" s="1055"/>
      <c r="GX867" s="1055"/>
      <c r="GY867" s="1055"/>
      <c r="GZ867" s="1055"/>
      <c r="HA867" s="1055"/>
      <c r="HB867" s="1055"/>
      <c r="HC867" s="1055"/>
      <c r="HD867" s="1055"/>
      <c r="HE867" s="1055"/>
      <c r="HF867" s="1055"/>
      <c r="HG867" s="1055"/>
      <c r="HH867" s="1055"/>
      <c r="HI867" s="1055"/>
      <c r="HJ867" s="1055"/>
      <c r="HK867" s="1055"/>
      <c r="HL867" s="1055"/>
      <c r="HM867" s="1055"/>
      <c r="HN867" s="1055"/>
      <c r="HO867" s="1055"/>
      <c r="HP867" s="1055"/>
      <c r="HQ867" s="1055"/>
      <c r="HR867" s="1055"/>
      <c r="HS867" s="1055"/>
      <c r="HT867" s="1055"/>
      <c r="HU867" s="1055"/>
      <c r="HV867" s="1055"/>
      <c r="HW867" s="1055"/>
      <c r="HX867" s="1055"/>
      <c r="HY867" s="1055"/>
      <c r="HZ867" s="1055"/>
      <c r="IA867" s="1055"/>
      <c r="IB867" s="1055"/>
      <c r="IC867" s="1055"/>
      <c r="ID867" s="1055"/>
      <c r="IE867" s="1055"/>
      <c r="IF867" s="1055"/>
      <c r="IG867" s="1055"/>
      <c r="IH867" s="1055"/>
      <c r="II867" s="1055"/>
      <c r="IJ867" s="1055"/>
      <c r="IK867" s="1055"/>
      <c r="IL867" s="1055"/>
      <c r="IM867" s="1055"/>
      <c r="IN867" s="1055"/>
      <c r="IO867" s="1055"/>
      <c r="IP867" s="1055"/>
      <c r="IQ867" s="1055"/>
      <c r="IR867" s="1055"/>
      <c r="IS867" s="1055"/>
      <c r="IT867" s="1055"/>
      <c r="IU867" s="1055"/>
      <c r="IV867" s="1055"/>
      <c r="IW867" s="1055"/>
      <c r="IX867" s="1055"/>
    </row>
    <row r="868" spans="1:258" s="130" customFormat="1" x14ac:dyDescent="0.25">
      <c r="A868" s="125">
        <f t="shared" si="112"/>
        <v>828</v>
      </c>
      <c r="B868" s="1055"/>
      <c r="C868" s="641" t="s">
        <v>11766</v>
      </c>
      <c r="D868" s="924">
        <v>0</v>
      </c>
      <c r="E868" s="906">
        <f t="shared" si="113"/>
        <v>0</v>
      </c>
      <c r="F868" s="136">
        <v>5000</v>
      </c>
      <c r="G868" s="122" t="s">
        <v>1963</v>
      </c>
      <c r="H868" s="1055"/>
      <c r="I868" s="1055"/>
      <c r="J868" s="1055"/>
      <c r="K868" s="1055"/>
      <c r="L868" s="1055"/>
      <c r="M868" s="1055"/>
      <c r="N868" s="1055"/>
      <c r="O868" s="1055"/>
      <c r="P868" s="1055"/>
      <c r="Q868" s="1055"/>
      <c r="R868" s="1055"/>
      <c r="S868" s="1055"/>
      <c r="T868" s="1055"/>
      <c r="U868" s="1055"/>
      <c r="V868" s="1055"/>
      <c r="W868" s="1055"/>
      <c r="X868" s="1055"/>
      <c r="Y868" s="1055"/>
      <c r="Z868" s="1055"/>
      <c r="AA868" s="1055"/>
      <c r="AB868" s="1055"/>
      <c r="AC868" s="1055"/>
      <c r="AD868" s="1055"/>
      <c r="AE868" s="1055"/>
      <c r="AF868" s="1055"/>
      <c r="AG868" s="1055"/>
      <c r="AH868" s="1055"/>
      <c r="AI868" s="1055"/>
      <c r="AJ868" s="1055"/>
      <c r="AK868" s="1055"/>
      <c r="AL868" s="1055"/>
      <c r="AM868" s="1055"/>
      <c r="AN868" s="1055"/>
      <c r="AO868" s="1055"/>
      <c r="AP868" s="1055"/>
      <c r="AQ868" s="1055"/>
      <c r="AR868" s="1055"/>
      <c r="AS868" s="1055"/>
      <c r="AT868" s="1055"/>
      <c r="AU868" s="1055"/>
      <c r="AV868" s="1055"/>
      <c r="AW868" s="1055"/>
      <c r="AX868" s="1055"/>
      <c r="AY868" s="1055"/>
      <c r="AZ868" s="1055"/>
      <c r="BA868" s="1055"/>
      <c r="BB868" s="1055"/>
      <c r="BC868" s="1055"/>
      <c r="BD868" s="1055"/>
      <c r="BE868" s="1055"/>
      <c r="BF868" s="1055"/>
      <c r="BG868" s="1055"/>
      <c r="BH868" s="1055"/>
      <c r="BI868" s="1055"/>
      <c r="BJ868" s="1055"/>
      <c r="BK868" s="1055"/>
      <c r="BL868" s="1055"/>
      <c r="BM868" s="1055"/>
      <c r="BN868" s="1055"/>
      <c r="BO868" s="1055"/>
      <c r="BP868" s="1055"/>
      <c r="BQ868" s="1055"/>
      <c r="BR868" s="1055"/>
      <c r="BS868" s="1055"/>
      <c r="BT868" s="1055"/>
      <c r="BU868" s="1055"/>
      <c r="BV868" s="1055"/>
      <c r="BW868" s="1055"/>
      <c r="BX868" s="1055"/>
      <c r="BY868" s="1055"/>
      <c r="BZ868" s="1055"/>
      <c r="CA868" s="1055"/>
      <c r="CB868" s="1055"/>
      <c r="CC868" s="1055"/>
      <c r="CD868" s="1055"/>
      <c r="CE868" s="1055"/>
      <c r="CF868" s="1055"/>
      <c r="CG868" s="1055"/>
      <c r="CH868" s="1055"/>
      <c r="CI868" s="1055"/>
      <c r="CJ868" s="1055"/>
      <c r="CK868" s="1055"/>
      <c r="CL868" s="1055"/>
      <c r="CM868" s="1055"/>
      <c r="CN868" s="1055"/>
      <c r="CO868" s="1055"/>
      <c r="CP868" s="1055"/>
      <c r="CQ868" s="1055"/>
      <c r="CR868" s="1055"/>
      <c r="CS868" s="1055"/>
      <c r="CT868" s="1055"/>
      <c r="CU868" s="1055"/>
      <c r="CV868" s="1055"/>
      <c r="CW868" s="1055"/>
      <c r="CX868" s="1055"/>
      <c r="CY868" s="1055"/>
      <c r="CZ868" s="1055"/>
      <c r="DA868" s="1055"/>
      <c r="DB868" s="1055"/>
      <c r="DC868" s="1055"/>
      <c r="DD868" s="1055"/>
      <c r="DE868" s="1055"/>
      <c r="DF868" s="1055"/>
      <c r="DG868" s="1055"/>
      <c r="DH868" s="1055"/>
      <c r="DI868" s="1055"/>
      <c r="DJ868" s="1055"/>
      <c r="DK868" s="1055"/>
      <c r="DL868" s="1055"/>
      <c r="DM868" s="1055"/>
      <c r="DN868" s="1055"/>
      <c r="DO868" s="1055"/>
      <c r="DP868" s="1055"/>
      <c r="DQ868" s="1055"/>
      <c r="DR868" s="1055"/>
      <c r="DS868" s="1055"/>
      <c r="DT868" s="1055"/>
      <c r="DU868" s="1055"/>
      <c r="DV868" s="1055"/>
      <c r="DW868" s="1055"/>
      <c r="DX868" s="1055"/>
      <c r="DY868" s="1055"/>
      <c r="DZ868" s="1055"/>
      <c r="EA868" s="1055"/>
      <c r="EB868" s="1055"/>
      <c r="EC868" s="1055"/>
      <c r="ED868" s="1055"/>
      <c r="EE868" s="1055"/>
      <c r="EF868" s="1055"/>
      <c r="EG868" s="1055"/>
      <c r="EH868" s="1055"/>
      <c r="EI868" s="1055"/>
      <c r="EJ868" s="1055"/>
      <c r="EK868" s="1055"/>
      <c r="EL868" s="1055"/>
      <c r="EM868" s="1055"/>
      <c r="EN868" s="1055"/>
      <c r="EO868" s="1055"/>
      <c r="EP868" s="1055"/>
      <c r="EQ868" s="1055"/>
      <c r="ER868" s="1055"/>
      <c r="ES868" s="1055"/>
      <c r="ET868" s="1055"/>
      <c r="EU868" s="1055"/>
      <c r="EV868" s="1055"/>
      <c r="EW868" s="1055"/>
      <c r="EX868" s="1055"/>
      <c r="EY868" s="1055"/>
      <c r="EZ868" s="1055"/>
      <c r="FA868" s="1055"/>
      <c r="FB868" s="1055"/>
      <c r="FC868" s="1055"/>
      <c r="FD868" s="1055"/>
      <c r="FE868" s="1055"/>
      <c r="FF868" s="1055"/>
      <c r="FG868" s="1055"/>
      <c r="FH868" s="1055"/>
      <c r="FI868" s="1055"/>
      <c r="FJ868" s="1055"/>
      <c r="FK868" s="1055"/>
      <c r="FL868" s="1055"/>
      <c r="FM868" s="1055"/>
      <c r="FN868" s="1055"/>
      <c r="FO868" s="1055"/>
      <c r="FP868" s="1055"/>
      <c r="FQ868" s="1055"/>
      <c r="FR868" s="1055"/>
      <c r="FS868" s="1055"/>
      <c r="FT868" s="1055"/>
      <c r="FU868" s="1055"/>
      <c r="FV868" s="1055"/>
      <c r="FW868" s="1055"/>
      <c r="FX868" s="1055"/>
      <c r="FY868" s="1055"/>
      <c r="FZ868" s="1055"/>
      <c r="GA868" s="1055"/>
      <c r="GB868" s="1055"/>
      <c r="GC868" s="1055"/>
      <c r="GD868" s="1055"/>
      <c r="GE868" s="1055"/>
      <c r="GF868" s="1055"/>
      <c r="GG868" s="1055"/>
      <c r="GH868" s="1055"/>
      <c r="GI868" s="1055"/>
      <c r="GJ868" s="1055"/>
      <c r="GK868" s="1055"/>
      <c r="GL868" s="1055"/>
      <c r="GM868" s="1055"/>
      <c r="GN868" s="1055"/>
      <c r="GO868" s="1055"/>
      <c r="GP868" s="1055"/>
      <c r="GQ868" s="1055"/>
      <c r="GR868" s="1055"/>
      <c r="GS868" s="1055"/>
      <c r="GT868" s="1055"/>
      <c r="GU868" s="1055"/>
      <c r="GV868" s="1055"/>
      <c r="GW868" s="1055"/>
      <c r="GX868" s="1055"/>
      <c r="GY868" s="1055"/>
      <c r="GZ868" s="1055"/>
      <c r="HA868" s="1055"/>
      <c r="HB868" s="1055"/>
      <c r="HC868" s="1055"/>
      <c r="HD868" s="1055"/>
      <c r="HE868" s="1055"/>
      <c r="HF868" s="1055"/>
      <c r="HG868" s="1055"/>
      <c r="HH868" s="1055"/>
      <c r="HI868" s="1055"/>
      <c r="HJ868" s="1055"/>
      <c r="HK868" s="1055"/>
      <c r="HL868" s="1055"/>
      <c r="HM868" s="1055"/>
      <c r="HN868" s="1055"/>
      <c r="HO868" s="1055"/>
      <c r="HP868" s="1055"/>
      <c r="HQ868" s="1055"/>
      <c r="HR868" s="1055"/>
      <c r="HS868" s="1055"/>
      <c r="HT868" s="1055"/>
      <c r="HU868" s="1055"/>
      <c r="HV868" s="1055"/>
      <c r="HW868" s="1055"/>
      <c r="HX868" s="1055"/>
      <c r="HY868" s="1055"/>
      <c r="HZ868" s="1055"/>
      <c r="IA868" s="1055"/>
      <c r="IB868" s="1055"/>
      <c r="IC868" s="1055"/>
      <c r="ID868" s="1055"/>
      <c r="IE868" s="1055"/>
      <c r="IF868" s="1055"/>
      <c r="IG868" s="1055"/>
      <c r="IH868" s="1055"/>
      <c r="II868" s="1055"/>
      <c r="IJ868" s="1055"/>
      <c r="IK868" s="1055"/>
      <c r="IL868" s="1055"/>
      <c r="IM868" s="1055"/>
      <c r="IN868" s="1055"/>
      <c r="IO868" s="1055"/>
      <c r="IP868" s="1055"/>
      <c r="IQ868" s="1055"/>
      <c r="IR868" s="1055"/>
      <c r="IS868" s="1055"/>
      <c r="IT868" s="1055"/>
      <c r="IU868" s="1055"/>
      <c r="IV868" s="1055"/>
      <c r="IW868" s="1055"/>
      <c r="IX868" s="1055"/>
    </row>
    <row r="869" spans="1:258" s="130" customFormat="1" x14ac:dyDescent="0.25">
      <c r="A869" s="125">
        <f t="shared" si="112"/>
        <v>829</v>
      </c>
      <c r="B869" s="1055"/>
      <c r="C869" s="641" t="s">
        <v>11769</v>
      </c>
      <c r="D869" s="924">
        <v>0</v>
      </c>
      <c r="E869" s="906">
        <f t="shared" si="113"/>
        <v>0</v>
      </c>
      <c r="F869" s="136">
        <v>1000</v>
      </c>
      <c r="G869" s="122" t="s">
        <v>1963</v>
      </c>
      <c r="H869" s="1055"/>
      <c r="I869" s="1055"/>
      <c r="J869" s="1055"/>
      <c r="K869" s="1055"/>
      <c r="L869" s="1055"/>
      <c r="M869" s="1055"/>
      <c r="N869" s="1055"/>
      <c r="O869" s="1055"/>
      <c r="P869" s="1055"/>
      <c r="Q869" s="1055"/>
      <c r="R869" s="1055"/>
      <c r="S869" s="1055"/>
      <c r="T869" s="1055"/>
      <c r="U869" s="1055"/>
      <c r="V869" s="1055"/>
      <c r="W869" s="1055"/>
      <c r="X869" s="1055"/>
      <c r="Y869" s="1055"/>
      <c r="Z869" s="1055"/>
      <c r="AA869" s="1055"/>
      <c r="AB869" s="1055"/>
      <c r="AC869" s="1055"/>
      <c r="AD869" s="1055"/>
      <c r="AE869" s="1055"/>
      <c r="AF869" s="1055"/>
      <c r="AG869" s="1055"/>
      <c r="AH869" s="1055"/>
      <c r="AI869" s="1055"/>
      <c r="AJ869" s="1055"/>
      <c r="AK869" s="1055"/>
      <c r="AL869" s="1055"/>
      <c r="AM869" s="1055"/>
      <c r="AN869" s="1055"/>
      <c r="AO869" s="1055"/>
      <c r="AP869" s="1055"/>
      <c r="AQ869" s="1055"/>
      <c r="AR869" s="1055"/>
      <c r="AS869" s="1055"/>
      <c r="AT869" s="1055"/>
      <c r="AU869" s="1055"/>
      <c r="AV869" s="1055"/>
      <c r="AW869" s="1055"/>
      <c r="AX869" s="1055"/>
      <c r="AY869" s="1055"/>
      <c r="AZ869" s="1055"/>
      <c r="BA869" s="1055"/>
      <c r="BB869" s="1055"/>
      <c r="BC869" s="1055"/>
      <c r="BD869" s="1055"/>
      <c r="BE869" s="1055"/>
      <c r="BF869" s="1055"/>
      <c r="BG869" s="1055"/>
      <c r="BH869" s="1055"/>
      <c r="BI869" s="1055"/>
      <c r="BJ869" s="1055"/>
      <c r="BK869" s="1055"/>
      <c r="BL869" s="1055"/>
      <c r="BM869" s="1055"/>
      <c r="BN869" s="1055"/>
      <c r="BO869" s="1055"/>
      <c r="BP869" s="1055"/>
      <c r="BQ869" s="1055"/>
      <c r="BR869" s="1055"/>
      <c r="BS869" s="1055"/>
      <c r="BT869" s="1055"/>
      <c r="BU869" s="1055"/>
      <c r="BV869" s="1055"/>
      <c r="BW869" s="1055"/>
      <c r="BX869" s="1055"/>
      <c r="BY869" s="1055"/>
      <c r="BZ869" s="1055"/>
      <c r="CA869" s="1055"/>
      <c r="CB869" s="1055"/>
      <c r="CC869" s="1055"/>
      <c r="CD869" s="1055"/>
      <c r="CE869" s="1055"/>
      <c r="CF869" s="1055"/>
      <c r="CG869" s="1055"/>
      <c r="CH869" s="1055"/>
      <c r="CI869" s="1055"/>
      <c r="CJ869" s="1055"/>
      <c r="CK869" s="1055"/>
      <c r="CL869" s="1055"/>
      <c r="CM869" s="1055"/>
      <c r="CN869" s="1055"/>
      <c r="CO869" s="1055"/>
      <c r="CP869" s="1055"/>
      <c r="CQ869" s="1055"/>
      <c r="CR869" s="1055"/>
      <c r="CS869" s="1055"/>
      <c r="CT869" s="1055"/>
      <c r="CU869" s="1055"/>
      <c r="CV869" s="1055"/>
      <c r="CW869" s="1055"/>
      <c r="CX869" s="1055"/>
      <c r="CY869" s="1055"/>
      <c r="CZ869" s="1055"/>
      <c r="DA869" s="1055"/>
      <c r="DB869" s="1055"/>
      <c r="DC869" s="1055"/>
      <c r="DD869" s="1055"/>
      <c r="DE869" s="1055"/>
      <c r="DF869" s="1055"/>
      <c r="DG869" s="1055"/>
      <c r="DH869" s="1055"/>
      <c r="DI869" s="1055"/>
      <c r="DJ869" s="1055"/>
      <c r="DK869" s="1055"/>
      <c r="DL869" s="1055"/>
      <c r="DM869" s="1055"/>
      <c r="DN869" s="1055"/>
      <c r="DO869" s="1055"/>
      <c r="DP869" s="1055"/>
      <c r="DQ869" s="1055"/>
      <c r="DR869" s="1055"/>
      <c r="DS869" s="1055"/>
      <c r="DT869" s="1055"/>
      <c r="DU869" s="1055"/>
      <c r="DV869" s="1055"/>
      <c r="DW869" s="1055"/>
      <c r="DX869" s="1055"/>
      <c r="DY869" s="1055"/>
      <c r="DZ869" s="1055"/>
      <c r="EA869" s="1055"/>
      <c r="EB869" s="1055"/>
      <c r="EC869" s="1055"/>
      <c r="ED869" s="1055"/>
      <c r="EE869" s="1055"/>
      <c r="EF869" s="1055"/>
      <c r="EG869" s="1055"/>
      <c r="EH869" s="1055"/>
      <c r="EI869" s="1055"/>
      <c r="EJ869" s="1055"/>
      <c r="EK869" s="1055"/>
      <c r="EL869" s="1055"/>
      <c r="EM869" s="1055"/>
      <c r="EN869" s="1055"/>
      <c r="EO869" s="1055"/>
      <c r="EP869" s="1055"/>
      <c r="EQ869" s="1055"/>
      <c r="ER869" s="1055"/>
      <c r="ES869" s="1055"/>
      <c r="ET869" s="1055"/>
      <c r="EU869" s="1055"/>
      <c r="EV869" s="1055"/>
      <c r="EW869" s="1055"/>
      <c r="EX869" s="1055"/>
      <c r="EY869" s="1055"/>
      <c r="EZ869" s="1055"/>
      <c r="FA869" s="1055"/>
      <c r="FB869" s="1055"/>
      <c r="FC869" s="1055"/>
      <c r="FD869" s="1055"/>
      <c r="FE869" s="1055"/>
      <c r="FF869" s="1055"/>
      <c r="FG869" s="1055"/>
      <c r="FH869" s="1055"/>
      <c r="FI869" s="1055"/>
      <c r="FJ869" s="1055"/>
      <c r="FK869" s="1055"/>
      <c r="FL869" s="1055"/>
      <c r="FM869" s="1055"/>
      <c r="FN869" s="1055"/>
      <c r="FO869" s="1055"/>
      <c r="FP869" s="1055"/>
      <c r="FQ869" s="1055"/>
      <c r="FR869" s="1055"/>
      <c r="FS869" s="1055"/>
      <c r="FT869" s="1055"/>
      <c r="FU869" s="1055"/>
      <c r="FV869" s="1055"/>
      <c r="FW869" s="1055"/>
      <c r="FX869" s="1055"/>
      <c r="FY869" s="1055"/>
      <c r="FZ869" s="1055"/>
      <c r="GA869" s="1055"/>
      <c r="GB869" s="1055"/>
      <c r="GC869" s="1055"/>
      <c r="GD869" s="1055"/>
      <c r="GE869" s="1055"/>
      <c r="GF869" s="1055"/>
      <c r="GG869" s="1055"/>
      <c r="GH869" s="1055"/>
      <c r="GI869" s="1055"/>
      <c r="GJ869" s="1055"/>
      <c r="GK869" s="1055"/>
      <c r="GL869" s="1055"/>
      <c r="GM869" s="1055"/>
      <c r="GN869" s="1055"/>
      <c r="GO869" s="1055"/>
      <c r="GP869" s="1055"/>
      <c r="GQ869" s="1055"/>
      <c r="GR869" s="1055"/>
      <c r="GS869" s="1055"/>
      <c r="GT869" s="1055"/>
      <c r="GU869" s="1055"/>
      <c r="GV869" s="1055"/>
      <c r="GW869" s="1055"/>
      <c r="GX869" s="1055"/>
      <c r="GY869" s="1055"/>
      <c r="GZ869" s="1055"/>
      <c r="HA869" s="1055"/>
      <c r="HB869" s="1055"/>
      <c r="HC869" s="1055"/>
      <c r="HD869" s="1055"/>
      <c r="HE869" s="1055"/>
      <c r="HF869" s="1055"/>
      <c r="HG869" s="1055"/>
      <c r="HH869" s="1055"/>
      <c r="HI869" s="1055"/>
      <c r="HJ869" s="1055"/>
      <c r="HK869" s="1055"/>
      <c r="HL869" s="1055"/>
      <c r="HM869" s="1055"/>
      <c r="HN869" s="1055"/>
      <c r="HO869" s="1055"/>
      <c r="HP869" s="1055"/>
      <c r="HQ869" s="1055"/>
      <c r="HR869" s="1055"/>
      <c r="HS869" s="1055"/>
      <c r="HT869" s="1055"/>
      <c r="HU869" s="1055"/>
      <c r="HV869" s="1055"/>
      <c r="HW869" s="1055"/>
      <c r="HX869" s="1055"/>
      <c r="HY869" s="1055"/>
      <c r="HZ869" s="1055"/>
      <c r="IA869" s="1055"/>
      <c r="IB869" s="1055"/>
      <c r="IC869" s="1055"/>
      <c r="ID869" s="1055"/>
      <c r="IE869" s="1055"/>
      <c r="IF869" s="1055"/>
      <c r="IG869" s="1055"/>
      <c r="IH869" s="1055"/>
      <c r="II869" s="1055"/>
      <c r="IJ869" s="1055"/>
      <c r="IK869" s="1055"/>
      <c r="IL869" s="1055"/>
      <c r="IM869" s="1055"/>
      <c r="IN869" s="1055"/>
      <c r="IO869" s="1055"/>
      <c r="IP869" s="1055"/>
      <c r="IQ869" s="1055"/>
      <c r="IR869" s="1055"/>
      <c r="IS869" s="1055"/>
      <c r="IT869" s="1055"/>
      <c r="IU869" s="1055"/>
      <c r="IV869" s="1055"/>
      <c r="IW869" s="1055"/>
      <c r="IX869" s="1055"/>
    </row>
    <row r="870" spans="1:258" s="130" customFormat="1" x14ac:dyDescent="0.25">
      <c r="A870" s="125">
        <f t="shared" si="112"/>
        <v>830</v>
      </c>
      <c r="B870" s="1055"/>
      <c r="C870" s="641" t="s">
        <v>11770</v>
      </c>
      <c r="D870" s="924">
        <v>0</v>
      </c>
      <c r="E870" s="906">
        <f t="shared" si="113"/>
        <v>0</v>
      </c>
      <c r="F870" s="136">
        <v>1000</v>
      </c>
      <c r="G870" s="122" t="s">
        <v>1963</v>
      </c>
      <c r="H870" s="1055"/>
      <c r="I870" s="1055"/>
      <c r="J870" s="1055"/>
      <c r="K870" s="1055"/>
      <c r="L870" s="1055"/>
      <c r="M870" s="1055"/>
      <c r="N870" s="1055"/>
      <c r="O870" s="1055"/>
      <c r="P870" s="1055"/>
      <c r="Q870" s="1055"/>
      <c r="R870" s="1055"/>
      <c r="S870" s="1055"/>
      <c r="T870" s="1055"/>
      <c r="U870" s="1055"/>
      <c r="V870" s="1055"/>
      <c r="W870" s="1055"/>
      <c r="X870" s="1055"/>
      <c r="Y870" s="1055"/>
      <c r="Z870" s="1055"/>
      <c r="AA870" s="1055"/>
      <c r="AB870" s="1055"/>
      <c r="AC870" s="1055"/>
      <c r="AD870" s="1055"/>
      <c r="AE870" s="1055"/>
      <c r="AF870" s="1055"/>
      <c r="AG870" s="1055"/>
      <c r="AH870" s="1055"/>
      <c r="AI870" s="1055"/>
      <c r="AJ870" s="1055"/>
      <c r="AK870" s="1055"/>
      <c r="AL870" s="1055"/>
      <c r="AM870" s="1055"/>
      <c r="AN870" s="1055"/>
      <c r="AO870" s="1055"/>
      <c r="AP870" s="1055"/>
      <c r="AQ870" s="1055"/>
      <c r="AR870" s="1055"/>
      <c r="AS870" s="1055"/>
      <c r="AT870" s="1055"/>
      <c r="AU870" s="1055"/>
      <c r="AV870" s="1055"/>
      <c r="AW870" s="1055"/>
      <c r="AX870" s="1055"/>
      <c r="AY870" s="1055"/>
      <c r="AZ870" s="1055"/>
      <c r="BA870" s="1055"/>
      <c r="BB870" s="1055"/>
      <c r="BC870" s="1055"/>
      <c r="BD870" s="1055"/>
      <c r="BE870" s="1055"/>
      <c r="BF870" s="1055"/>
      <c r="BG870" s="1055"/>
      <c r="BH870" s="1055"/>
      <c r="BI870" s="1055"/>
      <c r="BJ870" s="1055"/>
      <c r="BK870" s="1055"/>
      <c r="BL870" s="1055"/>
      <c r="BM870" s="1055"/>
      <c r="BN870" s="1055"/>
      <c r="BO870" s="1055"/>
      <c r="BP870" s="1055"/>
      <c r="BQ870" s="1055"/>
      <c r="BR870" s="1055"/>
      <c r="BS870" s="1055"/>
      <c r="BT870" s="1055"/>
      <c r="BU870" s="1055"/>
      <c r="BV870" s="1055"/>
      <c r="BW870" s="1055"/>
      <c r="BX870" s="1055"/>
      <c r="BY870" s="1055"/>
      <c r="BZ870" s="1055"/>
      <c r="CA870" s="1055"/>
      <c r="CB870" s="1055"/>
      <c r="CC870" s="1055"/>
      <c r="CD870" s="1055"/>
      <c r="CE870" s="1055"/>
      <c r="CF870" s="1055"/>
      <c r="CG870" s="1055"/>
      <c r="CH870" s="1055"/>
      <c r="CI870" s="1055"/>
      <c r="CJ870" s="1055"/>
      <c r="CK870" s="1055"/>
      <c r="CL870" s="1055"/>
      <c r="CM870" s="1055"/>
      <c r="CN870" s="1055"/>
      <c r="CO870" s="1055"/>
      <c r="CP870" s="1055"/>
      <c r="CQ870" s="1055"/>
      <c r="CR870" s="1055"/>
      <c r="CS870" s="1055"/>
      <c r="CT870" s="1055"/>
      <c r="CU870" s="1055"/>
      <c r="CV870" s="1055"/>
      <c r="CW870" s="1055"/>
      <c r="CX870" s="1055"/>
      <c r="CY870" s="1055"/>
      <c r="CZ870" s="1055"/>
      <c r="DA870" s="1055"/>
      <c r="DB870" s="1055"/>
      <c r="DC870" s="1055"/>
      <c r="DD870" s="1055"/>
      <c r="DE870" s="1055"/>
      <c r="DF870" s="1055"/>
      <c r="DG870" s="1055"/>
      <c r="DH870" s="1055"/>
      <c r="DI870" s="1055"/>
      <c r="DJ870" s="1055"/>
      <c r="DK870" s="1055"/>
      <c r="DL870" s="1055"/>
      <c r="DM870" s="1055"/>
      <c r="DN870" s="1055"/>
      <c r="DO870" s="1055"/>
      <c r="DP870" s="1055"/>
      <c r="DQ870" s="1055"/>
      <c r="DR870" s="1055"/>
      <c r="DS870" s="1055"/>
      <c r="DT870" s="1055"/>
      <c r="DU870" s="1055"/>
      <c r="DV870" s="1055"/>
      <c r="DW870" s="1055"/>
      <c r="DX870" s="1055"/>
      <c r="DY870" s="1055"/>
      <c r="DZ870" s="1055"/>
      <c r="EA870" s="1055"/>
      <c r="EB870" s="1055"/>
      <c r="EC870" s="1055"/>
      <c r="ED870" s="1055"/>
      <c r="EE870" s="1055"/>
      <c r="EF870" s="1055"/>
      <c r="EG870" s="1055"/>
      <c r="EH870" s="1055"/>
      <c r="EI870" s="1055"/>
      <c r="EJ870" s="1055"/>
      <c r="EK870" s="1055"/>
      <c r="EL870" s="1055"/>
      <c r="EM870" s="1055"/>
      <c r="EN870" s="1055"/>
      <c r="EO870" s="1055"/>
      <c r="EP870" s="1055"/>
      <c r="EQ870" s="1055"/>
      <c r="ER870" s="1055"/>
      <c r="ES870" s="1055"/>
      <c r="ET870" s="1055"/>
      <c r="EU870" s="1055"/>
      <c r="EV870" s="1055"/>
      <c r="EW870" s="1055"/>
      <c r="EX870" s="1055"/>
      <c r="EY870" s="1055"/>
      <c r="EZ870" s="1055"/>
      <c r="FA870" s="1055"/>
      <c r="FB870" s="1055"/>
      <c r="FC870" s="1055"/>
      <c r="FD870" s="1055"/>
      <c r="FE870" s="1055"/>
      <c r="FF870" s="1055"/>
      <c r="FG870" s="1055"/>
      <c r="FH870" s="1055"/>
      <c r="FI870" s="1055"/>
      <c r="FJ870" s="1055"/>
      <c r="FK870" s="1055"/>
      <c r="FL870" s="1055"/>
      <c r="FM870" s="1055"/>
      <c r="FN870" s="1055"/>
      <c r="FO870" s="1055"/>
      <c r="FP870" s="1055"/>
      <c r="FQ870" s="1055"/>
      <c r="FR870" s="1055"/>
      <c r="FS870" s="1055"/>
      <c r="FT870" s="1055"/>
      <c r="FU870" s="1055"/>
      <c r="FV870" s="1055"/>
      <c r="FW870" s="1055"/>
      <c r="FX870" s="1055"/>
      <c r="FY870" s="1055"/>
      <c r="FZ870" s="1055"/>
      <c r="GA870" s="1055"/>
      <c r="GB870" s="1055"/>
      <c r="GC870" s="1055"/>
      <c r="GD870" s="1055"/>
      <c r="GE870" s="1055"/>
      <c r="GF870" s="1055"/>
      <c r="GG870" s="1055"/>
      <c r="GH870" s="1055"/>
      <c r="GI870" s="1055"/>
      <c r="GJ870" s="1055"/>
      <c r="GK870" s="1055"/>
      <c r="GL870" s="1055"/>
      <c r="GM870" s="1055"/>
      <c r="GN870" s="1055"/>
      <c r="GO870" s="1055"/>
      <c r="GP870" s="1055"/>
      <c r="GQ870" s="1055"/>
      <c r="GR870" s="1055"/>
      <c r="GS870" s="1055"/>
      <c r="GT870" s="1055"/>
      <c r="GU870" s="1055"/>
      <c r="GV870" s="1055"/>
      <c r="GW870" s="1055"/>
      <c r="GX870" s="1055"/>
      <c r="GY870" s="1055"/>
      <c r="GZ870" s="1055"/>
      <c r="HA870" s="1055"/>
      <c r="HB870" s="1055"/>
      <c r="HC870" s="1055"/>
      <c r="HD870" s="1055"/>
      <c r="HE870" s="1055"/>
      <c r="HF870" s="1055"/>
      <c r="HG870" s="1055"/>
      <c r="HH870" s="1055"/>
      <c r="HI870" s="1055"/>
      <c r="HJ870" s="1055"/>
      <c r="HK870" s="1055"/>
      <c r="HL870" s="1055"/>
      <c r="HM870" s="1055"/>
      <c r="HN870" s="1055"/>
      <c r="HO870" s="1055"/>
      <c r="HP870" s="1055"/>
      <c r="HQ870" s="1055"/>
      <c r="HR870" s="1055"/>
      <c r="HS870" s="1055"/>
      <c r="HT870" s="1055"/>
      <c r="HU870" s="1055"/>
      <c r="HV870" s="1055"/>
      <c r="HW870" s="1055"/>
      <c r="HX870" s="1055"/>
      <c r="HY870" s="1055"/>
      <c r="HZ870" s="1055"/>
      <c r="IA870" s="1055"/>
      <c r="IB870" s="1055"/>
      <c r="IC870" s="1055"/>
      <c r="ID870" s="1055"/>
      <c r="IE870" s="1055"/>
      <c r="IF870" s="1055"/>
      <c r="IG870" s="1055"/>
      <c r="IH870" s="1055"/>
      <c r="II870" s="1055"/>
      <c r="IJ870" s="1055"/>
      <c r="IK870" s="1055"/>
      <c r="IL870" s="1055"/>
      <c r="IM870" s="1055"/>
      <c r="IN870" s="1055"/>
      <c r="IO870" s="1055"/>
      <c r="IP870" s="1055"/>
      <c r="IQ870" s="1055"/>
      <c r="IR870" s="1055"/>
      <c r="IS870" s="1055"/>
      <c r="IT870" s="1055"/>
      <c r="IU870" s="1055"/>
      <c r="IV870" s="1055"/>
      <c r="IW870" s="1055"/>
      <c r="IX870" s="1055"/>
    </row>
    <row r="871" spans="1:258" s="130" customFormat="1" x14ac:dyDescent="0.25">
      <c r="A871" s="125">
        <f t="shared" si="112"/>
        <v>831</v>
      </c>
      <c r="B871" s="1055"/>
      <c r="C871" s="641" t="s">
        <v>11772</v>
      </c>
      <c r="D871" s="924">
        <v>0</v>
      </c>
      <c r="E871" s="906">
        <f t="shared" si="113"/>
        <v>0</v>
      </c>
      <c r="F871" s="136">
        <f>F869*F83</f>
        <v>200</v>
      </c>
      <c r="G871" s="122" t="s">
        <v>1963</v>
      </c>
      <c r="H871" s="1055"/>
      <c r="I871" s="1055"/>
      <c r="J871" s="1055"/>
      <c r="K871" s="1055"/>
      <c r="L871" s="1055"/>
      <c r="M871" s="1055"/>
      <c r="N871" s="1055"/>
      <c r="O871" s="1055"/>
      <c r="P871" s="1055"/>
      <c r="Q871" s="1055"/>
      <c r="R871" s="1055"/>
      <c r="S871" s="1055"/>
      <c r="T871" s="1055"/>
      <c r="U871" s="1055"/>
      <c r="V871" s="1055"/>
      <c r="W871" s="1055"/>
      <c r="X871" s="1055"/>
      <c r="Y871" s="1055"/>
      <c r="Z871" s="1055"/>
      <c r="AA871" s="1055"/>
      <c r="AB871" s="1055"/>
      <c r="AC871" s="1055"/>
      <c r="AD871" s="1055"/>
      <c r="AE871" s="1055"/>
      <c r="AF871" s="1055"/>
      <c r="AG871" s="1055"/>
      <c r="AH871" s="1055"/>
      <c r="AI871" s="1055"/>
      <c r="AJ871" s="1055"/>
      <c r="AK871" s="1055"/>
      <c r="AL871" s="1055"/>
      <c r="AM871" s="1055"/>
      <c r="AN871" s="1055"/>
      <c r="AO871" s="1055"/>
      <c r="AP871" s="1055"/>
      <c r="AQ871" s="1055"/>
      <c r="AR871" s="1055"/>
      <c r="AS871" s="1055"/>
      <c r="AT871" s="1055"/>
      <c r="AU871" s="1055"/>
      <c r="AV871" s="1055"/>
      <c r="AW871" s="1055"/>
      <c r="AX871" s="1055"/>
      <c r="AY871" s="1055"/>
      <c r="AZ871" s="1055"/>
      <c r="BA871" s="1055"/>
      <c r="BB871" s="1055"/>
      <c r="BC871" s="1055"/>
      <c r="BD871" s="1055"/>
      <c r="BE871" s="1055"/>
      <c r="BF871" s="1055"/>
      <c r="BG871" s="1055"/>
      <c r="BH871" s="1055"/>
      <c r="BI871" s="1055"/>
      <c r="BJ871" s="1055"/>
      <c r="BK871" s="1055"/>
      <c r="BL871" s="1055"/>
      <c r="BM871" s="1055"/>
      <c r="BN871" s="1055"/>
      <c r="BO871" s="1055"/>
      <c r="BP871" s="1055"/>
      <c r="BQ871" s="1055"/>
      <c r="BR871" s="1055"/>
      <c r="BS871" s="1055"/>
      <c r="BT871" s="1055"/>
      <c r="BU871" s="1055"/>
      <c r="BV871" s="1055"/>
      <c r="BW871" s="1055"/>
      <c r="BX871" s="1055"/>
      <c r="BY871" s="1055"/>
      <c r="BZ871" s="1055"/>
      <c r="CA871" s="1055"/>
      <c r="CB871" s="1055"/>
      <c r="CC871" s="1055"/>
      <c r="CD871" s="1055"/>
      <c r="CE871" s="1055"/>
      <c r="CF871" s="1055"/>
      <c r="CG871" s="1055"/>
      <c r="CH871" s="1055"/>
      <c r="CI871" s="1055"/>
      <c r="CJ871" s="1055"/>
      <c r="CK871" s="1055"/>
      <c r="CL871" s="1055"/>
      <c r="CM871" s="1055"/>
      <c r="CN871" s="1055"/>
      <c r="CO871" s="1055"/>
      <c r="CP871" s="1055"/>
      <c r="CQ871" s="1055"/>
      <c r="CR871" s="1055"/>
      <c r="CS871" s="1055"/>
      <c r="CT871" s="1055"/>
      <c r="CU871" s="1055"/>
      <c r="CV871" s="1055"/>
      <c r="CW871" s="1055"/>
      <c r="CX871" s="1055"/>
      <c r="CY871" s="1055"/>
      <c r="CZ871" s="1055"/>
      <c r="DA871" s="1055"/>
      <c r="DB871" s="1055"/>
      <c r="DC871" s="1055"/>
      <c r="DD871" s="1055"/>
      <c r="DE871" s="1055"/>
      <c r="DF871" s="1055"/>
      <c r="DG871" s="1055"/>
      <c r="DH871" s="1055"/>
      <c r="DI871" s="1055"/>
      <c r="DJ871" s="1055"/>
      <c r="DK871" s="1055"/>
      <c r="DL871" s="1055"/>
      <c r="DM871" s="1055"/>
      <c r="DN871" s="1055"/>
      <c r="DO871" s="1055"/>
      <c r="DP871" s="1055"/>
      <c r="DQ871" s="1055"/>
      <c r="DR871" s="1055"/>
      <c r="DS871" s="1055"/>
      <c r="DT871" s="1055"/>
      <c r="DU871" s="1055"/>
      <c r="DV871" s="1055"/>
      <c r="DW871" s="1055"/>
      <c r="DX871" s="1055"/>
      <c r="DY871" s="1055"/>
      <c r="DZ871" s="1055"/>
      <c r="EA871" s="1055"/>
      <c r="EB871" s="1055"/>
      <c r="EC871" s="1055"/>
      <c r="ED871" s="1055"/>
      <c r="EE871" s="1055"/>
      <c r="EF871" s="1055"/>
      <c r="EG871" s="1055"/>
      <c r="EH871" s="1055"/>
      <c r="EI871" s="1055"/>
      <c r="EJ871" s="1055"/>
      <c r="EK871" s="1055"/>
      <c r="EL871" s="1055"/>
      <c r="EM871" s="1055"/>
      <c r="EN871" s="1055"/>
      <c r="EO871" s="1055"/>
      <c r="EP871" s="1055"/>
      <c r="EQ871" s="1055"/>
      <c r="ER871" s="1055"/>
      <c r="ES871" s="1055"/>
      <c r="ET871" s="1055"/>
      <c r="EU871" s="1055"/>
      <c r="EV871" s="1055"/>
      <c r="EW871" s="1055"/>
      <c r="EX871" s="1055"/>
      <c r="EY871" s="1055"/>
      <c r="EZ871" s="1055"/>
      <c r="FA871" s="1055"/>
      <c r="FB871" s="1055"/>
      <c r="FC871" s="1055"/>
      <c r="FD871" s="1055"/>
      <c r="FE871" s="1055"/>
      <c r="FF871" s="1055"/>
      <c r="FG871" s="1055"/>
      <c r="FH871" s="1055"/>
      <c r="FI871" s="1055"/>
      <c r="FJ871" s="1055"/>
      <c r="FK871" s="1055"/>
      <c r="FL871" s="1055"/>
      <c r="FM871" s="1055"/>
      <c r="FN871" s="1055"/>
      <c r="FO871" s="1055"/>
      <c r="FP871" s="1055"/>
      <c r="FQ871" s="1055"/>
      <c r="FR871" s="1055"/>
      <c r="FS871" s="1055"/>
      <c r="FT871" s="1055"/>
      <c r="FU871" s="1055"/>
      <c r="FV871" s="1055"/>
      <c r="FW871" s="1055"/>
      <c r="FX871" s="1055"/>
      <c r="FY871" s="1055"/>
      <c r="FZ871" s="1055"/>
      <c r="GA871" s="1055"/>
      <c r="GB871" s="1055"/>
      <c r="GC871" s="1055"/>
      <c r="GD871" s="1055"/>
      <c r="GE871" s="1055"/>
      <c r="GF871" s="1055"/>
      <c r="GG871" s="1055"/>
      <c r="GH871" s="1055"/>
      <c r="GI871" s="1055"/>
      <c r="GJ871" s="1055"/>
      <c r="GK871" s="1055"/>
      <c r="GL871" s="1055"/>
      <c r="GM871" s="1055"/>
      <c r="GN871" s="1055"/>
      <c r="GO871" s="1055"/>
      <c r="GP871" s="1055"/>
      <c r="GQ871" s="1055"/>
      <c r="GR871" s="1055"/>
      <c r="GS871" s="1055"/>
      <c r="GT871" s="1055"/>
      <c r="GU871" s="1055"/>
      <c r="GV871" s="1055"/>
      <c r="GW871" s="1055"/>
      <c r="GX871" s="1055"/>
      <c r="GY871" s="1055"/>
      <c r="GZ871" s="1055"/>
      <c r="HA871" s="1055"/>
      <c r="HB871" s="1055"/>
      <c r="HC871" s="1055"/>
      <c r="HD871" s="1055"/>
      <c r="HE871" s="1055"/>
      <c r="HF871" s="1055"/>
      <c r="HG871" s="1055"/>
      <c r="HH871" s="1055"/>
      <c r="HI871" s="1055"/>
      <c r="HJ871" s="1055"/>
      <c r="HK871" s="1055"/>
      <c r="HL871" s="1055"/>
      <c r="HM871" s="1055"/>
      <c r="HN871" s="1055"/>
      <c r="HO871" s="1055"/>
      <c r="HP871" s="1055"/>
      <c r="HQ871" s="1055"/>
      <c r="HR871" s="1055"/>
      <c r="HS871" s="1055"/>
      <c r="HT871" s="1055"/>
      <c r="HU871" s="1055"/>
      <c r="HV871" s="1055"/>
      <c r="HW871" s="1055"/>
      <c r="HX871" s="1055"/>
      <c r="HY871" s="1055"/>
      <c r="HZ871" s="1055"/>
      <c r="IA871" s="1055"/>
      <c r="IB871" s="1055"/>
      <c r="IC871" s="1055"/>
      <c r="ID871" s="1055"/>
      <c r="IE871" s="1055"/>
      <c r="IF871" s="1055"/>
      <c r="IG871" s="1055"/>
      <c r="IH871" s="1055"/>
      <c r="II871" s="1055"/>
      <c r="IJ871" s="1055"/>
      <c r="IK871" s="1055"/>
      <c r="IL871" s="1055"/>
      <c r="IM871" s="1055"/>
      <c r="IN871" s="1055"/>
      <c r="IO871" s="1055"/>
      <c r="IP871" s="1055"/>
      <c r="IQ871" s="1055"/>
      <c r="IR871" s="1055"/>
      <c r="IS871" s="1055"/>
      <c r="IT871" s="1055"/>
      <c r="IU871" s="1055"/>
      <c r="IV871" s="1055"/>
      <c r="IW871" s="1055"/>
      <c r="IX871" s="1055"/>
    </row>
    <row r="872" spans="1:258" s="130" customFormat="1" x14ac:dyDescent="0.25">
      <c r="A872" s="125">
        <f t="shared" si="112"/>
        <v>832</v>
      </c>
      <c r="B872" s="1055"/>
      <c r="C872" s="641" t="s">
        <v>11771</v>
      </c>
      <c r="D872" s="924">
        <v>0</v>
      </c>
      <c r="E872" s="906">
        <f t="shared" si="113"/>
        <v>0</v>
      </c>
      <c r="F872" s="136">
        <v>50</v>
      </c>
      <c r="G872" s="122" t="s">
        <v>1963</v>
      </c>
      <c r="H872" s="1055"/>
      <c r="I872" s="1055"/>
      <c r="J872" s="1055"/>
      <c r="K872" s="1055"/>
      <c r="L872" s="1055"/>
      <c r="M872" s="1055"/>
      <c r="N872" s="1055"/>
      <c r="O872" s="1055"/>
      <c r="P872" s="1055"/>
      <c r="Q872" s="1055"/>
      <c r="R872" s="1055"/>
      <c r="S872" s="1055"/>
      <c r="T872" s="1055"/>
      <c r="U872" s="1055"/>
      <c r="V872" s="1055"/>
      <c r="W872" s="1055"/>
      <c r="X872" s="1055"/>
      <c r="Y872" s="1055"/>
      <c r="Z872" s="1055"/>
      <c r="AA872" s="1055"/>
      <c r="AB872" s="1055"/>
      <c r="AC872" s="1055"/>
      <c r="AD872" s="1055"/>
      <c r="AE872" s="1055"/>
      <c r="AF872" s="1055"/>
      <c r="AG872" s="1055"/>
      <c r="AH872" s="1055"/>
      <c r="AI872" s="1055"/>
      <c r="AJ872" s="1055"/>
      <c r="AK872" s="1055"/>
      <c r="AL872" s="1055"/>
      <c r="AM872" s="1055"/>
      <c r="AN872" s="1055"/>
      <c r="AO872" s="1055"/>
      <c r="AP872" s="1055"/>
      <c r="AQ872" s="1055"/>
      <c r="AR872" s="1055"/>
      <c r="AS872" s="1055"/>
      <c r="AT872" s="1055"/>
      <c r="AU872" s="1055"/>
      <c r="AV872" s="1055"/>
      <c r="AW872" s="1055"/>
      <c r="AX872" s="1055"/>
      <c r="AY872" s="1055"/>
      <c r="AZ872" s="1055"/>
      <c r="BA872" s="1055"/>
      <c r="BB872" s="1055"/>
      <c r="BC872" s="1055"/>
      <c r="BD872" s="1055"/>
      <c r="BE872" s="1055"/>
      <c r="BF872" s="1055"/>
      <c r="BG872" s="1055"/>
      <c r="BH872" s="1055"/>
      <c r="BI872" s="1055"/>
      <c r="BJ872" s="1055"/>
      <c r="BK872" s="1055"/>
      <c r="BL872" s="1055"/>
      <c r="BM872" s="1055"/>
      <c r="BN872" s="1055"/>
      <c r="BO872" s="1055"/>
      <c r="BP872" s="1055"/>
      <c r="BQ872" s="1055"/>
      <c r="BR872" s="1055"/>
      <c r="BS872" s="1055"/>
      <c r="BT872" s="1055"/>
      <c r="BU872" s="1055"/>
      <c r="BV872" s="1055"/>
      <c r="BW872" s="1055"/>
      <c r="BX872" s="1055"/>
      <c r="BY872" s="1055"/>
      <c r="BZ872" s="1055"/>
      <c r="CA872" s="1055"/>
      <c r="CB872" s="1055"/>
      <c r="CC872" s="1055"/>
      <c r="CD872" s="1055"/>
      <c r="CE872" s="1055"/>
      <c r="CF872" s="1055"/>
      <c r="CG872" s="1055"/>
      <c r="CH872" s="1055"/>
      <c r="CI872" s="1055"/>
      <c r="CJ872" s="1055"/>
      <c r="CK872" s="1055"/>
      <c r="CL872" s="1055"/>
      <c r="CM872" s="1055"/>
      <c r="CN872" s="1055"/>
      <c r="CO872" s="1055"/>
      <c r="CP872" s="1055"/>
      <c r="CQ872" s="1055"/>
      <c r="CR872" s="1055"/>
      <c r="CS872" s="1055"/>
      <c r="CT872" s="1055"/>
      <c r="CU872" s="1055"/>
      <c r="CV872" s="1055"/>
      <c r="CW872" s="1055"/>
      <c r="CX872" s="1055"/>
      <c r="CY872" s="1055"/>
      <c r="CZ872" s="1055"/>
      <c r="DA872" s="1055"/>
      <c r="DB872" s="1055"/>
      <c r="DC872" s="1055"/>
      <c r="DD872" s="1055"/>
      <c r="DE872" s="1055"/>
      <c r="DF872" s="1055"/>
      <c r="DG872" s="1055"/>
      <c r="DH872" s="1055"/>
      <c r="DI872" s="1055"/>
      <c r="DJ872" s="1055"/>
      <c r="DK872" s="1055"/>
      <c r="DL872" s="1055"/>
      <c r="DM872" s="1055"/>
      <c r="DN872" s="1055"/>
      <c r="DO872" s="1055"/>
      <c r="DP872" s="1055"/>
      <c r="DQ872" s="1055"/>
      <c r="DR872" s="1055"/>
      <c r="DS872" s="1055"/>
      <c r="DT872" s="1055"/>
      <c r="DU872" s="1055"/>
      <c r="DV872" s="1055"/>
      <c r="DW872" s="1055"/>
      <c r="DX872" s="1055"/>
      <c r="DY872" s="1055"/>
      <c r="DZ872" s="1055"/>
      <c r="EA872" s="1055"/>
      <c r="EB872" s="1055"/>
      <c r="EC872" s="1055"/>
      <c r="ED872" s="1055"/>
      <c r="EE872" s="1055"/>
      <c r="EF872" s="1055"/>
      <c r="EG872" s="1055"/>
      <c r="EH872" s="1055"/>
      <c r="EI872" s="1055"/>
      <c r="EJ872" s="1055"/>
      <c r="EK872" s="1055"/>
      <c r="EL872" s="1055"/>
      <c r="EM872" s="1055"/>
      <c r="EN872" s="1055"/>
      <c r="EO872" s="1055"/>
      <c r="EP872" s="1055"/>
      <c r="EQ872" s="1055"/>
      <c r="ER872" s="1055"/>
      <c r="ES872" s="1055"/>
      <c r="ET872" s="1055"/>
      <c r="EU872" s="1055"/>
      <c r="EV872" s="1055"/>
      <c r="EW872" s="1055"/>
      <c r="EX872" s="1055"/>
      <c r="EY872" s="1055"/>
      <c r="EZ872" s="1055"/>
      <c r="FA872" s="1055"/>
      <c r="FB872" s="1055"/>
      <c r="FC872" s="1055"/>
      <c r="FD872" s="1055"/>
      <c r="FE872" s="1055"/>
      <c r="FF872" s="1055"/>
      <c r="FG872" s="1055"/>
      <c r="FH872" s="1055"/>
      <c r="FI872" s="1055"/>
      <c r="FJ872" s="1055"/>
      <c r="FK872" s="1055"/>
      <c r="FL872" s="1055"/>
      <c r="FM872" s="1055"/>
      <c r="FN872" s="1055"/>
      <c r="FO872" s="1055"/>
      <c r="FP872" s="1055"/>
      <c r="FQ872" s="1055"/>
      <c r="FR872" s="1055"/>
      <c r="FS872" s="1055"/>
      <c r="FT872" s="1055"/>
      <c r="FU872" s="1055"/>
      <c r="FV872" s="1055"/>
      <c r="FW872" s="1055"/>
      <c r="FX872" s="1055"/>
      <c r="FY872" s="1055"/>
      <c r="FZ872" s="1055"/>
      <c r="GA872" s="1055"/>
      <c r="GB872" s="1055"/>
      <c r="GC872" s="1055"/>
      <c r="GD872" s="1055"/>
      <c r="GE872" s="1055"/>
      <c r="GF872" s="1055"/>
      <c r="GG872" s="1055"/>
      <c r="GH872" s="1055"/>
      <c r="GI872" s="1055"/>
      <c r="GJ872" s="1055"/>
      <c r="GK872" s="1055"/>
      <c r="GL872" s="1055"/>
      <c r="GM872" s="1055"/>
      <c r="GN872" s="1055"/>
      <c r="GO872" s="1055"/>
      <c r="GP872" s="1055"/>
      <c r="GQ872" s="1055"/>
      <c r="GR872" s="1055"/>
      <c r="GS872" s="1055"/>
      <c r="GT872" s="1055"/>
      <c r="GU872" s="1055"/>
      <c r="GV872" s="1055"/>
      <c r="GW872" s="1055"/>
      <c r="GX872" s="1055"/>
      <c r="GY872" s="1055"/>
      <c r="GZ872" s="1055"/>
      <c r="HA872" s="1055"/>
      <c r="HB872" s="1055"/>
      <c r="HC872" s="1055"/>
      <c r="HD872" s="1055"/>
      <c r="HE872" s="1055"/>
      <c r="HF872" s="1055"/>
      <c r="HG872" s="1055"/>
      <c r="HH872" s="1055"/>
      <c r="HI872" s="1055"/>
      <c r="HJ872" s="1055"/>
      <c r="HK872" s="1055"/>
      <c r="HL872" s="1055"/>
      <c r="HM872" s="1055"/>
      <c r="HN872" s="1055"/>
      <c r="HO872" s="1055"/>
      <c r="HP872" s="1055"/>
      <c r="HQ872" s="1055"/>
      <c r="HR872" s="1055"/>
      <c r="HS872" s="1055"/>
      <c r="HT872" s="1055"/>
      <c r="HU872" s="1055"/>
      <c r="HV872" s="1055"/>
      <c r="HW872" s="1055"/>
      <c r="HX872" s="1055"/>
      <c r="HY872" s="1055"/>
      <c r="HZ872" s="1055"/>
      <c r="IA872" s="1055"/>
      <c r="IB872" s="1055"/>
      <c r="IC872" s="1055"/>
      <c r="ID872" s="1055"/>
      <c r="IE872" s="1055"/>
      <c r="IF872" s="1055"/>
      <c r="IG872" s="1055"/>
      <c r="IH872" s="1055"/>
      <c r="II872" s="1055"/>
      <c r="IJ872" s="1055"/>
      <c r="IK872" s="1055"/>
      <c r="IL872" s="1055"/>
      <c r="IM872" s="1055"/>
      <c r="IN872" s="1055"/>
      <c r="IO872" s="1055"/>
      <c r="IP872" s="1055"/>
      <c r="IQ872" s="1055"/>
      <c r="IR872" s="1055"/>
      <c r="IS872" s="1055"/>
      <c r="IT872" s="1055"/>
      <c r="IU872" s="1055"/>
      <c r="IV872" s="1055"/>
      <c r="IW872" s="1055"/>
      <c r="IX872" s="1055"/>
    </row>
    <row r="873" spans="1:258" s="130" customFormat="1" x14ac:dyDescent="0.25">
      <c r="A873" s="125">
        <f t="shared" si="112"/>
        <v>833</v>
      </c>
      <c r="B873" s="1055"/>
      <c r="C873" s="641" t="s">
        <v>11773</v>
      </c>
      <c r="D873" s="924">
        <v>0</v>
      </c>
      <c r="E873" s="906">
        <f t="shared" si="113"/>
        <v>0</v>
      </c>
      <c r="F873" s="136">
        <v>100</v>
      </c>
      <c r="G873" s="122" t="s">
        <v>1963</v>
      </c>
      <c r="H873" s="1055"/>
      <c r="I873" s="1055"/>
      <c r="J873" s="1055"/>
      <c r="K873" s="1055"/>
      <c r="L873" s="1055"/>
      <c r="M873" s="1055"/>
      <c r="N873" s="1055"/>
      <c r="O873" s="1055"/>
      <c r="P873" s="1055"/>
      <c r="Q873" s="1055"/>
      <c r="R873" s="1055"/>
      <c r="S873" s="1055"/>
      <c r="T873" s="1055"/>
      <c r="U873" s="1055"/>
      <c r="V873" s="1055"/>
      <c r="W873" s="1055"/>
      <c r="X873" s="1055"/>
      <c r="Y873" s="1055"/>
      <c r="Z873" s="1055"/>
      <c r="AA873" s="1055"/>
      <c r="AB873" s="1055"/>
      <c r="AC873" s="1055"/>
      <c r="AD873" s="1055"/>
      <c r="AE873" s="1055"/>
      <c r="AF873" s="1055"/>
      <c r="AG873" s="1055"/>
      <c r="AH873" s="1055"/>
      <c r="AI873" s="1055"/>
      <c r="AJ873" s="1055"/>
      <c r="AK873" s="1055"/>
      <c r="AL873" s="1055"/>
      <c r="AM873" s="1055"/>
      <c r="AN873" s="1055"/>
      <c r="AO873" s="1055"/>
      <c r="AP873" s="1055"/>
      <c r="AQ873" s="1055"/>
      <c r="AR873" s="1055"/>
      <c r="AS873" s="1055"/>
      <c r="AT873" s="1055"/>
      <c r="AU873" s="1055"/>
      <c r="AV873" s="1055"/>
      <c r="AW873" s="1055"/>
      <c r="AX873" s="1055"/>
      <c r="AY873" s="1055"/>
      <c r="AZ873" s="1055"/>
      <c r="BA873" s="1055"/>
      <c r="BB873" s="1055"/>
      <c r="BC873" s="1055"/>
      <c r="BD873" s="1055"/>
      <c r="BE873" s="1055"/>
      <c r="BF873" s="1055"/>
      <c r="BG873" s="1055"/>
      <c r="BH873" s="1055"/>
      <c r="BI873" s="1055"/>
      <c r="BJ873" s="1055"/>
      <c r="BK873" s="1055"/>
      <c r="BL873" s="1055"/>
      <c r="BM873" s="1055"/>
      <c r="BN873" s="1055"/>
      <c r="BO873" s="1055"/>
      <c r="BP873" s="1055"/>
      <c r="BQ873" s="1055"/>
      <c r="BR873" s="1055"/>
      <c r="BS873" s="1055"/>
      <c r="BT873" s="1055"/>
      <c r="BU873" s="1055"/>
      <c r="BV873" s="1055"/>
      <c r="BW873" s="1055"/>
      <c r="BX873" s="1055"/>
      <c r="BY873" s="1055"/>
      <c r="BZ873" s="1055"/>
      <c r="CA873" s="1055"/>
      <c r="CB873" s="1055"/>
      <c r="CC873" s="1055"/>
      <c r="CD873" s="1055"/>
      <c r="CE873" s="1055"/>
      <c r="CF873" s="1055"/>
      <c r="CG873" s="1055"/>
      <c r="CH873" s="1055"/>
      <c r="CI873" s="1055"/>
      <c r="CJ873" s="1055"/>
      <c r="CK873" s="1055"/>
      <c r="CL873" s="1055"/>
      <c r="CM873" s="1055"/>
      <c r="CN873" s="1055"/>
      <c r="CO873" s="1055"/>
      <c r="CP873" s="1055"/>
      <c r="CQ873" s="1055"/>
      <c r="CR873" s="1055"/>
      <c r="CS873" s="1055"/>
      <c r="CT873" s="1055"/>
      <c r="CU873" s="1055"/>
      <c r="CV873" s="1055"/>
      <c r="CW873" s="1055"/>
      <c r="CX873" s="1055"/>
      <c r="CY873" s="1055"/>
      <c r="CZ873" s="1055"/>
      <c r="DA873" s="1055"/>
      <c r="DB873" s="1055"/>
      <c r="DC873" s="1055"/>
      <c r="DD873" s="1055"/>
      <c r="DE873" s="1055"/>
      <c r="DF873" s="1055"/>
      <c r="DG873" s="1055"/>
      <c r="DH873" s="1055"/>
      <c r="DI873" s="1055"/>
      <c r="DJ873" s="1055"/>
      <c r="DK873" s="1055"/>
      <c r="DL873" s="1055"/>
      <c r="DM873" s="1055"/>
      <c r="DN873" s="1055"/>
      <c r="DO873" s="1055"/>
      <c r="DP873" s="1055"/>
      <c r="DQ873" s="1055"/>
      <c r="DR873" s="1055"/>
      <c r="DS873" s="1055"/>
      <c r="DT873" s="1055"/>
      <c r="DU873" s="1055"/>
      <c r="DV873" s="1055"/>
      <c r="DW873" s="1055"/>
      <c r="DX873" s="1055"/>
      <c r="DY873" s="1055"/>
      <c r="DZ873" s="1055"/>
      <c r="EA873" s="1055"/>
      <c r="EB873" s="1055"/>
      <c r="EC873" s="1055"/>
      <c r="ED873" s="1055"/>
      <c r="EE873" s="1055"/>
      <c r="EF873" s="1055"/>
      <c r="EG873" s="1055"/>
      <c r="EH873" s="1055"/>
      <c r="EI873" s="1055"/>
      <c r="EJ873" s="1055"/>
      <c r="EK873" s="1055"/>
      <c r="EL873" s="1055"/>
      <c r="EM873" s="1055"/>
      <c r="EN873" s="1055"/>
      <c r="EO873" s="1055"/>
      <c r="EP873" s="1055"/>
      <c r="EQ873" s="1055"/>
      <c r="ER873" s="1055"/>
      <c r="ES873" s="1055"/>
      <c r="ET873" s="1055"/>
      <c r="EU873" s="1055"/>
      <c r="EV873" s="1055"/>
      <c r="EW873" s="1055"/>
      <c r="EX873" s="1055"/>
      <c r="EY873" s="1055"/>
      <c r="EZ873" s="1055"/>
      <c r="FA873" s="1055"/>
      <c r="FB873" s="1055"/>
      <c r="FC873" s="1055"/>
      <c r="FD873" s="1055"/>
      <c r="FE873" s="1055"/>
      <c r="FF873" s="1055"/>
      <c r="FG873" s="1055"/>
      <c r="FH873" s="1055"/>
      <c r="FI873" s="1055"/>
      <c r="FJ873" s="1055"/>
      <c r="FK873" s="1055"/>
      <c r="FL873" s="1055"/>
      <c r="FM873" s="1055"/>
      <c r="FN873" s="1055"/>
      <c r="FO873" s="1055"/>
      <c r="FP873" s="1055"/>
      <c r="FQ873" s="1055"/>
      <c r="FR873" s="1055"/>
      <c r="FS873" s="1055"/>
      <c r="FT873" s="1055"/>
      <c r="FU873" s="1055"/>
      <c r="FV873" s="1055"/>
      <c r="FW873" s="1055"/>
      <c r="FX873" s="1055"/>
      <c r="FY873" s="1055"/>
      <c r="FZ873" s="1055"/>
      <c r="GA873" s="1055"/>
      <c r="GB873" s="1055"/>
      <c r="GC873" s="1055"/>
      <c r="GD873" s="1055"/>
      <c r="GE873" s="1055"/>
      <c r="GF873" s="1055"/>
      <c r="GG873" s="1055"/>
      <c r="GH873" s="1055"/>
      <c r="GI873" s="1055"/>
      <c r="GJ873" s="1055"/>
      <c r="GK873" s="1055"/>
      <c r="GL873" s="1055"/>
      <c r="GM873" s="1055"/>
      <c r="GN873" s="1055"/>
      <c r="GO873" s="1055"/>
      <c r="GP873" s="1055"/>
      <c r="GQ873" s="1055"/>
      <c r="GR873" s="1055"/>
      <c r="GS873" s="1055"/>
      <c r="GT873" s="1055"/>
      <c r="GU873" s="1055"/>
      <c r="GV873" s="1055"/>
      <c r="GW873" s="1055"/>
      <c r="GX873" s="1055"/>
      <c r="GY873" s="1055"/>
      <c r="GZ873" s="1055"/>
      <c r="HA873" s="1055"/>
      <c r="HB873" s="1055"/>
      <c r="HC873" s="1055"/>
      <c r="HD873" s="1055"/>
      <c r="HE873" s="1055"/>
      <c r="HF873" s="1055"/>
      <c r="HG873" s="1055"/>
      <c r="HH873" s="1055"/>
      <c r="HI873" s="1055"/>
      <c r="HJ873" s="1055"/>
      <c r="HK873" s="1055"/>
      <c r="HL873" s="1055"/>
      <c r="HM873" s="1055"/>
      <c r="HN873" s="1055"/>
      <c r="HO873" s="1055"/>
      <c r="HP873" s="1055"/>
      <c r="HQ873" s="1055"/>
      <c r="HR873" s="1055"/>
      <c r="HS873" s="1055"/>
      <c r="HT873" s="1055"/>
      <c r="HU873" s="1055"/>
      <c r="HV873" s="1055"/>
      <c r="HW873" s="1055"/>
      <c r="HX873" s="1055"/>
      <c r="HY873" s="1055"/>
      <c r="HZ873" s="1055"/>
      <c r="IA873" s="1055"/>
      <c r="IB873" s="1055"/>
      <c r="IC873" s="1055"/>
      <c r="ID873" s="1055"/>
      <c r="IE873" s="1055"/>
      <c r="IF873" s="1055"/>
      <c r="IG873" s="1055"/>
      <c r="IH873" s="1055"/>
      <c r="II873" s="1055"/>
      <c r="IJ873" s="1055"/>
      <c r="IK873" s="1055"/>
      <c r="IL873" s="1055"/>
      <c r="IM873" s="1055"/>
      <c r="IN873" s="1055"/>
      <c r="IO873" s="1055"/>
      <c r="IP873" s="1055"/>
      <c r="IQ873" s="1055"/>
      <c r="IR873" s="1055"/>
      <c r="IS873" s="1055"/>
      <c r="IT873" s="1055"/>
      <c r="IU873" s="1055"/>
      <c r="IV873" s="1055"/>
      <c r="IW873" s="1055"/>
      <c r="IX873" s="1055"/>
    </row>
    <row r="874" spans="1:258" s="130" customFormat="1" x14ac:dyDescent="0.25">
      <c r="A874" s="125">
        <f t="shared" si="112"/>
        <v>834</v>
      </c>
      <c r="B874" s="1055"/>
      <c r="C874" s="641" t="s">
        <v>11774</v>
      </c>
      <c r="D874" s="924">
        <v>0</v>
      </c>
      <c r="E874" s="906">
        <f t="shared" si="113"/>
        <v>0</v>
      </c>
      <c r="F874" s="136">
        <v>5000</v>
      </c>
      <c r="G874" s="122" t="s">
        <v>1963</v>
      </c>
      <c r="H874" s="1055"/>
      <c r="I874" s="1055"/>
      <c r="J874" s="1055"/>
      <c r="K874" s="1055"/>
      <c r="L874" s="1055"/>
      <c r="M874" s="1055"/>
      <c r="N874" s="1055"/>
      <c r="O874" s="1055"/>
      <c r="P874" s="1055"/>
      <c r="Q874" s="1055"/>
      <c r="R874" s="1055"/>
      <c r="S874" s="1055"/>
      <c r="T874" s="1055"/>
      <c r="U874" s="1055"/>
      <c r="V874" s="1055"/>
      <c r="W874" s="1055"/>
      <c r="X874" s="1055"/>
      <c r="Y874" s="1055"/>
      <c r="Z874" s="1055"/>
      <c r="AA874" s="1055"/>
      <c r="AB874" s="1055"/>
      <c r="AC874" s="1055"/>
      <c r="AD874" s="1055"/>
      <c r="AE874" s="1055"/>
      <c r="AF874" s="1055"/>
      <c r="AG874" s="1055"/>
      <c r="AH874" s="1055"/>
      <c r="AI874" s="1055"/>
      <c r="AJ874" s="1055"/>
      <c r="AK874" s="1055"/>
      <c r="AL874" s="1055"/>
      <c r="AM874" s="1055"/>
      <c r="AN874" s="1055"/>
      <c r="AO874" s="1055"/>
      <c r="AP874" s="1055"/>
      <c r="AQ874" s="1055"/>
      <c r="AR874" s="1055"/>
      <c r="AS874" s="1055"/>
      <c r="AT874" s="1055"/>
      <c r="AU874" s="1055"/>
      <c r="AV874" s="1055"/>
      <c r="AW874" s="1055"/>
      <c r="AX874" s="1055"/>
      <c r="AY874" s="1055"/>
      <c r="AZ874" s="1055"/>
      <c r="BA874" s="1055"/>
      <c r="BB874" s="1055"/>
      <c r="BC874" s="1055"/>
      <c r="BD874" s="1055"/>
      <c r="BE874" s="1055"/>
      <c r="BF874" s="1055"/>
      <c r="BG874" s="1055"/>
      <c r="BH874" s="1055"/>
      <c r="BI874" s="1055"/>
      <c r="BJ874" s="1055"/>
      <c r="BK874" s="1055"/>
      <c r="BL874" s="1055"/>
      <c r="BM874" s="1055"/>
      <c r="BN874" s="1055"/>
      <c r="BO874" s="1055"/>
      <c r="BP874" s="1055"/>
      <c r="BQ874" s="1055"/>
      <c r="BR874" s="1055"/>
      <c r="BS874" s="1055"/>
      <c r="BT874" s="1055"/>
      <c r="BU874" s="1055"/>
      <c r="BV874" s="1055"/>
      <c r="BW874" s="1055"/>
      <c r="BX874" s="1055"/>
      <c r="BY874" s="1055"/>
      <c r="BZ874" s="1055"/>
      <c r="CA874" s="1055"/>
      <c r="CB874" s="1055"/>
      <c r="CC874" s="1055"/>
      <c r="CD874" s="1055"/>
      <c r="CE874" s="1055"/>
      <c r="CF874" s="1055"/>
      <c r="CG874" s="1055"/>
      <c r="CH874" s="1055"/>
      <c r="CI874" s="1055"/>
      <c r="CJ874" s="1055"/>
      <c r="CK874" s="1055"/>
      <c r="CL874" s="1055"/>
      <c r="CM874" s="1055"/>
      <c r="CN874" s="1055"/>
      <c r="CO874" s="1055"/>
      <c r="CP874" s="1055"/>
      <c r="CQ874" s="1055"/>
      <c r="CR874" s="1055"/>
      <c r="CS874" s="1055"/>
      <c r="CT874" s="1055"/>
      <c r="CU874" s="1055"/>
      <c r="CV874" s="1055"/>
      <c r="CW874" s="1055"/>
      <c r="CX874" s="1055"/>
      <c r="CY874" s="1055"/>
      <c r="CZ874" s="1055"/>
      <c r="DA874" s="1055"/>
      <c r="DB874" s="1055"/>
      <c r="DC874" s="1055"/>
      <c r="DD874" s="1055"/>
      <c r="DE874" s="1055"/>
      <c r="DF874" s="1055"/>
      <c r="DG874" s="1055"/>
      <c r="DH874" s="1055"/>
      <c r="DI874" s="1055"/>
      <c r="DJ874" s="1055"/>
      <c r="DK874" s="1055"/>
      <c r="DL874" s="1055"/>
      <c r="DM874" s="1055"/>
      <c r="DN874" s="1055"/>
      <c r="DO874" s="1055"/>
      <c r="DP874" s="1055"/>
      <c r="DQ874" s="1055"/>
      <c r="DR874" s="1055"/>
      <c r="DS874" s="1055"/>
      <c r="DT874" s="1055"/>
      <c r="DU874" s="1055"/>
      <c r="DV874" s="1055"/>
      <c r="DW874" s="1055"/>
      <c r="DX874" s="1055"/>
      <c r="DY874" s="1055"/>
      <c r="DZ874" s="1055"/>
      <c r="EA874" s="1055"/>
      <c r="EB874" s="1055"/>
      <c r="EC874" s="1055"/>
      <c r="ED874" s="1055"/>
      <c r="EE874" s="1055"/>
      <c r="EF874" s="1055"/>
      <c r="EG874" s="1055"/>
      <c r="EH874" s="1055"/>
      <c r="EI874" s="1055"/>
      <c r="EJ874" s="1055"/>
      <c r="EK874" s="1055"/>
      <c r="EL874" s="1055"/>
      <c r="EM874" s="1055"/>
      <c r="EN874" s="1055"/>
      <c r="EO874" s="1055"/>
      <c r="EP874" s="1055"/>
      <c r="EQ874" s="1055"/>
      <c r="ER874" s="1055"/>
      <c r="ES874" s="1055"/>
      <c r="ET874" s="1055"/>
      <c r="EU874" s="1055"/>
      <c r="EV874" s="1055"/>
      <c r="EW874" s="1055"/>
      <c r="EX874" s="1055"/>
      <c r="EY874" s="1055"/>
      <c r="EZ874" s="1055"/>
      <c r="FA874" s="1055"/>
      <c r="FB874" s="1055"/>
      <c r="FC874" s="1055"/>
      <c r="FD874" s="1055"/>
      <c r="FE874" s="1055"/>
      <c r="FF874" s="1055"/>
      <c r="FG874" s="1055"/>
      <c r="FH874" s="1055"/>
      <c r="FI874" s="1055"/>
      <c r="FJ874" s="1055"/>
      <c r="FK874" s="1055"/>
      <c r="FL874" s="1055"/>
      <c r="FM874" s="1055"/>
      <c r="FN874" s="1055"/>
      <c r="FO874" s="1055"/>
      <c r="FP874" s="1055"/>
      <c r="FQ874" s="1055"/>
      <c r="FR874" s="1055"/>
      <c r="FS874" s="1055"/>
      <c r="FT874" s="1055"/>
      <c r="FU874" s="1055"/>
      <c r="FV874" s="1055"/>
      <c r="FW874" s="1055"/>
      <c r="FX874" s="1055"/>
      <c r="FY874" s="1055"/>
      <c r="FZ874" s="1055"/>
      <c r="GA874" s="1055"/>
      <c r="GB874" s="1055"/>
      <c r="GC874" s="1055"/>
      <c r="GD874" s="1055"/>
      <c r="GE874" s="1055"/>
      <c r="GF874" s="1055"/>
      <c r="GG874" s="1055"/>
      <c r="GH874" s="1055"/>
      <c r="GI874" s="1055"/>
      <c r="GJ874" s="1055"/>
      <c r="GK874" s="1055"/>
      <c r="GL874" s="1055"/>
      <c r="GM874" s="1055"/>
      <c r="GN874" s="1055"/>
      <c r="GO874" s="1055"/>
      <c r="GP874" s="1055"/>
      <c r="GQ874" s="1055"/>
      <c r="GR874" s="1055"/>
      <c r="GS874" s="1055"/>
      <c r="GT874" s="1055"/>
      <c r="GU874" s="1055"/>
      <c r="GV874" s="1055"/>
      <c r="GW874" s="1055"/>
      <c r="GX874" s="1055"/>
      <c r="GY874" s="1055"/>
      <c r="GZ874" s="1055"/>
      <c r="HA874" s="1055"/>
      <c r="HB874" s="1055"/>
      <c r="HC874" s="1055"/>
      <c r="HD874" s="1055"/>
      <c r="HE874" s="1055"/>
      <c r="HF874" s="1055"/>
      <c r="HG874" s="1055"/>
      <c r="HH874" s="1055"/>
      <c r="HI874" s="1055"/>
      <c r="HJ874" s="1055"/>
      <c r="HK874" s="1055"/>
      <c r="HL874" s="1055"/>
      <c r="HM874" s="1055"/>
      <c r="HN874" s="1055"/>
      <c r="HO874" s="1055"/>
      <c r="HP874" s="1055"/>
      <c r="HQ874" s="1055"/>
      <c r="HR874" s="1055"/>
      <c r="HS874" s="1055"/>
      <c r="HT874" s="1055"/>
      <c r="HU874" s="1055"/>
      <c r="HV874" s="1055"/>
      <c r="HW874" s="1055"/>
      <c r="HX874" s="1055"/>
      <c r="HY874" s="1055"/>
      <c r="HZ874" s="1055"/>
      <c r="IA874" s="1055"/>
      <c r="IB874" s="1055"/>
      <c r="IC874" s="1055"/>
      <c r="ID874" s="1055"/>
      <c r="IE874" s="1055"/>
      <c r="IF874" s="1055"/>
      <c r="IG874" s="1055"/>
      <c r="IH874" s="1055"/>
      <c r="II874" s="1055"/>
      <c r="IJ874" s="1055"/>
      <c r="IK874" s="1055"/>
      <c r="IL874" s="1055"/>
      <c r="IM874" s="1055"/>
      <c r="IN874" s="1055"/>
      <c r="IO874" s="1055"/>
      <c r="IP874" s="1055"/>
      <c r="IQ874" s="1055"/>
      <c r="IR874" s="1055"/>
      <c r="IS874" s="1055"/>
      <c r="IT874" s="1055"/>
      <c r="IU874" s="1055"/>
      <c r="IV874" s="1055"/>
      <c r="IW874" s="1055"/>
      <c r="IX874" s="1055"/>
    </row>
    <row r="875" spans="1:258" s="130" customFormat="1" x14ac:dyDescent="0.25">
      <c r="A875" s="125">
        <f t="shared" si="112"/>
        <v>835</v>
      </c>
      <c r="B875" s="885"/>
      <c r="C875" s="929" t="s">
        <v>10486</v>
      </c>
      <c r="D875" s="928"/>
      <c r="E875" s="928"/>
      <c r="F875" s="929"/>
      <c r="G875" s="929"/>
      <c r="H875" s="929"/>
      <c r="I875" s="929"/>
      <c r="J875" s="885"/>
      <c r="K875" s="885"/>
      <c r="L875" s="885"/>
      <c r="M875" s="885"/>
      <c r="N875" s="885"/>
      <c r="O875" s="885"/>
      <c r="P875" s="885"/>
      <c r="Q875" s="885"/>
      <c r="R875" s="885"/>
      <c r="S875" s="885"/>
      <c r="T875" s="885"/>
      <c r="U875" s="885"/>
      <c r="V875" s="885"/>
      <c r="W875" s="885"/>
      <c r="X875" s="885"/>
      <c r="Y875" s="885"/>
      <c r="Z875" s="885"/>
      <c r="AA875" s="885"/>
      <c r="AB875" s="885"/>
      <c r="AC875" s="885"/>
      <c r="AD875" s="885"/>
      <c r="AE875" s="885"/>
      <c r="AF875" s="885"/>
      <c r="AG875" s="885"/>
      <c r="AH875" s="885"/>
      <c r="AI875" s="885"/>
      <c r="AJ875" s="885"/>
      <c r="AK875" s="885"/>
      <c r="AL875" s="885"/>
      <c r="AM875" s="885"/>
      <c r="AN875" s="885"/>
      <c r="AO875" s="885"/>
      <c r="AP875" s="885"/>
      <c r="AQ875" s="885"/>
      <c r="AR875" s="885"/>
      <c r="AS875" s="885"/>
      <c r="AT875" s="885"/>
      <c r="AU875" s="885"/>
      <c r="AV875" s="885"/>
      <c r="AW875" s="885"/>
      <c r="AX875" s="885"/>
      <c r="AY875" s="885"/>
      <c r="AZ875" s="885"/>
      <c r="BA875" s="885"/>
      <c r="BB875" s="885"/>
      <c r="BC875" s="885"/>
      <c r="BD875" s="885"/>
      <c r="BE875" s="885"/>
      <c r="BF875" s="885"/>
      <c r="BG875" s="885"/>
      <c r="BH875" s="885"/>
      <c r="BI875" s="885"/>
      <c r="BJ875" s="885"/>
      <c r="BK875" s="885"/>
      <c r="BL875" s="885"/>
      <c r="BM875" s="885"/>
      <c r="BN875" s="885"/>
      <c r="BO875" s="885"/>
      <c r="BP875" s="885"/>
      <c r="BQ875" s="885"/>
      <c r="BR875" s="885"/>
      <c r="BS875" s="885"/>
      <c r="BT875" s="885"/>
      <c r="BU875" s="885"/>
      <c r="BV875" s="885"/>
      <c r="BW875" s="885"/>
      <c r="BX875" s="885"/>
      <c r="BY875" s="885"/>
      <c r="BZ875" s="885"/>
      <c r="CA875" s="885"/>
      <c r="CB875" s="885"/>
      <c r="CC875" s="885"/>
      <c r="CD875" s="885"/>
      <c r="CE875" s="885"/>
      <c r="CF875" s="885"/>
      <c r="CG875" s="885"/>
      <c r="CH875" s="885"/>
      <c r="CI875" s="885"/>
      <c r="CJ875" s="885"/>
      <c r="CK875" s="885"/>
      <c r="CL875" s="885"/>
      <c r="CM875" s="885"/>
      <c r="CN875" s="885"/>
      <c r="CO875" s="885"/>
      <c r="CP875" s="885"/>
      <c r="CQ875" s="885"/>
      <c r="CR875" s="885"/>
      <c r="CS875" s="885"/>
      <c r="CT875" s="885"/>
      <c r="CU875" s="885"/>
      <c r="CV875" s="885"/>
      <c r="CW875" s="885"/>
      <c r="CX875" s="885"/>
      <c r="CY875" s="885"/>
      <c r="CZ875" s="885"/>
      <c r="DA875" s="885"/>
      <c r="DB875" s="885"/>
      <c r="DC875" s="885"/>
      <c r="DD875" s="885"/>
      <c r="DE875" s="885"/>
      <c r="DF875" s="885"/>
      <c r="DG875" s="885"/>
      <c r="DH875" s="885"/>
      <c r="DI875" s="885"/>
      <c r="DJ875" s="885"/>
      <c r="DK875" s="885"/>
      <c r="DL875" s="885"/>
      <c r="DM875" s="885"/>
      <c r="DN875" s="885"/>
      <c r="DO875" s="885"/>
      <c r="DP875" s="885"/>
      <c r="DQ875" s="885"/>
      <c r="DR875" s="885"/>
      <c r="DS875" s="885"/>
      <c r="DT875" s="885"/>
      <c r="DU875" s="885"/>
      <c r="DV875" s="885"/>
      <c r="DW875" s="885"/>
      <c r="DX875" s="885"/>
      <c r="DY875" s="885"/>
      <c r="DZ875" s="885"/>
      <c r="EA875" s="885"/>
      <c r="EB875" s="885"/>
      <c r="EC875" s="885"/>
      <c r="ED875" s="885"/>
      <c r="EE875" s="885"/>
      <c r="EF875" s="885"/>
      <c r="EG875" s="885"/>
      <c r="EH875" s="885"/>
      <c r="EI875" s="885"/>
      <c r="EJ875" s="885"/>
      <c r="EK875" s="885"/>
      <c r="EL875" s="885"/>
      <c r="EM875" s="885"/>
      <c r="EN875" s="885"/>
      <c r="EO875" s="885"/>
      <c r="EP875" s="885"/>
      <c r="EQ875" s="885"/>
      <c r="ER875" s="885"/>
      <c r="ES875" s="885"/>
      <c r="ET875" s="885"/>
      <c r="EU875" s="885"/>
      <c r="EV875" s="885"/>
      <c r="EW875" s="885"/>
      <c r="EX875" s="885"/>
      <c r="EY875" s="885"/>
      <c r="EZ875" s="885"/>
      <c r="FA875" s="885"/>
      <c r="FB875" s="885"/>
      <c r="FC875" s="885"/>
      <c r="FD875" s="885"/>
      <c r="FE875" s="885"/>
      <c r="FF875" s="885"/>
      <c r="FG875" s="885"/>
      <c r="FH875" s="885"/>
      <c r="FI875" s="885"/>
      <c r="FJ875" s="885"/>
      <c r="FK875" s="885"/>
      <c r="FL875" s="885"/>
      <c r="FM875" s="885"/>
      <c r="FN875" s="885"/>
      <c r="FO875" s="885"/>
      <c r="FP875" s="885"/>
      <c r="FQ875" s="885"/>
      <c r="FR875" s="885"/>
      <c r="FS875" s="885"/>
      <c r="FT875" s="885"/>
      <c r="FU875" s="885"/>
      <c r="FV875" s="885"/>
      <c r="FW875" s="885"/>
      <c r="FX875" s="885"/>
      <c r="FY875" s="885"/>
      <c r="FZ875" s="885"/>
      <c r="GA875" s="885"/>
      <c r="GB875" s="885"/>
      <c r="GC875" s="885"/>
      <c r="GD875" s="885"/>
      <c r="GE875" s="885"/>
      <c r="GF875" s="885"/>
      <c r="GG875" s="885"/>
      <c r="GH875" s="885"/>
      <c r="GI875" s="885"/>
      <c r="GJ875" s="885"/>
      <c r="GK875" s="885"/>
      <c r="GL875" s="885"/>
      <c r="GM875" s="885"/>
      <c r="GN875" s="885"/>
      <c r="GO875" s="885"/>
      <c r="GP875" s="885"/>
      <c r="GQ875" s="885"/>
      <c r="GR875" s="885"/>
      <c r="GS875" s="885"/>
      <c r="GT875" s="885"/>
      <c r="GU875" s="885"/>
      <c r="GV875" s="885"/>
      <c r="GW875" s="885"/>
      <c r="GX875" s="885"/>
      <c r="GY875" s="885"/>
      <c r="GZ875" s="885"/>
      <c r="HA875" s="885"/>
      <c r="HB875" s="885"/>
      <c r="HC875" s="885"/>
      <c r="HD875" s="885"/>
      <c r="HE875" s="885"/>
      <c r="HF875" s="885"/>
      <c r="HG875" s="885"/>
      <c r="HH875" s="885"/>
      <c r="HI875" s="885"/>
      <c r="HJ875" s="885"/>
      <c r="HK875" s="885"/>
      <c r="HL875" s="885"/>
      <c r="HM875" s="885"/>
      <c r="HN875" s="885"/>
      <c r="HO875" s="885"/>
      <c r="HP875" s="885"/>
      <c r="HQ875" s="885"/>
      <c r="HR875" s="885"/>
      <c r="HS875" s="885"/>
      <c r="HT875" s="885"/>
      <c r="HU875" s="885"/>
      <c r="HV875" s="885"/>
      <c r="HW875" s="885"/>
      <c r="HX875" s="885"/>
      <c r="HY875" s="885"/>
      <c r="HZ875" s="885"/>
      <c r="IA875" s="885"/>
      <c r="IB875" s="885"/>
      <c r="IC875" s="885"/>
      <c r="ID875" s="885"/>
      <c r="IE875" s="885"/>
      <c r="IF875" s="885"/>
      <c r="IG875" s="885"/>
      <c r="IH875" s="885"/>
      <c r="II875" s="885"/>
      <c r="IJ875" s="885"/>
      <c r="IK875" s="885"/>
      <c r="IL875" s="885"/>
      <c r="IM875" s="885"/>
      <c r="IN875" s="885"/>
      <c r="IO875" s="885"/>
      <c r="IP875" s="885"/>
      <c r="IQ875" s="885"/>
      <c r="IR875" s="885"/>
      <c r="IS875" s="885"/>
      <c r="IT875" s="885"/>
      <c r="IU875" s="885"/>
      <c r="IV875" s="885"/>
      <c r="IW875" s="885"/>
      <c r="IX875" s="885"/>
    </row>
    <row r="876" spans="1:258" s="130" customFormat="1" ht="31.5" x14ac:dyDescent="0.25">
      <c r="A876" s="125">
        <f t="shared" si="112"/>
        <v>836</v>
      </c>
      <c r="B876" s="885"/>
      <c r="C876" s="842" t="s">
        <v>10522</v>
      </c>
      <c r="D876" s="924">
        <v>0</v>
      </c>
      <c r="E876" s="906">
        <f t="shared" ref="E876:E898" si="114">D876/8*12</f>
        <v>0</v>
      </c>
      <c r="F876" s="136">
        <v>500</v>
      </c>
      <c r="G876" s="122" t="s">
        <v>1963</v>
      </c>
      <c r="H876" s="885"/>
      <c r="I876" s="885"/>
      <c r="J876" s="885"/>
      <c r="K876" s="885"/>
      <c r="L876" s="885"/>
      <c r="M876" s="885"/>
      <c r="N876" s="885"/>
      <c r="O876" s="885"/>
      <c r="P876" s="885"/>
      <c r="Q876" s="885"/>
      <c r="R876" s="885"/>
      <c r="S876" s="885"/>
      <c r="T876" s="885"/>
      <c r="U876" s="885"/>
      <c r="V876" s="885"/>
      <c r="W876" s="885"/>
      <c r="X876" s="885"/>
      <c r="Y876" s="885"/>
      <c r="Z876" s="885"/>
      <c r="AA876" s="885"/>
      <c r="AB876" s="885"/>
      <c r="AC876" s="885"/>
      <c r="AD876" s="885"/>
      <c r="AE876" s="885"/>
      <c r="AF876" s="885"/>
      <c r="AG876" s="885"/>
      <c r="AH876" s="885"/>
      <c r="AI876" s="885"/>
      <c r="AJ876" s="885"/>
      <c r="AK876" s="885"/>
      <c r="AL876" s="885"/>
      <c r="AM876" s="885"/>
      <c r="AN876" s="885"/>
      <c r="AO876" s="885"/>
      <c r="AP876" s="885"/>
      <c r="AQ876" s="885"/>
      <c r="AR876" s="885"/>
      <c r="AS876" s="885"/>
      <c r="AT876" s="885"/>
      <c r="AU876" s="885"/>
      <c r="AV876" s="885"/>
      <c r="AW876" s="885"/>
      <c r="AX876" s="885"/>
      <c r="AY876" s="885"/>
      <c r="AZ876" s="885"/>
      <c r="BA876" s="885"/>
      <c r="BB876" s="885"/>
      <c r="BC876" s="885"/>
      <c r="BD876" s="885"/>
      <c r="BE876" s="885"/>
      <c r="BF876" s="885"/>
      <c r="BG876" s="885"/>
      <c r="BH876" s="885"/>
      <c r="BI876" s="885"/>
      <c r="BJ876" s="885"/>
      <c r="BK876" s="885"/>
      <c r="BL876" s="885"/>
      <c r="BM876" s="885"/>
      <c r="BN876" s="885"/>
      <c r="BO876" s="885"/>
      <c r="BP876" s="885"/>
      <c r="BQ876" s="885"/>
      <c r="BR876" s="885"/>
      <c r="BS876" s="885"/>
      <c r="BT876" s="885"/>
      <c r="BU876" s="885"/>
      <c r="BV876" s="885"/>
      <c r="BW876" s="885"/>
      <c r="BX876" s="885"/>
      <c r="BY876" s="885"/>
      <c r="BZ876" s="885"/>
      <c r="CA876" s="885"/>
      <c r="CB876" s="885"/>
      <c r="CC876" s="885"/>
      <c r="CD876" s="885"/>
      <c r="CE876" s="885"/>
      <c r="CF876" s="885"/>
      <c r="CG876" s="885"/>
      <c r="CH876" s="885"/>
      <c r="CI876" s="885"/>
      <c r="CJ876" s="885"/>
      <c r="CK876" s="885"/>
      <c r="CL876" s="885"/>
      <c r="CM876" s="885"/>
      <c r="CN876" s="885"/>
      <c r="CO876" s="885"/>
      <c r="CP876" s="885"/>
      <c r="CQ876" s="885"/>
      <c r="CR876" s="885"/>
      <c r="CS876" s="885"/>
      <c r="CT876" s="885"/>
      <c r="CU876" s="885"/>
      <c r="CV876" s="885"/>
      <c r="CW876" s="885"/>
      <c r="CX876" s="885"/>
      <c r="CY876" s="885"/>
      <c r="CZ876" s="885"/>
      <c r="DA876" s="885"/>
      <c r="DB876" s="885"/>
      <c r="DC876" s="885"/>
      <c r="DD876" s="885"/>
      <c r="DE876" s="885"/>
      <c r="DF876" s="885"/>
      <c r="DG876" s="885"/>
      <c r="DH876" s="885"/>
      <c r="DI876" s="885"/>
      <c r="DJ876" s="885"/>
      <c r="DK876" s="885"/>
      <c r="DL876" s="885"/>
      <c r="DM876" s="885"/>
      <c r="DN876" s="885"/>
      <c r="DO876" s="885"/>
      <c r="DP876" s="885"/>
      <c r="DQ876" s="885"/>
      <c r="DR876" s="885"/>
      <c r="DS876" s="885"/>
      <c r="DT876" s="885"/>
      <c r="DU876" s="885"/>
      <c r="DV876" s="885"/>
      <c r="DW876" s="885"/>
      <c r="DX876" s="885"/>
      <c r="DY876" s="885"/>
      <c r="DZ876" s="885"/>
      <c r="EA876" s="885"/>
      <c r="EB876" s="885"/>
      <c r="EC876" s="885"/>
      <c r="ED876" s="885"/>
      <c r="EE876" s="885"/>
      <c r="EF876" s="885"/>
      <c r="EG876" s="885"/>
      <c r="EH876" s="885"/>
      <c r="EI876" s="885"/>
      <c r="EJ876" s="885"/>
      <c r="EK876" s="885"/>
      <c r="EL876" s="885"/>
      <c r="EM876" s="885"/>
      <c r="EN876" s="885"/>
      <c r="EO876" s="885"/>
      <c r="EP876" s="885"/>
      <c r="EQ876" s="885"/>
      <c r="ER876" s="885"/>
      <c r="ES876" s="885"/>
      <c r="ET876" s="885"/>
      <c r="EU876" s="885"/>
      <c r="EV876" s="885"/>
      <c r="EW876" s="885"/>
      <c r="EX876" s="885"/>
      <c r="EY876" s="885"/>
      <c r="EZ876" s="885"/>
      <c r="FA876" s="885"/>
      <c r="FB876" s="885"/>
      <c r="FC876" s="885"/>
      <c r="FD876" s="885"/>
      <c r="FE876" s="885"/>
      <c r="FF876" s="885"/>
      <c r="FG876" s="885"/>
      <c r="FH876" s="885"/>
      <c r="FI876" s="885"/>
      <c r="FJ876" s="885"/>
      <c r="FK876" s="885"/>
      <c r="FL876" s="885"/>
      <c r="FM876" s="885"/>
      <c r="FN876" s="885"/>
      <c r="FO876" s="885"/>
      <c r="FP876" s="885"/>
      <c r="FQ876" s="885"/>
      <c r="FR876" s="885"/>
      <c r="FS876" s="885"/>
      <c r="FT876" s="885"/>
      <c r="FU876" s="885"/>
      <c r="FV876" s="885"/>
      <c r="FW876" s="885"/>
      <c r="FX876" s="885"/>
      <c r="FY876" s="885"/>
      <c r="FZ876" s="885"/>
      <c r="GA876" s="885"/>
      <c r="GB876" s="885"/>
      <c r="GC876" s="885"/>
      <c r="GD876" s="885"/>
      <c r="GE876" s="885"/>
      <c r="GF876" s="885"/>
      <c r="GG876" s="885"/>
      <c r="GH876" s="885"/>
      <c r="GI876" s="885"/>
      <c r="GJ876" s="885"/>
      <c r="GK876" s="885"/>
      <c r="GL876" s="885"/>
      <c r="GM876" s="885"/>
      <c r="GN876" s="885"/>
      <c r="GO876" s="885"/>
      <c r="GP876" s="885"/>
      <c r="GQ876" s="885"/>
      <c r="GR876" s="885"/>
      <c r="GS876" s="885"/>
      <c r="GT876" s="885"/>
      <c r="GU876" s="885"/>
      <c r="GV876" s="885"/>
      <c r="GW876" s="885"/>
      <c r="GX876" s="885"/>
      <c r="GY876" s="885"/>
      <c r="GZ876" s="885"/>
      <c r="HA876" s="885"/>
      <c r="HB876" s="885"/>
      <c r="HC876" s="885"/>
      <c r="HD876" s="885"/>
      <c r="HE876" s="885"/>
      <c r="HF876" s="885"/>
      <c r="HG876" s="885"/>
      <c r="HH876" s="885"/>
      <c r="HI876" s="885"/>
      <c r="HJ876" s="885"/>
      <c r="HK876" s="885"/>
      <c r="HL876" s="885"/>
      <c r="HM876" s="885"/>
      <c r="HN876" s="885"/>
      <c r="HO876" s="885"/>
      <c r="HP876" s="885"/>
      <c r="HQ876" s="885"/>
      <c r="HR876" s="885"/>
      <c r="HS876" s="885"/>
      <c r="HT876" s="885"/>
      <c r="HU876" s="885"/>
      <c r="HV876" s="885"/>
      <c r="HW876" s="885"/>
      <c r="HX876" s="885"/>
      <c r="HY876" s="885"/>
      <c r="HZ876" s="885"/>
      <c r="IA876" s="885"/>
      <c r="IB876" s="885"/>
      <c r="IC876" s="885"/>
      <c r="ID876" s="885"/>
      <c r="IE876" s="885"/>
      <c r="IF876" s="885"/>
      <c r="IG876" s="885"/>
      <c r="IH876" s="885"/>
      <c r="II876" s="885"/>
      <c r="IJ876" s="885"/>
      <c r="IK876" s="885"/>
      <c r="IL876" s="885"/>
      <c r="IM876" s="885"/>
      <c r="IN876" s="885"/>
      <c r="IO876" s="885"/>
      <c r="IP876" s="885"/>
      <c r="IQ876" s="885"/>
      <c r="IR876" s="885"/>
      <c r="IS876" s="885"/>
      <c r="IT876" s="885"/>
      <c r="IU876" s="885"/>
      <c r="IV876" s="885"/>
      <c r="IW876" s="885"/>
      <c r="IX876" s="885"/>
    </row>
    <row r="877" spans="1:258" s="130" customFormat="1" ht="31.5" x14ac:dyDescent="0.25">
      <c r="A877" s="125">
        <f t="shared" si="112"/>
        <v>837</v>
      </c>
      <c r="B877" s="885"/>
      <c r="C877" s="842" t="s">
        <v>10523</v>
      </c>
      <c r="D877" s="924">
        <v>0</v>
      </c>
      <c r="E877" s="906">
        <f t="shared" si="114"/>
        <v>0</v>
      </c>
      <c r="F877" s="136">
        <v>500</v>
      </c>
      <c r="G877" s="122" t="s">
        <v>1963</v>
      </c>
      <c r="H877" s="885"/>
      <c r="I877" s="885"/>
      <c r="J877" s="885"/>
      <c r="K877" s="885"/>
      <c r="L877" s="885"/>
      <c r="M877" s="885"/>
      <c r="N877" s="885"/>
      <c r="O877" s="885"/>
      <c r="P877" s="885"/>
      <c r="Q877" s="885"/>
      <c r="R877" s="885"/>
      <c r="S877" s="885"/>
      <c r="T877" s="885"/>
      <c r="U877" s="885"/>
      <c r="V877" s="885"/>
      <c r="W877" s="885"/>
      <c r="X877" s="885"/>
      <c r="Y877" s="885"/>
      <c r="Z877" s="885"/>
      <c r="AA877" s="885"/>
      <c r="AB877" s="885"/>
      <c r="AC877" s="885"/>
      <c r="AD877" s="885"/>
      <c r="AE877" s="885"/>
      <c r="AF877" s="885"/>
      <c r="AG877" s="885"/>
      <c r="AH877" s="885"/>
      <c r="AI877" s="885"/>
      <c r="AJ877" s="885"/>
      <c r="AK877" s="885"/>
      <c r="AL877" s="885"/>
      <c r="AM877" s="885"/>
      <c r="AN877" s="885"/>
      <c r="AO877" s="885"/>
      <c r="AP877" s="885"/>
      <c r="AQ877" s="885"/>
      <c r="AR877" s="885"/>
      <c r="AS877" s="885"/>
      <c r="AT877" s="885"/>
      <c r="AU877" s="885"/>
      <c r="AV877" s="885"/>
      <c r="AW877" s="885"/>
      <c r="AX877" s="885"/>
      <c r="AY877" s="885"/>
      <c r="AZ877" s="885"/>
      <c r="BA877" s="885"/>
      <c r="BB877" s="885"/>
      <c r="BC877" s="885"/>
      <c r="BD877" s="885"/>
      <c r="BE877" s="885"/>
      <c r="BF877" s="885"/>
      <c r="BG877" s="885"/>
      <c r="BH877" s="885"/>
      <c r="BI877" s="885"/>
      <c r="BJ877" s="885"/>
      <c r="BK877" s="885"/>
      <c r="BL877" s="885"/>
      <c r="BM877" s="885"/>
      <c r="BN877" s="885"/>
      <c r="BO877" s="885"/>
      <c r="BP877" s="885"/>
      <c r="BQ877" s="885"/>
      <c r="BR877" s="885"/>
      <c r="BS877" s="885"/>
      <c r="BT877" s="885"/>
      <c r="BU877" s="885"/>
      <c r="BV877" s="885"/>
      <c r="BW877" s="885"/>
      <c r="BX877" s="885"/>
      <c r="BY877" s="885"/>
      <c r="BZ877" s="885"/>
      <c r="CA877" s="885"/>
      <c r="CB877" s="885"/>
      <c r="CC877" s="885"/>
      <c r="CD877" s="885"/>
      <c r="CE877" s="885"/>
      <c r="CF877" s="885"/>
      <c r="CG877" s="885"/>
      <c r="CH877" s="885"/>
      <c r="CI877" s="885"/>
      <c r="CJ877" s="885"/>
      <c r="CK877" s="885"/>
      <c r="CL877" s="885"/>
      <c r="CM877" s="885"/>
      <c r="CN877" s="885"/>
      <c r="CO877" s="885"/>
      <c r="CP877" s="885"/>
      <c r="CQ877" s="885"/>
      <c r="CR877" s="885"/>
      <c r="CS877" s="885"/>
      <c r="CT877" s="885"/>
      <c r="CU877" s="885"/>
      <c r="CV877" s="885"/>
      <c r="CW877" s="885"/>
      <c r="CX877" s="885"/>
      <c r="CY877" s="885"/>
      <c r="CZ877" s="885"/>
      <c r="DA877" s="885"/>
      <c r="DB877" s="885"/>
      <c r="DC877" s="885"/>
      <c r="DD877" s="885"/>
      <c r="DE877" s="885"/>
      <c r="DF877" s="885"/>
      <c r="DG877" s="885"/>
      <c r="DH877" s="885"/>
      <c r="DI877" s="885"/>
      <c r="DJ877" s="885"/>
      <c r="DK877" s="885"/>
      <c r="DL877" s="885"/>
      <c r="DM877" s="885"/>
      <c r="DN877" s="885"/>
      <c r="DO877" s="885"/>
      <c r="DP877" s="885"/>
      <c r="DQ877" s="885"/>
      <c r="DR877" s="885"/>
      <c r="DS877" s="885"/>
      <c r="DT877" s="885"/>
      <c r="DU877" s="885"/>
      <c r="DV877" s="885"/>
      <c r="DW877" s="885"/>
      <c r="DX877" s="885"/>
      <c r="DY877" s="885"/>
      <c r="DZ877" s="885"/>
      <c r="EA877" s="885"/>
      <c r="EB877" s="885"/>
      <c r="EC877" s="885"/>
      <c r="ED877" s="885"/>
      <c r="EE877" s="885"/>
      <c r="EF877" s="885"/>
      <c r="EG877" s="885"/>
      <c r="EH877" s="885"/>
      <c r="EI877" s="885"/>
      <c r="EJ877" s="885"/>
      <c r="EK877" s="885"/>
      <c r="EL877" s="885"/>
      <c r="EM877" s="885"/>
      <c r="EN877" s="885"/>
      <c r="EO877" s="885"/>
      <c r="EP877" s="885"/>
      <c r="EQ877" s="885"/>
      <c r="ER877" s="885"/>
      <c r="ES877" s="885"/>
      <c r="ET877" s="885"/>
      <c r="EU877" s="885"/>
      <c r="EV877" s="885"/>
      <c r="EW877" s="885"/>
      <c r="EX877" s="885"/>
      <c r="EY877" s="885"/>
      <c r="EZ877" s="885"/>
      <c r="FA877" s="885"/>
      <c r="FB877" s="885"/>
      <c r="FC877" s="885"/>
      <c r="FD877" s="885"/>
      <c r="FE877" s="885"/>
      <c r="FF877" s="885"/>
      <c r="FG877" s="885"/>
      <c r="FH877" s="885"/>
      <c r="FI877" s="885"/>
      <c r="FJ877" s="885"/>
      <c r="FK877" s="885"/>
      <c r="FL877" s="885"/>
      <c r="FM877" s="885"/>
      <c r="FN877" s="885"/>
      <c r="FO877" s="885"/>
      <c r="FP877" s="885"/>
      <c r="FQ877" s="885"/>
      <c r="FR877" s="885"/>
      <c r="FS877" s="885"/>
      <c r="FT877" s="885"/>
      <c r="FU877" s="885"/>
      <c r="FV877" s="885"/>
      <c r="FW877" s="885"/>
      <c r="FX877" s="885"/>
      <c r="FY877" s="885"/>
      <c r="FZ877" s="885"/>
      <c r="GA877" s="885"/>
      <c r="GB877" s="885"/>
      <c r="GC877" s="885"/>
      <c r="GD877" s="885"/>
      <c r="GE877" s="885"/>
      <c r="GF877" s="885"/>
      <c r="GG877" s="885"/>
      <c r="GH877" s="885"/>
      <c r="GI877" s="885"/>
      <c r="GJ877" s="885"/>
      <c r="GK877" s="885"/>
      <c r="GL877" s="885"/>
      <c r="GM877" s="885"/>
      <c r="GN877" s="885"/>
      <c r="GO877" s="885"/>
      <c r="GP877" s="885"/>
      <c r="GQ877" s="885"/>
      <c r="GR877" s="885"/>
      <c r="GS877" s="885"/>
      <c r="GT877" s="885"/>
      <c r="GU877" s="885"/>
      <c r="GV877" s="885"/>
      <c r="GW877" s="885"/>
      <c r="GX877" s="885"/>
      <c r="GY877" s="885"/>
      <c r="GZ877" s="885"/>
      <c r="HA877" s="885"/>
      <c r="HB877" s="885"/>
      <c r="HC877" s="885"/>
      <c r="HD877" s="885"/>
      <c r="HE877" s="885"/>
      <c r="HF877" s="885"/>
      <c r="HG877" s="885"/>
      <c r="HH877" s="885"/>
      <c r="HI877" s="885"/>
      <c r="HJ877" s="885"/>
      <c r="HK877" s="885"/>
      <c r="HL877" s="885"/>
      <c r="HM877" s="885"/>
      <c r="HN877" s="885"/>
      <c r="HO877" s="885"/>
      <c r="HP877" s="885"/>
      <c r="HQ877" s="885"/>
      <c r="HR877" s="885"/>
      <c r="HS877" s="885"/>
      <c r="HT877" s="885"/>
      <c r="HU877" s="885"/>
      <c r="HV877" s="885"/>
      <c r="HW877" s="885"/>
      <c r="HX877" s="885"/>
      <c r="HY877" s="885"/>
      <c r="HZ877" s="885"/>
      <c r="IA877" s="885"/>
      <c r="IB877" s="885"/>
      <c r="IC877" s="885"/>
      <c r="ID877" s="885"/>
      <c r="IE877" s="885"/>
      <c r="IF877" s="885"/>
      <c r="IG877" s="885"/>
      <c r="IH877" s="885"/>
      <c r="II877" s="885"/>
      <c r="IJ877" s="885"/>
      <c r="IK877" s="885"/>
      <c r="IL877" s="885"/>
      <c r="IM877" s="885"/>
      <c r="IN877" s="885"/>
      <c r="IO877" s="885"/>
      <c r="IP877" s="885"/>
      <c r="IQ877" s="885"/>
      <c r="IR877" s="885"/>
      <c r="IS877" s="885"/>
      <c r="IT877" s="885"/>
      <c r="IU877" s="885"/>
      <c r="IV877" s="885"/>
      <c r="IW877" s="885"/>
      <c r="IX877" s="885"/>
    </row>
    <row r="878" spans="1:258" s="130" customFormat="1" ht="31.5" x14ac:dyDescent="0.25">
      <c r="A878" s="125">
        <f t="shared" si="112"/>
        <v>838</v>
      </c>
      <c r="B878" s="885"/>
      <c r="C878" s="842" t="s">
        <v>10524</v>
      </c>
      <c r="D878" s="924">
        <v>0</v>
      </c>
      <c r="E878" s="906">
        <f t="shared" si="114"/>
        <v>0</v>
      </c>
      <c r="F878" s="136">
        <v>500</v>
      </c>
      <c r="G878" s="122" t="s">
        <v>1963</v>
      </c>
      <c r="H878" s="885"/>
      <c r="I878" s="885"/>
      <c r="J878" s="885"/>
      <c r="K878" s="885"/>
      <c r="L878" s="885"/>
      <c r="M878" s="885"/>
      <c r="N878" s="885"/>
      <c r="O878" s="885"/>
      <c r="P878" s="885"/>
      <c r="Q878" s="885"/>
      <c r="R878" s="885"/>
      <c r="S878" s="885"/>
      <c r="T878" s="885"/>
      <c r="U878" s="885"/>
      <c r="V878" s="885"/>
      <c r="W878" s="885"/>
      <c r="X878" s="885"/>
      <c r="Y878" s="885"/>
      <c r="Z878" s="885"/>
      <c r="AA878" s="885"/>
      <c r="AB878" s="885"/>
      <c r="AC878" s="885"/>
      <c r="AD878" s="885"/>
      <c r="AE878" s="885"/>
      <c r="AF878" s="885"/>
      <c r="AG878" s="885"/>
      <c r="AH878" s="885"/>
      <c r="AI878" s="885"/>
      <c r="AJ878" s="885"/>
      <c r="AK878" s="885"/>
      <c r="AL878" s="885"/>
      <c r="AM878" s="885"/>
      <c r="AN878" s="885"/>
      <c r="AO878" s="885"/>
      <c r="AP878" s="885"/>
      <c r="AQ878" s="885"/>
      <c r="AR878" s="885"/>
      <c r="AS878" s="885"/>
      <c r="AT878" s="885"/>
      <c r="AU878" s="885"/>
      <c r="AV878" s="885"/>
      <c r="AW878" s="885"/>
      <c r="AX878" s="885"/>
      <c r="AY878" s="885"/>
      <c r="AZ878" s="885"/>
      <c r="BA878" s="885"/>
      <c r="BB878" s="885"/>
      <c r="BC878" s="885"/>
      <c r="BD878" s="885"/>
      <c r="BE878" s="885"/>
      <c r="BF878" s="885"/>
      <c r="BG878" s="885"/>
      <c r="BH878" s="885"/>
      <c r="BI878" s="885"/>
      <c r="BJ878" s="885"/>
      <c r="BK878" s="885"/>
      <c r="BL878" s="885"/>
      <c r="BM878" s="885"/>
      <c r="BN878" s="885"/>
      <c r="BO878" s="885"/>
      <c r="BP878" s="885"/>
      <c r="BQ878" s="885"/>
      <c r="BR878" s="885"/>
      <c r="BS878" s="885"/>
      <c r="BT878" s="885"/>
      <c r="BU878" s="885"/>
      <c r="BV878" s="885"/>
      <c r="BW878" s="885"/>
      <c r="BX878" s="885"/>
      <c r="BY878" s="885"/>
      <c r="BZ878" s="885"/>
      <c r="CA878" s="885"/>
      <c r="CB878" s="885"/>
      <c r="CC878" s="885"/>
      <c r="CD878" s="885"/>
      <c r="CE878" s="885"/>
      <c r="CF878" s="885"/>
      <c r="CG878" s="885"/>
      <c r="CH878" s="885"/>
      <c r="CI878" s="885"/>
      <c r="CJ878" s="885"/>
      <c r="CK878" s="885"/>
      <c r="CL878" s="885"/>
      <c r="CM878" s="885"/>
      <c r="CN878" s="885"/>
      <c r="CO878" s="885"/>
      <c r="CP878" s="885"/>
      <c r="CQ878" s="885"/>
      <c r="CR878" s="885"/>
      <c r="CS878" s="885"/>
      <c r="CT878" s="885"/>
      <c r="CU878" s="885"/>
      <c r="CV878" s="885"/>
      <c r="CW878" s="885"/>
      <c r="CX878" s="885"/>
      <c r="CY878" s="885"/>
      <c r="CZ878" s="885"/>
      <c r="DA878" s="885"/>
      <c r="DB878" s="885"/>
      <c r="DC878" s="885"/>
      <c r="DD878" s="885"/>
      <c r="DE878" s="885"/>
      <c r="DF878" s="885"/>
      <c r="DG878" s="885"/>
      <c r="DH878" s="885"/>
      <c r="DI878" s="885"/>
      <c r="DJ878" s="885"/>
      <c r="DK878" s="885"/>
      <c r="DL878" s="885"/>
      <c r="DM878" s="885"/>
      <c r="DN878" s="885"/>
      <c r="DO878" s="885"/>
      <c r="DP878" s="885"/>
      <c r="DQ878" s="885"/>
      <c r="DR878" s="885"/>
      <c r="DS878" s="885"/>
      <c r="DT878" s="885"/>
      <c r="DU878" s="885"/>
      <c r="DV878" s="885"/>
      <c r="DW878" s="885"/>
      <c r="DX878" s="885"/>
      <c r="DY878" s="885"/>
      <c r="DZ878" s="885"/>
      <c r="EA878" s="885"/>
      <c r="EB878" s="885"/>
      <c r="EC878" s="885"/>
      <c r="ED878" s="885"/>
      <c r="EE878" s="885"/>
      <c r="EF878" s="885"/>
      <c r="EG878" s="885"/>
      <c r="EH878" s="885"/>
      <c r="EI878" s="885"/>
      <c r="EJ878" s="885"/>
      <c r="EK878" s="885"/>
      <c r="EL878" s="885"/>
      <c r="EM878" s="885"/>
      <c r="EN878" s="885"/>
      <c r="EO878" s="885"/>
      <c r="EP878" s="885"/>
      <c r="EQ878" s="885"/>
      <c r="ER878" s="885"/>
      <c r="ES878" s="885"/>
      <c r="ET878" s="885"/>
      <c r="EU878" s="885"/>
      <c r="EV878" s="885"/>
      <c r="EW878" s="885"/>
      <c r="EX878" s="885"/>
      <c r="EY878" s="885"/>
      <c r="EZ878" s="885"/>
      <c r="FA878" s="885"/>
      <c r="FB878" s="885"/>
      <c r="FC878" s="885"/>
      <c r="FD878" s="885"/>
      <c r="FE878" s="885"/>
      <c r="FF878" s="885"/>
      <c r="FG878" s="885"/>
      <c r="FH878" s="885"/>
      <c r="FI878" s="885"/>
      <c r="FJ878" s="885"/>
      <c r="FK878" s="885"/>
      <c r="FL878" s="885"/>
      <c r="FM878" s="885"/>
      <c r="FN878" s="885"/>
      <c r="FO878" s="885"/>
      <c r="FP878" s="885"/>
      <c r="FQ878" s="885"/>
      <c r="FR878" s="885"/>
      <c r="FS878" s="885"/>
      <c r="FT878" s="885"/>
      <c r="FU878" s="885"/>
      <c r="FV878" s="885"/>
      <c r="FW878" s="885"/>
      <c r="FX878" s="885"/>
      <c r="FY878" s="885"/>
      <c r="FZ878" s="885"/>
      <c r="GA878" s="885"/>
      <c r="GB878" s="885"/>
      <c r="GC878" s="885"/>
      <c r="GD878" s="885"/>
      <c r="GE878" s="885"/>
      <c r="GF878" s="885"/>
      <c r="GG878" s="885"/>
      <c r="GH878" s="885"/>
      <c r="GI878" s="885"/>
      <c r="GJ878" s="885"/>
      <c r="GK878" s="885"/>
      <c r="GL878" s="885"/>
      <c r="GM878" s="885"/>
      <c r="GN878" s="885"/>
      <c r="GO878" s="885"/>
      <c r="GP878" s="885"/>
      <c r="GQ878" s="885"/>
      <c r="GR878" s="885"/>
      <c r="GS878" s="885"/>
      <c r="GT878" s="885"/>
      <c r="GU878" s="885"/>
      <c r="GV878" s="885"/>
      <c r="GW878" s="885"/>
      <c r="GX878" s="885"/>
      <c r="GY878" s="885"/>
      <c r="GZ878" s="885"/>
      <c r="HA878" s="885"/>
      <c r="HB878" s="885"/>
      <c r="HC878" s="885"/>
      <c r="HD878" s="885"/>
      <c r="HE878" s="885"/>
      <c r="HF878" s="885"/>
      <c r="HG878" s="885"/>
      <c r="HH878" s="885"/>
      <c r="HI878" s="885"/>
      <c r="HJ878" s="885"/>
      <c r="HK878" s="885"/>
      <c r="HL878" s="885"/>
      <c r="HM878" s="885"/>
      <c r="HN878" s="885"/>
      <c r="HO878" s="885"/>
      <c r="HP878" s="885"/>
      <c r="HQ878" s="885"/>
      <c r="HR878" s="885"/>
      <c r="HS878" s="885"/>
      <c r="HT878" s="885"/>
      <c r="HU878" s="885"/>
      <c r="HV878" s="885"/>
      <c r="HW878" s="885"/>
      <c r="HX878" s="885"/>
      <c r="HY878" s="885"/>
      <c r="HZ878" s="885"/>
      <c r="IA878" s="885"/>
      <c r="IB878" s="885"/>
      <c r="IC878" s="885"/>
      <c r="ID878" s="885"/>
      <c r="IE878" s="885"/>
      <c r="IF878" s="885"/>
      <c r="IG878" s="885"/>
      <c r="IH878" s="885"/>
      <c r="II878" s="885"/>
      <c r="IJ878" s="885"/>
      <c r="IK878" s="885"/>
      <c r="IL878" s="885"/>
      <c r="IM878" s="885"/>
      <c r="IN878" s="885"/>
      <c r="IO878" s="885"/>
      <c r="IP878" s="885"/>
      <c r="IQ878" s="885"/>
      <c r="IR878" s="885"/>
      <c r="IS878" s="885"/>
      <c r="IT878" s="885"/>
      <c r="IU878" s="885"/>
      <c r="IV878" s="885"/>
      <c r="IW878" s="885"/>
      <c r="IX878" s="885"/>
    </row>
    <row r="879" spans="1:258" s="130" customFormat="1" x14ac:dyDescent="0.25">
      <c r="A879" s="125">
        <f t="shared" si="112"/>
        <v>839</v>
      </c>
      <c r="B879" s="885"/>
      <c r="C879" s="842" t="s">
        <v>10525</v>
      </c>
      <c r="D879" s="924">
        <v>0</v>
      </c>
      <c r="E879" s="906">
        <f t="shared" si="114"/>
        <v>0</v>
      </c>
      <c r="F879" s="136">
        <v>500</v>
      </c>
      <c r="G879" s="122" t="s">
        <v>1963</v>
      </c>
      <c r="H879" s="885"/>
      <c r="I879" s="885"/>
      <c r="J879" s="885"/>
      <c r="K879" s="885"/>
      <c r="L879" s="885"/>
      <c r="M879" s="885"/>
      <c r="N879" s="885"/>
      <c r="O879" s="885"/>
      <c r="P879" s="885"/>
      <c r="Q879" s="885"/>
      <c r="R879" s="885"/>
      <c r="S879" s="885"/>
      <c r="T879" s="885"/>
      <c r="U879" s="885"/>
      <c r="V879" s="885"/>
      <c r="W879" s="885"/>
      <c r="X879" s="885"/>
      <c r="Y879" s="885"/>
      <c r="Z879" s="885"/>
      <c r="AA879" s="885"/>
      <c r="AB879" s="885"/>
      <c r="AC879" s="885"/>
      <c r="AD879" s="885"/>
      <c r="AE879" s="885"/>
      <c r="AF879" s="885"/>
      <c r="AG879" s="885"/>
      <c r="AH879" s="885"/>
      <c r="AI879" s="885"/>
      <c r="AJ879" s="885"/>
      <c r="AK879" s="885"/>
      <c r="AL879" s="885"/>
      <c r="AM879" s="885"/>
      <c r="AN879" s="885"/>
      <c r="AO879" s="885"/>
      <c r="AP879" s="885"/>
      <c r="AQ879" s="885"/>
      <c r="AR879" s="885"/>
      <c r="AS879" s="885"/>
      <c r="AT879" s="885"/>
      <c r="AU879" s="885"/>
      <c r="AV879" s="885"/>
      <c r="AW879" s="885"/>
      <c r="AX879" s="885"/>
      <c r="AY879" s="885"/>
      <c r="AZ879" s="885"/>
      <c r="BA879" s="885"/>
      <c r="BB879" s="885"/>
      <c r="BC879" s="885"/>
      <c r="BD879" s="885"/>
      <c r="BE879" s="885"/>
      <c r="BF879" s="885"/>
      <c r="BG879" s="885"/>
      <c r="BH879" s="885"/>
      <c r="BI879" s="885"/>
      <c r="BJ879" s="885"/>
      <c r="BK879" s="885"/>
      <c r="BL879" s="885"/>
      <c r="BM879" s="885"/>
      <c r="BN879" s="885"/>
      <c r="BO879" s="885"/>
      <c r="BP879" s="885"/>
      <c r="BQ879" s="885"/>
      <c r="BR879" s="885"/>
      <c r="BS879" s="885"/>
      <c r="BT879" s="885"/>
      <c r="BU879" s="885"/>
      <c r="BV879" s="885"/>
      <c r="BW879" s="885"/>
      <c r="BX879" s="885"/>
      <c r="BY879" s="885"/>
      <c r="BZ879" s="885"/>
      <c r="CA879" s="885"/>
      <c r="CB879" s="885"/>
      <c r="CC879" s="885"/>
      <c r="CD879" s="885"/>
      <c r="CE879" s="885"/>
      <c r="CF879" s="885"/>
      <c r="CG879" s="885"/>
      <c r="CH879" s="885"/>
      <c r="CI879" s="885"/>
      <c r="CJ879" s="885"/>
      <c r="CK879" s="885"/>
      <c r="CL879" s="885"/>
      <c r="CM879" s="885"/>
      <c r="CN879" s="885"/>
      <c r="CO879" s="885"/>
      <c r="CP879" s="885"/>
      <c r="CQ879" s="885"/>
      <c r="CR879" s="885"/>
      <c r="CS879" s="885"/>
      <c r="CT879" s="885"/>
      <c r="CU879" s="885"/>
      <c r="CV879" s="885"/>
      <c r="CW879" s="885"/>
      <c r="CX879" s="885"/>
      <c r="CY879" s="885"/>
      <c r="CZ879" s="885"/>
      <c r="DA879" s="885"/>
      <c r="DB879" s="885"/>
      <c r="DC879" s="885"/>
      <c r="DD879" s="885"/>
      <c r="DE879" s="885"/>
      <c r="DF879" s="885"/>
      <c r="DG879" s="885"/>
      <c r="DH879" s="885"/>
      <c r="DI879" s="885"/>
      <c r="DJ879" s="885"/>
      <c r="DK879" s="885"/>
      <c r="DL879" s="885"/>
      <c r="DM879" s="885"/>
      <c r="DN879" s="885"/>
      <c r="DO879" s="885"/>
      <c r="DP879" s="885"/>
      <c r="DQ879" s="885"/>
      <c r="DR879" s="885"/>
      <c r="DS879" s="885"/>
      <c r="DT879" s="885"/>
      <c r="DU879" s="885"/>
      <c r="DV879" s="885"/>
      <c r="DW879" s="885"/>
      <c r="DX879" s="885"/>
      <c r="DY879" s="885"/>
      <c r="DZ879" s="885"/>
      <c r="EA879" s="885"/>
      <c r="EB879" s="885"/>
      <c r="EC879" s="885"/>
      <c r="ED879" s="885"/>
      <c r="EE879" s="885"/>
      <c r="EF879" s="885"/>
      <c r="EG879" s="885"/>
      <c r="EH879" s="885"/>
      <c r="EI879" s="885"/>
      <c r="EJ879" s="885"/>
      <c r="EK879" s="885"/>
      <c r="EL879" s="885"/>
      <c r="EM879" s="885"/>
      <c r="EN879" s="885"/>
      <c r="EO879" s="885"/>
      <c r="EP879" s="885"/>
      <c r="EQ879" s="885"/>
      <c r="ER879" s="885"/>
      <c r="ES879" s="885"/>
      <c r="ET879" s="885"/>
      <c r="EU879" s="885"/>
      <c r="EV879" s="885"/>
      <c r="EW879" s="885"/>
      <c r="EX879" s="885"/>
      <c r="EY879" s="885"/>
      <c r="EZ879" s="885"/>
      <c r="FA879" s="885"/>
      <c r="FB879" s="885"/>
      <c r="FC879" s="885"/>
      <c r="FD879" s="885"/>
      <c r="FE879" s="885"/>
      <c r="FF879" s="885"/>
      <c r="FG879" s="885"/>
      <c r="FH879" s="885"/>
      <c r="FI879" s="885"/>
      <c r="FJ879" s="885"/>
      <c r="FK879" s="885"/>
      <c r="FL879" s="885"/>
      <c r="FM879" s="885"/>
      <c r="FN879" s="885"/>
      <c r="FO879" s="885"/>
      <c r="FP879" s="885"/>
      <c r="FQ879" s="885"/>
      <c r="FR879" s="885"/>
      <c r="FS879" s="885"/>
      <c r="FT879" s="885"/>
      <c r="FU879" s="885"/>
      <c r="FV879" s="885"/>
      <c r="FW879" s="885"/>
      <c r="FX879" s="885"/>
      <c r="FY879" s="885"/>
      <c r="FZ879" s="885"/>
      <c r="GA879" s="885"/>
      <c r="GB879" s="885"/>
      <c r="GC879" s="885"/>
      <c r="GD879" s="885"/>
      <c r="GE879" s="885"/>
      <c r="GF879" s="885"/>
      <c r="GG879" s="885"/>
      <c r="GH879" s="885"/>
      <c r="GI879" s="885"/>
      <c r="GJ879" s="885"/>
      <c r="GK879" s="885"/>
      <c r="GL879" s="885"/>
      <c r="GM879" s="885"/>
      <c r="GN879" s="885"/>
      <c r="GO879" s="885"/>
      <c r="GP879" s="885"/>
      <c r="GQ879" s="885"/>
      <c r="GR879" s="885"/>
      <c r="GS879" s="885"/>
      <c r="GT879" s="885"/>
      <c r="GU879" s="885"/>
      <c r="GV879" s="885"/>
      <c r="GW879" s="885"/>
      <c r="GX879" s="885"/>
      <c r="GY879" s="885"/>
      <c r="GZ879" s="885"/>
      <c r="HA879" s="885"/>
      <c r="HB879" s="885"/>
      <c r="HC879" s="885"/>
      <c r="HD879" s="885"/>
      <c r="HE879" s="885"/>
      <c r="HF879" s="885"/>
      <c r="HG879" s="885"/>
      <c r="HH879" s="885"/>
      <c r="HI879" s="885"/>
      <c r="HJ879" s="885"/>
      <c r="HK879" s="885"/>
      <c r="HL879" s="885"/>
      <c r="HM879" s="885"/>
      <c r="HN879" s="885"/>
      <c r="HO879" s="885"/>
      <c r="HP879" s="885"/>
      <c r="HQ879" s="885"/>
      <c r="HR879" s="885"/>
      <c r="HS879" s="885"/>
      <c r="HT879" s="885"/>
      <c r="HU879" s="885"/>
      <c r="HV879" s="885"/>
      <c r="HW879" s="885"/>
      <c r="HX879" s="885"/>
      <c r="HY879" s="885"/>
      <c r="HZ879" s="885"/>
      <c r="IA879" s="885"/>
      <c r="IB879" s="885"/>
      <c r="IC879" s="885"/>
      <c r="ID879" s="885"/>
      <c r="IE879" s="885"/>
      <c r="IF879" s="885"/>
      <c r="IG879" s="885"/>
      <c r="IH879" s="885"/>
      <c r="II879" s="885"/>
      <c r="IJ879" s="885"/>
      <c r="IK879" s="885"/>
      <c r="IL879" s="885"/>
      <c r="IM879" s="885"/>
      <c r="IN879" s="885"/>
      <c r="IO879" s="885"/>
      <c r="IP879" s="885"/>
      <c r="IQ879" s="885"/>
      <c r="IR879" s="885"/>
      <c r="IS879" s="885"/>
      <c r="IT879" s="885"/>
      <c r="IU879" s="885"/>
      <c r="IV879" s="885"/>
      <c r="IW879" s="885"/>
      <c r="IX879" s="885"/>
    </row>
    <row r="880" spans="1:258" s="130" customFormat="1" x14ac:dyDescent="0.25">
      <c r="A880" s="125">
        <f t="shared" si="112"/>
        <v>840</v>
      </c>
      <c r="B880" s="885"/>
      <c r="C880" s="929" t="s">
        <v>7981</v>
      </c>
      <c r="D880" s="928"/>
      <c r="E880" s="928"/>
      <c r="F880" s="929"/>
      <c r="G880" s="929"/>
      <c r="H880" s="929"/>
      <c r="I880" s="929"/>
      <c r="J880" s="885"/>
      <c r="K880" s="885"/>
      <c r="L880" s="885"/>
      <c r="M880" s="885"/>
      <c r="N880" s="885"/>
      <c r="O880" s="885"/>
      <c r="P880" s="885"/>
      <c r="Q880" s="885"/>
      <c r="R880" s="885"/>
      <c r="S880" s="885"/>
      <c r="T880" s="885"/>
      <c r="U880" s="885"/>
      <c r="V880" s="885"/>
      <c r="W880" s="885"/>
      <c r="X880" s="885"/>
      <c r="Y880" s="885"/>
      <c r="Z880" s="885"/>
      <c r="AA880" s="885"/>
      <c r="AB880" s="885"/>
      <c r="AC880" s="885"/>
      <c r="AD880" s="885"/>
      <c r="AE880" s="885"/>
      <c r="AF880" s="885"/>
      <c r="AG880" s="885"/>
      <c r="AH880" s="885"/>
      <c r="AI880" s="885"/>
      <c r="AJ880" s="885"/>
      <c r="AK880" s="885"/>
      <c r="AL880" s="885"/>
      <c r="AM880" s="885"/>
      <c r="AN880" s="885"/>
      <c r="AO880" s="885"/>
      <c r="AP880" s="885"/>
      <c r="AQ880" s="885"/>
      <c r="AR880" s="885"/>
      <c r="AS880" s="885"/>
      <c r="AT880" s="885"/>
      <c r="AU880" s="885"/>
      <c r="AV880" s="885"/>
      <c r="AW880" s="885"/>
      <c r="AX880" s="885"/>
      <c r="AY880" s="885"/>
      <c r="AZ880" s="885"/>
      <c r="BA880" s="885"/>
      <c r="BB880" s="885"/>
      <c r="BC880" s="885"/>
      <c r="BD880" s="885"/>
      <c r="BE880" s="885"/>
      <c r="BF880" s="885"/>
      <c r="BG880" s="885"/>
      <c r="BH880" s="885"/>
      <c r="BI880" s="885"/>
      <c r="BJ880" s="885"/>
      <c r="BK880" s="885"/>
      <c r="BL880" s="885"/>
      <c r="BM880" s="885"/>
      <c r="BN880" s="885"/>
      <c r="BO880" s="885"/>
      <c r="BP880" s="885"/>
      <c r="BQ880" s="885"/>
      <c r="BR880" s="885"/>
      <c r="BS880" s="885"/>
      <c r="BT880" s="885"/>
      <c r="BU880" s="885"/>
      <c r="BV880" s="885"/>
      <c r="BW880" s="885"/>
      <c r="BX880" s="885"/>
      <c r="BY880" s="885"/>
      <c r="BZ880" s="885"/>
      <c r="CA880" s="885"/>
      <c r="CB880" s="885"/>
      <c r="CC880" s="885"/>
      <c r="CD880" s="885"/>
      <c r="CE880" s="885"/>
      <c r="CF880" s="885"/>
      <c r="CG880" s="885"/>
      <c r="CH880" s="885"/>
      <c r="CI880" s="885"/>
      <c r="CJ880" s="885"/>
      <c r="CK880" s="885"/>
      <c r="CL880" s="885"/>
      <c r="CM880" s="885"/>
      <c r="CN880" s="885"/>
      <c r="CO880" s="885"/>
      <c r="CP880" s="885"/>
      <c r="CQ880" s="885"/>
      <c r="CR880" s="885"/>
      <c r="CS880" s="885"/>
      <c r="CT880" s="885"/>
      <c r="CU880" s="885"/>
      <c r="CV880" s="885"/>
      <c r="CW880" s="885"/>
      <c r="CX880" s="885"/>
      <c r="CY880" s="885"/>
      <c r="CZ880" s="885"/>
      <c r="DA880" s="885"/>
      <c r="DB880" s="885"/>
      <c r="DC880" s="885"/>
      <c r="DD880" s="885"/>
      <c r="DE880" s="885"/>
      <c r="DF880" s="885"/>
      <c r="DG880" s="885"/>
      <c r="DH880" s="885"/>
      <c r="DI880" s="885"/>
      <c r="DJ880" s="885"/>
      <c r="DK880" s="885"/>
      <c r="DL880" s="885"/>
      <c r="DM880" s="885"/>
      <c r="DN880" s="885"/>
      <c r="DO880" s="885"/>
      <c r="DP880" s="885"/>
      <c r="DQ880" s="885"/>
      <c r="DR880" s="885"/>
      <c r="DS880" s="885"/>
      <c r="DT880" s="885"/>
      <c r="DU880" s="885"/>
      <c r="DV880" s="885"/>
      <c r="DW880" s="885"/>
      <c r="DX880" s="885"/>
      <c r="DY880" s="885"/>
      <c r="DZ880" s="885"/>
      <c r="EA880" s="885"/>
      <c r="EB880" s="885"/>
      <c r="EC880" s="885"/>
      <c r="ED880" s="885"/>
      <c r="EE880" s="885"/>
      <c r="EF880" s="885"/>
      <c r="EG880" s="885"/>
      <c r="EH880" s="885"/>
      <c r="EI880" s="885"/>
      <c r="EJ880" s="885"/>
      <c r="EK880" s="885"/>
      <c r="EL880" s="885"/>
      <c r="EM880" s="885"/>
      <c r="EN880" s="885"/>
      <c r="EO880" s="885"/>
      <c r="EP880" s="885"/>
      <c r="EQ880" s="885"/>
      <c r="ER880" s="885"/>
      <c r="ES880" s="885"/>
      <c r="ET880" s="885"/>
      <c r="EU880" s="885"/>
      <c r="EV880" s="885"/>
      <c r="EW880" s="885"/>
      <c r="EX880" s="885"/>
      <c r="EY880" s="885"/>
      <c r="EZ880" s="885"/>
      <c r="FA880" s="885"/>
      <c r="FB880" s="885"/>
      <c r="FC880" s="885"/>
      <c r="FD880" s="885"/>
      <c r="FE880" s="885"/>
      <c r="FF880" s="885"/>
      <c r="FG880" s="885"/>
      <c r="FH880" s="885"/>
      <c r="FI880" s="885"/>
      <c r="FJ880" s="885"/>
      <c r="FK880" s="885"/>
      <c r="FL880" s="885"/>
      <c r="FM880" s="885"/>
      <c r="FN880" s="885"/>
      <c r="FO880" s="885"/>
      <c r="FP880" s="885"/>
      <c r="FQ880" s="885"/>
      <c r="FR880" s="885"/>
      <c r="FS880" s="885"/>
      <c r="FT880" s="885"/>
      <c r="FU880" s="885"/>
      <c r="FV880" s="885"/>
      <c r="FW880" s="885"/>
      <c r="FX880" s="885"/>
      <c r="FY880" s="885"/>
      <c r="FZ880" s="885"/>
      <c r="GA880" s="885"/>
      <c r="GB880" s="885"/>
      <c r="GC880" s="885"/>
      <c r="GD880" s="885"/>
      <c r="GE880" s="885"/>
      <c r="GF880" s="885"/>
      <c r="GG880" s="885"/>
      <c r="GH880" s="885"/>
      <c r="GI880" s="885"/>
      <c r="GJ880" s="885"/>
      <c r="GK880" s="885"/>
      <c r="GL880" s="885"/>
      <c r="GM880" s="885"/>
      <c r="GN880" s="885"/>
      <c r="GO880" s="885"/>
      <c r="GP880" s="885"/>
      <c r="GQ880" s="885"/>
      <c r="GR880" s="885"/>
      <c r="GS880" s="885"/>
      <c r="GT880" s="885"/>
      <c r="GU880" s="885"/>
      <c r="GV880" s="885"/>
      <c r="GW880" s="885"/>
      <c r="GX880" s="885"/>
      <c r="GY880" s="885"/>
      <c r="GZ880" s="885"/>
      <c r="HA880" s="885"/>
      <c r="HB880" s="885"/>
      <c r="HC880" s="885"/>
      <c r="HD880" s="885"/>
      <c r="HE880" s="885"/>
      <c r="HF880" s="885"/>
      <c r="HG880" s="885"/>
      <c r="HH880" s="885"/>
      <c r="HI880" s="885"/>
      <c r="HJ880" s="885"/>
      <c r="HK880" s="885"/>
      <c r="HL880" s="885"/>
      <c r="HM880" s="885"/>
      <c r="HN880" s="885"/>
      <c r="HO880" s="885"/>
      <c r="HP880" s="885"/>
      <c r="HQ880" s="885"/>
      <c r="HR880" s="885"/>
      <c r="HS880" s="885"/>
      <c r="HT880" s="885"/>
      <c r="HU880" s="885"/>
      <c r="HV880" s="885"/>
      <c r="HW880" s="885"/>
      <c r="HX880" s="885"/>
      <c r="HY880" s="885"/>
      <c r="HZ880" s="885"/>
      <c r="IA880" s="885"/>
      <c r="IB880" s="885"/>
      <c r="IC880" s="885"/>
      <c r="ID880" s="885"/>
      <c r="IE880" s="885"/>
      <c r="IF880" s="885"/>
      <c r="IG880" s="885"/>
      <c r="IH880" s="885"/>
      <c r="II880" s="885"/>
      <c r="IJ880" s="885"/>
      <c r="IK880" s="885"/>
      <c r="IL880" s="885"/>
      <c r="IM880" s="885"/>
      <c r="IN880" s="885"/>
      <c r="IO880" s="885"/>
      <c r="IP880" s="885"/>
      <c r="IQ880" s="885"/>
      <c r="IR880" s="885"/>
      <c r="IS880" s="885"/>
      <c r="IT880" s="885"/>
      <c r="IU880" s="885"/>
      <c r="IV880" s="885"/>
      <c r="IW880" s="885"/>
      <c r="IX880" s="885"/>
    </row>
    <row r="881" spans="1:258" s="130" customFormat="1" x14ac:dyDescent="0.25">
      <c r="A881" s="125">
        <f t="shared" si="112"/>
        <v>841</v>
      </c>
      <c r="B881" s="885"/>
      <c r="C881" s="842" t="s">
        <v>10505</v>
      </c>
      <c r="D881" s="924">
        <v>1229.8900000000001</v>
      </c>
      <c r="E881" s="906">
        <f>D881*13.33</f>
        <v>16394.433700000001</v>
      </c>
      <c r="F881" s="136">
        <v>1229.8900000000001</v>
      </c>
      <c r="G881" s="122" t="s">
        <v>1963</v>
      </c>
      <c r="H881" s="889"/>
      <c r="I881" s="885"/>
      <c r="J881" s="885"/>
      <c r="K881" s="885"/>
      <c r="L881" s="885"/>
      <c r="M881" s="885"/>
      <c r="N881" s="885"/>
      <c r="O881" s="885"/>
      <c r="P881" s="885"/>
      <c r="Q881" s="885"/>
      <c r="R881" s="885"/>
      <c r="S881" s="885"/>
      <c r="T881" s="885"/>
      <c r="U881" s="885"/>
      <c r="V881" s="885"/>
      <c r="W881" s="885"/>
      <c r="X881" s="885"/>
      <c r="Y881" s="885"/>
      <c r="Z881" s="885"/>
      <c r="AA881" s="885"/>
      <c r="AB881" s="885"/>
      <c r="AC881" s="885"/>
      <c r="AD881" s="885"/>
      <c r="AE881" s="885"/>
      <c r="AF881" s="885"/>
      <c r="AG881" s="885"/>
      <c r="AH881" s="885"/>
      <c r="AI881" s="885"/>
      <c r="AJ881" s="885"/>
      <c r="AK881" s="885"/>
      <c r="AL881" s="885"/>
      <c r="AM881" s="885"/>
      <c r="AN881" s="885"/>
      <c r="AO881" s="885"/>
      <c r="AP881" s="885"/>
      <c r="AQ881" s="885"/>
      <c r="AR881" s="885"/>
      <c r="AS881" s="885"/>
      <c r="AT881" s="885"/>
      <c r="AU881" s="885"/>
      <c r="AV881" s="885"/>
      <c r="AW881" s="885"/>
      <c r="AX881" s="885"/>
      <c r="AY881" s="885"/>
      <c r="AZ881" s="885"/>
      <c r="BA881" s="885"/>
      <c r="BB881" s="885"/>
      <c r="BC881" s="885"/>
      <c r="BD881" s="885"/>
      <c r="BE881" s="885"/>
      <c r="BF881" s="885"/>
      <c r="BG881" s="885"/>
      <c r="BH881" s="885"/>
      <c r="BI881" s="885"/>
      <c r="BJ881" s="885"/>
      <c r="BK881" s="885"/>
      <c r="BL881" s="885"/>
      <c r="BM881" s="885"/>
      <c r="BN881" s="885"/>
      <c r="BO881" s="885"/>
      <c r="BP881" s="885"/>
      <c r="BQ881" s="885"/>
      <c r="BR881" s="885"/>
      <c r="BS881" s="885"/>
      <c r="BT881" s="885"/>
      <c r="BU881" s="885"/>
      <c r="BV881" s="885"/>
      <c r="BW881" s="885"/>
      <c r="BX881" s="885"/>
      <c r="BY881" s="885"/>
      <c r="BZ881" s="885"/>
      <c r="CA881" s="885"/>
      <c r="CB881" s="885"/>
      <c r="CC881" s="885"/>
      <c r="CD881" s="885"/>
      <c r="CE881" s="885"/>
      <c r="CF881" s="885"/>
      <c r="CG881" s="885"/>
      <c r="CH881" s="885"/>
      <c r="CI881" s="885"/>
      <c r="CJ881" s="885"/>
      <c r="CK881" s="885"/>
      <c r="CL881" s="885"/>
      <c r="CM881" s="885"/>
      <c r="CN881" s="885"/>
      <c r="CO881" s="885"/>
      <c r="CP881" s="885"/>
      <c r="CQ881" s="885"/>
      <c r="CR881" s="885"/>
      <c r="CS881" s="885"/>
      <c r="CT881" s="885"/>
      <c r="CU881" s="885"/>
      <c r="CV881" s="885"/>
      <c r="CW881" s="885"/>
      <c r="CX881" s="885"/>
      <c r="CY881" s="885"/>
      <c r="CZ881" s="885"/>
      <c r="DA881" s="885"/>
      <c r="DB881" s="885"/>
      <c r="DC881" s="885"/>
      <c r="DD881" s="885"/>
      <c r="DE881" s="885"/>
      <c r="DF881" s="885"/>
      <c r="DG881" s="885"/>
      <c r="DH881" s="885"/>
      <c r="DI881" s="885"/>
      <c r="DJ881" s="885"/>
      <c r="DK881" s="885"/>
      <c r="DL881" s="885"/>
      <c r="DM881" s="885"/>
      <c r="DN881" s="885"/>
      <c r="DO881" s="885"/>
      <c r="DP881" s="885"/>
      <c r="DQ881" s="885"/>
      <c r="DR881" s="885"/>
      <c r="DS881" s="885"/>
      <c r="DT881" s="885"/>
      <c r="DU881" s="885"/>
      <c r="DV881" s="885"/>
      <c r="DW881" s="885"/>
      <c r="DX881" s="885"/>
      <c r="DY881" s="885"/>
      <c r="DZ881" s="885"/>
      <c r="EA881" s="885"/>
      <c r="EB881" s="885"/>
      <c r="EC881" s="885"/>
      <c r="ED881" s="885"/>
      <c r="EE881" s="885"/>
      <c r="EF881" s="885"/>
      <c r="EG881" s="885"/>
      <c r="EH881" s="885"/>
      <c r="EI881" s="885"/>
      <c r="EJ881" s="885"/>
      <c r="EK881" s="885"/>
      <c r="EL881" s="885"/>
      <c r="EM881" s="885"/>
      <c r="EN881" s="885"/>
      <c r="EO881" s="885"/>
      <c r="EP881" s="885"/>
      <c r="EQ881" s="885"/>
      <c r="ER881" s="885"/>
      <c r="ES881" s="885"/>
      <c r="ET881" s="885"/>
      <c r="EU881" s="885"/>
      <c r="EV881" s="885"/>
      <c r="EW881" s="885"/>
      <c r="EX881" s="885"/>
      <c r="EY881" s="885"/>
      <c r="EZ881" s="885"/>
      <c r="FA881" s="885"/>
      <c r="FB881" s="885"/>
      <c r="FC881" s="885"/>
      <c r="FD881" s="885"/>
      <c r="FE881" s="885"/>
      <c r="FF881" s="885"/>
      <c r="FG881" s="885"/>
      <c r="FH881" s="885"/>
      <c r="FI881" s="885"/>
      <c r="FJ881" s="885"/>
      <c r="FK881" s="885"/>
      <c r="FL881" s="885"/>
      <c r="FM881" s="885"/>
      <c r="FN881" s="885"/>
      <c r="FO881" s="885"/>
      <c r="FP881" s="885"/>
      <c r="FQ881" s="885"/>
      <c r="FR881" s="885"/>
      <c r="FS881" s="885"/>
      <c r="FT881" s="885"/>
      <c r="FU881" s="885"/>
      <c r="FV881" s="885"/>
      <c r="FW881" s="885"/>
      <c r="FX881" s="885"/>
      <c r="FY881" s="885"/>
      <c r="FZ881" s="885"/>
      <c r="GA881" s="885"/>
      <c r="GB881" s="885"/>
      <c r="GC881" s="885"/>
      <c r="GD881" s="885"/>
      <c r="GE881" s="885"/>
      <c r="GF881" s="885"/>
      <c r="GG881" s="885"/>
      <c r="GH881" s="885"/>
      <c r="GI881" s="885"/>
      <c r="GJ881" s="885"/>
      <c r="GK881" s="885"/>
      <c r="GL881" s="885"/>
      <c r="GM881" s="885"/>
      <c r="GN881" s="885"/>
      <c r="GO881" s="885"/>
      <c r="GP881" s="885"/>
      <c r="GQ881" s="885"/>
      <c r="GR881" s="885"/>
      <c r="GS881" s="885"/>
      <c r="GT881" s="885"/>
      <c r="GU881" s="885"/>
      <c r="GV881" s="885"/>
      <c r="GW881" s="885"/>
      <c r="GX881" s="885"/>
      <c r="GY881" s="885"/>
      <c r="GZ881" s="885"/>
      <c r="HA881" s="885"/>
      <c r="HB881" s="885"/>
      <c r="HC881" s="885"/>
      <c r="HD881" s="885"/>
      <c r="HE881" s="885"/>
      <c r="HF881" s="885"/>
      <c r="HG881" s="885"/>
      <c r="HH881" s="885"/>
      <c r="HI881" s="885"/>
      <c r="HJ881" s="885"/>
      <c r="HK881" s="885"/>
      <c r="HL881" s="885"/>
      <c r="HM881" s="885"/>
      <c r="HN881" s="885"/>
      <c r="HO881" s="885"/>
      <c r="HP881" s="885"/>
      <c r="HQ881" s="885"/>
      <c r="HR881" s="885"/>
      <c r="HS881" s="885"/>
      <c r="HT881" s="885"/>
      <c r="HU881" s="885"/>
      <c r="HV881" s="885"/>
      <c r="HW881" s="885"/>
      <c r="HX881" s="885"/>
      <c r="HY881" s="885"/>
      <c r="HZ881" s="885"/>
      <c r="IA881" s="885"/>
      <c r="IB881" s="885"/>
      <c r="IC881" s="885"/>
      <c r="ID881" s="885"/>
      <c r="IE881" s="885"/>
      <c r="IF881" s="885"/>
      <c r="IG881" s="885"/>
      <c r="IH881" s="885"/>
      <c r="II881" s="885"/>
      <c r="IJ881" s="885"/>
      <c r="IK881" s="885"/>
      <c r="IL881" s="885"/>
      <c r="IM881" s="885"/>
      <c r="IN881" s="885"/>
      <c r="IO881" s="885"/>
      <c r="IP881" s="885"/>
      <c r="IQ881" s="885"/>
      <c r="IR881" s="885"/>
      <c r="IS881" s="885"/>
      <c r="IT881" s="885"/>
      <c r="IU881" s="885"/>
      <c r="IV881" s="885"/>
      <c r="IW881" s="885"/>
      <c r="IX881" s="885"/>
    </row>
    <row r="882" spans="1:258" s="130" customFormat="1" x14ac:dyDescent="0.25">
      <c r="A882" s="125">
        <f t="shared" si="112"/>
        <v>842</v>
      </c>
      <c r="B882" s="981"/>
      <c r="C882" s="134" t="s">
        <v>11578</v>
      </c>
      <c r="D882" s="924">
        <v>312.39999999999998</v>
      </c>
      <c r="E882" s="906">
        <f>D882*13.33</f>
        <v>4164.2919999999995</v>
      </c>
      <c r="F882" s="136">
        <f>E882/13.33</f>
        <v>312.39999999999998</v>
      </c>
      <c r="G882" s="122" t="s">
        <v>1963</v>
      </c>
      <c r="H882" s="981"/>
      <c r="I882" s="981"/>
      <c r="J882" s="981"/>
      <c r="K882" s="981"/>
      <c r="L882" s="981"/>
      <c r="M882" s="981"/>
      <c r="N882" s="981"/>
      <c r="O882" s="981"/>
      <c r="P882" s="981"/>
      <c r="Q882" s="981"/>
      <c r="R882" s="981"/>
      <c r="S882" s="981"/>
      <c r="T882" s="981"/>
      <c r="U882" s="981"/>
      <c r="V882" s="981"/>
      <c r="W882" s="981"/>
      <c r="X882" s="981"/>
      <c r="Y882" s="981"/>
      <c r="Z882" s="981"/>
      <c r="AA882" s="981"/>
      <c r="AB882" s="981"/>
      <c r="AC882" s="981"/>
      <c r="AD882" s="981"/>
      <c r="AE882" s="981"/>
      <c r="AF882" s="981"/>
      <c r="AG882" s="981"/>
      <c r="AH882" s="981"/>
      <c r="AI882" s="981"/>
      <c r="AJ882" s="981"/>
      <c r="AK882" s="981"/>
      <c r="AL882" s="981"/>
      <c r="AM882" s="981"/>
      <c r="AN882" s="981"/>
      <c r="AO882" s="981"/>
      <c r="AP882" s="981"/>
      <c r="AQ882" s="981"/>
      <c r="AR882" s="981"/>
      <c r="AS882" s="981"/>
      <c r="AT882" s="981"/>
      <c r="AU882" s="981"/>
      <c r="AV882" s="981"/>
      <c r="AW882" s="981"/>
      <c r="AX882" s="981"/>
      <c r="AY882" s="981"/>
      <c r="AZ882" s="981"/>
      <c r="BA882" s="981"/>
      <c r="BB882" s="981"/>
      <c r="BC882" s="981"/>
      <c r="BD882" s="981"/>
      <c r="BE882" s="981"/>
      <c r="BF882" s="981"/>
      <c r="BG882" s="981"/>
      <c r="BH882" s="981"/>
      <c r="BI882" s="981"/>
      <c r="BJ882" s="981"/>
      <c r="BK882" s="981"/>
      <c r="BL882" s="981"/>
      <c r="BM882" s="981"/>
      <c r="BN882" s="981"/>
      <c r="BO882" s="981"/>
      <c r="BP882" s="981"/>
      <c r="BQ882" s="981"/>
      <c r="BR882" s="981"/>
      <c r="BS882" s="981"/>
      <c r="BT882" s="981"/>
      <c r="BU882" s="981"/>
      <c r="BV882" s="981"/>
      <c r="BW882" s="981"/>
      <c r="BX882" s="981"/>
      <c r="BY882" s="981"/>
      <c r="BZ882" s="981"/>
      <c r="CA882" s="981"/>
      <c r="CB882" s="981"/>
      <c r="CC882" s="981"/>
      <c r="CD882" s="981"/>
      <c r="CE882" s="981"/>
      <c r="CF882" s="981"/>
      <c r="CG882" s="981"/>
      <c r="CH882" s="981"/>
      <c r="CI882" s="981"/>
      <c r="CJ882" s="981"/>
      <c r="CK882" s="981"/>
      <c r="CL882" s="981"/>
      <c r="CM882" s="981"/>
      <c r="CN882" s="981"/>
      <c r="CO882" s="981"/>
      <c r="CP882" s="981"/>
      <c r="CQ882" s="981"/>
      <c r="CR882" s="981"/>
      <c r="CS882" s="981"/>
      <c r="CT882" s="981"/>
      <c r="CU882" s="981"/>
      <c r="CV882" s="981"/>
      <c r="CW882" s="981"/>
      <c r="CX882" s="981"/>
      <c r="CY882" s="981"/>
      <c r="CZ882" s="981"/>
      <c r="DA882" s="981"/>
      <c r="DB882" s="981"/>
      <c r="DC882" s="981"/>
      <c r="DD882" s="981"/>
      <c r="DE882" s="981"/>
      <c r="DF882" s="981"/>
      <c r="DG882" s="981"/>
      <c r="DH882" s="981"/>
      <c r="DI882" s="981"/>
      <c r="DJ882" s="981"/>
      <c r="DK882" s="981"/>
      <c r="DL882" s="981"/>
      <c r="DM882" s="981"/>
      <c r="DN882" s="981"/>
      <c r="DO882" s="981"/>
      <c r="DP882" s="981"/>
      <c r="DQ882" s="981"/>
      <c r="DR882" s="981"/>
      <c r="DS882" s="981"/>
      <c r="DT882" s="981"/>
      <c r="DU882" s="981"/>
      <c r="DV882" s="981"/>
      <c r="DW882" s="981"/>
      <c r="DX882" s="981"/>
      <c r="DY882" s="981"/>
      <c r="DZ882" s="981"/>
      <c r="EA882" s="981"/>
      <c r="EB882" s="981"/>
      <c r="EC882" s="981"/>
      <c r="ED882" s="981"/>
      <c r="EE882" s="981"/>
      <c r="EF882" s="981"/>
      <c r="EG882" s="981"/>
      <c r="EH882" s="981"/>
      <c r="EI882" s="981"/>
      <c r="EJ882" s="981"/>
      <c r="EK882" s="981"/>
      <c r="EL882" s="981"/>
      <c r="EM882" s="981"/>
      <c r="EN882" s="981"/>
      <c r="EO882" s="981"/>
      <c r="EP882" s="981"/>
      <c r="EQ882" s="981"/>
      <c r="ER882" s="981"/>
      <c r="ES882" s="981"/>
      <c r="ET882" s="981"/>
      <c r="EU882" s="981"/>
      <c r="EV882" s="981"/>
      <c r="EW882" s="981"/>
      <c r="EX882" s="981"/>
      <c r="EY882" s="981"/>
      <c r="EZ882" s="981"/>
      <c r="FA882" s="981"/>
      <c r="FB882" s="981"/>
      <c r="FC882" s="981"/>
      <c r="FD882" s="981"/>
      <c r="FE882" s="981"/>
      <c r="FF882" s="981"/>
      <c r="FG882" s="981"/>
      <c r="FH882" s="981"/>
      <c r="FI882" s="981"/>
      <c r="FJ882" s="981"/>
      <c r="FK882" s="981"/>
      <c r="FL882" s="981"/>
      <c r="FM882" s="981"/>
      <c r="FN882" s="981"/>
      <c r="FO882" s="981"/>
      <c r="FP882" s="981"/>
      <c r="FQ882" s="981"/>
      <c r="FR882" s="981"/>
      <c r="FS882" s="981"/>
      <c r="FT882" s="981"/>
      <c r="FU882" s="981"/>
      <c r="FV882" s="981"/>
      <c r="FW882" s="981"/>
      <c r="FX882" s="981"/>
      <c r="FY882" s="981"/>
      <c r="FZ882" s="981"/>
      <c r="GA882" s="981"/>
      <c r="GB882" s="981"/>
      <c r="GC882" s="981"/>
      <c r="GD882" s="981"/>
      <c r="GE882" s="981"/>
      <c r="GF882" s="981"/>
      <c r="GG882" s="981"/>
      <c r="GH882" s="981"/>
      <c r="GI882" s="981"/>
      <c r="GJ882" s="981"/>
      <c r="GK882" s="981"/>
      <c r="GL882" s="981"/>
      <c r="GM882" s="981"/>
      <c r="GN882" s="981"/>
      <c r="GO882" s="981"/>
      <c r="GP882" s="981"/>
      <c r="GQ882" s="981"/>
      <c r="GR882" s="981"/>
      <c r="GS882" s="981"/>
      <c r="GT882" s="981"/>
      <c r="GU882" s="981"/>
      <c r="GV882" s="981"/>
      <c r="GW882" s="981"/>
      <c r="GX882" s="981"/>
      <c r="GY882" s="981"/>
      <c r="GZ882" s="981"/>
      <c r="HA882" s="981"/>
      <c r="HB882" s="981"/>
      <c r="HC882" s="981"/>
      <c r="HD882" s="981"/>
      <c r="HE882" s="981"/>
      <c r="HF882" s="981"/>
      <c r="HG882" s="981"/>
      <c r="HH882" s="981"/>
      <c r="HI882" s="981"/>
      <c r="HJ882" s="981"/>
      <c r="HK882" s="981"/>
      <c r="HL882" s="981"/>
      <c r="HM882" s="981"/>
      <c r="HN882" s="981"/>
      <c r="HO882" s="981"/>
      <c r="HP882" s="981"/>
      <c r="HQ882" s="981"/>
      <c r="HR882" s="981"/>
      <c r="HS882" s="981"/>
      <c r="HT882" s="981"/>
      <c r="HU882" s="981"/>
      <c r="HV882" s="981"/>
      <c r="HW882" s="981"/>
      <c r="HX882" s="981"/>
      <c r="HY882" s="981"/>
      <c r="HZ882" s="981"/>
      <c r="IA882" s="981"/>
      <c r="IB882" s="981"/>
      <c r="IC882" s="981"/>
      <c r="ID882" s="981"/>
      <c r="IE882" s="981"/>
      <c r="IF882" s="981"/>
      <c r="IG882" s="981"/>
      <c r="IH882" s="981"/>
      <c r="II882" s="981"/>
      <c r="IJ882" s="981"/>
      <c r="IK882" s="981"/>
      <c r="IL882" s="981"/>
      <c r="IM882" s="981"/>
      <c r="IN882" s="981"/>
      <c r="IO882" s="981"/>
      <c r="IP882" s="981"/>
      <c r="IQ882" s="981"/>
      <c r="IR882" s="981"/>
      <c r="IS882" s="981"/>
      <c r="IT882" s="981"/>
      <c r="IU882" s="981"/>
      <c r="IV882" s="981"/>
      <c r="IW882" s="981"/>
      <c r="IX882" s="981"/>
    </row>
    <row r="883" spans="1:258" s="130" customFormat="1" x14ac:dyDescent="0.25">
      <c r="A883" s="125">
        <f t="shared" si="112"/>
        <v>843</v>
      </c>
      <c r="B883" s="885"/>
      <c r="C883" s="842" t="s">
        <v>10526</v>
      </c>
      <c r="D883" s="924">
        <v>8386.9599999999991</v>
      </c>
      <c r="E883" s="906">
        <f>D883*13.33</f>
        <v>111798.17679999999</v>
      </c>
      <c r="F883" s="136">
        <f>6549.58+1881.01</f>
        <v>8430.59</v>
      </c>
      <c r="G883" s="122" t="s">
        <v>1963</v>
      </c>
      <c r="H883" s="889"/>
      <c r="I883" s="885"/>
      <c r="J883" s="885"/>
      <c r="K883" s="885"/>
      <c r="L883" s="885"/>
      <c r="M883" s="885"/>
      <c r="N883" s="885"/>
      <c r="O883" s="885"/>
      <c r="P883" s="885"/>
      <c r="Q883" s="885"/>
      <c r="R883" s="885"/>
      <c r="S883" s="885"/>
      <c r="T883" s="885"/>
      <c r="U883" s="885"/>
      <c r="V883" s="885"/>
      <c r="W883" s="885"/>
      <c r="X883" s="885"/>
      <c r="Y883" s="885"/>
      <c r="Z883" s="885"/>
      <c r="AA883" s="885"/>
      <c r="AB883" s="885"/>
      <c r="AC883" s="885"/>
      <c r="AD883" s="885"/>
      <c r="AE883" s="885"/>
      <c r="AF883" s="885"/>
      <c r="AG883" s="885"/>
      <c r="AH883" s="885"/>
      <c r="AI883" s="885"/>
      <c r="AJ883" s="885"/>
      <c r="AK883" s="885"/>
      <c r="AL883" s="885"/>
      <c r="AM883" s="885"/>
      <c r="AN883" s="885"/>
      <c r="AO883" s="885"/>
      <c r="AP883" s="885"/>
      <c r="AQ883" s="885"/>
      <c r="AR883" s="885"/>
      <c r="AS883" s="885"/>
      <c r="AT883" s="885"/>
      <c r="AU883" s="885"/>
      <c r="AV883" s="885"/>
      <c r="AW883" s="885"/>
      <c r="AX883" s="885"/>
      <c r="AY883" s="885"/>
      <c r="AZ883" s="885"/>
      <c r="BA883" s="885"/>
      <c r="BB883" s="885"/>
      <c r="BC883" s="885"/>
      <c r="BD883" s="885"/>
      <c r="BE883" s="885"/>
      <c r="BF883" s="885"/>
      <c r="BG883" s="885"/>
      <c r="BH883" s="885"/>
      <c r="BI883" s="885"/>
      <c r="BJ883" s="885"/>
      <c r="BK883" s="885"/>
      <c r="BL883" s="885"/>
      <c r="BM883" s="885"/>
      <c r="BN883" s="885"/>
      <c r="BO883" s="885"/>
      <c r="BP883" s="885"/>
      <c r="BQ883" s="885"/>
      <c r="BR883" s="885"/>
      <c r="BS883" s="885"/>
      <c r="BT883" s="885"/>
      <c r="BU883" s="885"/>
      <c r="BV883" s="885"/>
      <c r="BW883" s="885"/>
      <c r="BX883" s="885"/>
      <c r="BY883" s="885"/>
      <c r="BZ883" s="885"/>
      <c r="CA883" s="885"/>
      <c r="CB883" s="885"/>
      <c r="CC883" s="885"/>
      <c r="CD883" s="885"/>
      <c r="CE883" s="885"/>
      <c r="CF883" s="885"/>
      <c r="CG883" s="885"/>
      <c r="CH883" s="885"/>
      <c r="CI883" s="885"/>
      <c r="CJ883" s="885"/>
      <c r="CK883" s="885"/>
      <c r="CL883" s="885"/>
      <c r="CM883" s="885"/>
      <c r="CN883" s="885"/>
      <c r="CO883" s="885"/>
      <c r="CP883" s="885"/>
      <c r="CQ883" s="885"/>
      <c r="CR883" s="885"/>
      <c r="CS883" s="885"/>
      <c r="CT883" s="885"/>
      <c r="CU883" s="885"/>
      <c r="CV883" s="885"/>
      <c r="CW883" s="885"/>
      <c r="CX883" s="885"/>
      <c r="CY883" s="885"/>
      <c r="CZ883" s="885"/>
      <c r="DA883" s="885"/>
      <c r="DB883" s="885"/>
      <c r="DC883" s="885"/>
      <c r="DD883" s="885"/>
      <c r="DE883" s="885"/>
      <c r="DF883" s="885"/>
      <c r="DG883" s="885"/>
      <c r="DH883" s="885"/>
      <c r="DI883" s="885"/>
      <c r="DJ883" s="885"/>
      <c r="DK883" s="885"/>
      <c r="DL883" s="885"/>
      <c r="DM883" s="885"/>
      <c r="DN883" s="885"/>
      <c r="DO883" s="885"/>
      <c r="DP883" s="885"/>
      <c r="DQ883" s="885"/>
      <c r="DR883" s="885"/>
      <c r="DS883" s="885"/>
      <c r="DT883" s="885"/>
      <c r="DU883" s="885"/>
      <c r="DV883" s="885"/>
      <c r="DW883" s="885"/>
      <c r="DX883" s="885"/>
      <c r="DY883" s="885"/>
      <c r="DZ883" s="885"/>
      <c r="EA883" s="885"/>
      <c r="EB883" s="885"/>
      <c r="EC883" s="885"/>
      <c r="ED883" s="885"/>
      <c r="EE883" s="885"/>
      <c r="EF883" s="885"/>
      <c r="EG883" s="885"/>
      <c r="EH883" s="885"/>
      <c r="EI883" s="885"/>
      <c r="EJ883" s="885"/>
      <c r="EK883" s="885"/>
      <c r="EL883" s="885"/>
      <c r="EM883" s="885"/>
      <c r="EN883" s="885"/>
      <c r="EO883" s="885"/>
      <c r="EP883" s="885"/>
      <c r="EQ883" s="885"/>
      <c r="ER883" s="885"/>
      <c r="ES883" s="885"/>
      <c r="ET883" s="885"/>
      <c r="EU883" s="885"/>
      <c r="EV883" s="885"/>
      <c r="EW883" s="885"/>
      <c r="EX883" s="885"/>
      <c r="EY883" s="885"/>
      <c r="EZ883" s="885"/>
      <c r="FA883" s="885"/>
      <c r="FB883" s="885"/>
      <c r="FC883" s="885"/>
      <c r="FD883" s="885"/>
      <c r="FE883" s="885"/>
      <c r="FF883" s="885"/>
      <c r="FG883" s="885"/>
      <c r="FH883" s="885"/>
      <c r="FI883" s="885"/>
      <c r="FJ883" s="885"/>
      <c r="FK883" s="885"/>
      <c r="FL883" s="885"/>
      <c r="FM883" s="885"/>
      <c r="FN883" s="885"/>
      <c r="FO883" s="885"/>
      <c r="FP883" s="885"/>
      <c r="FQ883" s="885"/>
      <c r="FR883" s="885"/>
      <c r="FS883" s="885"/>
      <c r="FT883" s="885"/>
      <c r="FU883" s="885"/>
      <c r="FV883" s="885"/>
      <c r="FW883" s="885"/>
      <c r="FX883" s="885"/>
      <c r="FY883" s="885"/>
      <c r="FZ883" s="885"/>
      <c r="GA883" s="885"/>
      <c r="GB883" s="885"/>
      <c r="GC883" s="885"/>
      <c r="GD883" s="885"/>
      <c r="GE883" s="885"/>
      <c r="GF883" s="885"/>
      <c r="GG883" s="885"/>
      <c r="GH883" s="885"/>
      <c r="GI883" s="885"/>
      <c r="GJ883" s="885"/>
      <c r="GK883" s="885"/>
      <c r="GL883" s="885"/>
      <c r="GM883" s="885"/>
      <c r="GN883" s="885"/>
      <c r="GO883" s="885"/>
      <c r="GP883" s="885"/>
      <c r="GQ883" s="885"/>
      <c r="GR883" s="885"/>
      <c r="GS883" s="885"/>
      <c r="GT883" s="885"/>
      <c r="GU883" s="885"/>
      <c r="GV883" s="885"/>
      <c r="GW883" s="885"/>
      <c r="GX883" s="885"/>
      <c r="GY883" s="885"/>
      <c r="GZ883" s="885"/>
      <c r="HA883" s="885"/>
      <c r="HB883" s="885"/>
      <c r="HC883" s="885"/>
      <c r="HD883" s="885"/>
      <c r="HE883" s="885"/>
      <c r="HF883" s="885"/>
      <c r="HG883" s="885"/>
      <c r="HH883" s="885"/>
      <c r="HI883" s="885"/>
      <c r="HJ883" s="885"/>
      <c r="HK883" s="885"/>
      <c r="HL883" s="885"/>
      <c r="HM883" s="885"/>
      <c r="HN883" s="885"/>
      <c r="HO883" s="885"/>
      <c r="HP883" s="885"/>
      <c r="HQ883" s="885"/>
      <c r="HR883" s="885"/>
      <c r="HS883" s="885"/>
      <c r="HT883" s="885"/>
      <c r="HU883" s="885"/>
      <c r="HV883" s="885"/>
      <c r="HW883" s="885"/>
      <c r="HX883" s="885"/>
      <c r="HY883" s="885"/>
      <c r="HZ883" s="885"/>
      <c r="IA883" s="885"/>
      <c r="IB883" s="885"/>
      <c r="IC883" s="885"/>
      <c r="ID883" s="885"/>
      <c r="IE883" s="885"/>
      <c r="IF883" s="885"/>
      <c r="IG883" s="885"/>
      <c r="IH883" s="885"/>
      <c r="II883" s="885"/>
      <c r="IJ883" s="885"/>
      <c r="IK883" s="885"/>
      <c r="IL883" s="885"/>
      <c r="IM883" s="885"/>
      <c r="IN883" s="885"/>
      <c r="IO883" s="885"/>
      <c r="IP883" s="885"/>
      <c r="IQ883" s="885"/>
      <c r="IR883" s="885"/>
      <c r="IS883" s="885"/>
      <c r="IT883" s="885"/>
      <c r="IU883" s="885"/>
      <c r="IV883" s="885"/>
      <c r="IW883" s="885"/>
      <c r="IX883" s="885"/>
    </row>
    <row r="884" spans="1:258" s="130" customFormat="1" x14ac:dyDescent="0.25">
      <c r="A884" s="125">
        <f t="shared" si="112"/>
        <v>844</v>
      </c>
      <c r="B884" s="948"/>
      <c r="C884" s="842" t="s">
        <v>11532</v>
      </c>
      <c r="D884" s="924">
        <v>0</v>
      </c>
      <c r="E884" s="906">
        <f t="shared" si="114"/>
        <v>0</v>
      </c>
      <c r="F884" s="136"/>
      <c r="G884" s="122"/>
      <c r="H884" s="950"/>
      <c r="I884" s="948"/>
      <c r="J884" s="948"/>
      <c r="K884" s="948"/>
      <c r="L884" s="948"/>
      <c r="M884" s="948"/>
      <c r="N884" s="948"/>
      <c r="O884" s="948"/>
      <c r="P884" s="948"/>
      <c r="Q884" s="948"/>
      <c r="R884" s="948"/>
      <c r="S884" s="948"/>
      <c r="T884" s="948"/>
      <c r="U884" s="948"/>
      <c r="V884" s="948"/>
      <c r="W884" s="948"/>
      <c r="X884" s="948"/>
      <c r="Y884" s="948"/>
      <c r="Z884" s="948"/>
      <c r="AA884" s="948"/>
      <c r="AB884" s="948"/>
      <c r="AC884" s="948"/>
      <c r="AD884" s="948"/>
      <c r="AE884" s="948"/>
      <c r="AF884" s="948"/>
      <c r="AG884" s="948"/>
      <c r="AH884" s="948"/>
      <c r="AI884" s="948"/>
      <c r="AJ884" s="948"/>
      <c r="AK884" s="948"/>
      <c r="AL884" s="948"/>
      <c r="AM884" s="948"/>
      <c r="AN884" s="948"/>
      <c r="AO884" s="948"/>
      <c r="AP884" s="948"/>
      <c r="AQ884" s="948"/>
      <c r="AR884" s="948"/>
      <c r="AS884" s="948"/>
      <c r="AT884" s="948"/>
      <c r="AU884" s="948"/>
      <c r="AV884" s="948"/>
      <c r="AW884" s="948"/>
      <c r="AX884" s="948"/>
      <c r="AY884" s="948"/>
      <c r="AZ884" s="948"/>
      <c r="BA884" s="948"/>
      <c r="BB884" s="948"/>
      <c r="BC884" s="948"/>
      <c r="BD884" s="948"/>
      <c r="BE884" s="948"/>
      <c r="BF884" s="948"/>
      <c r="BG884" s="948"/>
      <c r="BH884" s="948"/>
      <c r="BI884" s="948"/>
      <c r="BJ884" s="948"/>
      <c r="BK884" s="948"/>
      <c r="BL884" s="948"/>
      <c r="BM884" s="948"/>
      <c r="BN884" s="948"/>
      <c r="BO884" s="948"/>
      <c r="BP884" s="948"/>
      <c r="BQ884" s="948"/>
      <c r="BR884" s="948"/>
      <c r="BS884" s="948"/>
      <c r="BT884" s="948"/>
      <c r="BU884" s="948"/>
      <c r="BV884" s="948"/>
      <c r="BW884" s="948"/>
      <c r="BX884" s="948"/>
      <c r="BY884" s="948"/>
      <c r="BZ884" s="948"/>
      <c r="CA884" s="948"/>
      <c r="CB884" s="948"/>
      <c r="CC884" s="948"/>
      <c r="CD884" s="948"/>
      <c r="CE884" s="948"/>
      <c r="CF884" s="948"/>
      <c r="CG884" s="948"/>
      <c r="CH884" s="948"/>
      <c r="CI884" s="948"/>
      <c r="CJ884" s="948"/>
      <c r="CK884" s="948"/>
      <c r="CL884" s="948"/>
      <c r="CM884" s="948"/>
      <c r="CN884" s="948"/>
      <c r="CO884" s="948"/>
      <c r="CP884" s="948"/>
      <c r="CQ884" s="948"/>
      <c r="CR884" s="948"/>
      <c r="CS884" s="948"/>
      <c r="CT884" s="948"/>
      <c r="CU884" s="948"/>
      <c r="CV884" s="948"/>
      <c r="CW884" s="948"/>
      <c r="CX884" s="948"/>
      <c r="CY884" s="948"/>
      <c r="CZ884" s="948"/>
      <c r="DA884" s="948"/>
      <c r="DB884" s="948"/>
      <c r="DC884" s="948"/>
      <c r="DD884" s="948"/>
      <c r="DE884" s="948"/>
      <c r="DF884" s="948"/>
      <c r="DG884" s="948"/>
      <c r="DH884" s="948"/>
      <c r="DI884" s="948"/>
      <c r="DJ884" s="948"/>
      <c r="DK884" s="948"/>
      <c r="DL884" s="948"/>
      <c r="DM884" s="948"/>
      <c r="DN884" s="948"/>
      <c r="DO884" s="948"/>
      <c r="DP884" s="948"/>
      <c r="DQ884" s="948"/>
      <c r="DR884" s="948"/>
      <c r="DS884" s="948"/>
      <c r="DT884" s="948"/>
      <c r="DU884" s="948"/>
      <c r="DV884" s="948"/>
      <c r="DW884" s="948"/>
      <c r="DX884" s="948"/>
      <c r="DY884" s="948"/>
      <c r="DZ884" s="948"/>
      <c r="EA884" s="948"/>
      <c r="EB884" s="948"/>
      <c r="EC884" s="948"/>
      <c r="ED884" s="948"/>
      <c r="EE884" s="948"/>
      <c r="EF884" s="948"/>
      <c r="EG884" s="948"/>
      <c r="EH884" s="948"/>
      <c r="EI884" s="948"/>
      <c r="EJ884" s="948"/>
      <c r="EK884" s="948"/>
      <c r="EL884" s="948"/>
      <c r="EM884" s="948"/>
      <c r="EN884" s="948"/>
      <c r="EO884" s="948"/>
      <c r="EP884" s="948"/>
      <c r="EQ884" s="948"/>
      <c r="ER884" s="948"/>
      <c r="ES884" s="948"/>
      <c r="ET884" s="948"/>
      <c r="EU884" s="948"/>
      <c r="EV884" s="948"/>
      <c r="EW884" s="948"/>
      <c r="EX884" s="948"/>
      <c r="EY884" s="948"/>
      <c r="EZ884" s="948"/>
      <c r="FA884" s="948"/>
      <c r="FB884" s="948"/>
      <c r="FC884" s="948"/>
      <c r="FD884" s="948"/>
      <c r="FE884" s="948"/>
      <c r="FF884" s="948"/>
      <c r="FG884" s="948"/>
      <c r="FH884" s="948"/>
      <c r="FI884" s="948"/>
      <c r="FJ884" s="948"/>
      <c r="FK884" s="948"/>
      <c r="FL884" s="948"/>
      <c r="FM884" s="948"/>
      <c r="FN884" s="948"/>
      <c r="FO884" s="948"/>
      <c r="FP884" s="948"/>
      <c r="FQ884" s="948"/>
      <c r="FR884" s="948"/>
      <c r="FS884" s="948"/>
      <c r="FT884" s="948"/>
      <c r="FU884" s="948"/>
      <c r="FV884" s="948"/>
      <c r="FW884" s="948"/>
      <c r="FX884" s="948"/>
      <c r="FY884" s="948"/>
      <c r="FZ884" s="948"/>
      <c r="GA884" s="948"/>
      <c r="GB884" s="948"/>
      <c r="GC884" s="948"/>
      <c r="GD884" s="948"/>
      <c r="GE884" s="948"/>
      <c r="GF884" s="948"/>
      <c r="GG884" s="948"/>
      <c r="GH884" s="948"/>
      <c r="GI884" s="948"/>
      <c r="GJ884" s="948"/>
      <c r="GK884" s="948"/>
      <c r="GL884" s="948"/>
      <c r="GM884" s="948"/>
      <c r="GN884" s="948"/>
      <c r="GO884" s="948"/>
      <c r="GP884" s="948"/>
      <c r="GQ884" s="948"/>
      <c r="GR884" s="948"/>
      <c r="GS884" s="948"/>
      <c r="GT884" s="948"/>
      <c r="GU884" s="948"/>
      <c r="GV884" s="948"/>
      <c r="GW884" s="948"/>
      <c r="GX884" s="948"/>
      <c r="GY884" s="948"/>
      <c r="GZ884" s="948"/>
      <c r="HA884" s="948"/>
      <c r="HB884" s="948"/>
      <c r="HC884" s="948"/>
      <c r="HD884" s="948"/>
      <c r="HE884" s="948"/>
      <c r="HF884" s="948"/>
      <c r="HG884" s="948"/>
      <c r="HH884" s="948"/>
      <c r="HI884" s="948"/>
      <c r="HJ884" s="948"/>
      <c r="HK884" s="948"/>
      <c r="HL884" s="948"/>
      <c r="HM884" s="948"/>
      <c r="HN884" s="948"/>
      <c r="HO884" s="948"/>
      <c r="HP884" s="948"/>
      <c r="HQ884" s="948"/>
      <c r="HR884" s="948"/>
      <c r="HS884" s="948"/>
      <c r="HT884" s="948"/>
      <c r="HU884" s="948"/>
      <c r="HV884" s="948"/>
      <c r="HW884" s="948"/>
      <c r="HX884" s="948"/>
      <c r="HY884" s="948"/>
      <c r="HZ884" s="948"/>
      <c r="IA884" s="948"/>
      <c r="IB884" s="948"/>
      <c r="IC884" s="948"/>
      <c r="ID884" s="948"/>
      <c r="IE884" s="948"/>
      <c r="IF884" s="948"/>
      <c r="IG884" s="948"/>
      <c r="IH884" s="948"/>
      <c r="II884" s="948"/>
      <c r="IJ884" s="948"/>
      <c r="IK884" s="948"/>
      <c r="IL884" s="948"/>
      <c r="IM884" s="948"/>
      <c r="IN884" s="948"/>
      <c r="IO884" s="948"/>
      <c r="IP884" s="948"/>
      <c r="IQ884" s="948"/>
      <c r="IR884" s="948"/>
      <c r="IS884" s="948"/>
      <c r="IT884" s="948"/>
      <c r="IU884" s="948"/>
      <c r="IV884" s="948"/>
      <c r="IW884" s="948"/>
      <c r="IX884" s="948"/>
    </row>
    <row r="885" spans="1:258" s="130" customFormat="1" x14ac:dyDescent="0.25">
      <c r="A885" s="125">
        <f t="shared" si="112"/>
        <v>845</v>
      </c>
      <c r="B885" s="885"/>
      <c r="C885" s="842" t="s">
        <v>10503</v>
      </c>
      <c r="D885" s="924">
        <v>0</v>
      </c>
      <c r="E885" s="906">
        <f t="shared" si="114"/>
        <v>0</v>
      </c>
      <c r="F885" s="136">
        <v>300</v>
      </c>
      <c r="G885" s="122" t="s">
        <v>1963</v>
      </c>
      <c r="H885" s="889"/>
      <c r="I885" s="885"/>
      <c r="J885" s="885"/>
      <c r="K885" s="885"/>
      <c r="L885" s="885"/>
      <c r="M885" s="885"/>
      <c r="N885" s="885"/>
      <c r="O885" s="885"/>
      <c r="P885" s="885"/>
      <c r="Q885" s="885"/>
      <c r="R885" s="885"/>
      <c r="S885" s="885"/>
      <c r="T885" s="885"/>
      <c r="U885" s="885"/>
      <c r="V885" s="885"/>
      <c r="W885" s="885"/>
      <c r="X885" s="885"/>
      <c r="Y885" s="885"/>
      <c r="Z885" s="885"/>
      <c r="AA885" s="885"/>
      <c r="AB885" s="885"/>
      <c r="AC885" s="885"/>
      <c r="AD885" s="885"/>
      <c r="AE885" s="885"/>
      <c r="AF885" s="885"/>
      <c r="AG885" s="885"/>
      <c r="AH885" s="885"/>
      <c r="AI885" s="885"/>
      <c r="AJ885" s="885"/>
      <c r="AK885" s="885"/>
      <c r="AL885" s="885"/>
      <c r="AM885" s="885"/>
      <c r="AN885" s="885"/>
      <c r="AO885" s="885"/>
      <c r="AP885" s="885"/>
      <c r="AQ885" s="885"/>
      <c r="AR885" s="885"/>
      <c r="AS885" s="885"/>
      <c r="AT885" s="885"/>
      <c r="AU885" s="885"/>
      <c r="AV885" s="885"/>
      <c r="AW885" s="885"/>
      <c r="AX885" s="885"/>
      <c r="AY885" s="885"/>
      <c r="AZ885" s="885"/>
      <c r="BA885" s="885"/>
      <c r="BB885" s="885"/>
      <c r="BC885" s="885"/>
      <c r="BD885" s="885"/>
      <c r="BE885" s="885"/>
      <c r="BF885" s="885"/>
      <c r="BG885" s="885"/>
      <c r="BH885" s="885"/>
      <c r="BI885" s="885"/>
      <c r="BJ885" s="885"/>
      <c r="BK885" s="885"/>
      <c r="BL885" s="885"/>
      <c r="BM885" s="885"/>
      <c r="BN885" s="885"/>
      <c r="BO885" s="885"/>
      <c r="BP885" s="885"/>
      <c r="BQ885" s="885"/>
      <c r="BR885" s="885"/>
      <c r="BS885" s="885"/>
      <c r="BT885" s="885"/>
      <c r="BU885" s="885"/>
      <c r="BV885" s="885"/>
      <c r="BW885" s="885"/>
      <c r="BX885" s="885"/>
      <c r="BY885" s="885"/>
      <c r="BZ885" s="885"/>
      <c r="CA885" s="885"/>
      <c r="CB885" s="885"/>
      <c r="CC885" s="885"/>
      <c r="CD885" s="885"/>
      <c r="CE885" s="885"/>
      <c r="CF885" s="885"/>
      <c r="CG885" s="885"/>
      <c r="CH885" s="885"/>
      <c r="CI885" s="885"/>
      <c r="CJ885" s="885"/>
      <c r="CK885" s="885"/>
      <c r="CL885" s="885"/>
      <c r="CM885" s="885"/>
      <c r="CN885" s="885"/>
      <c r="CO885" s="885"/>
      <c r="CP885" s="885"/>
      <c r="CQ885" s="885"/>
      <c r="CR885" s="885"/>
      <c r="CS885" s="885"/>
      <c r="CT885" s="885"/>
      <c r="CU885" s="885"/>
      <c r="CV885" s="885"/>
      <c r="CW885" s="885"/>
      <c r="CX885" s="885"/>
      <c r="CY885" s="885"/>
      <c r="CZ885" s="885"/>
      <c r="DA885" s="885"/>
      <c r="DB885" s="885"/>
      <c r="DC885" s="885"/>
      <c r="DD885" s="885"/>
      <c r="DE885" s="885"/>
      <c r="DF885" s="885"/>
      <c r="DG885" s="885"/>
      <c r="DH885" s="885"/>
      <c r="DI885" s="885"/>
      <c r="DJ885" s="885"/>
      <c r="DK885" s="885"/>
      <c r="DL885" s="885"/>
      <c r="DM885" s="885"/>
      <c r="DN885" s="885"/>
      <c r="DO885" s="885"/>
      <c r="DP885" s="885"/>
      <c r="DQ885" s="885"/>
      <c r="DR885" s="885"/>
      <c r="DS885" s="885"/>
      <c r="DT885" s="885"/>
      <c r="DU885" s="885"/>
      <c r="DV885" s="885"/>
      <c r="DW885" s="885"/>
      <c r="DX885" s="885"/>
      <c r="DY885" s="885"/>
      <c r="DZ885" s="885"/>
      <c r="EA885" s="885"/>
      <c r="EB885" s="885"/>
      <c r="EC885" s="885"/>
      <c r="ED885" s="885"/>
      <c r="EE885" s="885"/>
      <c r="EF885" s="885"/>
      <c r="EG885" s="885"/>
      <c r="EH885" s="885"/>
      <c r="EI885" s="885"/>
      <c r="EJ885" s="885"/>
      <c r="EK885" s="885"/>
      <c r="EL885" s="885"/>
      <c r="EM885" s="885"/>
      <c r="EN885" s="885"/>
      <c r="EO885" s="885"/>
      <c r="EP885" s="885"/>
      <c r="EQ885" s="885"/>
      <c r="ER885" s="885"/>
      <c r="ES885" s="885"/>
      <c r="ET885" s="885"/>
      <c r="EU885" s="885"/>
      <c r="EV885" s="885"/>
      <c r="EW885" s="885"/>
      <c r="EX885" s="885"/>
      <c r="EY885" s="885"/>
      <c r="EZ885" s="885"/>
      <c r="FA885" s="885"/>
      <c r="FB885" s="885"/>
      <c r="FC885" s="885"/>
      <c r="FD885" s="885"/>
      <c r="FE885" s="885"/>
      <c r="FF885" s="885"/>
      <c r="FG885" s="885"/>
      <c r="FH885" s="885"/>
      <c r="FI885" s="885"/>
      <c r="FJ885" s="885"/>
      <c r="FK885" s="885"/>
      <c r="FL885" s="885"/>
      <c r="FM885" s="885"/>
      <c r="FN885" s="885"/>
      <c r="FO885" s="885"/>
      <c r="FP885" s="885"/>
      <c r="FQ885" s="885"/>
      <c r="FR885" s="885"/>
      <c r="FS885" s="885"/>
      <c r="FT885" s="885"/>
      <c r="FU885" s="885"/>
      <c r="FV885" s="885"/>
      <c r="FW885" s="885"/>
      <c r="FX885" s="885"/>
      <c r="FY885" s="885"/>
      <c r="FZ885" s="885"/>
      <c r="GA885" s="885"/>
      <c r="GB885" s="885"/>
      <c r="GC885" s="885"/>
      <c r="GD885" s="885"/>
      <c r="GE885" s="885"/>
      <c r="GF885" s="885"/>
      <c r="GG885" s="885"/>
      <c r="GH885" s="885"/>
      <c r="GI885" s="885"/>
      <c r="GJ885" s="885"/>
      <c r="GK885" s="885"/>
      <c r="GL885" s="885"/>
      <c r="GM885" s="885"/>
      <c r="GN885" s="885"/>
      <c r="GO885" s="885"/>
      <c r="GP885" s="885"/>
      <c r="GQ885" s="885"/>
      <c r="GR885" s="885"/>
      <c r="GS885" s="885"/>
      <c r="GT885" s="885"/>
      <c r="GU885" s="885"/>
      <c r="GV885" s="885"/>
      <c r="GW885" s="885"/>
      <c r="GX885" s="885"/>
      <c r="GY885" s="885"/>
      <c r="GZ885" s="885"/>
      <c r="HA885" s="885"/>
      <c r="HB885" s="885"/>
      <c r="HC885" s="885"/>
      <c r="HD885" s="885"/>
      <c r="HE885" s="885"/>
      <c r="HF885" s="885"/>
      <c r="HG885" s="885"/>
      <c r="HH885" s="885"/>
      <c r="HI885" s="885"/>
      <c r="HJ885" s="885"/>
      <c r="HK885" s="885"/>
      <c r="HL885" s="885"/>
      <c r="HM885" s="885"/>
      <c r="HN885" s="885"/>
      <c r="HO885" s="885"/>
      <c r="HP885" s="885"/>
      <c r="HQ885" s="885"/>
      <c r="HR885" s="885"/>
      <c r="HS885" s="885"/>
      <c r="HT885" s="885"/>
      <c r="HU885" s="885"/>
      <c r="HV885" s="885"/>
      <c r="HW885" s="885"/>
      <c r="HX885" s="885"/>
      <c r="HY885" s="885"/>
      <c r="HZ885" s="885"/>
      <c r="IA885" s="885"/>
      <c r="IB885" s="885"/>
      <c r="IC885" s="885"/>
      <c r="ID885" s="885"/>
      <c r="IE885" s="885"/>
      <c r="IF885" s="885"/>
      <c r="IG885" s="885"/>
      <c r="IH885" s="885"/>
      <c r="II885" s="885"/>
      <c r="IJ885" s="885"/>
      <c r="IK885" s="885"/>
      <c r="IL885" s="885"/>
      <c r="IM885" s="885"/>
      <c r="IN885" s="885"/>
      <c r="IO885" s="885"/>
      <c r="IP885" s="885"/>
      <c r="IQ885" s="885"/>
      <c r="IR885" s="885"/>
      <c r="IS885" s="885"/>
      <c r="IT885" s="885"/>
      <c r="IU885" s="885"/>
      <c r="IV885" s="885"/>
      <c r="IW885" s="885"/>
      <c r="IX885" s="885"/>
    </row>
    <row r="886" spans="1:258" s="130" customFormat="1" x14ac:dyDescent="0.25">
      <c r="A886" s="125">
        <f t="shared" si="112"/>
        <v>846</v>
      </c>
      <c r="B886" s="885"/>
      <c r="C886" s="842" t="s">
        <v>125</v>
      </c>
      <c r="D886" s="924">
        <v>0</v>
      </c>
      <c r="E886" s="906">
        <f t="shared" si="114"/>
        <v>0</v>
      </c>
      <c r="F886" s="136">
        <v>300</v>
      </c>
      <c r="G886" s="122" t="s">
        <v>1963</v>
      </c>
      <c r="H886" s="889"/>
      <c r="I886" s="885"/>
      <c r="J886" s="885"/>
      <c r="K886" s="885"/>
      <c r="L886" s="885"/>
      <c r="M886" s="885"/>
      <c r="N886" s="885"/>
      <c r="O886" s="885"/>
      <c r="P886" s="885"/>
      <c r="Q886" s="885"/>
      <c r="R886" s="885"/>
      <c r="S886" s="885"/>
      <c r="T886" s="885"/>
      <c r="U886" s="885"/>
      <c r="V886" s="885"/>
      <c r="W886" s="885"/>
      <c r="X886" s="885"/>
      <c r="Y886" s="885"/>
      <c r="Z886" s="885"/>
      <c r="AA886" s="885"/>
      <c r="AB886" s="885"/>
      <c r="AC886" s="885"/>
      <c r="AD886" s="885"/>
      <c r="AE886" s="885"/>
      <c r="AF886" s="885"/>
      <c r="AG886" s="885"/>
      <c r="AH886" s="885"/>
      <c r="AI886" s="885"/>
      <c r="AJ886" s="885"/>
      <c r="AK886" s="885"/>
      <c r="AL886" s="885"/>
      <c r="AM886" s="885"/>
      <c r="AN886" s="885"/>
      <c r="AO886" s="885"/>
      <c r="AP886" s="885"/>
      <c r="AQ886" s="885"/>
      <c r="AR886" s="885"/>
      <c r="AS886" s="885"/>
      <c r="AT886" s="885"/>
      <c r="AU886" s="885"/>
      <c r="AV886" s="885"/>
      <c r="AW886" s="885"/>
      <c r="AX886" s="885"/>
      <c r="AY886" s="885"/>
      <c r="AZ886" s="885"/>
      <c r="BA886" s="885"/>
      <c r="BB886" s="885"/>
      <c r="BC886" s="885"/>
      <c r="BD886" s="885"/>
      <c r="BE886" s="885"/>
      <c r="BF886" s="885"/>
      <c r="BG886" s="885"/>
      <c r="BH886" s="885"/>
      <c r="BI886" s="885"/>
      <c r="BJ886" s="885"/>
      <c r="BK886" s="885"/>
      <c r="BL886" s="885"/>
      <c r="BM886" s="885"/>
      <c r="BN886" s="885"/>
      <c r="BO886" s="885"/>
      <c r="BP886" s="885"/>
      <c r="BQ886" s="885"/>
      <c r="BR886" s="885"/>
      <c r="BS886" s="885"/>
      <c r="BT886" s="885"/>
      <c r="BU886" s="885"/>
      <c r="BV886" s="885"/>
      <c r="BW886" s="885"/>
      <c r="BX886" s="885"/>
      <c r="BY886" s="885"/>
      <c r="BZ886" s="885"/>
      <c r="CA886" s="885"/>
      <c r="CB886" s="885"/>
      <c r="CC886" s="885"/>
      <c r="CD886" s="885"/>
      <c r="CE886" s="885"/>
      <c r="CF886" s="885"/>
      <c r="CG886" s="885"/>
      <c r="CH886" s="885"/>
      <c r="CI886" s="885"/>
      <c r="CJ886" s="885"/>
      <c r="CK886" s="885"/>
      <c r="CL886" s="885"/>
      <c r="CM886" s="885"/>
      <c r="CN886" s="885"/>
      <c r="CO886" s="885"/>
      <c r="CP886" s="885"/>
      <c r="CQ886" s="885"/>
      <c r="CR886" s="885"/>
      <c r="CS886" s="885"/>
      <c r="CT886" s="885"/>
      <c r="CU886" s="885"/>
      <c r="CV886" s="885"/>
      <c r="CW886" s="885"/>
      <c r="CX886" s="885"/>
      <c r="CY886" s="885"/>
      <c r="CZ886" s="885"/>
      <c r="DA886" s="885"/>
      <c r="DB886" s="885"/>
      <c r="DC886" s="885"/>
      <c r="DD886" s="885"/>
      <c r="DE886" s="885"/>
      <c r="DF886" s="885"/>
      <c r="DG886" s="885"/>
      <c r="DH886" s="885"/>
      <c r="DI886" s="885"/>
      <c r="DJ886" s="885"/>
      <c r="DK886" s="885"/>
      <c r="DL886" s="885"/>
      <c r="DM886" s="885"/>
      <c r="DN886" s="885"/>
      <c r="DO886" s="885"/>
      <c r="DP886" s="885"/>
      <c r="DQ886" s="885"/>
      <c r="DR886" s="885"/>
      <c r="DS886" s="885"/>
      <c r="DT886" s="885"/>
      <c r="DU886" s="885"/>
      <c r="DV886" s="885"/>
      <c r="DW886" s="885"/>
      <c r="DX886" s="885"/>
      <c r="DY886" s="885"/>
      <c r="DZ886" s="885"/>
      <c r="EA886" s="885"/>
      <c r="EB886" s="885"/>
      <c r="EC886" s="885"/>
      <c r="ED886" s="885"/>
      <c r="EE886" s="885"/>
      <c r="EF886" s="885"/>
      <c r="EG886" s="885"/>
      <c r="EH886" s="885"/>
      <c r="EI886" s="885"/>
      <c r="EJ886" s="885"/>
      <c r="EK886" s="885"/>
      <c r="EL886" s="885"/>
      <c r="EM886" s="885"/>
      <c r="EN886" s="885"/>
      <c r="EO886" s="885"/>
      <c r="EP886" s="885"/>
      <c r="EQ886" s="885"/>
      <c r="ER886" s="885"/>
      <c r="ES886" s="885"/>
      <c r="ET886" s="885"/>
      <c r="EU886" s="885"/>
      <c r="EV886" s="885"/>
      <c r="EW886" s="885"/>
      <c r="EX886" s="885"/>
      <c r="EY886" s="885"/>
      <c r="EZ886" s="885"/>
      <c r="FA886" s="885"/>
      <c r="FB886" s="885"/>
      <c r="FC886" s="885"/>
      <c r="FD886" s="885"/>
      <c r="FE886" s="885"/>
      <c r="FF886" s="885"/>
      <c r="FG886" s="885"/>
      <c r="FH886" s="885"/>
      <c r="FI886" s="885"/>
      <c r="FJ886" s="885"/>
      <c r="FK886" s="885"/>
      <c r="FL886" s="885"/>
      <c r="FM886" s="885"/>
      <c r="FN886" s="885"/>
      <c r="FO886" s="885"/>
      <c r="FP886" s="885"/>
      <c r="FQ886" s="885"/>
      <c r="FR886" s="885"/>
      <c r="FS886" s="885"/>
      <c r="FT886" s="885"/>
      <c r="FU886" s="885"/>
      <c r="FV886" s="885"/>
      <c r="FW886" s="885"/>
      <c r="FX886" s="885"/>
      <c r="FY886" s="885"/>
      <c r="FZ886" s="885"/>
      <c r="GA886" s="885"/>
      <c r="GB886" s="885"/>
      <c r="GC886" s="885"/>
      <c r="GD886" s="885"/>
      <c r="GE886" s="885"/>
      <c r="GF886" s="885"/>
      <c r="GG886" s="885"/>
      <c r="GH886" s="885"/>
      <c r="GI886" s="885"/>
      <c r="GJ886" s="885"/>
      <c r="GK886" s="885"/>
      <c r="GL886" s="885"/>
      <c r="GM886" s="885"/>
      <c r="GN886" s="885"/>
      <c r="GO886" s="885"/>
      <c r="GP886" s="885"/>
      <c r="GQ886" s="885"/>
      <c r="GR886" s="885"/>
      <c r="GS886" s="885"/>
      <c r="GT886" s="885"/>
      <c r="GU886" s="885"/>
      <c r="GV886" s="885"/>
      <c r="GW886" s="885"/>
      <c r="GX886" s="885"/>
      <c r="GY886" s="885"/>
      <c r="GZ886" s="885"/>
      <c r="HA886" s="885"/>
      <c r="HB886" s="885"/>
      <c r="HC886" s="885"/>
      <c r="HD886" s="885"/>
      <c r="HE886" s="885"/>
      <c r="HF886" s="885"/>
      <c r="HG886" s="885"/>
      <c r="HH886" s="885"/>
      <c r="HI886" s="885"/>
      <c r="HJ886" s="885"/>
      <c r="HK886" s="885"/>
      <c r="HL886" s="885"/>
      <c r="HM886" s="885"/>
      <c r="HN886" s="885"/>
      <c r="HO886" s="885"/>
      <c r="HP886" s="885"/>
      <c r="HQ886" s="885"/>
      <c r="HR886" s="885"/>
      <c r="HS886" s="885"/>
      <c r="HT886" s="885"/>
      <c r="HU886" s="885"/>
      <c r="HV886" s="885"/>
      <c r="HW886" s="885"/>
      <c r="HX886" s="885"/>
      <c r="HY886" s="885"/>
      <c r="HZ886" s="885"/>
      <c r="IA886" s="885"/>
      <c r="IB886" s="885"/>
      <c r="IC886" s="885"/>
      <c r="ID886" s="885"/>
      <c r="IE886" s="885"/>
      <c r="IF886" s="885"/>
      <c r="IG886" s="885"/>
      <c r="IH886" s="885"/>
      <c r="II886" s="885"/>
      <c r="IJ886" s="885"/>
      <c r="IK886" s="885"/>
      <c r="IL886" s="885"/>
      <c r="IM886" s="885"/>
      <c r="IN886" s="885"/>
      <c r="IO886" s="885"/>
      <c r="IP886" s="885"/>
      <c r="IQ886" s="885"/>
      <c r="IR886" s="885"/>
      <c r="IS886" s="885"/>
      <c r="IT886" s="885"/>
      <c r="IU886" s="885"/>
      <c r="IV886" s="885"/>
      <c r="IW886" s="885"/>
      <c r="IX886" s="885"/>
    </row>
    <row r="887" spans="1:258" s="130" customFormat="1" x14ac:dyDescent="0.25">
      <c r="A887" s="125">
        <f t="shared" si="112"/>
        <v>847</v>
      </c>
      <c r="B887" s="885"/>
      <c r="C887" s="842" t="s">
        <v>10502</v>
      </c>
      <c r="D887" s="924">
        <v>7884.22</v>
      </c>
      <c r="E887" s="906">
        <f>D887*2</f>
        <v>15768.44</v>
      </c>
      <c r="F887" s="136">
        <v>15000</v>
      </c>
      <c r="G887" s="122" t="s">
        <v>1963</v>
      </c>
      <c r="H887" s="889"/>
      <c r="I887" s="885"/>
      <c r="J887" s="885"/>
      <c r="K887" s="885"/>
      <c r="L887" s="885"/>
      <c r="M887" s="885"/>
      <c r="N887" s="885"/>
      <c r="O887" s="885"/>
      <c r="P887" s="885"/>
      <c r="Q887" s="885"/>
      <c r="R887" s="885"/>
      <c r="S887" s="885"/>
      <c r="T887" s="885"/>
      <c r="U887" s="885"/>
      <c r="V887" s="885"/>
      <c r="W887" s="885"/>
      <c r="X887" s="885"/>
      <c r="Y887" s="885"/>
      <c r="Z887" s="885"/>
      <c r="AA887" s="885"/>
      <c r="AB887" s="885"/>
      <c r="AC887" s="885"/>
      <c r="AD887" s="885"/>
      <c r="AE887" s="885"/>
      <c r="AF887" s="885"/>
      <c r="AG887" s="885"/>
      <c r="AH887" s="885"/>
      <c r="AI887" s="885"/>
      <c r="AJ887" s="885"/>
      <c r="AK887" s="885"/>
      <c r="AL887" s="885"/>
      <c r="AM887" s="885"/>
      <c r="AN887" s="885"/>
      <c r="AO887" s="885"/>
      <c r="AP887" s="885"/>
      <c r="AQ887" s="885"/>
      <c r="AR887" s="885"/>
      <c r="AS887" s="885"/>
      <c r="AT887" s="885"/>
      <c r="AU887" s="885"/>
      <c r="AV887" s="885"/>
      <c r="AW887" s="885"/>
      <c r="AX887" s="885"/>
      <c r="AY887" s="885"/>
      <c r="AZ887" s="885"/>
      <c r="BA887" s="885"/>
      <c r="BB887" s="885"/>
      <c r="BC887" s="885"/>
      <c r="BD887" s="885"/>
      <c r="BE887" s="885"/>
      <c r="BF887" s="885"/>
      <c r="BG887" s="885"/>
      <c r="BH887" s="885"/>
      <c r="BI887" s="885"/>
      <c r="BJ887" s="885"/>
      <c r="BK887" s="885"/>
      <c r="BL887" s="885"/>
      <c r="BM887" s="885"/>
      <c r="BN887" s="885"/>
      <c r="BO887" s="885"/>
      <c r="BP887" s="885"/>
      <c r="BQ887" s="885"/>
      <c r="BR887" s="885"/>
      <c r="BS887" s="885"/>
      <c r="BT887" s="885"/>
      <c r="BU887" s="885"/>
      <c r="BV887" s="885"/>
      <c r="BW887" s="885"/>
      <c r="BX887" s="885"/>
      <c r="BY887" s="885"/>
      <c r="BZ887" s="885"/>
      <c r="CA887" s="885"/>
      <c r="CB887" s="885"/>
      <c r="CC887" s="885"/>
      <c r="CD887" s="885"/>
      <c r="CE887" s="885"/>
      <c r="CF887" s="885"/>
      <c r="CG887" s="885"/>
      <c r="CH887" s="885"/>
      <c r="CI887" s="885"/>
      <c r="CJ887" s="885"/>
      <c r="CK887" s="885"/>
      <c r="CL887" s="885"/>
      <c r="CM887" s="885"/>
      <c r="CN887" s="885"/>
      <c r="CO887" s="885"/>
      <c r="CP887" s="885"/>
      <c r="CQ887" s="885"/>
      <c r="CR887" s="885"/>
      <c r="CS887" s="885"/>
      <c r="CT887" s="885"/>
      <c r="CU887" s="885"/>
      <c r="CV887" s="885"/>
      <c r="CW887" s="885"/>
      <c r="CX887" s="885"/>
      <c r="CY887" s="885"/>
      <c r="CZ887" s="885"/>
      <c r="DA887" s="885"/>
      <c r="DB887" s="885"/>
      <c r="DC887" s="885"/>
      <c r="DD887" s="885"/>
      <c r="DE887" s="885"/>
      <c r="DF887" s="885"/>
      <c r="DG887" s="885"/>
      <c r="DH887" s="885"/>
      <c r="DI887" s="885"/>
      <c r="DJ887" s="885"/>
      <c r="DK887" s="885"/>
      <c r="DL887" s="885"/>
      <c r="DM887" s="885"/>
      <c r="DN887" s="885"/>
      <c r="DO887" s="885"/>
      <c r="DP887" s="885"/>
      <c r="DQ887" s="885"/>
      <c r="DR887" s="885"/>
      <c r="DS887" s="885"/>
      <c r="DT887" s="885"/>
      <c r="DU887" s="885"/>
      <c r="DV887" s="885"/>
      <c r="DW887" s="885"/>
      <c r="DX887" s="885"/>
      <c r="DY887" s="885"/>
      <c r="DZ887" s="885"/>
      <c r="EA887" s="885"/>
      <c r="EB887" s="885"/>
      <c r="EC887" s="885"/>
      <c r="ED887" s="885"/>
      <c r="EE887" s="885"/>
      <c r="EF887" s="885"/>
      <c r="EG887" s="885"/>
      <c r="EH887" s="885"/>
      <c r="EI887" s="885"/>
      <c r="EJ887" s="885"/>
      <c r="EK887" s="885"/>
      <c r="EL887" s="885"/>
      <c r="EM887" s="885"/>
      <c r="EN887" s="885"/>
      <c r="EO887" s="885"/>
      <c r="EP887" s="885"/>
      <c r="EQ887" s="885"/>
      <c r="ER887" s="885"/>
      <c r="ES887" s="885"/>
      <c r="ET887" s="885"/>
      <c r="EU887" s="885"/>
      <c r="EV887" s="885"/>
      <c r="EW887" s="885"/>
      <c r="EX887" s="885"/>
      <c r="EY887" s="885"/>
      <c r="EZ887" s="885"/>
      <c r="FA887" s="885"/>
      <c r="FB887" s="885"/>
      <c r="FC887" s="885"/>
      <c r="FD887" s="885"/>
      <c r="FE887" s="885"/>
      <c r="FF887" s="885"/>
      <c r="FG887" s="885"/>
      <c r="FH887" s="885"/>
      <c r="FI887" s="885"/>
      <c r="FJ887" s="885"/>
      <c r="FK887" s="885"/>
      <c r="FL887" s="885"/>
      <c r="FM887" s="885"/>
      <c r="FN887" s="885"/>
      <c r="FO887" s="885"/>
      <c r="FP887" s="885"/>
      <c r="FQ887" s="885"/>
      <c r="FR887" s="885"/>
      <c r="FS887" s="885"/>
      <c r="FT887" s="885"/>
      <c r="FU887" s="885"/>
      <c r="FV887" s="885"/>
      <c r="FW887" s="885"/>
      <c r="FX887" s="885"/>
      <c r="FY887" s="885"/>
      <c r="FZ887" s="885"/>
      <c r="GA887" s="885"/>
      <c r="GB887" s="885"/>
      <c r="GC887" s="885"/>
      <c r="GD887" s="885"/>
      <c r="GE887" s="885"/>
      <c r="GF887" s="885"/>
      <c r="GG887" s="885"/>
      <c r="GH887" s="885"/>
      <c r="GI887" s="885"/>
      <c r="GJ887" s="885"/>
      <c r="GK887" s="885"/>
      <c r="GL887" s="885"/>
      <c r="GM887" s="885"/>
      <c r="GN887" s="885"/>
      <c r="GO887" s="885"/>
      <c r="GP887" s="885"/>
      <c r="GQ887" s="885"/>
      <c r="GR887" s="885"/>
      <c r="GS887" s="885"/>
      <c r="GT887" s="885"/>
      <c r="GU887" s="885"/>
      <c r="GV887" s="885"/>
      <c r="GW887" s="885"/>
      <c r="GX887" s="885"/>
      <c r="GY887" s="885"/>
      <c r="GZ887" s="885"/>
      <c r="HA887" s="885"/>
      <c r="HB887" s="885"/>
      <c r="HC887" s="885"/>
      <c r="HD887" s="885"/>
      <c r="HE887" s="885"/>
      <c r="HF887" s="885"/>
      <c r="HG887" s="885"/>
      <c r="HH887" s="885"/>
      <c r="HI887" s="885"/>
      <c r="HJ887" s="885"/>
      <c r="HK887" s="885"/>
      <c r="HL887" s="885"/>
      <c r="HM887" s="885"/>
      <c r="HN887" s="885"/>
      <c r="HO887" s="885"/>
      <c r="HP887" s="885"/>
      <c r="HQ887" s="885"/>
      <c r="HR887" s="885"/>
      <c r="HS887" s="885"/>
      <c r="HT887" s="885"/>
      <c r="HU887" s="885"/>
      <c r="HV887" s="885"/>
      <c r="HW887" s="885"/>
      <c r="HX887" s="885"/>
      <c r="HY887" s="885"/>
      <c r="HZ887" s="885"/>
      <c r="IA887" s="885"/>
      <c r="IB887" s="885"/>
      <c r="IC887" s="885"/>
      <c r="ID887" s="885"/>
      <c r="IE887" s="885"/>
      <c r="IF887" s="885"/>
      <c r="IG887" s="885"/>
      <c r="IH887" s="885"/>
      <c r="II887" s="885"/>
      <c r="IJ887" s="885"/>
      <c r="IK887" s="885"/>
      <c r="IL887" s="885"/>
      <c r="IM887" s="885"/>
      <c r="IN887" s="885"/>
      <c r="IO887" s="885"/>
      <c r="IP887" s="885"/>
      <c r="IQ887" s="885"/>
      <c r="IR887" s="885"/>
      <c r="IS887" s="885"/>
      <c r="IT887" s="885"/>
      <c r="IU887" s="885"/>
      <c r="IV887" s="885"/>
      <c r="IW887" s="885"/>
      <c r="IX887" s="885"/>
    </row>
    <row r="888" spans="1:258" s="130" customFormat="1" x14ac:dyDescent="0.25">
      <c r="A888" s="125">
        <f t="shared" si="112"/>
        <v>848</v>
      </c>
      <c r="B888" s="885"/>
      <c r="C888" s="842" t="s">
        <v>9990</v>
      </c>
      <c r="D888" s="924">
        <v>0</v>
      </c>
      <c r="E888" s="906">
        <f t="shared" si="114"/>
        <v>0</v>
      </c>
      <c r="F888" s="136">
        <v>5000</v>
      </c>
      <c r="G888" s="122" t="s">
        <v>1963</v>
      </c>
      <c r="H888" s="889"/>
      <c r="I888" s="885"/>
      <c r="J888" s="885"/>
      <c r="K888" s="885"/>
      <c r="L888" s="885"/>
      <c r="M888" s="885"/>
      <c r="N888" s="885"/>
      <c r="O888" s="885"/>
      <c r="P888" s="885"/>
      <c r="Q888" s="885"/>
      <c r="R888" s="885"/>
      <c r="S888" s="885"/>
      <c r="T888" s="885"/>
      <c r="U888" s="885"/>
      <c r="V888" s="885"/>
      <c r="W888" s="885"/>
      <c r="X888" s="885"/>
      <c r="Y888" s="885"/>
      <c r="Z888" s="885"/>
      <c r="AA888" s="885"/>
      <c r="AB888" s="885"/>
      <c r="AC888" s="885"/>
      <c r="AD888" s="885"/>
      <c r="AE888" s="885"/>
      <c r="AF888" s="885"/>
      <c r="AG888" s="885"/>
      <c r="AH888" s="885"/>
      <c r="AI888" s="885"/>
      <c r="AJ888" s="885"/>
      <c r="AK888" s="885"/>
      <c r="AL888" s="885"/>
      <c r="AM888" s="885"/>
      <c r="AN888" s="885"/>
      <c r="AO888" s="885"/>
      <c r="AP888" s="885"/>
      <c r="AQ888" s="885"/>
      <c r="AR888" s="885"/>
      <c r="AS888" s="885"/>
      <c r="AT888" s="885"/>
      <c r="AU888" s="885"/>
      <c r="AV888" s="885"/>
      <c r="AW888" s="885"/>
      <c r="AX888" s="885"/>
      <c r="AY888" s="885"/>
      <c r="AZ888" s="885"/>
      <c r="BA888" s="885"/>
      <c r="BB888" s="885"/>
      <c r="BC888" s="885"/>
      <c r="BD888" s="885"/>
      <c r="BE888" s="885"/>
      <c r="BF888" s="885"/>
      <c r="BG888" s="885"/>
      <c r="BH888" s="885"/>
      <c r="BI888" s="885"/>
      <c r="BJ888" s="885"/>
      <c r="BK888" s="885"/>
      <c r="BL888" s="885"/>
      <c r="BM888" s="885"/>
      <c r="BN888" s="885"/>
      <c r="BO888" s="885"/>
      <c r="BP888" s="885"/>
      <c r="BQ888" s="885"/>
      <c r="BR888" s="885"/>
      <c r="BS888" s="885"/>
      <c r="BT888" s="885"/>
      <c r="BU888" s="885"/>
      <c r="BV888" s="885"/>
      <c r="BW888" s="885"/>
      <c r="BX888" s="885"/>
      <c r="BY888" s="885"/>
      <c r="BZ888" s="885"/>
      <c r="CA888" s="885"/>
      <c r="CB888" s="885"/>
      <c r="CC888" s="885"/>
      <c r="CD888" s="885"/>
      <c r="CE888" s="885"/>
      <c r="CF888" s="885"/>
      <c r="CG888" s="885"/>
      <c r="CH888" s="885"/>
      <c r="CI888" s="885"/>
      <c r="CJ888" s="885"/>
      <c r="CK888" s="885"/>
      <c r="CL888" s="885"/>
      <c r="CM888" s="885"/>
      <c r="CN888" s="885"/>
      <c r="CO888" s="885"/>
      <c r="CP888" s="885"/>
      <c r="CQ888" s="885"/>
      <c r="CR888" s="885"/>
      <c r="CS888" s="885"/>
      <c r="CT888" s="885"/>
      <c r="CU888" s="885"/>
      <c r="CV888" s="885"/>
      <c r="CW888" s="885"/>
      <c r="CX888" s="885"/>
      <c r="CY888" s="885"/>
      <c r="CZ888" s="885"/>
      <c r="DA888" s="885"/>
      <c r="DB888" s="885"/>
      <c r="DC888" s="885"/>
      <c r="DD888" s="885"/>
      <c r="DE888" s="885"/>
      <c r="DF888" s="885"/>
      <c r="DG888" s="885"/>
      <c r="DH888" s="885"/>
      <c r="DI888" s="885"/>
      <c r="DJ888" s="885"/>
      <c r="DK888" s="885"/>
      <c r="DL888" s="885"/>
      <c r="DM888" s="885"/>
      <c r="DN888" s="885"/>
      <c r="DO888" s="885"/>
      <c r="DP888" s="885"/>
      <c r="DQ888" s="885"/>
      <c r="DR888" s="885"/>
      <c r="DS888" s="885"/>
      <c r="DT888" s="885"/>
      <c r="DU888" s="885"/>
      <c r="DV888" s="885"/>
      <c r="DW888" s="885"/>
      <c r="DX888" s="885"/>
      <c r="DY888" s="885"/>
      <c r="DZ888" s="885"/>
      <c r="EA888" s="885"/>
      <c r="EB888" s="885"/>
      <c r="EC888" s="885"/>
      <c r="ED888" s="885"/>
      <c r="EE888" s="885"/>
      <c r="EF888" s="885"/>
      <c r="EG888" s="885"/>
      <c r="EH888" s="885"/>
      <c r="EI888" s="885"/>
      <c r="EJ888" s="885"/>
      <c r="EK888" s="885"/>
      <c r="EL888" s="885"/>
      <c r="EM888" s="885"/>
      <c r="EN888" s="885"/>
      <c r="EO888" s="885"/>
      <c r="EP888" s="885"/>
      <c r="EQ888" s="885"/>
      <c r="ER888" s="885"/>
      <c r="ES888" s="885"/>
      <c r="ET888" s="885"/>
      <c r="EU888" s="885"/>
      <c r="EV888" s="885"/>
      <c r="EW888" s="885"/>
      <c r="EX888" s="885"/>
      <c r="EY888" s="885"/>
      <c r="EZ888" s="885"/>
      <c r="FA888" s="885"/>
      <c r="FB888" s="885"/>
      <c r="FC888" s="885"/>
      <c r="FD888" s="885"/>
      <c r="FE888" s="885"/>
      <c r="FF888" s="885"/>
      <c r="FG888" s="885"/>
      <c r="FH888" s="885"/>
      <c r="FI888" s="885"/>
      <c r="FJ888" s="885"/>
      <c r="FK888" s="885"/>
      <c r="FL888" s="885"/>
      <c r="FM888" s="885"/>
      <c r="FN888" s="885"/>
      <c r="FO888" s="885"/>
      <c r="FP888" s="885"/>
      <c r="FQ888" s="885"/>
      <c r="FR888" s="885"/>
      <c r="FS888" s="885"/>
      <c r="FT888" s="885"/>
      <c r="FU888" s="885"/>
      <c r="FV888" s="885"/>
      <c r="FW888" s="885"/>
      <c r="FX888" s="885"/>
      <c r="FY888" s="885"/>
      <c r="FZ888" s="885"/>
      <c r="GA888" s="885"/>
      <c r="GB888" s="885"/>
      <c r="GC888" s="885"/>
      <c r="GD888" s="885"/>
      <c r="GE888" s="885"/>
      <c r="GF888" s="885"/>
      <c r="GG888" s="885"/>
      <c r="GH888" s="885"/>
      <c r="GI888" s="885"/>
      <c r="GJ888" s="885"/>
      <c r="GK888" s="885"/>
      <c r="GL888" s="885"/>
      <c r="GM888" s="885"/>
      <c r="GN888" s="885"/>
      <c r="GO888" s="885"/>
      <c r="GP888" s="885"/>
      <c r="GQ888" s="885"/>
      <c r="GR888" s="885"/>
      <c r="GS888" s="885"/>
      <c r="GT888" s="885"/>
      <c r="GU888" s="885"/>
      <c r="GV888" s="885"/>
      <c r="GW888" s="885"/>
      <c r="GX888" s="885"/>
      <c r="GY888" s="885"/>
      <c r="GZ888" s="885"/>
      <c r="HA888" s="885"/>
      <c r="HB888" s="885"/>
      <c r="HC888" s="885"/>
      <c r="HD888" s="885"/>
      <c r="HE888" s="885"/>
      <c r="HF888" s="885"/>
      <c r="HG888" s="885"/>
      <c r="HH888" s="885"/>
      <c r="HI888" s="885"/>
      <c r="HJ888" s="885"/>
      <c r="HK888" s="885"/>
      <c r="HL888" s="885"/>
      <c r="HM888" s="885"/>
      <c r="HN888" s="885"/>
      <c r="HO888" s="885"/>
      <c r="HP888" s="885"/>
      <c r="HQ888" s="885"/>
      <c r="HR888" s="885"/>
      <c r="HS888" s="885"/>
      <c r="HT888" s="885"/>
      <c r="HU888" s="885"/>
      <c r="HV888" s="885"/>
      <c r="HW888" s="885"/>
      <c r="HX888" s="885"/>
      <c r="HY888" s="885"/>
      <c r="HZ888" s="885"/>
      <c r="IA888" s="885"/>
      <c r="IB888" s="885"/>
      <c r="IC888" s="885"/>
      <c r="ID888" s="885"/>
      <c r="IE888" s="885"/>
      <c r="IF888" s="885"/>
      <c r="IG888" s="885"/>
      <c r="IH888" s="885"/>
      <c r="II888" s="885"/>
      <c r="IJ888" s="885"/>
      <c r="IK888" s="885"/>
      <c r="IL888" s="885"/>
      <c r="IM888" s="885"/>
      <c r="IN888" s="885"/>
      <c r="IO888" s="885"/>
      <c r="IP888" s="885"/>
      <c r="IQ888" s="885"/>
      <c r="IR888" s="885"/>
      <c r="IS888" s="885"/>
      <c r="IT888" s="885"/>
      <c r="IU888" s="885"/>
      <c r="IV888" s="885"/>
      <c r="IW888" s="885"/>
      <c r="IX888" s="885"/>
    </row>
    <row r="889" spans="1:258" s="130" customFormat="1" x14ac:dyDescent="0.25">
      <c r="A889" s="125">
        <f t="shared" si="112"/>
        <v>849</v>
      </c>
      <c r="B889" s="885"/>
      <c r="C889" s="842" t="s">
        <v>10501</v>
      </c>
      <c r="D889" s="924">
        <v>0</v>
      </c>
      <c r="E889" s="906">
        <f t="shared" si="114"/>
        <v>0</v>
      </c>
      <c r="F889" s="136">
        <v>1000</v>
      </c>
      <c r="G889" s="122" t="s">
        <v>1963</v>
      </c>
      <c r="H889" s="889"/>
      <c r="I889" s="885"/>
      <c r="J889" s="885"/>
      <c r="K889" s="885"/>
      <c r="L889" s="885"/>
      <c r="M889" s="885"/>
      <c r="N889" s="885"/>
      <c r="O889" s="885"/>
      <c r="P889" s="885"/>
      <c r="Q889" s="885"/>
      <c r="R889" s="885"/>
      <c r="S889" s="885"/>
      <c r="T889" s="885"/>
      <c r="U889" s="885"/>
      <c r="V889" s="885"/>
      <c r="W889" s="885"/>
      <c r="X889" s="885"/>
      <c r="Y889" s="885"/>
      <c r="Z889" s="885"/>
      <c r="AA889" s="885"/>
      <c r="AB889" s="885"/>
      <c r="AC889" s="885"/>
      <c r="AD889" s="885"/>
      <c r="AE889" s="885"/>
      <c r="AF889" s="885"/>
      <c r="AG889" s="885"/>
      <c r="AH889" s="885"/>
      <c r="AI889" s="885"/>
      <c r="AJ889" s="885"/>
      <c r="AK889" s="885"/>
      <c r="AL889" s="885"/>
      <c r="AM889" s="885"/>
      <c r="AN889" s="885"/>
      <c r="AO889" s="885"/>
      <c r="AP889" s="885"/>
      <c r="AQ889" s="885"/>
      <c r="AR889" s="885"/>
      <c r="AS889" s="885"/>
      <c r="AT889" s="885"/>
      <c r="AU889" s="885"/>
      <c r="AV889" s="885"/>
      <c r="AW889" s="885"/>
      <c r="AX889" s="885"/>
      <c r="AY889" s="885"/>
      <c r="AZ889" s="885"/>
      <c r="BA889" s="885"/>
      <c r="BB889" s="885"/>
      <c r="BC889" s="885"/>
      <c r="BD889" s="885"/>
      <c r="BE889" s="885"/>
      <c r="BF889" s="885"/>
      <c r="BG889" s="885"/>
      <c r="BH889" s="885"/>
      <c r="BI889" s="885"/>
      <c r="BJ889" s="885"/>
      <c r="BK889" s="885"/>
      <c r="BL889" s="885"/>
      <c r="BM889" s="885"/>
      <c r="BN889" s="885"/>
      <c r="BO889" s="885"/>
      <c r="BP889" s="885"/>
      <c r="BQ889" s="885"/>
      <c r="BR889" s="885"/>
      <c r="BS889" s="885"/>
      <c r="BT889" s="885"/>
      <c r="BU889" s="885"/>
      <c r="BV889" s="885"/>
      <c r="BW889" s="885"/>
      <c r="BX889" s="885"/>
      <c r="BY889" s="885"/>
      <c r="BZ889" s="885"/>
      <c r="CA889" s="885"/>
      <c r="CB889" s="885"/>
      <c r="CC889" s="885"/>
      <c r="CD889" s="885"/>
      <c r="CE889" s="885"/>
      <c r="CF889" s="885"/>
      <c r="CG889" s="885"/>
      <c r="CH889" s="885"/>
      <c r="CI889" s="885"/>
      <c r="CJ889" s="885"/>
      <c r="CK889" s="885"/>
      <c r="CL889" s="885"/>
      <c r="CM889" s="885"/>
      <c r="CN889" s="885"/>
      <c r="CO889" s="885"/>
      <c r="CP889" s="885"/>
      <c r="CQ889" s="885"/>
      <c r="CR889" s="885"/>
      <c r="CS889" s="885"/>
      <c r="CT889" s="885"/>
      <c r="CU889" s="885"/>
      <c r="CV889" s="885"/>
      <c r="CW889" s="885"/>
      <c r="CX889" s="885"/>
      <c r="CY889" s="885"/>
      <c r="CZ889" s="885"/>
      <c r="DA889" s="885"/>
      <c r="DB889" s="885"/>
      <c r="DC889" s="885"/>
      <c r="DD889" s="885"/>
      <c r="DE889" s="885"/>
      <c r="DF889" s="885"/>
      <c r="DG889" s="885"/>
      <c r="DH889" s="885"/>
      <c r="DI889" s="885"/>
      <c r="DJ889" s="885"/>
      <c r="DK889" s="885"/>
      <c r="DL889" s="885"/>
      <c r="DM889" s="885"/>
      <c r="DN889" s="885"/>
      <c r="DO889" s="885"/>
      <c r="DP889" s="885"/>
      <c r="DQ889" s="885"/>
      <c r="DR889" s="885"/>
      <c r="DS889" s="885"/>
      <c r="DT889" s="885"/>
      <c r="DU889" s="885"/>
      <c r="DV889" s="885"/>
      <c r="DW889" s="885"/>
      <c r="DX889" s="885"/>
      <c r="DY889" s="885"/>
      <c r="DZ889" s="885"/>
      <c r="EA889" s="885"/>
      <c r="EB889" s="885"/>
      <c r="EC889" s="885"/>
      <c r="ED889" s="885"/>
      <c r="EE889" s="885"/>
      <c r="EF889" s="885"/>
      <c r="EG889" s="885"/>
      <c r="EH889" s="885"/>
      <c r="EI889" s="885"/>
      <c r="EJ889" s="885"/>
      <c r="EK889" s="885"/>
      <c r="EL889" s="885"/>
      <c r="EM889" s="885"/>
      <c r="EN889" s="885"/>
      <c r="EO889" s="885"/>
      <c r="EP889" s="885"/>
      <c r="EQ889" s="885"/>
      <c r="ER889" s="885"/>
      <c r="ES889" s="885"/>
      <c r="ET889" s="885"/>
      <c r="EU889" s="885"/>
      <c r="EV889" s="885"/>
      <c r="EW889" s="885"/>
      <c r="EX889" s="885"/>
      <c r="EY889" s="885"/>
      <c r="EZ889" s="885"/>
      <c r="FA889" s="885"/>
      <c r="FB889" s="885"/>
      <c r="FC889" s="885"/>
      <c r="FD889" s="885"/>
      <c r="FE889" s="885"/>
      <c r="FF889" s="885"/>
      <c r="FG889" s="885"/>
      <c r="FH889" s="885"/>
      <c r="FI889" s="885"/>
      <c r="FJ889" s="885"/>
      <c r="FK889" s="885"/>
      <c r="FL889" s="885"/>
      <c r="FM889" s="885"/>
      <c r="FN889" s="885"/>
      <c r="FO889" s="885"/>
      <c r="FP889" s="885"/>
      <c r="FQ889" s="885"/>
      <c r="FR889" s="885"/>
      <c r="FS889" s="885"/>
      <c r="FT889" s="885"/>
      <c r="FU889" s="885"/>
      <c r="FV889" s="885"/>
      <c r="FW889" s="885"/>
      <c r="FX889" s="885"/>
      <c r="FY889" s="885"/>
      <c r="FZ889" s="885"/>
      <c r="GA889" s="885"/>
      <c r="GB889" s="885"/>
      <c r="GC889" s="885"/>
      <c r="GD889" s="885"/>
      <c r="GE889" s="885"/>
      <c r="GF889" s="885"/>
      <c r="GG889" s="885"/>
      <c r="GH889" s="885"/>
      <c r="GI889" s="885"/>
      <c r="GJ889" s="885"/>
      <c r="GK889" s="885"/>
      <c r="GL889" s="885"/>
      <c r="GM889" s="885"/>
      <c r="GN889" s="885"/>
      <c r="GO889" s="885"/>
      <c r="GP889" s="885"/>
      <c r="GQ889" s="885"/>
      <c r="GR889" s="885"/>
      <c r="GS889" s="885"/>
      <c r="GT889" s="885"/>
      <c r="GU889" s="885"/>
      <c r="GV889" s="885"/>
      <c r="GW889" s="885"/>
      <c r="GX889" s="885"/>
      <c r="GY889" s="885"/>
      <c r="GZ889" s="885"/>
      <c r="HA889" s="885"/>
      <c r="HB889" s="885"/>
      <c r="HC889" s="885"/>
      <c r="HD889" s="885"/>
      <c r="HE889" s="885"/>
      <c r="HF889" s="885"/>
      <c r="HG889" s="885"/>
      <c r="HH889" s="885"/>
      <c r="HI889" s="885"/>
      <c r="HJ889" s="885"/>
      <c r="HK889" s="885"/>
      <c r="HL889" s="885"/>
      <c r="HM889" s="885"/>
      <c r="HN889" s="885"/>
      <c r="HO889" s="885"/>
      <c r="HP889" s="885"/>
      <c r="HQ889" s="885"/>
      <c r="HR889" s="885"/>
      <c r="HS889" s="885"/>
      <c r="HT889" s="885"/>
      <c r="HU889" s="885"/>
      <c r="HV889" s="885"/>
      <c r="HW889" s="885"/>
      <c r="HX889" s="885"/>
      <c r="HY889" s="885"/>
      <c r="HZ889" s="885"/>
      <c r="IA889" s="885"/>
      <c r="IB889" s="885"/>
      <c r="IC889" s="885"/>
      <c r="ID889" s="885"/>
      <c r="IE889" s="885"/>
      <c r="IF889" s="885"/>
      <c r="IG889" s="885"/>
      <c r="IH889" s="885"/>
      <c r="II889" s="885"/>
      <c r="IJ889" s="885"/>
      <c r="IK889" s="885"/>
      <c r="IL889" s="885"/>
      <c r="IM889" s="885"/>
      <c r="IN889" s="885"/>
      <c r="IO889" s="885"/>
      <c r="IP889" s="885"/>
      <c r="IQ889" s="885"/>
      <c r="IR889" s="885"/>
      <c r="IS889" s="885"/>
      <c r="IT889" s="885"/>
      <c r="IU889" s="885"/>
      <c r="IV889" s="885"/>
      <c r="IW889" s="885"/>
      <c r="IX889" s="885"/>
    </row>
    <row r="890" spans="1:258" s="130" customFormat="1" x14ac:dyDescent="0.25">
      <c r="A890" s="125">
        <f t="shared" si="112"/>
        <v>850</v>
      </c>
      <c r="B890" s="885"/>
      <c r="C890" s="842" t="s">
        <v>10508</v>
      </c>
      <c r="D890" s="924">
        <v>0</v>
      </c>
      <c r="E890" s="906">
        <f t="shared" si="114"/>
        <v>0</v>
      </c>
      <c r="F890" s="136">
        <v>1000</v>
      </c>
      <c r="G890" s="122" t="s">
        <v>1963</v>
      </c>
      <c r="H890" s="889"/>
      <c r="I890" s="885"/>
      <c r="J890" s="885"/>
      <c r="K890" s="885"/>
      <c r="L890" s="885"/>
      <c r="M890" s="885"/>
      <c r="N890" s="885"/>
      <c r="O890" s="885"/>
      <c r="P890" s="885"/>
      <c r="Q890" s="885"/>
      <c r="R890" s="885"/>
      <c r="S890" s="885"/>
      <c r="T890" s="885"/>
      <c r="U890" s="885"/>
      <c r="V890" s="885"/>
      <c r="W890" s="885"/>
      <c r="X890" s="885"/>
      <c r="Y890" s="885"/>
      <c r="Z890" s="885"/>
      <c r="AA890" s="885"/>
      <c r="AB890" s="885"/>
      <c r="AC890" s="885"/>
      <c r="AD890" s="885"/>
      <c r="AE890" s="885"/>
      <c r="AF890" s="885"/>
      <c r="AG890" s="885"/>
      <c r="AH890" s="885"/>
      <c r="AI890" s="885"/>
      <c r="AJ890" s="885"/>
      <c r="AK890" s="885"/>
      <c r="AL890" s="885"/>
      <c r="AM890" s="885"/>
      <c r="AN890" s="885"/>
      <c r="AO890" s="885"/>
      <c r="AP890" s="885"/>
      <c r="AQ890" s="885"/>
      <c r="AR890" s="885"/>
      <c r="AS890" s="885"/>
      <c r="AT890" s="885"/>
      <c r="AU890" s="885"/>
      <c r="AV890" s="885"/>
      <c r="AW890" s="885"/>
      <c r="AX890" s="885"/>
      <c r="AY890" s="885"/>
      <c r="AZ890" s="885"/>
      <c r="BA890" s="885"/>
      <c r="BB890" s="885"/>
      <c r="BC890" s="885"/>
      <c r="BD890" s="885"/>
      <c r="BE890" s="885"/>
      <c r="BF890" s="885"/>
      <c r="BG890" s="885"/>
      <c r="BH890" s="885"/>
      <c r="BI890" s="885"/>
      <c r="BJ890" s="885"/>
      <c r="BK890" s="885"/>
      <c r="BL890" s="885"/>
      <c r="BM890" s="885"/>
      <c r="BN890" s="885"/>
      <c r="BO890" s="885"/>
      <c r="BP890" s="885"/>
      <c r="BQ890" s="885"/>
      <c r="BR890" s="885"/>
      <c r="BS890" s="885"/>
      <c r="BT890" s="885"/>
      <c r="BU890" s="885"/>
      <c r="BV890" s="885"/>
      <c r="BW890" s="885"/>
      <c r="BX890" s="885"/>
      <c r="BY890" s="885"/>
      <c r="BZ890" s="885"/>
      <c r="CA890" s="885"/>
      <c r="CB890" s="885"/>
      <c r="CC890" s="885"/>
      <c r="CD890" s="885"/>
      <c r="CE890" s="885"/>
      <c r="CF890" s="885"/>
      <c r="CG890" s="885"/>
      <c r="CH890" s="885"/>
      <c r="CI890" s="885"/>
      <c r="CJ890" s="885"/>
      <c r="CK890" s="885"/>
      <c r="CL890" s="885"/>
      <c r="CM890" s="885"/>
      <c r="CN890" s="885"/>
      <c r="CO890" s="885"/>
      <c r="CP890" s="885"/>
      <c r="CQ890" s="885"/>
      <c r="CR890" s="885"/>
      <c r="CS890" s="885"/>
      <c r="CT890" s="885"/>
      <c r="CU890" s="885"/>
      <c r="CV890" s="885"/>
      <c r="CW890" s="885"/>
      <c r="CX890" s="885"/>
      <c r="CY890" s="885"/>
      <c r="CZ890" s="885"/>
      <c r="DA890" s="885"/>
      <c r="DB890" s="885"/>
      <c r="DC890" s="885"/>
      <c r="DD890" s="885"/>
      <c r="DE890" s="885"/>
      <c r="DF890" s="885"/>
      <c r="DG890" s="885"/>
      <c r="DH890" s="885"/>
      <c r="DI890" s="885"/>
      <c r="DJ890" s="885"/>
      <c r="DK890" s="885"/>
      <c r="DL890" s="885"/>
      <c r="DM890" s="885"/>
      <c r="DN890" s="885"/>
      <c r="DO890" s="885"/>
      <c r="DP890" s="885"/>
      <c r="DQ890" s="885"/>
      <c r="DR890" s="885"/>
      <c r="DS890" s="885"/>
      <c r="DT890" s="885"/>
      <c r="DU890" s="885"/>
      <c r="DV890" s="885"/>
      <c r="DW890" s="885"/>
      <c r="DX890" s="885"/>
      <c r="DY890" s="885"/>
      <c r="DZ890" s="885"/>
      <c r="EA890" s="885"/>
      <c r="EB890" s="885"/>
      <c r="EC890" s="885"/>
      <c r="ED890" s="885"/>
      <c r="EE890" s="885"/>
      <c r="EF890" s="885"/>
      <c r="EG890" s="885"/>
      <c r="EH890" s="885"/>
      <c r="EI890" s="885"/>
      <c r="EJ890" s="885"/>
      <c r="EK890" s="885"/>
      <c r="EL890" s="885"/>
      <c r="EM890" s="885"/>
      <c r="EN890" s="885"/>
      <c r="EO890" s="885"/>
      <c r="EP890" s="885"/>
      <c r="EQ890" s="885"/>
      <c r="ER890" s="885"/>
      <c r="ES890" s="885"/>
      <c r="ET890" s="885"/>
      <c r="EU890" s="885"/>
      <c r="EV890" s="885"/>
      <c r="EW890" s="885"/>
      <c r="EX890" s="885"/>
      <c r="EY890" s="885"/>
      <c r="EZ890" s="885"/>
      <c r="FA890" s="885"/>
      <c r="FB890" s="885"/>
      <c r="FC890" s="885"/>
      <c r="FD890" s="885"/>
      <c r="FE890" s="885"/>
      <c r="FF890" s="885"/>
      <c r="FG890" s="885"/>
      <c r="FH890" s="885"/>
      <c r="FI890" s="885"/>
      <c r="FJ890" s="885"/>
      <c r="FK890" s="885"/>
      <c r="FL890" s="885"/>
      <c r="FM890" s="885"/>
      <c r="FN890" s="885"/>
      <c r="FO890" s="885"/>
      <c r="FP890" s="885"/>
      <c r="FQ890" s="885"/>
      <c r="FR890" s="885"/>
      <c r="FS890" s="885"/>
      <c r="FT890" s="885"/>
      <c r="FU890" s="885"/>
      <c r="FV890" s="885"/>
      <c r="FW890" s="885"/>
      <c r="FX890" s="885"/>
      <c r="FY890" s="885"/>
      <c r="FZ890" s="885"/>
      <c r="GA890" s="885"/>
      <c r="GB890" s="885"/>
      <c r="GC890" s="885"/>
      <c r="GD890" s="885"/>
      <c r="GE890" s="885"/>
      <c r="GF890" s="885"/>
      <c r="GG890" s="885"/>
      <c r="GH890" s="885"/>
      <c r="GI890" s="885"/>
      <c r="GJ890" s="885"/>
      <c r="GK890" s="885"/>
      <c r="GL890" s="885"/>
      <c r="GM890" s="885"/>
      <c r="GN890" s="885"/>
      <c r="GO890" s="885"/>
      <c r="GP890" s="885"/>
      <c r="GQ890" s="885"/>
      <c r="GR890" s="885"/>
      <c r="GS890" s="885"/>
      <c r="GT890" s="885"/>
      <c r="GU890" s="885"/>
      <c r="GV890" s="885"/>
      <c r="GW890" s="885"/>
      <c r="GX890" s="885"/>
      <c r="GY890" s="885"/>
      <c r="GZ890" s="885"/>
      <c r="HA890" s="885"/>
      <c r="HB890" s="885"/>
      <c r="HC890" s="885"/>
      <c r="HD890" s="885"/>
      <c r="HE890" s="885"/>
      <c r="HF890" s="885"/>
      <c r="HG890" s="885"/>
      <c r="HH890" s="885"/>
      <c r="HI890" s="885"/>
      <c r="HJ890" s="885"/>
      <c r="HK890" s="885"/>
      <c r="HL890" s="885"/>
      <c r="HM890" s="885"/>
      <c r="HN890" s="885"/>
      <c r="HO890" s="885"/>
      <c r="HP890" s="885"/>
      <c r="HQ890" s="885"/>
      <c r="HR890" s="885"/>
      <c r="HS890" s="885"/>
      <c r="HT890" s="885"/>
      <c r="HU890" s="885"/>
      <c r="HV890" s="885"/>
      <c r="HW890" s="885"/>
      <c r="HX890" s="885"/>
      <c r="HY890" s="885"/>
      <c r="HZ890" s="885"/>
      <c r="IA890" s="885"/>
      <c r="IB890" s="885"/>
      <c r="IC890" s="885"/>
      <c r="ID890" s="885"/>
      <c r="IE890" s="885"/>
      <c r="IF890" s="885"/>
      <c r="IG890" s="885"/>
      <c r="IH890" s="885"/>
      <c r="II890" s="885"/>
      <c r="IJ890" s="885"/>
      <c r="IK890" s="885"/>
      <c r="IL890" s="885"/>
      <c r="IM890" s="885"/>
      <c r="IN890" s="885"/>
      <c r="IO890" s="885"/>
      <c r="IP890" s="885"/>
      <c r="IQ890" s="885"/>
      <c r="IR890" s="885"/>
      <c r="IS890" s="885"/>
      <c r="IT890" s="885"/>
      <c r="IU890" s="885"/>
      <c r="IV890" s="885"/>
      <c r="IW890" s="885"/>
      <c r="IX890" s="885"/>
    </row>
    <row r="891" spans="1:258" s="130" customFormat="1" x14ac:dyDescent="0.25">
      <c r="A891" s="125">
        <f t="shared" si="112"/>
        <v>851</v>
      </c>
      <c r="B891" s="885"/>
      <c r="C891" s="842" t="s">
        <v>10500</v>
      </c>
      <c r="D891" s="924">
        <f>6472-1472</f>
        <v>5000</v>
      </c>
      <c r="E891" s="906">
        <f>D891*3</f>
        <v>15000</v>
      </c>
      <c r="F891" s="136">
        <v>15000</v>
      </c>
      <c r="G891" s="122" t="s">
        <v>1963</v>
      </c>
      <c r="H891" s="889"/>
      <c r="I891" s="885"/>
      <c r="J891" s="885"/>
      <c r="K891" s="885"/>
      <c r="L891" s="885"/>
      <c r="M891" s="885"/>
      <c r="N891" s="885"/>
      <c r="O891" s="885"/>
      <c r="P891" s="885"/>
      <c r="Q891" s="885"/>
      <c r="R891" s="885"/>
      <c r="S891" s="885"/>
      <c r="T891" s="885"/>
      <c r="U891" s="885"/>
      <c r="V891" s="885"/>
      <c r="W891" s="885"/>
      <c r="X891" s="885"/>
      <c r="Y891" s="885"/>
      <c r="Z891" s="885"/>
      <c r="AA891" s="885"/>
      <c r="AB891" s="885"/>
      <c r="AC891" s="885"/>
      <c r="AD891" s="885"/>
      <c r="AE891" s="885"/>
      <c r="AF891" s="885"/>
      <c r="AG891" s="885"/>
      <c r="AH891" s="885"/>
      <c r="AI891" s="885"/>
      <c r="AJ891" s="885"/>
      <c r="AK891" s="885"/>
      <c r="AL891" s="885"/>
      <c r="AM891" s="885"/>
      <c r="AN891" s="885"/>
      <c r="AO891" s="885"/>
      <c r="AP891" s="885"/>
      <c r="AQ891" s="885"/>
      <c r="AR891" s="885"/>
      <c r="AS891" s="885"/>
      <c r="AT891" s="885"/>
      <c r="AU891" s="885"/>
      <c r="AV891" s="885"/>
      <c r="AW891" s="885"/>
      <c r="AX891" s="885"/>
      <c r="AY891" s="885"/>
      <c r="AZ891" s="885"/>
      <c r="BA891" s="885"/>
      <c r="BB891" s="885"/>
      <c r="BC891" s="885"/>
      <c r="BD891" s="885"/>
      <c r="BE891" s="885"/>
      <c r="BF891" s="885"/>
      <c r="BG891" s="885"/>
      <c r="BH891" s="885"/>
      <c r="BI891" s="885"/>
      <c r="BJ891" s="885"/>
      <c r="BK891" s="885"/>
      <c r="BL891" s="885"/>
      <c r="BM891" s="885"/>
      <c r="BN891" s="885"/>
      <c r="BO891" s="885"/>
      <c r="BP891" s="885"/>
      <c r="BQ891" s="885"/>
      <c r="BR891" s="885"/>
      <c r="BS891" s="885"/>
      <c r="BT891" s="885"/>
      <c r="BU891" s="885"/>
      <c r="BV891" s="885"/>
      <c r="BW891" s="885"/>
      <c r="BX891" s="885"/>
      <c r="BY891" s="885"/>
      <c r="BZ891" s="885"/>
      <c r="CA891" s="885"/>
      <c r="CB891" s="885"/>
      <c r="CC891" s="885"/>
      <c r="CD891" s="885"/>
      <c r="CE891" s="885"/>
      <c r="CF891" s="885"/>
      <c r="CG891" s="885"/>
      <c r="CH891" s="885"/>
      <c r="CI891" s="885"/>
      <c r="CJ891" s="885"/>
      <c r="CK891" s="885"/>
      <c r="CL891" s="885"/>
      <c r="CM891" s="885"/>
      <c r="CN891" s="885"/>
      <c r="CO891" s="885"/>
      <c r="CP891" s="885"/>
      <c r="CQ891" s="885"/>
      <c r="CR891" s="885"/>
      <c r="CS891" s="885"/>
      <c r="CT891" s="885"/>
      <c r="CU891" s="885"/>
      <c r="CV891" s="885"/>
      <c r="CW891" s="885"/>
      <c r="CX891" s="885"/>
      <c r="CY891" s="885"/>
      <c r="CZ891" s="885"/>
      <c r="DA891" s="885"/>
      <c r="DB891" s="885"/>
      <c r="DC891" s="885"/>
      <c r="DD891" s="885"/>
      <c r="DE891" s="885"/>
      <c r="DF891" s="885"/>
      <c r="DG891" s="885"/>
      <c r="DH891" s="885"/>
      <c r="DI891" s="885"/>
      <c r="DJ891" s="885"/>
      <c r="DK891" s="885"/>
      <c r="DL891" s="885"/>
      <c r="DM891" s="885"/>
      <c r="DN891" s="885"/>
      <c r="DO891" s="885"/>
      <c r="DP891" s="885"/>
      <c r="DQ891" s="885"/>
      <c r="DR891" s="885"/>
      <c r="DS891" s="885"/>
      <c r="DT891" s="885"/>
      <c r="DU891" s="885"/>
      <c r="DV891" s="885"/>
      <c r="DW891" s="885"/>
      <c r="DX891" s="885"/>
      <c r="DY891" s="885"/>
      <c r="DZ891" s="885"/>
      <c r="EA891" s="885"/>
      <c r="EB891" s="885"/>
      <c r="EC891" s="885"/>
      <c r="ED891" s="885"/>
      <c r="EE891" s="885"/>
      <c r="EF891" s="885"/>
      <c r="EG891" s="885"/>
      <c r="EH891" s="885"/>
      <c r="EI891" s="885"/>
      <c r="EJ891" s="885"/>
      <c r="EK891" s="885"/>
      <c r="EL891" s="885"/>
      <c r="EM891" s="885"/>
      <c r="EN891" s="885"/>
      <c r="EO891" s="885"/>
      <c r="EP891" s="885"/>
      <c r="EQ891" s="885"/>
      <c r="ER891" s="885"/>
      <c r="ES891" s="885"/>
      <c r="ET891" s="885"/>
      <c r="EU891" s="885"/>
      <c r="EV891" s="885"/>
      <c r="EW891" s="885"/>
      <c r="EX891" s="885"/>
      <c r="EY891" s="885"/>
      <c r="EZ891" s="885"/>
      <c r="FA891" s="885"/>
      <c r="FB891" s="885"/>
      <c r="FC891" s="885"/>
      <c r="FD891" s="885"/>
      <c r="FE891" s="885"/>
      <c r="FF891" s="885"/>
      <c r="FG891" s="885"/>
      <c r="FH891" s="885"/>
      <c r="FI891" s="885"/>
      <c r="FJ891" s="885"/>
      <c r="FK891" s="885"/>
      <c r="FL891" s="885"/>
      <c r="FM891" s="885"/>
      <c r="FN891" s="885"/>
      <c r="FO891" s="885"/>
      <c r="FP891" s="885"/>
      <c r="FQ891" s="885"/>
      <c r="FR891" s="885"/>
      <c r="FS891" s="885"/>
      <c r="FT891" s="885"/>
      <c r="FU891" s="885"/>
      <c r="FV891" s="885"/>
      <c r="FW891" s="885"/>
      <c r="FX891" s="885"/>
      <c r="FY891" s="885"/>
      <c r="FZ891" s="885"/>
      <c r="GA891" s="885"/>
      <c r="GB891" s="885"/>
      <c r="GC891" s="885"/>
      <c r="GD891" s="885"/>
      <c r="GE891" s="885"/>
      <c r="GF891" s="885"/>
      <c r="GG891" s="885"/>
      <c r="GH891" s="885"/>
      <c r="GI891" s="885"/>
      <c r="GJ891" s="885"/>
      <c r="GK891" s="885"/>
      <c r="GL891" s="885"/>
      <c r="GM891" s="885"/>
      <c r="GN891" s="885"/>
      <c r="GO891" s="885"/>
      <c r="GP891" s="885"/>
      <c r="GQ891" s="885"/>
      <c r="GR891" s="885"/>
      <c r="GS891" s="885"/>
      <c r="GT891" s="885"/>
      <c r="GU891" s="885"/>
      <c r="GV891" s="885"/>
      <c r="GW891" s="885"/>
      <c r="GX891" s="885"/>
      <c r="GY891" s="885"/>
      <c r="GZ891" s="885"/>
      <c r="HA891" s="885"/>
      <c r="HB891" s="885"/>
      <c r="HC891" s="885"/>
      <c r="HD891" s="885"/>
      <c r="HE891" s="885"/>
      <c r="HF891" s="885"/>
      <c r="HG891" s="885"/>
      <c r="HH891" s="885"/>
      <c r="HI891" s="885"/>
      <c r="HJ891" s="885"/>
      <c r="HK891" s="885"/>
      <c r="HL891" s="885"/>
      <c r="HM891" s="885"/>
      <c r="HN891" s="885"/>
      <c r="HO891" s="885"/>
      <c r="HP891" s="885"/>
      <c r="HQ891" s="885"/>
      <c r="HR891" s="885"/>
      <c r="HS891" s="885"/>
      <c r="HT891" s="885"/>
      <c r="HU891" s="885"/>
      <c r="HV891" s="885"/>
      <c r="HW891" s="885"/>
      <c r="HX891" s="885"/>
      <c r="HY891" s="885"/>
      <c r="HZ891" s="885"/>
      <c r="IA891" s="885"/>
      <c r="IB891" s="885"/>
      <c r="IC891" s="885"/>
      <c r="ID891" s="885"/>
      <c r="IE891" s="885"/>
      <c r="IF891" s="885"/>
      <c r="IG891" s="885"/>
      <c r="IH891" s="885"/>
      <c r="II891" s="885"/>
      <c r="IJ891" s="885"/>
      <c r="IK891" s="885"/>
      <c r="IL891" s="885"/>
      <c r="IM891" s="885"/>
      <c r="IN891" s="885"/>
      <c r="IO891" s="885"/>
      <c r="IP891" s="885"/>
      <c r="IQ891" s="885"/>
      <c r="IR891" s="885"/>
      <c r="IS891" s="885"/>
      <c r="IT891" s="885"/>
      <c r="IU891" s="885"/>
      <c r="IV891" s="885"/>
      <c r="IW891" s="885"/>
      <c r="IX891" s="885"/>
    </row>
    <row r="892" spans="1:258" s="130" customFormat="1" x14ac:dyDescent="0.25">
      <c r="A892" s="125">
        <f t="shared" si="112"/>
        <v>852</v>
      </c>
      <c r="B892" s="885"/>
      <c r="C892" s="842" t="s">
        <v>10507</v>
      </c>
      <c r="D892" s="924">
        <v>1472</v>
      </c>
      <c r="E892" s="906">
        <f>1472*3</f>
        <v>4416</v>
      </c>
      <c r="F892" s="136">
        <f>E892/3*12</f>
        <v>17664</v>
      </c>
      <c r="G892" s="122" t="s">
        <v>1963</v>
      </c>
      <c r="H892" s="889"/>
      <c r="I892" s="885"/>
      <c r="J892" s="885"/>
      <c r="K892" s="885"/>
      <c r="L892" s="885"/>
      <c r="M892" s="885"/>
      <c r="N892" s="885"/>
      <c r="O892" s="885"/>
      <c r="P892" s="885"/>
      <c r="Q892" s="885"/>
      <c r="R892" s="885"/>
      <c r="S892" s="885"/>
      <c r="T892" s="885"/>
      <c r="U892" s="885"/>
      <c r="V892" s="885"/>
      <c r="W892" s="885"/>
      <c r="X892" s="885"/>
      <c r="Y892" s="885"/>
      <c r="Z892" s="885"/>
      <c r="AA892" s="885"/>
      <c r="AB892" s="885"/>
      <c r="AC892" s="885"/>
      <c r="AD892" s="885"/>
      <c r="AE892" s="885"/>
      <c r="AF892" s="885"/>
      <c r="AG892" s="885"/>
      <c r="AH892" s="885"/>
      <c r="AI892" s="885"/>
      <c r="AJ892" s="885"/>
      <c r="AK892" s="885"/>
      <c r="AL892" s="885"/>
      <c r="AM892" s="885"/>
      <c r="AN892" s="885"/>
      <c r="AO892" s="885"/>
      <c r="AP892" s="885"/>
      <c r="AQ892" s="885"/>
      <c r="AR892" s="885"/>
      <c r="AS892" s="885"/>
      <c r="AT892" s="885"/>
      <c r="AU892" s="885"/>
      <c r="AV892" s="885"/>
      <c r="AW892" s="885"/>
      <c r="AX892" s="885"/>
      <c r="AY892" s="885"/>
      <c r="AZ892" s="885"/>
      <c r="BA892" s="885"/>
      <c r="BB892" s="885"/>
      <c r="BC892" s="885"/>
      <c r="BD892" s="885"/>
      <c r="BE892" s="885"/>
      <c r="BF892" s="885"/>
      <c r="BG892" s="885"/>
      <c r="BH892" s="885"/>
      <c r="BI892" s="885"/>
      <c r="BJ892" s="885"/>
      <c r="BK892" s="885"/>
      <c r="BL892" s="885"/>
      <c r="BM892" s="885"/>
      <c r="BN892" s="885"/>
      <c r="BO892" s="885"/>
      <c r="BP892" s="885"/>
      <c r="BQ892" s="885"/>
      <c r="BR892" s="885"/>
      <c r="BS892" s="885"/>
      <c r="BT892" s="885"/>
      <c r="BU892" s="885"/>
      <c r="BV892" s="885"/>
      <c r="BW892" s="885"/>
      <c r="BX892" s="885"/>
      <c r="BY892" s="885"/>
      <c r="BZ892" s="885"/>
      <c r="CA892" s="885"/>
      <c r="CB892" s="885"/>
      <c r="CC892" s="885"/>
      <c r="CD892" s="885"/>
      <c r="CE892" s="885"/>
      <c r="CF892" s="885"/>
      <c r="CG892" s="885"/>
      <c r="CH892" s="885"/>
      <c r="CI892" s="885"/>
      <c r="CJ892" s="885"/>
      <c r="CK892" s="885"/>
      <c r="CL892" s="885"/>
      <c r="CM892" s="885"/>
      <c r="CN892" s="885"/>
      <c r="CO892" s="885"/>
      <c r="CP892" s="885"/>
      <c r="CQ892" s="885"/>
      <c r="CR892" s="885"/>
      <c r="CS892" s="885"/>
      <c r="CT892" s="885"/>
      <c r="CU892" s="885"/>
      <c r="CV892" s="885"/>
      <c r="CW892" s="885"/>
      <c r="CX892" s="885"/>
      <c r="CY892" s="885"/>
      <c r="CZ892" s="885"/>
      <c r="DA892" s="885"/>
      <c r="DB892" s="885"/>
      <c r="DC892" s="885"/>
      <c r="DD892" s="885"/>
      <c r="DE892" s="885"/>
      <c r="DF892" s="885"/>
      <c r="DG892" s="885"/>
      <c r="DH892" s="885"/>
      <c r="DI892" s="885"/>
      <c r="DJ892" s="885"/>
      <c r="DK892" s="885"/>
      <c r="DL892" s="885"/>
      <c r="DM892" s="885"/>
      <c r="DN892" s="885"/>
      <c r="DO892" s="885"/>
      <c r="DP892" s="885"/>
      <c r="DQ892" s="885"/>
      <c r="DR892" s="885"/>
      <c r="DS892" s="885"/>
      <c r="DT892" s="885"/>
      <c r="DU892" s="885"/>
      <c r="DV892" s="885"/>
      <c r="DW892" s="885"/>
      <c r="DX892" s="885"/>
      <c r="DY892" s="885"/>
      <c r="DZ892" s="885"/>
      <c r="EA892" s="885"/>
      <c r="EB892" s="885"/>
      <c r="EC892" s="885"/>
      <c r="ED892" s="885"/>
      <c r="EE892" s="885"/>
      <c r="EF892" s="885"/>
      <c r="EG892" s="885"/>
      <c r="EH892" s="885"/>
      <c r="EI892" s="885"/>
      <c r="EJ892" s="885"/>
      <c r="EK892" s="885"/>
      <c r="EL892" s="885"/>
      <c r="EM892" s="885"/>
      <c r="EN892" s="885"/>
      <c r="EO892" s="885"/>
      <c r="EP892" s="885"/>
      <c r="EQ892" s="885"/>
      <c r="ER892" s="885"/>
      <c r="ES892" s="885"/>
      <c r="ET892" s="885"/>
      <c r="EU892" s="885"/>
      <c r="EV892" s="885"/>
      <c r="EW892" s="885"/>
      <c r="EX892" s="885"/>
      <c r="EY892" s="885"/>
      <c r="EZ892" s="885"/>
      <c r="FA892" s="885"/>
      <c r="FB892" s="885"/>
      <c r="FC892" s="885"/>
      <c r="FD892" s="885"/>
      <c r="FE892" s="885"/>
      <c r="FF892" s="885"/>
      <c r="FG892" s="885"/>
      <c r="FH892" s="885"/>
      <c r="FI892" s="885"/>
      <c r="FJ892" s="885"/>
      <c r="FK892" s="885"/>
      <c r="FL892" s="885"/>
      <c r="FM892" s="885"/>
      <c r="FN892" s="885"/>
      <c r="FO892" s="885"/>
      <c r="FP892" s="885"/>
      <c r="FQ892" s="885"/>
      <c r="FR892" s="885"/>
      <c r="FS892" s="885"/>
      <c r="FT892" s="885"/>
      <c r="FU892" s="885"/>
      <c r="FV892" s="885"/>
      <c r="FW892" s="885"/>
      <c r="FX892" s="885"/>
      <c r="FY892" s="885"/>
      <c r="FZ892" s="885"/>
      <c r="GA892" s="885"/>
      <c r="GB892" s="885"/>
      <c r="GC892" s="885"/>
      <c r="GD892" s="885"/>
      <c r="GE892" s="885"/>
      <c r="GF892" s="885"/>
      <c r="GG892" s="885"/>
      <c r="GH892" s="885"/>
      <c r="GI892" s="885"/>
      <c r="GJ892" s="885"/>
      <c r="GK892" s="885"/>
      <c r="GL892" s="885"/>
      <c r="GM892" s="885"/>
      <c r="GN892" s="885"/>
      <c r="GO892" s="885"/>
      <c r="GP892" s="885"/>
      <c r="GQ892" s="885"/>
      <c r="GR892" s="885"/>
      <c r="GS892" s="885"/>
      <c r="GT892" s="885"/>
      <c r="GU892" s="885"/>
      <c r="GV892" s="885"/>
      <c r="GW892" s="885"/>
      <c r="GX892" s="885"/>
      <c r="GY892" s="885"/>
      <c r="GZ892" s="885"/>
      <c r="HA892" s="885"/>
      <c r="HB892" s="885"/>
      <c r="HC892" s="885"/>
      <c r="HD892" s="885"/>
      <c r="HE892" s="885"/>
      <c r="HF892" s="885"/>
      <c r="HG892" s="885"/>
      <c r="HH892" s="885"/>
      <c r="HI892" s="885"/>
      <c r="HJ892" s="885"/>
      <c r="HK892" s="885"/>
      <c r="HL892" s="885"/>
      <c r="HM892" s="885"/>
      <c r="HN892" s="885"/>
      <c r="HO892" s="885"/>
      <c r="HP892" s="885"/>
      <c r="HQ892" s="885"/>
      <c r="HR892" s="885"/>
      <c r="HS892" s="885"/>
      <c r="HT892" s="885"/>
      <c r="HU892" s="885"/>
      <c r="HV892" s="885"/>
      <c r="HW892" s="885"/>
      <c r="HX892" s="885"/>
      <c r="HY892" s="885"/>
      <c r="HZ892" s="885"/>
      <c r="IA892" s="885"/>
      <c r="IB892" s="885"/>
      <c r="IC892" s="885"/>
      <c r="ID892" s="885"/>
      <c r="IE892" s="885"/>
      <c r="IF892" s="885"/>
      <c r="IG892" s="885"/>
      <c r="IH892" s="885"/>
      <c r="II892" s="885"/>
      <c r="IJ892" s="885"/>
      <c r="IK892" s="885"/>
      <c r="IL892" s="885"/>
      <c r="IM892" s="885"/>
      <c r="IN892" s="885"/>
      <c r="IO892" s="885"/>
      <c r="IP892" s="885"/>
      <c r="IQ892" s="885"/>
      <c r="IR892" s="885"/>
      <c r="IS892" s="885"/>
      <c r="IT892" s="885"/>
      <c r="IU892" s="885"/>
      <c r="IV892" s="885"/>
      <c r="IW892" s="885"/>
      <c r="IX892" s="885"/>
    </row>
    <row r="893" spans="1:258" s="130" customFormat="1" x14ac:dyDescent="0.25">
      <c r="A893" s="125">
        <f t="shared" si="112"/>
        <v>853</v>
      </c>
      <c r="B893" s="885"/>
      <c r="C893" s="842" t="s">
        <v>11549</v>
      </c>
      <c r="D893" s="924">
        <v>4445.46</v>
      </c>
      <c r="E893" s="906">
        <f>D893*3</f>
        <v>13336.380000000001</v>
      </c>
      <c r="F893" s="136">
        <f>E893</f>
        <v>13336.380000000001</v>
      </c>
      <c r="G893" s="122" t="s">
        <v>1963</v>
      </c>
      <c r="H893" s="889"/>
      <c r="I893" s="885"/>
      <c r="J893" s="885"/>
      <c r="K893" s="885"/>
      <c r="L893" s="885"/>
      <c r="M893" s="885"/>
      <c r="N893" s="885"/>
      <c r="O893" s="885"/>
      <c r="P893" s="885"/>
      <c r="Q893" s="885"/>
      <c r="R893" s="885"/>
      <c r="S893" s="885"/>
      <c r="T893" s="885"/>
      <c r="U893" s="885"/>
      <c r="V893" s="885"/>
      <c r="W893" s="885"/>
      <c r="X893" s="885"/>
      <c r="Y893" s="885"/>
      <c r="Z893" s="885"/>
      <c r="AA893" s="885"/>
      <c r="AB893" s="885"/>
      <c r="AC893" s="885"/>
      <c r="AD893" s="885"/>
      <c r="AE893" s="885"/>
      <c r="AF893" s="885"/>
      <c r="AG893" s="885"/>
      <c r="AH893" s="885"/>
      <c r="AI893" s="885"/>
      <c r="AJ893" s="885"/>
      <c r="AK893" s="885"/>
      <c r="AL893" s="885"/>
      <c r="AM893" s="885"/>
      <c r="AN893" s="885"/>
      <c r="AO893" s="885"/>
      <c r="AP893" s="885"/>
      <c r="AQ893" s="885"/>
      <c r="AR893" s="885"/>
      <c r="AS893" s="885"/>
      <c r="AT893" s="885"/>
      <c r="AU893" s="885"/>
      <c r="AV893" s="885"/>
      <c r="AW893" s="885"/>
      <c r="AX893" s="885"/>
      <c r="AY893" s="885"/>
      <c r="AZ893" s="885"/>
      <c r="BA893" s="885"/>
      <c r="BB893" s="885"/>
      <c r="BC893" s="885"/>
      <c r="BD893" s="885"/>
      <c r="BE893" s="885"/>
      <c r="BF893" s="885"/>
      <c r="BG893" s="885"/>
      <c r="BH893" s="885"/>
      <c r="BI893" s="885"/>
      <c r="BJ893" s="885"/>
      <c r="BK893" s="885"/>
      <c r="BL893" s="885"/>
      <c r="BM893" s="885"/>
      <c r="BN893" s="885"/>
      <c r="BO893" s="885"/>
      <c r="BP893" s="885"/>
      <c r="BQ893" s="885"/>
      <c r="BR893" s="885"/>
      <c r="BS893" s="885"/>
      <c r="BT893" s="885"/>
      <c r="BU893" s="885"/>
      <c r="BV893" s="885"/>
      <c r="BW893" s="885"/>
      <c r="BX893" s="885"/>
      <c r="BY893" s="885"/>
      <c r="BZ893" s="885"/>
      <c r="CA893" s="885"/>
      <c r="CB893" s="885"/>
      <c r="CC893" s="885"/>
      <c r="CD893" s="885"/>
      <c r="CE893" s="885"/>
      <c r="CF893" s="885"/>
      <c r="CG893" s="885"/>
      <c r="CH893" s="885"/>
      <c r="CI893" s="885"/>
      <c r="CJ893" s="885"/>
      <c r="CK893" s="885"/>
      <c r="CL893" s="885"/>
      <c r="CM893" s="885"/>
      <c r="CN893" s="885"/>
      <c r="CO893" s="885"/>
      <c r="CP893" s="885"/>
      <c r="CQ893" s="885"/>
      <c r="CR893" s="885"/>
      <c r="CS893" s="885"/>
      <c r="CT893" s="885"/>
      <c r="CU893" s="885"/>
      <c r="CV893" s="885"/>
      <c r="CW893" s="885"/>
      <c r="CX893" s="885"/>
      <c r="CY893" s="885"/>
      <c r="CZ893" s="885"/>
      <c r="DA893" s="885"/>
      <c r="DB893" s="885"/>
      <c r="DC893" s="885"/>
      <c r="DD893" s="885"/>
      <c r="DE893" s="885"/>
      <c r="DF893" s="885"/>
      <c r="DG893" s="885"/>
      <c r="DH893" s="885"/>
      <c r="DI893" s="885"/>
      <c r="DJ893" s="885"/>
      <c r="DK893" s="885"/>
      <c r="DL893" s="885"/>
      <c r="DM893" s="885"/>
      <c r="DN893" s="885"/>
      <c r="DO893" s="885"/>
      <c r="DP893" s="885"/>
      <c r="DQ893" s="885"/>
      <c r="DR893" s="885"/>
      <c r="DS893" s="885"/>
      <c r="DT893" s="885"/>
      <c r="DU893" s="885"/>
      <c r="DV893" s="885"/>
      <c r="DW893" s="885"/>
      <c r="DX893" s="885"/>
      <c r="DY893" s="885"/>
      <c r="DZ893" s="885"/>
      <c r="EA893" s="885"/>
      <c r="EB893" s="885"/>
      <c r="EC893" s="885"/>
      <c r="ED893" s="885"/>
      <c r="EE893" s="885"/>
      <c r="EF893" s="885"/>
      <c r="EG893" s="885"/>
      <c r="EH893" s="885"/>
      <c r="EI893" s="885"/>
      <c r="EJ893" s="885"/>
      <c r="EK893" s="885"/>
      <c r="EL893" s="885"/>
      <c r="EM893" s="885"/>
      <c r="EN893" s="885"/>
      <c r="EO893" s="885"/>
      <c r="EP893" s="885"/>
      <c r="EQ893" s="885"/>
      <c r="ER893" s="885"/>
      <c r="ES893" s="885"/>
      <c r="ET893" s="885"/>
      <c r="EU893" s="885"/>
      <c r="EV893" s="885"/>
      <c r="EW893" s="885"/>
      <c r="EX893" s="885"/>
      <c r="EY893" s="885"/>
      <c r="EZ893" s="885"/>
      <c r="FA893" s="885"/>
      <c r="FB893" s="885"/>
      <c r="FC893" s="885"/>
      <c r="FD893" s="885"/>
      <c r="FE893" s="885"/>
      <c r="FF893" s="885"/>
      <c r="FG893" s="885"/>
      <c r="FH893" s="885"/>
      <c r="FI893" s="885"/>
      <c r="FJ893" s="885"/>
      <c r="FK893" s="885"/>
      <c r="FL893" s="885"/>
      <c r="FM893" s="885"/>
      <c r="FN893" s="885"/>
      <c r="FO893" s="885"/>
      <c r="FP893" s="885"/>
      <c r="FQ893" s="885"/>
      <c r="FR893" s="885"/>
      <c r="FS893" s="885"/>
      <c r="FT893" s="885"/>
      <c r="FU893" s="885"/>
      <c r="FV893" s="885"/>
      <c r="FW893" s="885"/>
      <c r="FX893" s="885"/>
      <c r="FY893" s="885"/>
      <c r="FZ893" s="885"/>
      <c r="GA893" s="885"/>
      <c r="GB893" s="885"/>
      <c r="GC893" s="885"/>
      <c r="GD893" s="885"/>
      <c r="GE893" s="885"/>
      <c r="GF893" s="885"/>
      <c r="GG893" s="885"/>
      <c r="GH893" s="885"/>
      <c r="GI893" s="885"/>
      <c r="GJ893" s="885"/>
      <c r="GK893" s="885"/>
      <c r="GL893" s="885"/>
      <c r="GM893" s="885"/>
      <c r="GN893" s="885"/>
      <c r="GO893" s="885"/>
      <c r="GP893" s="885"/>
      <c r="GQ893" s="885"/>
      <c r="GR893" s="885"/>
      <c r="GS893" s="885"/>
      <c r="GT893" s="885"/>
      <c r="GU893" s="885"/>
      <c r="GV893" s="885"/>
      <c r="GW893" s="885"/>
      <c r="GX893" s="885"/>
      <c r="GY893" s="885"/>
      <c r="GZ893" s="885"/>
      <c r="HA893" s="885"/>
      <c r="HB893" s="885"/>
      <c r="HC893" s="885"/>
      <c r="HD893" s="885"/>
      <c r="HE893" s="885"/>
      <c r="HF893" s="885"/>
      <c r="HG893" s="885"/>
      <c r="HH893" s="885"/>
      <c r="HI893" s="885"/>
      <c r="HJ893" s="885"/>
      <c r="HK893" s="885"/>
      <c r="HL893" s="885"/>
      <c r="HM893" s="885"/>
      <c r="HN893" s="885"/>
      <c r="HO893" s="885"/>
      <c r="HP893" s="885"/>
      <c r="HQ893" s="885"/>
      <c r="HR893" s="885"/>
      <c r="HS893" s="885"/>
      <c r="HT893" s="885"/>
      <c r="HU893" s="885"/>
      <c r="HV893" s="885"/>
      <c r="HW893" s="885"/>
      <c r="HX893" s="885"/>
      <c r="HY893" s="885"/>
      <c r="HZ893" s="885"/>
      <c r="IA893" s="885"/>
      <c r="IB893" s="885"/>
      <c r="IC893" s="885"/>
      <c r="ID893" s="885"/>
      <c r="IE893" s="885"/>
      <c r="IF893" s="885"/>
      <c r="IG893" s="885"/>
      <c r="IH893" s="885"/>
      <c r="II893" s="885"/>
      <c r="IJ893" s="885"/>
      <c r="IK893" s="885"/>
      <c r="IL893" s="885"/>
      <c r="IM893" s="885"/>
      <c r="IN893" s="885"/>
      <c r="IO893" s="885"/>
      <c r="IP893" s="885"/>
      <c r="IQ893" s="885"/>
      <c r="IR893" s="885"/>
      <c r="IS893" s="885"/>
      <c r="IT893" s="885"/>
      <c r="IU893" s="885"/>
      <c r="IV893" s="885"/>
      <c r="IW893" s="885"/>
      <c r="IX893" s="885"/>
    </row>
    <row r="894" spans="1:258" s="130" customFormat="1" x14ac:dyDescent="0.25">
      <c r="A894" s="125">
        <f t="shared" si="112"/>
        <v>854</v>
      </c>
      <c r="B894" s="885"/>
      <c r="C894" s="842" t="s">
        <v>10498</v>
      </c>
      <c r="D894" s="924">
        <v>517.53</v>
      </c>
      <c r="E894" s="906">
        <f>D894*3</f>
        <v>1552.59</v>
      </c>
      <c r="F894" s="136">
        <f>E894/3</f>
        <v>517.53</v>
      </c>
      <c r="G894" s="122" t="s">
        <v>1963</v>
      </c>
      <c r="H894" s="889"/>
      <c r="I894" s="885"/>
      <c r="J894" s="885"/>
      <c r="K894" s="885"/>
      <c r="L894" s="885"/>
      <c r="M894" s="885"/>
      <c r="N894" s="885"/>
      <c r="O894" s="885"/>
      <c r="P894" s="885"/>
      <c r="Q894" s="885"/>
      <c r="R894" s="885"/>
      <c r="S894" s="885"/>
      <c r="T894" s="885"/>
      <c r="U894" s="885"/>
      <c r="V894" s="885"/>
      <c r="W894" s="885"/>
      <c r="X894" s="885"/>
      <c r="Y894" s="885"/>
      <c r="Z894" s="885"/>
      <c r="AA894" s="885"/>
      <c r="AB894" s="885"/>
      <c r="AC894" s="885"/>
      <c r="AD894" s="885"/>
      <c r="AE894" s="885"/>
      <c r="AF894" s="885"/>
      <c r="AG894" s="885"/>
      <c r="AH894" s="885"/>
      <c r="AI894" s="885"/>
      <c r="AJ894" s="885"/>
      <c r="AK894" s="885"/>
      <c r="AL894" s="885"/>
      <c r="AM894" s="885"/>
      <c r="AN894" s="885"/>
      <c r="AO894" s="885"/>
      <c r="AP894" s="885"/>
      <c r="AQ894" s="885"/>
      <c r="AR894" s="885"/>
      <c r="AS894" s="885"/>
      <c r="AT894" s="885"/>
      <c r="AU894" s="885"/>
      <c r="AV894" s="885"/>
      <c r="AW894" s="885"/>
      <c r="AX894" s="885"/>
      <c r="AY894" s="885"/>
      <c r="AZ894" s="885"/>
      <c r="BA894" s="885"/>
      <c r="BB894" s="885"/>
      <c r="BC894" s="885"/>
      <c r="BD894" s="885"/>
      <c r="BE894" s="885"/>
      <c r="BF894" s="885"/>
      <c r="BG894" s="885"/>
      <c r="BH894" s="885"/>
      <c r="BI894" s="885"/>
      <c r="BJ894" s="885"/>
      <c r="BK894" s="885"/>
      <c r="BL894" s="885"/>
      <c r="BM894" s="885"/>
      <c r="BN894" s="885"/>
      <c r="BO894" s="885"/>
      <c r="BP894" s="885"/>
      <c r="BQ894" s="885"/>
      <c r="BR894" s="885"/>
      <c r="BS894" s="885"/>
      <c r="BT894" s="885"/>
      <c r="BU894" s="885"/>
      <c r="BV894" s="885"/>
      <c r="BW894" s="885"/>
      <c r="BX894" s="885"/>
      <c r="BY894" s="885"/>
      <c r="BZ894" s="885"/>
      <c r="CA894" s="885"/>
      <c r="CB894" s="885"/>
      <c r="CC894" s="885"/>
      <c r="CD894" s="885"/>
      <c r="CE894" s="885"/>
      <c r="CF894" s="885"/>
      <c r="CG894" s="885"/>
      <c r="CH894" s="885"/>
      <c r="CI894" s="885"/>
      <c r="CJ894" s="885"/>
      <c r="CK894" s="885"/>
      <c r="CL894" s="885"/>
      <c r="CM894" s="885"/>
      <c r="CN894" s="885"/>
      <c r="CO894" s="885"/>
      <c r="CP894" s="885"/>
      <c r="CQ894" s="885"/>
      <c r="CR894" s="885"/>
      <c r="CS894" s="885"/>
      <c r="CT894" s="885"/>
      <c r="CU894" s="885"/>
      <c r="CV894" s="885"/>
      <c r="CW894" s="885"/>
      <c r="CX894" s="885"/>
      <c r="CY894" s="885"/>
      <c r="CZ894" s="885"/>
      <c r="DA894" s="885"/>
      <c r="DB894" s="885"/>
      <c r="DC894" s="885"/>
      <c r="DD894" s="885"/>
      <c r="DE894" s="885"/>
      <c r="DF894" s="885"/>
      <c r="DG894" s="885"/>
      <c r="DH894" s="885"/>
      <c r="DI894" s="885"/>
      <c r="DJ894" s="885"/>
      <c r="DK894" s="885"/>
      <c r="DL894" s="885"/>
      <c r="DM894" s="885"/>
      <c r="DN894" s="885"/>
      <c r="DO894" s="885"/>
      <c r="DP894" s="885"/>
      <c r="DQ894" s="885"/>
      <c r="DR894" s="885"/>
      <c r="DS894" s="885"/>
      <c r="DT894" s="885"/>
      <c r="DU894" s="885"/>
      <c r="DV894" s="885"/>
      <c r="DW894" s="885"/>
      <c r="DX894" s="885"/>
      <c r="DY894" s="885"/>
      <c r="DZ894" s="885"/>
      <c r="EA894" s="885"/>
      <c r="EB894" s="885"/>
      <c r="EC894" s="885"/>
      <c r="ED894" s="885"/>
      <c r="EE894" s="885"/>
      <c r="EF894" s="885"/>
      <c r="EG894" s="885"/>
      <c r="EH894" s="885"/>
      <c r="EI894" s="885"/>
      <c r="EJ894" s="885"/>
      <c r="EK894" s="885"/>
      <c r="EL894" s="885"/>
      <c r="EM894" s="885"/>
      <c r="EN894" s="885"/>
      <c r="EO894" s="885"/>
      <c r="EP894" s="885"/>
      <c r="EQ894" s="885"/>
      <c r="ER894" s="885"/>
      <c r="ES894" s="885"/>
      <c r="ET894" s="885"/>
      <c r="EU894" s="885"/>
      <c r="EV894" s="885"/>
      <c r="EW894" s="885"/>
      <c r="EX894" s="885"/>
      <c r="EY894" s="885"/>
      <c r="EZ894" s="885"/>
      <c r="FA894" s="885"/>
      <c r="FB894" s="885"/>
      <c r="FC894" s="885"/>
      <c r="FD894" s="885"/>
      <c r="FE894" s="885"/>
      <c r="FF894" s="885"/>
      <c r="FG894" s="885"/>
      <c r="FH894" s="885"/>
      <c r="FI894" s="885"/>
      <c r="FJ894" s="885"/>
      <c r="FK894" s="885"/>
      <c r="FL894" s="885"/>
      <c r="FM894" s="885"/>
      <c r="FN894" s="885"/>
      <c r="FO894" s="885"/>
      <c r="FP894" s="885"/>
      <c r="FQ894" s="885"/>
      <c r="FR894" s="885"/>
      <c r="FS894" s="885"/>
      <c r="FT894" s="885"/>
      <c r="FU894" s="885"/>
      <c r="FV894" s="885"/>
      <c r="FW894" s="885"/>
      <c r="FX894" s="885"/>
      <c r="FY894" s="885"/>
      <c r="FZ894" s="885"/>
      <c r="GA894" s="885"/>
      <c r="GB894" s="885"/>
      <c r="GC894" s="885"/>
      <c r="GD894" s="885"/>
      <c r="GE894" s="885"/>
      <c r="GF894" s="885"/>
      <c r="GG894" s="885"/>
      <c r="GH894" s="885"/>
      <c r="GI894" s="885"/>
      <c r="GJ894" s="885"/>
      <c r="GK894" s="885"/>
      <c r="GL894" s="885"/>
      <c r="GM894" s="885"/>
      <c r="GN894" s="885"/>
      <c r="GO894" s="885"/>
      <c r="GP894" s="885"/>
      <c r="GQ894" s="885"/>
      <c r="GR894" s="885"/>
      <c r="GS894" s="885"/>
      <c r="GT894" s="885"/>
      <c r="GU894" s="885"/>
      <c r="GV894" s="885"/>
      <c r="GW894" s="885"/>
      <c r="GX894" s="885"/>
      <c r="GY894" s="885"/>
      <c r="GZ894" s="885"/>
      <c r="HA894" s="885"/>
      <c r="HB894" s="885"/>
      <c r="HC894" s="885"/>
      <c r="HD894" s="885"/>
      <c r="HE894" s="885"/>
      <c r="HF894" s="885"/>
      <c r="HG894" s="885"/>
      <c r="HH894" s="885"/>
      <c r="HI894" s="885"/>
      <c r="HJ894" s="885"/>
      <c r="HK894" s="885"/>
      <c r="HL894" s="885"/>
      <c r="HM894" s="885"/>
      <c r="HN894" s="885"/>
      <c r="HO894" s="885"/>
      <c r="HP894" s="885"/>
      <c r="HQ894" s="885"/>
      <c r="HR894" s="885"/>
      <c r="HS894" s="885"/>
      <c r="HT894" s="885"/>
      <c r="HU894" s="885"/>
      <c r="HV894" s="885"/>
      <c r="HW894" s="885"/>
      <c r="HX894" s="885"/>
      <c r="HY894" s="885"/>
      <c r="HZ894" s="885"/>
      <c r="IA894" s="885"/>
      <c r="IB894" s="885"/>
      <c r="IC894" s="885"/>
      <c r="ID894" s="885"/>
      <c r="IE894" s="885"/>
      <c r="IF894" s="885"/>
      <c r="IG894" s="885"/>
      <c r="IH894" s="885"/>
      <c r="II894" s="885"/>
      <c r="IJ894" s="885"/>
      <c r="IK894" s="885"/>
      <c r="IL894" s="885"/>
      <c r="IM894" s="885"/>
      <c r="IN894" s="885"/>
      <c r="IO894" s="885"/>
      <c r="IP894" s="885"/>
      <c r="IQ894" s="885"/>
      <c r="IR894" s="885"/>
      <c r="IS894" s="885"/>
      <c r="IT894" s="885"/>
      <c r="IU894" s="885"/>
      <c r="IV894" s="885"/>
      <c r="IW894" s="885"/>
      <c r="IX894" s="885"/>
    </row>
    <row r="895" spans="1:258" s="130" customFormat="1" x14ac:dyDescent="0.25">
      <c r="A895" s="125">
        <f t="shared" si="112"/>
        <v>855</v>
      </c>
      <c r="B895" s="885"/>
      <c r="C895" s="842" t="s">
        <v>10497</v>
      </c>
      <c r="D895" s="924">
        <v>0</v>
      </c>
      <c r="E895" s="906">
        <f t="shared" si="114"/>
        <v>0</v>
      </c>
      <c r="F895" s="136">
        <v>181.83</v>
      </c>
      <c r="G895" s="122" t="s">
        <v>1963</v>
      </c>
      <c r="H895" s="889"/>
      <c r="I895" s="885"/>
      <c r="J895" s="885"/>
      <c r="K895" s="885"/>
      <c r="L895" s="885"/>
      <c r="M895" s="885"/>
      <c r="N895" s="885"/>
      <c r="O895" s="885"/>
      <c r="P895" s="885"/>
      <c r="Q895" s="885"/>
      <c r="R895" s="885"/>
      <c r="S895" s="885"/>
      <c r="T895" s="885"/>
      <c r="U895" s="885"/>
      <c r="V895" s="885"/>
      <c r="W895" s="885"/>
      <c r="X895" s="885"/>
      <c r="Y895" s="885"/>
      <c r="Z895" s="885"/>
      <c r="AA895" s="885"/>
      <c r="AB895" s="885"/>
      <c r="AC895" s="885"/>
      <c r="AD895" s="885"/>
      <c r="AE895" s="885"/>
      <c r="AF895" s="885"/>
      <c r="AG895" s="885"/>
      <c r="AH895" s="885"/>
      <c r="AI895" s="885"/>
      <c r="AJ895" s="885"/>
      <c r="AK895" s="885"/>
      <c r="AL895" s="885"/>
      <c r="AM895" s="885"/>
      <c r="AN895" s="885"/>
      <c r="AO895" s="885"/>
      <c r="AP895" s="885"/>
      <c r="AQ895" s="885"/>
      <c r="AR895" s="885"/>
      <c r="AS895" s="885"/>
      <c r="AT895" s="885"/>
      <c r="AU895" s="885"/>
      <c r="AV895" s="885"/>
      <c r="AW895" s="885"/>
      <c r="AX895" s="885"/>
      <c r="AY895" s="885"/>
      <c r="AZ895" s="885"/>
      <c r="BA895" s="885"/>
      <c r="BB895" s="885"/>
      <c r="BC895" s="885"/>
      <c r="BD895" s="885"/>
      <c r="BE895" s="885"/>
      <c r="BF895" s="885"/>
      <c r="BG895" s="885"/>
      <c r="BH895" s="885"/>
      <c r="BI895" s="885"/>
      <c r="BJ895" s="885"/>
      <c r="BK895" s="885"/>
      <c r="BL895" s="885"/>
      <c r="BM895" s="885"/>
      <c r="BN895" s="885"/>
      <c r="BO895" s="885"/>
      <c r="BP895" s="885"/>
      <c r="BQ895" s="885"/>
      <c r="BR895" s="885"/>
      <c r="BS895" s="885"/>
      <c r="BT895" s="885"/>
      <c r="BU895" s="885"/>
      <c r="BV895" s="885"/>
      <c r="BW895" s="885"/>
      <c r="BX895" s="885"/>
      <c r="BY895" s="885"/>
      <c r="BZ895" s="885"/>
      <c r="CA895" s="885"/>
      <c r="CB895" s="885"/>
      <c r="CC895" s="885"/>
      <c r="CD895" s="885"/>
      <c r="CE895" s="885"/>
      <c r="CF895" s="885"/>
      <c r="CG895" s="885"/>
      <c r="CH895" s="885"/>
      <c r="CI895" s="885"/>
      <c r="CJ895" s="885"/>
      <c r="CK895" s="885"/>
      <c r="CL895" s="885"/>
      <c r="CM895" s="885"/>
      <c r="CN895" s="885"/>
      <c r="CO895" s="885"/>
      <c r="CP895" s="885"/>
      <c r="CQ895" s="885"/>
      <c r="CR895" s="885"/>
      <c r="CS895" s="885"/>
      <c r="CT895" s="885"/>
      <c r="CU895" s="885"/>
      <c r="CV895" s="885"/>
      <c r="CW895" s="885"/>
      <c r="CX895" s="885"/>
      <c r="CY895" s="885"/>
      <c r="CZ895" s="885"/>
      <c r="DA895" s="885"/>
      <c r="DB895" s="885"/>
      <c r="DC895" s="885"/>
      <c r="DD895" s="885"/>
      <c r="DE895" s="885"/>
      <c r="DF895" s="885"/>
      <c r="DG895" s="885"/>
      <c r="DH895" s="885"/>
      <c r="DI895" s="885"/>
      <c r="DJ895" s="885"/>
      <c r="DK895" s="885"/>
      <c r="DL895" s="885"/>
      <c r="DM895" s="885"/>
      <c r="DN895" s="885"/>
      <c r="DO895" s="885"/>
      <c r="DP895" s="885"/>
      <c r="DQ895" s="885"/>
      <c r="DR895" s="885"/>
      <c r="DS895" s="885"/>
      <c r="DT895" s="885"/>
      <c r="DU895" s="885"/>
      <c r="DV895" s="885"/>
      <c r="DW895" s="885"/>
      <c r="DX895" s="885"/>
      <c r="DY895" s="885"/>
      <c r="DZ895" s="885"/>
      <c r="EA895" s="885"/>
      <c r="EB895" s="885"/>
      <c r="EC895" s="885"/>
      <c r="ED895" s="885"/>
      <c r="EE895" s="885"/>
      <c r="EF895" s="885"/>
      <c r="EG895" s="885"/>
      <c r="EH895" s="885"/>
      <c r="EI895" s="885"/>
      <c r="EJ895" s="885"/>
      <c r="EK895" s="885"/>
      <c r="EL895" s="885"/>
      <c r="EM895" s="885"/>
      <c r="EN895" s="885"/>
      <c r="EO895" s="885"/>
      <c r="EP895" s="885"/>
      <c r="EQ895" s="885"/>
      <c r="ER895" s="885"/>
      <c r="ES895" s="885"/>
      <c r="ET895" s="885"/>
      <c r="EU895" s="885"/>
      <c r="EV895" s="885"/>
      <c r="EW895" s="885"/>
      <c r="EX895" s="885"/>
      <c r="EY895" s="885"/>
      <c r="EZ895" s="885"/>
      <c r="FA895" s="885"/>
      <c r="FB895" s="885"/>
      <c r="FC895" s="885"/>
      <c r="FD895" s="885"/>
      <c r="FE895" s="885"/>
      <c r="FF895" s="885"/>
      <c r="FG895" s="885"/>
      <c r="FH895" s="885"/>
      <c r="FI895" s="885"/>
      <c r="FJ895" s="885"/>
      <c r="FK895" s="885"/>
      <c r="FL895" s="885"/>
      <c r="FM895" s="885"/>
      <c r="FN895" s="885"/>
      <c r="FO895" s="885"/>
      <c r="FP895" s="885"/>
      <c r="FQ895" s="885"/>
      <c r="FR895" s="885"/>
      <c r="FS895" s="885"/>
      <c r="FT895" s="885"/>
      <c r="FU895" s="885"/>
      <c r="FV895" s="885"/>
      <c r="FW895" s="885"/>
      <c r="FX895" s="885"/>
      <c r="FY895" s="885"/>
      <c r="FZ895" s="885"/>
      <c r="GA895" s="885"/>
      <c r="GB895" s="885"/>
      <c r="GC895" s="885"/>
      <c r="GD895" s="885"/>
      <c r="GE895" s="885"/>
      <c r="GF895" s="885"/>
      <c r="GG895" s="885"/>
      <c r="GH895" s="885"/>
      <c r="GI895" s="885"/>
      <c r="GJ895" s="885"/>
      <c r="GK895" s="885"/>
      <c r="GL895" s="885"/>
      <c r="GM895" s="885"/>
      <c r="GN895" s="885"/>
      <c r="GO895" s="885"/>
      <c r="GP895" s="885"/>
      <c r="GQ895" s="885"/>
      <c r="GR895" s="885"/>
      <c r="GS895" s="885"/>
      <c r="GT895" s="885"/>
      <c r="GU895" s="885"/>
      <c r="GV895" s="885"/>
      <c r="GW895" s="885"/>
      <c r="GX895" s="885"/>
      <c r="GY895" s="885"/>
      <c r="GZ895" s="885"/>
      <c r="HA895" s="885"/>
      <c r="HB895" s="885"/>
      <c r="HC895" s="885"/>
      <c r="HD895" s="885"/>
      <c r="HE895" s="885"/>
      <c r="HF895" s="885"/>
      <c r="HG895" s="885"/>
      <c r="HH895" s="885"/>
      <c r="HI895" s="885"/>
      <c r="HJ895" s="885"/>
      <c r="HK895" s="885"/>
      <c r="HL895" s="885"/>
      <c r="HM895" s="885"/>
      <c r="HN895" s="885"/>
      <c r="HO895" s="885"/>
      <c r="HP895" s="885"/>
      <c r="HQ895" s="885"/>
      <c r="HR895" s="885"/>
      <c r="HS895" s="885"/>
      <c r="HT895" s="885"/>
      <c r="HU895" s="885"/>
      <c r="HV895" s="885"/>
      <c r="HW895" s="885"/>
      <c r="HX895" s="885"/>
      <c r="HY895" s="885"/>
      <c r="HZ895" s="885"/>
      <c r="IA895" s="885"/>
      <c r="IB895" s="885"/>
      <c r="IC895" s="885"/>
      <c r="ID895" s="885"/>
      <c r="IE895" s="885"/>
      <c r="IF895" s="885"/>
      <c r="IG895" s="885"/>
      <c r="IH895" s="885"/>
      <c r="II895" s="885"/>
      <c r="IJ895" s="885"/>
      <c r="IK895" s="885"/>
      <c r="IL895" s="885"/>
      <c r="IM895" s="885"/>
      <c r="IN895" s="885"/>
      <c r="IO895" s="885"/>
      <c r="IP895" s="885"/>
      <c r="IQ895" s="885"/>
      <c r="IR895" s="885"/>
      <c r="IS895" s="885"/>
      <c r="IT895" s="885"/>
      <c r="IU895" s="885"/>
      <c r="IV895" s="885"/>
      <c r="IW895" s="885"/>
      <c r="IX895" s="885"/>
    </row>
    <row r="896" spans="1:258" s="130" customFormat="1" x14ac:dyDescent="0.25">
      <c r="A896" s="125">
        <f t="shared" si="112"/>
        <v>856</v>
      </c>
      <c r="B896" s="885"/>
      <c r="C896" s="842" t="s">
        <v>10496</v>
      </c>
      <c r="D896" s="924">
        <v>0</v>
      </c>
      <c r="E896" s="906">
        <f t="shared" si="114"/>
        <v>0</v>
      </c>
      <c r="F896" s="136">
        <v>500</v>
      </c>
      <c r="G896" s="122" t="s">
        <v>1963</v>
      </c>
      <c r="H896" s="889"/>
      <c r="I896" s="885"/>
      <c r="J896" s="885"/>
      <c r="K896" s="885"/>
      <c r="L896" s="885"/>
      <c r="M896" s="885"/>
      <c r="N896" s="885"/>
      <c r="O896" s="885"/>
      <c r="P896" s="885"/>
      <c r="Q896" s="885"/>
      <c r="R896" s="885"/>
      <c r="S896" s="885"/>
      <c r="T896" s="885"/>
      <c r="U896" s="885"/>
      <c r="V896" s="885"/>
      <c r="W896" s="885"/>
      <c r="X896" s="885"/>
      <c r="Y896" s="885"/>
      <c r="Z896" s="885"/>
      <c r="AA896" s="885"/>
      <c r="AB896" s="885"/>
      <c r="AC896" s="885"/>
      <c r="AD896" s="885"/>
      <c r="AE896" s="885"/>
      <c r="AF896" s="885"/>
      <c r="AG896" s="885"/>
      <c r="AH896" s="885"/>
      <c r="AI896" s="885"/>
      <c r="AJ896" s="885"/>
      <c r="AK896" s="885"/>
      <c r="AL896" s="885"/>
      <c r="AM896" s="885"/>
      <c r="AN896" s="885"/>
      <c r="AO896" s="885"/>
      <c r="AP896" s="885"/>
      <c r="AQ896" s="885"/>
      <c r="AR896" s="885"/>
      <c r="AS896" s="885"/>
      <c r="AT896" s="885"/>
      <c r="AU896" s="885"/>
      <c r="AV896" s="885"/>
      <c r="AW896" s="885"/>
      <c r="AX896" s="885"/>
      <c r="AY896" s="885"/>
      <c r="AZ896" s="885"/>
      <c r="BA896" s="885"/>
      <c r="BB896" s="885"/>
      <c r="BC896" s="885"/>
      <c r="BD896" s="885"/>
      <c r="BE896" s="885"/>
      <c r="BF896" s="885"/>
      <c r="BG896" s="885"/>
      <c r="BH896" s="885"/>
      <c r="BI896" s="885"/>
      <c r="BJ896" s="885"/>
      <c r="BK896" s="885"/>
      <c r="BL896" s="885"/>
      <c r="BM896" s="885"/>
      <c r="BN896" s="885"/>
      <c r="BO896" s="885"/>
      <c r="BP896" s="885"/>
      <c r="BQ896" s="885"/>
      <c r="BR896" s="885"/>
      <c r="BS896" s="885"/>
      <c r="BT896" s="885"/>
      <c r="BU896" s="885"/>
      <c r="BV896" s="885"/>
      <c r="BW896" s="885"/>
      <c r="BX896" s="885"/>
      <c r="BY896" s="885"/>
      <c r="BZ896" s="885"/>
      <c r="CA896" s="885"/>
      <c r="CB896" s="885"/>
      <c r="CC896" s="885"/>
      <c r="CD896" s="885"/>
      <c r="CE896" s="885"/>
      <c r="CF896" s="885"/>
      <c r="CG896" s="885"/>
      <c r="CH896" s="885"/>
      <c r="CI896" s="885"/>
      <c r="CJ896" s="885"/>
      <c r="CK896" s="885"/>
      <c r="CL896" s="885"/>
      <c r="CM896" s="885"/>
      <c r="CN896" s="885"/>
      <c r="CO896" s="885"/>
      <c r="CP896" s="885"/>
      <c r="CQ896" s="885"/>
      <c r="CR896" s="885"/>
      <c r="CS896" s="885"/>
      <c r="CT896" s="885"/>
      <c r="CU896" s="885"/>
      <c r="CV896" s="885"/>
      <c r="CW896" s="885"/>
      <c r="CX896" s="885"/>
      <c r="CY896" s="885"/>
      <c r="CZ896" s="885"/>
      <c r="DA896" s="885"/>
      <c r="DB896" s="885"/>
      <c r="DC896" s="885"/>
      <c r="DD896" s="885"/>
      <c r="DE896" s="885"/>
      <c r="DF896" s="885"/>
      <c r="DG896" s="885"/>
      <c r="DH896" s="885"/>
      <c r="DI896" s="885"/>
      <c r="DJ896" s="885"/>
      <c r="DK896" s="885"/>
      <c r="DL896" s="885"/>
      <c r="DM896" s="885"/>
      <c r="DN896" s="885"/>
      <c r="DO896" s="885"/>
      <c r="DP896" s="885"/>
      <c r="DQ896" s="885"/>
      <c r="DR896" s="885"/>
      <c r="DS896" s="885"/>
      <c r="DT896" s="885"/>
      <c r="DU896" s="885"/>
      <c r="DV896" s="885"/>
      <c r="DW896" s="885"/>
      <c r="DX896" s="885"/>
      <c r="DY896" s="885"/>
      <c r="DZ896" s="885"/>
      <c r="EA896" s="885"/>
      <c r="EB896" s="885"/>
      <c r="EC896" s="885"/>
      <c r="ED896" s="885"/>
      <c r="EE896" s="885"/>
      <c r="EF896" s="885"/>
      <c r="EG896" s="885"/>
      <c r="EH896" s="885"/>
      <c r="EI896" s="885"/>
      <c r="EJ896" s="885"/>
      <c r="EK896" s="885"/>
      <c r="EL896" s="885"/>
      <c r="EM896" s="885"/>
      <c r="EN896" s="885"/>
      <c r="EO896" s="885"/>
      <c r="EP896" s="885"/>
      <c r="EQ896" s="885"/>
      <c r="ER896" s="885"/>
      <c r="ES896" s="885"/>
      <c r="ET896" s="885"/>
      <c r="EU896" s="885"/>
      <c r="EV896" s="885"/>
      <c r="EW896" s="885"/>
      <c r="EX896" s="885"/>
      <c r="EY896" s="885"/>
      <c r="EZ896" s="885"/>
      <c r="FA896" s="885"/>
      <c r="FB896" s="885"/>
      <c r="FC896" s="885"/>
      <c r="FD896" s="885"/>
      <c r="FE896" s="885"/>
      <c r="FF896" s="885"/>
      <c r="FG896" s="885"/>
      <c r="FH896" s="885"/>
      <c r="FI896" s="885"/>
      <c r="FJ896" s="885"/>
      <c r="FK896" s="885"/>
      <c r="FL896" s="885"/>
      <c r="FM896" s="885"/>
      <c r="FN896" s="885"/>
      <c r="FO896" s="885"/>
      <c r="FP896" s="885"/>
      <c r="FQ896" s="885"/>
      <c r="FR896" s="885"/>
      <c r="FS896" s="885"/>
      <c r="FT896" s="885"/>
      <c r="FU896" s="885"/>
      <c r="FV896" s="885"/>
      <c r="FW896" s="885"/>
      <c r="FX896" s="885"/>
      <c r="FY896" s="885"/>
      <c r="FZ896" s="885"/>
      <c r="GA896" s="885"/>
      <c r="GB896" s="885"/>
      <c r="GC896" s="885"/>
      <c r="GD896" s="885"/>
      <c r="GE896" s="885"/>
      <c r="GF896" s="885"/>
      <c r="GG896" s="885"/>
      <c r="GH896" s="885"/>
      <c r="GI896" s="885"/>
      <c r="GJ896" s="885"/>
      <c r="GK896" s="885"/>
      <c r="GL896" s="885"/>
      <c r="GM896" s="885"/>
      <c r="GN896" s="885"/>
      <c r="GO896" s="885"/>
      <c r="GP896" s="885"/>
      <c r="GQ896" s="885"/>
      <c r="GR896" s="885"/>
      <c r="GS896" s="885"/>
      <c r="GT896" s="885"/>
      <c r="GU896" s="885"/>
      <c r="GV896" s="885"/>
      <c r="GW896" s="885"/>
      <c r="GX896" s="885"/>
      <c r="GY896" s="885"/>
      <c r="GZ896" s="885"/>
      <c r="HA896" s="885"/>
      <c r="HB896" s="885"/>
      <c r="HC896" s="885"/>
      <c r="HD896" s="885"/>
      <c r="HE896" s="885"/>
      <c r="HF896" s="885"/>
      <c r="HG896" s="885"/>
      <c r="HH896" s="885"/>
      <c r="HI896" s="885"/>
      <c r="HJ896" s="885"/>
      <c r="HK896" s="885"/>
      <c r="HL896" s="885"/>
      <c r="HM896" s="885"/>
      <c r="HN896" s="885"/>
      <c r="HO896" s="885"/>
      <c r="HP896" s="885"/>
      <c r="HQ896" s="885"/>
      <c r="HR896" s="885"/>
      <c r="HS896" s="885"/>
      <c r="HT896" s="885"/>
      <c r="HU896" s="885"/>
      <c r="HV896" s="885"/>
      <c r="HW896" s="885"/>
      <c r="HX896" s="885"/>
      <c r="HY896" s="885"/>
      <c r="HZ896" s="885"/>
      <c r="IA896" s="885"/>
      <c r="IB896" s="885"/>
      <c r="IC896" s="885"/>
      <c r="ID896" s="885"/>
      <c r="IE896" s="885"/>
      <c r="IF896" s="885"/>
      <c r="IG896" s="885"/>
      <c r="IH896" s="885"/>
      <c r="II896" s="885"/>
      <c r="IJ896" s="885"/>
      <c r="IK896" s="885"/>
      <c r="IL896" s="885"/>
      <c r="IM896" s="885"/>
      <c r="IN896" s="885"/>
      <c r="IO896" s="885"/>
      <c r="IP896" s="885"/>
      <c r="IQ896" s="885"/>
      <c r="IR896" s="885"/>
      <c r="IS896" s="885"/>
      <c r="IT896" s="885"/>
      <c r="IU896" s="885"/>
      <c r="IV896" s="885"/>
      <c r="IW896" s="885"/>
      <c r="IX896" s="885"/>
    </row>
    <row r="897" spans="1:258" s="130" customFormat="1" x14ac:dyDescent="0.25">
      <c r="A897" s="125">
        <f t="shared" si="112"/>
        <v>857</v>
      </c>
      <c r="B897" s="885"/>
      <c r="C897" s="842" t="s">
        <v>10495</v>
      </c>
      <c r="D897" s="924">
        <v>1650.98</v>
      </c>
      <c r="E897" s="906">
        <f t="shared" si="114"/>
        <v>2476.4700000000003</v>
      </c>
      <c r="F897" s="136">
        <f>E897</f>
        <v>2476.4700000000003</v>
      </c>
      <c r="G897" s="122" t="s">
        <v>1963</v>
      </c>
      <c r="H897" s="889"/>
      <c r="I897" s="885"/>
      <c r="J897" s="885"/>
      <c r="K897" s="885"/>
      <c r="L897" s="885"/>
      <c r="M897" s="885"/>
      <c r="N897" s="885"/>
      <c r="O897" s="885"/>
      <c r="P897" s="885"/>
      <c r="Q897" s="885"/>
      <c r="R897" s="885"/>
      <c r="S897" s="885"/>
      <c r="T897" s="885"/>
      <c r="U897" s="885"/>
      <c r="V897" s="885"/>
      <c r="W897" s="885"/>
      <c r="X897" s="885"/>
      <c r="Y897" s="885"/>
      <c r="Z897" s="885"/>
      <c r="AA897" s="885"/>
      <c r="AB897" s="885"/>
      <c r="AC897" s="885"/>
      <c r="AD897" s="885"/>
      <c r="AE897" s="885"/>
      <c r="AF897" s="885"/>
      <c r="AG897" s="885"/>
      <c r="AH897" s="885"/>
      <c r="AI897" s="885"/>
      <c r="AJ897" s="885"/>
      <c r="AK897" s="885"/>
      <c r="AL897" s="885"/>
      <c r="AM897" s="885"/>
      <c r="AN897" s="885"/>
      <c r="AO897" s="885"/>
      <c r="AP897" s="885"/>
      <c r="AQ897" s="885"/>
      <c r="AR897" s="885"/>
      <c r="AS897" s="885"/>
      <c r="AT897" s="885"/>
      <c r="AU897" s="885"/>
      <c r="AV897" s="885"/>
      <c r="AW897" s="885"/>
      <c r="AX897" s="885"/>
      <c r="AY897" s="885"/>
      <c r="AZ897" s="885"/>
      <c r="BA897" s="885"/>
      <c r="BB897" s="885"/>
      <c r="BC897" s="885"/>
      <c r="BD897" s="885"/>
      <c r="BE897" s="885"/>
      <c r="BF897" s="885"/>
      <c r="BG897" s="885"/>
      <c r="BH897" s="885"/>
      <c r="BI897" s="885"/>
      <c r="BJ897" s="885"/>
      <c r="BK897" s="885"/>
      <c r="BL897" s="885"/>
      <c r="BM897" s="885"/>
      <c r="BN897" s="885"/>
      <c r="BO897" s="885"/>
      <c r="BP897" s="885"/>
      <c r="BQ897" s="885"/>
      <c r="BR897" s="885"/>
      <c r="BS897" s="885"/>
      <c r="BT897" s="885"/>
      <c r="BU897" s="885"/>
      <c r="BV897" s="885"/>
      <c r="BW897" s="885"/>
      <c r="BX897" s="885"/>
      <c r="BY897" s="885"/>
      <c r="BZ897" s="885"/>
      <c r="CA897" s="885"/>
      <c r="CB897" s="885"/>
      <c r="CC897" s="885"/>
      <c r="CD897" s="885"/>
      <c r="CE897" s="885"/>
      <c r="CF897" s="885"/>
      <c r="CG897" s="885"/>
      <c r="CH897" s="885"/>
      <c r="CI897" s="885"/>
      <c r="CJ897" s="885"/>
      <c r="CK897" s="885"/>
      <c r="CL897" s="885"/>
      <c r="CM897" s="885"/>
      <c r="CN897" s="885"/>
      <c r="CO897" s="885"/>
      <c r="CP897" s="885"/>
      <c r="CQ897" s="885"/>
      <c r="CR897" s="885"/>
      <c r="CS897" s="885"/>
      <c r="CT897" s="885"/>
      <c r="CU897" s="885"/>
      <c r="CV897" s="885"/>
      <c r="CW897" s="885"/>
      <c r="CX897" s="885"/>
      <c r="CY897" s="885"/>
      <c r="CZ897" s="885"/>
      <c r="DA897" s="885"/>
      <c r="DB897" s="885"/>
      <c r="DC897" s="885"/>
      <c r="DD897" s="885"/>
      <c r="DE897" s="885"/>
      <c r="DF897" s="885"/>
      <c r="DG897" s="885"/>
      <c r="DH897" s="885"/>
      <c r="DI897" s="885"/>
      <c r="DJ897" s="885"/>
      <c r="DK897" s="885"/>
      <c r="DL897" s="885"/>
      <c r="DM897" s="885"/>
      <c r="DN897" s="885"/>
      <c r="DO897" s="885"/>
      <c r="DP897" s="885"/>
      <c r="DQ897" s="885"/>
      <c r="DR897" s="885"/>
      <c r="DS897" s="885"/>
      <c r="DT897" s="885"/>
      <c r="DU897" s="885"/>
      <c r="DV897" s="885"/>
      <c r="DW897" s="885"/>
      <c r="DX897" s="885"/>
      <c r="DY897" s="885"/>
      <c r="DZ897" s="885"/>
      <c r="EA897" s="885"/>
      <c r="EB897" s="885"/>
      <c r="EC897" s="885"/>
      <c r="ED897" s="885"/>
      <c r="EE897" s="885"/>
      <c r="EF897" s="885"/>
      <c r="EG897" s="885"/>
      <c r="EH897" s="885"/>
      <c r="EI897" s="885"/>
      <c r="EJ897" s="885"/>
      <c r="EK897" s="885"/>
      <c r="EL897" s="885"/>
      <c r="EM897" s="885"/>
      <c r="EN897" s="885"/>
      <c r="EO897" s="885"/>
      <c r="EP897" s="885"/>
      <c r="EQ897" s="885"/>
      <c r="ER897" s="885"/>
      <c r="ES897" s="885"/>
      <c r="ET897" s="885"/>
      <c r="EU897" s="885"/>
      <c r="EV897" s="885"/>
      <c r="EW897" s="885"/>
      <c r="EX897" s="885"/>
      <c r="EY897" s="885"/>
      <c r="EZ897" s="885"/>
      <c r="FA897" s="885"/>
      <c r="FB897" s="885"/>
      <c r="FC897" s="885"/>
      <c r="FD897" s="885"/>
      <c r="FE897" s="885"/>
      <c r="FF897" s="885"/>
      <c r="FG897" s="885"/>
      <c r="FH897" s="885"/>
      <c r="FI897" s="885"/>
      <c r="FJ897" s="885"/>
      <c r="FK897" s="885"/>
      <c r="FL897" s="885"/>
      <c r="FM897" s="885"/>
      <c r="FN897" s="885"/>
      <c r="FO897" s="885"/>
      <c r="FP897" s="885"/>
      <c r="FQ897" s="885"/>
      <c r="FR897" s="885"/>
      <c r="FS897" s="885"/>
      <c r="FT897" s="885"/>
      <c r="FU897" s="885"/>
      <c r="FV897" s="885"/>
      <c r="FW897" s="885"/>
      <c r="FX897" s="885"/>
      <c r="FY897" s="885"/>
      <c r="FZ897" s="885"/>
      <c r="GA897" s="885"/>
      <c r="GB897" s="885"/>
      <c r="GC897" s="885"/>
      <c r="GD897" s="885"/>
      <c r="GE897" s="885"/>
      <c r="GF897" s="885"/>
      <c r="GG897" s="885"/>
      <c r="GH897" s="885"/>
      <c r="GI897" s="885"/>
      <c r="GJ897" s="885"/>
      <c r="GK897" s="885"/>
      <c r="GL897" s="885"/>
      <c r="GM897" s="885"/>
      <c r="GN897" s="885"/>
      <c r="GO897" s="885"/>
      <c r="GP897" s="885"/>
      <c r="GQ897" s="885"/>
      <c r="GR897" s="885"/>
      <c r="GS897" s="885"/>
      <c r="GT897" s="885"/>
      <c r="GU897" s="885"/>
      <c r="GV897" s="885"/>
      <c r="GW897" s="885"/>
      <c r="GX897" s="885"/>
      <c r="GY897" s="885"/>
      <c r="GZ897" s="885"/>
      <c r="HA897" s="885"/>
      <c r="HB897" s="885"/>
      <c r="HC897" s="885"/>
      <c r="HD897" s="885"/>
      <c r="HE897" s="885"/>
      <c r="HF897" s="885"/>
      <c r="HG897" s="885"/>
      <c r="HH897" s="885"/>
      <c r="HI897" s="885"/>
      <c r="HJ897" s="885"/>
      <c r="HK897" s="885"/>
      <c r="HL897" s="885"/>
      <c r="HM897" s="885"/>
      <c r="HN897" s="885"/>
      <c r="HO897" s="885"/>
      <c r="HP897" s="885"/>
      <c r="HQ897" s="885"/>
      <c r="HR897" s="885"/>
      <c r="HS897" s="885"/>
      <c r="HT897" s="885"/>
      <c r="HU897" s="885"/>
      <c r="HV897" s="885"/>
      <c r="HW897" s="885"/>
      <c r="HX897" s="885"/>
      <c r="HY897" s="885"/>
      <c r="HZ897" s="885"/>
      <c r="IA897" s="885"/>
      <c r="IB897" s="885"/>
      <c r="IC897" s="885"/>
      <c r="ID897" s="885"/>
      <c r="IE897" s="885"/>
      <c r="IF897" s="885"/>
      <c r="IG897" s="885"/>
      <c r="IH897" s="885"/>
      <c r="II897" s="885"/>
      <c r="IJ897" s="885"/>
      <c r="IK897" s="885"/>
      <c r="IL897" s="885"/>
      <c r="IM897" s="885"/>
      <c r="IN897" s="885"/>
      <c r="IO897" s="885"/>
      <c r="IP897" s="885"/>
      <c r="IQ897" s="885"/>
      <c r="IR897" s="885"/>
      <c r="IS897" s="885"/>
      <c r="IT897" s="885"/>
      <c r="IU897" s="885"/>
      <c r="IV897" s="885"/>
      <c r="IW897" s="885"/>
      <c r="IX897" s="885"/>
    </row>
    <row r="898" spans="1:258" s="130" customFormat="1" x14ac:dyDescent="0.25">
      <c r="A898" s="125">
        <f t="shared" si="112"/>
        <v>858</v>
      </c>
      <c r="B898" s="885"/>
      <c r="C898" s="842" t="s">
        <v>10506</v>
      </c>
      <c r="D898" s="924">
        <v>22581.99</v>
      </c>
      <c r="E898" s="906">
        <f t="shared" si="114"/>
        <v>33872.985000000001</v>
      </c>
      <c r="F898" s="136">
        <v>5000</v>
      </c>
      <c r="G898" s="122" t="s">
        <v>1963</v>
      </c>
      <c r="H898" s="889"/>
      <c r="I898" s="885"/>
      <c r="J898" s="885"/>
      <c r="K898" s="885"/>
      <c r="L898" s="885"/>
      <c r="M898" s="885"/>
      <c r="N898" s="885"/>
      <c r="O898" s="885"/>
      <c r="P898" s="885"/>
      <c r="Q898" s="885"/>
      <c r="R898" s="885"/>
      <c r="S898" s="885"/>
      <c r="T898" s="885"/>
      <c r="U898" s="885"/>
      <c r="V898" s="885"/>
      <c r="W898" s="885"/>
      <c r="X898" s="885"/>
      <c r="Y898" s="885"/>
      <c r="Z898" s="885"/>
      <c r="AA898" s="885"/>
      <c r="AB898" s="885"/>
      <c r="AC898" s="885"/>
      <c r="AD898" s="885"/>
      <c r="AE898" s="885"/>
      <c r="AF898" s="885"/>
      <c r="AG898" s="885"/>
      <c r="AH898" s="885"/>
      <c r="AI898" s="885"/>
      <c r="AJ898" s="885"/>
      <c r="AK898" s="885"/>
      <c r="AL898" s="885"/>
      <c r="AM898" s="885"/>
      <c r="AN898" s="885"/>
      <c r="AO898" s="885"/>
      <c r="AP898" s="885"/>
      <c r="AQ898" s="885"/>
      <c r="AR898" s="885"/>
      <c r="AS898" s="885"/>
      <c r="AT898" s="885"/>
      <c r="AU898" s="885"/>
      <c r="AV898" s="885"/>
      <c r="AW898" s="885"/>
      <c r="AX898" s="885"/>
      <c r="AY898" s="885"/>
      <c r="AZ898" s="885"/>
      <c r="BA898" s="885"/>
      <c r="BB898" s="885"/>
      <c r="BC898" s="885"/>
      <c r="BD898" s="885"/>
      <c r="BE898" s="885"/>
      <c r="BF898" s="885"/>
      <c r="BG898" s="885"/>
      <c r="BH898" s="885"/>
      <c r="BI898" s="885"/>
      <c r="BJ898" s="885"/>
      <c r="BK898" s="885"/>
      <c r="BL898" s="885"/>
      <c r="BM898" s="885"/>
      <c r="BN898" s="885"/>
      <c r="BO898" s="885"/>
      <c r="BP898" s="885"/>
      <c r="BQ898" s="885"/>
      <c r="BR898" s="885"/>
      <c r="BS898" s="885"/>
      <c r="BT898" s="885"/>
      <c r="BU898" s="885"/>
      <c r="BV898" s="885"/>
      <c r="BW898" s="885"/>
      <c r="BX898" s="885"/>
      <c r="BY898" s="885"/>
      <c r="BZ898" s="885"/>
      <c r="CA898" s="885"/>
      <c r="CB898" s="885"/>
      <c r="CC898" s="885"/>
      <c r="CD898" s="885"/>
      <c r="CE898" s="885"/>
      <c r="CF898" s="885"/>
      <c r="CG898" s="885"/>
      <c r="CH898" s="885"/>
      <c r="CI898" s="885"/>
      <c r="CJ898" s="885"/>
      <c r="CK898" s="885"/>
      <c r="CL898" s="885"/>
      <c r="CM898" s="885"/>
      <c r="CN898" s="885"/>
      <c r="CO898" s="885"/>
      <c r="CP898" s="885"/>
      <c r="CQ898" s="885"/>
      <c r="CR898" s="885"/>
      <c r="CS898" s="885"/>
      <c r="CT898" s="885"/>
      <c r="CU898" s="885"/>
      <c r="CV898" s="885"/>
      <c r="CW898" s="885"/>
      <c r="CX898" s="885"/>
      <c r="CY898" s="885"/>
      <c r="CZ898" s="885"/>
      <c r="DA898" s="885"/>
      <c r="DB898" s="885"/>
      <c r="DC898" s="885"/>
      <c r="DD898" s="885"/>
      <c r="DE898" s="885"/>
      <c r="DF898" s="885"/>
      <c r="DG898" s="885"/>
      <c r="DH898" s="885"/>
      <c r="DI898" s="885"/>
      <c r="DJ898" s="885"/>
      <c r="DK898" s="885"/>
      <c r="DL898" s="885"/>
      <c r="DM898" s="885"/>
      <c r="DN898" s="885"/>
      <c r="DO898" s="885"/>
      <c r="DP898" s="885"/>
      <c r="DQ898" s="885"/>
      <c r="DR898" s="885"/>
      <c r="DS898" s="885"/>
      <c r="DT898" s="885"/>
      <c r="DU898" s="885"/>
      <c r="DV898" s="885"/>
      <c r="DW898" s="885"/>
      <c r="DX898" s="885"/>
      <c r="DY898" s="885"/>
      <c r="DZ898" s="885"/>
      <c r="EA898" s="885"/>
      <c r="EB898" s="885"/>
      <c r="EC898" s="885"/>
      <c r="ED898" s="885"/>
      <c r="EE898" s="885"/>
      <c r="EF898" s="885"/>
      <c r="EG898" s="885"/>
      <c r="EH898" s="885"/>
      <c r="EI898" s="885"/>
      <c r="EJ898" s="885"/>
      <c r="EK898" s="885"/>
      <c r="EL898" s="885"/>
      <c r="EM898" s="885"/>
      <c r="EN898" s="885"/>
      <c r="EO898" s="885"/>
      <c r="EP898" s="885"/>
      <c r="EQ898" s="885"/>
      <c r="ER898" s="885"/>
      <c r="ES898" s="885"/>
      <c r="ET898" s="885"/>
      <c r="EU898" s="885"/>
      <c r="EV898" s="885"/>
      <c r="EW898" s="885"/>
      <c r="EX898" s="885"/>
      <c r="EY898" s="885"/>
      <c r="EZ898" s="885"/>
      <c r="FA898" s="885"/>
      <c r="FB898" s="885"/>
      <c r="FC898" s="885"/>
      <c r="FD898" s="885"/>
      <c r="FE898" s="885"/>
      <c r="FF898" s="885"/>
      <c r="FG898" s="885"/>
      <c r="FH898" s="885"/>
      <c r="FI898" s="885"/>
      <c r="FJ898" s="885"/>
      <c r="FK898" s="885"/>
      <c r="FL898" s="885"/>
      <c r="FM898" s="885"/>
      <c r="FN898" s="885"/>
      <c r="FO898" s="885"/>
      <c r="FP898" s="885"/>
      <c r="FQ898" s="885"/>
      <c r="FR898" s="885"/>
      <c r="FS898" s="885"/>
      <c r="FT898" s="885"/>
      <c r="FU898" s="885"/>
      <c r="FV898" s="885"/>
      <c r="FW898" s="885"/>
      <c r="FX898" s="885"/>
      <c r="FY898" s="885"/>
      <c r="FZ898" s="885"/>
      <c r="GA898" s="885"/>
      <c r="GB898" s="885"/>
      <c r="GC898" s="885"/>
      <c r="GD898" s="885"/>
      <c r="GE898" s="885"/>
      <c r="GF898" s="885"/>
      <c r="GG898" s="885"/>
      <c r="GH898" s="885"/>
      <c r="GI898" s="885"/>
      <c r="GJ898" s="885"/>
      <c r="GK898" s="885"/>
      <c r="GL898" s="885"/>
      <c r="GM898" s="885"/>
      <c r="GN898" s="885"/>
      <c r="GO898" s="885"/>
      <c r="GP898" s="885"/>
      <c r="GQ898" s="885"/>
      <c r="GR898" s="885"/>
      <c r="GS898" s="885"/>
      <c r="GT898" s="885"/>
      <c r="GU898" s="885"/>
      <c r="GV898" s="885"/>
      <c r="GW898" s="885"/>
      <c r="GX898" s="885"/>
      <c r="GY898" s="885"/>
      <c r="GZ898" s="885"/>
      <c r="HA898" s="885"/>
      <c r="HB898" s="885"/>
      <c r="HC898" s="885"/>
      <c r="HD898" s="885"/>
      <c r="HE898" s="885"/>
      <c r="HF898" s="885"/>
      <c r="HG898" s="885"/>
      <c r="HH898" s="885"/>
      <c r="HI898" s="885"/>
      <c r="HJ898" s="885"/>
      <c r="HK898" s="885"/>
      <c r="HL898" s="885"/>
      <c r="HM898" s="885"/>
      <c r="HN898" s="885"/>
      <c r="HO898" s="885"/>
      <c r="HP898" s="885"/>
      <c r="HQ898" s="885"/>
      <c r="HR898" s="885"/>
      <c r="HS898" s="885"/>
      <c r="HT898" s="885"/>
      <c r="HU898" s="885"/>
      <c r="HV898" s="885"/>
      <c r="HW898" s="885"/>
      <c r="HX898" s="885"/>
      <c r="HY898" s="885"/>
      <c r="HZ898" s="885"/>
      <c r="IA898" s="885"/>
      <c r="IB898" s="885"/>
      <c r="IC898" s="885"/>
      <c r="ID898" s="885"/>
      <c r="IE898" s="885"/>
      <c r="IF898" s="885"/>
      <c r="IG898" s="885"/>
      <c r="IH898" s="885"/>
      <c r="II898" s="885"/>
      <c r="IJ898" s="885"/>
      <c r="IK898" s="885"/>
      <c r="IL898" s="885"/>
      <c r="IM898" s="885"/>
      <c r="IN898" s="885"/>
      <c r="IO898" s="885"/>
      <c r="IP898" s="885"/>
      <c r="IQ898" s="885"/>
      <c r="IR898" s="885"/>
      <c r="IS898" s="885"/>
      <c r="IT898" s="885"/>
      <c r="IU898" s="885"/>
      <c r="IV898" s="885"/>
      <c r="IW898" s="885"/>
      <c r="IX898" s="885"/>
    </row>
    <row r="899" spans="1:258" s="130" customFormat="1" x14ac:dyDescent="0.25">
      <c r="A899" s="125">
        <f t="shared" si="112"/>
        <v>859</v>
      </c>
      <c r="B899" s="885"/>
      <c r="C899" s="927" t="s">
        <v>10487</v>
      </c>
      <c r="D899" s="928"/>
      <c r="E899" s="928"/>
      <c r="F899" s="928"/>
      <c r="G899" s="122"/>
      <c r="H899" s="889"/>
      <c r="I899" s="885"/>
      <c r="J899" s="885"/>
      <c r="K899" s="885"/>
      <c r="L899" s="885"/>
      <c r="M899" s="885"/>
      <c r="N899" s="885"/>
      <c r="O899" s="885"/>
      <c r="P899" s="885"/>
      <c r="Q899" s="885"/>
      <c r="R899" s="885"/>
      <c r="S899" s="885"/>
      <c r="T899" s="885"/>
      <c r="U899" s="885"/>
      <c r="V899" s="885"/>
      <c r="W899" s="885"/>
      <c r="X899" s="885"/>
      <c r="Y899" s="885"/>
      <c r="Z899" s="885"/>
      <c r="AA899" s="885"/>
      <c r="AB899" s="885"/>
      <c r="AC899" s="885"/>
      <c r="AD899" s="885"/>
      <c r="AE899" s="885"/>
      <c r="AF899" s="885"/>
      <c r="AG899" s="885"/>
      <c r="AH899" s="885"/>
      <c r="AI899" s="885"/>
      <c r="AJ899" s="885"/>
      <c r="AK899" s="885"/>
      <c r="AL899" s="885"/>
      <c r="AM899" s="885"/>
      <c r="AN899" s="885"/>
      <c r="AO899" s="885"/>
      <c r="AP899" s="885"/>
      <c r="AQ899" s="885"/>
      <c r="AR899" s="885"/>
      <c r="AS899" s="885"/>
      <c r="AT899" s="885"/>
      <c r="AU899" s="885"/>
      <c r="AV899" s="885"/>
      <c r="AW899" s="885"/>
      <c r="AX899" s="885"/>
      <c r="AY899" s="885"/>
      <c r="AZ899" s="885"/>
      <c r="BA899" s="885"/>
      <c r="BB899" s="885"/>
      <c r="BC899" s="885"/>
      <c r="BD899" s="885"/>
      <c r="BE899" s="885"/>
      <c r="BF899" s="885"/>
      <c r="BG899" s="885"/>
      <c r="BH899" s="885"/>
      <c r="BI899" s="885"/>
      <c r="BJ899" s="885"/>
      <c r="BK899" s="885"/>
      <c r="BL899" s="885"/>
      <c r="BM899" s="885"/>
      <c r="BN899" s="885"/>
      <c r="BO899" s="885"/>
      <c r="BP899" s="885"/>
      <c r="BQ899" s="885"/>
      <c r="BR899" s="885"/>
      <c r="BS899" s="885"/>
      <c r="BT899" s="885"/>
      <c r="BU899" s="885"/>
      <c r="BV899" s="885"/>
      <c r="BW899" s="885"/>
      <c r="BX899" s="885"/>
      <c r="BY899" s="885"/>
      <c r="BZ899" s="885"/>
      <c r="CA899" s="885"/>
      <c r="CB899" s="885"/>
      <c r="CC899" s="885"/>
      <c r="CD899" s="885"/>
      <c r="CE899" s="885"/>
      <c r="CF899" s="885"/>
      <c r="CG899" s="885"/>
      <c r="CH899" s="885"/>
      <c r="CI899" s="885"/>
      <c r="CJ899" s="885"/>
      <c r="CK899" s="885"/>
      <c r="CL899" s="885"/>
      <c r="CM899" s="885"/>
      <c r="CN899" s="885"/>
      <c r="CO899" s="885"/>
      <c r="CP899" s="885"/>
      <c r="CQ899" s="885"/>
      <c r="CR899" s="885"/>
      <c r="CS899" s="885"/>
      <c r="CT899" s="885"/>
      <c r="CU899" s="885"/>
      <c r="CV899" s="885"/>
      <c r="CW899" s="885"/>
      <c r="CX899" s="885"/>
      <c r="CY899" s="885"/>
      <c r="CZ899" s="885"/>
      <c r="DA899" s="885"/>
      <c r="DB899" s="885"/>
      <c r="DC899" s="885"/>
      <c r="DD899" s="885"/>
      <c r="DE899" s="885"/>
      <c r="DF899" s="885"/>
      <c r="DG899" s="885"/>
      <c r="DH899" s="885"/>
      <c r="DI899" s="885"/>
      <c r="DJ899" s="885"/>
      <c r="DK899" s="885"/>
      <c r="DL899" s="885"/>
      <c r="DM899" s="885"/>
      <c r="DN899" s="885"/>
      <c r="DO899" s="885"/>
      <c r="DP899" s="885"/>
      <c r="DQ899" s="885"/>
      <c r="DR899" s="885"/>
      <c r="DS899" s="885"/>
      <c r="DT899" s="885"/>
      <c r="DU899" s="885"/>
      <c r="DV899" s="885"/>
      <c r="DW899" s="885"/>
      <c r="DX899" s="885"/>
      <c r="DY899" s="885"/>
      <c r="DZ899" s="885"/>
      <c r="EA899" s="885"/>
      <c r="EB899" s="885"/>
      <c r="EC899" s="885"/>
      <c r="ED899" s="885"/>
      <c r="EE899" s="885"/>
      <c r="EF899" s="885"/>
      <c r="EG899" s="885"/>
      <c r="EH899" s="885"/>
      <c r="EI899" s="885"/>
      <c r="EJ899" s="885"/>
      <c r="EK899" s="885"/>
      <c r="EL899" s="885"/>
      <c r="EM899" s="885"/>
      <c r="EN899" s="885"/>
      <c r="EO899" s="885"/>
      <c r="EP899" s="885"/>
      <c r="EQ899" s="885"/>
      <c r="ER899" s="885"/>
      <c r="ES899" s="885"/>
      <c r="ET899" s="885"/>
      <c r="EU899" s="885"/>
      <c r="EV899" s="885"/>
      <c r="EW899" s="885"/>
      <c r="EX899" s="885"/>
      <c r="EY899" s="885"/>
      <c r="EZ899" s="885"/>
      <c r="FA899" s="885"/>
      <c r="FB899" s="885"/>
      <c r="FC899" s="885"/>
      <c r="FD899" s="885"/>
      <c r="FE899" s="885"/>
      <c r="FF899" s="885"/>
      <c r="FG899" s="885"/>
      <c r="FH899" s="885"/>
      <c r="FI899" s="885"/>
      <c r="FJ899" s="885"/>
      <c r="FK899" s="885"/>
      <c r="FL899" s="885"/>
      <c r="FM899" s="885"/>
      <c r="FN899" s="885"/>
      <c r="FO899" s="885"/>
      <c r="FP899" s="885"/>
      <c r="FQ899" s="885"/>
      <c r="FR899" s="885"/>
      <c r="FS899" s="885"/>
      <c r="FT899" s="885"/>
      <c r="FU899" s="885"/>
      <c r="FV899" s="885"/>
      <c r="FW899" s="885"/>
      <c r="FX899" s="885"/>
      <c r="FY899" s="885"/>
      <c r="FZ899" s="885"/>
      <c r="GA899" s="885"/>
      <c r="GB899" s="885"/>
      <c r="GC899" s="885"/>
      <c r="GD899" s="885"/>
      <c r="GE899" s="885"/>
      <c r="GF899" s="885"/>
      <c r="GG899" s="885"/>
      <c r="GH899" s="885"/>
      <c r="GI899" s="885"/>
      <c r="GJ899" s="885"/>
      <c r="GK899" s="885"/>
      <c r="GL899" s="885"/>
      <c r="GM899" s="885"/>
      <c r="GN899" s="885"/>
      <c r="GO899" s="885"/>
      <c r="GP899" s="885"/>
      <c r="GQ899" s="885"/>
      <c r="GR899" s="885"/>
      <c r="GS899" s="885"/>
      <c r="GT899" s="885"/>
      <c r="GU899" s="885"/>
      <c r="GV899" s="885"/>
      <c r="GW899" s="885"/>
      <c r="GX899" s="885"/>
      <c r="GY899" s="885"/>
      <c r="GZ899" s="885"/>
      <c r="HA899" s="885"/>
      <c r="HB899" s="885"/>
      <c r="HC899" s="885"/>
      <c r="HD899" s="885"/>
      <c r="HE899" s="885"/>
      <c r="HF899" s="885"/>
      <c r="HG899" s="885"/>
      <c r="HH899" s="885"/>
      <c r="HI899" s="885"/>
      <c r="HJ899" s="885"/>
      <c r="HK899" s="885"/>
      <c r="HL899" s="885"/>
      <c r="HM899" s="885"/>
      <c r="HN899" s="885"/>
      <c r="HO899" s="885"/>
      <c r="HP899" s="885"/>
      <c r="HQ899" s="885"/>
      <c r="HR899" s="885"/>
      <c r="HS899" s="885"/>
      <c r="HT899" s="885"/>
      <c r="HU899" s="885"/>
      <c r="HV899" s="885"/>
      <c r="HW899" s="885"/>
      <c r="HX899" s="885"/>
      <c r="HY899" s="885"/>
      <c r="HZ899" s="885"/>
      <c r="IA899" s="885"/>
      <c r="IB899" s="885"/>
      <c r="IC899" s="885"/>
      <c r="ID899" s="885"/>
      <c r="IE899" s="885"/>
      <c r="IF899" s="885"/>
      <c r="IG899" s="885"/>
      <c r="IH899" s="885"/>
      <c r="II899" s="885"/>
      <c r="IJ899" s="885"/>
      <c r="IK899" s="885"/>
      <c r="IL899" s="885"/>
      <c r="IM899" s="885"/>
      <c r="IN899" s="885"/>
      <c r="IO899" s="885"/>
      <c r="IP899" s="885"/>
      <c r="IQ899" s="885"/>
      <c r="IR899" s="885"/>
      <c r="IS899" s="885"/>
      <c r="IT899" s="885"/>
      <c r="IU899" s="885"/>
      <c r="IV899" s="885"/>
      <c r="IW899" s="885"/>
      <c r="IX899" s="885"/>
    </row>
    <row r="900" spans="1:258" s="130" customFormat="1" x14ac:dyDescent="0.25">
      <c r="A900" s="125">
        <f t="shared" si="112"/>
        <v>860</v>
      </c>
      <c r="B900" s="885"/>
      <c r="C900" s="842" t="s">
        <v>10505</v>
      </c>
      <c r="D900" s="924">
        <v>5528.89</v>
      </c>
      <c r="E900" s="906">
        <f>D900/8*13.33</f>
        <v>9212.5129625000009</v>
      </c>
      <c r="F900" s="136">
        <f>E900/12</f>
        <v>767.70941354166678</v>
      </c>
      <c r="G900" s="122" t="s">
        <v>1963</v>
      </c>
      <c r="H900" s="889"/>
      <c r="I900" s="885"/>
      <c r="J900" s="885"/>
      <c r="K900" s="885"/>
      <c r="L900" s="885"/>
      <c r="M900" s="885"/>
      <c r="N900" s="885"/>
      <c r="O900" s="885"/>
      <c r="P900" s="885"/>
      <c r="Q900" s="885"/>
      <c r="R900" s="885"/>
      <c r="S900" s="885"/>
      <c r="T900" s="885"/>
      <c r="U900" s="885"/>
      <c r="V900" s="885"/>
      <c r="W900" s="885"/>
      <c r="X900" s="885"/>
      <c r="Y900" s="885"/>
      <c r="Z900" s="885"/>
      <c r="AA900" s="885"/>
      <c r="AB900" s="885"/>
      <c r="AC900" s="885"/>
      <c r="AD900" s="885"/>
      <c r="AE900" s="885"/>
      <c r="AF900" s="885"/>
      <c r="AG900" s="885"/>
      <c r="AH900" s="885"/>
      <c r="AI900" s="885"/>
      <c r="AJ900" s="885"/>
      <c r="AK900" s="885"/>
      <c r="AL900" s="885"/>
      <c r="AM900" s="885"/>
      <c r="AN900" s="885"/>
      <c r="AO900" s="885"/>
      <c r="AP900" s="885"/>
      <c r="AQ900" s="885"/>
      <c r="AR900" s="885"/>
      <c r="AS900" s="885"/>
      <c r="AT900" s="885"/>
      <c r="AU900" s="885"/>
      <c r="AV900" s="885"/>
      <c r="AW900" s="885"/>
      <c r="AX900" s="885"/>
      <c r="AY900" s="885"/>
      <c r="AZ900" s="885"/>
      <c r="BA900" s="885"/>
      <c r="BB900" s="885"/>
      <c r="BC900" s="885"/>
      <c r="BD900" s="885"/>
      <c r="BE900" s="885"/>
      <c r="BF900" s="885"/>
      <c r="BG900" s="885"/>
      <c r="BH900" s="885"/>
      <c r="BI900" s="885"/>
      <c r="BJ900" s="885"/>
      <c r="BK900" s="885"/>
      <c r="BL900" s="885"/>
      <c r="BM900" s="885"/>
      <c r="BN900" s="885"/>
      <c r="BO900" s="885"/>
      <c r="BP900" s="885"/>
      <c r="BQ900" s="885"/>
      <c r="BR900" s="885"/>
      <c r="BS900" s="885"/>
      <c r="BT900" s="885"/>
      <c r="BU900" s="885"/>
      <c r="BV900" s="885"/>
      <c r="BW900" s="885"/>
      <c r="BX900" s="885"/>
      <c r="BY900" s="885"/>
      <c r="BZ900" s="885"/>
      <c r="CA900" s="885"/>
      <c r="CB900" s="885"/>
      <c r="CC900" s="885"/>
      <c r="CD900" s="885"/>
      <c r="CE900" s="885"/>
      <c r="CF900" s="885"/>
      <c r="CG900" s="885"/>
      <c r="CH900" s="885"/>
      <c r="CI900" s="885"/>
      <c r="CJ900" s="885"/>
      <c r="CK900" s="885"/>
      <c r="CL900" s="885"/>
      <c r="CM900" s="885"/>
      <c r="CN900" s="885"/>
      <c r="CO900" s="885"/>
      <c r="CP900" s="885"/>
      <c r="CQ900" s="885"/>
      <c r="CR900" s="885"/>
      <c r="CS900" s="885"/>
      <c r="CT900" s="885"/>
      <c r="CU900" s="885"/>
      <c r="CV900" s="885"/>
      <c r="CW900" s="885"/>
      <c r="CX900" s="885"/>
      <c r="CY900" s="885"/>
      <c r="CZ900" s="885"/>
      <c r="DA900" s="885"/>
      <c r="DB900" s="885"/>
      <c r="DC900" s="885"/>
      <c r="DD900" s="885"/>
      <c r="DE900" s="885"/>
      <c r="DF900" s="885"/>
      <c r="DG900" s="885"/>
      <c r="DH900" s="885"/>
      <c r="DI900" s="885"/>
      <c r="DJ900" s="885"/>
      <c r="DK900" s="885"/>
      <c r="DL900" s="885"/>
      <c r="DM900" s="885"/>
      <c r="DN900" s="885"/>
      <c r="DO900" s="885"/>
      <c r="DP900" s="885"/>
      <c r="DQ900" s="885"/>
      <c r="DR900" s="885"/>
      <c r="DS900" s="885"/>
      <c r="DT900" s="885"/>
      <c r="DU900" s="885"/>
      <c r="DV900" s="885"/>
      <c r="DW900" s="885"/>
      <c r="DX900" s="885"/>
      <c r="DY900" s="885"/>
      <c r="DZ900" s="885"/>
      <c r="EA900" s="885"/>
      <c r="EB900" s="885"/>
      <c r="EC900" s="885"/>
      <c r="ED900" s="885"/>
      <c r="EE900" s="885"/>
      <c r="EF900" s="885"/>
      <c r="EG900" s="885"/>
      <c r="EH900" s="885"/>
      <c r="EI900" s="885"/>
      <c r="EJ900" s="885"/>
      <c r="EK900" s="885"/>
      <c r="EL900" s="885"/>
      <c r="EM900" s="885"/>
      <c r="EN900" s="885"/>
      <c r="EO900" s="885"/>
      <c r="EP900" s="885"/>
      <c r="EQ900" s="885"/>
      <c r="ER900" s="885"/>
      <c r="ES900" s="885"/>
      <c r="ET900" s="885"/>
      <c r="EU900" s="885"/>
      <c r="EV900" s="885"/>
      <c r="EW900" s="885"/>
      <c r="EX900" s="885"/>
      <c r="EY900" s="885"/>
      <c r="EZ900" s="885"/>
      <c r="FA900" s="885"/>
      <c r="FB900" s="885"/>
      <c r="FC900" s="885"/>
      <c r="FD900" s="885"/>
      <c r="FE900" s="885"/>
      <c r="FF900" s="885"/>
      <c r="FG900" s="885"/>
      <c r="FH900" s="885"/>
      <c r="FI900" s="885"/>
      <c r="FJ900" s="885"/>
      <c r="FK900" s="885"/>
      <c r="FL900" s="885"/>
      <c r="FM900" s="885"/>
      <c r="FN900" s="885"/>
      <c r="FO900" s="885"/>
      <c r="FP900" s="885"/>
      <c r="FQ900" s="885"/>
      <c r="FR900" s="885"/>
      <c r="FS900" s="885"/>
      <c r="FT900" s="885"/>
      <c r="FU900" s="885"/>
      <c r="FV900" s="885"/>
      <c r="FW900" s="885"/>
      <c r="FX900" s="885"/>
      <c r="FY900" s="885"/>
      <c r="FZ900" s="885"/>
      <c r="GA900" s="885"/>
      <c r="GB900" s="885"/>
      <c r="GC900" s="885"/>
      <c r="GD900" s="885"/>
      <c r="GE900" s="885"/>
      <c r="GF900" s="885"/>
      <c r="GG900" s="885"/>
      <c r="GH900" s="885"/>
      <c r="GI900" s="885"/>
      <c r="GJ900" s="885"/>
      <c r="GK900" s="885"/>
      <c r="GL900" s="885"/>
      <c r="GM900" s="885"/>
      <c r="GN900" s="885"/>
      <c r="GO900" s="885"/>
      <c r="GP900" s="885"/>
      <c r="GQ900" s="885"/>
      <c r="GR900" s="885"/>
      <c r="GS900" s="885"/>
      <c r="GT900" s="885"/>
      <c r="GU900" s="885"/>
      <c r="GV900" s="885"/>
      <c r="GW900" s="885"/>
      <c r="GX900" s="885"/>
      <c r="GY900" s="885"/>
      <c r="GZ900" s="885"/>
      <c r="HA900" s="885"/>
      <c r="HB900" s="885"/>
      <c r="HC900" s="885"/>
      <c r="HD900" s="885"/>
      <c r="HE900" s="885"/>
      <c r="HF900" s="885"/>
      <c r="HG900" s="885"/>
      <c r="HH900" s="885"/>
      <c r="HI900" s="885"/>
      <c r="HJ900" s="885"/>
      <c r="HK900" s="885"/>
      <c r="HL900" s="885"/>
      <c r="HM900" s="885"/>
      <c r="HN900" s="885"/>
      <c r="HO900" s="885"/>
      <c r="HP900" s="885"/>
      <c r="HQ900" s="885"/>
      <c r="HR900" s="885"/>
      <c r="HS900" s="885"/>
      <c r="HT900" s="885"/>
      <c r="HU900" s="885"/>
      <c r="HV900" s="885"/>
      <c r="HW900" s="885"/>
      <c r="HX900" s="885"/>
      <c r="HY900" s="885"/>
      <c r="HZ900" s="885"/>
      <c r="IA900" s="885"/>
      <c r="IB900" s="885"/>
      <c r="IC900" s="885"/>
      <c r="ID900" s="885"/>
      <c r="IE900" s="885"/>
      <c r="IF900" s="885"/>
      <c r="IG900" s="885"/>
      <c r="IH900" s="885"/>
      <c r="II900" s="885"/>
      <c r="IJ900" s="885"/>
      <c r="IK900" s="885"/>
      <c r="IL900" s="885"/>
      <c r="IM900" s="885"/>
      <c r="IN900" s="885"/>
      <c r="IO900" s="885"/>
      <c r="IP900" s="885"/>
      <c r="IQ900" s="885"/>
      <c r="IR900" s="885"/>
      <c r="IS900" s="885"/>
      <c r="IT900" s="885"/>
      <c r="IU900" s="885"/>
      <c r="IV900" s="885"/>
      <c r="IW900" s="885"/>
      <c r="IX900" s="885"/>
    </row>
    <row r="901" spans="1:258" s="130" customFormat="1" x14ac:dyDescent="0.25">
      <c r="A901" s="125">
        <f t="shared" si="112"/>
        <v>861</v>
      </c>
      <c r="B901" s="981"/>
      <c r="C901" s="134" t="s">
        <v>11577</v>
      </c>
      <c r="D901" s="924">
        <v>124.14</v>
      </c>
      <c r="E901" s="906">
        <f>D901*13.33</f>
        <v>1654.7862</v>
      </c>
      <c r="F901" s="136">
        <f>E901/13.33</f>
        <v>124.14</v>
      </c>
      <c r="G901" s="122"/>
      <c r="H901" s="982"/>
      <c r="I901" s="981"/>
      <c r="J901" s="981"/>
      <c r="K901" s="981"/>
      <c r="L901" s="981"/>
      <c r="M901" s="981"/>
      <c r="N901" s="981"/>
      <c r="O901" s="981"/>
      <c r="P901" s="981"/>
      <c r="Q901" s="981"/>
      <c r="R901" s="981"/>
      <c r="S901" s="981"/>
      <c r="T901" s="981"/>
      <c r="U901" s="981"/>
      <c r="V901" s="981"/>
      <c r="W901" s="981"/>
      <c r="X901" s="981"/>
      <c r="Y901" s="981"/>
      <c r="Z901" s="981"/>
      <c r="AA901" s="981"/>
      <c r="AB901" s="981"/>
      <c r="AC901" s="981"/>
      <c r="AD901" s="981"/>
      <c r="AE901" s="981"/>
      <c r="AF901" s="981"/>
      <c r="AG901" s="981"/>
      <c r="AH901" s="981"/>
      <c r="AI901" s="981"/>
      <c r="AJ901" s="981"/>
      <c r="AK901" s="981"/>
      <c r="AL901" s="981"/>
      <c r="AM901" s="981"/>
      <c r="AN901" s="981"/>
      <c r="AO901" s="981"/>
      <c r="AP901" s="981"/>
      <c r="AQ901" s="981"/>
      <c r="AR901" s="981"/>
      <c r="AS901" s="981"/>
      <c r="AT901" s="981"/>
      <c r="AU901" s="981"/>
      <c r="AV901" s="981"/>
      <c r="AW901" s="981"/>
      <c r="AX901" s="981"/>
      <c r="AY901" s="981"/>
      <c r="AZ901" s="981"/>
      <c r="BA901" s="981"/>
      <c r="BB901" s="981"/>
      <c r="BC901" s="981"/>
      <c r="BD901" s="981"/>
      <c r="BE901" s="981"/>
      <c r="BF901" s="981"/>
      <c r="BG901" s="981"/>
      <c r="BH901" s="981"/>
      <c r="BI901" s="981"/>
      <c r="BJ901" s="981"/>
      <c r="BK901" s="981"/>
      <c r="BL901" s="981"/>
      <c r="BM901" s="981"/>
      <c r="BN901" s="981"/>
      <c r="BO901" s="981"/>
      <c r="BP901" s="981"/>
      <c r="BQ901" s="981"/>
      <c r="BR901" s="981"/>
      <c r="BS901" s="981"/>
      <c r="BT901" s="981"/>
      <c r="BU901" s="981"/>
      <c r="BV901" s="981"/>
      <c r="BW901" s="981"/>
      <c r="BX901" s="981"/>
      <c r="BY901" s="981"/>
      <c r="BZ901" s="981"/>
      <c r="CA901" s="981"/>
      <c r="CB901" s="981"/>
      <c r="CC901" s="981"/>
      <c r="CD901" s="981"/>
      <c r="CE901" s="981"/>
      <c r="CF901" s="981"/>
      <c r="CG901" s="981"/>
      <c r="CH901" s="981"/>
      <c r="CI901" s="981"/>
      <c r="CJ901" s="981"/>
      <c r="CK901" s="981"/>
      <c r="CL901" s="981"/>
      <c r="CM901" s="981"/>
      <c r="CN901" s="981"/>
      <c r="CO901" s="981"/>
      <c r="CP901" s="981"/>
      <c r="CQ901" s="981"/>
      <c r="CR901" s="981"/>
      <c r="CS901" s="981"/>
      <c r="CT901" s="981"/>
      <c r="CU901" s="981"/>
      <c r="CV901" s="981"/>
      <c r="CW901" s="981"/>
      <c r="CX901" s="981"/>
      <c r="CY901" s="981"/>
      <c r="CZ901" s="981"/>
      <c r="DA901" s="981"/>
      <c r="DB901" s="981"/>
      <c r="DC901" s="981"/>
      <c r="DD901" s="981"/>
      <c r="DE901" s="981"/>
      <c r="DF901" s="981"/>
      <c r="DG901" s="981"/>
      <c r="DH901" s="981"/>
      <c r="DI901" s="981"/>
      <c r="DJ901" s="981"/>
      <c r="DK901" s="981"/>
      <c r="DL901" s="981"/>
      <c r="DM901" s="981"/>
      <c r="DN901" s="981"/>
      <c r="DO901" s="981"/>
      <c r="DP901" s="981"/>
      <c r="DQ901" s="981"/>
      <c r="DR901" s="981"/>
      <c r="DS901" s="981"/>
      <c r="DT901" s="981"/>
      <c r="DU901" s="981"/>
      <c r="DV901" s="981"/>
      <c r="DW901" s="981"/>
      <c r="DX901" s="981"/>
      <c r="DY901" s="981"/>
      <c r="DZ901" s="981"/>
      <c r="EA901" s="981"/>
      <c r="EB901" s="981"/>
      <c r="EC901" s="981"/>
      <c r="ED901" s="981"/>
      <c r="EE901" s="981"/>
      <c r="EF901" s="981"/>
      <c r="EG901" s="981"/>
      <c r="EH901" s="981"/>
      <c r="EI901" s="981"/>
      <c r="EJ901" s="981"/>
      <c r="EK901" s="981"/>
      <c r="EL901" s="981"/>
      <c r="EM901" s="981"/>
      <c r="EN901" s="981"/>
      <c r="EO901" s="981"/>
      <c r="EP901" s="981"/>
      <c r="EQ901" s="981"/>
      <c r="ER901" s="981"/>
      <c r="ES901" s="981"/>
      <c r="ET901" s="981"/>
      <c r="EU901" s="981"/>
      <c r="EV901" s="981"/>
      <c r="EW901" s="981"/>
      <c r="EX901" s="981"/>
      <c r="EY901" s="981"/>
      <c r="EZ901" s="981"/>
      <c r="FA901" s="981"/>
      <c r="FB901" s="981"/>
      <c r="FC901" s="981"/>
      <c r="FD901" s="981"/>
      <c r="FE901" s="981"/>
      <c r="FF901" s="981"/>
      <c r="FG901" s="981"/>
      <c r="FH901" s="981"/>
      <c r="FI901" s="981"/>
      <c r="FJ901" s="981"/>
      <c r="FK901" s="981"/>
      <c r="FL901" s="981"/>
      <c r="FM901" s="981"/>
      <c r="FN901" s="981"/>
      <c r="FO901" s="981"/>
      <c r="FP901" s="981"/>
      <c r="FQ901" s="981"/>
      <c r="FR901" s="981"/>
      <c r="FS901" s="981"/>
      <c r="FT901" s="981"/>
      <c r="FU901" s="981"/>
      <c r="FV901" s="981"/>
      <c r="FW901" s="981"/>
      <c r="FX901" s="981"/>
      <c r="FY901" s="981"/>
      <c r="FZ901" s="981"/>
      <c r="GA901" s="981"/>
      <c r="GB901" s="981"/>
      <c r="GC901" s="981"/>
      <c r="GD901" s="981"/>
      <c r="GE901" s="981"/>
      <c r="GF901" s="981"/>
      <c r="GG901" s="981"/>
      <c r="GH901" s="981"/>
      <c r="GI901" s="981"/>
      <c r="GJ901" s="981"/>
      <c r="GK901" s="981"/>
      <c r="GL901" s="981"/>
      <c r="GM901" s="981"/>
      <c r="GN901" s="981"/>
      <c r="GO901" s="981"/>
      <c r="GP901" s="981"/>
      <c r="GQ901" s="981"/>
      <c r="GR901" s="981"/>
      <c r="GS901" s="981"/>
      <c r="GT901" s="981"/>
      <c r="GU901" s="981"/>
      <c r="GV901" s="981"/>
      <c r="GW901" s="981"/>
      <c r="GX901" s="981"/>
      <c r="GY901" s="981"/>
      <c r="GZ901" s="981"/>
      <c r="HA901" s="981"/>
      <c r="HB901" s="981"/>
      <c r="HC901" s="981"/>
      <c r="HD901" s="981"/>
      <c r="HE901" s="981"/>
      <c r="HF901" s="981"/>
      <c r="HG901" s="981"/>
      <c r="HH901" s="981"/>
      <c r="HI901" s="981"/>
      <c r="HJ901" s="981"/>
      <c r="HK901" s="981"/>
      <c r="HL901" s="981"/>
      <c r="HM901" s="981"/>
      <c r="HN901" s="981"/>
      <c r="HO901" s="981"/>
      <c r="HP901" s="981"/>
      <c r="HQ901" s="981"/>
      <c r="HR901" s="981"/>
      <c r="HS901" s="981"/>
      <c r="HT901" s="981"/>
      <c r="HU901" s="981"/>
      <c r="HV901" s="981"/>
      <c r="HW901" s="981"/>
      <c r="HX901" s="981"/>
      <c r="HY901" s="981"/>
      <c r="HZ901" s="981"/>
      <c r="IA901" s="981"/>
      <c r="IB901" s="981"/>
      <c r="IC901" s="981"/>
      <c r="ID901" s="981"/>
      <c r="IE901" s="981"/>
      <c r="IF901" s="981"/>
      <c r="IG901" s="981"/>
      <c r="IH901" s="981"/>
      <c r="II901" s="981"/>
      <c r="IJ901" s="981"/>
      <c r="IK901" s="981"/>
      <c r="IL901" s="981"/>
      <c r="IM901" s="981"/>
      <c r="IN901" s="981"/>
      <c r="IO901" s="981"/>
      <c r="IP901" s="981"/>
      <c r="IQ901" s="981"/>
      <c r="IR901" s="981"/>
      <c r="IS901" s="981"/>
      <c r="IT901" s="981"/>
      <c r="IU901" s="981"/>
      <c r="IV901" s="981"/>
      <c r="IW901" s="981"/>
      <c r="IX901" s="981"/>
    </row>
    <row r="902" spans="1:258" s="130" customFormat="1" x14ac:dyDescent="0.25">
      <c r="A902" s="125">
        <f t="shared" si="112"/>
        <v>862</v>
      </c>
      <c r="B902" s="885"/>
      <c r="C902" s="842" t="s">
        <v>10504</v>
      </c>
      <c r="D902" s="924">
        <v>37936.959999999999</v>
      </c>
      <c r="E902" s="906">
        <f>D902/8*13.33</f>
        <v>63212.459600000002</v>
      </c>
      <c r="F902" s="136">
        <f>(E902/12)</f>
        <v>5267.7049666666671</v>
      </c>
      <c r="G902" s="122" t="s">
        <v>1963</v>
      </c>
      <c r="H902" s="889"/>
      <c r="I902" s="885"/>
      <c r="J902" s="885"/>
      <c r="K902" s="885"/>
      <c r="L902" s="885"/>
      <c r="M902" s="885"/>
      <c r="N902" s="885"/>
      <c r="O902" s="885"/>
      <c r="P902" s="885"/>
      <c r="Q902" s="885"/>
      <c r="R902" s="885"/>
      <c r="S902" s="885"/>
      <c r="T902" s="885"/>
      <c r="U902" s="885"/>
      <c r="V902" s="885"/>
      <c r="W902" s="885"/>
      <c r="X902" s="885"/>
      <c r="Y902" s="885"/>
      <c r="Z902" s="885"/>
      <c r="AA902" s="885"/>
      <c r="AB902" s="885"/>
      <c r="AC902" s="885"/>
      <c r="AD902" s="885"/>
      <c r="AE902" s="885"/>
      <c r="AF902" s="885"/>
      <c r="AG902" s="885"/>
      <c r="AH902" s="885"/>
      <c r="AI902" s="885"/>
      <c r="AJ902" s="885"/>
      <c r="AK902" s="885"/>
      <c r="AL902" s="885"/>
      <c r="AM902" s="885"/>
      <c r="AN902" s="885"/>
      <c r="AO902" s="885"/>
      <c r="AP902" s="885"/>
      <c r="AQ902" s="885"/>
      <c r="AR902" s="885"/>
      <c r="AS902" s="885"/>
      <c r="AT902" s="885"/>
      <c r="AU902" s="885"/>
      <c r="AV902" s="885"/>
      <c r="AW902" s="885"/>
      <c r="AX902" s="885"/>
      <c r="AY902" s="885"/>
      <c r="AZ902" s="885"/>
      <c r="BA902" s="885"/>
      <c r="BB902" s="885"/>
      <c r="BC902" s="885"/>
      <c r="BD902" s="885"/>
      <c r="BE902" s="885"/>
      <c r="BF902" s="885"/>
      <c r="BG902" s="885"/>
      <c r="BH902" s="885"/>
      <c r="BI902" s="885"/>
      <c r="BJ902" s="885"/>
      <c r="BK902" s="885"/>
      <c r="BL902" s="885"/>
      <c r="BM902" s="885"/>
      <c r="BN902" s="885"/>
      <c r="BO902" s="885"/>
      <c r="BP902" s="885"/>
      <c r="BQ902" s="885"/>
      <c r="BR902" s="885"/>
      <c r="BS902" s="885"/>
      <c r="BT902" s="885"/>
      <c r="BU902" s="885"/>
      <c r="BV902" s="885"/>
      <c r="BW902" s="885"/>
      <c r="BX902" s="885"/>
      <c r="BY902" s="885"/>
      <c r="BZ902" s="885"/>
      <c r="CA902" s="885"/>
      <c r="CB902" s="885"/>
      <c r="CC902" s="885"/>
      <c r="CD902" s="885"/>
      <c r="CE902" s="885"/>
      <c r="CF902" s="885"/>
      <c r="CG902" s="885"/>
      <c r="CH902" s="885"/>
      <c r="CI902" s="885"/>
      <c r="CJ902" s="885"/>
      <c r="CK902" s="885"/>
      <c r="CL902" s="885"/>
      <c r="CM902" s="885"/>
      <c r="CN902" s="885"/>
      <c r="CO902" s="885"/>
      <c r="CP902" s="885"/>
      <c r="CQ902" s="885"/>
      <c r="CR902" s="885"/>
      <c r="CS902" s="885"/>
      <c r="CT902" s="885"/>
      <c r="CU902" s="885"/>
      <c r="CV902" s="885"/>
      <c r="CW902" s="885"/>
      <c r="CX902" s="885"/>
      <c r="CY902" s="885"/>
      <c r="CZ902" s="885"/>
      <c r="DA902" s="885"/>
      <c r="DB902" s="885"/>
      <c r="DC902" s="885"/>
      <c r="DD902" s="885"/>
      <c r="DE902" s="885"/>
      <c r="DF902" s="885"/>
      <c r="DG902" s="885"/>
      <c r="DH902" s="885"/>
      <c r="DI902" s="885"/>
      <c r="DJ902" s="885"/>
      <c r="DK902" s="885"/>
      <c r="DL902" s="885"/>
      <c r="DM902" s="885"/>
      <c r="DN902" s="885"/>
      <c r="DO902" s="885"/>
      <c r="DP902" s="885"/>
      <c r="DQ902" s="885"/>
      <c r="DR902" s="885"/>
      <c r="DS902" s="885"/>
      <c r="DT902" s="885"/>
      <c r="DU902" s="885"/>
      <c r="DV902" s="885"/>
      <c r="DW902" s="885"/>
      <c r="DX902" s="885"/>
      <c r="DY902" s="885"/>
      <c r="DZ902" s="885"/>
      <c r="EA902" s="885"/>
      <c r="EB902" s="885"/>
      <c r="EC902" s="885"/>
      <c r="ED902" s="885"/>
      <c r="EE902" s="885"/>
      <c r="EF902" s="885"/>
      <c r="EG902" s="885"/>
      <c r="EH902" s="885"/>
      <c r="EI902" s="885"/>
      <c r="EJ902" s="885"/>
      <c r="EK902" s="885"/>
      <c r="EL902" s="885"/>
      <c r="EM902" s="885"/>
      <c r="EN902" s="885"/>
      <c r="EO902" s="885"/>
      <c r="EP902" s="885"/>
      <c r="EQ902" s="885"/>
      <c r="ER902" s="885"/>
      <c r="ES902" s="885"/>
      <c r="ET902" s="885"/>
      <c r="EU902" s="885"/>
      <c r="EV902" s="885"/>
      <c r="EW902" s="885"/>
      <c r="EX902" s="885"/>
      <c r="EY902" s="885"/>
      <c r="EZ902" s="885"/>
      <c r="FA902" s="885"/>
      <c r="FB902" s="885"/>
      <c r="FC902" s="885"/>
      <c r="FD902" s="885"/>
      <c r="FE902" s="885"/>
      <c r="FF902" s="885"/>
      <c r="FG902" s="885"/>
      <c r="FH902" s="885"/>
      <c r="FI902" s="885"/>
      <c r="FJ902" s="885"/>
      <c r="FK902" s="885"/>
      <c r="FL902" s="885"/>
      <c r="FM902" s="885"/>
      <c r="FN902" s="885"/>
      <c r="FO902" s="885"/>
      <c r="FP902" s="885"/>
      <c r="FQ902" s="885"/>
      <c r="FR902" s="885"/>
      <c r="FS902" s="885"/>
      <c r="FT902" s="885"/>
      <c r="FU902" s="885"/>
      <c r="FV902" s="885"/>
      <c r="FW902" s="885"/>
      <c r="FX902" s="885"/>
      <c r="FY902" s="885"/>
      <c r="FZ902" s="885"/>
      <c r="GA902" s="885"/>
      <c r="GB902" s="885"/>
      <c r="GC902" s="885"/>
      <c r="GD902" s="885"/>
      <c r="GE902" s="885"/>
      <c r="GF902" s="885"/>
      <c r="GG902" s="885"/>
      <c r="GH902" s="885"/>
      <c r="GI902" s="885"/>
      <c r="GJ902" s="885"/>
      <c r="GK902" s="885"/>
      <c r="GL902" s="885"/>
      <c r="GM902" s="885"/>
      <c r="GN902" s="885"/>
      <c r="GO902" s="885"/>
      <c r="GP902" s="885"/>
      <c r="GQ902" s="885"/>
      <c r="GR902" s="885"/>
      <c r="GS902" s="885"/>
      <c r="GT902" s="885"/>
      <c r="GU902" s="885"/>
      <c r="GV902" s="885"/>
      <c r="GW902" s="885"/>
      <c r="GX902" s="885"/>
      <c r="GY902" s="885"/>
      <c r="GZ902" s="885"/>
      <c r="HA902" s="885"/>
      <c r="HB902" s="885"/>
      <c r="HC902" s="885"/>
      <c r="HD902" s="885"/>
      <c r="HE902" s="885"/>
      <c r="HF902" s="885"/>
      <c r="HG902" s="885"/>
      <c r="HH902" s="885"/>
      <c r="HI902" s="885"/>
      <c r="HJ902" s="885"/>
      <c r="HK902" s="885"/>
      <c r="HL902" s="885"/>
      <c r="HM902" s="885"/>
      <c r="HN902" s="885"/>
      <c r="HO902" s="885"/>
      <c r="HP902" s="885"/>
      <c r="HQ902" s="885"/>
      <c r="HR902" s="885"/>
      <c r="HS902" s="885"/>
      <c r="HT902" s="885"/>
      <c r="HU902" s="885"/>
      <c r="HV902" s="885"/>
      <c r="HW902" s="885"/>
      <c r="HX902" s="885"/>
      <c r="HY902" s="885"/>
      <c r="HZ902" s="885"/>
      <c r="IA902" s="885"/>
      <c r="IB902" s="885"/>
      <c r="IC902" s="885"/>
      <c r="ID902" s="885"/>
      <c r="IE902" s="885"/>
      <c r="IF902" s="885"/>
      <c r="IG902" s="885"/>
      <c r="IH902" s="885"/>
      <c r="II902" s="885"/>
      <c r="IJ902" s="885"/>
      <c r="IK902" s="885"/>
      <c r="IL902" s="885"/>
      <c r="IM902" s="885"/>
      <c r="IN902" s="885"/>
      <c r="IO902" s="885"/>
      <c r="IP902" s="885"/>
      <c r="IQ902" s="885"/>
      <c r="IR902" s="885"/>
      <c r="IS902" s="885"/>
      <c r="IT902" s="885"/>
      <c r="IU902" s="885"/>
      <c r="IV902" s="885"/>
      <c r="IW902" s="885"/>
      <c r="IX902" s="885"/>
    </row>
    <row r="903" spans="1:258" s="130" customFormat="1" x14ac:dyDescent="0.25">
      <c r="A903" s="125">
        <f t="shared" si="112"/>
        <v>863</v>
      </c>
      <c r="B903" s="948"/>
      <c r="C903" s="842" t="s">
        <v>11532</v>
      </c>
      <c r="D903" s="924">
        <v>9313.67</v>
      </c>
      <c r="E903" s="906">
        <f t="shared" ref="E903" si="115">D903/8*12</f>
        <v>13970.505000000001</v>
      </c>
      <c r="F903" s="136">
        <f>E903</f>
        <v>13970.505000000001</v>
      </c>
      <c r="G903" s="122"/>
      <c r="H903" s="950"/>
      <c r="I903" s="948"/>
      <c r="J903" s="948"/>
      <c r="K903" s="948"/>
      <c r="L903" s="948"/>
      <c r="M903" s="948"/>
      <c r="N903" s="948"/>
      <c r="O903" s="948"/>
      <c r="P903" s="948"/>
      <c r="Q903" s="948"/>
      <c r="R903" s="948"/>
      <c r="S903" s="948"/>
      <c r="T903" s="948"/>
      <c r="U903" s="948"/>
      <c r="V903" s="948"/>
      <c r="W903" s="948"/>
      <c r="X903" s="948"/>
      <c r="Y903" s="948"/>
      <c r="Z903" s="948"/>
      <c r="AA903" s="948"/>
      <c r="AB903" s="948"/>
      <c r="AC903" s="948"/>
      <c r="AD903" s="948"/>
      <c r="AE903" s="948"/>
      <c r="AF903" s="948"/>
      <c r="AG903" s="948"/>
      <c r="AH903" s="948"/>
      <c r="AI903" s="948"/>
      <c r="AJ903" s="948"/>
      <c r="AK903" s="948"/>
      <c r="AL903" s="948"/>
      <c r="AM903" s="948"/>
      <c r="AN903" s="948"/>
      <c r="AO903" s="948"/>
      <c r="AP903" s="948"/>
      <c r="AQ903" s="948"/>
      <c r="AR903" s="948"/>
      <c r="AS903" s="948"/>
      <c r="AT903" s="948"/>
      <c r="AU903" s="948"/>
      <c r="AV903" s="948"/>
      <c r="AW903" s="948"/>
      <c r="AX903" s="948"/>
      <c r="AY903" s="948"/>
      <c r="AZ903" s="948"/>
      <c r="BA903" s="948"/>
      <c r="BB903" s="948"/>
      <c r="BC903" s="948"/>
      <c r="BD903" s="948"/>
      <c r="BE903" s="948"/>
      <c r="BF903" s="948"/>
      <c r="BG903" s="948"/>
      <c r="BH903" s="948"/>
      <c r="BI903" s="948"/>
      <c r="BJ903" s="948"/>
      <c r="BK903" s="948"/>
      <c r="BL903" s="948"/>
      <c r="BM903" s="948"/>
      <c r="BN903" s="948"/>
      <c r="BO903" s="948"/>
      <c r="BP903" s="948"/>
      <c r="BQ903" s="948"/>
      <c r="BR903" s="948"/>
      <c r="BS903" s="948"/>
      <c r="BT903" s="948"/>
      <c r="BU903" s="948"/>
      <c r="BV903" s="948"/>
      <c r="BW903" s="948"/>
      <c r="BX903" s="948"/>
      <c r="BY903" s="948"/>
      <c r="BZ903" s="948"/>
      <c r="CA903" s="948"/>
      <c r="CB903" s="948"/>
      <c r="CC903" s="948"/>
      <c r="CD903" s="948"/>
      <c r="CE903" s="948"/>
      <c r="CF903" s="948"/>
      <c r="CG903" s="948"/>
      <c r="CH903" s="948"/>
      <c r="CI903" s="948"/>
      <c r="CJ903" s="948"/>
      <c r="CK903" s="948"/>
      <c r="CL903" s="948"/>
      <c r="CM903" s="948"/>
      <c r="CN903" s="948"/>
      <c r="CO903" s="948"/>
      <c r="CP903" s="948"/>
      <c r="CQ903" s="948"/>
      <c r="CR903" s="948"/>
      <c r="CS903" s="948"/>
      <c r="CT903" s="948"/>
      <c r="CU903" s="948"/>
      <c r="CV903" s="948"/>
      <c r="CW903" s="948"/>
      <c r="CX903" s="948"/>
      <c r="CY903" s="948"/>
      <c r="CZ903" s="948"/>
      <c r="DA903" s="948"/>
      <c r="DB903" s="948"/>
      <c r="DC903" s="948"/>
      <c r="DD903" s="948"/>
      <c r="DE903" s="948"/>
      <c r="DF903" s="948"/>
      <c r="DG903" s="948"/>
      <c r="DH903" s="948"/>
      <c r="DI903" s="948"/>
      <c r="DJ903" s="948"/>
      <c r="DK903" s="948"/>
      <c r="DL903" s="948"/>
      <c r="DM903" s="948"/>
      <c r="DN903" s="948"/>
      <c r="DO903" s="948"/>
      <c r="DP903" s="948"/>
      <c r="DQ903" s="948"/>
      <c r="DR903" s="948"/>
      <c r="DS903" s="948"/>
      <c r="DT903" s="948"/>
      <c r="DU903" s="948"/>
      <c r="DV903" s="948"/>
      <c r="DW903" s="948"/>
      <c r="DX903" s="948"/>
      <c r="DY903" s="948"/>
      <c r="DZ903" s="948"/>
      <c r="EA903" s="948"/>
      <c r="EB903" s="948"/>
      <c r="EC903" s="948"/>
      <c r="ED903" s="948"/>
      <c r="EE903" s="948"/>
      <c r="EF903" s="948"/>
      <c r="EG903" s="948"/>
      <c r="EH903" s="948"/>
      <c r="EI903" s="948"/>
      <c r="EJ903" s="948"/>
      <c r="EK903" s="948"/>
      <c r="EL903" s="948"/>
      <c r="EM903" s="948"/>
      <c r="EN903" s="948"/>
      <c r="EO903" s="948"/>
      <c r="EP903" s="948"/>
      <c r="EQ903" s="948"/>
      <c r="ER903" s="948"/>
      <c r="ES903" s="948"/>
      <c r="ET903" s="948"/>
      <c r="EU903" s="948"/>
      <c r="EV903" s="948"/>
      <c r="EW903" s="948"/>
      <c r="EX903" s="948"/>
      <c r="EY903" s="948"/>
      <c r="EZ903" s="948"/>
      <c r="FA903" s="948"/>
      <c r="FB903" s="948"/>
      <c r="FC903" s="948"/>
      <c r="FD903" s="948"/>
      <c r="FE903" s="948"/>
      <c r="FF903" s="948"/>
      <c r="FG903" s="948"/>
      <c r="FH903" s="948"/>
      <c r="FI903" s="948"/>
      <c r="FJ903" s="948"/>
      <c r="FK903" s="948"/>
      <c r="FL903" s="948"/>
      <c r="FM903" s="948"/>
      <c r="FN903" s="948"/>
      <c r="FO903" s="948"/>
      <c r="FP903" s="948"/>
      <c r="FQ903" s="948"/>
      <c r="FR903" s="948"/>
      <c r="FS903" s="948"/>
      <c r="FT903" s="948"/>
      <c r="FU903" s="948"/>
      <c r="FV903" s="948"/>
      <c r="FW903" s="948"/>
      <c r="FX903" s="948"/>
      <c r="FY903" s="948"/>
      <c r="FZ903" s="948"/>
      <c r="GA903" s="948"/>
      <c r="GB903" s="948"/>
      <c r="GC903" s="948"/>
      <c r="GD903" s="948"/>
      <c r="GE903" s="948"/>
      <c r="GF903" s="948"/>
      <c r="GG903" s="948"/>
      <c r="GH903" s="948"/>
      <c r="GI903" s="948"/>
      <c r="GJ903" s="948"/>
      <c r="GK903" s="948"/>
      <c r="GL903" s="948"/>
      <c r="GM903" s="948"/>
      <c r="GN903" s="948"/>
      <c r="GO903" s="948"/>
      <c r="GP903" s="948"/>
      <c r="GQ903" s="948"/>
      <c r="GR903" s="948"/>
      <c r="GS903" s="948"/>
      <c r="GT903" s="948"/>
      <c r="GU903" s="948"/>
      <c r="GV903" s="948"/>
      <c r="GW903" s="948"/>
      <c r="GX903" s="948"/>
      <c r="GY903" s="948"/>
      <c r="GZ903" s="948"/>
      <c r="HA903" s="948"/>
      <c r="HB903" s="948"/>
      <c r="HC903" s="948"/>
      <c r="HD903" s="948"/>
      <c r="HE903" s="948"/>
      <c r="HF903" s="948"/>
      <c r="HG903" s="948"/>
      <c r="HH903" s="948"/>
      <c r="HI903" s="948"/>
      <c r="HJ903" s="948"/>
      <c r="HK903" s="948"/>
      <c r="HL903" s="948"/>
      <c r="HM903" s="948"/>
      <c r="HN903" s="948"/>
      <c r="HO903" s="948"/>
      <c r="HP903" s="948"/>
      <c r="HQ903" s="948"/>
      <c r="HR903" s="948"/>
      <c r="HS903" s="948"/>
      <c r="HT903" s="948"/>
      <c r="HU903" s="948"/>
      <c r="HV903" s="948"/>
      <c r="HW903" s="948"/>
      <c r="HX903" s="948"/>
      <c r="HY903" s="948"/>
      <c r="HZ903" s="948"/>
      <c r="IA903" s="948"/>
      <c r="IB903" s="948"/>
      <c r="IC903" s="948"/>
      <c r="ID903" s="948"/>
      <c r="IE903" s="948"/>
      <c r="IF903" s="948"/>
      <c r="IG903" s="948"/>
      <c r="IH903" s="948"/>
      <c r="II903" s="948"/>
      <c r="IJ903" s="948"/>
      <c r="IK903" s="948"/>
      <c r="IL903" s="948"/>
      <c r="IM903" s="948"/>
      <c r="IN903" s="948"/>
      <c r="IO903" s="948"/>
      <c r="IP903" s="948"/>
      <c r="IQ903" s="948"/>
      <c r="IR903" s="948"/>
      <c r="IS903" s="948"/>
      <c r="IT903" s="948"/>
      <c r="IU903" s="948"/>
      <c r="IV903" s="948"/>
      <c r="IW903" s="948"/>
      <c r="IX903" s="948"/>
    </row>
    <row r="904" spans="1:258" s="130" customFormat="1" x14ac:dyDescent="0.25">
      <c r="A904" s="125">
        <f t="shared" si="112"/>
        <v>864</v>
      </c>
      <c r="B904" s="885"/>
      <c r="C904" s="842" t="s">
        <v>10503</v>
      </c>
      <c r="D904" s="924">
        <v>12718.36</v>
      </c>
      <c r="E904" s="906">
        <f>D904/8*12</f>
        <v>19077.54</v>
      </c>
      <c r="F904" s="136">
        <f>(E904/12)</f>
        <v>1589.7950000000001</v>
      </c>
      <c r="G904" s="122" t="s">
        <v>1963</v>
      </c>
      <c r="H904" s="889"/>
      <c r="I904" s="885"/>
      <c r="J904" s="885"/>
      <c r="K904" s="885"/>
      <c r="L904" s="885"/>
      <c r="M904" s="885"/>
      <c r="N904" s="885"/>
      <c r="O904" s="885"/>
      <c r="P904" s="885"/>
      <c r="Q904" s="885"/>
      <c r="R904" s="885"/>
      <c r="S904" s="885"/>
      <c r="T904" s="885"/>
      <c r="U904" s="885"/>
      <c r="V904" s="885"/>
      <c r="W904" s="885"/>
      <c r="X904" s="885"/>
      <c r="Y904" s="885"/>
      <c r="Z904" s="885"/>
      <c r="AA904" s="885"/>
      <c r="AB904" s="885"/>
      <c r="AC904" s="885"/>
      <c r="AD904" s="885"/>
      <c r="AE904" s="885"/>
      <c r="AF904" s="885"/>
      <c r="AG904" s="885"/>
      <c r="AH904" s="885"/>
      <c r="AI904" s="885"/>
      <c r="AJ904" s="885"/>
      <c r="AK904" s="885"/>
      <c r="AL904" s="885"/>
      <c r="AM904" s="885"/>
      <c r="AN904" s="885"/>
      <c r="AO904" s="885"/>
      <c r="AP904" s="885"/>
      <c r="AQ904" s="885"/>
      <c r="AR904" s="885"/>
      <c r="AS904" s="885"/>
      <c r="AT904" s="885"/>
      <c r="AU904" s="885"/>
      <c r="AV904" s="885"/>
      <c r="AW904" s="885"/>
      <c r="AX904" s="885"/>
      <c r="AY904" s="885"/>
      <c r="AZ904" s="885"/>
      <c r="BA904" s="885"/>
      <c r="BB904" s="885"/>
      <c r="BC904" s="885"/>
      <c r="BD904" s="885"/>
      <c r="BE904" s="885"/>
      <c r="BF904" s="885"/>
      <c r="BG904" s="885"/>
      <c r="BH904" s="885"/>
      <c r="BI904" s="885"/>
      <c r="BJ904" s="885"/>
      <c r="BK904" s="885"/>
      <c r="BL904" s="885"/>
      <c r="BM904" s="885"/>
      <c r="BN904" s="885"/>
      <c r="BO904" s="885"/>
      <c r="BP904" s="885"/>
      <c r="BQ904" s="885"/>
      <c r="BR904" s="885"/>
      <c r="BS904" s="885"/>
      <c r="BT904" s="885"/>
      <c r="BU904" s="885"/>
      <c r="BV904" s="885"/>
      <c r="BW904" s="885"/>
      <c r="BX904" s="885"/>
      <c r="BY904" s="885"/>
      <c r="BZ904" s="885"/>
      <c r="CA904" s="885"/>
      <c r="CB904" s="885"/>
      <c r="CC904" s="885"/>
      <c r="CD904" s="885"/>
      <c r="CE904" s="885"/>
      <c r="CF904" s="885"/>
      <c r="CG904" s="885"/>
      <c r="CH904" s="885"/>
      <c r="CI904" s="885"/>
      <c r="CJ904" s="885"/>
      <c r="CK904" s="885"/>
      <c r="CL904" s="885"/>
      <c r="CM904" s="885"/>
      <c r="CN904" s="885"/>
      <c r="CO904" s="885"/>
      <c r="CP904" s="885"/>
      <c r="CQ904" s="885"/>
      <c r="CR904" s="885"/>
      <c r="CS904" s="885"/>
      <c r="CT904" s="885"/>
      <c r="CU904" s="885"/>
      <c r="CV904" s="885"/>
      <c r="CW904" s="885"/>
      <c r="CX904" s="885"/>
      <c r="CY904" s="885"/>
      <c r="CZ904" s="885"/>
      <c r="DA904" s="885"/>
      <c r="DB904" s="885"/>
      <c r="DC904" s="885"/>
      <c r="DD904" s="885"/>
      <c r="DE904" s="885"/>
      <c r="DF904" s="885"/>
      <c r="DG904" s="885"/>
      <c r="DH904" s="885"/>
      <c r="DI904" s="885"/>
      <c r="DJ904" s="885"/>
      <c r="DK904" s="885"/>
      <c r="DL904" s="885"/>
      <c r="DM904" s="885"/>
      <c r="DN904" s="885"/>
      <c r="DO904" s="885"/>
      <c r="DP904" s="885"/>
      <c r="DQ904" s="885"/>
      <c r="DR904" s="885"/>
      <c r="DS904" s="885"/>
      <c r="DT904" s="885"/>
      <c r="DU904" s="885"/>
      <c r="DV904" s="885"/>
      <c r="DW904" s="885"/>
      <c r="DX904" s="885"/>
      <c r="DY904" s="885"/>
      <c r="DZ904" s="885"/>
      <c r="EA904" s="885"/>
      <c r="EB904" s="885"/>
      <c r="EC904" s="885"/>
      <c r="ED904" s="885"/>
      <c r="EE904" s="885"/>
      <c r="EF904" s="885"/>
      <c r="EG904" s="885"/>
      <c r="EH904" s="885"/>
      <c r="EI904" s="885"/>
      <c r="EJ904" s="885"/>
      <c r="EK904" s="885"/>
      <c r="EL904" s="885"/>
      <c r="EM904" s="885"/>
      <c r="EN904" s="885"/>
      <c r="EO904" s="885"/>
      <c r="EP904" s="885"/>
      <c r="EQ904" s="885"/>
      <c r="ER904" s="885"/>
      <c r="ES904" s="885"/>
      <c r="ET904" s="885"/>
      <c r="EU904" s="885"/>
      <c r="EV904" s="885"/>
      <c r="EW904" s="885"/>
      <c r="EX904" s="885"/>
      <c r="EY904" s="885"/>
      <c r="EZ904" s="885"/>
      <c r="FA904" s="885"/>
      <c r="FB904" s="885"/>
      <c r="FC904" s="885"/>
      <c r="FD904" s="885"/>
      <c r="FE904" s="885"/>
      <c r="FF904" s="885"/>
      <c r="FG904" s="885"/>
      <c r="FH904" s="885"/>
      <c r="FI904" s="885"/>
      <c r="FJ904" s="885"/>
      <c r="FK904" s="885"/>
      <c r="FL904" s="885"/>
      <c r="FM904" s="885"/>
      <c r="FN904" s="885"/>
      <c r="FO904" s="885"/>
      <c r="FP904" s="885"/>
      <c r="FQ904" s="885"/>
      <c r="FR904" s="885"/>
      <c r="FS904" s="885"/>
      <c r="FT904" s="885"/>
      <c r="FU904" s="885"/>
      <c r="FV904" s="885"/>
      <c r="FW904" s="885"/>
      <c r="FX904" s="885"/>
      <c r="FY904" s="885"/>
      <c r="FZ904" s="885"/>
      <c r="GA904" s="885"/>
      <c r="GB904" s="885"/>
      <c r="GC904" s="885"/>
      <c r="GD904" s="885"/>
      <c r="GE904" s="885"/>
      <c r="GF904" s="885"/>
      <c r="GG904" s="885"/>
      <c r="GH904" s="885"/>
      <c r="GI904" s="885"/>
      <c r="GJ904" s="885"/>
      <c r="GK904" s="885"/>
      <c r="GL904" s="885"/>
      <c r="GM904" s="885"/>
      <c r="GN904" s="885"/>
      <c r="GO904" s="885"/>
      <c r="GP904" s="885"/>
      <c r="GQ904" s="885"/>
      <c r="GR904" s="885"/>
      <c r="GS904" s="885"/>
      <c r="GT904" s="885"/>
      <c r="GU904" s="885"/>
      <c r="GV904" s="885"/>
      <c r="GW904" s="885"/>
      <c r="GX904" s="885"/>
      <c r="GY904" s="885"/>
      <c r="GZ904" s="885"/>
      <c r="HA904" s="885"/>
      <c r="HB904" s="885"/>
      <c r="HC904" s="885"/>
      <c r="HD904" s="885"/>
      <c r="HE904" s="885"/>
      <c r="HF904" s="885"/>
      <c r="HG904" s="885"/>
      <c r="HH904" s="885"/>
      <c r="HI904" s="885"/>
      <c r="HJ904" s="885"/>
      <c r="HK904" s="885"/>
      <c r="HL904" s="885"/>
      <c r="HM904" s="885"/>
      <c r="HN904" s="885"/>
      <c r="HO904" s="885"/>
      <c r="HP904" s="885"/>
      <c r="HQ904" s="885"/>
      <c r="HR904" s="885"/>
      <c r="HS904" s="885"/>
      <c r="HT904" s="885"/>
      <c r="HU904" s="885"/>
      <c r="HV904" s="885"/>
      <c r="HW904" s="885"/>
      <c r="HX904" s="885"/>
      <c r="HY904" s="885"/>
      <c r="HZ904" s="885"/>
      <c r="IA904" s="885"/>
      <c r="IB904" s="885"/>
      <c r="IC904" s="885"/>
      <c r="ID904" s="885"/>
      <c r="IE904" s="885"/>
      <c r="IF904" s="885"/>
      <c r="IG904" s="885"/>
      <c r="IH904" s="885"/>
      <c r="II904" s="885"/>
      <c r="IJ904" s="885"/>
      <c r="IK904" s="885"/>
      <c r="IL904" s="885"/>
      <c r="IM904" s="885"/>
      <c r="IN904" s="885"/>
      <c r="IO904" s="885"/>
      <c r="IP904" s="885"/>
      <c r="IQ904" s="885"/>
      <c r="IR904" s="885"/>
      <c r="IS904" s="885"/>
      <c r="IT904" s="885"/>
      <c r="IU904" s="885"/>
      <c r="IV904" s="885"/>
      <c r="IW904" s="885"/>
      <c r="IX904" s="885"/>
    </row>
    <row r="905" spans="1:258" s="130" customFormat="1" x14ac:dyDescent="0.25">
      <c r="A905" s="125">
        <f t="shared" si="112"/>
        <v>865</v>
      </c>
      <c r="B905" s="885"/>
      <c r="C905" s="842" t="s">
        <v>125</v>
      </c>
      <c r="D905" s="924">
        <v>916.9</v>
      </c>
      <c r="E905" s="906">
        <f>D905/8*12</f>
        <v>1375.35</v>
      </c>
      <c r="F905" s="136">
        <f>(E905/12)</f>
        <v>114.6125</v>
      </c>
      <c r="G905" s="122" t="s">
        <v>1963</v>
      </c>
      <c r="H905" s="889"/>
      <c r="I905" s="885"/>
      <c r="J905" s="885"/>
      <c r="K905" s="885"/>
      <c r="L905" s="885"/>
      <c r="M905" s="885"/>
      <c r="N905" s="885"/>
      <c r="O905" s="885"/>
      <c r="P905" s="885"/>
      <c r="Q905" s="885"/>
      <c r="R905" s="885"/>
      <c r="S905" s="885"/>
      <c r="T905" s="885"/>
      <c r="U905" s="885"/>
      <c r="V905" s="885"/>
      <c r="W905" s="885"/>
      <c r="X905" s="885"/>
      <c r="Y905" s="885"/>
      <c r="Z905" s="885"/>
      <c r="AA905" s="885"/>
      <c r="AB905" s="885"/>
      <c r="AC905" s="885"/>
      <c r="AD905" s="885"/>
      <c r="AE905" s="885"/>
      <c r="AF905" s="885"/>
      <c r="AG905" s="885"/>
      <c r="AH905" s="885"/>
      <c r="AI905" s="885"/>
      <c r="AJ905" s="885"/>
      <c r="AK905" s="885"/>
      <c r="AL905" s="885"/>
      <c r="AM905" s="885"/>
      <c r="AN905" s="885"/>
      <c r="AO905" s="885"/>
      <c r="AP905" s="885"/>
      <c r="AQ905" s="885"/>
      <c r="AR905" s="885"/>
      <c r="AS905" s="885"/>
      <c r="AT905" s="885"/>
      <c r="AU905" s="885"/>
      <c r="AV905" s="885"/>
      <c r="AW905" s="885"/>
      <c r="AX905" s="885"/>
      <c r="AY905" s="885"/>
      <c r="AZ905" s="885"/>
      <c r="BA905" s="885"/>
      <c r="BB905" s="885"/>
      <c r="BC905" s="885"/>
      <c r="BD905" s="885"/>
      <c r="BE905" s="885"/>
      <c r="BF905" s="885"/>
      <c r="BG905" s="885"/>
      <c r="BH905" s="885"/>
      <c r="BI905" s="885"/>
      <c r="BJ905" s="885"/>
      <c r="BK905" s="885"/>
      <c r="BL905" s="885"/>
      <c r="BM905" s="885"/>
      <c r="BN905" s="885"/>
      <c r="BO905" s="885"/>
      <c r="BP905" s="885"/>
      <c r="BQ905" s="885"/>
      <c r="BR905" s="885"/>
      <c r="BS905" s="885"/>
      <c r="BT905" s="885"/>
      <c r="BU905" s="885"/>
      <c r="BV905" s="885"/>
      <c r="BW905" s="885"/>
      <c r="BX905" s="885"/>
      <c r="BY905" s="885"/>
      <c r="BZ905" s="885"/>
      <c r="CA905" s="885"/>
      <c r="CB905" s="885"/>
      <c r="CC905" s="885"/>
      <c r="CD905" s="885"/>
      <c r="CE905" s="885"/>
      <c r="CF905" s="885"/>
      <c r="CG905" s="885"/>
      <c r="CH905" s="885"/>
      <c r="CI905" s="885"/>
      <c r="CJ905" s="885"/>
      <c r="CK905" s="885"/>
      <c r="CL905" s="885"/>
      <c r="CM905" s="885"/>
      <c r="CN905" s="885"/>
      <c r="CO905" s="885"/>
      <c r="CP905" s="885"/>
      <c r="CQ905" s="885"/>
      <c r="CR905" s="885"/>
      <c r="CS905" s="885"/>
      <c r="CT905" s="885"/>
      <c r="CU905" s="885"/>
      <c r="CV905" s="885"/>
      <c r="CW905" s="885"/>
      <c r="CX905" s="885"/>
      <c r="CY905" s="885"/>
      <c r="CZ905" s="885"/>
      <c r="DA905" s="885"/>
      <c r="DB905" s="885"/>
      <c r="DC905" s="885"/>
      <c r="DD905" s="885"/>
      <c r="DE905" s="885"/>
      <c r="DF905" s="885"/>
      <c r="DG905" s="885"/>
      <c r="DH905" s="885"/>
      <c r="DI905" s="885"/>
      <c r="DJ905" s="885"/>
      <c r="DK905" s="885"/>
      <c r="DL905" s="885"/>
      <c r="DM905" s="885"/>
      <c r="DN905" s="885"/>
      <c r="DO905" s="885"/>
      <c r="DP905" s="885"/>
      <c r="DQ905" s="885"/>
      <c r="DR905" s="885"/>
      <c r="DS905" s="885"/>
      <c r="DT905" s="885"/>
      <c r="DU905" s="885"/>
      <c r="DV905" s="885"/>
      <c r="DW905" s="885"/>
      <c r="DX905" s="885"/>
      <c r="DY905" s="885"/>
      <c r="DZ905" s="885"/>
      <c r="EA905" s="885"/>
      <c r="EB905" s="885"/>
      <c r="EC905" s="885"/>
      <c r="ED905" s="885"/>
      <c r="EE905" s="885"/>
      <c r="EF905" s="885"/>
      <c r="EG905" s="885"/>
      <c r="EH905" s="885"/>
      <c r="EI905" s="885"/>
      <c r="EJ905" s="885"/>
      <c r="EK905" s="885"/>
      <c r="EL905" s="885"/>
      <c r="EM905" s="885"/>
      <c r="EN905" s="885"/>
      <c r="EO905" s="885"/>
      <c r="EP905" s="885"/>
      <c r="EQ905" s="885"/>
      <c r="ER905" s="885"/>
      <c r="ES905" s="885"/>
      <c r="ET905" s="885"/>
      <c r="EU905" s="885"/>
      <c r="EV905" s="885"/>
      <c r="EW905" s="885"/>
      <c r="EX905" s="885"/>
      <c r="EY905" s="885"/>
      <c r="EZ905" s="885"/>
      <c r="FA905" s="885"/>
      <c r="FB905" s="885"/>
      <c r="FC905" s="885"/>
      <c r="FD905" s="885"/>
      <c r="FE905" s="885"/>
      <c r="FF905" s="885"/>
      <c r="FG905" s="885"/>
      <c r="FH905" s="885"/>
      <c r="FI905" s="885"/>
      <c r="FJ905" s="885"/>
      <c r="FK905" s="885"/>
      <c r="FL905" s="885"/>
      <c r="FM905" s="885"/>
      <c r="FN905" s="885"/>
      <c r="FO905" s="885"/>
      <c r="FP905" s="885"/>
      <c r="FQ905" s="885"/>
      <c r="FR905" s="885"/>
      <c r="FS905" s="885"/>
      <c r="FT905" s="885"/>
      <c r="FU905" s="885"/>
      <c r="FV905" s="885"/>
      <c r="FW905" s="885"/>
      <c r="FX905" s="885"/>
      <c r="FY905" s="885"/>
      <c r="FZ905" s="885"/>
      <c r="GA905" s="885"/>
      <c r="GB905" s="885"/>
      <c r="GC905" s="885"/>
      <c r="GD905" s="885"/>
      <c r="GE905" s="885"/>
      <c r="GF905" s="885"/>
      <c r="GG905" s="885"/>
      <c r="GH905" s="885"/>
      <c r="GI905" s="885"/>
      <c r="GJ905" s="885"/>
      <c r="GK905" s="885"/>
      <c r="GL905" s="885"/>
      <c r="GM905" s="885"/>
      <c r="GN905" s="885"/>
      <c r="GO905" s="885"/>
      <c r="GP905" s="885"/>
      <c r="GQ905" s="885"/>
      <c r="GR905" s="885"/>
      <c r="GS905" s="885"/>
      <c r="GT905" s="885"/>
      <c r="GU905" s="885"/>
      <c r="GV905" s="885"/>
      <c r="GW905" s="885"/>
      <c r="GX905" s="885"/>
      <c r="GY905" s="885"/>
      <c r="GZ905" s="885"/>
      <c r="HA905" s="885"/>
      <c r="HB905" s="885"/>
      <c r="HC905" s="885"/>
      <c r="HD905" s="885"/>
      <c r="HE905" s="885"/>
      <c r="HF905" s="885"/>
      <c r="HG905" s="885"/>
      <c r="HH905" s="885"/>
      <c r="HI905" s="885"/>
      <c r="HJ905" s="885"/>
      <c r="HK905" s="885"/>
      <c r="HL905" s="885"/>
      <c r="HM905" s="885"/>
      <c r="HN905" s="885"/>
      <c r="HO905" s="885"/>
      <c r="HP905" s="885"/>
      <c r="HQ905" s="885"/>
      <c r="HR905" s="885"/>
      <c r="HS905" s="885"/>
      <c r="HT905" s="885"/>
      <c r="HU905" s="885"/>
      <c r="HV905" s="885"/>
      <c r="HW905" s="885"/>
      <c r="HX905" s="885"/>
      <c r="HY905" s="885"/>
      <c r="HZ905" s="885"/>
      <c r="IA905" s="885"/>
      <c r="IB905" s="885"/>
      <c r="IC905" s="885"/>
      <c r="ID905" s="885"/>
      <c r="IE905" s="885"/>
      <c r="IF905" s="885"/>
      <c r="IG905" s="885"/>
      <c r="IH905" s="885"/>
      <c r="II905" s="885"/>
      <c r="IJ905" s="885"/>
      <c r="IK905" s="885"/>
      <c r="IL905" s="885"/>
      <c r="IM905" s="885"/>
      <c r="IN905" s="885"/>
      <c r="IO905" s="885"/>
      <c r="IP905" s="885"/>
      <c r="IQ905" s="885"/>
      <c r="IR905" s="885"/>
      <c r="IS905" s="885"/>
      <c r="IT905" s="885"/>
      <c r="IU905" s="885"/>
      <c r="IV905" s="885"/>
      <c r="IW905" s="885"/>
      <c r="IX905" s="885"/>
    </row>
    <row r="906" spans="1:258" s="130" customFormat="1" x14ac:dyDescent="0.25">
      <c r="A906" s="125">
        <f t="shared" si="112"/>
        <v>866</v>
      </c>
      <c r="B906" s="885"/>
      <c r="C906" s="842" t="s">
        <v>10502</v>
      </c>
      <c r="D906" s="924">
        <v>93</v>
      </c>
      <c r="E906" s="906">
        <f>D906/8*12</f>
        <v>139.5</v>
      </c>
      <c r="F906" s="136">
        <f>E906</f>
        <v>139.5</v>
      </c>
      <c r="G906" s="122" t="s">
        <v>1963</v>
      </c>
      <c r="H906" s="889"/>
      <c r="I906" s="885"/>
      <c r="J906" s="885"/>
      <c r="K906" s="885"/>
      <c r="L906" s="885"/>
      <c r="M906" s="885"/>
      <c r="N906" s="885"/>
      <c r="O906" s="885"/>
      <c r="P906" s="885"/>
      <c r="Q906" s="885"/>
      <c r="R906" s="885"/>
      <c r="S906" s="885"/>
      <c r="T906" s="885"/>
      <c r="U906" s="885"/>
      <c r="V906" s="885"/>
      <c r="W906" s="885"/>
      <c r="X906" s="885"/>
      <c r="Y906" s="885"/>
      <c r="Z906" s="885"/>
      <c r="AA906" s="885"/>
      <c r="AB906" s="885"/>
      <c r="AC906" s="885"/>
      <c r="AD906" s="885"/>
      <c r="AE906" s="885"/>
      <c r="AF906" s="885"/>
      <c r="AG906" s="885"/>
      <c r="AH906" s="885"/>
      <c r="AI906" s="885"/>
      <c r="AJ906" s="885"/>
      <c r="AK906" s="885"/>
      <c r="AL906" s="885"/>
      <c r="AM906" s="885"/>
      <c r="AN906" s="885"/>
      <c r="AO906" s="885"/>
      <c r="AP906" s="885"/>
      <c r="AQ906" s="885"/>
      <c r="AR906" s="885"/>
      <c r="AS906" s="885"/>
      <c r="AT906" s="885"/>
      <c r="AU906" s="885"/>
      <c r="AV906" s="885"/>
      <c r="AW906" s="885"/>
      <c r="AX906" s="885"/>
      <c r="AY906" s="885"/>
      <c r="AZ906" s="885"/>
      <c r="BA906" s="885"/>
      <c r="BB906" s="885"/>
      <c r="BC906" s="885"/>
      <c r="BD906" s="885"/>
      <c r="BE906" s="885"/>
      <c r="BF906" s="885"/>
      <c r="BG906" s="885"/>
      <c r="BH906" s="885"/>
      <c r="BI906" s="885"/>
      <c r="BJ906" s="885"/>
      <c r="BK906" s="885"/>
      <c r="BL906" s="885"/>
      <c r="BM906" s="885"/>
      <c r="BN906" s="885"/>
      <c r="BO906" s="885"/>
      <c r="BP906" s="885"/>
      <c r="BQ906" s="885"/>
      <c r="BR906" s="885"/>
      <c r="BS906" s="885"/>
      <c r="BT906" s="885"/>
      <c r="BU906" s="885"/>
      <c r="BV906" s="885"/>
      <c r="BW906" s="885"/>
      <c r="BX906" s="885"/>
      <c r="BY906" s="885"/>
      <c r="BZ906" s="885"/>
      <c r="CA906" s="885"/>
      <c r="CB906" s="885"/>
      <c r="CC906" s="885"/>
      <c r="CD906" s="885"/>
      <c r="CE906" s="885"/>
      <c r="CF906" s="885"/>
      <c r="CG906" s="885"/>
      <c r="CH906" s="885"/>
      <c r="CI906" s="885"/>
      <c r="CJ906" s="885"/>
      <c r="CK906" s="885"/>
      <c r="CL906" s="885"/>
      <c r="CM906" s="885"/>
      <c r="CN906" s="885"/>
      <c r="CO906" s="885"/>
      <c r="CP906" s="885"/>
      <c r="CQ906" s="885"/>
      <c r="CR906" s="885"/>
      <c r="CS906" s="885"/>
      <c r="CT906" s="885"/>
      <c r="CU906" s="885"/>
      <c r="CV906" s="885"/>
      <c r="CW906" s="885"/>
      <c r="CX906" s="885"/>
      <c r="CY906" s="885"/>
      <c r="CZ906" s="885"/>
      <c r="DA906" s="885"/>
      <c r="DB906" s="885"/>
      <c r="DC906" s="885"/>
      <c r="DD906" s="885"/>
      <c r="DE906" s="885"/>
      <c r="DF906" s="885"/>
      <c r="DG906" s="885"/>
      <c r="DH906" s="885"/>
      <c r="DI906" s="885"/>
      <c r="DJ906" s="885"/>
      <c r="DK906" s="885"/>
      <c r="DL906" s="885"/>
      <c r="DM906" s="885"/>
      <c r="DN906" s="885"/>
      <c r="DO906" s="885"/>
      <c r="DP906" s="885"/>
      <c r="DQ906" s="885"/>
      <c r="DR906" s="885"/>
      <c r="DS906" s="885"/>
      <c r="DT906" s="885"/>
      <c r="DU906" s="885"/>
      <c r="DV906" s="885"/>
      <c r="DW906" s="885"/>
      <c r="DX906" s="885"/>
      <c r="DY906" s="885"/>
      <c r="DZ906" s="885"/>
      <c r="EA906" s="885"/>
      <c r="EB906" s="885"/>
      <c r="EC906" s="885"/>
      <c r="ED906" s="885"/>
      <c r="EE906" s="885"/>
      <c r="EF906" s="885"/>
      <c r="EG906" s="885"/>
      <c r="EH906" s="885"/>
      <c r="EI906" s="885"/>
      <c r="EJ906" s="885"/>
      <c r="EK906" s="885"/>
      <c r="EL906" s="885"/>
      <c r="EM906" s="885"/>
      <c r="EN906" s="885"/>
      <c r="EO906" s="885"/>
      <c r="EP906" s="885"/>
      <c r="EQ906" s="885"/>
      <c r="ER906" s="885"/>
      <c r="ES906" s="885"/>
      <c r="ET906" s="885"/>
      <c r="EU906" s="885"/>
      <c r="EV906" s="885"/>
      <c r="EW906" s="885"/>
      <c r="EX906" s="885"/>
      <c r="EY906" s="885"/>
      <c r="EZ906" s="885"/>
      <c r="FA906" s="885"/>
      <c r="FB906" s="885"/>
      <c r="FC906" s="885"/>
      <c r="FD906" s="885"/>
      <c r="FE906" s="885"/>
      <c r="FF906" s="885"/>
      <c r="FG906" s="885"/>
      <c r="FH906" s="885"/>
      <c r="FI906" s="885"/>
      <c r="FJ906" s="885"/>
      <c r="FK906" s="885"/>
      <c r="FL906" s="885"/>
      <c r="FM906" s="885"/>
      <c r="FN906" s="885"/>
      <c r="FO906" s="885"/>
      <c r="FP906" s="885"/>
      <c r="FQ906" s="885"/>
      <c r="FR906" s="885"/>
      <c r="FS906" s="885"/>
      <c r="FT906" s="885"/>
      <c r="FU906" s="885"/>
      <c r="FV906" s="885"/>
      <c r="FW906" s="885"/>
      <c r="FX906" s="885"/>
      <c r="FY906" s="885"/>
      <c r="FZ906" s="885"/>
      <c r="GA906" s="885"/>
      <c r="GB906" s="885"/>
      <c r="GC906" s="885"/>
      <c r="GD906" s="885"/>
      <c r="GE906" s="885"/>
      <c r="GF906" s="885"/>
      <c r="GG906" s="885"/>
      <c r="GH906" s="885"/>
      <c r="GI906" s="885"/>
      <c r="GJ906" s="885"/>
      <c r="GK906" s="885"/>
      <c r="GL906" s="885"/>
      <c r="GM906" s="885"/>
      <c r="GN906" s="885"/>
      <c r="GO906" s="885"/>
      <c r="GP906" s="885"/>
      <c r="GQ906" s="885"/>
      <c r="GR906" s="885"/>
      <c r="GS906" s="885"/>
      <c r="GT906" s="885"/>
      <c r="GU906" s="885"/>
      <c r="GV906" s="885"/>
      <c r="GW906" s="885"/>
      <c r="GX906" s="885"/>
      <c r="GY906" s="885"/>
      <c r="GZ906" s="885"/>
      <c r="HA906" s="885"/>
      <c r="HB906" s="885"/>
      <c r="HC906" s="885"/>
      <c r="HD906" s="885"/>
      <c r="HE906" s="885"/>
      <c r="HF906" s="885"/>
      <c r="HG906" s="885"/>
      <c r="HH906" s="885"/>
      <c r="HI906" s="885"/>
      <c r="HJ906" s="885"/>
      <c r="HK906" s="885"/>
      <c r="HL906" s="885"/>
      <c r="HM906" s="885"/>
      <c r="HN906" s="885"/>
      <c r="HO906" s="885"/>
      <c r="HP906" s="885"/>
      <c r="HQ906" s="885"/>
      <c r="HR906" s="885"/>
      <c r="HS906" s="885"/>
      <c r="HT906" s="885"/>
      <c r="HU906" s="885"/>
      <c r="HV906" s="885"/>
      <c r="HW906" s="885"/>
      <c r="HX906" s="885"/>
      <c r="HY906" s="885"/>
      <c r="HZ906" s="885"/>
      <c r="IA906" s="885"/>
      <c r="IB906" s="885"/>
      <c r="IC906" s="885"/>
      <c r="ID906" s="885"/>
      <c r="IE906" s="885"/>
      <c r="IF906" s="885"/>
      <c r="IG906" s="885"/>
      <c r="IH906" s="885"/>
      <c r="II906" s="885"/>
      <c r="IJ906" s="885"/>
      <c r="IK906" s="885"/>
      <c r="IL906" s="885"/>
      <c r="IM906" s="885"/>
      <c r="IN906" s="885"/>
      <c r="IO906" s="885"/>
      <c r="IP906" s="885"/>
      <c r="IQ906" s="885"/>
      <c r="IR906" s="885"/>
      <c r="IS906" s="885"/>
      <c r="IT906" s="885"/>
      <c r="IU906" s="885"/>
      <c r="IV906" s="885"/>
      <c r="IW906" s="885"/>
      <c r="IX906" s="885"/>
    </row>
    <row r="907" spans="1:258" s="130" customFormat="1" x14ac:dyDescent="0.25">
      <c r="A907" s="125">
        <f t="shared" si="112"/>
        <v>867</v>
      </c>
      <c r="B907" s="885"/>
      <c r="C907" s="842" t="s">
        <v>10501</v>
      </c>
      <c r="D907" s="924">
        <v>111.3</v>
      </c>
      <c r="E907" s="906">
        <f>D907/8*12</f>
        <v>166.95</v>
      </c>
      <c r="F907" s="136">
        <f>E907</f>
        <v>166.95</v>
      </c>
      <c r="G907" s="122" t="s">
        <v>1963</v>
      </c>
      <c r="H907" s="889"/>
      <c r="I907" s="885"/>
      <c r="J907" s="885"/>
      <c r="K907" s="885"/>
      <c r="L907" s="885"/>
      <c r="M907" s="885"/>
      <c r="N907" s="885"/>
      <c r="O907" s="885"/>
      <c r="P907" s="885"/>
      <c r="Q907" s="885"/>
      <c r="R907" s="885"/>
      <c r="S907" s="885"/>
      <c r="T907" s="885"/>
      <c r="U907" s="885"/>
      <c r="V907" s="885"/>
      <c r="W907" s="885"/>
      <c r="X907" s="885"/>
      <c r="Y907" s="885"/>
      <c r="Z907" s="885"/>
      <c r="AA907" s="885"/>
      <c r="AB907" s="885"/>
      <c r="AC907" s="885"/>
      <c r="AD907" s="885"/>
      <c r="AE907" s="885"/>
      <c r="AF907" s="885"/>
      <c r="AG907" s="885"/>
      <c r="AH907" s="885"/>
      <c r="AI907" s="885"/>
      <c r="AJ907" s="885"/>
      <c r="AK907" s="885"/>
      <c r="AL907" s="885"/>
      <c r="AM907" s="885"/>
      <c r="AN907" s="885"/>
      <c r="AO907" s="885"/>
      <c r="AP907" s="885"/>
      <c r="AQ907" s="885"/>
      <c r="AR907" s="885"/>
      <c r="AS907" s="885"/>
      <c r="AT907" s="885"/>
      <c r="AU907" s="885"/>
      <c r="AV907" s="885"/>
      <c r="AW907" s="885"/>
      <c r="AX907" s="885"/>
      <c r="AY907" s="885"/>
      <c r="AZ907" s="885"/>
      <c r="BA907" s="885"/>
      <c r="BB907" s="885"/>
      <c r="BC907" s="885"/>
      <c r="BD907" s="885"/>
      <c r="BE907" s="885"/>
      <c r="BF907" s="885"/>
      <c r="BG907" s="885"/>
      <c r="BH907" s="885"/>
      <c r="BI907" s="885"/>
      <c r="BJ907" s="885"/>
      <c r="BK907" s="885"/>
      <c r="BL907" s="885"/>
      <c r="BM907" s="885"/>
      <c r="BN907" s="885"/>
      <c r="BO907" s="885"/>
      <c r="BP907" s="885"/>
      <c r="BQ907" s="885"/>
      <c r="BR907" s="885"/>
      <c r="BS907" s="885"/>
      <c r="BT907" s="885"/>
      <c r="BU907" s="885"/>
      <c r="BV907" s="885"/>
      <c r="BW907" s="885"/>
      <c r="BX907" s="885"/>
      <c r="BY907" s="885"/>
      <c r="BZ907" s="885"/>
      <c r="CA907" s="885"/>
      <c r="CB907" s="885"/>
      <c r="CC907" s="885"/>
      <c r="CD907" s="885"/>
      <c r="CE907" s="885"/>
      <c r="CF907" s="885"/>
      <c r="CG907" s="885"/>
      <c r="CH907" s="885"/>
      <c r="CI907" s="885"/>
      <c r="CJ907" s="885"/>
      <c r="CK907" s="885"/>
      <c r="CL907" s="885"/>
      <c r="CM907" s="885"/>
      <c r="CN907" s="885"/>
      <c r="CO907" s="885"/>
      <c r="CP907" s="885"/>
      <c r="CQ907" s="885"/>
      <c r="CR907" s="885"/>
      <c r="CS907" s="885"/>
      <c r="CT907" s="885"/>
      <c r="CU907" s="885"/>
      <c r="CV907" s="885"/>
      <c r="CW907" s="885"/>
      <c r="CX907" s="885"/>
      <c r="CY907" s="885"/>
      <c r="CZ907" s="885"/>
      <c r="DA907" s="885"/>
      <c r="DB907" s="885"/>
      <c r="DC907" s="885"/>
      <c r="DD907" s="885"/>
      <c r="DE907" s="885"/>
      <c r="DF907" s="885"/>
      <c r="DG907" s="885"/>
      <c r="DH907" s="885"/>
      <c r="DI907" s="885"/>
      <c r="DJ907" s="885"/>
      <c r="DK907" s="885"/>
      <c r="DL907" s="885"/>
      <c r="DM907" s="885"/>
      <c r="DN907" s="885"/>
      <c r="DO907" s="885"/>
      <c r="DP907" s="885"/>
      <c r="DQ907" s="885"/>
      <c r="DR907" s="885"/>
      <c r="DS907" s="885"/>
      <c r="DT907" s="885"/>
      <c r="DU907" s="885"/>
      <c r="DV907" s="885"/>
      <c r="DW907" s="885"/>
      <c r="DX907" s="885"/>
      <c r="DY907" s="885"/>
      <c r="DZ907" s="885"/>
      <c r="EA907" s="885"/>
      <c r="EB907" s="885"/>
      <c r="EC907" s="885"/>
      <c r="ED907" s="885"/>
      <c r="EE907" s="885"/>
      <c r="EF907" s="885"/>
      <c r="EG907" s="885"/>
      <c r="EH907" s="885"/>
      <c r="EI907" s="885"/>
      <c r="EJ907" s="885"/>
      <c r="EK907" s="885"/>
      <c r="EL907" s="885"/>
      <c r="EM907" s="885"/>
      <c r="EN907" s="885"/>
      <c r="EO907" s="885"/>
      <c r="EP907" s="885"/>
      <c r="EQ907" s="885"/>
      <c r="ER907" s="885"/>
      <c r="ES907" s="885"/>
      <c r="ET907" s="885"/>
      <c r="EU907" s="885"/>
      <c r="EV907" s="885"/>
      <c r="EW907" s="885"/>
      <c r="EX907" s="885"/>
      <c r="EY907" s="885"/>
      <c r="EZ907" s="885"/>
      <c r="FA907" s="885"/>
      <c r="FB907" s="885"/>
      <c r="FC907" s="885"/>
      <c r="FD907" s="885"/>
      <c r="FE907" s="885"/>
      <c r="FF907" s="885"/>
      <c r="FG907" s="885"/>
      <c r="FH907" s="885"/>
      <c r="FI907" s="885"/>
      <c r="FJ907" s="885"/>
      <c r="FK907" s="885"/>
      <c r="FL907" s="885"/>
      <c r="FM907" s="885"/>
      <c r="FN907" s="885"/>
      <c r="FO907" s="885"/>
      <c r="FP907" s="885"/>
      <c r="FQ907" s="885"/>
      <c r="FR907" s="885"/>
      <c r="FS907" s="885"/>
      <c r="FT907" s="885"/>
      <c r="FU907" s="885"/>
      <c r="FV907" s="885"/>
      <c r="FW907" s="885"/>
      <c r="FX907" s="885"/>
      <c r="FY907" s="885"/>
      <c r="FZ907" s="885"/>
      <c r="GA907" s="885"/>
      <c r="GB907" s="885"/>
      <c r="GC907" s="885"/>
      <c r="GD907" s="885"/>
      <c r="GE907" s="885"/>
      <c r="GF907" s="885"/>
      <c r="GG907" s="885"/>
      <c r="GH907" s="885"/>
      <c r="GI907" s="885"/>
      <c r="GJ907" s="885"/>
      <c r="GK907" s="885"/>
      <c r="GL907" s="885"/>
      <c r="GM907" s="885"/>
      <c r="GN907" s="885"/>
      <c r="GO907" s="885"/>
      <c r="GP907" s="885"/>
      <c r="GQ907" s="885"/>
      <c r="GR907" s="885"/>
      <c r="GS907" s="885"/>
      <c r="GT907" s="885"/>
      <c r="GU907" s="885"/>
      <c r="GV907" s="885"/>
      <c r="GW907" s="885"/>
      <c r="GX907" s="885"/>
      <c r="GY907" s="885"/>
      <c r="GZ907" s="885"/>
      <c r="HA907" s="885"/>
      <c r="HB907" s="885"/>
      <c r="HC907" s="885"/>
      <c r="HD907" s="885"/>
      <c r="HE907" s="885"/>
      <c r="HF907" s="885"/>
      <c r="HG907" s="885"/>
      <c r="HH907" s="885"/>
      <c r="HI907" s="885"/>
      <c r="HJ907" s="885"/>
      <c r="HK907" s="885"/>
      <c r="HL907" s="885"/>
      <c r="HM907" s="885"/>
      <c r="HN907" s="885"/>
      <c r="HO907" s="885"/>
      <c r="HP907" s="885"/>
      <c r="HQ907" s="885"/>
      <c r="HR907" s="885"/>
      <c r="HS907" s="885"/>
      <c r="HT907" s="885"/>
      <c r="HU907" s="885"/>
      <c r="HV907" s="885"/>
      <c r="HW907" s="885"/>
      <c r="HX907" s="885"/>
      <c r="HY907" s="885"/>
      <c r="HZ907" s="885"/>
      <c r="IA907" s="885"/>
      <c r="IB907" s="885"/>
      <c r="IC907" s="885"/>
      <c r="ID907" s="885"/>
      <c r="IE907" s="885"/>
      <c r="IF907" s="885"/>
      <c r="IG907" s="885"/>
      <c r="IH907" s="885"/>
      <c r="II907" s="885"/>
      <c r="IJ907" s="885"/>
      <c r="IK907" s="885"/>
      <c r="IL907" s="885"/>
      <c r="IM907" s="885"/>
      <c r="IN907" s="885"/>
      <c r="IO907" s="885"/>
      <c r="IP907" s="885"/>
      <c r="IQ907" s="885"/>
      <c r="IR907" s="885"/>
      <c r="IS907" s="885"/>
      <c r="IT907" s="885"/>
      <c r="IU907" s="885"/>
      <c r="IV907" s="885"/>
      <c r="IW907" s="885"/>
      <c r="IX907" s="885"/>
    </row>
    <row r="908" spans="1:258" s="130" customFormat="1" x14ac:dyDescent="0.25">
      <c r="A908" s="125">
        <f t="shared" si="112"/>
        <v>868</v>
      </c>
      <c r="B908" s="885"/>
      <c r="C908" s="842" t="s">
        <v>10500</v>
      </c>
      <c r="D908" s="924">
        <v>0</v>
      </c>
      <c r="E908" s="906">
        <f t="shared" ref="E908:E909" si="116">D908/8*12</f>
        <v>0</v>
      </c>
      <c r="F908" s="136">
        <v>1000</v>
      </c>
      <c r="G908" s="122" t="s">
        <v>1963</v>
      </c>
      <c r="H908" s="889"/>
      <c r="I908" s="885"/>
      <c r="J908" s="885"/>
      <c r="K908" s="885"/>
      <c r="L908" s="885"/>
      <c r="M908" s="885"/>
      <c r="N908" s="885"/>
      <c r="O908" s="885"/>
      <c r="P908" s="885"/>
      <c r="Q908" s="885"/>
      <c r="R908" s="885"/>
      <c r="S908" s="885"/>
      <c r="T908" s="885"/>
      <c r="U908" s="885"/>
      <c r="V908" s="885"/>
      <c r="W908" s="885"/>
      <c r="X908" s="885"/>
      <c r="Y908" s="885"/>
      <c r="Z908" s="885"/>
      <c r="AA908" s="885"/>
      <c r="AB908" s="885"/>
      <c r="AC908" s="885"/>
      <c r="AD908" s="885"/>
      <c r="AE908" s="885"/>
      <c r="AF908" s="885"/>
      <c r="AG908" s="885"/>
      <c r="AH908" s="885"/>
      <c r="AI908" s="885"/>
      <c r="AJ908" s="885"/>
      <c r="AK908" s="885"/>
      <c r="AL908" s="885"/>
      <c r="AM908" s="885"/>
      <c r="AN908" s="885"/>
      <c r="AO908" s="885"/>
      <c r="AP908" s="885"/>
      <c r="AQ908" s="885"/>
      <c r="AR908" s="885"/>
      <c r="AS908" s="885"/>
      <c r="AT908" s="885"/>
      <c r="AU908" s="885"/>
      <c r="AV908" s="885"/>
      <c r="AW908" s="885"/>
      <c r="AX908" s="885"/>
      <c r="AY908" s="885"/>
      <c r="AZ908" s="885"/>
      <c r="BA908" s="885"/>
      <c r="BB908" s="885"/>
      <c r="BC908" s="885"/>
      <c r="BD908" s="885"/>
      <c r="BE908" s="885"/>
      <c r="BF908" s="885"/>
      <c r="BG908" s="885"/>
      <c r="BH908" s="885"/>
      <c r="BI908" s="885"/>
      <c r="BJ908" s="885"/>
      <c r="BK908" s="885"/>
      <c r="BL908" s="885"/>
      <c r="BM908" s="885"/>
      <c r="BN908" s="885"/>
      <c r="BO908" s="885"/>
      <c r="BP908" s="885"/>
      <c r="BQ908" s="885"/>
      <c r="BR908" s="885"/>
      <c r="BS908" s="885"/>
      <c r="BT908" s="885"/>
      <c r="BU908" s="885"/>
      <c r="BV908" s="885"/>
      <c r="BW908" s="885"/>
      <c r="BX908" s="885"/>
      <c r="BY908" s="885"/>
      <c r="BZ908" s="885"/>
      <c r="CA908" s="885"/>
      <c r="CB908" s="885"/>
      <c r="CC908" s="885"/>
      <c r="CD908" s="885"/>
      <c r="CE908" s="885"/>
      <c r="CF908" s="885"/>
      <c r="CG908" s="885"/>
      <c r="CH908" s="885"/>
      <c r="CI908" s="885"/>
      <c r="CJ908" s="885"/>
      <c r="CK908" s="885"/>
      <c r="CL908" s="885"/>
      <c r="CM908" s="885"/>
      <c r="CN908" s="885"/>
      <c r="CO908" s="885"/>
      <c r="CP908" s="885"/>
      <c r="CQ908" s="885"/>
      <c r="CR908" s="885"/>
      <c r="CS908" s="885"/>
      <c r="CT908" s="885"/>
      <c r="CU908" s="885"/>
      <c r="CV908" s="885"/>
      <c r="CW908" s="885"/>
      <c r="CX908" s="885"/>
      <c r="CY908" s="885"/>
      <c r="CZ908" s="885"/>
      <c r="DA908" s="885"/>
      <c r="DB908" s="885"/>
      <c r="DC908" s="885"/>
      <c r="DD908" s="885"/>
      <c r="DE908" s="885"/>
      <c r="DF908" s="885"/>
      <c r="DG908" s="885"/>
      <c r="DH908" s="885"/>
      <c r="DI908" s="885"/>
      <c r="DJ908" s="885"/>
      <c r="DK908" s="885"/>
      <c r="DL908" s="885"/>
      <c r="DM908" s="885"/>
      <c r="DN908" s="885"/>
      <c r="DO908" s="885"/>
      <c r="DP908" s="885"/>
      <c r="DQ908" s="885"/>
      <c r="DR908" s="885"/>
      <c r="DS908" s="885"/>
      <c r="DT908" s="885"/>
      <c r="DU908" s="885"/>
      <c r="DV908" s="885"/>
      <c r="DW908" s="885"/>
      <c r="DX908" s="885"/>
      <c r="DY908" s="885"/>
      <c r="DZ908" s="885"/>
      <c r="EA908" s="885"/>
      <c r="EB908" s="885"/>
      <c r="EC908" s="885"/>
      <c r="ED908" s="885"/>
      <c r="EE908" s="885"/>
      <c r="EF908" s="885"/>
      <c r="EG908" s="885"/>
      <c r="EH908" s="885"/>
      <c r="EI908" s="885"/>
      <c r="EJ908" s="885"/>
      <c r="EK908" s="885"/>
      <c r="EL908" s="885"/>
      <c r="EM908" s="885"/>
      <c r="EN908" s="885"/>
      <c r="EO908" s="885"/>
      <c r="EP908" s="885"/>
      <c r="EQ908" s="885"/>
      <c r="ER908" s="885"/>
      <c r="ES908" s="885"/>
      <c r="ET908" s="885"/>
      <c r="EU908" s="885"/>
      <c r="EV908" s="885"/>
      <c r="EW908" s="885"/>
      <c r="EX908" s="885"/>
      <c r="EY908" s="885"/>
      <c r="EZ908" s="885"/>
      <c r="FA908" s="885"/>
      <c r="FB908" s="885"/>
      <c r="FC908" s="885"/>
      <c r="FD908" s="885"/>
      <c r="FE908" s="885"/>
      <c r="FF908" s="885"/>
      <c r="FG908" s="885"/>
      <c r="FH908" s="885"/>
      <c r="FI908" s="885"/>
      <c r="FJ908" s="885"/>
      <c r="FK908" s="885"/>
      <c r="FL908" s="885"/>
      <c r="FM908" s="885"/>
      <c r="FN908" s="885"/>
      <c r="FO908" s="885"/>
      <c r="FP908" s="885"/>
      <c r="FQ908" s="885"/>
      <c r="FR908" s="885"/>
      <c r="FS908" s="885"/>
      <c r="FT908" s="885"/>
      <c r="FU908" s="885"/>
      <c r="FV908" s="885"/>
      <c r="FW908" s="885"/>
      <c r="FX908" s="885"/>
      <c r="FY908" s="885"/>
      <c r="FZ908" s="885"/>
      <c r="GA908" s="885"/>
      <c r="GB908" s="885"/>
      <c r="GC908" s="885"/>
      <c r="GD908" s="885"/>
      <c r="GE908" s="885"/>
      <c r="GF908" s="885"/>
      <c r="GG908" s="885"/>
      <c r="GH908" s="885"/>
      <c r="GI908" s="885"/>
      <c r="GJ908" s="885"/>
      <c r="GK908" s="885"/>
      <c r="GL908" s="885"/>
      <c r="GM908" s="885"/>
      <c r="GN908" s="885"/>
      <c r="GO908" s="885"/>
      <c r="GP908" s="885"/>
      <c r="GQ908" s="885"/>
      <c r="GR908" s="885"/>
      <c r="GS908" s="885"/>
      <c r="GT908" s="885"/>
      <c r="GU908" s="885"/>
      <c r="GV908" s="885"/>
      <c r="GW908" s="885"/>
      <c r="GX908" s="885"/>
      <c r="GY908" s="885"/>
      <c r="GZ908" s="885"/>
      <c r="HA908" s="885"/>
      <c r="HB908" s="885"/>
      <c r="HC908" s="885"/>
      <c r="HD908" s="885"/>
      <c r="HE908" s="885"/>
      <c r="HF908" s="885"/>
      <c r="HG908" s="885"/>
      <c r="HH908" s="885"/>
      <c r="HI908" s="885"/>
      <c r="HJ908" s="885"/>
      <c r="HK908" s="885"/>
      <c r="HL908" s="885"/>
      <c r="HM908" s="885"/>
      <c r="HN908" s="885"/>
      <c r="HO908" s="885"/>
      <c r="HP908" s="885"/>
      <c r="HQ908" s="885"/>
      <c r="HR908" s="885"/>
      <c r="HS908" s="885"/>
      <c r="HT908" s="885"/>
      <c r="HU908" s="885"/>
      <c r="HV908" s="885"/>
      <c r="HW908" s="885"/>
      <c r="HX908" s="885"/>
      <c r="HY908" s="885"/>
      <c r="HZ908" s="885"/>
      <c r="IA908" s="885"/>
      <c r="IB908" s="885"/>
      <c r="IC908" s="885"/>
      <c r="ID908" s="885"/>
      <c r="IE908" s="885"/>
      <c r="IF908" s="885"/>
      <c r="IG908" s="885"/>
      <c r="IH908" s="885"/>
      <c r="II908" s="885"/>
      <c r="IJ908" s="885"/>
      <c r="IK908" s="885"/>
      <c r="IL908" s="885"/>
      <c r="IM908" s="885"/>
      <c r="IN908" s="885"/>
      <c r="IO908" s="885"/>
      <c r="IP908" s="885"/>
      <c r="IQ908" s="885"/>
      <c r="IR908" s="885"/>
      <c r="IS908" s="885"/>
      <c r="IT908" s="885"/>
      <c r="IU908" s="885"/>
      <c r="IV908" s="885"/>
      <c r="IW908" s="885"/>
      <c r="IX908" s="885"/>
    </row>
    <row r="909" spans="1:258" s="130" customFormat="1" x14ac:dyDescent="0.25">
      <c r="A909" s="125">
        <f t="shared" si="112"/>
        <v>869</v>
      </c>
      <c r="B909" s="885"/>
      <c r="C909" s="842" t="s">
        <v>11550</v>
      </c>
      <c r="D909" s="924">
        <f>6656.16</f>
        <v>6656.16</v>
      </c>
      <c r="E909" s="906">
        <f t="shared" si="116"/>
        <v>9984.24</v>
      </c>
      <c r="F909" s="136">
        <f>E909</f>
        <v>9984.24</v>
      </c>
      <c r="G909" s="122" t="s">
        <v>1963</v>
      </c>
      <c r="H909" s="889"/>
      <c r="I909" s="885"/>
      <c r="J909" s="885"/>
      <c r="K909" s="885"/>
      <c r="L909" s="885"/>
      <c r="M909" s="885"/>
      <c r="N909" s="885"/>
      <c r="O909" s="885"/>
      <c r="P909" s="885"/>
      <c r="Q909" s="885"/>
      <c r="R909" s="885"/>
      <c r="S909" s="885"/>
      <c r="T909" s="885"/>
      <c r="U909" s="885"/>
      <c r="V909" s="885"/>
      <c r="W909" s="885"/>
      <c r="X909" s="885"/>
      <c r="Y909" s="885"/>
      <c r="Z909" s="885"/>
      <c r="AA909" s="885"/>
      <c r="AB909" s="885"/>
      <c r="AC909" s="885"/>
      <c r="AD909" s="885"/>
      <c r="AE909" s="885"/>
      <c r="AF909" s="885"/>
      <c r="AG909" s="885"/>
      <c r="AH909" s="885"/>
      <c r="AI909" s="885"/>
      <c r="AJ909" s="885"/>
      <c r="AK909" s="885"/>
      <c r="AL909" s="885"/>
      <c r="AM909" s="885"/>
      <c r="AN909" s="885"/>
      <c r="AO909" s="885"/>
      <c r="AP909" s="885"/>
      <c r="AQ909" s="885"/>
      <c r="AR909" s="885"/>
      <c r="AS909" s="885"/>
      <c r="AT909" s="885"/>
      <c r="AU909" s="885"/>
      <c r="AV909" s="885"/>
      <c r="AW909" s="885"/>
      <c r="AX909" s="885"/>
      <c r="AY909" s="885"/>
      <c r="AZ909" s="885"/>
      <c r="BA909" s="885"/>
      <c r="BB909" s="885"/>
      <c r="BC909" s="885"/>
      <c r="BD909" s="885"/>
      <c r="BE909" s="885"/>
      <c r="BF909" s="885"/>
      <c r="BG909" s="885"/>
      <c r="BH909" s="885"/>
      <c r="BI909" s="885"/>
      <c r="BJ909" s="885"/>
      <c r="BK909" s="885"/>
      <c r="BL909" s="885"/>
      <c r="BM909" s="885"/>
      <c r="BN909" s="885"/>
      <c r="BO909" s="885"/>
      <c r="BP909" s="885"/>
      <c r="BQ909" s="885"/>
      <c r="BR909" s="885"/>
      <c r="BS909" s="885"/>
      <c r="BT909" s="885"/>
      <c r="BU909" s="885"/>
      <c r="BV909" s="885"/>
      <c r="BW909" s="885"/>
      <c r="BX909" s="885"/>
      <c r="BY909" s="885"/>
      <c r="BZ909" s="885"/>
      <c r="CA909" s="885"/>
      <c r="CB909" s="885"/>
      <c r="CC909" s="885"/>
      <c r="CD909" s="885"/>
      <c r="CE909" s="885"/>
      <c r="CF909" s="885"/>
      <c r="CG909" s="885"/>
      <c r="CH909" s="885"/>
      <c r="CI909" s="885"/>
      <c r="CJ909" s="885"/>
      <c r="CK909" s="885"/>
      <c r="CL909" s="885"/>
      <c r="CM909" s="885"/>
      <c r="CN909" s="885"/>
      <c r="CO909" s="885"/>
      <c r="CP909" s="885"/>
      <c r="CQ909" s="885"/>
      <c r="CR909" s="885"/>
      <c r="CS909" s="885"/>
      <c r="CT909" s="885"/>
      <c r="CU909" s="885"/>
      <c r="CV909" s="885"/>
      <c r="CW909" s="885"/>
      <c r="CX909" s="885"/>
      <c r="CY909" s="885"/>
      <c r="CZ909" s="885"/>
      <c r="DA909" s="885"/>
      <c r="DB909" s="885"/>
      <c r="DC909" s="885"/>
      <c r="DD909" s="885"/>
      <c r="DE909" s="885"/>
      <c r="DF909" s="885"/>
      <c r="DG909" s="885"/>
      <c r="DH909" s="885"/>
      <c r="DI909" s="885"/>
      <c r="DJ909" s="885"/>
      <c r="DK909" s="885"/>
      <c r="DL909" s="885"/>
      <c r="DM909" s="885"/>
      <c r="DN909" s="885"/>
      <c r="DO909" s="885"/>
      <c r="DP909" s="885"/>
      <c r="DQ909" s="885"/>
      <c r="DR909" s="885"/>
      <c r="DS909" s="885"/>
      <c r="DT909" s="885"/>
      <c r="DU909" s="885"/>
      <c r="DV909" s="885"/>
      <c r="DW909" s="885"/>
      <c r="DX909" s="885"/>
      <c r="DY909" s="885"/>
      <c r="DZ909" s="885"/>
      <c r="EA909" s="885"/>
      <c r="EB909" s="885"/>
      <c r="EC909" s="885"/>
      <c r="ED909" s="885"/>
      <c r="EE909" s="885"/>
      <c r="EF909" s="885"/>
      <c r="EG909" s="885"/>
      <c r="EH909" s="885"/>
      <c r="EI909" s="885"/>
      <c r="EJ909" s="885"/>
      <c r="EK909" s="885"/>
      <c r="EL909" s="885"/>
      <c r="EM909" s="885"/>
      <c r="EN909" s="885"/>
      <c r="EO909" s="885"/>
      <c r="EP909" s="885"/>
      <c r="EQ909" s="885"/>
      <c r="ER909" s="885"/>
      <c r="ES909" s="885"/>
      <c r="ET909" s="885"/>
      <c r="EU909" s="885"/>
      <c r="EV909" s="885"/>
      <c r="EW909" s="885"/>
      <c r="EX909" s="885"/>
      <c r="EY909" s="885"/>
      <c r="EZ909" s="885"/>
      <c r="FA909" s="885"/>
      <c r="FB909" s="885"/>
      <c r="FC909" s="885"/>
      <c r="FD909" s="885"/>
      <c r="FE909" s="885"/>
      <c r="FF909" s="885"/>
      <c r="FG909" s="885"/>
      <c r="FH909" s="885"/>
      <c r="FI909" s="885"/>
      <c r="FJ909" s="885"/>
      <c r="FK909" s="885"/>
      <c r="FL909" s="885"/>
      <c r="FM909" s="885"/>
      <c r="FN909" s="885"/>
      <c r="FO909" s="885"/>
      <c r="FP909" s="885"/>
      <c r="FQ909" s="885"/>
      <c r="FR909" s="885"/>
      <c r="FS909" s="885"/>
      <c r="FT909" s="885"/>
      <c r="FU909" s="885"/>
      <c r="FV909" s="885"/>
      <c r="FW909" s="885"/>
      <c r="FX909" s="885"/>
      <c r="FY909" s="885"/>
      <c r="FZ909" s="885"/>
      <c r="GA909" s="885"/>
      <c r="GB909" s="885"/>
      <c r="GC909" s="885"/>
      <c r="GD909" s="885"/>
      <c r="GE909" s="885"/>
      <c r="GF909" s="885"/>
      <c r="GG909" s="885"/>
      <c r="GH909" s="885"/>
      <c r="GI909" s="885"/>
      <c r="GJ909" s="885"/>
      <c r="GK909" s="885"/>
      <c r="GL909" s="885"/>
      <c r="GM909" s="885"/>
      <c r="GN909" s="885"/>
      <c r="GO909" s="885"/>
      <c r="GP909" s="885"/>
      <c r="GQ909" s="885"/>
      <c r="GR909" s="885"/>
      <c r="GS909" s="885"/>
      <c r="GT909" s="885"/>
      <c r="GU909" s="885"/>
      <c r="GV909" s="885"/>
      <c r="GW909" s="885"/>
      <c r="GX909" s="885"/>
      <c r="GY909" s="885"/>
      <c r="GZ909" s="885"/>
      <c r="HA909" s="885"/>
      <c r="HB909" s="885"/>
      <c r="HC909" s="885"/>
      <c r="HD909" s="885"/>
      <c r="HE909" s="885"/>
      <c r="HF909" s="885"/>
      <c r="HG909" s="885"/>
      <c r="HH909" s="885"/>
      <c r="HI909" s="885"/>
      <c r="HJ909" s="885"/>
      <c r="HK909" s="885"/>
      <c r="HL909" s="885"/>
      <c r="HM909" s="885"/>
      <c r="HN909" s="885"/>
      <c r="HO909" s="885"/>
      <c r="HP909" s="885"/>
      <c r="HQ909" s="885"/>
      <c r="HR909" s="885"/>
      <c r="HS909" s="885"/>
      <c r="HT909" s="885"/>
      <c r="HU909" s="885"/>
      <c r="HV909" s="885"/>
      <c r="HW909" s="885"/>
      <c r="HX909" s="885"/>
      <c r="HY909" s="885"/>
      <c r="HZ909" s="885"/>
      <c r="IA909" s="885"/>
      <c r="IB909" s="885"/>
      <c r="IC909" s="885"/>
      <c r="ID909" s="885"/>
      <c r="IE909" s="885"/>
      <c r="IF909" s="885"/>
      <c r="IG909" s="885"/>
      <c r="IH909" s="885"/>
      <c r="II909" s="885"/>
      <c r="IJ909" s="885"/>
      <c r="IK909" s="885"/>
      <c r="IL909" s="885"/>
      <c r="IM909" s="885"/>
      <c r="IN909" s="885"/>
      <c r="IO909" s="885"/>
      <c r="IP909" s="885"/>
      <c r="IQ909" s="885"/>
      <c r="IR909" s="885"/>
      <c r="IS909" s="885"/>
      <c r="IT909" s="885"/>
      <c r="IU909" s="885"/>
      <c r="IV909" s="885"/>
      <c r="IW909" s="885"/>
      <c r="IX909" s="885"/>
    </row>
    <row r="910" spans="1:258" s="130" customFormat="1" x14ac:dyDescent="0.25">
      <c r="A910" s="125">
        <f t="shared" si="112"/>
        <v>870</v>
      </c>
      <c r="B910" s="948"/>
      <c r="C910" s="842" t="s">
        <v>11551</v>
      </c>
      <c r="D910" s="924">
        <v>37787.07</v>
      </c>
      <c r="E910" s="906">
        <f>D910/6*10</f>
        <v>62978.450000000004</v>
      </c>
      <c r="F910" s="136">
        <f>E910-20848.47</f>
        <v>42129.98</v>
      </c>
      <c r="G910" s="122" t="s">
        <v>1963</v>
      </c>
      <c r="H910" s="950"/>
      <c r="I910" s="948"/>
      <c r="J910" s="948"/>
      <c r="K910" s="948"/>
      <c r="L910" s="948"/>
      <c r="M910" s="948"/>
      <c r="N910" s="948"/>
      <c r="O910" s="948"/>
      <c r="P910" s="948"/>
      <c r="Q910" s="948"/>
      <c r="R910" s="948"/>
      <c r="S910" s="948"/>
      <c r="T910" s="948"/>
      <c r="U910" s="948"/>
      <c r="V910" s="948"/>
      <c r="W910" s="948"/>
      <c r="X910" s="948"/>
      <c r="Y910" s="948"/>
      <c r="Z910" s="948"/>
      <c r="AA910" s="948"/>
      <c r="AB910" s="948"/>
      <c r="AC910" s="948"/>
      <c r="AD910" s="948"/>
      <c r="AE910" s="948"/>
      <c r="AF910" s="948"/>
      <c r="AG910" s="948"/>
      <c r="AH910" s="948"/>
      <c r="AI910" s="948"/>
      <c r="AJ910" s="948"/>
      <c r="AK910" s="948"/>
      <c r="AL910" s="948"/>
      <c r="AM910" s="948"/>
      <c r="AN910" s="948"/>
      <c r="AO910" s="948"/>
      <c r="AP910" s="948"/>
      <c r="AQ910" s="948"/>
      <c r="AR910" s="948"/>
      <c r="AS910" s="948"/>
      <c r="AT910" s="948"/>
      <c r="AU910" s="948"/>
      <c r="AV910" s="948"/>
      <c r="AW910" s="948"/>
      <c r="AX910" s="948"/>
      <c r="AY910" s="948"/>
      <c r="AZ910" s="948"/>
      <c r="BA910" s="948"/>
      <c r="BB910" s="948"/>
      <c r="BC910" s="948"/>
      <c r="BD910" s="948"/>
      <c r="BE910" s="948"/>
      <c r="BF910" s="948"/>
      <c r="BG910" s="948"/>
      <c r="BH910" s="948"/>
      <c r="BI910" s="948"/>
      <c r="BJ910" s="948"/>
      <c r="BK910" s="948"/>
      <c r="BL910" s="948"/>
      <c r="BM910" s="948"/>
      <c r="BN910" s="948"/>
      <c r="BO910" s="948"/>
      <c r="BP910" s="948"/>
      <c r="BQ910" s="948"/>
      <c r="BR910" s="948"/>
      <c r="BS910" s="948"/>
      <c r="BT910" s="948"/>
      <c r="BU910" s="948"/>
      <c r="BV910" s="948"/>
      <c r="BW910" s="948"/>
      <c r="BX910" s="948"/>
      <c r="BY910" s="948"/>
      <c r="BZ910" s="948"/>
      <c r="CA910" s="948"/>
      <c r="CB910" s="948"/>
      <c r="CC910" s="948"/>
      <c r="CD910" s="948"/>
      <c r="CE910" s="948"/>
      <c r="CF910" s="948"/>
      <c r="CG910" s="948"/>
      <c r="CH910" s="948"/>
      <c r="CI910" s="948"/>
      <c r="CJ910" s="948"/>
      <c r="CK910" s="948"/>
      <c r="CL910" s="948"/>
      <c r="CM910" s="948"/>
      <c r="CN910" s="948"/>
      <c r="CO910" s="948"/>
      <c r="CP910" s="948"/>
      <c r="CQ910" s="948"/>
      <c r="CR910" s="948"/>
      <c r="CS910" s="948"/>
      <c r="CT910" s="948"/>
      <c r="CU910" s="948"/>
      <c r="CV910" s="948"/>
      <c r="CW910" s="948"/>
      <c r="CX910" s="948"/>
      <c r="CY910" s="948"/>
      <c r="CZ910" s="948"/>
      <c r="DA910" s="948"/>
      <c r="DB910" s="948"/>
      <c r="DC910" s="948"/>
      <c r="DD910" s="948"/>
      <c r="DE910" s="948"/>
      <c r="DF910" s="948"/>
      <c r="DG910" s="948"/>
      <c r="DH910" s="948"/>
      <c r="DI910" s="948"/>
      <c r="DJ910" s="948"/>
      <c r="DK910" s="948"/>
      <c r="DL910" s="948"/>
      <c r="DM910" s="948"/>
      <c r="DN910" s="948"/>
      <c r="DO910" s="948"/>
      <c r="DP910" s="948"/>
      <c r="DQ910" s="948"/>
      <c r="DR910" s="948"/>
      <c r="DS910" s="948"/>
      <c r="DT910" s="948"/>
      <c r="DU910" s="948"/>
      <c r="DV910" s="948"/>
      <c r="DW910" s="948"/>
      <c r="DX910" s="948"/>
      <c r="DY910" s="948"/>
      <c r="DZ910" s="948"/>
      <c r="EA910" s="948"/>
      <c r="EB910" s="948"/>
      <c r="EC910" s="948"/>
      <c r="ED910" s="948"/>
      <c r="EE910" s="948"/>
      <c r="EF910" s="948"/>
      <c r="EG910" s="948"/>
      <c r="EH910" s="948"/>
      <c r="EI910" s="948"/>
      <c r="EJ910" s="948"/>
      <c r="EK910" s="948"/>
      <c r="EL910" s="948"/>
      <c r="EM910" s="948"/>
      <c r="EN910" s="948"/>
      <c r="EO910" s="948"/>
      <c r="EP910" s="948"/>
      <c r="EQ910" s="948"/>
      <c r="ER910" s="948"/>
      <c r="ES910" s="948"/>
      <c r="ET910" s="948"/>
      <c r="EU910" s="948"/>
      <c r="EV910" s="948"/>
      <c r="EW910" s="948"/>
      <c r="EX910" s="948"/>
      <c r="EY910" s="948"/>
      <c r="EZ910" s="948"/>
      <c r="FA910" s="948"/>
      <c r="FB910" s="948"/>
      <c r="FC910" s="948"/>
      <c r="FD910" s="948"/>
      <c r="FE910" s="948"/>
      <c r="FF910" s="948"/>
      <c r="FG910" s="948"/>
      <c r="FH910" s="948"/>
      <c r="FI910" s="948"/>
      <c r="FJ910" s="948"/>
      <c r="FK910" s="948"/>
      <c r="FL910" s="948"/>
      <c r="FM910" s="948"/>
      <c r="FN910" s="948"/>
      <c r="FO910" s="948"/>
      <c r="FP910" s="948"/>
      <c r="FQ910" s="948"/>
      <c r="FR910" s="948"/>
      <c r="FS910" s="948"/>
      <c r="FT910" s="948"/>
      <c r="FU910" s="948"/>
      <c r="FV910" s="948"/>
      <c r="FW910" s="948"/>
      <c r="FX910" s="948"/>
      <c r="FY910" s="948"/>
      <c r="FZ910" s="948"/>
      <c r="GA910" s="948"/>
      <c r="GB910" s="948"/>
      <c r="GC910" s="948"/>
      <c r="GD910" s="948"/>
      <c r="GE910" s="948"/>
      <c r="GF910" s="948"/>
      <c r="GG910" s="948"/>
      <c r="GH910" s="948"/>
      <c r="GI910" s="948"/>
      <c r="GJ910" s="948"/>
      <c r="GK910" s="948"/>
      <c r="GL910" s="948"/>
      <c r="GM910" s="948"/>
      <c r="GN910" s="948"/>
      <c r="GO910" s="948"/>
      <c r="GP910" s="948"/>
      <c r="GQ910" s="948"/>
      <c r="GR910" s="948"/>
      <c r="GS910" s="948"/>
      <c r="GT910" s="948"/>
      <c r="GU910" s="948"/>
      <c r="GV910" s="948"/>
      <c r="GW910" s="948"/>
      <c r="GX910" s="948"/>
      <c r="GY910" s="948"/>
      <c r="GZ910" s="948"/>
      <c r="HA910" s="948"/>
      <c r="HB910" s="948"/>
      <c r="HC910" s="948"/>
      <c r="HD910" s="948"/>
      <c r="HE910" s="948"/>
      <c r="HF910" s="948"/>
      <c r="HG910" s="948"/>
      <c r="HH910" s="948"/>
      <c r="HI910" s="948"/>
      <c r="HJ910" s="948"/>
      <c r="HK910" s="948"/>
      <c r="HL910" s="948"/>
      <c r="HM910" s="948"/>
      <c r="HN910" s="948"/>
      <c r="HO910" s="948"/>
      <c r="HP910" s="948"/>
      <c r="HQ910" s="948"/>
      <c r="HR910" s="948"/>
      <c r="HS910" s="948"/>
      <c r="HT910" s="948"/>
      <c r="HU910" s="948"/>
      <c r="HV910" s="948"/>
      <c r="HW910" s="948"/>
      <c r="HX910" s="948"/>
      <c r="HY910" s="948"/>
      <c r="HZ910" s="948"/>
      <c r="IA910" s="948"/>
      <c r="IB910" s="948"/>
      <c r="IC910" s="948"/>
      <c r="ID910" s="948"/>
      <c r="IE910" s="948"/>
      <c r="IF910" s="948"/>
      <c r="IG910" s="948"/>
      <c r="IH910" s="948"/>
      <c r="II910" s="948"/>
      <c r="IJ910" s="948"/>
      <c r="IK910" s="948"/>
      <c r="IL910" s="948"/>
      <c r="IM910" s="948"/>
      <c r="IN910" s="948"/>
      <c r="IO910" s="948"/>
      <c r="IP910" s="948"/>
      <c r="IQ910" s="948"/>
      <c r="IR910" s="948"/>
      <c r="IS910" s="948"/>
      <c r="IT910" s="948"/>
      <c r="IU910" s="948"/>
      <c r="IV910" s="948"/>
      <c r="IW910" s="948"/>
      <c r="IX910" s="948"/>
    </row>
    <row r="911" spans="1:258" s="130" customFormat="1" x14ac:dyDescent="0.25">
      <c r="A911" s="125">
        <f t="shared" si="112"/>
        <v>871</v>
      </c>
      <c r="B911" s="885"/>
      <c r="C911" s="842" t="s">
        <v>10498</v>
      </c>
      <c r="D911" s="924">
        <f>5192.16-(381.02*8)</f>
        <v>2144</v>
      </c>
      <c r="E911" s="906">
        <f>D911/8*12</f>
        <v>3216</v>
      </c>
      <c r="F911" s="136">
        <f>E911/12</f>
        <v>268</v>
      </c>
      <c r="G911" s="122" t="s">
        <v>1963</v>
      </c>
      <c r="H911" s="889"/>
      <c r="I911" s="885"/>
      <c r="J911" s="885"/>
      <c r="K911" s="885"/>
      <c r="L911" s="885"/>
      <c r="M911" s="885"/>
      <c r="N911" s="885"/>
      <c r="O911" s="885"/>
      <c r="P911" s="885"/>
      <c r="Q911" s="885"/>
      <c r="R911" s="885"/>
      <c r="S911" s="885"/>
      <c r="T911" s="885"/>
      <c r="U911" s="885"/>
      <c r="V911" s="885"/>
      <c r="W911" s="885"/>
      <c r="X911" s="885"/>
      <c r="Y911" s="885"/>
      <c r="Z911" s="885"/>
      <c r="AA911" s="885"/>
      <c r="AB911" s="885"/>
      <c r="AC911" s="885"/>
      <c r="AD911" s="885"/>
      <c r="AE911" s="885"/>
      <c r="AF911" s="885"/>
      <c r="AG911" s="885"/>
      <c r="AH911" s="885"/>
      <c r="AI911" s="885"/>
      <c r="AJ911" s="885"/>
      <c r="AK911" s="885"/>
      <c r="AL911" s="885"/>
      <c r="AM911" s="885"/>
      <c r="AN911" s="885"/>
      <c r="AO911" s="885"/>
      <c r="AP911" s="885"/>
      <c r="AQ911" s="885"/>
      <c r="AR911" s="885"/>
      <c r="AS911" s="885"/>
      <c r="AT911" s="885"/>
      <c r="AU911" s="885"/>
      <c r="AV911" s="885"/>
      <c r="AW911" s="885"/>
      <c r="AX911" s="885"/>
      <c r="AY911" s="885"/>
      <c r="AZ911" s="885"/>
      <c r="BA911" s="885"/>
      <c r="BB911" s="885"/>
      <c r="BC911" s="885"/>
      <c r="BD911" s="885"/>
      <c r="BE911" s="885"/>
      <c r="BF911" s="885"/>
      <c r="BG911" s="885"/>
      <c r="BH911" s="885"/>
      <c r="BI911" s="885"/>
      <c r="BJ911" s="885"/>
      <c r="BK911" s="885"/>
      <c r="BL911" s="885"/>
      <c r="BM911" s="885"/>
      <c r="BN911" s="885"/>
      <c r="BO911" s="885"/>
      <c r="BP911" s="885"/>
      <c r="BQ911" s="885"/>
      <c r="BR911" s="885"/>
      <c r="BS911" s="885"/>
      <c r="BT911" s="885"/>
      <c r="BU911" s="885"/>
      <c r="BV911" s="885"/>
      <c r="BW911" s="885"/>
      <c r="BX911" s="885"/>
      <c r="BY911" s="885"/>
      <c r="BZ911" s="885"/>
      <c r="CA911" s="885"/>
      <c r="CB911" s="885"/>
      <c r="CC911" s="885"/>
      <c r="CD911" s="885"/>
      <c r="CE911" s="885"/>
      <c r="CF911" s="885"/>
      <c r="CG911" s="885"/>
      <c r="CH911" s="885"/>
      <c r="CI911" s="885"/>
      <c r="CJ911" s="885"/>
      <c r="CK911" s="885"/>
      <c r="CL911" s="885"/>
      <c r="CM911" s="885"/>
      <c r="CN911" s="885"/>
      <c r="CO911" s="885"/>
      <c r="CP911" s="885"/>
      <c r="CQ911" s="885"/>
      <c r="CR911" s="885"/>
      <c r="CS911" s="885"/>
      <c r="CT911" s="885"/>
      <c r="CU911" s="885"/>
      <c r="CV911" s="885"/>
      <c r="CW911" s="885"/>
      <c r="CX911" s="885"/>
      <c r="CY911" s="885"/>
      <c r="CZ911" s="885"/>
      <c r="DA911" s="885"/>
      <c r="DB911" s="885"/>
      <c r="DC911" s="885"/>
      <c r="DD911" s="885"/>
      <c r="DE911" s="885"/>
      <c r="DF911" s="885"/>
      <c r="DG911" s="885"/>
      <c r="DH911" s="885"/>
      <c r="DI911" s="885"/>
      <c r="DJ911" s="885"/>
      <c r="DK911" s="885"/>
      <c r="DL911" s="885"/>
      <c r="DM911" s="885"/>
      <c r="DN911" s="885"/>
      <c r="DO911" s="885"/>
      <c r="DP911" s="885"/>
      <c r="DQ911" s="885"/>
      <c r="DR911" s="885"/>
      <c r="DS911" s="885"/>
      <c r="DT911" s="885"/>
      <c r="DU911" s="885"/>
      <c r="DV911" s="885"/>
      <c r="DW911" s="885"/>
      <c r="DX911" s="885"/>
      <c r="DY911" s="885"/>
      <c r="DZ911" s="885"/>
      <c r="EA911" s="885"/>
      <c r="EB911" s="885"/>
      <c r="EC911" s="885"/>
      <c r="ED911" s="885"/>
      <c r="EE911" s="885"/>
      <c r="EF911" s="885"/>
      <c r="EG911" s="885"/>
      <c r="EH911" s="885"/>
      <c r="EI911" s="885"/>
      <c r="EJ911" s="885"/>
      <c r="EK911" s="885"/>
      <c r="EL911" s="885"/>
      <c r="EM911" s="885"/>
      <c r="EN911" s="885"/>
      <c r="EO911" s="885"/>
      <c r="EP911" s="885"/>
      <c r="EQ911" s="885"/>
      <c r="ER911" s="885"/>
      <c r="ES911" s="885"/>
      <c r="ET911" s="885"/>
      <c r="EU911" s="885"/>
      <c r="EV911" s="885"/>
      <c r="EW911" s="885"/>
      <c r="EX911" s="885"/>
      <c r="EY911" s="885"/>
      <c r="EZ911" s="885"/>
      <c r="FA911" s="885"/>
      <c r="FB911" s="885"/>
      <c r="FC911" s="885"/>
      <c r="FD911" s="885"/>
      <c r="FE911" s="885"/>
      <c r="FF911" s="885"/>
      <c r="FG911" s="885"/>
      <c r="FH911" s="885"/>
      <c r="FI911" s="885"/>
      <c r="FJ911" s="885"/>
      <c r="FK911" s="885"/>
      <c r="FL911" s="885"/>
      <c r="FM911" s="885"/>
      <c r="FN911" s="885"/>
      <c r="FO911" s="885"/>
      <c r="FP911" s="885"/>
      <c r="FQ911" s="885"/>
      <c r="FR911" s="885"/>
      <c r="FS911" s="885"/>
      <c r="FT911" s="885"/>
      <c r="FU911" s="885"/>
      <c r="FV911" s="885"/>
      <c r="FW911" s="885"/>
      <c r="FX911" s="885"/>
      <c r="FY911" s="885"/>
      <c r="FZ911" s="885"/>
      <c r="GA911" s="885"/>
      <c r="GB911" s="885"/>
      <c r="GC911" s="885"/>
      <c r="GD911" s="885"/>
      <c r="GE911" s="885"/>
      <c r="GF911" s="885"/>
      <c r="GG911" s="885"/>
      <c r="GH911" s="885"/>
      <c r="GI911" s="885"/>
      <c r="GJ911" s="885"/>
      <c r="GK911" s="885"/>
      <c r="GL911" s="885"/>
      <c r="GM911" s="885"/>
      <c r="GN911" s="885"/>
      <c r="GO911" s="885"/>
      <c r="GP911" s="885"/>
      <c r="GQ911" s="885"/>
      <c r="GR911" s="885"/>
      <c r="GS911" s="885"/>
      <c r="GT911" s="885"/>
      <c r="GU911" s="885"/>
      <c r="GV911" s="885"/>
      <c r="GW911" s="885"/>
      <c r="GX911" s="885"/>
      <c r="GY911" s="885"/>
      <c r="GZ911" s="885"/>
      <c r="HA911" s="885"/>
      <c r="HB911" s="885"/>
      <c r="HC911" s="885"/>
      <c r="HD911" s="885"/>
      <c r="HE911" s="885"/>
      <c r="HF911" s="885"/>
      <c r="HG911" s="885"/>
      <c r="HH911" s="885"/>
      <c r="HI911" s="885"/>
      <c r="HJ911" s="885"/>
      <c r="HK911" s="885"/>
      <c r="HL911" s="885"/>
      <c r="HM911" s="885"/>
      <c r="HN911" s="885"/>
      <c r="HO911" s="885"/>
      <c r="HP911" s="885"/>
      <c r="HQ911" s="885"/>
      <c r="HR911" s="885"/>
      <c r="HS911" s="885"/>
      <c r="HT911" s="885"/>
      <c r="HU911" s="885"/>
      <c r="HV911" s="885"/>
      <c r="HW911" s="885"/>
      <c r="HX911" s="885"/>
      <c r="HY911" s="885"/>
      <c r="HZ911" s="885"/>
      <c r="IA911" s="885"/>
      <c r="IB911" s="885"/>
      <c r="IC911" s="885"/>
      <c r="ID911" s="885"/>
      <c r="IE911" s="885"/>
      <c r="IF911" s="885"/>
      <c r="IG911" s="885"/>
      <c r="IH911" s="885"/>
      <c r="II911" s="885"/>
      <c r="IJ911" s="885"/>
      <c r="IK911" s="885"/>
      <c r="IL911" s="885"/>
      <c r="IM911" s="885"/>
      <c r="IN911" s="885"/>
      <c r="IO911" s="885"/>
      <c r="IP911" s="885"/>
      <c r="IQ911" s="885"/>
      <c r="IR911" s="885"/>
      <c r="IS911" s="885"/>
      <c r="IT911" s="885"/>
      <c r="IU911" s="885"/>
      <c r="IV911" s="885"/>
      <c r="IW911" s="885"/>
      <c r="IX911" s="885"/>
    </row>
    <row r="912" spans="1:258" s="130" customFormat="1" x14ac:dyDescent="0.25">
      <c r="A912" s="125">
        <f t="shared" si="112"/>
        <v>872</v>
      </c>
      <c r="B912" s="885"/>
      <c r="C912" s="842" t="s">
        <v>10497</v>
      </c>
      <c r="D912" s="924">
        <v>381.02</v>
      </c>
      <c r="E912" s="924">
        <f>D912/8*12</f>
        <v>571.53</v>
      </c>
      <c r="F912" s="136">
        <f>E912/12</f>
        <v>47.627499999999998</v>
      </c>
      <c r="G912" s="122" t="s">
        <v>1963</v>
      </c>
      <c r="H912" s="889"/>
      <c r="I912" s="885"/>
      <c r="J912" s="885"/>
      <c r="K912" s="885"/>
      <c r="L912" s="885"/>
      <c r="M912" s="885"/>
      <c r="N912" s="885"/>
      <c r="O912" s="885"/>
      <c r="P912" s="885"/>
      <c r="Q912" s="885"/>
      <c r="R912" s="885"/>
      <c r="S912" s="885"/>
      <c r="T912" s="885"/>
      <c r="U912" s="885"/>
      <c r="V912" s="885"/>
      <c r="W912" s="885"/>
      <c r="X912" s="885"/>
      <c r="Y912" s="885"/>
      <c r="Z912" s="885"/>
      <c r="AA912" s="885"/>
      <c r="AB912" s="885"/>
      <c r="AC912" s="885"/>
      <c r="AD912" s="885"/>
      <c r="AE912" s="885"/>
      <c r="AF912" s="885"/>
      <c r="AG912" s="885"/>
      <c r="AH912" s="885"/>
      <c r="AI912" s="885"/>
      <c r="AJ912" s="885"/>
      <c r="AK912" s="885"/>
      <c r="AL912" s="885"/>
      <c r="AM912" s="885"/>
      <c r="AN912" s="885"/>
      <c r="AO912" s="885"/>
      <c r="AP912" s="885"/>
      <c r="AQ912" s="885"/>
      <c r="AR912" s="885"/>
      <c r="AS912" s="885"/>
      <c r="AT912" s="885"/>
      <c r="AU912" s="885"/>
      <c r="AV912" s="885"/>
      <c r="AW912" s="885"/>
      <c r="AX912" s="885"/>
      <c r="AY912" s="885"/>
      <c r="AZ912" s="885"/>
      <c r="BA912" s="885"/>
      <c r="BB912" s="885"/>
      <c r="BC912" s="885"/>
      <c r="BD912" s="885"/>
      <c r="BE912" s="885"/>
      <c r="BF912" s="885"/>
      <c r="BG912" s="885"/>
      <c r="BH912" s="885"/>
      <c r="BI912" s="885"/>
      <c r="BJ912" s="885"/>
      <c r="BK912" s="885"/>
      <c r="BL912" s="885"/>
      <c r="BM912" s="885"/>
      <c r="BN912" s="885"/>
      <c r="BO912" s="885"/>
      <c r="BP912" s="885"/>
      <c r="BQ912" s="885"/>
      <c r="BR912" s="885"/>
      <c r="BS912" s="885"/>
      <c r="BT912" s="885"/>
      <c r="BU912" s="885"/>
      <c r="BV912" s="885"/>
      <c r="BW912" s="885"/>
      <c r="BX912" s="885"/>
      <c r="BY912" s="885"/>
      <c r="BZ912" s="885"/>
      <c r="CA912" s="885"/>
      <c r="CB912" s="885"/>
      <c r="CC912" s="885"/>
      <c r="CD912" s="885"/>
      <c r="CE912" s="885"/>
      <c r="CF912" s="885"/>
      <c r="CG912" s="885"/>
      <c r="CH912" s="885"/>
      <c r="CI912" s="885"/>
      <c r="CJ912" s="885"/>
      <c r="CK912" s="885"/>
      <c r="CL912" s="885"/>
      <c r="CM912" s="885"/>
      <c r="CN912" s="885"/>
      <c r="CO912" s="885"/>
      <c r="CP912" s="885"/>
      <c r="CQ912" s="885"/>
      <c r="CR912" s="885"/>
      <c r="CS912" s="885"/>
      <c r="CT912" s="885"/>
      <c r="CU912" s="885"/>
      <c r="CV912" s="885"/>
      <c r="CW912" s="885"/>
      <c r="CX912" s="885"/>
      <c r="CY912" s="885"/>
      <c r="CZ912" s="885"/>
      <c r="DA912" s="885"/>
      <c r="DB912" s="885"/>
      <c r="DC912" s="885"/>
      <c r="DD912" s="885"/>
      <c r="DE912" s="885"/>
      <c r="DF912" s="885"/>
      <c r="DG912" s="885"/>
      <c r="DH912" s="885"/>
      <c r="DI912" s="885"/>
      <c r="DJ912" s="885"/>
      <c r="DK912" s="885"/>
      <c r="DL912" s="885"/>
      <c r="DM912" s="885"/>
      <c r="DN912" s="885"/>
      <c r="DO912" s="885"/>
      <c r="DP912" s="885"/>
      <c r="DQ912" s="885"/>
      <c r="DR912" s="885"/>
      <c r="DS912" s="885"/>
      <c r="DT912" s="885"/>
      <c r="DU912" s="885"/>
      <c r="DV912" s="885"/>
      <c r="DW912" s="885"/>
      <c r="DX912" s="885"/>
      <c r="DY912" s="885"/>
      <c r="DZ912" s="885"/>
      <c r="EA912" s="885"/>
      <c r="EB912" s="885"/>
      <c r="EC912" s="885"/>
      <c r="ED912" s="885"/>
      <c r="EE912" s="885"/>
      <c r="EF912" s="885"/>
      <c r="EG912" s="885"/>
      <c r="EH912" s="885"/>
      <c r="EI912" s="885"/>
      <c r="EJ912" s="885"/>
      <c r="EK912" s="885"/>
      <c r="EL912" s="885"/>
      <c r="EM912" s="885"/>
      <c r="EN912" s="885"/>
      <c r="EO912" s="885"/>
      <c r="EP912" s="885"/>
      <c r="EQ912" s="885"/>
      <c r="ER912" s="885"/>
      <c r="ES912" s="885"/>
      <c r="ET912" s="885"/>
      <c r="EU912" s="885"/>
      <c r="EV912" s="885"/>
      <c r="EW912" s="885"/>
      <c r="EX912" s="885"/>
      <c r="EY912" s="885"/>
      <c r="EZ912" s="885"/>
      <c r="FA912" s="885"/>
      <c r="FB912" s="885"/>
      <c r="FC912" s="885"/>
      <c r="FD912" s="885"/>
      <c r="FE912" s="885"/>
      <c r="FF912" s="885"/>
      <c r="FG912" s="885"/>
      <c r="FH912" s="885"/>
      <c r="FI912" s="885"/>
      <c r="FJ912" s="885"/>
      <c r="FK912" s="885"/>
      <c r="FL912" s="885"/>
      <c r="FM912" s="885"/>
      <c r="FN912" s="885"/>
      <c r="FO912" s="885"/>
      <c r="FP912" s="885"/>
      <c r="FQ912" s="885"/>
      <c r="FR912" s="885"/>
      <c r="FS912" s="885"/>
      <c r="FT912" s="885"/>
      <c r="FU912" s="885"/>
      <c r="FV912" s="885"/>
      <c r="FW912" s="885"/>
      <c r="FX912" s="885"/>
      <c r="FY912" s="885"/>
      <c r="FZ912" s="885"/>
      <c r="GA912" s="885"/>
      <c r="GB912" s="885"/>
      <c r="GC912" s="885"/>
      <c r="GD912" s="885"/>
      <c r="GE912" s="885"/>
      <c r="GF912" s="885"/>
      <c r="GG912" s="885"/>
      <c r="GH912" s="885"/>
      <c r="GI912" s="885"/>
      <c r="GJ912" s="885"/>
      <c r="GK912" s="885"/>
      <c r="GL912" s="885"/>
      <c r="GM912" s="885"/>
      <c r="GN912" s="885"/>
      <c r="GO912" s="885"/>
      <c r="GP912" s="885"/>
      <c r="GQ912" s="885"/>
      <c r="GR912" s="885"/>
      <c r="GS912" s="885"/>
      <c r="GT912" s="885"/>
      <c r="GU912" s="885"/>
      <c r="GV912" s="885"/>
      <c r="GW912" s="885"/>
      <c r="GX912" s="885"/>
      <c r="GY912" s="885"/>
      <c r="GZ912" s="885"/>
      <c r="HA912" s="885"/>
      <c r="HB912" s="885"/>
      <c r="HC912" s="885"/>
      <c r="HD912" s="885"/>
      <c r="HE912" s="885"/>
      <c r="HF912" s="885"/>
      <c r="HG912" s="885"/>
      <c r="HH912" s="885"/>
      <c r="HI912" s="885"/>
      <c r="HJ912" s="885"/>
      <c r="HK912" s="885"/>
      <c r="HL912" s="885"/>
      <c r="HM912" s="885"/>
      <c r="HN912" s="885"/>
      <c r="HO912" s="885"/>
      <c r="HP912" s="885"/>
      <c r="HQ912" s="885"/>
      <c r="HR912" s="885"/>
      <c r="HS912" s="885"/>
      <c r="HT912" s="885"/>
      <c r="HU912" s="885"/>
      <c r="HV912" s="885"/>
      <c r="HW912" s="885"/>
      <c r="HX912" s="885"/>
      <c r="HY912" s="885"/>
      <c r="HZ912" s="885"/>
      <c r="IA912" s="885"/>
      <c r="IB912" s="885"/>
      <c r="IC912" s="885"/>
      <c r="ID912" s="885"/>
      <c r="IE912" s="885"/>
      <c r="IF912" s="885"/>
      <c r="IG912" s="885"/>
      <c r="IH912" s="885"/>
      <c r="II912" s="885"/>
      <c r="IJ912" s="885"/>
      <c r="IK912" s="885"/>
      <c r="IL912" s="885"/>
      <c r="IM912" s="885"/>
      <c r="IN912" s="885"/>
      <c r="IO912" s="885"/>
      <c r="IP912" s="885"/>
      <c r="IQ912" s="885"/>
      <c r="IR912" s="885"/>
      <c r="IS912" s="885"/>
      <c r="IT912" s="885"/>
      <c r="IU912" s="885"/>
      <c r="IV912" s="885"/>
      <c r="IW912" s="885"/>
      <c r="IX912" s="885"/>
    </row>
    <row r="913" spans="1:258" x14ac:dyDescent="0.25">
      <c r="A913" s="125">
        <f t="shared" si="112"/>
        <v>873</v>
      </c>
      <c r="B913" s="885"/>
      <c r="C913" s="842" t="s">
        <v>10496</v>
      </c>
      <c r="D913" s="924">
        <v>34.25</v>
      </c>
      <c r="E913" s="924">
        <f>D913/8*12</f>
        <v>51.375</v>
      </c>
      <c r="F913" s="136">
        <v>500</v>
      </c>
      <c r="G913" s="122" t="s">
        <v>1963</v>
      </c>
      <c r="I913" s="885"/>
      <c r="J913" s="885"/>
      <c r="K913" s="885"/>
      <c r="L913" s="885"/>
      <c r="M913" s="885"/>
      <c r="N913" s="885"/>
      <c r="O913" s="885"/>
      <c r="P913" s="885"/>
      <c r="Q913" s="885"/>
      <c r="R913" s="885"/>
      <c r="S913" s="885"/>
      <c r="T913" s="885"/>
      <c r="U913" s="885"/>
      <c r="V913" s="885"/>
      <c r="W913" s="885"/>
      <c r="X913" s="885"/>
      <c r="Y913" s="885"/>
      <c r="Z913" s="885"/>
      <c r="AA913" s="885"/>
      <c r="AB913" s="885"/>
      <c r="AC913" s="885"/>
      <c r="AD913" s="885"/>
      <c r="AE913" s="885"/>
      <c r="AF913" s="885"/>
      <c r="AG913" s="885"/>
      <c r="AH913" s="885"/>
      <c r="AI913" s="885"/>
      <c r="AJ913" s="885"/>
      <c r="AK913" s="885"/>
      <c r="AL913" s="885"/>
      <c r="AM913" s="885"/>
      <c r="AN913" s="885"/>
      <c r="AO913" s="885"/>
      <c r="AP913" s="885"/>
      <c r="AQ913" s="885"/>
      <c r="AR913" s="885"/>
      <c r="AS913" s="885"/>
      <c r="AT913" s="885"/>
      <c r="AU913" s="885"/>
      <c r="AV913" s="885"/>
      <c r="AW913" s="885"/>
      <c r="AX913" s="885"/>
      <c r="AY913" s="885"/>
      <c r="AZ913" s="885"/>
      <c r="BA913" s="885"/>
      <c r="BB913" s="885"/>
      <c r="BC913" s="885"/>
      <c r="BD913" s="885"/>
      <c r="BE913" s="885"/>
      <c r="BF913" s="885"/>
      <c r="BG913" s="885"/>
      <c r="BH913" s="885"/>
      <c r="BI913" s="885"/>
      <c r="BJ913" s="885"/>
      <c r="BK913" s="885"/>
      <c r="BL913" s="885"/>
      <c r="BM913" s="885"/>
      <c r="BN913" s="885"/>
      <c r="BO913" s="885"/>
      <c r="BP913" s="885"/>
      <c r="BQ913" s="885"/>
      <c r="BR913" s="885"/>
      <c r="BS913" s="885"/>
      <c r="BT913" s="885"/>
      <c r="BU913" s="885"/>
      <c r="BV913" s="885"/>
      <c r="BW913" s="885"/>
      <c r="BX913" s="885"/>
      <c r="BY913" s="885"/>
      <c r="BZ913" s="885"/>
      <c r="CA913" s="885"/>
      <c r="CB913" s="885"/>
      <c r="CC913" s="885"/>
      <c r="CD913" s="885"/>
      <c r="CE913" s="885"/>
      <c r="CF913" s="885"/>
      <c r="CG913" s="885"/>
      <c r="CH913" s="885"/>
      <c r="CI913" s="885"/>
      <c r="CJ913" s="885"/>
      <c r="CK913" s="885"/>
      <c r="CL913" s="885"/>
      <c r="CM913" s="885"/>
      <c r="CN913" s="885"/>
      <c r="CO913" s="885"/>
      <c r="CP913" s="885"/>
      <c r="CQ913" s="885"/>
      <c r="CR913" s="885"/>
      <c r="CS913" s="885"/>
      <c r="CT913" s="885"/>
      <c r="CU913" s="885"/>
      <c r="CV913" s="885"/>
      <c r="CW913" s="885"/>
      <c r="CX913" s="885"/>
      <c r="CY913" s="885"/>
      <c r="CZ913" s="885"/>
      <c r="DA913" s="885"/>
      <c r="DB913" s="885"/>
      <c r="DC913" s="885"/>
      <c r="DD913" s="885"/>
      <c r="DE913" s="885"/>
      <c r="DF913" s="885"/>
      <c r="DG913" s="885"/>
      <c r="DH913" s="885"/>
      <c r="DI913" s="885"/>
      <c r="DJ913" s="885"/>
      <c r="DK913" s="885"/>
      <c r="DL913" s="885"/>
      <c r="DM913" s="885"/>
      <c r="DN913" s="885"/>
      <c r="DO913" s="885"/>
      <c r="DP913" s="885"/>
      <c r="DQ913" s="885"/>
      <c r="DR913" s="885"/>
      <c r="DS913" s="885"/>
      <c r="DT913" s="885"/>
      <c r="DU913" s="885"/>
      <c r="DV913" s="885"/>
      <c r="DW913" s="885"/>
      <c r="DX913" s="885"/>
      <c r="DY913" s="885"/>
      <c r="DZ913" s="885"/>
      <c r="EA913" s="885"/>
      <c r="EB913" s="885"/>
      <c r="EC913" s="885"/>
      <c r="ED913" s="885"/>
      <c r="EE913" s="885"/>
      <c r="EF913" s="885"/>
      <c r="EG913" s="885"/>
      <c r="EH913" s="885"/>
      <c r="EI913" s="885"/>
      <c r="EJ913" s="885"/>
      <c r="EK913" s="885"/>
      <c r="EL913" s="885"/>
      <c r="EM913" s="885"/>
      <c r="EN913" s="885"/>
      <c r="EO913" s="885"/>
      <c r="EP913" s="885"/>
      <c r="EQ913" s="885"/>
      <c r="ER913" s="885"/>
      <c r="ES913" s="885"/>
      <c r="ET913" s="885"/>
      <c r="EU913" s="885"/>
      <c r="EV913" s="885"/>
      <c r="EW913" s="885"/>
      <c r="EX913" s="885"/>
      <c r="EY913" s="885"/>
      <c r="EZ913" s="885"/>
      <c r="FA913" s="885"/>
      <c r="FB913" s="885"/>
      <c r="FC913" s="885"/>
      <c r="FD913" s="885"/>
      <c r="FE913" s="885"/>
      <c r="FF913" s="885"/>
      <c r="FG913" s="885"/>
      <c r="FH913" s="885"/>
      <c r="FI913" s="885"/>
      <c r="FJ913" s="885"/>
      <c r="FK913" s="885"/>
      <c r="FL913" s="885"/>
      <c r="FM913" s="885"/>
      <c r="FN913" s="885"/>
      <c r="FO913" s="885"/>
      <c r="FP913" s="885"/>
      <c r="FQ913" s="885"/>
      <c r="FR913" s="885"/>
      <c r="FS913" s="885"/>
      <c r="FT913" s="885"/>
      <c r="FU913" s="885"/>
      <c r="FV913" s="885"/>
      <c r="FW913" s="885"/>
      <c r="FX913" s="885"/>
      <c r="FY913" s="885"/>
      <c r="FZ913" s="885"/>
      <c r="GA913" s="885"/>
      <c r="GB913" s="885"/>
      <c r="GC913" s="885"/>
      <c r="GD913" s="885"/>
      <c r="GE913" s="885"/>
      <c r="GF913" s="885"/>
      <c r="GG913" s="885"/>
      <c r="GH913" s="885"/>
      <c r="GI913" s="885"/>
      <c r="GJ913" s="885"/>
      <c r="GK913" s="885"/>
      <c r="GL913" s="885"/>
      <c r="GM913" s="885"/>
      <c r="GN913" s="885"/>
      <c r="GO913" s="885"/>
      <c r="GP913" s="885"/>
      <c r="GQ913" s="885"/>
      <c r="GR913" s="885"/>
      <c r="GS913" s="885"/>
      <c r="GT913" s="885"/>
      <c r="GU913" s="885"/>
      <c r="GV913" s="885"/>
      <c r="GW913" s="885"/>
      <c r="GX913" s="885"/>
      <c r="GY913" s="885"/>
      <c r="GZ913" s="885"/>
      <c r="HA913" s="885"/>
      <c r="HB913" s="885"/>
      <c r="HC913" s="885"/>
      <c r="HD913" s="885"/>
      <c r="HE913" s="885"/>
      <c r="HF913" s="885"/>
      <c r="HG913" s="885"/>
      <c r="HH913" s="885"/>
      <c r="HI913" s="885"/>
      <c r="HJ913" s="885"/>
      <c r="HK913" s="885"/>
      <c r="HL913" s="885"/>
      <c r="HM913" s="885"/>
      <c r="HN913" s="885"/>
      <c r="HO913" s="885"/>
      <c r="HP913" s="885"/>
      <c r="HQ913" s="885"/>
      <c r="HR913" s="885"/>
      <c r="HS913" s="885"/>
      <c r="HT913" s="885"/>
      <c r="HU913" s="885"/>
      <c r="HV913" s="885"/>
      <c r="HW913" s="885"/>
      <c r="HX913" s="885"/>
      <c r="HY913" s="885"/>
      <c r="HZ913" s="885"/>
      <c r="IA913" s="885"/>
      <c r="IB913" s="885"/>
      <c r="IC913" s="885"/>
      <c r="ID913" s="885"/>
      <c r="IE913" s="885"/>
      <c r="IF913" s="885"/>
      <c r="IG913" s="885"/>
      <c r="IH913" s="885"/>
      <c r="II913" s="885"/>
      <c r="IJ913" s="885"/>
      <c r="IK913" s="885"/>
      <c r="IL913" s="885"/>
      <c r="IM913" s="885"/>
      <c r="IN913" s="885"/>
      <c r="IO913" s="885"/>
      <c r="IP913" s="885"/>
      <c r="IQ913" s="885"/>
      <c r="IR913" s="885"/>
      <c r="IS913" s="885"/>
      <c r="IT913" s="885"/>
      <c r="IU913" s="885"/>
      <c r="IV913" s="885"/>
      <c r="IW913" s="885"/>
      <c r="IX913" s="885"/>
    </row>
    <row r="914" spans="1:258" x14ac:dyDescent="0.25">
      <c r="A914" s="125">
        <f t="shared" si="112"/>
        <v>874</v>
      </c>
      <c r="B914" s="885"/>
      <c r="C914" s="842" t="s">
        <v>10495</v>
      </c>
      <c r="D914" s="924">
        <v>0</v>
      </c>
      <c r="E914" s="924">
        <f>D914/8*12</f>
        <v>0</v>
      </c>
      <c r="F914" s="136">
        <v>1000</v>
      </c>
      <c r="G914" s="122" t="s">
        <v>1963</v>
      </c>
      <c r="I914" s="885"/>
      <c r="J914" s="885"/>
      <c r="K914" s="885"/>
      <c r="L914" s="885"/>
      <c r="M914" s="885"/>
      <c r="N914" s="885"/>
      <c r="O914" s="885"/>
      <c r="P914" s="885"/>
      <c r="Q914" s="885"/>
      <c r="R914" s="885"/>
      <c r="S914" s="885"/>
      <c r="T914" s="885"/>
      <c r="U914" s="885"/>
      <c r="V914" s="885"/>
      <c r="W914" s="885"/>
      <c r="X914" s="885"/>
      <c r="Y914" s="885"/>
      <c r="Z914" s="885"/>
      <c r="AA914" s="885"/>
      <c r="AB914" s="885"/>
      <c r="AC914" s="885"/>
      <c r="AD914" s="885"/>
      <c r="AE914" s="885"/>
      <c r="AF914" s="885"/>
      <c r="AG914" s="885"/>
      <c r="AH914" s="885"/>
      <c r="AI914" s="885"/>
      <c r="AJ914" s="885"/>
      <c r="AK914" s="885"/>
      <c r="AL914" s="885"/>
      <c r="AM914" s="885"/>
      <c r="AN914" s="885"/>
      <c r="AO914" s="885"/>
      <c r="AP914" s="885"/>
      <c r="AQ914" s="885"/>
      <c r="AR914" s="885"/>
      <c r="AS914" s="885"/>
      <c r="AT914" s="885"/>
      <c r="AU914" s="885"/>
      <c r="AV914" s="885"/>
      <c r="AW914" s="885"/>
      <c r="AX914" s="885"/>
      <c r="AY914" s="885"/>
      <c r="AZ914" s="885"/>
      <c r="BA914" s="885"/>
      <c r="BB914" s="885"/>
      <c r="BC914" s="885"/>
      <c r="BD914" s="885"/>
      <c r="BE914" s="885"/>
      <c r="BF914" s="885"/>
      <c r="BG914" s="885"/>
      <c r="BH914" s="885"/>
      <c r="BI914" s="885"/>
      <c r="BJ914" s="885"/>
      <c r="BK914" s="885"/>
      <c r="BL914" s="885"/>
      <c r="BM914" s="885"/>
      <c r="BN914" s="885"/>
      <c r="BO914" s="885"/>
      <c r="BP914" s="885"/>
      <c r="BQ914" s="885"/>
      <c r="BR914" s="885"/>
      <c r="BS914" s="885"/>
      <c r="BT914" s="885"/>
      <c r="BU914" s="885"/>
      <c r="BV914" s="885"/>
      <c r="BW914" s="885"/>
      <c r="BX914" s="885"/>
      <c r="BY914" s="885"/>
      <c r="BZ914" s="885"/>
      <c r="CA914" s="885"/>
      <c r="CB914" s="885"/>
      <c r="CC914" s="885"/>
      <c r="CD914" s="885"/>
      <c r="CE914" s="885"/>
      <c r="CF914" s="885"/>
      <c r="CG914" s="885"/>
      <c r="CH914" s="885"/>
      <c r="CI914" s="885"/>
      <c r="CJ914" s="885"/>
      <c r="CK914" s="885"/>
      <c r="CL914" s="885"/>
      <c r="CM914" s="885"/>
      <c r="CN914" s="885"/>
      <c r="CO914" s="885"/>
      <c r="CP914" s="885"/>
      <c r="CQ914" s="885"/>
      <c r="CR914" s="885"/>
      <c r="CS914" s="885"/>
      <c r="CT914" s="885"/>
      <c r="CU914" s="885"/>
      <c r="CV914" s="885"/>
      <c r="CW914" s="885"/>
      <c r="CX914" s="885"/>
      <c r="CY914" s="885"/>
      <c r="CZ914" s="885"/>
      <c r="DA914" s="885"/>
      <c r="DB914" s="885"/>
      <c r="DC914" s="885"/>
      <c r="DD914" s="885"/>
      <c r="DE914" s="885"/>
      <c r="DF914" s="885"/>
      <c r="DG914" s="885"/>
      <c r="DH914" s="885"/>
      <c r="DI914" s="885"/>
      <c r="DJ914" s="885"/>
      <c r="DK914" s="885"/>
      <c r="DL914" s="885"/>
      <c r="DM914" s="885"/>
      <c r="DN914" s="885"/>
      <c r="DO914" s="885"/>
      <c r="DP914" s="885"/>
      <c r="DQ914" s="885"/>
      <c r="DR914" s="885"/>
      <c r="DS914" s="885"/>
      <c r="DT914" s="885"/>
      <c r="DU914" s="885"/>
      <c r="DV914" s="885"/>
      <c r="DW914" s="885"/>
      <c r="DX914" s="885"/>
      <c r="DY914" s="885"/>
      <c r="DZ914" s="885"/>
      <c r="EA914" s="885"/>
      <c r="EB914" s="885"/>
      <c r="EC914" s="885"/>
      <c r="ED914" s="885"/>
      <c r="EE914" s="885"/>
      <c r="EF914" s="885"/>
      <c r="EG914" s="885"/>
      <c r="EH914" s="885"/>
      <c r="EI914" s="885"/>
      <c r="EJ914" s="885"/>
      <c r="EK914" s="885"/>
      <c r="EL914" s="885"/>
      <c r="EM914" s="885"/>
      <c r="EN914" s="885"/>
      <c r="EO914" s="885"/>
      <c r="EP914" s="885"/>
      <c r="EQ914" s="885"/>
      <c r="ER914" s="885"/>
      <c r="ES914" s="885"/>
      <c r="ET914" s="885"/>
      <c r="EU914" s="885"/>
      <c r="EV914" s="885"/>
      <c r="EW914" s="885"/>
      <c r="EX914" s="885"/>
      <c r="EY914" s="885"/>
      <c r="EZ914" s="885"/>
      <c r="FA914" s="885"/>
      <c r="FB914" s="885"/>
      <c r="FC914" s="885"/>
      <c r="FD914" s="885"/>
      <c r="FE914" s="885"/>
      <c r="FF914" s="885"/>
      <c r="FG914" s="885"/>
      <c r="FH914" s="885"/>
      <c r="FI914" s="885"/>
      <c r="FJ914" s="885"/>
      <c r="FK914" s="885"/>
      <c r="FL914" s="885"/>
      <c r="FM914" s="885"/>
      <c r="FN914" s="885"/>
      <c r="FO914" s="885"/>
      <c r="FP914" s="885"/>
      <c r="FQ914" s="885"/>
      <c r="FR914" s="885"/>
      <c r="FS914" s="885"/>
      <c r="FT914" s="885"/>
      <c r="FU914" s="885"/>
      <c r="FV914" s="885"/>
      <c r="FW914" s="885"/>
      <c r="FX914" s="885"/>
      <c r="FY914" s="885"/>
      <c r="FZ914" s="885"/>
      <c r="GA914" s="885"/>
      <c r="GB914" s="885"/>
      <c r="GC914" s="885"/>
      <c r="GD914" s="885"/>
      <c r="GE914" s="885"/>
      <c r="GF914" s="885"/>
      <c r="GG914" s="885"/>
      <c r="GH914" s="885"/>
      <c r="GI914" s="885"/>
      <c r="GJ914" s="885"/>
      <c r="GK914" s="885"/>
      <c r="GL914" s="885"/>
      <c r="GM914" s="885"/>
      <c r="GN914" s="885"/>
      <c r="GO914" s="885"/>
      <c r="GP914" s="885"/>
      <c r="GQ914" s="885"/>
      <c r="GR914" s="885"/>
      <c r="GS914" s="885"/>
      <c r="GT914" s="885"/>
      <c r="GU914" s="885"/>
      <c r="GV914" s="885"/>
      <c r="GW914" s="885"/>
      <c r="GX914" s="885"/>
      <c r="GY914" s="885"/>
      <c r="GZ914" s="885"/>
      <c r="HA914" s="885"/>
      <c r="HB914" s="885"/>
      <c r="HC914" s="885"/>
      <c r="HD914" s="885"/>
      <c r="HE914" s="885"/>
      <c r="HF914" s="885"/>
      <c r="HG914" s="885"/>
      <c r="HH914" s="885"/>
      <c r="HI914" s="885"/>
      <c r="HJ914" s="885"/>
      <c r="HK914" s="885"/>
      <c r="HL914" s="885"/>
      <c r="HM914" s="885"/>
      <c r="HN914" s="885"/>
      <c r="HO914" s="885"/>
      <c r="HP914" s="885"/>
      <c r="HQ914" s="885"/>
      <c r="HR914" s="885"/>
      <c r="HS914" s="885"/>
      <c r="HT914" s="885"/>
      <c r="HU914" s="885"/>
      <c r="HV914" s="885"/>
      <c r="HW914" s="885"/>
      <c r="HX914" s="885"/>
      <c r="HY914" s="885"/>
      <c r="HZ914" s="885"/>
      <c r="IA914" s="885"/>
      <c r="IB914" s="885"/>
      <c r="IC914" s="885"/>
      <c r="ID914" s="885"/>
      <c r="IE914" s="885"/>
      <c r="IF914" s="885"/>
      <c r="IG914" s="885"/>
      <c r="IH914" s="885"/>
      <c r="II914" s="885"/>
      <c r="IJ914" s="885"/>
      <c r="IK914" s="885"/>
      <c r="IL914" s="885"/>
      <c r="IM914" s="885"/>
      <c r="IN914" s="885"/>
      <c r="IO914" s="885"/>
      <c r="IP914" s="885"/>
      <c r="IQ914" s="885"/>
      <c r="IR914" s="885"/>
      <c r="IS914" s="885"/>
      <c r="IT914" s="885"/>
      <c r="IU914" s="885"/>
      <c r="IV914" s="885"/>
      <c r="IW914" s="885"/>
      <c r="IX914" s="885"/>
    </row>
    <row r="915" spans="1:258" x14ac:dyDescent="0.25">
      <c r="A915" s="125">
        <f t="shared" si="112"/>
        <v>875</v>
      </c>
      <c r="B915" s="885"/>
      <c r="C915" s="842" t="s">
        <v>10493</v>
      </c>
      <c r="D915" s="924">
        <v>0</v>
      </c>
      <c r="E915" s="924">
        <f>D915/8*12</f>
        <v>0</v>
      </c>
      <c r="F915" s="136">
        <v>1000</v>
      </c>
      <c r="G915" s="122" t="s">
        <v>1963</v>
      </c>
      <c r="I915" s="885"/>
      <c r="J915" s="885"/>
      <c r="K915" s="885"/>
      <c r="L915" s="885"/>
      <c r="M915" s="885"/>
      <c r="N915" s="885"/>
      <c r="O915" s="885"/>
      <c r="P915" s="885"/>
      <c r="Q915" s="885"/>
      <c r="R915" s="885"/>
      <c r="S915" s="885"/>
      <c r="T915" s="885"/>
      <c r="U915" s="885"/>
      <c r="V915" s="885"/>
      <c r="W915" s="885"/>
      <c r="X915" s="885"/>
      <c r="Y915" s="885"/>
      <c r="Z915" s="885"/>
      <c r="AA915" s="885"/>
      <c r="AB915" s="885"/>
      <c r="AC915" s="885"/>
      <c r="AD915" s="885"/>
      <c r="AE915" s="885"/>
      <c r="AF915" s="885"/>
      <c r="AG915" s="885"/>
      <c r="AH915" s="885"/>
      <c r="AI915" s="885"/>
      <c r="AJ915" s="885"/>
      <c r="AK915" s="885"/>
      <c r="AL915" s="885"/>
      <c r="AM915" s="885"/>
      <c r="AN915" s="885"/>
      <c r="AO915" s="885"/>
      <c r="AP915" s="885"/>
      <c r="AQ915" s="885"/>
      <c r="AR915" s="885"/>
      <c r="AS915" s="885"/>
      <c r="AT915" s="885"/>
      <c r="AU915" s="885"/>
      <c r="AV915" s="885"/>
      <c r="AW915" s="885"/>
      <c r="AX915" s="885"/>
      <c r="AY915" s="885"/>
      <c r="AZ915" s="885"/>
      <c r="BA915" s="885"/>
      <c r="BB915" s="885"/>
      <c r="BC915" s="885"/>
      <c r="BD915" s="885"/>
      <c r="BE915" s="885"/>
      <c r="BF915" s="885"/>
      <c r="BG915" s="885"/>
      <c r="BH915" s="885"/>
      <c r="BI915" s="885"/>
      <c r="BJ915" s="885"/>
      <c r="BK915" s="885"/>
      <c r="BL915" s="885"/>
      <c r="BM915" s="885"/>
      <c r="BN915" s="885"/>
      <c r="BO915" s="885"/>
      <c r="BP915" s="885"/>
      <c r="BQ915" s="885"/>
      <c r="BR915" s="885"/>
      <c r="BS915" s="885"/>
      <c r="BT915" s="885"/>
      <c r="BU915" s="885"/>
      <c r="BV915" s="885"/>
      <c r="BW915" s="885"/>
      <c r="BX915" s="885"/>
      <c r="BY915" s="885"/>
      <c r="BZ915" s="885"/>
      <c r="CA915" s="885"/>
      <c r="CB915" s="885"/>
      <c r="CC915" s="885"/>
      <c r="CD915" s="885"/>
      <c r="CE915" s="885"/>
      <c r="CF915" s="885"/>
      <c r="CG915" s="885"/>
      <c r="CH915" s="885"/>
      <c r="CI915" s="885"/>
      <c r="CJ915" s="885"/>
      <c r="CK915" s="885"/>
      <c r="CL915" s="885"/>
      <c r="CM915" s="885"/>
      <c r="CN915" s="885"/>
      <c r="CO915" s="885"/>
      <c r="CP915" s="885"/>
      <c r="CQ915" s="885"/>
      <c r="CR915" s="885"/>
      <c r="CS915" s="885"/>
      <c r="CT915" s="885"/>
      <c r="CU915" s="885"/>
      <c r="CV915" s="885"/>
      <c r="CW915" s="885"/>
      <c r="CX915" s="885"/>
      <c r="CY915" s="885"/>
      <c r="CZ915" s="885"/>
      <c r="DA915" s="885"/>
      <c r="DB915" s="885"/>
      <c r="DC915" s="885"/>
      <c r="DD915" s="885"/>
      <c r="DE915" s="885"/>
      <c r="DF915" s="885"/>
      <c r="DG915" s="885"/>
      <c r="DH915" s="885"/>
      <c r="DI915" s="885"/>
      <c r="DJ915" s="885"/>
      <c r="DK915" s="885"/>
      <c r="DL915" s="885"/>
      <c r="DM915" s="885"/>
      <c r="DN915" s="885"/>
      <c r="DO915" s="885"/>
      <c r="DP915" s="885"/>
      <c r="DQ915" s="885"/>
      <c r="DR915" s="885"/>
      <c r="DS915" s="885"/>
      <c r="DT915" s="885"/>
      <c r="DU915" s="885"/>
      <c r="DV915" s="885"/>
      <c r="DW915" s="885"/>
      <c r="DX915" s="885"/>
      <c r="DY915" s="885"/>
      <c r="DZ915" s="885"/>
      <c r="EA915" s="885"/>
      <c r="EB915" s="885"/>
      <c r="EC915" s="885"/>
      <c r="ED915" s="885"/>
      <c r="EE915" s="885"/>
      <c r="EF915" s="885"/>
      <c r="EG915" s="885"/>
      <c r="EH915" s="885"/>
      <c r="EI915" s="885"/>
      <c r="EJ915" s="885"/>
      <c r="EK915" s="885"/>
      <c r="EL915" s="885"/>
      <c r="EM915" s="885"/>
      <c r="EN915" s="885"/>
      <c r="EO915" s="885"/>
      <c r="EP915" s="885"/>
      <c r="EQ915" s="885"/>
      <c r="ER915" s="885"/>
      <c r="ES915" s="885"/>
      <c r="ET915" s="885"/>
      <c r="EU915" s="885"/>
      <c r="EV915" s="885"/>
      <c r="EW915" s="885"/>
      <c r="EX915" s="885"/>
      <c r="EY915" s="885"/>
      <c r="EZ915" s="885"/>
      <c r="FA915" s="885"/>
      <c r="FB915" s="885"/>
      <c r="FC915" s="885"/>
      <c r="FD915" s="885"/>
      <c r="FE915" s="885"/>
      <c r="FF915" s="885"/>
      <c r="FG915" s="885"/>
      <c r="FH915" s="885"/>
      <c r="FI915" s="885"/>
      <c r="FJ915" s="885"/>
      <c r="FK915" s="885"/>
      <c r="FL915" s="885"/>
      <c r="FM915" s="885"/>
      <c r="FN915" s="885"/>
      <c r="FO915" s="885"/>
      <c r="FP915" s="885"/>
      <c r="FQ915" s="885"/>
      <c r="FR915" s="885"/>
      <c r="FS915" s="885"/>
      <c r="FT915" s="885"/>
      <c r="FU915" s="885"/>
      <c r="FV915" s="885"/>
      <c r="FW915" s="885"/>
      <c r="FX915" s="885"/>
      <c r="FY915" s="885"/>
      <c r="FZ915" s="885"/>
      <c r="GA915" s="885"/>
      <c r="GB915" s="885"/>
      <c r="GC915" s="885"/>
      <c r="GD915" s="885"/>
      <c r="GE915" s="885"/>
      <c r="GF915" s="885"/>
      <c r="GG915" s="885"/>
      <c r="GH915" s="885"/>
      <c r="GI915" s="885"/>
      <c r="GJ915" s="885"/>
      <c r="GK915" s="885"/>
      <c r="GL915" s="885"/>
      <c r="GM915" s="885"/>
      <c r="GN915" s="885"/>
      <c r="GO915" s="885"/>
      <c r="GP915" s="885"/>
      <c r="GQ915" s="885"/>
      <c r="GR915" s="885"/>
      <c r="GS915" s="885"/>
      <c r="GT915" s="885"/>
      <c r="GU915" s="885"/>
      <c r="GV915" s="885"/>
      <c r="GW915" s="885"/>
      <c r="GX915" s="885"/>
      <c r="GY915" s="885"/>
      <c r="GZ915" s="885"/>
      <c r="HA915" s="885"/>
      <c r="HB915" s="885"/>
      <c r="HC915" s="885"/>
      <c r="HD915" s="885"/>
      <c r="HE915" s="885"/>
      <c r="HF915" s="885"/>
      <c r="HG915" s="885"/>
      <c r="HH915" s="885"/>
      <c r="HI915" s="885"/>
      <c r="HJ915" s="885"/>
      <c r="HK915" s="885"/>
      <c r="HL915" s="885"/>
      <c r="HM915" s="885"/>
      <c r="HN915" s="885"/>
      <c r="HO915" s="885"/>
      <c r="HP915" s="885"/>
      <c r="HQ915" s="885"/>
      <c r="HR915" s="885"/>
      <c r="HS915" s="885"/>
      <c r="HT915" s="885"/>
      <c r="HU915" s="885"/>
      <c r="HV915" s="885"/>
      <c r="HW915" s="885"/>
      <c r="HX915" s="885"/>
      <c r="HY915" s="885"/>
      <c r="HZ915" s="885"/>
      <c r="IA915" s="885"/>
      <c r="IB915" s="885"/>
      <c r="IC915" s="885"/>
      <c r="ID915" s="885"/>
      <c r="IE915" s="885"/>
      <c r="IF915" s="885"/>
      <c r="IG915" s="885"/>
      <c r="IH915" s="885"/>
      <c r="II915" s="885"/>
      <c r="IJ915" s="885"/>
      <c r="IK915" s="885"/>
      <c r="IL915" s="885"/>
      <c r="IM915" s="885"/>
      <c r="IN915" s="885"/>
      <c r="IO915" s="885"/>
      <c r="IP915" s="885"/>
      <c r="IQ915" s="885"/>
      <c r="IR915" s="885"/>
      <c r="IS915" s="885"/>
      <c r="IT915" s="885"/>
      <c r="IU915" s="885"/>
      <c r="IV915" s="885"/>
      <c r="IW915" s="885"/>
      <c r="IX915" s="885"/>
    </row>
    <row r="916" spans="1:258" x14ac:dyDescent="0.25">
      <c r="A916" s="125">
        <f t="shared" si="112"/>
        <v>876</v>
      </c>
      <c r="B916" s="885"/>
      <c r="C916" s="927" t="s">
        <v>10494</v>
      </c>
      <c r="D916" s="928"/>
      <c r="E916" s="928"/>
      <c r="F916" s="129">
        <v>28285.37</v>
      </c>
      <c r="G916" s="122" t="s">
        <v>1963</v>
      </c>
      <c r="I916" s="885"/>
      <c r="J916" s="885"/>
      <c r="K916" s="885"/>
      <c r="L916" s="885"/>
      <c r="M916" s="885"/>
      <c r="N916" s="885"/>
      <c r="O916" s="885"/>
      <c r="P916" s="885"/>
      <c r="Q916" s="885"/>
      <c r="R916" s="885"/>
      <c r="S916" s="885"/>
      <c r="T916" s="885"/>
      <c r="U916" s="885"/>
      <c r="V916" s="885"/>
      <c r="W916" s="885"/>
      <c r="X916" s="885"/>
      <c r="Y916" s="885"/>
      <c r="Z916" s="885"/>
      <c r="AA916" s="885"/>
      <c r="AB916" s="885"/>
      <c r="AC916" s="885"/>
      <c r="AD916" s="885"/>
      <c r="AE916" s="885"/>
      <c r="AF916" s="885"/>
      <c r="AG916" s="885"/>
      <c r="AH916" s="885"/>
      <c r="AI916" s="885"/>
      <c r="AJ916" s="885"/>
      <c r="AK916" s="885"/>
      <c r="AL916" s="885"/>
      <c r="AM916" s="885"/>
      <c r="AN916" s="885"/>
      <c r="AO916" s="885"/>
      <c r="AP916" s="885"/>
      <c r="AQ916" s="885"/>
      <c r="AR916" s="885"/>
      <c r="AS916" s="885"/>
      <c r="AT916" s="885"/>
      <c r="AU916" s="885"/>
      <c r="AV916" s="885"/>
      <c r="AW916" s="885"/>
      <c r="AX916" s="885"/>
      <c r="AY916" s="885"/>
      <c r="AZ916" s="885"/>
      <c r="BA916" s="885"/>
      <c r="BB916" s="885"/>
      <c r="BC916" s="885"/>
      <c r="BD916" s="885"/>
      <c r="BE916" s="885"/>
      <c r="BF916" s="885"/>
      <c r="BG916" s="885"/>
      <c r="BH916" s="885"/>
      <c r="BI916" s="885"/>
      <c r="BJ916" s="885"/>
      <c r="BK916" s="885"/>
      <c r="BL916" s="885"/>
      <c r="BM916" s="885"/>
      <c r="BN916" s="885"/>
      <c r="BO916" s="885"/>
      <c r="BP916" s="885"/>
      <c r="BQ916" s="885"/>
      <c r="BR916" s="885"/>
      <c r="BS916" s="885"/>
      <c r="BT916" s="885"/>
      <c r="BU916" s="885"/>
      <c r="BV916" s="885"/>
      <c r="BW916" s="885"/>
      <c r="BX916" s="885"/>
      <c r="BY916" s="885"/>
      <c r="BZ916" s="885"/>
      <c r="CA916" s="885"/>
      <c r="CB916" s="885"/>
      <c r="CC916" s="885"/>
      <c r="CD916" s="885"/>
      <c r="CE916" s="885"/>
      <c r="CF916" s="885"/>
      <c r="CG916" s="885"/>
      <c r="CH916" s="885"/>
      <c r="CI916" s="885"/>
      <c r="CJ916" s="885"/>
      <c r="CK916" s="885"/>
      <c r="CL916" s="885"/>
      <c r="CM916" s="885"/>
      <c r="CN916" s="885"/>
      <c r="CO916" s="885"/>
      <c r="CP916" s="885"/>
      <c r="CQ916" s="885"/>
      <c r="CR916" s="885"/>
      <c r="CS916" s="885"/>
      <c r="CT916" s="885"/>
      <c r="CU916" s="885"/>
      <c r="CV916" s="885"/>
      <c r="CW916" s="885"/>
      <c r="CX916" s="885"/>
      <c r="CY916" s="885"/>
      <c r="CZ916" s="885"/>
      <c r="DA916" s="885"/>
      <c r="DB916" s="885"/>
      <c r="DC916" s="885"/>
      <c r="DD916" s="885"/>
      <c r="DE916" s="885"/>
      <c r="DF916" s="885"/>
      <c r="DG916" s="885"/>
      <c r="DH916" s="885"/>
      <c r="DI916" s="885"/>
      <c r="DJ916" s="885"/>
      <c r="DK916" s="885"/>
      <c r="DL916" s="885"/>
      <c r="DM916" s="885"/>
      <c r="DN916" s="885"/>
      <c r="DO916" s="885"/>
      <c r="DP916" s="885"/>
      <c r="DQ916" s="885"/>
      <c r="DR916" s="885"/>
      <c r="DS916" s="885"/>
      <c r="DT916" s="885"/>
      <c r="DU916" s="885"/>
      <c r="DV916" s="885"/>
      <c r="DW916" s="885"/>
      <c r="DX916" s="885"/>
      <c r="DY916" s="885"/>
      <c r="DZ916" s="885"/>
      <c r="EA916" s="885"/>
      <c r="EB916" s="885"/>
      <c r="EC916" s="885"/>
      <c r="ED916" s="885"/>
      <c r="EE916" s="885"/>
      <c r="EF916" s="885"/>
      <c r="EG916" s="885"/>
      <c r="EH916" s="885"/>
      <c r="EI916" s="885"/>
      <c r="EJ916" s="885"/>
      <c r="EK916" s="885"/>
      <c r="EL916" s="885"/>
      <c r="EM916" s="885"/>
      <c r="EN916" s="885"/>
      <c r="EO916" s="885"/>
      <c r="EP916" s="885"/>
      <c r="EQ916" s="885"/>
      <c r="ER916" s="885"/>
      <c r="ES916" s="885"/>
      <c r="ET916" s="885"/>
      <c r="EU916" s="885"/>
      <c r="EV916" s="885"/>
      <c r="EW916" s="885"/>
      <c r="EX916" s="885"/>
      <c r="EY916" s="885"/>
      <c r="EZ916" s="885"/>
      <c r="FA916" s="885"/>
      <c r="FB916" s="885"/>
      <c r="FC916" s="885"/>
      <c r="FD916" s="885"/>
      <c r="FE916" s="885"/>
      <c r="FF916" s="885"/>
      <c r="FG916" s="885"/>
      <c r="FH916" s="885"/>
      <c r="FI916" s="885"/>
      <c r="FJ916" s="885"/>
      <c r="FK916" s="885"/>
      <c r="FL916" s="885"/>
      <c r="FM916" s="885"/>
      <c r="FN916" s="885"/>
      <c r="FO916" s="885"/>
      <c r="FP916" s="885"/>
      <c r="FQ916" s="885"/>
      <c r="FR916" s="885"/>
      <c r="FS916" s="885"/>
      <c r="FT916" s="885"/>
      <c r="FU916" s="885"/>
      <c r="FV916" s="885"/>
      <c r="FW916" s="885"/>
      <c r="FX916" s="885"/>
      <c r="FY916" s="885"/>
      <c r="FZ916" s="885"/>
      <c r="GA916" s="885"/>
      <c r="GB916" s="885"/>
      <c r="GC916" s="885"/>
      <c r="GD916" s="885"/>
      <c r="GE916" s="885"/>
      <c r="GF916" s="885"/>
      <c r="GG916" s="885"/>
      <c r="GH916" s="885"/>
      <c r="GI916" s="885"/>
      <c r="GJ916" s="885"/>
      <c r="GK916" s="885"/>
      <c r="GL916" s="885"/>
      <c r="GM916" s="885"/>
      <c r="GN916" s="885"/>
      <c r="GO916" s="885"/>
      <c r="GP916" s="885"/>
      <c r="GQ916" s="885"/>
      <c r="GR916" s="885"/>
      <c r="GS916" s="885"/>
      <c r="GT916" s="885"/>
      <c r="GU916" s="885"/>
      <c r="GV916" s="885"/>
      <c r="GW916" s="885"/>
      <c r="GX916" s="885"/>
      <c r="GY916" s="885"/>
      <c r="GZ916" s="885"/>
      <c r="HA916" s="885"/>
      <c r="HB916" s="885"/>
      <c r="HC916" s="885"/>
      <c r="HD916" s="885"/>
      <c r="HE916" s="885"/>
      <c r="HF916" s="885"/>
      <c r="HG916" s="885"/>
      <c r="HH916" s="885"/>
      <c r="HI916" s="885"/>
      <c r="HJ916" s="885"/>
      <c r="HK916" s="885"/>
      <c r="HL916" s="885"/>
      <c r="HM916" s="885"/>
      <c r="HN916" s="885"/>
      <c r="HO916" s="885"/>
      <c r="HP916" s="885"/>
      <c r="HQ916" s="885"/>
      <c r="HR916" s="885"/>
      <c r="HS916" s="885"/>
      <c r="HT916" s="885"/>
      <c r="HU916" s="885"/>
      <c r="HV916" s="885"/>
      <c r="HW916" s="885"/>
      <c r="HX916" s="885"/>
      <c r="HY916" s="885"/>
      <c r="HZ916" s="885"/>
      <c r="IA916" s="885"/>
      <c r="IB916" s="885"/>
      <c r="IC916" s="885"/>
      <c r="ID916" s="885"/>
      <c r="IE916" s="885"/>
      <c r="IF916" s="885"/>
      <c r="IG916" s="885"/>
      <c r="IH916" s="885"/>
      <c r="II916" s="885"/>
      <c r="IJ916" s="885"/>
      <c r="IK916" s="885"/>
      <c r="IL916" s="885"/>
      <c r="IM916" s="885"/>
      <c r="IN916" s="885"/>
      <c r="IO916" s="885"/>
      <c r="IP916" s="885"/>
      <c r="IQ916" s="885"/>
      <c r="IR916" s="885"/>
      <c r="IS916" s="885"/>
      <c r="IT916" s="885"/>
      <c r="IU916" s="885"/>
      <c r="IV916" s="885"/>
      <c r="IW916" s="885"/>
      <c r="IX916" s="885"/>
    </row>
    <row r="917" spans="1:258" x14ac:dyDescent="0.25">
      <c r="A917" s="125">
        <f t="shared" si="112"/>
        <v>877</v>
      </c>
      <c r="B917" s="885"/>
      <c r="C917" s="927"/>
      <c r="D917" s="928"/>
      <c r="E917" s="928"/>
      <c r="F917" s="129"/>
      <c r="I917" s="885"/>
      <c r="J917" s="885"/>
      <c r="K917" s="885"/>
      <c r="L917" s="885"/>
      <c r="M917" s="885"/>
      <c r="N917" s="885"/>
      <c r="O917" s="885"/>
      <c r="P917" s="885"/>
      <c r="Q917" s="885"/>
      <c r="R917" s="885"/>
      <c r="S917" s="885"/>
      <c r="T917" s="885"/>
      <c r="U917" s="885"/>
      <c r="V917" s="885"/>
      <c r="W917" s="885"/>
      <c r="X917" s="885"/>
      <c r="Y917" s="885"/>
      <c r="Z917" s="885"/>
      <c r="AA917" s="885"/>
      <c r="AB917" s="885"/>
      <c r="AC917" s="885"/>
      <c r="AD917" s="885"/>
      <c r="AE917" s="885"/>
      <c r="AF917" s="885"/>
      <c r="AG917" s="885"/>
      <c r="AH917" s="885"/>
      <c r="AI917" s="885"/>
      <c r="AJ917" s="885"/>
      <c r="AK917" s="885"/>
      <c r="AL917" s="885"/>
      <c r="AM917" s="885"/>
      <c r="AN917" s="885"/>
      <c r="AO917" s="885"/>
      <c r="AP917" s="885"/>
      <c r="AQ917" s="885"/>
      <c r="AR917" s="885"/>
      <c r="AS917" s="885"/>
      <c r="AT917" s="885"/>
      <c r="AU917" s="885"/>
      <c r="AV917" s="885"/>
      <c r="AW917" s="885"/>
      <c r="AX917" s="885"/>
      <c r="AY917" s="885"/>
      <c r="AZ917" s="885"/>
      <c r="BA917" s="885"/>
      <c r="BB917" s="885"/>
      <c r="BC917" s="885"/>
      <c r="BD917" s="885"/>
      <c r="BE917" s="885"/>
      <c r="BF917" s="885"/>
      <c r="BG917" s="885"/>
      <c r="BH917" s="885"/>
      <c r="BI917" s="885"/>
      <c r="BJ917" s="885"/>
      <c r="BK917" s="885"/>
      <c r="BL917" s="885"/>
      <c r="BM917" s="885"/>
      <c r="BN917" s="885"/>
      <c r="BO917" s="885"/>
      <c r="BP917" s="885"/>
      <c r="BQ917" s="885"/>
      <c r="BR917" s="885"/>
      <c r="BS917" s="885"/>
      <c r="BT917" s="885"/>
      <c r="BU917" s="885"/>
      <c r="BV917" s="885"/>
      <c r="BW917" s="885"/>
      <c r="BX917" s="885"/>
      <c r="BY917" s="885"/>
      <c r="BZ917" s="885"/>
      <c r="CA917" s="885"/>
      <c r="CB917" s="885"/>
      <c r="CC917" s="885"/>
      <c r="CD917" s="885"/>
      <c r="CE917" s="885"/>
      <c r="CF917" s="885"/>
      <c r="CG917" s="885"/>
      <c r="CH917" s="885"/>
      <c r="CI917" s="885"/>
      <c r="CJ917" s="885"/>
      <c r="CK917" s="885"/>
      <c r="CL917" s="885"/>
      <c r="CM917" s="885"/>
      <c r="CN917" s="885"/>
      <c r="CO917" s="885"/>
      <c r="CP917" s="885"/>
      <c r="CQ917" s="885"/>
      <c r="CR917" s="885"/>
      <c r="CS917" s="885"/>
      <c r="CT917" s="885"/>
      <c r="CU917" s="885"/>
      <c r="CV917" s="885"/>
      <c r="CW917" s="885"/>
      <c r="CX917" s="885"/>
      <c r="CY917" s="885"/>
      <c r="CZ917" s="885"/>
      <c r="DA917" s="885"/>
      <c r="DB917" s="885"/>
      <c r="DC917" s="885"/>
      <c r="DD917" s="885"/>
      <c r="DE917" s="885"/>
      <c r="DF917" s="885"/>
      <c r="DG917" s="885"/>
      <c r="DH917" s="885"/>
      <c r="DI917" s="885"/>
      <c r="DJ917" s="885"/>
      <c r="DK917" s="885"/>
      <c r="DL917" s="885"/>
      <c r="DM917" s="885"/>
      <c r="DN917" s="885"/>
      <c r="DO917" s="885"/>
      <c r="DP917" s="885"/>
      <c r="DQ917" s="885"/>
      <c r="DR917" s="885"/>
      <c r="DS917" s="885"/>
      <c r="DT917" s="885"/>
      <c r="DU917" s="885"/>
      <c r="DV917" s="885"/>
      <c r="DW917" s="885"/>
      <c r="DX917" s="885"/>
      <c r="DY917" s="885"/>
      <c r="DZ917" s="885"/>
      <c r="EA917" s="885"/>
      <c r="EB917" s="885"/>
      <c r="EC917" s="885"/>
      <c r="ED917" s="885"/>
      <c r="EE917" s="885"/>
      <c r="EF917" s="885"/>
      <c r="EG917" s="885"/>
      <c r="EH917" s="885"/>
      <c r="EI917" s="885"/>
      <c r="EJ917" s="885"/>
      <c r="EK917" s="885"/>
      <c r="EL917" s="885"/>
      <c r="EM917" s="885"/>
      <c r="EN917" s="885"/>
      <c r="EO917" s="885"/>
      <c r="EP917" s="885"/>
      <c r="EQ917" s="885"/>
      <c r="ER917" s="885"/>
      <c r="ES917" s="885"/>
      <c r="ET917" s="885"/>
      <c r="EU917" s="885"/>
      <c r="EV917" s="885"/>
      <c r="EW917" s="885"/>
      <c r="EX917" s="885"/>
      <c r="EY917" s="885"/>
      <c r="EZ917" s="885"/>
      <c r="FA917" s="885"/>
      <c r="FB917" s="885"/>
      <c r="FC917" s="885"/>
      <c r="FD917" s="885"/>
      <c r="FE917" s="885"/>
      <c r="FF917" s="885"/>
      <c r="FG917" s="885"/>
      <c r="FH917" s="885"/>
      <c r="FI917" s="885"/>
      <c r="FJ917" s="885"/>
      <c r="FK917" s="885"/>
      <c r="FL917" s="885"/>
      <c r="FM917" s="885"/>
      <c r="FN917" s="885"/>
      <c r="FO917" s="885"/>
      <c r="FP917" s="885"/>
      <c r="FQ917" s="885"/>
      <c r="FR917" s="885"/>
      <c r="FS917" s="885"/>
      <c r="FT917" s="885"/>
      <c r="FU917" s="885"/>
      <c r="FV917" s="885"/>
      <c r="FW917" s="885"/>
      <c r="FX917" s="885"/>
      <c r="FY917" s="885"/>
      <c r="FZ917" s="885"/>
      <c r="GA917" s="885"/>
      <c r="GB917" s="885"/>
      <c r="GC917" s="885"/>
      <c r="GD917" s="885"/>
      <c r="GE917" s="885"/>
      <c r="GF917" s="885"/>
      <c r="GG917" s="885"/>
      <c r="GH917" s="885"/>
      <c r="GI917" s="885"/>
      <c r="GJ917" s="885"/>
      <c r="GK917" s="885"/>
      <c r="GL917" s="885"/>
      <c r="GM917" s="885"/>
      <c r="GN917" s="885"/>
      <c r="GO917" s="885"/>
      <c r="GP917" s="885"/>
      <c r="GQ917" s="885"/>
      <c r="GR917" s="885"/>
      <c r="GS917" s="885"/>
      <c r="GT917" s="885"/>
      <c r="GU917" s="885"/>
      <c r="GV917" s="885"/>
      <c r="GW917" s="885"/>
      <c r="GX917" s="885"/>
      <c r="GY917" s="885"/>
      <c r="GZ917" s="885"/>
      <c r="HA917" s="885"/>
      <c r="HB917" s="885"/>
      <c r="HC917" s="885"/>
      <c r="HD917" s="885"/>
      <c r="HE917" s="885"/>
      <c r="HF917" s="885"/>
      <c r="HG917" s="885"/>
      <c r="HH917" s="885"/>
      <c r="HI917" s="885"/>
      <c r="HJ917" s="885"/>
      <c r="HK917" s="885"/>
      <c r="HL917" s="885"/>
      <c r="HM917" s="885"/>
      <c r="HN917" s="885"/>
      <c r="HO917" s="885"/>
      <c r="HP917" s="885"/>
      <c r="HQ917" s="885"/>
      <c r="HR917" s="885"/>
      <c r="HS917" s="885"/>
      <c r="HT917" s="885"/>
      <c r="HU917" s="885"/>
      <c r="HV917" s="885"/>
      <c r="HW917" s="885"/>
      <c r="HX917" s="885"/>
      <c r="HY917" s="885"/>
      <c r="HZ917" s="885"/>
      <c r="IA917" s="885"/>
      <c r="IB917" s="885"/>
      <c r="IC917" s="885"/>
      <c r="ID917" s="885"/>
      <c r="IE917" s="885"/>
      <c r="IF917" s="885"/>
      <c r="IG917" s="885"/>
      <c r="IH917" s="885"/>
      <c r="II917" s="885"/>
      <c r="IJ917" s="885"/>
      <c r="IK917" s="885"/>
      <c r="IL917" s="885"/>
      <c r="IM917" s="885"/>
      <c r="IN917" s="885"/>
      <c r="IO917" s="885"/>
      <c r="IP917" s="885"/>
      <c r="IQ917" s="885"/>
      <c r="IR917" s="885"/>
      <c r="IS917" s="885"/>
      <c r="IT917" s="885"/>
      <c r="IU917" s="885"/>
      <c r="IV917" s="885"/>
      <c r="IW917" s="885"/>
      <c r="IX917" s="885"/>
    </row>
    <row r="918" spans="1:258" x14ac:dyDescent="0.25">
      <c r="A918" s="125">
        <f t="shared" si="112"/>
        <v>878</v>
      </c>
      <c r="B918" s="885"/>
      <c r="C918" s="793" t="s">
        <v>7911</v>
      </c>
      <c r="D918" s="918"/>
      <c r="E918" s="918"/>
      <c r="F918" s="793"/>
      <c r="G918" s="793"/>
      <c r="H918" s="793"/>
      <c r="I918" s="793"/>
      <c r="J918" s="885"/>
      <c r="K918" s="885"/>
      <c r="L918" s="885"/>
      <c r="M918" s="885"/>
      <c r="N918" s="885"/>
      <c r="O918" s="885"/>
      <c r="P918" s="885"/>
      <c r="Q918" s="885"/>
      <c r="R918" s="885"/>
      <c r="S918" s="885"/>
      <c r="T918" s="885"/>
      <c r="U918" s="885"/>
      <c r="V918" s="885"/>
      <c r="W918" s="885"/>
      <c r="X918" s="885"/>
      <c r="Y918" s="885"/>
      <c r="Z918" s="885"/>
      <c r="AA918" s="885"/>
      <c r="AB918" s="885"/>
      <c r="AC918" s="885"/>
      <c r="AD918" s="885"/>
      <c r="AE918" s="885"/>
      <c r="AF918" s="885"/>
      <c r="AG918" s="885"/>
      <c r="AH918" s="885"/>
      <c r="AI918" s="885"/>
      <c r="AJ918" s="885"/>
      <c r="AK918" s="885"/>
      <c r="AL918" s="885"/>
      <c r="AM918" s="885"/>
      <c r="AN918" s="885"/>
      <c r="AO918" s="885"/>
      <c r="AP918" s="885"/>
      <c r="AQ918" s="885"/>
      <c r="AR918" s="885"/>
      <c r="AS918" s="885"/>
      <c r="AT918" s="885"/>
      <c r="AU918" s="885"/>
      <c r="AV918" s="885"/>
      <c r="AW918" s="885"/>
      <c r="AX918" s="885"/>
      <c r="AY918" s="885"/>
      <c r="AZ918" s="885"/>
      <c r="BA918" s="885"/>
      <c r="BB918" s="885"/>
      <c r="BC918" s="885"/>
      <c r="BD918" s="885"/>
      <c r="BE918" s="885"/>
      <c r="BF918" s="885"/>
      <c r="BG918" s="885"/>
      <c r="BH918" s="885"/>
      <c r="BI918" s="885"/>
      <c r="BJ918" s="885"/>
      <c r="BK918" s="885"/>
      <c r="BL918" s="885"/>
      <c r="BM918" s="885"/>
      <c r="BN918" s="885"/>
      <c r="BO918" s="885"/>
      <c r="BP918" s="885"/>
      <c r="BQ918" s="885"/>
      <c r="BR918" s="885"/>
      <c r="BS918" s="885"/>
      <c r="BT918" s="885"/>
      <c r="BU918" s="885"/>
      <c r="BV918" s="885"/>
      <c r="BW918" s="885"/>
      <c r="BX918" s="885"/>
      <c r="BY918" s="885"/>
      <c r="BZ918" s="885"/>
      <c r="CA918" s="885"/>
      <c r="CB918" s="885"/>
      <c r="CC918" s="885"/>
      <c r="CD918" s="885"/>
      <c r="CE918" s="885"/>
      <c r="CF918" s="885"/>
      <c r="CG918" s="885"/>
      <c r="CH918" s="885"/>
      <c r="CI918" s="885"/>
      <c r="CJ918" s="885"/>
      <c r="CK918" s="885"/>
      <c r="CL918" s="885"/>
      <c r="CM918" s="885"/>
      <c r="CN918" s="885"/>
      <c r="CO918" s="885"/>
      <c r="CP918" s="885"/>
      <c r="CQ918" s="885"/>
      <c r="CR918" s="885"/>
      <c r="CS918" s="885"/>
      <c r="CT918" s="885"/>
      <c r="CU918" s="885"/>
      <c r="CV918" s="885"/>
      <c r="CW918" s="885"/>
      <c r="CX918" s="885"/>
      <c r="CY918" s="885"/>
      <c r="CZ918" s="885"/>
      <c r="DA918" s="885"/>
      <c r="DB918" s="885"/>
      <c r="DC918" s="885"/>
      <c r="DD918" s="885"/>
      <c r="DE918" s="885"/>
      <c r="DF918" s="885"/>
      <c r="DG918" s="885"/>
      <c r="DH918" s="885"/>
      <c r="DI918" s="885"/>
      <c r="DJ918" s="885"/>
      <c r="DK918" s="885"/>
      <c r="DL918" s="885"/>
      <c r="DM918" s="885"/>
      <c r="DN918" s="885"/>
      <c r="DO918" s="885"/>
      <c r="DP918" s="885"/>
      <c r="DQ918" s="885"/>
      <c r="DR918" s="885"/>
      <c r="DS918" s="885"/>
      <c r="DT918" s="885"/>
      <c r="DU918" s="885"/>
      <c r="DV918" s="885"/>
      <c r="DW918" s="885"/>
      <c r="DX918" s="885"/>
      <c r="DY918" s="885"/>
      <c r="DZ918" s="885"/>
      <c r="EA918" s="885"/>
      <c r="EB918" s="885"/>
      <c r="EC918" s="885"/>
      <c r="ED918" s="885"/>
      <c r="EE918" s="885"/>
      <c r="EF918" s="885"/>
      <c r="EG918" s="885"/>
      <c r="EH918" s="885"/>
      <c r="EI918" s="885"/>
      <c r="EJ918" s="885"/>
      <c r="EK918" s="885"/>
      <c r="EL918" s="885"/>
      <c r="EM918" s="885"/>
      <c r="EN918" s="885"/>
      <c r="EO918" s="885"/>
      <c r="EP918" s="885"/>
      <c r="EQ918" s="885"/>
      <c r="ER918" s="885"/>
      <c r="ES918" s="885"/>
      <c r="ET918" s="885"/>
      <c r="EU918" s="885"/>
      <c r="EV918" s="885"/>
      <c r="EW918" s="885"/>
      <c r="EX918" s="885"/>
      <c r="EY918" s="885"/>
      <c r="EZ918" s="885"/>
      <c r="FA918" s="885"/>
      <c r="FB918" s="885"/>
      <c r="FC918" s="885"/>
      <c r="FD918" s="885"/>
      <c r="FE918" s="885"/>
      <c r="FF918" s="885"/>
      <c r="FG918" s="885"/>
      <c r="FH918" s="885"/>
      <c r="FI918" s="885"/>
      <c r="FJ918" s="885"/>
      <c r="FK918" s="885"/>
      <c r="FL918" s="885"/>
      <c r="FM918" s="885"/>
      <c r="FN918" s="885"/>
      <c r="FO918" s="885"/>
      <c r="FP918" s="885"/>
      <c r="FQ918" s="885"/>
      <c r="FR918" s="885"/>
      <c r="FS918" s="885"/>
      <c r="FT918" s="885"/>
      <c r="FU918" s="885"/>
      <c r="FV918" s="885"/>
      <c r="FW918" s="885"/>
      <c r="FX918" s="885"/>
      <c r="FY918" s="885"/>
      <c r="FZ918" s="885"/>
      <c r="GA918" s="885"/>
      <c r="GB918" s="885"/>
      <c r="GC918" s="885"/>
      <c r="GD918" s="885"/>
      <c r="GE918" s="885"/>
      <c r="GF918" s="885"/>
      <c r="GG918" s="885"/>
      <c r="GH918" s="885"/>
      <c r="GI918" s="885"/>
      <c r="GJ918" s="885"/>
      <c r="GK918" s="885"/>
      <c r="GL918" s="885"/>
      <c r="GM918" s="885"/>
      <c r="GN918" s="885"/>
      <c r="GO918" s="885"/>
      <c r="GP918" s="885"/>
      <c r="GQ918" s="885"/>
      <c r="GR918" s="885"/>
      <c r="GS918" s="885"/>
      <c r="GT918" s="885"/>
      <c r="GU918" s="885"/>
      <c r="GV918" s="885"/>
      <c r="GW918" s="885"/>
      <c r="GX918" s="885"/>
      <c r="GY918" s="885"/>
      <c r="GZ918" s="885"/>
      <c r="HA918" s="885"/>
      <c r="HB918" s="885"/>
      <c r="HC918" s="885"/>
      <c r="HD918" s="885"/>
      <c r="HE918" s="885"/>
      <c r="HF918" s="885"/>
      <c r="HG918" s="885"/>
      <c r="HH918" s="885"/>
      <c r="HI918" s="885"/>
      <c r="HJ918" s="885"/>
      <c r="HK918" s="885"/>
      <c r="HL918" s="885"/>
      <c r="HM918" s="885"/>
      <c r="HN918" s="885"/>
      <c r="HO918" s="885"/>
      <c r="HP918" s="885"/>
      <c r="HQ918" s="885"/>
      <c r="HR918" s="885"/>
      <c r="HS918" s="885"/>
      <c r="HT918" s="885"/>
      <c r="HU918" s="885"/>
      <c r="HV918" s="885"/>
      <c r="HW918" s="885"/>
      <c r="HX918" s="885"/>
      <c r="HY918" s="885"/>
      <c r="HZ918" s="885"/>
      <c r="IA918" s="885"/>
      <c r="IB918" s="885"/>
      <c r="IC918" s="885"/>
      <c r="ID918" s="885"/>
      <c r="IE918" s="885"/>
      <c r="IF918" s="885"/>
      <c r="IG918" s="885"/>
      <c r="IH918" s="885"/>
      <c r="II918" s="885"/>
      <c r="IJ918" s="885"/>
      <c r="IK918" s="885"/>
      <c r="IL918" s="885"/>
      <c r="IM918" s="885"/>
      <c r="IN918" s="885"/>
      <c r="IO918" s="885"/>
      <c r="IP918" s="885"/>
      <c r="IQ918" s="885"/>
      <c r="IR918" s="885"/>
      <c r="IS918" s="885"/>
      <c r="IT918" s="885"/>
      <c r="IU918" s="885"/>
      <c r="IV918" s="885"/>
      <c r="IW918" s="885"/>
      <c r="IX918" s="885"/>
    </row>
    <row r="919" spans="1:258" x14ac:dyDescent="0.25">
      <c r="A919" s="125">
        <f t="shared" si="112"/>
        <v>879</v>
      </c>
      <c r="B919" s="885"/>
      <c r="C919" s="793" t="s">
        <v>8011</v>
      </c>
      <c r="D919" s="918"/>
      <c r="E919" s="918"/>
      <c r="F919" s="793"/>
      <c r="G919" s="793"/>
      <c r="H919" s="793"/>
      <c r="I919" s="793"/>
      <c r="J919" s="885"/>
      <c r="K919" s="885"/>
      <c r="L919" s="885"/>
      <c r="M919" s="885"/>
      <c r="N919" s="885"/>
      <c r="O919" s="885"/>
      <c r="P919" s="885"/>
      <c r="Q919" s="885"/>
      <c r="R919" s="885"/>
      <c r="S919" s="885"/>
      <c r="T919" s="885"/>
      <c r="U919" s="885"/>
      <c r="V919" s="885"/>
      <c r="W919" s="885"/>
      <c r="X919" s="885"/>
      <c r="Y919" s="885"/>
      <c r="Z919" s="885"/>
      <c r="AA919" s="885"/>
      <c r="AB919" s="885"/>
      <c r="AC919" s="885"/>
      <c r="AD919" s="885"/>
      <c r="AE919" s="885"/>
      <c r="AF919" s="885"/>
      <c r="AG919" s="885"/>
      <c r="AH919" s="885"/>
      <c r="AI919" s="885"/>
      <c r="AJ919" s="885"/>
      <c r="AK919" s="885"/>
      <c r="AL919" s="885"/>
      <c r="AM919" s="885"/>
      <c r="AN919" s="885"/>
      <c r="AO919" s="885"/>
      <c r="AP919" s="885"/>
      <c r="AQ919" s="885"/>
      <c r="AR919" s="885"/>
      <c r="AS919" s="885"/>
      <c r="AT919" s="885"/>
      <c r="AU919" s="885"/>
      <c r="AV919" s="885"/>
      <c r="AW919" s="885"/>
      <c r="AX919" s="885"/>
      <c r="AY919" s="885"/>
      <c r="AZ919" s="885"/>
      <c r="BA919" s="885"/>
      <c r="BB919" s="885"/>
      <c r="BC919" s="885"/>
      <c r="BD919" s="885"/>
      <c r="BE919" s="885"/>
      <c r="BF919" s="885"/>
      <c r="BG919" s="885"/>
      <c r="BH919" s="885"/>
      <c r="BI919" s="885"/>
      <c r="BJ919" s="885"/>
      <c r="BK919" s="885"/>
      <c r="BL919" s="885"/>
      <c r="BM919" s="885"/>
      <c r="BN919" s="885"/>
      <c r="BO919" s="885"/>
      <c r="BP919" s="885"/>
      <c r="BQ919" s="885"/>
      <c r="BR919" s="885"/>
      <c r="BS919" s="885"/>
      <c r="BT919" s="885"/>
      <c r="BU919" s="885"/>
      <c r="BV919" s="885"/>
      <c r="BW919" s="885"/>
      <c r="BX919" s="885"/>
      <c r="BY919" s="885"/>
      <c r="BZ919" s="885"/>
      <c r="CA919" s="885"/>
      <c r="CB919" s="885"/>
      <c r="CC919" s="885"/>
      <c r="CD919" s="885"/>
      <c r="CE919" s="885"/>
      <c r="CF919" s="885"/>
      <c r="CG919" s="885"/>
      <c r="CH919" s="885"/>
      <c r="CI919" s="885"/>
      <c r="CJ919" s="885"/>
      <c r="CK919" s="885"/>
      <c r="CL919" s="885"/>
      <c r="CM919" s="885"/>
      <c r="CN919" s="885"/>
      <c r="CO919" s="885"/>
      <c r="CP919" s="885"/>
      <c r="CQ919" s="885"/>
      <c r="CR919" s="885"/>
      <c r="CS919" s="885"/>
      <c r="CT919" s="885"/>
      <c r="CU919" s="885"/>
      <c r="CV919" s="885"/>
      <c r="CW919" s="885"/>
      <c r="CX919" s="885"/>
      <c r="CY919" s="885"/>
      <c r="CZ919" s="885"/>
      <c r="DA919" s="885"/>
      <c r="DB919" s="885"/>
      <c r="DC919" s="885"/>
      <c r="DD919" s="885"/>
      <c r="DE919" s="885"/>
      <c r="DF919" s="885"/>
      <c r="DG919" s="885"/>
      <c r="DH919" s="885"/>
      <c r="DI919" s="885"/>
      <c r="DJ919" s="885"/>
      <c r="DK919" s="885"/>
      <c r="DL919" s="885"/>
      <c r="DM919" s="885"/>
      <c r="DN919" s="885"/>
      <c r="DO919" s="885"/>
      <c r="DP919" s="885"/>
      <c r="DQ919" s="885"/>
      <c r="DR919" s="885"/>
      <c r="DS919" s="885"/>
      <c r="DT919" s="885"/>
      <c r="DU919" s="885"/>
      <c r="DV919" s="885"/>
      <c r="DW919" s="885"/>
      <c r="DX919" s="885"/>
      <c r="DY919" s="885"/>
      <c r="DZ919" s="885"/>
      <c r="EA919" s="885"/>
      <c r="EB919" s="885"/>
      <c r="EC919" s="885"/>
      <c r="ED919" s="885"/>
      <c r="EE919" s="885"/>
      <c r="EF919" s="885"/>
      <c r="EG919" s="885"/>
      <c r="EH919" s="885"/>
      <c r="EI919" s="885"/>
      <c r="EJ919" s="885"/>
      <c r="EK919" s="885"/>
      <c r="EL919" s="885"/>
      <c r="EM919" s="885"/>
      <c r="EN919" s="885"/>
      <c r="EO919" s="885"/>
      <c r="EP919" s="885"/>
      <c r="EQ919" s="885"/>
      <c r="ER919" s="885"/>
      <c r="ES919" s="885"/>
      <c r="ET919" s="885"/>
      <c r="EU919" s="885"/>
      <c r="EV919" s="885"/>
      <c r="EW919" s="885"/>
      <c r="EX919" s="885"/>
      <c r="EY919" s="885"/>
      <c r="EZ919" s="885"/>
      <c r="FA919" s="885"/>
      <c r="FB919" s="885"/>
      <c r="FC919" s="885"/>
      <c r="FD919" s="885"/>
      <c r="FE919" s="885"/>
      <c r="FF919" s="885"/>
      <c r="FG919" s="885"/>
      <c r="FH919" s="885"/>
      <c r="FI919" s="885"/>
      <c r="FJ919" s="885"/>
      <c r="FK919" s="885"/>
      <c r="FL919" s="885"/>
      <c r="FM919" s="885"/>
      <c r="FN919" s="885"/>
      <c r="FO919" s="885"/>
      <c r="FP919" s="885"/>
      <c r="FQ919" s="885"/>
      <c r="FR919" s="885"/>
      <c r="FS919" s="885"/>
      <c r="FT919" s="885"/>
      <c r="FU919" s="885"/>
      <c r="FV919" s="885"/>
      <c r="FW919" s="885"/>
      <c r="FX919" s="885"/>
      <c r="FY919" s="885"/>
      <c r="FZ919" s="885"/>
      <c r="GA919" s="885"/>
      <c r="GB919" s="885"/>
      <c r="GC919" s="885"/>
      <c r="GD919" s="885"/>
      <c r="GE919" s="885"/>
      <c r="GF919" s="885"/>
      <c r="GG919" s="885"/>
      <c r="GH919" s="885"/>
      <c r="GI919" s="885"/>
      <c r="GJ919" s="885"/>
      <c r="GK919" s="885"/>
      <c r="GL919" s="885"/>
      <c r="GM919" s="885"/>
      <c r="GN919" s="885"/>
      <c r="GO919" s="885"/>
      <c r="GP919" s="885"/>
      <c r="GQ919" s="885"/>
      <c r="GR919" s="885"/>
      <c r="GS919" s="885"/>
      <c r="GT919" s="885"/>
      <c r="GU919" s="885"/>
      <c r="GV919" s="885"/>
      <c r="GW919" s="885"/>
      <c r="GX919" s="885"/>
      <c r="GY919" s="885"/>
      <c r="GZ919" s="885"/>
      <c r="HA919" s="885"/>
      <c r="HB919" s="885"/>
      <c r="HC919" s="885"/>
      <c r="HD919" s="885"/>
      <c r="HE919" s="885"/>
      <c r="HF919" s="885"/>
      <c r="HG919" s="885"/>
      <c r="HH919" s="885"/>
      <c r="HI919" s="885"/>
      <c r="HJ919" s="885"/>
      <c r="HK919" s="885"/>
      <c r="HL919" s="885"/>
      <c r="HM919" s="885"/>
      <c r="HN919" s="885"/>
      <c r="HO919" s="885"/>
      <c r="HP919" s="885"/>
      <c r="HQ919" s="885"/>
      <c r="HR919" s="885"/>
      <c r="HS919" s="885"/>
      <c r="HT919" s="885"/>
      <c r="HU919" s="885"/>
      <c r="HV919" s="885"/>
      <c r="HW919" s="885"/>
      <c r="HX919" s="885"/>
      <c r="HY919" s="885"/>
      <c r="HZ919" s="885"/>
      <c r="IA919" s="885"/>
      <c r="IB919" s="885"/>
      <c r="IC919" s="885"/>
      <c r="ID919" s="885"/>
      <c r="IE919" s="885"/>
      <c r="IF919" s="885"/>
      <c r="IG919" s="885"/>
      <c r="IH919" s="885"/>
      <c r="II919" s="885"/>
      <c r="IJ919" s="885"/>
      <c r="IK919" s="885"/>
      <c r="IL919" s="885"/>
      <c r="IM919" s="885"/>
      <c r="IN919" s="885"/>
      <c r="IO919" s="885"/>
      <c r="IP919" s="885"/>
      <c r="IQ919" s="885"/>
      <c r="IR919" s="885"/>
      <c r="IS919" s="885"/>
      <c r="IT919" s="885"/>
      <c r="IU919" s="885"/>
      <c r="IV919" s="885"/>
      <c r="IW919" s="885"/>
      <c r="IX919" s="885"/>
    </row>
    <row r="920" spans="1:258" x14ac:dyDescent="0.25">
      <c r="A920" s="125">
        <f t="shared" si="112"/>
        <v>880</v>
      </c>
      <c r="B920" s="885"/>
      <c r="C920" s="884" t="s">
        <v>10464</v>
      </c>
      <c r="D920" s="917"/>
      <c r="E920" s="917"/>
      <c r="F920" s="884"/>
      <c r="G920" s="884"/>
      <c r="I920" s="885"/>
      <c r="J920" s="885"/>
      <c r="K920" s="885"/>
      <c r="L920" s="885"/>
      <c r="M920" s="885"/>
      <c r="N920" s="885"/>
      <c r="O920" s="885"/>
      <c r="P920" s="885"/>
      <c r="Q920" s="885"/>
      <c r="R920" s="885"/>
      <c r="S920" s="885"/>
      <c r="T920" s="885"/>
      <c r="U920" s="885"/>
      <c r="V920" s="885"/>
      <c r="W920" s="885"/>
      <c r="X920" s="885"/>
      <c r="Y920" s="885"/>
      <c r="Z920" s="885"/>
      <c r="AA920" s="885"/>
      <c r="AB920" s="885"/>
      <c r="AC920" s="885"/>
      <c r="AD920" s="885"/>
      <c r="AE920" s="885"/>
      <c r="AF920" s="885"/>
      <c r="AG920" s="885"/>
      <c r="AH920" s="885"/>
      <c r="AI920" s="885"/>
      <c r="AJ920" s="885"/>
      <c r="AK920" s="885"/>
      <c r="AL920" s="885"/>
      <c r="AM920" s="885"/>
      <c r="AN920" s="885"/>
      <c r="AO920" s="885"/>
      <c r="AP920" s="885"/>
      <c r="AQ920" s="885"/>
      <c r="AR920" s="885"/>
      <c r="AS920" s="885"/>
      <c r="AT920" s="885"/>
      <c r="AU920" s="885"/>
      <c r="AV920" s="885"/>
      <c r="AW920" s="885"/>
      <c r="AX920" s="885"/>
      <c r="AY920" s="885"/>
      <c r="AZ920" s="885"/>
      <c r="BA920" s="885"/>
      <c r="BB920" s="885"/>
      <c r="BC920" s="885"/>
      <c r="BD920" s="885"/>
      <c r="BE920" s="885"/>
      <c r="BF920" s="885"/>
      <c r="BG920" s="885"/>
      <c r="BH920" s="885"/>
      <c r="BI920" s="885"/>
      <c r="BJ920" s="885"/>
      <c r="BK920" s="885"/>
      <c r="BL920" s="885"/>
      <c r="BM920" s="885"/>
      <c r="BN920" s="885"/>
      <c r="BO920" s="885"/>
      <c r="BP920" s="885"/>
      <c r="BQ920" s="885"/>
      <c r="BR920" s="885"/>
      <c r="BS920" s="885"/>
      <c r="BT920" s="885"/>
      <c r="BU920" s="885"/>
      <c r="BV920" s="885"/>
      <c r="BW920" s="885"/>
      <c r="BX920" s="885"/>
      <c r="BY920" s="885"/>
      <c r="BZ920" s="885"/>
      <c r="CA920" s="885"/>
      <c r="CB920" s="885"/>
      <c r="CC920" s="885"/>
      <c r="CD920" s="885"/>
      <c r="CE920" s="885"/>
      <c r="CF920" s="885"/>
      <c r="CG920" s="885"/>
      <c r="CH920" s="885"/>
      <c r="CI920" s="885"/>
      <c r="CJ920" s="885"/>
      <c r="CK920" s="885"/>
      <c r="CL920" s="885"/>
      <c r="CM920" s="885"/>
      <c r="CN920" s="885"/>
      <c r="CO920" s="885"/>
      <c r="CP920" s="885"/>
      <c r="CQ920" s="885"/>
      <c r="CR920" s="885"/>
      <c r="CS920" s="885"/>
      <c r="CT920" s="885"/>
      <c r="CU920" s="885"/>
      <c r="CV920" s="885"/>
      <c r="CW920" s="885"/>
      <c r="CX920" s="885"/>
      <c r="CY920" s="885"/>
      <c r="CZ920" s="885"/>
      <c r="DA920" s="885"/>
      <c r="DB920" s="885"/>
      <c r="DC920" s="885"/>
      <c r="DD920" s="885"/>
      <c r="DE920" s="885"/>
      <c r="DF920" s="885"/>
      <c r="DG920" s="885"/>
      <c r="DH920" s="885"/>
      <c r="DI920" s="885"/>
      <c r="DJ920" s="885"/>
      <c r="DK920" s="885"/>
      <c r="DL920" s="885"/>
      <c r="DM920" s="885"/>
      <c r="DN920" s="885"/>
      <c r="DO920" s="885"/>
      <c r="DP920" s="885"/>
      <c r="DQ920" s="885"/>
      <c r="DR920" s="885"/>
      <c r="DS920" s="885"/>
      <c r="DT920" s="885"/>
      <c r="DU920" s="885"/>
      <c r="DV920" s="885"/>
      <c r="DW920" s="885"/>
      <c r="DX920" s="885"/>
      <c r="DY920" s="885"/>
      <c r="DZ920" s="885"/>
      <c r="EA920" s="885"/>
      <c r="EB920" s="885"/>
      <c r="EC920" s="885"/>
      <c r="ED920" s="885"/>
      <c r="EE920" s="885"/>
      <c r="EF920" s="885"/>
      <c r="EG920" s="885"/>
      <c r="EH920" s="885"/>
      <c r="EI920" s="885"/>
      <c r="EJ920" s="885"/>
      <c r="EK920" s="885"/>
      <c r="EL920" s="885"/>
      <c r="EM920" s="885"/>
      <c r="EN920" s="885"/>
      <c r="EO920" s="885"/>
      <c r="EP920" s="885"/>
      <c r="EQ920" s="885"/>
      <c r="ER920" s="885"/>
      <c r="ES920" s="885"/>
      <c r="ET920" s="885"/>
      <c r="EU920" s="885"/>
      <c r="EV920" s="885"/>
      <c r="EW920" s="885"/>
      <c r="EX920" s="885"/>
      <c r="EY920" s="885"/>
      <c r="EZ920" s="885"/>
      <c r="FA920" s="885"/>
      <c r="FB920" s="885"/>
      <c r="FC920" s="885"/>
      <c r="FD920" s="885"/>
      <c r="FE920" s="885"/>
      <c r="FF920" s="885"/>
      <c r="FG920" s="885"/>
      <c r="FH920" s="885"/>
      <c r="FI920" s="885"/>
      <c r="FJ920" s="885"/>
      <c r="FK920" s="885"/>
      <c r="FL920" s="885"/>
      <c r="FM920" s="885"/>
      <c r="FN920" s="885"/>
      <c r="FO920" s="885"/>
      <c r="FP920" s="885"/>
      <c r="FQ920" s="885"/>
      <c r="FR920" s="885"/>
      <c r="FS920" s="885"/>
      <c r="FT920" s="885"/>
      <c r="FU920" s="885"/>
      <c r="FV920" s="885"/>
      <c r="FW920" s="885"/>
      <c r="FX920" s="885"/>
      <c r="FY920" s="885"/>
      <c r="FZ920" s="885"/>
      <c r="GA920" s="885"/>
      <c r="GB920" s="885"/>
      <c r="GC920" s="885"/>
      <c r="GD920" s="885"/>
      <c r="GE920" s="885"/>
      <c r="GF920" s="885"/>
      <c r="GG920" s="885"/>
      <c r="GH920" s="885"/>
      <c r="GI920" s="885"/>
      <c r="GJ920" s="885"/>
      <c r="GK920" s="885"/>
      <c r="GL920" s="885"/>
      <c r="GM920" s="885"/>
      <c r="GN920" s="885"/>
      <c r="GO920" s="885"/>
      <c r="GP920" s="885"/>
      <c r="GQ920" s="885"/>
      <c r="GR920" s="885"/>
      <c r="GS920" s="885"/>
      <c r="GT920" s="885"/>
      <c r="GU920" s="885"/>
      <c r="GV920" s="885"/>
      <c r="GW920" s="885"/>
      <c r="GX920" s="885"/>
      <c r="GY920" s="885"/>
      <c r="GZ920" s="885"/>
      <c r="HA920" s="885"/>
      <c r="HB920" s="885"/>
      <c r="HC920" s="885"/>
      <c r="HD920" s="885"/>
      <c r="HE920" s="885"/>
      <c r="HF920" s="885"/>
      <c r="HG920" s="885"/>
      <c r="HH920" s="885"/>
      <c r="HI920" s="885"/>
      <c r="HJ920" s="885"/>
      <c r="HK920" s="885"/>
      <c r="HL920" s="885"/>
      <c r="HM920" s="885"/>
      <c r="HN920" s="885"/>
      <c r="HO920" s="885"/>
      <c r="HP920" s="885"/>
      <c r="HQ920" s="885"/>
      <c r="HR920" s="885"/>
      <c r="HS920" s="885"/>
      <c r="HT920" s="885"/>
      <c r="HU920" s="885"/>
      <c r="HV920" s="885"/>
      <c r="HW920" s="885"/>
      <c r="HX920" s="885"/>
      <c r="HY920" s="885"/>
      <c r="HZ920" s="885"/>
      <c r="IA920" s="885"/>
      <c r="IB920" s="885"/>
      <c r="IC920" s="885"/>
      <c r="ID920" s="885"/>
      <c r="IE920" s="885"/>
      <c r="IF920" s="885"/>
      <c r="IG920" s="885"/>
      <c r="IH920" s="885"/>
      <c r="II920" s="885"/>
      <c r="IJ920" s="885"/>
      <c r="IK920" s="885"/>
      <c r="IL920" s="885"/>
      <c r="IM920" s="885"/>
      <c r="IN920" s="885"/>
      <c r="IO920" s="885"/>
      <c r="IP920" s="885"/>
      <c r="IQ920" s="885"/>
      <c r="IR920" s="885"/>
      <c r="IS920" s="885"/>
      <c r="IT920" s="885"/>
      <c r="IU920" s="885"/>
      <c r="IV920" s="885"/>
      <c r="IW920" s="885"/>
      <c r="IX920" s="885"/>
    </row>
    <row r="921" spans="1:258" x14ac:dyDescent="0.25">
      <c r="A921" s="125">
        <f t="shared" si="112"/>
        <v>881</v>
      </c>
      <c r="B921" s="954"/>
      <c r="C921" s="842" t="s">
        <v>11532</v>
      </c>
      <c r="D921" s="924">
        <v>190</v>
      </c>
      <c r="E921" s="924">
        <f t="shared" ref="E921:E970" si="117">D921/8*12</f>
        <v>285</v>
      </c>
      <c r="F921" s="136">
        <v>0</v>
      </c>
      <c r="G921" s="953"/>
      <c r="I921" s="954"/>
      <c r="J921" s="954"/>
      <c r="K921" s="954"/>
      <c r="L921" s="954"/>
      <c r="M921" s="954"/>
      <c r="N921" s="954"/>
      <c r="O921" s="954"/>
      <c r="P921" s="954"/>
      <c r="Q921" s="954"/>
      <c r="R921" s="954"/>
      <c r="S921" s="954"/>
      <c r="T921" s="954"/>
      <c r="U921" s="954"/>
      <c r="V921" s="954"/>
      <c r="W921" s="954"/>
      <c r="X921" s="954"/>
      <c r="Y921" s="954"/>
      <c r="Z921" s="954"/>
      <c r="AA921" s="954"/>
      <c r="AB921" s="954"/>
      <c r="AC921" s="954"/>
      <c r="AD921" s="954"/>
      <c r="AE921" s="954"/>
      <c r="AF921" s="954"/>
      <c r="AG921" s="954"/>
      <c r="AH921" s="954"/>
      <c r="AI921" s="954"/>
      <c r="AJ921" s="954"/>
      <c r="AK921" s="954"/>
      <c r="AL921" s="954"/>
      <c r="AM921" s="954"/>
      <c r="AN921" s="954"/>
      <c r="AO921" s="954"/>
      <c r="AP921" s="954"/>
      <c r="AQ921" s="954"/>
      <c r="AR921" s="954"/>
      <c r="AS921" s="954"/>
      <c r="AT921" s="954"/>
      <c r="AU921" s="954"/>
      <c r="AV921" s="954"/>
      <c r="AW921" s="954"/>
      <c r="AX921" s="954"/>
      <c r="AY921" s="954"/>
      <c r="AZ921" s="954"/>
      <c r="BA921" s="954"/>
      <c r="BB921" s="954"/>
      <c r="BC921" s="954"/>
      <c r="BD921" s="954"/>
      <c r="BE921" s="954"/>
      <c r="BF921" s="954"/>
      <c r="BG921" s="954"/>
      <c r="BH921" s="954"/>
      <c r="BI921" s="954"/>
      <c r="BJ921" s="954"/>
      <c r="BK921" s="954"/>
      <c r="BL921" s="954"/>
      <c r="BM921" s="954"/>
      <c r="BN921" s="954"/>
      <c r="BO921" s="954"/>
      <c r="BP921" s="954"/>
      <c r="BQ921" s="954"/>
      <c r="BR921" s="954"/>
      <c r="BS921" s="954"/>
      <c r="BT921" s="954"/>
      <c r="BU921" s="954"/>
      <c r="BV921" s="954"/>
      <c r="BW921" s="954"/>
      <c r="BX921" s="954"/>
      <c r="BY921" s="954"/>
      <c r="BZ921" s="954"/>
      <c r="CA921" s="954"/>
      <c r="CB921" s="954"/>
      <c r="CC921" s="954"/>
      <c r="CD921" s="954"/>
      <c r="CE921" s="954"/>
      <c r="CF921" s="954"/>
      <c r="CG921" s="954"/>
      <c r="CH921" s="954"/>
      <c r="CI921" s="954"/>
      <c r="CJ921" s="954"/>
      <c r="CK921" s="954"/>
      <c r="CL921" s="954"/>
      <c r="CM921" s="954"/>
      <c r="CN921" s="954"/>
      <c r="CO921" s="954"/>
      <c r="CP921" s="954"/>
      <c r="CQ921" s="954"/>
      <c r="CR921" s="954"/>
      <c r="CS921" s="954"/>
      <c r="CT921" s="954"/>
      <c r="CU921" s="954"/>
      <c r="CV921" s="954"/>
      <c r="CW921" s="954"/>
      <c r="CX921" s="954"/>
      <c r="CY921" s="954"/>
      <c r="CZ921" s="954"/>
      <c r="DA921" s="954"/>
      <c r="DB921" s="954"/>
      <c r="DC921" s="954"/>
      <c r="DD921" s="954"/>
      <c r="DE921" s="954"/>
      <c r="DF921" s="954"/>
      <c r="DG921" s="954"/>
      <c r="DH921" s="954"/>
      <c r="DI921" s="954"/>
      <c r="DJ921" s="954"/>
      <c r="DK921" s="954"/>
      <c r="DL921" s="954"/>
      <c r="DM921" s="954"/>
      <c r="DN921" s="954"/>
      <c r="DO921" s="954"/>
      <c r="DP921" s="954"/>
      <c r="DQ921" s="954"/>
      <c r="DR921" s="954"/>
      <c r="DS921" s="954"/>
      <c r="DT921" s="954"/>
      <c r="DU921" s="954"/>
      <c r="DV921" s="954"/>
      <c r="DW921" s="954"/>
      <c r="DX921" s="954"/>
      <c r="DY921" s="954"/>
      <c r="DZ921" s="954"/>
      <c r="EA921" s="954"/>
      <c r="EB921" s="954"/>
      <c r="EC921" s="954"/>
      <c r="ED921" s="954"/>
      <c r="EE921" s="954"/>
      <c r="EF921" s="954"/>
      <c r="EG921" s="954"/>
      <c r="EH921" s="954"/>
      <c r="EI921" s="954"/>
      <c r="EJ921" s="954"/>
      <c r="EK921" s="954"/>
      <c r="EL921" s="954"/>
      <c r="EM921" s="954"/>
      <c r="EN921" s="954"/>
      <c r="EO921" s="954"/>
      <c r="EP921" s="954"/>
      <c r="EQ921" s="954"/>
      <c r="ER921" s="954"/>
      <c r="ES921" s="954"/>
      <c r="ET921" s="954"/>
      <c r="EU921" s="954"/>
      <c r="EV921" s="954"/>
      <c r="EW921" s="954"/>
      <c r="EX921" s="954"/>
      <c r="EY921" s="954"/>
      <c r="EZ921" s="954"/>
      <c r="FA921" s="954"/>
      <c r="FB921" s="954"/>
      <c r="FC921" s="954"/>
      <c r="FD921" s="954"/>
      <c r="FE921" s="954"/>
      <c r="FF921" s="954"/>
      <c r="FG921" s="954"/>
      <c r="FH921" s="954"/>
      <c r="FI921" s="954"/>
      <c r="FJ921" s="954"/>
      <c r="FK921" s="954"/>
      <c r="FL921" s="954"/>
      <c r="FM921" s="954"/>
      <c r="FN921" s="954"/>
      <c r="FO921" s="954"/>
      <c r="FP921" s="954"/>
      <c r="FQ921" s="954"/>
      <c r="FR921" s="954"/>
      <c r="FS921" s="954"/>
      <c r="FT921" s="954"/>
      <c r="FU921" s="954"/>
      <c r="FV921" s="954"/>
      <c r="FW921" s="954"/>
      <c r="FX921" s="954"/>
      <c r="FY921" s="954"/>
      <c r="FZ921" s="954"/>
      <c r="GA921" s="954"/>
      <c r="GB921" s="954"/>
      <c r="GC921" s="954"/>
      <c r="GD921" s="954"/>
      <c r="GE921" s="954"/>
      <c r="GF921" s="954"/>
      <c r="GG921" s="954"/>
      <c r="GH921" s="954"/>
      <c r="GI921" s="954"/>
      <c r="GJ921" s="954"/>
      <c r="GK921" s="954"/>
      <c r="GL921" s="954"/>
      <c r="GM921" s="954"/>
      <c r="GN921" s="954"/>
      <c r="GO921" s="954"/>
      <c r="GP921" s="954"/>
      <c r="GQ921" s="954"/>
      <c r="GR921" s="954"/>
      <c r="GS921" s="954"/>
      <c r="GT921" s="954"/>
      <c r="GU921" s="954"/>
      <c r="GV921" s="954"/>
      <c r="GW921" s="954"/>
      <c r="GX921" s="954"/>
      <c r="GY921" s="954"/>
      <c r="GZ921" s="954"/>
      <c r="HA921" s="954"/>
      <c r="HB921" s="954"/>
      <c r="HC921" s="954"/>
      <c r="HD921" s="954"/>
      <c r="HE921" s="954"/>
      <c r="HF921" s="954"/>
      <c r="HG921" s="954"/>
      <c r="HH921" s="954"/>
      <c r="HI921" s="954"/>
      <c r="HJ921" s="954"/>
      <c r="HK921" s="954"/>
      <c r="HL921" s="954"/>
      <c r="HM921" s="954"/>
      <c r="HN921" s="954"/>
      <c r="HO921" s="954"/>
      <c r="HP921" s="954"/>
      <c r="HQ921" s="954"/>
      <c r="HR921" s="954"/>
      <c r="HS921" s="954"/>
      <c r="HT921" s="954"/>
      <c r="HU921" s="954"/>
      <c r="HV921" s="954"/>
      <c r="HW921" s="954"/>
      <c r="HX921" s="954"/>
      <c r="HY921" s="954"/>
      <c r="HZ921" s="954"/>
      <c r="IA921" s="954"/>
      <c r="IB921" s="954"/>
      <c r="IC921" s="954"/>
      <c r="ID921" s="954"/>
      <c r="IE921" s="954"/>
      <c r="IF921" s="954"/>
      <c r="IG921" s="954"/>
      <c r="IH921" s="954"/>
      <c r="II921" s="954"/>
      <c r="IJ921" s="954"/>
      <c r="IK921" s="954"/>
      <c r="IL921" s="954"/>
      <c r="IM921" s="954"/>
      <c r="IN921" s="954"/>
      <c r="IO921" s="954"/>
      <c r="IP921" s="954"/>
      <c r="IQ921" s="954"/>
      <c r="IR921" s="954"/>
      <c r="IS921" s="954"/>
      <c r="IT921" s="954"/>
      <c r="IU921" s="954"/>
      <c r="IV921" s="954"/>
      <c r="IW921" s="954"/>
      <c r="IX921" s="954"/>
    </row>
    <row r="922" spans="1:258" ht="31.5" x14ac:dyDescent="0.25">
      <c r="A922" s="125">
        <f t="shared" si="112"/>
        <v>882</v>
      </c>
      <c r="B922" s="885"/>
      <c r="C922" s="842" t="s">
        <v>10465</v>
      </c>
      <c r="D922" s="924">
        <v>2905.72</v>
      </c>
      <c r="E922" s="924">
        <f t="shared" si="117"/>
        <v>4358.58</v>
      </c>
      <c r="F922" s="136">
        <v>4358.58</v>
      </c>
      <c r="G922" s="122" t="s">
        <v>1963</v>
      </c>
      <c r="I922" s="885"/>
      <c r="J922" s="885"/>
      <c r="K922" s="885"/>
      <c r="L922" s="885"/>
      <c r="M922" s="885"/>
      <c r="N922" s="885"/>
      <c r="O922" s="885"/>
      <c r="P922" s="885"/>
      <c r="Q922" s="885"/>
      <c r="R922" s="885"/>
      <c r="S922" s="885"/>
      <c r="T922" s="885"/>
      <c r="U922" s="885"/>
      <c r="V922" s="885"/>
      <c r="W922" s="885"/>
      <c r="X922" s="885"/>
      <c r="Y922" s="885"/>
      <c r="Z922" s="885"/>
      <c r="AA922" s="885"/>
      <c r="AB922" s="885"/>
      <c r="AC922" s="885"/>
      <c r="AD922" s="885"/>
      <c r="AE922" s="885"/>
      <c r="AF922" s="885"/>
      <c r="AG922" s="885"/>
      <c r="AH922" s="885"/>
      <c r="AI922" s="885"/>
      <c r="AJ922" s="885"/>
      <c r="AK922" s="885"/>
      <c r="AL922" s="885"/>
      <c r="AM922" s="885"/>
      <c r="AN922" s="885"/>
      <c r="AO922" s="885"/>
      <c r="AP922" s="885"/>
      <c r="AQ922" s="885"/>
      <c r="AR922" s="885"/>
      <c r="AS922" s="885"/>
      <c r="AT922" s="885"/>
      <c r="AU922" s="885"/>
      <c r="AV922" s="885"/>
      <c r="AW922" s="885"/>
      <c r="AX922" s="885"/>
      <c r="AY922" s="885"/>
      <c r="AZ922" s="885"/>
      <c r="BA922" s="885"/>
      <c r="BB922" s="885"/>
      <c r="BC922" s="885"/>
      <c r="BD922" s="885"/>
      <c r="BE922" s="885"/>
      <c r="BF922" s="885"/>
      <c r="BG922" s="885"/>
      <c r="BH922" s="885"/>
      <c r="BI922" s="885"/>
      <c r="BJ922" s="885"/>
      <c r="BK922" s="885"/>
      <c r="BL922" s="885"/>
      <c r="BM922" s="885"/>
      <c r="BN922" s="885"/>
      <c r="BO922" s="885"/>
      <c r="BP922" s="885"/>
      <c r="BQ922" s="885"/>
      <c r="BR922" s="885"/>
      <c r="BS922" s="885"/>
      <c r="BT922" s="885"/>
      <c r="BU922" s="885"/>
      <c r="BV922" s="885"/>
      <c r="BW922" s="885"/>
      <c r="BX922" s="885"/>
      <c r="BY922" s="885"/>
      <c r="BZ922" s="885"/>
      <c r="CA922" s="885"/>
      <c r="CB922" s="885"/>
      <c r="CC922" s="885"/>
      <c r="CD922" s="885"/>
      <c r="CE922" s="885"/>
      <c r="CF922" s="885"/>
      <c r="CG922" s="885"/>
      <c r="CH922" s="885"/>
      <c r="CI922" s="885"/>
      <c r="CJ922" s="885"/>
      <c r="CK922" s="885"/>
      <c r="CL922" s="885"/>
      <c r="CM922" s="885"/>
      <c r="CN922" s="885"/>
      <c r="CO922" s="885"/>
      <c r="CP922" s="885"/>
      <c r="CQ922" s="885"/>
      <c r="CR922" s="885"/>
      <c r="CS922" s="885"/>
      <c r="CT922" s="885"/>
      <c r="CU922" s="885"/>
      <c r="CV922" s="885"/>
      <c r="CW922" s="885"/>
      <c r="CX922" s="885"/>
      <c r="CY922" s="885"/>
      <c r="CZ922" s="885"/>
      <c r="DA922" s="885"/>
      <c r="DB922" s="885"/>
      <c r="DC922" s="885"/>
      <c r="DD922" s="885"/>
      <c r="DE922" s="885"/>
      <c r="DF922" s="885"/>
      <c r="DG922" s="885"/>
      <c r="DH922" s="885"/>
      <c r="DI922" s="885"/>
      <c r="DJ922" s="885"/>
      <c r="DK922" s="885"/>
      <c r="DL922" s="885"/>
      <c r="DM922" s="885"/>
      <c r="DN922" s="885"/>
      <c r="DO922" s="885"/>
      <c r="DP922" s="885"/>
      <c r="DQ922" s="885"/>
      <c r="DR922" s="885"/>
      <c r="DS922" s="885"/>
      <c r="DT922" s="885"/>
      <c r="DU922" s="885"/>
      <c r="DV922" s="885"/>
      <c r="DW922" s="885"/>
      <c r="DX922" s="885"/>
      <c r="DY922" s="885"/>
      <c r="DZ922" s="885"/>
      <c r="EA922" s="885"/>
      <c r="EB922" s="885"/>
      <c r="EC922" s="885"/>
      <c r="ED922" s="885"/>
      <c r="EE922" s="885"/>
      <c r="EF922" s="885"/>
      <c r="EG922" s="885"/>
      <c r="EH922" s="885"/>
      <c r="EI922" s="885"/>
      <c r="EJ922" s="885"/>
      <c r="EK922" s="885"/>
      <c r="EL922" s="885"/>
      <c r="EM922" s="885"/>
      <c r="EN922" s="885"/>
      <c r="EO922" s="885"/>
      <c r="EP922" s="885"/>
      <c r="EQ922" s="885"/>
      <c r="ER922" s="885"/>
      <c r="ES922" s="885"/>
      <c r="ET922" s="885"/>
      <c r="EU922" s="885"/>
      <c r="EV922" s="885"/>
      <c r="EW922" s="885"/>
      <c r="EX922" s="885"/>
      <c r="EY922" s="885"/>
      <c r="EZ922" s="885"/>
      <c r="FA922" s="885"/>
      <c r="FB922" s="885"/>
      <c r="FC922" s="885"/>
      <c r="FD922" s="885"/>
      <c r="FE922" s="885"/>
      <c r="FF922" s="885"/>
      <c r="FG922" s="885"/>
      <c r="FH922" s="885"/>
      <c r="FI922" s="885"/>
      <c r="FJ922" s="885"/>
      <c r="FK922" s="885"/>
      <c r="FL922" s="885"/>
      <c r="FM922" s="885"/>
      <c r="FN922" s="885"/>
      <c r="FO922" s="885"/>
      <c r="FP922" s="885"/>
      <c r="FQ922" s="885"/>
      <c r="FR922" s="885"/>
      <c r="FS922" s="885"/>
      <c r="FT922" s="885"/>
      <c r="FU922" s="885"/>
      <c r="FV922" s="885"/>
      <c r="FW922" s="885"/>
      <c r="FX922" s="885"/>
      <c r="FY922" s="885"/>
      <c r="FZ922" s="885"/>
      <c r="GA922" s="885"/>
      <c r="GB922" s="885"/>
      <c r="GC922" s="885"/>
      <c r="GD922" s="885"/>
      <c r="GE922" s="885"/>
      <c r="GF922" s="885"/>
      <c r="GG922" s="885"/>
      <c r="GH922" s="885"/>
      <c r="GI922" s="885"/>
      <c r="GJ922" s="885"/>
      <c r="GK922" s="885"/>
      <c r="GL922" s="885"/>
      <c r="GM922" s="885"/>
      <c r="GN922" s="885"/>
      <c r="GO922" s="885"/>
      <c r="GP922" s="885"/>
      <c r="GQ922" s="885"/>
      <c r="GR922" s="885"/>
      <c r="GS922" s="885"/>
      <c r="GT922" s="885"/>
      <c r="GU922" s="885"/>
      <c r="GV922" s="885"/>
      <c r="GW922" s="885"/>
      <c r="GX922" s="885"/>
      <c r="GY922" s="885"/>
      <c r="GZ922" s="885"/>
      <c r="HA922" s="885"/>
      <c r="HB922" s="885"/>
      <c r="HC922" s="885"/>
      <c r="HD922" s="885"/>
      <c r="HE922" s="885"/>
      <c r="HF922" s="885"/>
      <c r="HG922" s="885"/>
      <c r="HH922" s="885"/>
      <c r="HI922" s="885"/>
      <c r="HJ922" s="885"/>
      <c r="HK922" s="885"/>
      <c r="HL922" s="885"/>
      <c r="HM922" s="885"/>
      <c r="HN922" s="885"/>
      <c r="HO922" s="885"/>
      <c r="HP922" s="885"/>
      <c r="HQ922" s="885"/>
      <c r="HR922" s="885"/>
      <c r="HS922" s="885"/>
      <c r="HT922" s="885"/>
      <c r="HU922" s="885"/>
      <c r="HV922" s="885"/>
      <c r="HW922" s="885"/>
      <c r="HX922" s="885"/>
      <c r="HY922" s="885"/>
      <c r="HZ922" s="885"/>
      <c r="IA922" s="885"/>
      <c r="IB922" s="885"/>
      <c r="IC922" s="885"/>
      <c r="ID922" s="885"/>
      <c r="IE922" s="885"/>
      <c r="IF922" s="885"/>
      <c r="IG922" s="885"/>
      <c r="IH922" s="885"/>
      <c r="II922" s="885"/>
      <c r="IJ922" s="885"/>
      <c r="IK922" s="885"/>
      <c r="IL922" s="885"/>
      <c r="IM922" s="885"/>
      <c r="IN922" s="885"/>
      <c r="IO922" s="885"/>
      <c r="IP922" s="885"/>
      <c r="IQ922" s="885"/>
      <c r="IR922" s="885"/>
      <c r="IS922" s="885"/>
      <c r="IT922" s="885"/>
      <c r="IU922" s="885"/>
      <c r="IV922" s="885"/>
      <c r="IW922" s="885"/>
      <c r="IX922" s="885"/>
    </row>
    <row r="923" spans="1:258" ht="31.5" x14ac:dyDescent="0.25">
      <c r="A923" s="125">
        <f t="shared" si="112"/>
        <v>883</v>
      </c>
      <c r="B923" s="885"/>
      <c r="C923" s="842" t="s">
        <v>10466</v>
      </c>
      <c r="D923" s="924">
        <v>0</v>
      </c>
      <c r="E923" s="924">
        <f t="shared" si="117"/>
        <v>0</v>
      </c>
      <c r="F923" s="136">
        <v>500</v>
      </c>
      <c r="G923" s="122" t="s">
        <v>1963</v>
      </c>
      <c r="I923" s="885"/>
      <c r="J923" s="885"/>
      <c r="K923" s="885"/>
      <c r="L923" s="885"/>
      <c r="M923" s="885"/>
      <c r="N923" s="885"/>
      <c r="O923" s="885"/>
      <c r="P923" s="885"/>
      <c r="Q923" s="885"/>
      <c r="R923" s="885"/>
      <c r="S923" s="885"/>
      <c r="T923" s="885"/>
      <c r="U923" s="885"/>
      <c r="V923" s="885"/>
      <c r="W923" s="885"/>
      <c r="X923" s="885"/>
      <c r="Y923" s="885"/>
      <c r="Z923" s="885"/>
      <c r="AA923" s="885"/>
      <c r="AB923" s="885"/>
      <c r="AC923" s="885"/>
      <c r="AD923" s="885"/>
      <c r="AE923" s="885"/>
      <c r="AF923" s="885"/>
      <c r="AG923" s="885"/>
      <c r="AH923" s="885"/>
      <c r="AI923" s="885"/>
      <c r="AJ923" s="885"/>
      <c r="AK923" s="885"/>
      <c r="AL923" s="885"/>
      <c r="AM923" s="885"/>
      <c r="AN923" s="885"/>
      <c r="AO923" s="885"/>
      <c r="AP923" s="885"/>
      <c r="AQ923" s="885"/>
      <c r="AR923" s="885"/>
      <c r="AS923" s="885"/>
      <c r="AT923" s="885"/>
      <c r="AU923" s="885"/>
      <c r="AV923" s="885"/>
      <c r="AW923" s="885"/>
      <c r="AX923" s="885"/>
      <c r="AY923" s="885"/>
      <c r="AZ923" s="885"/>
      <c r="BA923" s="885"/>
      <c r="BB923" s="885"/>
      <c r="BC923" s="885"/>
      <c r="BD923" s="885"/>
      <c r="BE923" s="885"/>
      <c r="BF923" s="885"/>
      <c r="BG923" s="885"/>
      <c r="BH923" s="885"/>
      <c r="BI923" s="885"/>
      <c r="BJ923" s="885"/>
      <c r="BK923" s="885"/>
      <c r="BL923" s="885"/>
      <c r="BM923" s="885"/>
      <c r="BN923" s="885"/>
      <c r="BO923" s="885"/>
      <c r="BP923" s="885"/>
      <c r="BQ923" s="885"/>
      <c r="BR923" s="885"/>
      <c r="BS923" s="885"/>
      <c r="BT923" s="885"/>
      <c r="BU923" s="885"/>
      <c r="BV923" s="885"/>
      <c r="BW923" s="885"/>
      <c r="BX923" s="885"/>
      <c r="BY923" s="885"/>
      <c r="BZ923" s="885"/>
      <c r="CA923" s="885"/>
      <c r="CB923" s="885"/>
      <c r="CC923" s="885"/>
      <c r="CD923" s="885"/>
      <c r="CE923" s="885"/>
      <c r="CF923" s="885"/>
      <c r="CG923" s="885"/>
      <c r="CH923" s="885"/>
      <c r="CI923" s="885"/>
      <c r="CJ923" s="885"/>
      <c r="CK923" s="885"/>
      <c r="CL923" s="885"/>
      <c r="CM923" s="885"/>
      <c r="CN923" s="885"/>
      <c r="CO923" s="885"/>
      <c r="CP923" s="885"/>
      <c r="CQ923" s="885"/>
      <c r="CR923" s="885"/>
      <c r="CS923" s="885"/>
      <c r="CT923" s="885"/>
      <c r="CU923" s="885"/>
      <c r="CV923" s="885"/>
      <c r="CW923" s="885"/>
      <c r="CX923" s="885"/>
      <c r="CY923" s="885"/>
      <c r="CZ923" s="885"/>
      <c r="DA923" s="885"/>
      <c r="DB923" s="885"/>
      <c r="DC923" s="885"/>
      <c r="DD923" s="885"/>
      <c r="DE923" s="885"/>
      <c r="DF923" s="885"/>
      <c r="DG923" s="885"/>
      <c r="DH923" s="885"/>
      <c r="DI923" s="885"/>
      <c r="DJ923" s="885"/>
      <c r="DK923" s="885"/>
      <c r="DL923" s="885"/>
      <c r="DM923" s="885"/>
      <c r="DN923" s="885"/>
      <c r="DO923" s="885"/>
      <c r="DP923" s="885"/>
      <c r="DQ923" s="885"/>
      <c r="DR923" s="885"/>
      <c r="DS923" s="885"/>
      <c r="DT923" s="885"/>
      <c r="DU923" s="885"/>
      <c r="DV923" s="885"/>
      <c r="DW923" s="885"/>
      <c r="DX923" s="885"/>
      <c r="DY923" s="885"/>
      <c r="DZ923" s="885"/>
      <c r="EA923" s="885"/>
      <c r="EB923" s="885"/>
      <c r="EC923" s="885"/>
      <c r="ED923" s="885"/>
      <c r="EE923" s="885"/>
      <c r="EF923" s="885"/>
      <c r="EG923" s="885"/>
      <c r="EH923" s="885"/>
      <c r="EI923" s="885"/>
      <c r="EJ923" s="885"/>
      <c r="EK923" s="885"/>
      <c r="EL923" s="885"/>
      <c r="EM923" s="885"/>
      <c r="EN923" s="885"/>
      <c r="EO923" s="885"/>
      <c r="EP923" s="885"/>
      <c r="EQ923" s="885"/>
      <c r="ER923" s="885"/>
      <c r="ES923" s="885"/>
      <c r="ET923" s="885"/>
      <c r="EU923" s="885"/>
      <c r="EV923" s="885"/>
      <c r="EW923" s="885"/>
      <c r="EX923" s="885"/>
      <c r="EY923" s="885"/>
      <c r="EZ923" s="885"/>
      <c r="FA923" s="885"/>
      <c r="FB923" s="885"/>
      <c r="FC923" s="885"/>
      <c r="FD923" s="885"/>
      <c r="FE923" s="885"/>
      <c r="FF923" s="885"/>
      <c r="FG923" s="885"/>
      <c r="FH923" s="885"/>
      <c r="FI923" s="885"/>
      <c r="FJ923" s="885"/>
      <c r="FK923" s="885"/>
      <c r="FL923" s="885"/>
      <c r="FM923" s="885"/>
      <c r="FN923" s="885"/>
      <c r="FO923" s="885"/>
      <c r="FP923" s="885"/>
      <c r="FQ923" s="885"/>
      <c r="FR923" s="885"/>
      <c r="FS923" s="885"/>
      <c r="FT923" s="885"/>
      <c r="FU923" s="885"/>
      <c r="FV923" s="885"/>
      <c r="FW923" s="885"/>
      <c r="FX923" s="885"/>
      <c r="FY923" s="885"/>
      <c r="FZ923" s="885"/>
      <c r="GA923" s="885"/>
      <c r="GB923" s="885"/>
      <c r="GC923" s="885"/>
      <c r="GD923" s="885"/>
      <c r="GE923" s="885"/>
      <c r="GF923" s="885"/>
      <c r="GG923" s="885"/>
      <c r="GH923" s="885"/>
      <c r="GI923" s="885"/>
      <c r="GJ923" s="885"/>
      <c r="GK923" s="885"/>
      <c r="GL923" s="885"/>
      <c r="GM923" s="885"/>
      <c r="GN923" s="885"/>
      <c r="GO923" s="885"/>
      <c r="GP923" s="885"/>
      <c r="GQ923" s="885"/>
      <c r="GR923" s="885"/>
      <c r="GS923" s="885"/>
      <c r="GT923" s="885"/>
      <c r="GU923" s="885"/>
      <c r="GV923" s="885"/>
      <c r="GW923" s="885"/>
      <c r="GX923" s="885"/>
      <c r="GY923" s="885"/>
      <c r="GZ923" s="885"/>
      <c r="HA923" s="885"/>
      <c r="HB923" s="885"/>
      <c r="HC923" s="885"/>
      <c r="HD923" s="885"/>
      <c r="HE923" s="885"/>
      <c r="HF923" s="885"/>
      <c r="HG923" s="885"/>
      <c r="HH923" s="885"/>
      <c r="HI923" s="885"/>
      <c r="HJ923" s="885"/>
      <c r="HK923" s="885"/>
      <c r="HL923" s="885"/>
      <c r="HM923" s="885"/>
      <c r="HN923" s="885"/>
      <c r="HO923" s="885"/>
      <c r="HP923" s="885"/>
      <c r="HQ923" s="885"/>
      <c r="HR923" s="885"/>
      <c r="HS923" s="885"/>
      <c r="HT923" s="885"/>
      <c r="HU923" s="885"/>
      <c r="HV923" s="885"/>
      <c r="HW923" s="885"/>
      <c r="HX923" s="885"/>
      <c r="HY923" s="885"/>
      <c r="HZ923" s="885"/>
      <c r="IA923" s="885"/>
      <c r="IB923" s="885"/>
      <c r="IC923" s="885"/>
      <c r="ID923" s="885"/>
      <c r="IE923" s="885"/>
      <c r="IF923" s="885"/>
      <c r="IG923" s="885"/>
      <c r="IH923" s="885"/>
      <c r="II923" s="885"/>
      <c r="IJ923" s="885"/>
      <c r="IK923" s="885"/>
      <c r="IL923" s="885"/>
      <c r="IM923" s="885"/>
      <c r="IN923" s="885"/>
      <c r="IO923" s="885"/>
      <c r="IP923" s="885"/>
      <c r="IQ923" s="885"/>
      <c r="IR923" s="885"/>
      <c r="IS923" s="885"/>
      <c r="IT923" s="885"/>
      <c r="IU923" s="885"/>
      <c r="IV923" s="885"/>
      <c r="IW923" s="885"/>
      <c r="IX923" s="885"/>
    </row>
    <row r="924" spans="1:258" ht="31.5" x14ac:dyDescent="0.25">
      <c r="A924" s="125">
        <f t="shared" si="112"/>
        <v>884</v>
      </c>
      <c r="B924" s="885"/>
      <c r="C924" s="842" t="s">
        <v>10467</v>
      </c>
      <c r="D924" s="924">
        <v>6210</v>
      </c>
      <c r="E924" s="924">
        <f t="shared" si="117"/>
        <v>9315</v>
      </c>
      <c r="F924" s="136">
        <f>E924</f>
        <v>9315</v>
      </c>
      <c r="G924" s="122" t="s">
        <v>1963</v>
      </c>
      <c r="I924" s="885"/>
      <c r="J924" s="885"/>
      <c r="K924" s="885"/>
      <c r="L924" s="885"/>
      <c r="M924" s="885"/>
      <c r="N924" s="885"/>
      <c r="O924" s="885"/>
      <c r="P924" s="885"/>
      <c r="Q924" s="885"/>
      <c r="R924" s="885"/>
      <c r="S924" s="885"/>
      <c r="T924" s="885"/>
      <c r="U924" s="885"/>
      <c r="V924" s="885"/>
      <c r="W924" s="885"/>
      <c r="X924" s="885"/>
      <c r="Y924" s="885"/>
      <c r="Z924" s="885"/>
      <c r="AA924" s="885"/>
      <c r="AB924" s="885"/>
      <c r="AC924" s="885"/>
      <c r="AD924" s="885"/>
      <c r="AE924" s="885"/>
      <c r="AF924" s="885"/>
      <c r="AG924" s="885"/>
      <c r="AH924" s="885"/>
      <c r="AI924" s="885"/>
      <c r="AJ924" s="885"/>
      <c r="AK924" s="885"/>
      <c r="AL924" s="885"/>
      <c r="AM924" s="885"/>
      <c r="AN924" s="885"/>
      <c r="AO924" s="885"/>
      <c r="AP924" s="885"/>
      <c r="AQ924" s="885"/>
      <c r="AR924" s="885"/>
      <c r="AS924" s="885"/>
      <c r="AT924" s="885"/>
      <c r="AU924" s="885"/>
      <c r="AV924" s="885"/>
      <c r="AW924" s="885"/>
      <c r="AX924" s="885"/>
      <c r="AY924" s="885"/>
      <c r="AZ924" s="885"/>
      <c r="BA924" s="885"/>
      <c r="BB924" s="885"/>
      <c r="BC924" s="885"/>
      <c r="BD924" s="885"/>
      <c r="BE924" s="885"/>
      <c r="BF924" s="885"/>
      <c r="BG924" s="885"/>
      <c r="BH924" s="885"/>
      <c r="BI924" s="885"/>
      <c r="BJ924" s="885"/>
      <c r="BK924" s="885"/>
      <c r="BL924" s="885"/>
      <c r="BM924" s="885"/>
      <c r="BN924" s="885"/>
      <c r="BO924" s="885"/>
      <c r="BP924" s="885"/>
      <c r="BQ924" s="885"/>
      <c r="BR924" s="885"/>
      <c r="BS924" s="885"/>
      <c r="BT924" s="885"/>
      <c r="BU924" s="885"/>
      <c r="BV924" s="885"/>
      <c r="BW924" s="885"/>
      <c r="BX924" s="885"/>
      <c r="BY924" s="885"/>
      <c r="BZ924" s="885"/>
      <c r="CA924" s="885"/>
      <c r="CB924" s="885"/>
      <c r="CC924" s="885"/>
      <c r="CD924" s="885"/>
      <c r="CE924" s="885"/>
      <c r="CF924" s="885"/>
      <c r="CG924" s="885"/>
      <c r="CH924" s="885"/>
      <c r="CI924" s="885"/>
      <c r="CJ924" s="885"/>
      <c r="CK924" s="885"/>
      <c r="CL924" s="885"/>
      <c r="CM924" s="885"/>
      <c r="CN924" s="885"/>
      <c r="CO924" s="885"/>
      <c r="CP924" s="885"/>
      <c r="CQ924" s="885"/>
      <c r="CR924" s="885"/>
      <c r="CS924" s="885"/>
      <c r="CT924" s="885"/>
      <c r="CU924" s="885"/>
      <c r="CV924" s="885"/>
      <c r="CW924" s="885"/>
      <c r="CX924" s="885"/>
      <c r="CY924" s="885"/>
      <c r="CZ924" s="885"/>
      <c r="DA924" s="885"/>
      <c r="DB924" s="885"/>
      <c r="DC924" s="885"/>
      <c r="DD924" s="885"/>
      <c r="DE924" s="885"/>
      <c r="DF924" s="885"/>
      <c r="DG924" s="885"/>
      <c r="DH924" s="885"/>
      <c r="DI924" s="885"/>
      <c r="DJ924" s="885"/>
      <c r="DK924" s="885"/>
      <c r="DL924" s="885"/>
      <c r="DM924" s="885"/>
      <c r="DN924" s="885"/>
      <c r="DO924" s="885"/>
      <c r="DP924" s="885"/>
      <c r="DQ924" s="885"/>
      <c r="DR924" s="885"/>
      <c r="DS924" s="885"/>
      <c r="DT924" s="885"/>
      <c r="DU924" s="885"/>
      <c r="DV924" s="885"/>
      <c r="DW924" s="885"/>
      <c r="DX924" s="885"/>
      <c r="DY924" s="885"/>
      <c r="DZ924" s="885"/>
      <c r="EA924" s="885"/>
      <c r="EB924" s="885"/>
      <c r="EC924" s="885"/>
      <c r="ED924" s="885"/>
      <c r="EE924" s="885"/>
      <c r="EF924" s="885"/>
      <c r="EG924" s="885"/>
      <c r="EH924" s="885"/>
      <c r="EI924" s="885"/>
      <c r="EJ924" s="885"/>
      <c r="EK924" s="885"/>
      <c r="EL924" s="885"/>
      <c r="EM924" s="885"/>
      <c r="EN924" s="885"/>
      <c r="EO924" s="885"/>
      <c r="EP924" s="885"/>
      <c r="EQ924" s="885"/>
      <c r="ER924" s="885"/>
      <c r="ES924" s="885"/>
      <c r="ET924" s="885"/>
      <c r="EU924" s="885"/>
      <c r="EV924" s="885"/>
      <c r="EW924" s="885"/>
      <c r="EX924" s="885"/>
      <c r="EY924" s="885"/>
      <c r="EZ924" s="885"/>
      <c r="FA924" s="885"/>
      <c r="FB924" s="885"/>
      <c r="FC924" s="885"/>
      <c r="FD924" s="885"/>
      <c r="FE924" s="885"/>
      <c r="FF924" s="885"/>
      <c r="FG924" s="885"/>
      <c r="FH924" s="885"/>
      <c r="FI924" s="885"/>
      <c r="FJ924" s="885"/>
      <c r="FK924" s="885"/>
      <c r="FL924" s="885"/>
      <c r="FM924" s="885"/>
      <c r="FN924" s="885"/>
      <c r="FO924" s="885"/>
      <c r="FP924" s="885"/>
      <c r="FQ924" s="885"/>
      <c r="FR924" s="885"/>
      <c r="FS924" s="885"/>
      <c r="FT924" s="885"/>
      <c r="FU924" s="885"/>
      <c r="FV924" s="885"/>
      <c r="FW924" s="885"/>
      <c r="FX924" s="885"/>
      <c r="FY924" s="885"/>
      <c r="FZ924" s="885"/>
      <c r="GA924" s="885"/>
      <c r="GB924" s="885"/>
      <c r="GC924" s="885"/>
      <c r="GD924" s="885"/>
      <c r="GE924" s="885"/>
      <c r="GF924" s="885"/>
      <c r="GG924" s="885"/>
      <c r="GH924" s="885"/>
      <c r="GI924" s="885"/>
      <c r="GJ924" s="885"/>
      <c r="GK924" s="885"/>
      <c r="GL924" s="885"/>
      <c r="GM924" s="885"/>
      <c r="GN924" s="885"/>
      <c r="GO924" s="885"/>
      <c r="GP924" s="885"/>
      <c r="GQ924" s="885"/>
      <c r="GR924" s="885"/>
      <c r="GS924" s="885"/>
      <c r="GT924" s="885"/>
      <c r="GU924" s="885"/>
      <c r="GV924" s="885"/>
      <c r="GW924" s="885"/>
      <c r="GX924" s="885"/>
      <c r="GY924" s="885"/>
      <c r="GZ924" s="885"/>
      <c r="HA924" s="885"/>
      <c r="HB924" s="885"/>
      <c r="HC924" s="885"/>
      <c r="HD924" s="885"/>
      <c r="HE924" s="885"/>
      <c r="HF924" s="885"/>
      <c r="HG924" s="885"/>
      <c r="HH924" s="885"/>
      <c r="HI924" s="885"/>
      <c r="HJ924" s="885"/>
      <c r="HK924" s="885"/>
      <c r="HL924" s="885"/>
      <c r="HM924" s="885"/>
      <c r="HN924" s="885"/>
      <c r="HO924" s="885"/>
      <c r="HP924" s="885"/>
      <c r="HQ924" s="885"/>
      <c r="HR924" s="885"/>
      <c r="HS924" s="885"/>
      <c r="HT924" s="885"/>
      <c r="HU924" s="885"/>
      <c r="HV924" s="885"/>
      <c r="HW924" s="885"/>
      <c r="HX924" s="885"/>
      <c r="HY924" s="885"/>
      <c r="HZ924" s="885"/>
      <c r="IA924" s="885"/>
      <c r="IB924" s="885"/>
      <c r="IC924" s="885"/>
      <c r="ID924" s="885"/>
      <c r="IE924" s="885"/>
      <c r="IF924" s="885"/>
      <c r="IG924" s="885"/>
      <c r="IH924" s="885"/>
      <c r="II924" s="885"/>
      <c r="IJ924" s="885"/>
      <c r="IK924" s="885"/>
      <c r="IL924" s="885"/>
      <c r="IM924" s="885"/>
      <c r="IN924" s="885"/>
      <c r="IO924" s="885"/>
      <c r="IP924" s="885"/>
      <c r="IQ924" s="885"/>
      <c r="IR924" s="885"/>
      <c r="IS924" s="885"/>
      <c r="IT924" s="885"/>
      <c r="IU924" s="885"/>
      <c r="IV924" s="885"/>
      <c r="IW924" s="885"/>
      <c r="IX924" s="885"/>
    </row>
    <row r="925" spans="1:258" x14ac:dyDescent="0.25">
      <c r="A925" s="125">
        <f t="shared" si="112"/>
        <v>885</v>
      </c>
      <c r="B925" s="885"/>
      <c r="C925" s="842" t="s">
        <v>10468</v>
      </c>
      <c r="D925" s="924">
        <v>25033.45</v>
      </c>
      <c r="E925" s="924">
        <f t="shared" si="117"/>
        <v>37550.175000000003</v>
      </c>
      <c r="F925" s="136">
        <f>E925</f>
        <v>37550.175000000003</v>
      </c>
      <c r="G925" s="122" t="s">
        <v>1963</v>
      </c>
      <c r="I925" s="885"/>
      <c r="J925" s="885"/>
      <c r="K925" s="885"/>
      <c r="L925" s="885"/>
      <c r="M925" s="885"/>
      <c r="N925" s="885"/>
      <c r="O925" s="885"/>
      <c r="P925" s="885"/>
      <c r="Q925" s="885"/>
      <c r="R925" s="885"/>
      <c r="S925" s="885"/>
      <c r="T925" s="885"/>
      <c r="U925" s="885"/>
      <c r="V925" s="885"/>
      <c r="W925" s="885"/>
      <c r="X925" s="885"/>
      <c r="Y925" s="885"/>
      <c r="Z925" s="885"/>
      <c r="AA925" s="885"/>
      <c r="AB925" s="885"/>
      <c r="AC925" s="885"/>
      <c r="AD925" s="885"/>
      <c r="AE925" s="885"/>
      <c r="AF925" s="885"/>
      <c r="AG925" s="885"/>
      <c r="AH925" s="885"/>
      <c r="AI925" s="885"/>
      <c r="AJ925" s="885"/>
      <c r="AK925" s="885"/>
      <c r="AL925" s="885"/>
      <c r="AM925" s="885"/>
      <c r="AN925" s="885"/>
      <c r="AO925" s="885"/>
      <c r="AP925" s="885"/>
      <c r="AQ925" s="885"/>
      <c r="AR925" s="885"/>
      <c r="AS925" s="885"/>
      <c r="AT925" s="885"/>
      <c r="AU925" s="885"/>
      <c r="AV925" s="885"/>
      <c r="AW925" s="885"/>
      <c r="AX925" s="885"/>
      <c r="AY925" s="885"/>
      <c r="AZ925" s="885"/>
      <c r="BA925" s="885"/>
      <c r="BB925" s="885"/>
      <c r="BC925" s="885"/>
      <c r="BD925" s="885"/>
      <c r="BE925" s="885"/>
      <c r="BF925" s="885"/>
      <c r="BG925" s="885"/>
      <c r="BH925" s="885"/>
      <c r="BI925" s="885"/>
      <c r="BJ925" s="885"/>
      <c r="BK925" s="885"/>
      <c r="BL925" s="885"/>
      <c r="BM925" s="885"/>
      <c r="BN925" s="885"/>
      <c r="BO925" s="885"/>
      <c r="BP925" s="885"/>
      <c r="BQ925" s="885"/>
      <c r="BR925" s="885"/>
      <c r="BS925" s="885"/>
      <c r="BT925" s="885"/>
      <c r="BU925" s="885"/>
      <c r="BV925" s="885"/>
      <c r="BW925" s="885"/>
      <c r="BX925" s="885"/>
      <c r="BY925" s="885"/>
      <c r="BZ925" s="885"/>
      <c r="CA925" s="885"/>
      <c r="CB925" s="885"/>
      <c r="CC925" s="885"/>
      <c r="CD925" s="885"/>
      <c r="CE925" s="885"/>
      <c r="CF925" s="885"/>
      <c r="CG925" s="885"/>
      <c r="CH925" s="885"/>
      <c r="CI925" s="885"/>
      <c r="CJ925" s="885"/>
      <c r="CK925" s="885"/>
      <c r="CL925" s="885"/>
      <c r="CM925" s="885"/>
      <c r="CN925" s="885"/>
      <c r="CO925" s="885"/>
      <c r="CP925" s="885"/>
      <c r="CQ925" s="885"/>
      <c r="CR925" s="885"/>
      <c r="CS925" s="885"/>
      <c r="CT925" s="885"/>
      <c r="CU925" s="885"/>
      <c r="CV925" s="885"/>
      <c r="CW925" s="885"/>
      <c r="CX925" s="885"/>
      <c r="CY925" s="885"/>
      <c r="CZ925" s="885"/>
      <c r="DA925" s="885"/>
      <c r="DB925" s="885"/>
      <c r="DC925" s="885"/>
      <c r="DD925" s="885"/>
      <c r="DE925" s="885"/>
      <c r="DF925" s="885"/>
      <c r="DG925" s="885"/>
      <c r="DH925" s="885"/>
      <c r="DI925" s="885"/>
      <c r="DJ925" s="885"/>
      <c r="DK925" s="885"/>
      <c r="DL925" s="885"/>
      <c r="DM925" s="885"/>
      <c r="DN925" s="885"/>
      <c r="DO925" s="885"/>
      <c r="DP925" s="885"/>
      <c r="DQ925" s="885"/>
      <c r="DR925" s="885"/>
      <c r="DS925" s="885"/>
      <c r="DT925" s="885"/>
      <c r="DU925" s="885"/>
      <c r="DV925" s="885"/>
      <c r="DW925" s="885"/>
      <c r="DX925" s="885"/>
      <c r="DY925" s="885"/>
      <c r="DZ925" s="885"/>
      <c r="EA925" s="885"/>
      <c r="EB925" s="885"/>
      <c r="EC925" s="885"/>
      <c r="ED925" s="885"/>
      <c r="EE925" s="885"/>
      <c r="EF925" s="885"/>
      <c r="EG925" s="885"/>
      <c r="EH925" s="885"/>
      <c r="EI925" s="885"/>
      <c r="EJ925" s="885"/>
      <c r="EK925" s="885"/>
      <c r="EL925" s="885"/>
      <c r="EM925" s="885"/>
      <c r="EN925" s="885"/>
      <c r="EO925" s="885"/>
      <c r="EP925" s="885"/>
      <c r="EQ925" s="885"/>
      <c r="ER925" s="885"/>
      <c r="ES925" s="885"/>
      <c r="ET925" s="885"/>
      <c r="EU925" s="885"/>
      <c r="EV925" s="885"/>
      <c r="EW925" s="885"/>
      <c r="EX925" s="885"/>
      <c r="EY925" s="885"/>
      <c r="EZ925" s="885"/>
      <c r="FA925" s="885"/>
      <c r="FB925" s="885"/>
      <c r="FC925" s="885"/>
      <c r="FD925" s="885"/>
      <c r="FE925" s="885"/>
      <c r="FF925" s="885"/>
      <c r="FG925" s="885"/>
      <c r="FH925" s="885"/>
      <c r="FI925" s="885"/>
      <c r="FJ925" s="885"/>
      <c r="FK925" s="885"/>
      <c r="FL925" s="885"/>
      <c r="FM925" s="885"/>
      <c r="FN925" s="885"/>
      <c r="FO925" s="885"/>
      <c r="FP925" s="885"/>
      <c r="FQ925" s="885"/>
      <c r="FR925" s="885"/>
      <c r="FS925" s="885"/>
      <c r="FT925" s="885"/>
      <c r="FU925" s="885"/>
      <c r="FV925" s="885"/>
      <c r="FW925" s="885"/>
      <c r="FX925" s="885"/>
      <c r="FY925" s="885"/>
      <c r="FZ925" s="885"/>
      <c r="GA925" s="885"/>
      <c r="GB925" s="885"/>
      <c r="GC925" s="885"/>
      <c r="GD925" s="885"/>
      <c r="GE925" s="885"/>
      <c r="GF925" s="885"/>
      <c r="GG925" s="885"/>
      <c r="GH925" s="885"/>
      <c r="GI925" s="885"/>
      <c r="GJ925" s="885"/>
      <c r="GK925" s="885"/>
      <c r="GL925" s="885"/>
      <c r="GM925" s="885"/>
      <c r="GN925" s="885"/>
      <c r="GO925" s="885"/>
      <c r="GP925" s="885"/>
      <c r="GQ925" s="885"/>
      <c r="GR925" s="885"/>
      <c r="GS925" s="885"/>
      <c r="GT925" s="885"/>
      <c r="GU925" s="885"/>
      <c r="GV925" s="885"/>
      <c r="GW925" s="885"/>
      <c r="GX925" s="885"/>
      <c r="GY925" s="885"/>
      <c r="GZ925" s="885"/>
      <c r="HA925" s="885"/>
      <c r="HB925" s="885"/>
      <c r="HC925" s="885"/>
      <c r="HD925" s="885"/>
      <c r="HE925" s="885"/>
      <c r="HF925" s="885"/>
      <c r="HG925" s="885"/>
      <c r="HH925" s="885"/>
      <c r="HI925" s="885"/>
      <c r="HJ925" s="885"/>
      <c r="HK925" s="885"/>
      <c r="HL925" s="885"/>
      <c r="HM925" s="885"/>
      <c r="HN925" s="885"/>
      <c r="HO925" s="885"/>
      <c r="HP925" s="885"/>
      <c r="HQ925" s="885"/>
      <c r="HR925" s="885"/>
      <c r="HS925" s="885"/>
      <c r="HT925" s="885"/>
      <c r="HU925" s="885"/>
      <c r="HV925" s="885"/>
      <c r="HW925" s="885"/>
      <c r="HX925" s="885"/>
      <c r="HY925" s="885"/>
      <c r="HZ925" s="885"/>
      <c r="IA925" s="885"/>
      <c r="IB925" s="885"/>
      <c r="IC925" s="885"/>
      <c r="ID925" s="885"/>
      <c r="IE925" s="885"/>
      <c r="IF925" s="885"/>
      <c r="IG925" s="885"/>
      <c r="IH925" s="885"/>
      <c r="II925" s="885"/>
      <c r="IJ925" s="885"/>
      <c r="IK925" s="885"/>
      <c r="IL925" s="885"/>
      <c r="IM925" s="885"/>
      <c r="IN925" s="885"/>
      <c r="IO925" s="885"/>
      <c r="IP925" s="885"/>
      <c r="IQ925" s="885"/>
      <c r="IR925" s="885"/>
      <c r="IS925" s="885"/>
      <c r="IT925" s="885"/>
      <c r="IU925" s="885"/>
      <c r="IV925" s="885"/>
      <c r="IW925" s="885"/>
      <c r="IX925" s="885"/>
    </row>
    <row r="926" spans="1:258" x14ac:dyDescent="0.25">
      <c r="A926" s="125">
        <f t="shared" ref="A926:A989" si="118">A925+1</f>
        <v>886</v>
      </c>
      <c r="B926" s="885"/>
      <c r="C926" s="927" t="s">
        <v>10471</v>
      </c>
      <c r="D926" s="928"/>
      <c r="E926" s="928"/>
      <c r="F926" s="136"/>
      <c r="I926" s="885"/>
      <c r="J926" s="885"/>
      <c r="K926" s="885"/>
      <c r="L926" s="885"/>
      <c r="M926" s="885"/>
      <c r="N926" s="885"/>
      <c r="O926" s="885"/>
      <c r="P926" s="885"/>
      <c r="Q926" s="885"/>
      <c r="R926" s="885"/>
      <c r="S926" s="885"/>
      <c r="T926" s="885"/>
      <c r="U926" s="885"/>
      <c r="V926" s="885"/>
      <c r="W926" s="885"/>
      <c r="X926" s="885"/>
      <c r="Y926" s="885"/>
      <c r="Z926" s="885"/>
      <c r="AA926" s="885"/>
      <c r="AB926" s="885"/>
      <c r="AC926" s="885"/>
      <c r="AD926" s="885"/>
      <c r="AE926" s="885"/>
      <c r="AF926" s="885"/>
      <c r="AG926" s="885"/>
      <c r="AH926" s="885"/>
      <c r="AI926" s="885"/>
      <c r="AJ926" s="885"/>
      <c r="AK926" s="885"/>
      <c r="AL926" s="885"/>
      <c r="AM926" s="885"/>
      <c r="AN926" s="885"/>
      <c r="AO926" s="885"/>
      <c r="AP926" s="885"/>
      <c r="AQ926" s="885"/>
      <c r="AR926" s="885"/>
      <c r="AS926" s="885"/>
      <c r="AT926" s="885"/>
      <c r="AU926" s="885"/>
      <c r="AV926" s="885"/>
      <c r="AW926" s="885"/>
      <c r="AX926" s="885"/>
      <c r="AY926" s="885"/>
      <c r="AZ926" s="885"/>
      <c r="BA926" s="885"/>
      <c r="BB926" s="885"/>
      <c r="BC926" s="885"/>
      <c r="BD926" s="885"/>
      <c r="BE926" s="885"/>
      <c r="BF926" s="885"/>
      <c r="BG926" s="885"/>
      <c r="BH926" s="885"/>
      <c r="BI926" s="885"/>
      <c r="BJ926" s="885"/>
      <c r="BK926" s="885"/>
      <c r="BL926" s="885"/>
      <c r="BM926" s="885"/>
      <c r="BN926" s="885"/>
      <c r="BO926" s="885"/>
      <c r="BP926" s="885"/>
      <c r="BQ926" s="885"/>
      <c r="BR926" s="885"/>
      <c r="BS926" s="885"/>
      <c r="BT926" s="885"/>
      <c r="BU926" s="885"/>
      <c r="BV926" s="885"/>
      <c r="BW926" s="885"/>
      <c r="BX926" s="885"/>
      <c r="BY926" s="885"/>
      <c r="BZ926" s="885"/>
      <c r="CA926" s="885"/>
      <c r="CB926" s="885"/>
      <c r="CC926" s="885"/>
      <c r="CD926" s="885"/>
      <c r="CE926" s="885"/>
      <c r="CF926" s="885"/>
      <c r="CG926" s="885"/>
      <c r="CH926" s="885"/>
      <c r="CI926" s="885"/>
      <c r="CJ926" s="885"/>
      <c r="CK926" s="885"/>
      <c r="CL926" s="885"/>
      <c r="CM926" s="885"/>
      <c r="CN926" s="885"/>
      <c r="CO926" s="885"/>
      <c r="CP926" s="885"/>
      <c r="CQ926" s="885"/>
      <c r="CR926" s="885"/>
      <c r="CS926" s="885"/>
      <c r="CT926" s="885"/>
      <c r="CU926" s="885"/>
      <c r="CV926" s="885"/>
      <c r="CW926" s="885"/>
      <c r="CX926" s="885"/>
      <c r="CY926" s="885"/>
      <c r="CZ926" s="885"/>
      <c r="DA926" s="885"/>
      <c r="DB926" s="885"/>
      <c r="DC926" s="885"/>
      <c r="DD926" s="885"/>
      <c r="DE926" s="885"/>
      <c r="DF926" s="885"/>
      <c r="DG926" s="885"/>
      <c r="DH926" s="885"/>
      <c r="DI926" s="885"/>
      <c r="DJ926" s="885"/>
      <c r="DK926" s="885"/>
      <c r="DL926" s="885"/>
      <c r="DM926" s="885"/>
      <c r="DN926" s="885"/>
      <c r="DO926" s="885"/>
      <c r="DP926" s="885"/>
      <c r="DQ926" s="885"/>
      <c r="DR926" s="885"/>
      <c r="DS926" s="885"/>
      <c r="DT926" s="885"/>
      <c r="DU926" s="885"/>
      <c r="DV926" s="885"/>
      <c r="DW926" s="885"/>
      <c r="DX926" s="885"/>
      <c r="DY926" s="885"/>
      <c r="DZ926" s="885"/>
      <c r="EA926" s="885"/>
      <c r="EB926" s="885"/>
      <c r="EC926" s="885"/>
      <c r="ED926" s="885"/>
      <c r="EE926" s="885"/>
      <c r="EF926" s="885"/>
      <c r="EG926" s="885"/>
      <c r="EH926" s="885"/>
      <c r="EI926" s="885"/>
      <c r="EJ926" s="885"/>
      <c r="EK926" s="885"/>
      <c r="EL926" s="885"/>
      <c r="EM926" s="885"/>
      <c r="EN926" s="885"/>
      <c r="EO926" s="885"/>
      <c r="EP926" s="885"/>
      <c r="EQ926" s="885"/>
      <c r="ER926" s="885"/>
      <c r="ES926" s="885"/>
      <c r="ET926" s="885"/>
      <c r="EU926" s="885"/>
      <c r="EV926" s="885"/>
      <c r="EW926" s="885"/>
      <c r="EX926" s="885"/>
      <c r="EY926" s="885"/>
      <c r="EZ926" s="885"/>
      <c r="FA926" s="885"/>
      <c r="FB926" s="885"/>
      <c r="FC926" s="885"/>
      <c r="FD926" s="885"/>
      <c r="FE926" s="885"/>
      <c r="FF926" s="885"/>
      <c r="FG926" s="885"/>
      <c r="FH926" s="885"/>
      <c r="FI926" s="885"/>
      <c r="FJ926" s="885"/>
      <c r="FK926" s="885"/>
      <c r="FL926" s="885"/>
      <c r="FM926" s="885"/>
      <c r="FN926" s="885"/>
      <c r="FO926" s="885"/>
      <c r="FP926" s="885"/>
      <c r="FQ926" s="885"/>
      <c r="FR926" s="885"/>
      <c r="FS926" s="885"/>
      <c r="FT926" s="885"/>
      <c r="FU926" s="885"/>
      <c r="FV926" s="885"/>
      <c r="FW926" s="885"/>
      <c r="FX926" s="885"/>
      <c r="FY926" s="885"/>
      <c r="FZ926" s="885"/>
      <c r="GA926" s="885"/>
      <c r="GB926" s="885"/>
      <c r="GC926" s="885"/>
      <c r="GD926" s="885"/>
      <c r="GE926" s="885"/>
      <c r="GF926" s="885"/>
      <c r="GG926" s="885"/>
      <c r="GH926" s="885"/>
      <c r="GI926" s="885"/>
      <c r="GJ926" s="885"/>
      <c r="GK926" s="885"/>
      <c r="GL926" s="885"/>
      <c r="GM926" s="885"/>
      <c r="GN926" s="885"/>
      <c r="GO926" s="885"/>
      <c r="GP926" s="885"/>
      <c r="GQ926" s="885"/>
      <c r="GR926" s="885"/>
      <c r="GS926" s="885"/>
      <c r="GT926" s="885"/>
      <c r="GU926" s="885"/>
      <c r="GV926" s="885"/>
      <c r="GW926" s="885"/>
      <c r="GX926" s="885"/>
      <c r="GY926" s="885"/>
      <c r="GZ926" s="885"/>
      <c r="HA926" s="885"/>
      <c r="HB926" s="885"/>
      <c r="HC926" s="885"/>
      <c r="HD926" s="885"/>
      <c r="HE926" s="885"/>
      <c r="HF926" s="885"/>
      <c r="HG926" s="885"/>
      <c r="HH926" s="885"/>
      <c r="HI926" s="885"/>
      <c r="HJ926" s="885"/>
      <c r="HK926" s="885"/>
      <c r="HL926" s="885"/>
      <c r="HM926" s="885"/>
      <c r="HN926" s="885"/>
      <c r="HO926" s="885"/>
      <c r="HP926" s="885"/>
      <c r="HQ926" s="885"/>
      <c r="HR926" s="885"/>
      <c r="HS926" s="885"/>
      <c r="HT926" s="885"/>
      <c r="HU926" s="885"/>
      <c r="HV926" s="885"/>
      <c r="HW926" s="885"/>
      <c r="HX926" s="885"/>
      <c r="HY926" s="885"/>
      <c r="HZ926" s="885"/>
      <c r="IA926" s="885"/>
      <c r="IB926" s="885"/>
      <c r="IC926" s="885"/>
      <c r="ID926" s="885"/>
      <c r="IE926" s="885"/>
      <c r="IF926" s="885"/>
      <c r="IG926" s="885"/>
      <c r="IH926" s="885"/>
      <c r="II926" s="885"/>
      <c r="IJ926" s="885"/>
      <c r="IK926" s="885"/>
      <c r="IL926" s="885"/>
      <c r="IM926" s="885"/>
      <c r="IN926" s="885"/>
      <c r="IO926" s="885"/>
      <c r="IP926" s="885"/>
      <c r="IQ926" s="885"/>
      <c r="IR926" s="885"/>
      <c r="IS926" s="885"/>
      <c r="IT926" s="885"/>
      <c r="IU926" s="885"/>
      <c r="IV926" s="885"/>
      <c r="IW926" s="885"/>
      <c r="IX926" s="885"/>
    </row>
    <row r="927" spans="1:258" x14ac:dyDescent="0.25">
      <c r="A927" s="125">
        <f t="shared" si="118"/>
        <v>887</v>
      </c>
      <c r="B927" s="954"/>
      <c r="C927" s="842" t="s">
        <v>11532</v>
      </c>
      <c r="D927" s="924">
        <v>0</v>
      </c>
      <c r="E927" s="924">
        <f t="shared" si="117"/>
        <v>0</v>
      </c>
      <c r="F927" s="136">
        <v>0</v>
      </c>
      <c r="I927" s="954"/>
      <c r="J927" s="954"/>
      <c r="K927" s="954"/>
      <c r="L927" s="954"/>
      <c r="M927" s="954"/>
      <c r="N927" s="954"/>
      <c r="O927" s="954"/>
      <c r="P927" s="954"/>
      <c r="Q927" s="954"/>
      <c r="R927" s="954"/>
      <c r="S927" s="954"/>
      <c r="T927" s="954"/>
      <c r="U927" s="954"/>
      <c r="V927" s="954"/>
      <c r="W927" s="954"/>
      <c r="X927" s="954"/>
      <c r="Y927" s="954"/>
      <c r="Z927" s="954"/>
      <c r="AA927" s="954"/>
      <c r="AB927" s="954"/>
      <c r="AC927" s="954"/>
      <c r="AD927" s="954"/>
      <c r="AE927" s="954"/>
      <c r="AF927" s="954"/>
      <c r="AG927" s="954"/>
      <c r="AH927" s="954"/>
      <c r="AI927" s="954"/>
      <c r="AJ927" s="954"/>
      <c r="AK927" s="954"/>
      <c r="AL927" s="954"/>
      <c r="AM927" s="954"/>
      <c r="AN927" s="954"/>
      <c r="AO927" s="954"/>
      <c r="AP927" s="954"/>
      <c r="AQ927" s="954"/>
      <c r="AR927" s="954"/>
      <c r="AS927" s="954"/>
      <c r="AT927" s="954"/>
      <c r="AU927" s="954"/>
      <c r="AV927" s="954"/>
      <c r="AW927" s="954"/>
      <c r="AX927" s="954"/>
      <c r="AY927" s="954"/>
      <c r="AZ927" s="954"/>
      <c r="BA927" s="954"/>
      <c r="BB927" s="954"/>
      <c r="BC927" s="954"/>
      <c r="BD927" s="954"/>
      <c r="BE927" s="954"/>
      <c r="BF927" s="954"/>
      <c r="BG927" s="954"/>
      <c r="BH927" s="954"/>
      <c r="BI927" s="954"/>
      <c r="BJ927" s="954"/>
      <c r="BK927" s="954"/>
      <c r="BL927" s="954"/>
      <c r="BM927" s="954"/>
      <c r="BN927" s="954"/>
      <c r="BO927" s="954"/>
      <c r="BP927" s="954"/>
      <c r="BQ927" s="954"/>
      <c r="BR927" s="954"/>
      <c r="BS927" s="954"/>
      <c r="BT927" s="954"/>
      <c r="BU927" s="954"/>
      <c r="BV927" s="954"/>
      <c r="BW927" s="954"/>
      <c r="BX927" s="954"/>
      <c r="BY927" s="954"/>
      <c r="BZ927" s="954"/>
      <c r="CA927" s="954"/>
      <c r="CB927" s="954"/>
      <c r="CC927" s="954"/>
      <c r="CD927" s="954"/>
      <c r="CE927" s="954"/>
      <c r="CF927" s="954"/>
      <c r="CG927" s="954"/>
      <c r="CH927" s="954"/>
      <c r="CI927" s="954"/>
      <c r="CJ927" s="954"/>
      <c r="CK927" s="954"/>
      <c r="CL927" s="954"/>
      <c r="CM927" s="954"/>
      <c r="CN927" s="954"/>
      <c r="CO927" s="954"/>
      <c r="CP927" s="954"/>
      <c r="CQ927" s="954"/>
      <c r="CR927" s="954"/>
      <c r="CS927" s="954"/>
      <c r="CT927" s="954"/>
      <c r="CU927" s="954"/>
      <c r="CV927" s="954"/>
      <c r="CW927" s="954"/>
      <c r="CX927" s="954"/>
      <c r="CY927" s="954"/>
      <c r="CZ927" s="954"/>
      <c r="DA927" s="954"/>
      <c r="DB927" s="954"/>
      <c r="DC927" s="954"/>
      <c r="DD927" s="954"/>
      <c r="DE927" s="954"/>
      <c r="DF927" s="954"/>
      <c r="DG927" s="954"/>
      <c r="DH927" s="954"/>
      <c r="DI927" s="954"/>
      <c r="DJ927" s="954"/>
      <c r="DK927" s="954"/>
      <c r="DL927" s="954"/>
      <c r="DM927" s="954"/>
      <c r="DN927" s="954"/>
      <c r="DO927" s="954"/>
      <c r="DP927" s="954"/>
      <c r="DQ927" s="954"/>
      <c r="DR927" s="954"/>
      <c r="DS927" s="954"/>
      <c r="DT927" s="954"/>
      <c r="DU927" s="954"/>
      <c r="DV927" s="954"/>
      <c r="DW927" s="954"/>
      <c r="DX927" s="954"/>
      <c r="DY927" s="954"/>
      <c r="DZ927" s="954"/>
      <c r="EA927" s="954"/>
      <c r="EB927" s="954"/>
      <c r="EC927" s="954"/>
      <c r="ED927" s="954"/>
      <c r="EE927" s="954"/>
      <c r="EF927" s="954"/>
      <c r="EG927" s="954"/>
      <c r="EH927" s="954"/>
      <c r="EI927" s="954"/>
      <c r="EJ927" s="954"/>
      <c r="EK927" s="954"/>
      <c r="EL927" s="954"/>
      <c r="EM927" s="954"/>
      <c r="EN927" s="954"/>
      <c r="EO927" s="954"/>
      <c r="EP927" s="954"/>
      <c r="EQ927" s="954"/>
      <c r="ER927" s="954"/>
      <c r="ES927" s="954"/>
      <c r="ET927" s="954"/>
      <c r="EU927" s="954"/>
      <c r="EV927" s="954"/>
      <c r="EW927" s="954"/>
      <c r="EX927" s="954"/>
      <c r="EY927" s="954"/>
      <c r="EZ927" s="954"/>
      <c r="FA927" s="954"/>
      <c r="FB927" s="954"/>
      <c r="FC927" s="954"/>
      <c r="FD927" s="954"/>
      <c r="FE927" s="954"/>
      <c r="FF927" s="954"/>
      <c r="FG927" s="954"/>
      <c r="FH927" s="954"/>
      <c r="FI927" s="954"/>
      <c r="FJ927" s="954"/>
      <c r="FK927" s="954"/>
      <c r="FL927" s="954"/>
      <c r="FM927" s="954"/>
      <c r="FN927" s="954"/>
      <c r="FO927" s="954"/>
      <c r="FP927" s="954"/>
      <c r="FQ927" s="954"/>
      <c r="FR927" s="954"/>
      <c r="FS927" s="954"/>
      <c r="FT927" s="954"/>
      <c r="FU927" s="954"/>
      <c r="FV927" s="954"/>
      <c r="FW927" s="954"/>
      <c r="FX927" s="954"/>
      <c r="FY927" s="954"/>
      <c r="FZ927" s="954"/>
      <c r="GA927" s="954"/>
      <c r="GB927" s="954"/>
      <c r="GC927" s="954"/>
      <c r="GD927" s="954"/>
      <c r="GE927" s="954"/>
      <c r="GF927" s="954"/>
      <c r="GG927" s="954"/>
      <c r="GH927" s="954"/>
      <c r="GI927" s="954"/>
      <c r="GJ927" s="954"/>
      <c r="GK927" s="954"/>
      <c r="GL927" s="954"/>
      <c r="GM927" s="954"/>
      <c r="GN927" s="954"/>
      <c r="GO927" s="954"/>
      <c r="GP927" s="954"/>
      <c r="GQ927" s="954"/>
      <c r="GR927" s="954"/>
      <c r="GS927" s="954"/>
      <c r="GT927" s="954"/>
      <c r="GU927" s="954"/>
      <c r="GV927" s="954"/>
      <c r="GW927" s="954"/>
      <c r="GX927" s="954"/>
      <c r="GY927" s="954"/>
      <c r="GZ927" s="954"/>
      <c r="HA927" s="954"/>
      <c r="HB927" s="954"/>
      <c r="HC927" s="954"/>
      <c r="HD927" s="954"/>
      <c r="HE927" s="954"/>
      <c r="HF927" s="954"/>
      <c r="HG927" s="954"/>
      <c r="HH927" s="954"/>
      <c r="HI927" s="954"/>
      <c r="HJ927" s="954"/>
      <c r="HK927" s="954"/>
      <c r="HL927" s="954"/>
      <c r="HM927" s="954"/>
      <c r="HN927" s="954"/>
      <c r="HO927" s="954"/>
      <c r="HP927" s="954"/>
      <c r="HQ927" s="954"/>
      <c r="HR927" s="954"/>
      <c r="HS927" s="954"/>
      <c r="HT927" s="954"/>
      <c r="HU927" s="954"/>
      <c r="HV927" s="954"/>
      <c r="HW927" s="954"/>
      <c r="HX927" s="954"/>
      <c r="HY927" s="954"/>
      <c r="HZ927" s="954"/>
      <c r="IA927" s="954"/>
      <c r="IB927" s="954"/>
      <c r="IC927" s="954"/>
      <c r="ID927" s="954"/>
      <c r="IE927" s="954"/>
      <c r="IF927" s="954"/>
      <c r="IG927" s="954"/>
      <c r="IH927" s="954"/>
      <c r="II927" s="954"/>
      <c r="IJ927" s="954"/>
      <c r="IK927" s="954"/>
      <c r="IL927" s="954"/>
      <c r="IM927" s="954"/>
      <c r="IN927" s="954"/>
      <c r="IO927" s="954"/>
      <c r="IP927" s="954"/>
      <c r="IQ927" s="954"/>
      <c r="IR927" s="954"/>
      <c r="IS927" s="954"/>
      <c r="IT927" s="954"/>
      <c r="IU927" s="954"/>
      <c r="IV927" s="954"/>
      <c r="IW927" s="954"/>
      <c r="IX927" s="954"/>
    </row>
    <row r="928" spans="1:258" x14ac:dyDescent="0.25">
      <c r="A928" s="125">
        <f t="shared" si="118"/>
        <v>888</v>
      </c>
      <c r="B928" s="885"/>
      <c r="C928" s="842" t="s">
        <v>10509</v>
      </c>
      <c r="D928" s="924">
        <v>0</v>
      </c>
      <c r="E928" s="924">
        <f t="shared" si="117"/>
        <v>0</v>
      </c>
      <c r="F928" s="136">
        <v>500</v>
      </c>
      <c r="G928" s="122" t="s">
        <v>1963</v>
      </c>
      <c r="I928" s="885"/>
      <c r="J928" s="885"/>
      <c r="K928" s="885"/>
      <c r="L928" s="885"/>
      <c r="M928" s="885"/>
      <c r="N928" s="885"/>
      <c r="O928" s="885"/>
      <c r="P928" s="885"/>
      <c r="Q928" s="885"/>
      <c r="R928" s="885"/>
      <c r="S928" s="885"/>
      <c r="T928" s="885"/>
      <c r="U928" s="885"/>
      <c r="V928" s="885"/>
      <c r="W928" s="885"/>
      <c r="X928" s="885"/>
      <c r="Y928" s="885"/>
      <c r="Z928" s="885"/>
      <c r="AA928" s="885"/>
      <c r="AB928" s="885"/>
      <c r="AC928" s="885"/>
      <c r="AD928" s="885"/>
      <c r="AE928" s="885"/>
      <c r="AF928" s="885"/>
      <c r="AG928" s="885"/>
      <c r="AH928" s="885"/>
      <c r="AI928" s="885"/>
      <c r="AJ928" s="885"/>
      <c r="AK928" s="885"/>
      <c r="AL928" s="885"/>
      <c r="AM928" s="885"/>
      <c r="AN928" s="885"/>
      <c r="AO928" s="885"/>
      <c r="AP928" s="885"/>
      <c r="AQ928" s="885"/>
      <c r="AR928" s="885"/>
      <c r="AS928" s="885"/>
      <c r="AT928" s="885"/>
      <c r="AU928" s="885"/>
      <c r="AV928" s="885"/>
      <c r="AW928" s="885"/>
      <c r="AX928" s="885"/>
      <c r="AY928" s="885"/>
      <c r="AZ928" s="885"/>
      <c r="BA928" s="885"/>
      <c r="BB928" s="885"/>
      <c r="BC928" s="885"/>
      <c r="BD928" s="885"/>
      <c r="BE928" s="885"/>
      <c r="BF928" s="885"/>
      <c r="BG928" s="885"/>
      <c r="BH928" s="885"/>
      <c r="BI928" s="885"/>
      <c r="BJ928" s="885"/>
      <c r="BK928" s="885"/>
      <c r="BL928" s="885"/>
      <c r="BM928" s="885"/>
      <c r="BN928" s="885"/>
      <c r="BO928" s="885"/>
      <c r="BP928" s="885"/>
      <c r="BQ928" s="885"/>
      <c r="BR928" s="885"/>
      <c r="BS928" s="885"/>
      <c r="BT928" s="885"/>
      <c r="BU928" s="885"/>
      <c r="BV928" s="885"/>
      <c r="BW928" s="885"/>
      <c r="BX928" s="885"/>
      <c r="BY928" s="885"/>
      <c r="BZ928" s="885"/>
      <c r="CA928" s="885"/>
      <c r="CB928" s="885"/>
      <c r="CC928" s="885"/>
      <c r="CD928" s="885"/>
      <c r="CE928" s="885"/>
      <c r="CF928" s="885"/>
      <c r="CG928" s="885"/>
      <c r="CH928" s="885"/>
      <c r="CI928" s="885"/>
      <c r="CJ928" s="885"/>
      <c r="CK928" s="885"/>
      <c r="CL928" s="885"/>
      <c r="CM928" s="885"/>
      <c r="CN928" s="885"/>
      <c r="CO928" s="885"/>
      <c r="CP928" s="885"/>
      <c r="CQ928" s="885"/>
      <c r="CR928" s="885"/>
      <c r="CS928" s="885"/>
      <c r="CT928" s="885"/>
      <c r="CU928" s="885"/>
      <c r="CV928" s="885"/>
      <c r="CW928" s="885"/>
      <c r="CX928" s="885"/>
      <c r="CY928" s="885"/>
      <c r="CZ928" s="885"/>
      <c r="DA928" s="885"/>
      <c r="DB928" s="885"/>
      <c r="DC928" s="885"/>
      <c r="DD928" s="885"/>
      <c r="DE928" s="885"/>
      <c r="DF928" s="885"/>
      <c r="DG928" s="885"/>
      <c r="DH928" s="885"/>
      <c r="DI928" s="885"/>
      <c r="DJ928" s="885"/>
      <c r="DK928" s="885"/>
      <c r="DL928" s="885"/>
      <c r="DM928" s="885"/>
      <c r="DN928" s="885"/>
      <c r="DO928" s="885"/>
      <c r="DP928" s="885"/>
      <c r="DQ928" s="885"/>
      <c r="DR928" s="885"/>
      <c r="DS928" s="885"/>
      <c r="DT928" s="885"/>
      <c r="DU928" s="885"/>
      <c r="DV928" s="885"/>
      <c r="DW928" s="885"/>
      <c r="DX928" s="885"/>
      <c r="DY928" s="885"/>
      <c r="DZ928" s="885"/>
      <c r="EA928" s="885"/>
      <c r="EB928" s="885"/>
      <c r="EC928" s="885"/>
      <c r="ED928" s="885"/>
      <c r="EE928" s="885"/>
      <c r="EF928" s="885"/>
      <c r="EG928" s="885"/>
      <c r="EH928" s="885"/>
      <c r="EI928" s="885"/>
      <c r="EJ928" s="885"/>
      <c r="EK928" s="885"/>
      <c r="EL928" s="885"/>
      <c r="EM928" s="885"/>
      <c r="EN928" s="885"/>
      <c r="EO928" s="885"/>
      <c r="EP928" s="885"/>
      <c r="EQ928" s="885"/>
      <c r="ER928" s="885"/>
      <c r="ES928" s="885"/>
      <c r="ET928" s="885"/>
      <c r="EU928" s="885"/>
      <c r="EV928" s="885"/>
      <c r="EW928" s="885"/>
      <c r="EX928" s="885"/>
      <c r="EY928" s="885"/>
      <c r="EZ928" s="885"/>
      <c r="FA928" s="885"/>
      <c r="FB928" s="885"/>
      <c r="FC928" s="885"/>
      <c r="FD928" s="885"/>
      <c r="FE928" s="885"/>
      <c r="FF928" s="885"/>
      <c r="FG928" s="885"/>
      <c r="FH928" s="885"/>
      <c r="FI928" s="885"/>
      <c r="FJ928" s="885"/>
      <c r="FK928" s="885"/>
      <c r="FL928" s="885"/>
      <c r="FM928" s="885"/>
      <c r="FN928" s="885"/>
      <c r="FO928" s="885"/>
      <c r="FP928" s="885"/>
      <c r="FQ928" s="885"/>
      <c r="FR928" s="885"/>
      <c r="FS928" s="885"/>
      <c r="FT928" s="885"/>
      <c r="FU928" s="885"/>
      <c r="FV928" s="885"/>
      <c r="FW928" s="885"/>
      <c r="FX928" s="885"/>
      <c r="FY928" s="885"/>
      <c r="FZ928" s="885"/>
      <c r="GA928" s="885"/>
      <c r="GB928" s="885"/>
      <c r="GC928" s="885"/>
      <c r="GD928" s="885"/>
      <c r="GE928" s="885"/>
      <c r="GF928" s="885"/>
      <c r="GG928" s="885"/>
      <c r="GH928" s="885"/>
      <c r="GI928" s="885"/>
      <c r="GJ928" s="885"/>
      <c r="GK928" s="885"/>
      <c r="GL928" s="885"/>
      <c r="GM928" s="885"/>
      <c r="GN928" s="885"/>
      <c r="GO928" s="885"/>
      <c r="GP928" s="885"/>
      <c r="GQ928" s="885"/>
      <c r="GR928" s="885"/>
      <c r="GS928" s="885"/>
      <c r="GT928" s="885"/>
      <c r="GU928" s="885"/>
      <c r="GV928" s="885"/>
      <c r="GW928" s="885"/>
      <c r="GX928" s="885"/>
      <c r="GY928" s="885"/>
      <c r="GZ928" s="885"/>
      <c r="HA928" s="885"/>
      <c r="HB928" s="885"/>
      <c r="HC928" s="885"/>
      <c r="HD928" s="885"/>
      <c r="HE928" s="885"/>
      <c r="HF928" s="885"/>
      <c r="HG928" s="885"/>
      <c r="HH928" s="885"/>
      <c r="HI928" s="885"/>
      <c r="HJ928" s="885"/>
      <c r="HK928" s="885"/>
      <c r="HL928" s="885"/>
      <c r="HM928" s="885"/>
      <c r="HN928" s="885"/>
      <c r="HO928" s="885"/>
      <c r="HP928" s="885"/>
      <c r="HQ928" s="885"/>
      <c r="HR928" s="885"/>
      <c r="HS928" s="885"/>
      <c r="HT928" s="885"/>
      <c r="HU928" s="885"/>
      <c r="HV928" s="885"/>
      <c r="HW928" s="885"/>
      <c r="HX928" s="885"/>
      <c r="HY928" s="885"/>
      <c r="HZ928" s="885"/>
      <c r="IA928" s="885"/>
      <c r="IB928" s="885"/>
      <c r="IC928" s="885"/>
      <c r="ID928" s="885"/>
      <c r="IE928" s="885"/>
      <c r="IF928" s="885"/>
      <c r="IG928" s="885"/>
      <c r="IH928" s="885"/>
      <c r="II928" s="885"/>
      <c r="IJ928" s="885"/>
      <c r="IK928" s="885"/>
      <c r="IL928" s="885"/>
      <c r="IM928" s="885"/>
      <c r="IN928" s="885"/>
      <c r="IO928" s="885"/>
      <c r="IP928" s="885"/>
      <c r="IQ928" s="885"/>
      <c r="IR928" s="885"/>
      <c r="IS928" s="885"/>
      <c r="IT928" s="885"/>
      <c r="IU928" s="885"/>
      <c r="IV928" s="885"/>
      <c r="IW928" s="885"/>
      <c r="IX928" s="885"/>
    </row>
    <row r="929" spans="1:258" ht="31.5" x14ac:dyDescent="0.25">
      <c r="A929" s="125">
        <f t="shared" si="118"/>
        <v>889</v>
      </c>
      <c r="B929" s="885"/>
      <c r="C929" s="842" t="s">
        <v>10510</v>
      </c>
      <c r="D929" s="924">
        <v>0</v>
      </c>
      <c r="E929" s="924">
        <f t="shared" si="117"/>
        <v>0</v>
      </c>
      <c r="F929" s="136">
        <v>500</v>
      </c>
      <c r="G929" s="122" t="s">
        <v>1963</v>
      </c>
      <c r="I929" s="885"/>
      <c r="J929" s="885"/>
      <c r="K929" s="885"/>
      <c r="L929" s="885"/>
      <c r="M929" s="885"/>
      <c r="N929" s="885"/>
      <c r="O929" s="885"/>
      <c r="P929" s="885"/>
      <c r="Q929" s="885"/>
      <c r="R929" s="885"/>
      <c r="S929" s="885"/>
      <c r="T929" s="885"/>
      <c r="U929" s="885"/>
      <c r="V929" s="885"/>
      <c r="W929" s="885"/>
      <c r="X929" s="885"/>
      <c r="Y929" s="885"/>
      <c r="Z929" s="885"/>
      <c r="AA929" s="885"/>
      <c r="AB929" s="885"/>
      <c r="AC929" s="885"/>
      <c r="AD929" s="885"/>
      <c r="AE929" s="885"/>
      <c r="AF929" s="885"/>
      <c r="AG929" s="885"/>
      <c r="AH929" s="885"/>
      <c r="AI929" s="885"/>
      <c r="AJ929" s="885"/>
      <c r="AK929" s="885"/>
      <c r="AL929" s="885"/>
      <c r="AM929" s="885"/>
      <c r="AN929" s="885"/>
      <c r="AO929" s="885"/>
      <c r="AP929" s="885"/>
      <c r="AQ929" s="885"/>
      <c r="AR929" s="885"/>
      <c r="AS929" s="885"/>
      <c r="AT929" s="885"/>
      <c r="AU929" s="885"/>
      <c r="AV929" s="885"/>
      <c r="AW929" s="885"/>
      <c r="AX929" s="885"/>
      <c r="AY929" s="885"/>
      <c r="AZ929" s="885"/>
      <c r="BA929" s="885"/>
      <c r="BB929" s="885"/>
      <c r="BC929" s="885"/>
      <c r="BD929" s="885"/>
      <c r="BE929" s="885"/>
      <c r="BF929" s="885"/>
      <c r="BG929" s="885"/>
      <c r="BH929" s="885"/>
      <c r="BI929" s="885"/>
      <c r="BJ929" s="885"/>
      <c r="BK929" s="885"/>
      <c r="BL929" s="885"/>
      <c r="BM929" s="885"/>
      <c r="BN929" s="885"/>
      <c r="BO929" s="885"/>
      <c r="BP929" s="885"/>
      <c r="BQ929" s="885"/>
      <c r="BR929" s="885"/>
      <c r="BS929" s="885"/>
      <c r="BT929" s="885"/>
      <c r="BU929" s="885"/>
      <c r="BV929" s="885"/>
      <c r="BW929" s="885"/>
      <c r="BX929" s="885"/>
      <c r="BY929" s="885"/>
      <c r="BZ929" s="885"/>
      <c r="CA929" s="885"/>
      <c r="CB929" s="885"/>
      <c r="CC929" s="885"/>
      <c r="CD929" s="885"/>
      <c r="CE929" s="885"/>
      <c r="CF929" s="885"/>
      <c r="CG929" s="885"/>
      <c r="CH929" s="885"/>
      <c r="CI929" s="885"/>
      <c r="CJ929" s="885"/>
      <c r="CK929" s="885"/>
      <c r="CL929" s="885"/>
      <c r="CM929" s="885"/>
      <c r="CN929" s="885"/>
      <c r="CO929" s="885"/>
      <c r="CP929" s="885"/>
      <c r="CQ929" s="885"/>
      <c r="CR929" s="885"/>
      <c r="CS929" s="885"/>
      <c r="CT929" s="885"/>
      <c r="CU929" s="885"/>
      <c r="CV929" s="885"/>
      <c r="CW929" s="885"/>
      <c r="CX929" s="885"/>
      <c r="CY929" s="885"/>
      <c r="CZ929" s="885"/>
      <c r="DA929" s="885"/>
      <c r="DB929" s="885"/>
      <c r="DC929" s="885"/>
      <c r="DD929" s="885"/>
      <c r="DE929" s="885"/>
      <c r="DF929" s="885"/>
      <c r="DG929" s="885"/>
      <c r="DH929" s="885"/>
      <c r="DI929" s="885"/>
      <c r="DJ929" s="885"/>
      <c r="DK929" s="885"/>
      <c r="DL929" s="885"/>
      <c r="DM929" s="885"/>
      <c r="DN929" s="885"/>
      <c r="DO929" s="885"/>
      <c r="DP929" s="885"/>
      <c r="DQ929" s="885"/>
      <c r="DR929" s="885"/>
      <c r="DS929" s="885"/>
      <c r="DT929" s="885"/>
      <c r="DU929" s="885"/>
      <c r="DV929" s="885"/>
      <c r="DW929" s="885"/>
      <c r="DX929" s="885"/>
      <c r="DY929" s="885"/>
      <c r="DZ929" s="885"/>
      <c r="EA929" s="885"/>
      <c r="EB929" s="885"/>
      <c r="EC929" s="885"/>
      <c r="ED929" s="885"/>
      <c r="EE929" s="885"/>
      <c r="EF929" s="885"/>
      <c r="EG929" s="885"/>
      <c r="EH929" s="885"/>
      <c r="EI929" s="885"/>
      <c r="EJ929" s="885"/>
      <c r="EK929" s="885"/>
      <c r="EL929" s="885"/>
      <c r="EM929" s="885"/>
      <c r="EN929" s="885"/>
      <c r="EO929" s="885"/>
      <c r="EP929" s="885"/>
      <c r="EQ929" s="885"/>
      <c r="ER929" s="885"/>
      <c r="ES929" s="885"/>
      <c r="ET929" s="885"/>
      <c r="EU929" s="885"/>
      <c r="EV929" s="885"/>
      <c r="EW929" s="885"/>
      <c r="EX929" s="885"/>
      <c r="EY929" s="885"/>
      <c r="EZ929" s="885"/>
      <c r="FA929" s="885"/>
      <c r="FB929" s="885"/>
      <c r="FC929" s="885"/>
      <c r="FD929" s="885"/>
      <c r="FE929" s="885"/>
      <c r="FF929" s="885"/>
      <c r="FG929" s="885"/>
      <c r="FH929" s="885"/>
      <c r="FI929" s="885"/>
      <c r="FJ929" s="885"/>
      <c r="FK929" s="885"/>
      <c r="FL929" s="885"/>
      <c r="FM929" s="885"/>
      <c r="FN929" s="885"/>
      <c r="FO929" s="885"/>
      <c r="FP929" s="885"/>
      <c r="FQ929" s="885"/>
      <c r="FR929" s="885"/>
      <c r="FS929" s="885"/>
      <c r="FT929" s="885"/>
      <c r="FU929" s="885"/>
      <c r="FV929" s="885"/>
      <c r="FW929" s="885"/>
      <c r="FX929" s="885"/>
      <c r="FY929" s="885"/>
      <c r="FZ929" s="885"/>
      <c r="GA929" s="885"/>
      <c r="GB929" s="885"/>
      <c r="GC929" s="885"/>
      <c r="GD929" s="885"/>
      <c r="GE929" s="885"/>
      <c r="GF929" s="885"/>
      <c r="GG929" s="885"/>
      <c r="GH929" s="885"/>
      <c r="GI929" s="885"/>
      <c r="GJ929" s="885"/>
      <c r="GK929" s="885"/>
      <c r="GL929" s="885"/>
      <c r="GM929" s="885"/>
      <c r="GN929" s="885"/>
      <c r="GO929" s="885"/>
      <c r="GP929" s="885"/>
      <c r="GQ929" s="885"/>
      <c r="GR929" s="885"/>
      <c r="GS929" s="885"/>
      <c r="GT929" s="885"/>
      <c r="GU929" s="885"/>
      <c r="GV929" s="885"/>
      <c r="GW929" s="885"/>
      <c r="GX929" s="885"/>
      <c r="GY929" s="885"/>
      <c r="GZ929" s="885"/>
      <c r="HA929" s="885"/>
      <c r="HB929" s="885"/>
      <c r="HC929" s="885"/>
      <c r="HD929" s="885"/>
      <c r="HE929" s="885"/>
      <c r="HF929" s="885"/>
      <c r="HG929" s="885"/>
      <c r="HH929" s="885"/>
      <c r="HI929" s="885"/>
      <c r="HJ929" s="885"/>
      <c r="HK929" s="885"/>
      <c r="HL929" s="885"/>
      <c r="HM929" s="885"/>
      <c r="HN929" s="885"/>
      <c r="HO929" s="885"/>
      <c r="HP929" s="885"/>
      <c r="HQ929" s="885"/>
      <c r="HR929" s="885"/>
      <c r="HS929" s="885"/>
      <c r="HT929" s="885"/>
      <c r="HU929" s="885"/>
      <c r="HV929" s="885"/>
      <c r="HW929" s="885"/>
      <c r="HX929" s="885"/>
      <c r="HY929" s="885"/>
      <c r="HZ929" s="885"/>
      <c r="IA929" s="885"/>
      <c r="IB929" s="885"/>
      <c r="IC929" s="885"/>
      <c r="ID929" s="885"/>
      <c r="IE929" s="885"/>
      <c r="IF929" s="885"/>
      <c r="IG929" s="885"/>
      <c r="IH929" s="885"/>
      <c r="II929" s="885"/>
      <c r="IJ929" s="885"/>
      <c r="IK929" s="885"/>
      <c r="IL929" s="885"/>
      <c r="IM929" s="885"/>
      <c r="IN929" s="885"/>
      <c r="IO929" s="885"/>
      <c r="IP929" s="885"/>
      <c r="IQ929" s="885"/>
      <c r="IR929" s="885"/>
      <c r="IS929" s="885"/>
      <c r="IT929" s="885"/>
      <c r="IU929" s="885"/>
      <c r="IV929" s="885"/>
      <c r="IW929" s="885"/>
      <c r="IX929" s="885"/>
    </row>
    <row r="930" spans="1:258" x14ac:dyDescent="0.25">
      <c r="A930" s="125">
        <f t="shared" si="118"/>
        <v>890</v>
      </c>
      <c r="B930" s="885"/>
      <c r="C930" s="842" t="s">
        <v>7931</v>
      </c>
      <c r="D930" s="924">
        <v>0</v>
      </c>
      <c r="E930" s="924">
        <f t="shared" si="117"/>
        <v>0</v>
      </c>
      <c r="F930" s="136">
        <v>500</v>
      </c>
      <c r="G930" s="122" t="s">
        <v>1963</v>
      </c>
      <c r="I930" s="885"/>
      <c r="J930" s="885"/>
      <c r="K930" s="885"/>
      <c r="L930" s="885"/>
      <c r="M930" s="885"/>
      <c r="N930" s="885"/>
      <c r="O930" s="885"/>
      <c r="P930" s="885"/>
      <c r="Q930" s="885"/>
      <c r="R930" s="885"/>
      <c r="S930" s="885"/>
      <c r="T930" s="885"/>
      <c r="U930" s="885"/>
      <c r="V930" s="885"/>
      <c r="W930" s="885"/>
      <c r="X930" s="885"/>
      <c r="Y930" s="885"/>
      <c r="Z930" s="885"/>
      <c r="AA930" s="885"/>
      <c r="AB930" s="885"/>
      <c r="AC930" s="885"/>
      <c r="AD930" s="885"/>
      <c r="AE930" s="885"/>
      <c r="AF930" s="885"/>
      <c r="AG930" s="885"/>
      <c r="AH930" s="885"/>
      <c r="AI930" s="885"/>
      <c r="AJ930" s="885"/>
      <c r="AK930" s="885"/>
      <c r="AL930" s="885"/>
      <c r="AM930" s="885"/>
      <c r="AN930" s="885"/>
      <c r="AO930" s="885"/>
      <c r="AP930" s="885"/>
      <c r="AQ930" s="885"/>
      <c r="AR930" s="885"/>
      <c r="AS930" s="885"/>
      <c r="AT930" s="885"/>
      <c r="AU930" s="885"/>
      <c r="AV930" s="885"/>
      <c r="AW930" s="885"/>
      <c r="AX930" s="885"/>
      <c r="AY930" s="885"/>
      <c r="AZ930" s="885"/>
      <c r="BA930" s="885"/>
      <c r="BB930" s="885"/>
      <c r="BC930" s="885"/>
      <c r="BD930" s="885"/>
      <c r="BE930" s="885"/>
      <c r="BF930" s="885"/>
      <c r="BG930" s="885"/>
      <c r="BH930" s="885"/>
      <c r="BI930" s="885"/>
      <c r="BJ930" s="885"/>
      <c r="BK930" s="885"/>
      <c r="BL930" s="885"/>
      <c r="BM930" s="885"/>
      <c r="BN930" s="885"/>
      <c r="BO930" s="885"/>
      <c r="BP930" s="885"/>
      <c r="BQ930" s="885"/>
      <c r="BR930" s="885"/>
      <c r="BS930" s="885"/>
      <c r="BT930" s="885"/>
      <c r="BU930" s="885"/>
      <c r="BV930" s="885"/>
      <c r="BW930" s="885"/>
      <c r="BX930" s="885"/>
      <c r="BY930" s="885"/>
      <c r="BZ930" s="885"/>
      <c r="CA930" s="885"/>
      <c r="CB930" s="885"/>
      <c r="CC930" s="885"/>
      <c r="CD930" s="885"/>
      <c r="CE930" s="885"/>
      <c r="CF930" s="885"/>
      <c r="CG930" s="885"/>
      <c r="CH930" s="885"/>
      <c r="CI930" s="885"/>
      <c r="CJ930" s="885"/>
      <c r="CK930" s="885"/>
      <c r="CL930" s="885"/>
      <c r="CM930" s="885"/>
      <c r="CN930" s="885"/>
      <c r="CO930" s="885"/>
      <c r="CP930" s="885"/>
      <c r="CQ930" s="885"/>
      <c r="CR930" s="885"/>
      <c r="CS930" s="885"/>
      <c r="CT930" s="885"/>
      <c r="CU930" s="885"/>
      <c r="CV930" s="885"/>
      <c r="CW930" s="885"/>
      <c r="CX930" s="885"/>
      <c r="CY930" s="885"/>
      <c r="CZ930" s="885"/>
      <c r="DA930" s="885"/>
      <c r="DB930" s="885"/>
      <c r="DC930" s="885"/>
      <c r="DD930" s="885"/>
      <c r="DE930" s="885"/>
      <c r="DF930" s="885"/>
      <c r="DG930" s="885"/>
      <c r="DH930" s="885"/>
      <c r="DI930" s="885"/>
      <c r="DJ930" s="885"/>
      <c r="DK930" s="885"/>
      <c r="DL930" s="885"/>
      <c r="DM930" s="885"/>
      <c r="DN930" s="885"/>
      <c r="DO930" s="885"/>
      <c r="DP930" s="885"/>
      <c r="DQ930" s="885"/>
      <c r="DR930" s="885"/>
      <c r="DS930" s="885"/>
      <c r="DT930" s="885"/>
      <c r="DU930" s="885"/>
      <c r="DV930" s="885"/>
      <c r="DW930" s="885"/>
      <c r="DX930" s="885"/>
      <c r="DY930" s="885"/>
      <c r="DZ930" s="885"/>
      <c r="EA930" s="885"/>
      <c r="EB930" s="885"/>
      <c r="EC930" s="885"/>
      <c r="ED930" s="885"/>
      <c r="EE930" s="885"/>
      <c r="EF930" s="885"/>
      <c r="EG930" s="885"/>
      <c r="EH930" s="885"/>
      <c r="EI930" s="885"/>
      <c r="EJ930" s="885"/>
      <c r="EK930" s="885"/>
      <c r="EL930" s="885"/>
      <c r="EM930" s="885"/>
      <c r="EN930" s="885"/>
      <c r="EO930" s="885"/>
      <c r="EP930" s="885"/>
      <c r="EQ930" s="885"/>
      <c r="ER930" s="885"/>
      <c r="ES930" s="885"/>
      <c r="ET930" s="885"/>
      <c r="EU930" s="885"/>
      <c r="EV930" s="885"/>
      <c r="EW930" s="885"/>
      <c r="EX930" s="885"/>
      <c r="EY930" s="885"/>
      <c r="EZ930" s="885"/>
      <c r="FA930" s="885"/>
      <c r="FB930" s="885"/>
      <c r="FC930" s="885"/>
      <c r="FD930" s="885"/>
      <c r="FE930" s="885"/>
      <c r="FF930" s="885"/>
      <c r="FG930" s="885"/>
      <c r="FH930" s="885"/>
      <c r="FI930" s="885"/>
      <c r="FJ930" s="885"/>
      <c r="FK930" s="885"/>
      <c r="FL930" s="885"/>
      <c r="FM930" s="885"/>
      <c r="FN930" s="885"/>
      <c r="FO930" s="885"/>
      <c r="FP930" s="885"/>
      <c r="FQ930" s="885"/>
      <c r="FR930" s="885"/>
      <c r="FS930" s="885"/>
      <c r="FT930" s="885"/>
      <c r="FU930" s="885"/>
      <c r="FV930" s="885"/>
      <c r="FW930" s="885"/>
      <c r="FX930" s="885"/>
      <c r="FY930" s="885"/>
      <c r="FZ930" s="885"/>
      <c r="GA930" s="885"/>
      <c r="GB930" s="885"/>
      <c r="GC930" s="885"/>
      <c r="GD930" s="885"/>
      <c r="GE930" s="885"/>
      <c r="GF930" s="885"/>
      <c r="GG930" s="885"/>
      <c r="GH930" s="885"/>
      <c r="GI930" s="885"/>
      <c r="GJ930" s="885"/>
      <c r="GK930" s="885"/>
      <c r="GL930" s="885"/>
      <c r="GM930" s="885"/>
      <c r="GN930" s="885"/>
      <c r="GO930" s="885"/>
      <c r="GP930" s="885"/>
      <c r="GQ930" s="885"/>
      <c r="GR930" s="885"/>
      <c r="GS930" s="885"/>
      <c r="GT930" s="885"/>
      <c r="GU930" s="885"/>
      <c r="GV930" s="885"/>
      <c r="GW930" s="885"/>
      <c r="GX930" s="885"/>
      <c r="GY930" s="885"/>
      <c r="GZ930" s="885"/>
      <c r="HA930" s="885"/>
      <c r="HB930" s="885"/>
      <c r="HC930" s="885"/>
      <c r="HD930" s="885"/>
      <c r="HE930" s="885"/>
      <c r="HF930" s="885"/>
      <c r="HG930" s="885"/>
      <c r="HH930" s="885"/>
      <c r="HI930" s="885"/>
      <c r="HJ930" s="885"/>
      <c r="HK930" s="885"/>
      <c r="HL930" s="885"/>
      <c r="HM930" s="885"/>
      <c r="HN930" s="885"/>
      <c r="HO930" s="885"/>
      <c r="HP930" s="885"/>
      <c r="HQ930" s="885"/>
      <c r="HR930" s="885"/>
      <c r="HS930" s="885"/>
      <c r="HT930" s="885"/>
      <c r="HU930" s="885"/>
      <c r="HV930" s="885"/>
      <c r="HW930" s="885"/>
      <c r="HX930" s="885"/>
      <c r="HY930" s="885"/>
      <c r="HZ930" s="885"/>
      <c r="IA930" s="885"/>
      <c r="IB930" s="885"/>
      <c r="IC930" s="885"/>
      <c r="ID930" s="885"/>
      <c r="IE930" s="885"/>
      <c r="IF930" s="885"/>
      <c r="IG930" s="885"/>
      <c r="IH930" s="885"/>
      <c r="II930" s="885"/>
      <c r="IJ930" s="885"/>
      <c r="IK930" s="885"/>
      <c r="IL930" s="885"/>
      <c r="IM930" s="885"/>
      <c r="IN930" s="885"/>
      <c r="IO930" s="885"/>
      <c r="IP930" s="885"/>
      <c r="IQ930" s="885"/>
      <c r="IR930" s="885"/>
      <c r="IS930" s="885"/>
      <c r="IT930" s="885"/>
      <c r="IU930" s="885"/>
      <c r="IV930" s="885"/>
      <c r="IW930" s="885"/>
      <c r="IX930" s="885"/>
    </row>
    <row r="931" spans="1:258" x14ac:dyDescent="0.25">
      <c r="A931" s="125">
        <f t="shared" si="118"/>
        <v>891</v>
      </c>
      <c r="B931" s="885"/>
      <c r="C931" s="842" t="s">
        <v>10511</v>
      </c>
      <c r="D931" s="924">
        <v>0</v>
      </c>
      <c r="E931" s="924">
        <f t="shared" si="117"/>
        <v>0</v>
      </c>
      <c r="F931" s="136">
        <v>500</v>
      </c>
      <c r="G931" s="122" t="s">
        <v>1963</v>
      </c>
      <c r="I931" s="885"/>
      <c r="J931" s="885"/>
      <c r="K931" s="885"/>
      <c r="L931" s="885"/>
      <c r="M931" s="885"/>
      <c r="N931" s="885"/>
      <c r="O931" s="885"/>
      <c r="P931" s="885"/>
      <c r="Q931" s="885"/>
      <c r="R931" s="885"/>
      <c r="S931" s="885"/>
      <c r="T931" s="885"/>
      <c r="U931" s="885"/>
      <c r="V931" s="885"/>
      <c r="W931" s="885"/>
      <c r="X931" s="885"/>
      <c r="Y931" s="885"/>
      <c r="Z931" s="885"/>
      <c r="AA931" s="885"/>
      <c r="AB931" s="885"/>
      <c r="AC931" s="885"/>
      <c r="AD931" s="885"/>
      <c r="AE931" s="885"/>
      <c r="AF931" s="885"/>
      <c r="AG931" s="885"/>
      <c r="AH931" s="885"/>
      <c r="AI931" s="885"/>
      <c r="AJ931" s="885"/>
      <c r="AK931" s="885"/>
      <c r="AL931" s="885"/>
      <c r="AM931" s="885"/>
      <c r="AN931" s="885"/>
      <c r="AO931" s="885"/>
      <c r="AP931" s="885"/>
      <c r="AQ931" s="885"/>
      <c r="AR931" s="885"/>
      <c r="AS931" s="885"/>
      <c r="AT931" s="885"/>
      <c r="AU931" s="885"/>
      <c r="AV931" s="885"/>
      <c r="AW931" s="885"/>
      <c r="AX931" s="885"/>
      <c r="AY931" s="885"/>
      <c r="AZ931" s="885"/>
      <c r="BA931" s="885"/>
      <c r="BB931" s="885"/>
      <c r="BC931" s="885"/>
      <c r="BD931" s="885"/>
      <c r="BE931" s="885"/>
      <c r="BF931" s="885"/>
      <c r="BG931" s="885"/>
      <c r="BH931" s="885"/>
      <c r="BI931" s="885"/>
      <c r="BJ931" s="885"/>
      <c r="BK931" s="885"/>
      <c r="BL931" s="885"/>
      <c r="BM931" s="885"/>
      <c r="BN931" s="885"/>
      <c r="BO931" s="885"/>
      <c r="BP931" s="885"/>
      <c r="BQ931" s="885"/>
      <c r="BR931" s="885"/>
      <c r="BS931" s="885"/>
      <c r="BT931" s="885"/>
      <c r="BU931" s="885"/>
      <c r="BV931" s="885"/>
      <c r="BW931" s="885"/>
      <c r="BX931" s="885"/>
      <c r="BY931" s="885"/>
      <c r="BZ931" s="885"/>
      <c r="CA931" s="885"/>
      <c r="CB931" s="885"/>
      <c r="CC931" s="885"/>
      <c r="CD931" s="885"/>
      <c r="CE931" s="885"/>
      <c r="CF931" s="885"/>
      <c r="CG931" s="885"/>
      <c r="CH931" s="885"/>
      <c r="CI931" s="885"/>
      <c r="CJ931" s="885"/>
      <c r="CK931" s="885"/>
      <c r="CL931" s="885"/>
      <c r="CM931" s="885"/>
      <c r="CN931" s="885"/>
      <c r="CO931" s="885"/>
      <c r="CP931" s="885"/>
      <c r="CQ931" s="885"/>
      <c r="CR931" s="885"/>
      <c r="CS931" s="885"/>
      <c r="CT931" s="885"/>
      <c r="CU931" s="885"/>
      <c r="CV931" s="885"/>
      <c r="CW931" s="885"/>
      <c r="CX931" s="885"/>
      <c r="CY931" s="885"/>
      <c r="CZ931" s="885"/>
      <c r="DA931" s="885"/>
      <c r="DB931" s="885"/>
      <c r="DC931" s="885"/>
      <c r="DD931" s="885"/>
      <c r="DE931" s="885"/>
      <c r="DF931" s="885"/>
      <c r="DG931" s="885"/>
      <c r="DH931" s="885"/>
      <c r="DI931" s="885"/>
      <c r="DJ931" s="885"/>
      <c r="DK931" s="885"/>
      <c r="DL931" s="885"/>
      <c r="DM931" s="885"/>
      <c r="DN931" s="885"/>
      <c r="DO931" s="885"/>
      <c r="DP931" s="885"/>
      <c r="DQ931" s="885"/>
      <c r="DR931" s="885"/>
      <c r="DS931" s="885"/>
      <c r="DT931" s="885"/>
      <c r="DU931" s="885"/>
      <c r="DV931" s="885"/>
      <c r="DW931" s="885"/>
      <c r="DX931" s="885"/>
      <c r="DY931" s="885"/>
      <c r="DZ931" s="885"/>
      <c r="EA931" s="885"/>
      <c r="EB931" s="885"/>
      <c r="EC931" s="885"/>
      <c r="ED931" s="885"/>
      <c r="EE931" s="885"/>
      <c r="EF931" s="885"/>
      <c r="EG931" s="885"/>
      <c r="EH931" s="885"/>
      <c r="EI931" s="885"/>
      <c r="EJ931" s="885"/>
      <c r="EK931" s="885"/>
      <c r="EL931" s="885"/>
      <c r="EM931" s="885"/>
      <c r="EN931" s="885"/>
      <c r="EO931" s="885"/>
      <c r="EP931" s="885"/>
      <c r="EQ931" s="885"/>
      <c r="ER931" s="885"/>
      <c r="ES931" s="885"/>
      <c r="ET931" s="885"/>
      <c r="EU931" s="885"/>
      <c r="EV931" s="885"/>
      <c r="EW931" s="885"/>
      <c r="EX931" s="885"/>
      <c r="EY931" s="885"/>
      <c r="EZ931" s="885"/>
      <c r="FA931" s="885"/>
      <c r="FB931" s="885"/>
      <c r="FC931" s="885"/>
      <c r="FD931" s="885"/>
      <c r="FE931" s="885"/>
      <c r="FF931" s="885"/>
      <c r="FG931" s="885"/>
      <c r="FH931" s="885"/>
      <c r="FI931" s="885"/>
      <c r="FJ931" s="885"/>
      <c r="FK931" s="885"/>
      <c r="FL931" s="885"/>
      <c r="FM931" s="885"/>
      <c r="FN931" s="885"/>
      <c r="FO931" s="885"/>
      <c r="FP931" s="885"/>
      <c r="FQ931" s="885"/>
      <c r="FR931" s="885"/>
      <c r="FS931" s="885"/>
      <c r="FT931" s="885"/>
      <c r="FU931" s="885"/>
      <c r="FV931" s="885"/>
      <c r="FW931" s="885"/>
      <c r="FX931" s="885"/>
      <c r="FY931" s="885"/>
      <c r="FZ931" s="885"/>
      <c r="GA931" s="885"/>
      <c r="GB931" s="885"/>
      <c r="GC931" s="885"/>
      <c r="GD931" s="885"/>
      <c r="GE931" s="885"/>
      <c r="GF931" s="885"/>
      <c r="GG931" s="885"/>
      <c r="GH931" s="885"/>
      <c r="GI931" s="885"/>
      <c r="GJ931" s="885"/>
      <c r="GK931" s="885"/>
      <c r="GL931" s="885"/>
      <c r="GM931" s="885"/>
      <c r="GN931" s="885"/>
      <c r="GO931" s="885"/>
      <c r="GP931" s="885"/>
      <c r="GQ931" s="885"/>
      <c r="GR931" s="885"/>
      <c r="GS931" s="885"/>
      <c r="GT931" s="885"/>
      <c r="GU931" s="885"/>
      <c r="GV931" s="885"/>
      <c r="GW931" s="885"/>
      <c r="GX931" s="885"/>
      <c r="GY931" s="885"/>
      <c r="GZ931" s="885"/>
      <c r="HA931" s="885"/>
      <c r="HB931" s="885"/>
      <c r="HC931" s="885"/>
      <c r="HD931" s="885"/>
      <c r="HE931" s="885"/>
      <c r="HF931" s="885"/>
      <c r="HG931" s="885"/>
      <c r="HH931" s="885"/>
      <c r="HI931" s="885"/>
      <c r="HJ931" s="885"/>
      <c r="HK931" s="885"/>
      <c r="HL931" s="885"/>
      <c r="HM931" s="885"/>
      <c r="HN931" s="885"/>
      <c r="HO931" s="885"/>
      <c r="HP931" s="885"/>
      <c r="HQ931" s="885"/>
      <c r="HR931" s="885"/>
      <c r="HS931" s="885"/>
      <c r="HT931" s="885"/>
      <c r="HU931" s="885"/>
      <c r="HV931" s="885"/>
      <c r="HW931" s="885"/>
      <c r="HX931" s="885"/>
      <c r="HY931" s="885"/>
      <c r="HZ931" s="885"/>
      <c r="IA931" s="885"/>
      <c r="IB931" s="885"/>
      <c r="IC931" s="885"/>
      <c r="ID931" s="885"/>
      <c r="IE931" s="885"/>
      <c r="IF931" s="885"/>
      <c r="IG931" s="885"/>
      <c r="IH931" s="885"/>
      <c r="II931" s="885"/>
      <c r="IJ931" s="885"/>
      <c r="IK931" s="885"/>
      <c r="IL931" s="885"/>
      <c r="IM931" s="885"/>
      <c r="IN931" s="885"/>
      <c r="IO931" s="885"/>
      <c r="IP931" s="885"/>
      <c r="IQ931" s="885"/>
      <c r="IR931" s="885"/>
      <c r="IS931" s="885"/>
      <c r="IT931" s="885"/>
      <c r="IU931" s="885"/>
      <c r="IV931" s="885"/>
      <c r="IW931" s="885"/>
      <c r="IX931" s="885"/>
    </row>
    <row r="932" spans="1:258" x14ac:dyDescent="0.25">
      <c r="A932" s="125">
        <f t="shared" si="118"/>
        <v>892</v>
      </c>
      <c r="B932" s="885"/>
      <c r="C932" s="927" t="s">
        <v>10472</v>
      </c>
      <c r="D932" s="928"/>
      <c r="E932" s="928"/>
      <c r="F932" s="136"/>
      <c r="I932" s="885"/>
      <c r="J932" s="885"/>
      <c r="K932" s="885"/>
      <c r="L932" s="885"/>
      <c r="M932" s="885"/>
      <c r="N932" s="885"/>
      <c r="O932" s="885"/>
      <c r="P932" s="885"/>
      <c r="Q932" s="885"/>
      <c r="R932" s="885"/>
      <c r="S932" s="885"/>
      <c r="T932" s="885"/>
      <c r="U932" s="885"/>
      <c r="V932" s="885"/>
      <c r="W932" s="885"/>
      <c r="X932" s="885"/>
      <c r="Y932" s="885"/>
      <c r="Z932" s="885"/>
      <c r="AA932" s="885"/>
      <c r="AB932" s="885"/>
      <c r="AC932" s="885"/>
      <c r="AD932" s="885"/>
      <c r="AE932" s="885"/>
      <c r="AF932" s="885"/>
      <c r="AG932" s="885"/>
      <c r="AH932" s="885"/>
      <c r="AI932" s="885"/>
      <c r="AJ932" s="885"/>
      <c r="AK932" s="885"/>
      <c r="AL932" s="885"/>
      <c r="AM932" s="885"/>
      <c r="AN932" s="885"/>
      <c r="AO932" s="885"/>
      <c r="AP932" s="885"/>
      <c r="AQ932" s="885"/>
      <c r="AR932" s="885"/>
      <c r="AS932" s="885"/>
      <c r="AT932" s="885"/>
      <c r="AU932" s="885"/>
      <c r="AV932" s="885"/>
      <c r="AW932" s="885"/>
      <c r="AX932" s="885"/>
      <c r="AY932" s="885"/>
      <c r="AZ932" s="885"/>
      <c r="BA932" s="885"/>
      <c r="BB932" s="885"/>
      <c r="BC932" s="885"/>
      <c r="BD932" s="885"/>
      <c r="BE932" s="885"/>
      <c r="BF932" s="885"/>
      <c r="BG932" s="885"/>
      <c r="BH932" s="885"/>
      <c r="BI932" s="885"/>
      <c r="BJ932" s="885"/>
      <c r="BK932" s="885"/>
      <c r="BL932" s="885"/>
      <c r="BM932" s="885"/>
      <c r="BN932" s="885"/>
      <c r="BO932" s="885"/>
      <c r="BP932" s="885"/>
      <c r="BQ932" s="885"/>
      <c r="BR932" s="885"/>
      <c r="BS932" s="885"/>
      <c r="BT932" s="885"/>
      <c r="BU932" s="885"/>
      <c r="BV932" s="885"/>
      <c r="BW932" s="885"/>
      <c r="BX932" s="885"/>
      <c r="BY932" s="885"/>
      <c r="BZ932" s="885"/>
      <c r="CA932" s="885"/>
      <c r="CB932" s="885"/>
      <c r="CC932" s="885"/>
      <c r="CD932" s="885"/>
      <c r="CE932" s="885"/>
      <c r="CF932" s="885"/>
      <c r="CG932" s="885"/>
      <c r="CH932" s="885"/>
      <c r="CI932" s="885"/>
      <c r="CJ932" s="885"/>
      <c r="CK932" s="885"/>
      <c r="CL932" s="885"/>
      <c r="CM932" s="885"/>
      <c r="CN932" s="885"/>
      <c r="CO932" s="885"/>
      <c r="CP932" s="885"/>
      <c r="CQ932" s="885"/>
      <c r="CR932" s="885"/>
      <c r="CS932" s="885"/>
      <c r="CT932" s="885"/>
      <c r="CU932" s="885"/>
      <c r="CV932" s="885"/>
      <c r="CW932" s="885"/>
      <c r="CX932" s="885"/>
      <c r="CY932" s="885"/>
      <c r="CZ932" s="885"/>
      <c r="DA932" s="885"/>
      <c r="DB932" s="885"/>
      <c r="DC932" s="885"/>
      <c r="DD932" s="885"/>
      <c r="DE932" s="885"/>
      <c r="DF932" s="885"/>
      <c r="DG932" s="885"/>
      <c r="DH932" s="885"/>
      <c r="DI932" s="885"/>
      <c r="DJ932" s="885"/>
      <c r="DK932" s="885"/>
      <c r="DL932" s="885"/>
      <c r="DM932" s="885"/>
      <c r="DN932" s="885"/>
      <c r="DO932" s="885"/>
      <c r="DP932" s="885"/>
      <c r="DQ932" s="885"/>
      <c r="DR932" s="885"/>
      <c r="DS932" s="885"/>
      <c r="DT932" s="885"/>
      <c r="DU932" s="885"/>
      <c r="DV932" s="885"/>
      <c r="DW932" s="885"/>
      <c r="DX932" s="885"/>
      <c r="DY932" s="885"/>
      <c r="DZ932" s="885"/>
      <c r="EA932" s="885"/>
      <c r="EB932" s="885"/>
      <c r="EC932" s="885"/>
      <c r="ED932" s="885"/>
      <c r="EE932" s="885"/>
      <c r="EF932" s="885"/>
      <c r="EG932" s="885"/>
      <c r="EH932" s="885"/>
      <c r="EI932" s="885"/>
      <c r="EJ932" s="885"/>
      <c r="EK932" s="885"/>
      <c r="EL932" s="885"/>
      <c r="EM932" s="885"/>
      <c r="EN932" s="885"/>
      <c r="EO932" s="885"/>
      <c r="EP932" s="885"/>
      <c r="EQ932" s="885"/>
      <c r="ER932" s="885"/>
      <c r="ES932" s="885"/>
      <c r="ET932" s="885"/>
      <c r="EU932" s="885"/>
      <c r="EV932" s="885"/>
      <c r="EW932" s="885"/>
      <c r="EX932" s="885"/>
      <c r="EY932" s="885"/>
      <c r="EZ932" s="885"/>
      <c r="FA932" s="885"/>
      <c r="FB932" s="885"/>
      <c r="FC932" s="885"/>
      <c r="FD932" s="885"/>
      <c r="FE932" s="885"/>
      <c r="FF932" s="885"/>
      <c r="FG932" s="885"/>
      <c r="FH932" s="885"/>
      <c r="FI932" s="885"/>
      <c r="FJ932" s="885"/>
      <c r="FK932" s="885"/>
      <c r="FL932" s="885"/>
      <c r="FM932" s="885"/>
      <c r="FN932" s="885"/>
      <c r="FO932" s="885"/>
      <c r="FP932" s="885"/>
      <c r="FQ932" s="885"/>
      <c r="FR932" s="885"/>
      <c r="FS932" s="885"/>
      <c r="FT932" s="885"/>
      <c r="FU932" s="885"/>
      <c r="FV932" s="885"/>
      <c r="FW932" s="885"/>
      <c r="FX932" s="885"/>
      <c r="FY932" s="885"/>
      <c r="FZ932" s="885"/>
      <c r="GA932" s="885"/>
      <c r="GB932" s="885"/>
      <c r="GC932" s="885"/>
      <c r="GD932" s="885"/>
      <c r="GE932" s="885"/>
      <c r="GF932" s="885"/>
      <c r="GG932" s="885"/>
      <c r="GH932" s="885"/>
      <c r="GI932" s="885"/>
      <c r="GJ932" s="885"/>
      <c r="GK932" s="885"/>
      <c r="GL932" s="885"/>
      <c r="GM932" s="885"/>
      <c r="GN932" s="885"/>
      <c r="GO932" s="885"/>
      <c r="GP932" s="885"/>
      <c r="GQ932" s="885"/>
      <c r="GR932" s="885"/>
      <c r="GS932" s="885"/>
      <c r="GT932" s="885"/>
      <c r="GU932" s="885"/>
      <c r="GV932" s="885"/>
      <c r="GW932" s="885"/>
      <c r="GX932" s="885"/>
      <c r="GY932" s="885"/>
      <c r="GZ932" s="885"/>
      <c r="HA932" s="885"/>
      <c r="HB932" s="885"/>
      <c r="HC932" s="885"/>
      <c r="HD932" s="885"/>
      <c r="HE932" s="885"/>
      <c r="HF932" s="885"/>
      <c r="HG932" s="885"/>
      <c r="HH932" s="885"/>
      <c r="HI932" s="885"/>
      <c r="HJ932" s="885"/>
      <c r="HK932" s="885"/>
      <c r="HL932" s="885"/>
      <c r="HM932" s="885"/>
      <c r="HN932" s="885"/>
      <c r="HO932" s="885"/>
      <c r="HP932" s="885"/>
      <c r="HQ932" s="885"/>
      <c r="HR932" s="885"/>
      <c r="HS932" s="885"/>
      <c r="HT932" s="885"/>
      <c r="HU932" s="885"/>
      <c r="HV932" s="885"/>
      <c r="HW932" s="885"/>
      <c r="HX932" s="885"/>
      <c r="HY932" s="885"/>
      <c r="HZ932" s="885"/>
      <c r="IA932" s="885"/>
      <c r="IB932" s="885"/>
      <c r="IC932" s="885"/>
      <c r="ID932" s="885"/>
      <c r="IE932" s="885"/>
      <c r="IF932" s="885"/>
      <c r="IG932" s="885"/>
      <c r="IH932" s="885"/>
      <c r="II932" s="885"/>
      <c r="IJ932" s="885"/>
      <c r="IK932" s="885"/>
      <c r="IL932" s="885"/>
      <c r="IM932" s="885"/>
      <c r="IN932" s="885"/>
      <c r="IO932" s="885"/>
      <c r="IP932" s="885"/>
      <c r="IQ932" s="885"/>
      <c r="IR932" s="885"/>
      <c r="IS932" s="885"/>
      <c r="IT932" s="885"/>
      <c r="IU932" s="885"/>
      <c r="IV932" s="885"/>
      <c r="IW932" s="885"/>
      <c r="IX932" s="885"/>
    </row>
    <row r="933" spans="1:258" x14ac:dyDescent="0.25">
      <c r="A933" s="125">
        <f t="shared" si="118"/>
        <v>893</v>
      </c>
      <c r="B933" s="954"/>
      <c r="C933" s="842" t="s">
        <v>11532</v>
      </c>
      <c r="D933" s="924">
        <v>0</v>
      </c>
      <c r="E933" s="924">
        <f t="shared" si="117"/>
        <v>0</v>
      </c>
      <c r="F933" s="136">
        <v>0</v>
      </c>
      <c r="I933" s="954"/>
      <c r="J933" s="954"/>
      <c r="K933" s="954"/>
      <c r="L933" s="954"/>
      <c r="M933" s="954"/>
      <c r="N933" s="954"/>
      <c r="O933" s="954"/>
      <c r="P933" s="954"/>
      <c r="Q933" s="954"/>
      <c r="R933" s="954"/>
      <c r="S933" s="954"/>
      <c r="T933" s="954"/>
      <c r="U933" s="954"/>
      <c r="V933" s="954"/>
      <c r="W933" s="954"/>
      <c r="X933" s="954"/>
      <c r="Y933" s="954"/>
      <c r="Z933" s="954"/>
      <c r="AA933" s="954"/>
      <c r="AB933" s="954"/>
      <c r="AC933" s="954"/>
      <c r="AD933" s="954"/>
      <c r="AE933" s="954"/>
      <c r="AF933" s="954"/>
      <c r="AG933" s="954"/>
      <c r="AH933" s="954"/>
      <c r="AI933" s="954"/>
      <c r="AJ933" s="954"/>
      <c r="AK933" s="954"/>
      <c r="AL933" s="954"/>
      <c r="AM933" s="954"/>
      <c r="AN933" s="954"/>
      <c r="AO933" s="954"/>
      <c r="AP933" s="954"/>
      <c r="AQ933" s="954"/>
      <c r="AR933" s="954"/>
      <c r="AS933" s="954"/>
      <c r="AT933" s="954"/>
      <c r="AU933" s="954"/>
      <c r="AV933" s="954"/>
      <c r="AW933" s="954"/>
      <c r="AX933" s="954"/>
      <c r="AY933" s="954"/>
      <c r="AZ933" s="954"/>
      <c r="BA933" s="954"/>
      <c r="BB933" s="954"/>
      <c r="BC933" s="954"/>
      <c r="BD933" s="954"/>
      <c r="BE933" s="954"/>
      <c r="BF933" s="954"/>
      <c r="BG933" s="954"/>
      <c r="BH933" s="954"/>
      <c r="BI933" s="954"/>
      <c r="BJ933" s="954"/>
      <c r="BK933" s="954"/>
      <c r="BL933" s="954"/>
      <c r="BM933" s="954"/>
      <c r="BN933" s="954"/>
      <c r="BO933" s="954"/>
      <c r="BP933" s="954"/>
      <c r="BQ933" s="954"/>
      <c r="BR933" s="954"/>
      <c r="BS933" s="954"/>
      <c r="BT933" s="954"/>
      <c r="BU933" s="954"/>
      <c r="BV933" s="954"/>
      <c r="BW933" s="954"/>
      <c r="BX933" s="954"/>
      <c r="BY933" s="954"/>
      <c r="BZ933" s="954"/>
      <c r="CA933" s="954"/>
      <c r="CB933" s="954"/>
      <c r="CC933" s="954"/>
      <c r="CD933" s="954"/>
      <c r="CE933" s="954"/>
      <c r="CF933" s="954"/>
      <c r="CG933" s="954"/>
      <c r="CH933" s="954"/>
      <c r="CI933" s="954"/>
      <c r="CJ933" s="954"/>
      <c r="CK933" s="954"/>
      <c r="CL933" s="954"/>
      <c r="CM933" s="954"/>
      <c r="CN933" s="954"/>
      <c r="CO933" s="954"/>
      <c r="CP933" s="954"/>
      <c r="CQ933" s="954"/>
      <c r="CR933" s="954"/>
      <c r="CS933" s="954"/>
      <c r="CT933" s="954"/>
      <c r="CU933" s="954"/>
      <c r="CV933" s="954"/>
      <c r="CW933" s="954"/>
      <c r="CX933" s="954"/>
      <c r="CY933" s="954"/>
      <c r="CZ933" s="954"/>
      <c r="DA933" s="954"/>
      <c r="DB933" s="954"/>
      <c r="DC933" s="954"/>
      <c r="DD933" s="954"/>
      <c r="DE933" s="954"/>
      <c r="DF933" s="954"/>
      <c r="DG933" s="954"/>
      <c r="DH933" s="954"/>
      <c r="DI933" s="954"/>
      <c r="DJ933" s="954"/>
      <c r="DK933" s="954"/>
      <c r="DL933" s="954"/>
      <c r="DM933" s="954"/>
      <c r="DN933" s="954"/>
      <c r="DO933" s="954"/>
      <c r="DP933" s="954"/>
      <c r="DQ933" s="954"/>
      <c r="DR933" s="954"/>
      <c r="DS933" s="954"/>
      <c r="DT933" s="954"/>
      <c r="DU933" s="954"/>
      <c r="DV933" s="954"/>
      <c r="DW933" s="954"/>
      <c r="DX933" s="954"/>
      <c r="DY933" s="954"/>
      <c r="DZ933" s="954"/>
      <c r="EA933" s="954"/>
      <c r="EB933" s="954"/>
      <c r="EC933" s="954"/>
      <c r="ED933" s="954"/>
      <c r="EE933" s="954"/>
      <c r="EF933" s="954"/>
      <c r="EG933" s="954"/>
      <c r="EH933" s="954"/>
      <c r="EI933" s="954"/>
      <c r="EJ933" s="954"/>
      <c r="EK933" s="954"/>
      <c r="EL933" s="954"/>
      <c r="EM933" s="954"/>
      <c r="EN933" s="954"/>
      <c r="EO933" s="954"/>
      <c r="EP933" s="954"/>
      <c r="EQ933" s="954"/>
      <c r="ER933" s="954"/>
      <c r="ES933" s="954"/>
      <c r="ET933" s="954"/>
      <c r="EU933" s="954"/>
      <c r="EV933" s="954"/>
      <c r="EW933" s="954"/>
      <c r="EX933" s="954"/>
      <c r="EY933" s="954"/>
      <c r="EZ933" s="954"/>
      <c r="FA933" s="954"/>
      <c r="FB933" s="954"/>
      <c r="FC933" s="954"/>
      <c r="FD933" s="954"/>
      <c r="FE933" s="954"/>
      <c r="FF933" s="954"/>
      <c r="FG933" s="954"/>
      <c r="FH933" s="954"/>
      <c r="FI933" s="954"/>
      <c r="FJ933" s="954"/>
      <c r="FK933" s="954"/>
      <c r="FL933" s="954"/>
      <c r="FM933" s="954"/>
      <c r="FN933" s="954"/>
      <c r="FO933" s="954"/>
      <c r="FP933" s="954"/>
      <c r="FQ933" s="954"/>
      <c r="FR933" s="954"/>
      <c r="FS933" s="954"/>
      <c r="FT933" s="954"/>
      <c r="FU933" s="954"/>
      <c r="FV933" s="954"/>
      <c r="FW933" s="954"/>
      <c r="FX933" s="954"/>
      <c r="FY933" s="954"/>
      <c r="FZ933" s="954"/>
      <c r="GA933" s="954"/>
      <c r="GB933" s="954"/>
      <c r="GC933" s="954"/>
      <c r="GD933" s="954"/>
      <c r="GE933" s="954"/>
      <c r="GF933" s="954"/>
      <c r="GG933" s="954"/>
      <c r="GH933" s="954"/>
      <c r="GI933" s="954"/>
      <c r="GJ933" s="954"/>
      <c r="GK933" s="954"/>
      <c r="GL933" s="954"/>
      <c r="GM933" s="954"/>
      <c r="GN933" s="954"/>
      <c r="GO933" s="954"/>
      <c r="GP933" s="954"/>
      <c r="GQ933" s="954"/>
      <c r="GR933" s="954"/>
      <c r="GS933" s="954"/>
      <c r="GT933" s="954"/>
      <c r="GU933" s="954"/>
      <c r="GV933" s="954"/>
      <c r="GW933" s="954"/>
      <c r="GX933" s="954"/>
      <c r="GY933" s="954"/>
      <c r="GZ933" s="954"/>
      <c r="HA933" s="954"/>
      <c r="HB933" s="954"/>
      <c r="HC933" s="954"/>
      <c r="HD933" s="954"/>
      <c r="HE933" s="954"/>
      <c r="HF933" s="954"/>
      <c r="HG933" s="954"/>
      <c r="HH933" s="954"/>
      <c r="HI933" s="954"/>
      <c r="HJ933" s="954"/>
      <c r="HK933" s="954"/>
      <c r="HL933" s="954"/>
      <c r="HM933" s="954"/>
      <c r="HN933" s="954"/>
      <c r="HO933" s="954"/>
      <c r="HP933" s="954"/>
      <c r="HQ933" s="954"/>
      <c r="HR933" s="954"/>
      <c r="HS933" s="954"/>
      <c r="HT933" s="954"/>
      <c r="HU933" s="954"/>
      <c r="HV933" s="954"/>
      <c r="HW933" s="954"/>
      <c r="HX933" s="954"/>
      <c r="HY933" s="954"/>
      <c r="HZ933" s="954"/>
      <c r="IA933" s="954"/>
      <c r="IB933" s="954"/>
      <c r="IC933" s="954"/>
      <c r="ID933" s="954"/>
      <c r="IE933" s="954"/>
      <c r="IF933" s="954"/>
      <c r="IG933" s="954"/>
      <c r="IH933" s="954"/>
      <c r="II933" s="954"/>
      <c r="IJ933" s="954"/>
      <c r="IK933" s="954"/>
      <c r="IL933" s="954"/>
      <c r="IM933" s="954"/>
      <c r="IN933" s="954"/>
      <c r="IO933" s="954"/>
      <c r="IP933" s="954"/>
      <c r="IQ933" s="954"/>
      <c r="IR933" s="954"/>
      <c r="IS933" s="954"/>
      <c r="IT933" s="954"/>
      <c r="IU933" s="954"/>
      <c r="IV933" s="954"/>
      <c r="IW933" s="954"/>
      <c r="IX933" s="954"/>
    </row>
    <row r="934" spans="1:258" x14ac:dyDescent="0.25">
      <c r="A934" s="125">
        <f t="shared" si="118"/>
        <v>894</v>
      </c>
      <c r="B934" s="885"/>
      <c r="C934" s="842" t="s">
        <v>10512</v>
      </c>
      <c r="D934" s="924">
        <v>0</v>
      </c>
      <c r="E934" s="924">
        <f t="shared" si="117"/>
        <v>0</v>
      </c>
      <c r="F934" s="136">
        <v>500</v>
      </c>
      <c r="G934" s="122" t="s">
        <v>1963</v>
      </c>
      <c r="I934" s="885"/>
      <c r="J934" s="885"/>
      <c r="K934" s="885"/>
      <c r="L934" s="885"/>
      <c r="M934" s="885"/>
      <c r="N934" s="885"/>
      <c r="O934" s="885"/>
      <c r="P934" s="885"/>
      <c r="Q934" s="885"/>
      <c r="R934" s="885"/>
      <c r="S934" s="885"/>
      <c r="T934" s="885"/>
      <c r="U934" s="885"/>
      <c r="V934" s="885"/>
      <c r="W934" s="885"/>
      <c r="X934" s="885"/>
      <c r="Y934" s="885"/>
      <c r="Z934" s="885"/>
      <c r="AA934" s="885"/>
      <c r="AB934" s="885"/>
      <c r="AC934" s="885"/>
      <c r="AD934" s="885"/>
      <c r="AE934" s="885"/>
      <c r="AF934" s="885"/>
      <c r="AG934" s="885"/>
      <c r="AH934" s="885"/>
      <c r="AI934" s="885"/>
      <c r="AJ934" s="885"/>
      <c r="AK934" s="885"/>
      <c r="AL934" s="885"/>
      <c r="AM934" s="885"/>
      <c r="AN934" s="885"/>
      <c r="AO934" s="885"/>
      <c r="AP934" s="885"/>
      <c r="AQ934" s="885"/>
      <c r="AR934" s="885"/>
      <c r="AS934" s="885"/>
      <c r="AT934" s="885"/>
      <c r="AU934" s="885"/>
      <c r="AV934" s="885"/>
      <c r="AW934" s="885"/>
      <c r="AX934" s="885"/>
      <c r="AY934" s="885"/>
      <c r="AZ934" s="885"/>
      <c r="BA934" s="885"/>
      <c r="BB934" s="885"/>
      <c r="BC934" s="885"/>
      <c r="BD934" s="885"/>
      <c r="BE934" s="885"/>
      <c r="BF934" s="885"/>
      <c r="BG934" s="885"/>
      <c r="BH934" s="885"/>
      <c r="BI934" s="885"/>
      <c r="BJ934" s="885"/>
      <c r="BK934" s="885"/>
      <c r="BL934" s="885"/>
      <c r="BM934" s="885"/>
      <c r="BN934" s="885"/>
      <c r="BO934" s="885"/>
      <c r="BP934" s="885"/>
      <c r="BQ934" s="885"/>
      <c r="BR934" s="885"/>
      <c r="BS934" s="885"/>
      <c r="BT934" s="885"/>
      <c r="BU934" s="885"/>
      <c r="BV934" s="885"/>
      <c r="BW934" s="885"/>
      <c r="BX934" s="885"/>
      <c r="BY934" s="885"/>
      <c r="BZ934" s="885"/>
      <c r="CA934" s="885"/>
      <c r="CB934" s="885"/>
      <c r="CC934" s="885"/>
      <c r="CD934" s="885"/>
      <c r="CE934" s="885"/>
      <c r="CF934" s="885"/>
      <c r="CG934" s="885"/>
      <c r="CH934" s="885"/>
      <c r="CI934" s="885"/>
      <c r="CJ934" s="885"/>
      <c r="CK934" s="885"/>
      <c r="CL934" s="885"/>
      <c r="CM934" s="885"/>
      <c r="CN934" s="885"/>
      <c r="CO934" s="885"/>
      <c r="CP934" s="885"/>
      <c r="CQ934" s="885"/>
      <c r="CR934" s="885"/>
      <c r="CS934" s="885"/>
      <c r="CT934" s="885"/>
      <c r="CU934" s="885"/>
      <c r="CV934" s="885"/>
      <c r="CW934" s="885"/>
      <c r="CX934" s="885"/>
      <c r="CY934" s="885"/>
      <c r="CZ934" s="885"/>
      <c r="DA934" s="885"/>
      <c r="DB934" s="885"/>
      <c r="DC934" s="885"/>
      <c r="DD934" s="885"/>
      <c r="DE934" s="885"/>
      <c r="DF934" s="885"/>
      <c r="DG934" s="885"/>
      <c r="DH934" s="885"/>
      <c r="DI934" s="885"/>
      <c r="DJ934" s="885"/>
      <c r="DK934" s="885"/>
      <c r="DL934" s="885"/>
      <c r="DM934" s="885"/>
      <c r="DN934" s="885"/>
      <c r="DO934" s="885"/>
      <c r="DP934" s="885"/>
      <c r="DQ934" s="885"/>
      <c r="DR934" s="885"/>
      <c r="DS934" s="885"/>
      <c r="DT934" s="885"/>
      <c r="DU934" s="885"/>
      <c r="DV934" s="885"/>
      <c r="DW934" s="885"/>
      <c r="DX934" s="885"/>
      <c r="DY934" s="885"/>
      <c r="DZ934" s="885"/>
      <c r="EA934" s="885"/>
      <c r="EB934" s="885"/>
      <c r="EC934" s="885"/>
      <c r="ED934" s="885"/>
      <c r="EE934" s="885"/>
      <c r="EF934" s="885"/>
      <c r="EG934" s="885"/>
      <c r="EH934" s="885"/>
      <c r="EI934" s="885"/>
      <c r="EJ934" s="885"/>
      <c r="EK934" s="885"/>
      <c r="EL934" s="885"/>
      <c r="EM934" s="885"/>
      <c r="EN934" s="885"/>
      <c r="EO934" s="885"/>
      <c r="EP934" s="885"/>
      <c r="EQ934" s="885"/>
      <c r="ER934" s="885"/>
      <c r="ES934" s="885"/>
      <c r="ET934" s="885"/>
      <c r="EU934" s="885"/>
      <c r="EV934" s="885"/>
      <c r="EW934" s="885"/>
      <c r="EX934" s="885"/>
      <c r="EY934" s="885"/>
      <c r="EZ934" s="885"/>
      <c r="FA934" s="885"/>
      <c r="FB934" s="885"/>
      <c r="FC934" s="885"/>
      <c r="FD934" s="885"/>
      <c r="FE934" s="885"/>
      <c r="FF934" s="885"/>
      <c r="FG934" s="885"/>
      <c r="FH934" s="885"/>
      <c r="FI934" s="885"/>
      <c r="FJ934" s="885"/>
      <c r="FK934" s="885"/>
      <c r="FL934" s="885"/>
      <c r="FM934" s="885"/>
      <c r="FN934" s="885"/>
      <c r="FO934" s="885"/>
      <c r="FP934" s="885"/>
      <c r="FQ934" s="885"/>
      <c r="FR934" s="885"/>
      <c r="FS934" s="885"/>
      <c r="FT934" s="885"/>
      <c r="FU934" s="885"/>
      <c r="FV934" s="885"/>
      <c r="FW934" s="885"/>
      <c r="FX934" s="885"/>
      <c r="FY934" s="885"/>
      <c r="FZ934" s="885"/>
      <c r="GA934" s="885"/>
      <c r="GB934" s="885"/>
      <c r="GC934" s="885"/>
      <c r="GD934" s="885"/>
      <c r="GE934" s="885"/>
      <c r="GF934" s="885"/>
      <c r="GG934" s="885"/>
      <c r="GH934" s="885"/>
      <c r="GI934" s="885"/>
      <c r="GJ934" s="885"/>
      <c r="GK934" s="885"/>
      <c r="GL934" s="885"/>
      <c r="GM934" s="885"/>
      <c r="GN934" s="885"/>
      <c r="GO934" s="885"/>
      <c r="GP934" s="885"/>
      <c r="GQ934" s="885"/>
      <c r="GR934" s="885"/>
      <c r="GS934" s="885"/>
      <c r="GT934" s="885"/>
      <c r="GU934" s="885"/>
      <c r="GV934" s="885"/>
      <c r="GW934" s="885"/>
      <c r="GX934" s="885"/>
      <c r="GY934" s="885"/>
      <c r="GZ934" s="885"/>
      <c r="HA934" s="885"/>
      <c r="HB934" s="885"/>
      <c r="HC934" s="885"/>
      <c r="HD934" s="885"/>
      <c r="HE934" s="885"/>
      <c r="HF934" s="885"/>
      <c r="HG934" s="885"/>
      <c r="HH934" s="885"/>
      <c r="HI934" s="885"/>
      <c r="HJ934" s="885"/>
      <c r="HK934" s="885"/>
      <c r="HL934" s="885"/>
      <c r="HM934" s="885"/>
      <c r="HN934" s="885"/>
      <c r="HO934" s="885"/>
      <c r="HP934" s="885"/>
      <c r="HQ934" s="885"/>
      <c r="HR934" s="885"/>
      <c r="HS934" s="885"/>
      <c r="HT934" s="885"/>
      <c r="HU934" s="885"/>
      <c r="HV934" s="885"/>
      <c r="HW934" s="885"/>
      <c r="HX934" s="885"/>
      <c r="HY934" s="885"/>
      <c r="HZ934" s="885"/>
      <c r="IA934" s="885"/>
      <c r="IB934" s="885"/>
      <c r="IC934" s="885"/>
      <c r="ID934" s="885"/>
      <c r="IE934" s="885"/>
      <c r="IF934" s="885"/>
      <c r="IG934" s="885"/>
      <c r="IH934" s="885"/>
      <c r="II934" s="885"/>
      <c r="IJ934" s="885"/>
      <c r="IK934" s="885"/>
      <c r="IL934" s="885"/>
      <c r="IM934" s="885"/>
      <c r="IN934" s="885"/>
      <c r="IO934" s="885"/>
      <c r="IP934" s="885"/>
      <c r="IQ934" s="885"/>
      <c r="IR934" s="885"/>
      <c r="IS934" s="885"/>
      <c r="IT934" s="885"/>
      <c r="IU934" s="885"/>
      <c r="IV934" s="885"/>
      <c r="IW934" s="885"/>
      <c r="IX934" s="885"/>
    </row>
    <row r="935" spans="1:258" ht="31.5" x14ac:dyDescent="0.25">
      <c r="A935" s="125">
        <f t="shared" si="118"/>
        <v>895</v>
      </c>
      <c r="B935" s="885"/>
      <c r="C935" s="842" t="s">
        <v>10513</v>
      </c>
      <c r="D935" s="924">
        <v>0</v>
      </c>
      <c r="E935" s="924">
        <f t="shared" si="117"/>
        <v>0</v>
      </c>
      <c r="F935" s="136">
        <v>500</v>
      </c>
      <c r="G935" s="122" t="s">
        <v>1963</v>
      </c>
      <c r="I935" s="885"/>
      <c r="J935" s="885"/>
      <c r="K935" s="885"/>
      <c r="L935" s="885"/>
      <c r="M935" s="885"/>
      <c r="N935" s="885"/>
      <c r="O935" s="885"/>
      <c r="P935" s="885"/>
      <c r="Q935" s="885"/>
      <c r="R935" s="885"/>
      <c r="S935" s="885"/>
      <c r="T935" s="885"/>
      <c r="U935" s="885"/>
      <c r="V935" s="885"/>
      <c r="W935" s="885"/>
      <c r="X935" s="885"/>
      <c r="Y935" s="885"/>
      <c r="Z935" s="885"/>
      <c r="AA935" s="885"/>
      <c r="AB935" s="885"/>
      <c r="AC935" s="885"/>
      <c r="AD935" s="885"/>
      <c r="AE935" s="885"/>
      <c r="AF935" s="885"/>
      <c r="AG935" s="885"/>
      <c r="AH935" s="885"/>
      <c r="AI935" s="885"/>
      <c r="AJ935" s="885"/>
      <c r="AK935" s="885"/>
      <c r="AL935" s="885"/>
      <c r="AM935" s="885"/>
      <c r="AN935" s="885"/>
      <c r="AO935" s="885"/>
      <c r="AP935" s="885"/>
      <c r="AQ935" s="885"/>
      <c r="AR935" s="885"/>
      <c r="AS935" s="885"/>
      <c r="AT935" s="885"/>
      <c r="AU935" s="885"/>
      <c r="AV935" s="885"/>
      <c r="AW935" s="885"/>
      <c r="AX935" s="885"/>
      <c r="AY935" s="885"/>
      <c r="AZ935" s="885"/>
      <c r="BA935" s="885"/>
      <c r="BB935" s="885"/>
      <c r="BC935" s="885"/>
      <c r="BD935" s="885"/>
      <c r="BE935" s="885"/>
      <c r="BF935" s="885"/>
      <c r="BG935" s="885"/>
      <c r="BH935" s="885"/>
      <c r="BI935" s="885"/>
      <c r="BJ935" s="885"/>
      <c r="BK935" s="885"/>
      <c r="BL935" s="885"/>
      <c r="BM935" s="885"/>
      <c r="BN935" s="885"/>
      <c r="BO935" s="885"/>
      <c r="BP935" s="885"/>
      <c r="BQ935" s="885"/>
      <c r="BR935" s="885"/>
      <c r="BS935" s="885"/>
      <c r="BT935" s="885"/>
      <c r="BU935" s="885"/>
      <c r="BV935" s="885"/>
      <c r="BW935" s="885"/>
      <c r="BX935" s="885"/>
      <c r="BY935" s="885"/>
      <c r="BZ935" s="885"/>
      <c r="CA935" s="885"/>
      <c r="CB935" s="885"/>
      <c r="CC935" s="885"/>
      <c r="CD935" s="885"/>
      <c r="CE935" s="885"/>
      <c r="CF935" s="885"/>
      <c r="CG935" s="885"/>
      <c r="CH935" s="885"/>
      <c r="CI935" s="885"/>
      <c r="CJ935" s="885"/>
      <c r="CK935" s="885"/>
      <c r="CL935" s="885"/>
      <c r="CM935" s="885"/>
      <c r="CN935" s="885"/>
      <c r="CO935" s="885"/>
      <c r="CP935" s="885"/>
      <c r="CQ935" s="885"/>
      <c r="CR935" s="885"/>
      <c r="CS935" s="885"/>
      <c r="CT935" s="885"/>
      <c r="CU935" s="885"/>
      <c r="CV935" s="885"/>
      <c r="CW935" s="885"/>
      <c r="CX935" s="885"/>
      <c r="CY935" s="885"/>
      <c r="CZ935" s="885"/>
      <c r="DA935" s="885"/>
      <c r="DB935" s="885"/>
      <c r="DC935" s="885"/>
      <c r="DD935" s="885"/>
      <c r="DE935" s="885"/>
      <c r="DF935" s="885"/>
      <c r="DG935" s="885"/>
      <c r="DH935" s="885"/>
      <c r="DI935" s="885"/>
      <c r="DJ935" s="885"/>
      <c r="DK935" s="885"/>
      <c r="DL935" s="885"/>
      <c r="DM935" s="885"/>
      <c r="DN935" s="885"/>
      <c r="DO935" s="885"/>
      <c r="DP935" s="885"/>
      <c r="DQ935" s="885"/>
      <c r="DR935" s="885"/>
      <c r="DS935" s="885"/>
      <c r="DT935" s="885"/>
      <c r="DU935" s="885"/>
      <c r="DV935" s="885"/>
      <c r="DW935" s="885"/>
      <c r="DX935" s="885"/>
      <c r="DY935" s="885"/>
      <c r="DZ935" s="885"/>
      <c r="EA935" s="885"/>
      <c r="EB935" s="885"/>
      <c r="EC935" s="885"/>
      <c r="ED935" s="885"/>
      <c r="EE935" s="885"/>
      <c r="EF935" s="885"/>
      <c r="EG935" s="885"/>
      <c r="EH935" s="885"/>
      <c r="EI935" s="885"/>
      <c r="EJ935" s="885"/>
      <c r="EK935" s="885"/>
      <c r="EL935" s="885"/>
      <c r="EM935" s="885"/>
      <c r="EN935" s="885"/>
      <c r="EO935" s="885"/>
      <c r="EP935" s="885"/>
      <c r="EQ935" s="885"/>
      <c r="ER935" s="885"/>
      <c r="ES935" s="885"/>
      <c r="ET935" s="885"/>
      <c r="EU935" s="885"/>
      <c r="EV935" s="885"/>
      <c r="EW935" s="885"/>
      <c r="EX935" s="885"/>
      <c r="EY935" s="885"/>
      <c r="EZ935" s="885"/>
      <c r="FA935" s="885"/>
      <c r="FB935" s="885"/>
      <c r="FC935" s="885"/>
      <c r="FD935" s="885"/>
      <c r="FE935" s="885"/>
      <c r="FF935" s="885"/>
      <c r="FG935" s="885"/>
      <c r="FH935" s="885"/>
      <c r="FI935" s="885"/>
      <c r="FJ935" s="885"/>
      <c r="FK935" s="885"/>
      <c r="FL935" s="885"/>
      <c r="FM935" s="885"/>
      <c r="FN935" s="885"/>
      <c r="FO935" s="885"/>
      <c r="FP935" s="885"/>
      <c r="FQ935" s="885"/>
      <c r="FR935" s="885"/>
      <c r="FS935" s="885"/>
      <c r="FT935" s="885"/>
      <c r="FU935" s="885"/>
      <c r="FV935" s="885"/>
      <c r="FW935" s="885"/>
      <c r="FX935" s="885"/>
      <c r="FY935" s="885"/>
      <c r="FZ935" s="885"/>
      <c r="GA935" s="885"/>
      <c r="GB935" s="885"/>
      <c r="GC935" s="885"/>
      <c r="GD935" s="885"/>
      <c r="GE935" s="885"/>
      <c r="GF935" s="885"/>
      <c r="GG935" s="885"/>
      <c r="GH935" s="885"/>
      <c r="GI935" s="885"/>
      <c r="GJ935" s="885"/>
      <c r="GK935" s="885"/>
      <c r="GL935" s="885"/>
      <c r="GM935" s="885"/>
      <c r="GN935" s="885"/>
      <c r="GO935" s="885"/>
      <c r="GP935" s="885"/>
      <c r="GQ935" s="885"/>
      <c r="GR935" s="885"/>
      <c r="GS935" s="885"/>
      <c r="GT935" s="885"/>
      <c r="GU935" s="885"/>
      <c r="GV935" s="885"/>
      <c r="GW935" s="885"/>
      <c r="GX935" s="885"/>
      <c r="GY935" s="885"/>
      <c r="GZ935" s="885"/>
      <c r="HA935" s="885"/>
      <c r="HB935" s="885"/>
      <c r="HC935" s="885"/>
      <c r="HD935" s="885"/>
      <c r="HE935" s="885"/>
      <c r="HF935" s="885"/>
      <c r="HG935" s="885"/>
      <c r="HH935" s="885"/>
      <c r="HI935" s="885"/>
      <c r="HJ935" s="885"/>
      <c r="HK935" s="885"/>
      <c r="HL935" s="885"/>
      <c r="HM935" s="885"/>
      <c r="HN935" s="885"/>
      <c r="HO935" s="885"/>
      <c r="HP935" s="885"/>
      <c r="HQ935" s="885"/>
      <c r="HR935" s="885"/>
      <c r="HS935" s="885"/>
      <c r="HT935" s="885"/>
      <c r="HU935" s="885"/>
      <c r="HV935" s="885"/>
      <c r="HW935" s="885"/>
      <c r="HX935" s="885"/>
      <c r="HY935" s="885"/>
      <c r="HZ935" s="885"/>
      <c r="IA935" s="885"/>
      <c r="IB935" s="885"/>
      <c r="IC935" s="885"/>
      <c r="ID935" s="885"/>
      <c r="IE935" s="885"/>
      <c r="IF935" s="885"/>
      <c r="IG935" s="885"/>
      <c r="IH935" s="885"/>
      <c r="II935" s="885"/>
      <c r="IJ935" s="885"/>
      <c r="IK935" s="885"/>
      <c r="IL935" s="885"/>
      <c r="IM935" s="885"/>
      <c r="IN935" s="885"/>
      <c r="IO935" s="885"/>
      <c r="IP935" s="885"/>
      <c r="IQ935" s="885"/>
      <c r="IR935" s="885"/>
      <c r="IS935" s="885"/>
      <c r="IT935" s="885"/>
      <c r="IU935" s="885"/>
      <c r="IV935" s="885"/>
      <c r="IW935" s="885"/>
      <c r="IX935" s="885"/>
    </row>
    <row r="936" spans="1:258" ht="31.5" x14ac:dyDescent="0.25">
      <c r="A936" s="125">
        <f t="shared" si="118"/>
        <v>896</v>
      </c>
      <c r="B936" s="885"/>
      <c r="C936" s="842" t="s">
        <v>10515</v>
      </c>
      <c r="D936" s="924">
        <v>0</v>
      </c>
      <c r="E936" s="924">
        <f t="shared" si="117"/>
        <v>0</v>
      </c>
      <c r="F936" s="136">
        <v>500</v>
      </c>
      <c r="G936" s="122" t="s">
        <v>1963</v>
      </c>
      <c r="I936" s="885"/>
      <c r="J936" s="885"/>
      <c r="K936" s="885"/>
      <c r="L936" s="885"/>
      <c r="M936" s="885"/>
      <c r="N936" s="885"/>
      <c r="O936" s="885"/>
      <c r="P936" s="885"/>
      <c r="Q936" s="885"/>
      <c r="R936" s="885"/>
      <c r="S936" s="885"/>
      <c r="T936" s="885"/>
      <c r="U936" s="885"/>
      <c r="V936" s="885"/>
      <c r="W936" s="885"/>
      <c r="X936" s="885"/>
      <c r="Y936" s="885"/>
      <c r="Z936" s="885"/>
      <c r="AA936" s="885"/>
      <c r="AB936" s="885"/>
      <c r="AC936" s="885"/>
      <c r="AD936" s="885"/>
      <c r="AE936" s="885"/>
      <c r="AF936" s="885"/>
      <c r="AG936" s="885"/>
      <c r="AH936" s="885"/>
      <c r="AI936" s="885"/>
      <c r="AJ936" s="885"/>
      <c r="AK936" s="885"/>
      <c r="AL936" s="885"/>
      <c r="AM936" s="885"/>
      <c r="AN936" s="885"/>
      <c r="AO936" s="885"/>
      <c r="AP936" s="885"/>
      <c r="AQ936" s="885"/>
      <c r="AR936" s="885"/>
      <c r="AS936" s="885"/>
      <c r="AT936" s="885"/>
      <c r="AU936" s="885"/>
      <c r="AV936" s="885"/>
      <c r="AW936" s="885"/>
      <c r="AX936" s="885"/>
      <c r="AY936" s="885"/>
      <c r="AZ936" s="885"/>
      <c r="BA936" s="885"/>
      <c r="BB936" s="885"/>
      <c r="BC936" s="885"/>
      <c r="BD936" s="885"/>
      <c r="BE936" s="885"/>
      <c r="BF936" s="885"/>
      <c r="BG936" s="885"/>
      <c r="BH936" s="885"/>
      <c r="BI936" s="885"/>
      <c r="BJ936" s="885"/>
      <c r="BK936" s="885"/>
      <c r="BL936" s="885"/>
      <c r="BM936" s="885"/>
      <c r="BN936" s="885"/>
      <c r="BO936" s="885"/>
      <c r="BP936" s="885"/>
      <c r="BQ936" s="885"/>
      <c r="BR936" s="885"/>
      <c r="BS936" s="885"/>
      <c r="BT936" s="885"/>
      <c r="BU936" s="885"/>
      <c r="BV936" s="885"/>
      <c r="BW936" s="885"/>
      <c r="BX936" s="885"/>
      <c r="BY936" s="885"/>
      <c r="BZ936" s="885"/>
      <c r="CA936" s="885"/>
      <c r="CB936" s="885"/>
      <c r="CC936" s="885"/>
      <c r="CD936" s="885"/>
      <c r="CE936" s="885"/>
      <c r="CF936" s="885"/>
      <c r="CG936" s="885"/>
      <c r="CH936" s="885"/>
      <c r="CI936" s="885"/>
      <c r="CJ936" s="885"/>
      <c r="CK936" s="885"/>
      <c r="CL936" s="885"/>
      <c r="CM936" s="885"/>
      <c r="CN936" s="885"/>
      <c r="CO936" s="885"/>
      <c r="CP936" s="885"/>
      <c r="CQ936" s="885"/>
      <c r="CR936" s="885"/>
      <c r="CS936" s="885"/>
      <c r="CT936" s="885"/>
      <c r="CU936" s="885"/>
      <c r="CV936" s="885"/>
      <c r="CW936" s="885"/>
      <c r="CX936" s="885"/>
      <c r="CY936" s="885"/>
      <c r="CZ936" s="885"/>
      <c r="DA936" s="885"/>
      <c r="DB936" s="885"/>
      <c r="DC936" s="885"/>
      <c r="DD936" s="885"/>
      <c r="DE936" s="885"/>
      <c r="DF936" s="885"/>
      <c r="DG936" s="885"/>
      <c r="DH936" s="885"/>
      <c r="DI936" s="885"/>
      <c r="DJ936" s="885"/>
      <c r="DK936" s="885"/>
      <c r="DL936" s="885"/>
      <c r="DM936" s="885"/>
      <c r="DN936" s="885"/>
      <c r="DO936" s="885"/>
      <c r="DP936" s="885"/>
      <c r="DQ936" s="885"/>
      <c r="DR936" s="885"/>
      <c r="DS936" s="885"/>
      <c r="DT936" s="885"/>
      <c r="DU936" s="885"/>
      <c r="DV936" s="885"/>
      <c r="DW936" s="885"/>
      <c r="DX936" s="885"/>
      <c r="DY936" s="885"/>
      <c r="DZ936" s="885"/>
      <c r="EA936" s="885"/>
      <c r="EB936" s="885"/>
      <c r="EC936" s="885"/>
      <c r="ED936" s="885"/>
      <c r="EE936" s="885"/>
      <c r="EF936" s="885"/>
      <c r="EG936" s="885"/>
      <c r="EH936" s="885"/>
      <c r="EI936" s="885"/>
      <c r="EJ936" s="885"/>
      <c r="EK936" s="885"/>
      <c r="EL936" s="885"/>
      <c r="EM936" s="885"/>
      <c r="EN936" s="885"/>
      <c r="EO936" s="885"/>
      <c r="EP936" s="885"/>
      <c r="EQ936" s="885"/>
      <c r="ER936" s="885"/>
      <c r="ES936" s="885"/>
      <c r="ET936" s="885"/>
      <c r="EU936" s="885"/>
      <c r="EV936" s="885"/>
      <c r="EW936" s="885"/>
      <c r="EX936" s="885"/>
      <c r="EY936" s="885"/>
      <c r="EZ936" s="885"/>
      <c r="FA936" s="885"/>
      <c r="FB936" s="885"/>
      <c r="FC936" s="885"/>
      <c r="FD936" s="885"/>
      <c r="FE936" s="885"/>
      <c r="FF936" s="885"/>
      <c r="FG936" s="885"/>
      <c r="FH936" s="885"/>
      <c r="FI936" s="885"/>
      <c r="FJ936" s="885"/>
      <c r="FK936" s="885"/>
      <c r="FL936" s="885"/>
      <c r="FM936" s="885"/>
      <c r="FN936" s="885"/>
      <c r="FO936" s="885"/>
      <c r="FP936" s="885"/>
      <c r="FQ936" s="885"/>
      <c r="FR936" s="885"/>
      <c r="FS936" s="885"/>
      <c r="FT936" s="885"/>
      <c r="FU936" s="885"/>
      <c r="FV936" s="885"/>
      <c r="FW936" s="885"/>
      <c r="FX936" s="885"/>
      <c r="FY936" s="885"/>
      <c r="FZ936" s="885"/>
      <c r="GA936" s="885"/>
      <c r="GB936" s="885"/>
      <c r="GC936" s="885"/>
      <c r="GD936" s="885"/>
      <c r="GE936" s="885"/>
      <c r="GF936" s="885"/>
      <c r="GG936" s="885"/>
      <c r="GH936" s="885"/>
      <c r="GI936" s="885"/>
      <c r="GJ936" s="885"/>
      <c r="GK936" s="885"/>
      <c r="GL936" s="885"/>
      <c r="GM936" s="885"/>
      <c r="GN936" s="885"/>
      <c r="GO936" s="885"/>
      <c r="GP936" s="885"/>
      <c r="GQ936" s="885"/>
      <c r="GR936" s="885"/>
      <c r="GS936" s="885"/>
      <c r="GT936" s="885"/>
      <c r="GU936" s="885"/>
      <c r="GV936" s="885"/>
      <c r="GW936" s="885"/>
      <c r="GX936" s="885"/>
      <c r="GY936" s="885"/>
      <c r="GZ936" s="885"/>
      <c r="HA936" s="885"/>
      <c r="HB936" s="885"/>
      <c r="HC936" s="885"/>
      <c r="HD936" s="885"/>
      <c r="HE936" s="885"/>
      <c r="HF936" s="885"/>
      <c r="HG936" s="885"/>
      <c r="HH936" s="885"/>
      <c r="HI936" s="885"/>
      <c r="HJ936" s="885"/>
      <c r="HK936" s="885"/>
      <c r="HL936" s="885"/>
      <c r="HM936" s="885"/>
      <c r="HN936" s="885"/>
      <c r="HO936" s="885"/>
      <c r="HP936" s="885"/>
      <c r="HQ936" s="885"/>
      <c r="HR936" s="885"/>
      <c r="HS936" s="885"/>
      <c r="HT936" s="885"/>
      <c r="HU936" s="885"/>
      <c r="HV936" s="885"/>
      <c r="HW936" s="885"/>
      <c r="HX936" s="885"/>
      <c r="HY936" s="885"/>
      <c r="HZ936" s="885"/>
      <c r="IA936" s="885"/>
      <c r="IB936" s="885"/>
      <c r="IC936" s="885"/>
      <c r="ID936" s="885"/>
      <c r="IE936" s="885"/>
      <c r="IF936" s="885"/>
      <c r="IG936" s="885"/>
      <c r="IH936" s="885"/>
      <c r="II936" s="885"/>
      <c r="IJ936" s="885"/>
      <c r="IK936" s="885"/>
      <c r="IL936" s="885"/>
      <c r="IM936" s="885"/>
      <c r="IN936" s="885"/>
      <c r="IO936" s="885"/>
      <c r="IP936" s="885"/>
      <c r="IQ936" s="885"/>
      <c r="IR936" s="885"/>
      <c r="IS936" s="885"/>
      <c r="IT936" s="885"/>
      <c r="IU936" s="885"/>
      <c r="IV936" s="885"/>
      <c r="IW936" s="885"/>
      <c r="IX936" s="885"/>
    </row>
    <row r="937" spans="1:258" x14ac:dyDescent="0.25">
      <c r="A937" s="125">
        <f t="shared" si="118"/>
        <v>897</v>
      </c>
      <c r="B937" s="885"/>
      <c r="C937" s="842" t="s">
        <v>10514</v>
      </c>
      <c r="D937" s="924">
        <v>0</v>
      </c>
      <c r="E937" s="924">
        <f t="shared" si="117"/>
        <v>0</v>
      </c>
      <c r="F937" s="136">
        <v>500</v>
      </c>
      <c r="G937" s="122" t="s">
        <v>1963</v>
      </c>
      <c r="I937" s="885"/>
      <c r="J937" s="885"/>
      <c r="K937" s="885"/>
      <c r="L937" s="885"/>
      <c r="M937" s="885"/>
      <c r="N937" s="885"/>
      <c r="O937" s="885"/>
      <c r="P937" s="885"/>
      <c r="Q937" s="885"/>
      <c r="R937" s="885"/>
      <c r="S937" s="885"/>
      <c r="T937" s="885"/>
      <c r="U937" s="885"/>
      <c r="V937" s="885"/>
      <c r="W937" s="885"/>
      <c r="X937" s="885"/>
      <c r="Y937" s="885"/>
      <c r="Z937" s="885"/>
      <c r="AA937" s="885"/>
      <c r="AB937" s="885"/>
      <c r="AC937" s="885"/>
      <c r="AD937" s="885"/>
      <c r="AE937" s="885"/>
      <c r="AF937" s="885"/>
      <c r="AG937" s="885"/>
      <c r="AH937" s="885"/>
      <c r="AI937" s="885"/>
      <c r="AJ937" s="885"/>
      <c r="AK937" s="885"/>
      <c r="AL937" s="885"/>
      <c r="AM937" s="885"/>
      <c r="AN937" s="885"/>
      <c r="AO937" s="885"/>
      <c r="AP937" s="885"/>
      <c r="AQ937" s="885"/>
      <c r="AR937" s="885"/>
      <c r="AS937" s="885"/>
      <c r="AT937" s="885"/>
      <c r="AU937" s="885"/>
      <c r="AV937" s="885"/>
      <c r="AW937" s="885"/>
      <c r="AX937" s="885"/>
      <c r="AY937" s="885"/>
      <c r="AZ937" s="885"/>
      <c r="BA937" s="885"/>
      <c r="BB937" s="885"/>
      <c r="BC937" s="885"/>
      <c r="BD937" s="885"/>
      <c r="BE937" s="885"/>
      <c r="BF937" s="885"/>
      <c r="BG937" s="885"/>
      <c r="BH937" s="885"/>
      <c r="BI937" s="885"/>
      <c r="BJ937" s="885"/>
      <c r="BK937" s="885"/>
      <c r="BL937" s="885"/>
      <c r="BM937" s="885"/>
      <c r="BN937" s="885"/>
      <c r="BO937" s="885"/>
      <c r="BP937" s="885"/>
      <c r="BQ937" s="885"/>
      <c r="BR937" s="885"/>
      <c r="BS937" s="885"/>
      <c r="BT937" s="885"/>
      <c r="BU937" s="885"/>
      <c r="BV937" s="885"/>
      <c r="BW937" s="885"/>
      <c r="BX937" s="885"/>
      <c r="BY937" s="885"/>
      <c r="BZ937" s="885"/>
      <c r="CA937" s="885"/>
      <c r="CB937" s="885"/>
      <c r="CC937" s="885"/>
      <c r="CD937" s="885"/>
      <c r="CE937" s="885"/>
      <c r="CF937" s="885"/>
      <c r="CG937" s="885"/>
      <c r="CH937" s="885"/>
      <c r="CI937" s="885"/>
      <c r="CJ937" s="885"/>
      <c r="CK937" s="885"/>
      <c r="CL937" s="885"/>
      <c r="CM937" s="885"/>
      <c r="CN937" s="885"/>
      <c r="CO937" s="885"/>
      <c r="CP937" s="885"/>
      <c r="CQ937" s="885"/>
      <c r="CR937" s="885"/>
      <c r="CS937" s="885"/>
      <c r="CT937" s="885"/>
      <c r="CU937" s="885"/>
      <c r="CV937" s="885"/>
      <c r="CW937" s="885"/>
      <c r="CX937" s="885"/>
      <c r="CY937" s="885"/>
      <c r="CZ937" s="885"/>
      <c r="DA937" s="885"/>
      <c r="DB937" s="885"/>
      <c r="DC937" s="885"/>
      <c r="DD937" s="885"/>
      <c r="DE937" s="885"/>
      <c r="DF937" s="885"/>
      <c r="DG937" s="885"/>
      <c r="DH937" s="885"/>
      <c r="DI937" s="885"/>
      <c r="DJ937" s="885"/>
      <c r="DK937" s="885"/>
      <c r="DL937" s="885"/>
      <c r="DM937" s="885"/>
      <c r="DN937" s="885"/>
      <c r="DO937" s="885"/>
      <c r="DP937" s="885"/>
      <c r="DQ937" s="885"/>
      <c r="DR937" s="885"/>
      <c r="DS937" s="885"/>
      <c r="DT937" s="885"/>
      <c r="DU937" s="885"/>
      <c r="DV937" s="885"/>
      <c r="DW937" s="885"/>
      <c r="DX937" s="885"/>
      <c r="DY937" s="885"/>
      <c r="DZ937" s="885"/>
      <c r="EA937" s="885"/>
      <c r="EB937" s="885"/>
      <c r="EC937" s="885"/>
      <c r="ED937" s="885"/>
      <c r="EE937" s="885"/>
      <c r="EF937" s="885"/>
      <c r="EG937" s="885"/>
      <c r="EH937" s="885"/>
      <c r="EI937" s="885"/>
      <c r="EJ937" s="885"/>
      <c r="EK937" s="885"/>
      <c r="EL937" s="885"/>
      <c r="EM937" s="885"/>
      <c r="EN937" s="885"/>
      <c r="EO937" s="885"/>
      <c r="EP937" s="885"/>
      <c r="EQ937" s="885"/>
      <c r="ER937" s="885"/>
      <c r="ES937" s="885"/>
      <c r="ET937" s="885"/>
      <c r="EU937" s="885"/>
      <c r="EV937" s="885"/>
      <c r="EW937" s="885"/>
      <c r="EX937" s="885"/>
      <c r="EY937" s="885"/>
      <c r="EZ937" s="885"/>
      <c r="FA937" s="885"/>
      <c r="FB937" s="885"/>
      <c r="FC937" s="885"/>
      <c r="FD937" s="885"/>
      <c r="FE937" s="885"/>
      <c r="FF937" s="885"/>
      <c r="FG937" s="885"/>
      <c r="FH937" s="885"/>
      <c r="FI937" s="885"/>
      <c r="FJ937" s="885"/>
      <c r="FK937" s="885"/>
      <c r="FL937" s="885"/>
      <c r="FM937" s="885"/>
      <c r="FN937" s="885"/>
      <c r="FO937" s="885"/>
      <c r="FP937" s="885"/>
      <c r="FQ937" s="885"/>
      <c r="FR937" s="885"/>
      <c r="FS937" s="885"/>
      <c r="FT937" s="885"/>
      <c r="FU937" s="885"/>
      <c r="FV937" s="885"/>
      <c r="FW937" s="885"/>
      <c r="FX937" s="885"/>
      <c r="FY937" s="885"/>
      <c r="FZ937" s="885"/>
      <c r="GA937" s="885"/>
      <c r="GB937" s="885"/>
      <c r="GC937" s="885"/>
      <c r="GD937" s="885"/>
      <c r="GE937" s="885"/>
      <c r="GF937" s="885"/>
      <c r="GG937" s="885"/>
      <c r="GH937" s="885"/>
      <c r="GI937" s="885"/>
      <c r="GJ937" s="885"/>
      <c r="GK937" s="885"/>
      <c r="GL937" s="885"/>
      <c r="GM937" s="885"/>
      <c r="GN937" s="885"/>
      <c r="GO937" s="885"/>
      <c r="GP937" s="885"/>
      <c r="GQ937" s="885"/>
      <c r="GR937" s="885"/>
      <c r="GS937" s="885"/>
      <c r="GT937" s="885"/>
      <c r="GU937" s="885"/>
      <c r="GV937" s="885"/>
      <c r="GW937" s="885"/>
      <c r="GX937" s="885"/>
      <c r="GY937" s="885"/>
      <c r="GZ937" s="885"/>
      <c r="HA937" s="885"/>
      <c r="HB937" s="885"/>
      <c r="HC937" s="885"/>
      <c r="HD937" s="885"/>
      <c r="HE937" s="885"/>
      <c r="HF937" s="885"/>
      <c r="HG937" s="885"/>
      <c r="HH937" s="885"/>
      <c r="HI937" s="885"/>
      <c r="HJ937" s="885"/>
      <c r="HK937" s="885"/>
      <c r="HL937" s="885"/>
      <c r="HM937" s="885"/>
      <c r="HN937" s="885"/>
      <c r="HO937" s="885"/>
      <c r="HP937" s="885"/>
      <c r="HQ937" s="885"/>
      <c r="HR937" s="885"/>
      <c r="HS937" s="885"/>
      <c r="HT937" s="885"/>
      <c r="HU937" s="885"/>
      <c r="HV937" s="885"/>
      <c r="HW937" s="885"/>
      <c r="HX937" s="885"/>
      <c r="HY937" s="885"/>
      <c r="HZ937" s="885"/>
      <c r="IA937" s="885"/>
      <c r="IB937" s="885"/>
      <c r="IC937" s="885"/>
      <c r="ID937" s="885"/>
      <c r="IE937" s="885"/>
      <c r="IF937" s="885"/>
      <c r="IG937" s="885"/>
      <c r="IH937" s="885"/>
      <c r="II937" s="885"/>
      <c r="IJ937" s="885"/>
      <c r="IK937" s="885"/>
      <c r="IL937" s="885"/>
      <c r="IM937" s="885"/>
      <c r="IN937" s="885"/>
      <c r="IO937" s="885"/>
      <c r="IP937" s="885"/>
      <c r="IQ937" s="885"/>
      <c r="IR937" s="885"/>
      <c r="IS937" s="885"/>
      <c r="IT937" s="885"/>
      <c r="IU937" s="885"/>
      <c r="IV937" s="885"/>
      <c r="IW937" s="885"/>
      <c r="IX937" s="885"/>
    </row>
    <row r="938" spans="1:258" x14ac:dyDescent="0.25">
      <c r="A938" s="125">
        <f t="shared" si="118"/>
        <v>898</v>
      </c>
      <c r="B938" s="885"/>
      <c r="C938" s="232" t="s">
        <v>10484</v>
      </c>
      <c r="D938" s="915"/>
      <c r="E938" s="915"/>
      <c r="F938" s="136"/>
      <c r="I938" s="885"/>
      <c r="J938" s="885"/>
      <c r="K938" s="885"/>
      <c r="L938" s="885"/>
      <c r="M938" s="885"/>
      <c r="N938" s="885"/>
      <c r="O938" s="885"/>
      <c r="P938" s="885"/>
      <c r="Q938" s="885"/>
      <c r="R938" s="885"/>
      <c r="S938" s="885"/>
      <c r="T938" s="885"/>
      <c r="U938" s="885"/>
      <c r="V938" s="885"/>
      <c r="W938" s="885"/>
      <c r="X938" s="885"/>
      <c r="Y938" s="885"/>
      <c r="Z938" s="885"/>
      <c r="AA938" s="885"/>
      <c r="AB938" s="885"/>
      <c r="AC938" s="885"/>
      <c r="AD938" s="885"/>
      <c r="AE938" s="885"/>
      <c r="AF938" s="885"/>
      <c r="AG938" s="885"/>
      <c r="AH938" s="885"/>
      <c r="AI938" s="885"/>
      <c r="AJ938" s="885"/>
      <c r="AK938" s="885"/>
      <c r="AL938" s="885"/>
      <c r="AM938" s="885"/>
      <c r="AN938" s="885"/>
      <c r="AO938" s="885"/>
      <c r="AP938" s="885"/>
      <c r="AQ938" s="885"/>
      <c r="AR938" s="885"/>
      <c r="AS938" s="885"/>
      <c r="AT938" s="885"/>
      <c r="AU938" s="885"/>
      <c r="AV938" s="885"/>
      <c r="AW938" s="885"/>
      <c r="AX938" s="885"/>
      <c r="AY938" s="885"/>
      <c r="AZ938" s="885"/>
      <c r="BA938" s="885"/>
      <c r="BB938" s="885"/>
      <c r="BC938" s="885"/>
      <c r="BD938" s="885"/>
      <c r="BE938" s="885"/>
      <c r="BF938" s="885"/>
      <c r="BG938" s="885"/>
      <c r="BH938" s="885"/>
      <c r="BI938" s="885"/>
      <c r="BJ938" s="885"/>
      <c r="BK938" s="885"/>
      <c r="BL938" s="885"/>
      <c r="BM938" s="885"/>
      <c r="BN938" s="885"/>
      <c r="BO938" s="885"/>
      <c r="BP938" s="885"/>
      <c r="BQ938" s="885"/>
      <c r="BR938" s="885"/>
      <c r="BS938" s="885"/>
      <c r="BT938" s="885"/>
      <c r="BU938" s="885"/>
      <c r="BV938" s="885"/>
      <c r="BW938" s="885"/>
      <c r="BX938" s="885"/>
      <c r="BY938" s="885"/>
      <c r="BZ938" s="885"/>
      <c r="CA938" s="885"/>
      <c r="CB938" s="885"/>
      <c r="CC938" s="885"/>
      <c r="CD938" s="885"/>
      <c r="CE938" s="885"/>
      <c r="CF938" s="885"/>
      <c r="CG938" s="885"/>
      <c r="CH938" s="885"/>
      <c r="CI938" s="885"/>
      <c r="CJ938" s="885"/>
      <c r="CK938" s="885"/>
      <c r="CL938" s="885"/>
      <c r="CM938" s="885"/>
      <c r="CN938" s="885"/>
      <c r="CO938" s="885"/>
      <c r="CP938" s="885"/>
      <c r="CQ938" s="885"/>
      <c r="CR938" s="885"/>
      <c r="CS938" s="885"/>
      <c r="CT938" s="885"/>
      <c r="CU938" s="885"/>
      <c r="CV938" s="885"/>
      <c r="CW938" s="885"/>
      <c r="CX938" s="885"/>
      <c r="CY938" s="885"/>
      <c r="CZ938" s="885"/>
      <c r="DA938" s="885"/>
      <c r="DB938" s="885"/>
      <c r="DC938" s="885"/>
      <c r="DD938" s="885"/>
      <c r="DE938" s="885"/>
      <c r="DF938" s="885"/>
      <c r="DG938" s="885"/>
      <c r="DH938" s="885"/>
      <c r="DI938" s="885"/>
      <c r="DJ938" s="885"/>
      <c r="DK938" s="885"/>
      <c r="DL938" s="885"/>
      <c r="DM938" s="885"/>
      <c r="DN938" s="885"/>
      <c r="DO938" s="885"/>
      <c r="DP938" s="885"/>
      <c r="DQ938" s="885"/>
      <c r="DR938" s="885"/>
      <c r="DS938" s="885"/>
      <c r="DT938" s="885"/>
      <c r="DU938" s="885"/>
      <c r="DV938" s="885"/>
      <c r="DW938" s="885"/>
      <c r="DX938" s="885"/>
      <c r="DY938" s="885"/>
      <c r="DZ938" s="885"/>
      <c r="EA938" s="885"/>
      <c r="EB938" s="885"/>
      <c r="EC938" s="885"/>
      <c r="ED938" s="885"/>
      <c r="EE938" s="885"/>
      <c r="EF938" s="885"/>
      <c r="EG938" s="885"/>
      <c r="EH938" s="885"/>
      <c r="EI938" s="885"/>
      <c r="EJ938" s="885"/>
      <c r="EK938" s="885"/>
      <c r="EL938" s="885"/>
      <c r="EM938" s="885"/>
      <c r="EN938" s="885"/>
      <c r="EO938" s="885"/>
      <c r="EP938" s="885"/>
      <c r="EQ938" s="885"/>
      <c r="ER938" s="885"/>
      <c r="ES938" s="885"/>
      <c r="ET938" s="885"/>
      <c r="EU938" s="885"/>
      <c r="EV938" s="885"/>
      <c r="EW938" s="885"/>
      <c r="EX938" s="885"/>
      <c r="EY938" s="885"/>
      <c r="EZ938" s="885"/>
      <c r="FA938" s="885"/>
      <c r="FB938" s="885"/>
      <c r="FC938" s="885"/>
      <c r="FD938" s="885"/>
      <c r="FE938" s="885"/>
      <c r="FF938" s="885"/>
      <c r="FG938" s="885"/>
      <c r="FH938" s="885"/>
      <c r="FI938" s="885"/>
      <c r="FJ938" s="885"/>
      <c r="FK938" s="885"/>
      <c r="FL938" s="885"/>
      <c r="FM938" s="885"/>
      <c r="FN938" s="885"/>
      <c r="FO938" s="885"/>
      <c r="FP938" s="885"/>
      <c r="FQ938" s="885"/>
      <c r="FR938" s="885"/>
      <c r="FS938" s="885"/>
      <c r="FT938" s="885"/>
      <c r="FU938" s="885"/>
      <c r="FV938" s="885"/>
      <c r="FW938" s="885"/>
      <c r="FX938" s="885"/>
      <c r="FY938" s="885"/>
      <c r="FZ938" s="885"/>
      <c r="GA938" s="885"/>
      <c r="GB938" s="885"/>
      <c r="GC938" s="885"/>
      <c r="GD938" s="885"/>
      <c r="GE938" s="885"/>
      <c r="GF938" s="885"/>
      <c r="GG938" s="885"/>
      <c r="GH938" s="885"/>
      <c r="GI938" s="885"/>
      <c r="GJ938" s="885"/>
      <c r="GK938" s="885"/>
      <c r="GL938" s="885"/>
      <c r="GM938" s="885"/>
      <c r="GN938" s="885"/>
      <c r="GO938" s="885"/>
      <c r="GP938" s="885"/>
      <c r="GQ938" s="885"/>
      <c r="GR938" s="885"/>
      <c r="GS938" s="885"/>
      <c r="GT938" s="885"/>
      <c r="GU938" s="885"/>
      <c r="GV938" s="885"/>
      <c r="GW938" s="885"/>
      <c r="GX938" s="885"/>
      <c r="GY938" s="885"/>
      <c r="GZ938" s="885"/>
      <c r="HA938" s="885"/>
      <c r="HB938" s="885"/>
      <c r="HC938" s="885"/>
      <c r="HD938" s="885"/>
      <c r="HE938" s="885"/>
      <c r="HF938" s="885"/>
      <c r="HG938" s="885"/>
      <c r="HH938" s="885"/>
      <c r="HI938" s="885"/>
      <c r="HJ938" s="885"/>
      <c r="HK938" s="885"/>
      <c r="HL938" s="885"/>
      <c r="HM938" s="885"/>
      <c r="HN938" s="885"/>
      <c r="HO938" s="885"/>
      <c r="HP938" s="885"/>
      <c r="HQ938" s="885"/>
      <c r="HR938" s="885"/>
      <c r="HS938" s="885"/>
      <c r="HT938" s="885"/>
      <c r="HU938" s="885"/>
      <c r="HV938" s="885"/>
      <c r="HW938" s="885"/>
      <c r="HX938" s="885"/>
      <c r="HY938" s="885"/>
      <c r="HZ938" s="885"/>
      <c r="IA938" s="885"/>
      <c r="IB938" s="885"/>
      <c r="IC938" s="885"/>
      <c r="ID938" s="885"/>
      <c r="IE938" s="885"/>
      <c r="IF938" s="885"/>
      <c r="IG938" s="885"/>
      <c r="IH938" s="885"/>
      <c r="II938" s="885"/>
      <c r="IJ938" s="885"/>
      <c r="IK938" s="885"/>
      <c r="IL938" s="885"/>
      <c r="IM938" s="885"/>
      <c r="IN938" s="885"/>
      <c r="IO938" s="885"/>
      <c r="IP938" s="885"/>
      <c r="IQ938" s="885"/>
      <c r="IR938" s="885"/>
      <c r="IS938" s="885"/>
      <c r="IT938" s="885"/>
      <c r="IU938" s="885"/>
      <c r="IV938" s="885"/>
      <c r="IW938" s="885"/>
      <c r="IX938" s="885"/>
    </row>
    <row r="939" spans="1:258" x14ac:dyDescent="0.25">
      <c r="A939" s="125">
        <f t="shared" si="118"/>
        <v>899</v>
      </c>
      <c r="B939" s="885"/>
      <c r="C939" s="842" t="s">
        <v>10505</v>
      </c>
      <c r="D939" s="924">
        <f>81727.09</f>
        <v>81727.09</v>
      </c>
      <c r="E939" s="924">
        <f>D939/8*13.33</f>
        <v>136177.76371249999</v>
      </c>
      <c r="F939" s="136">
        <f>E939/13.33</f>
        <v>10215.88625</v>
      </c>
      <c r="G939" s="122" t="s">
        <v>1963</v>
      </c>
      <c r="I939" s="885"/>
      <c r="J939" s="885"/>
      <c r="K939" s="885"/>
      <c r="L939" s="885"/>
      <c r="M939" s="885"/>
      <c r="N939" s="885"/>
      <c r="O939" s="885"/>
      <c r="P939" s="885"/>
      <c r="Q939" s="885"/>
      <c r="R939" s="885"/>
      <c r="S939" s="885"/>
      <c r="T939" s="885"/>
      <c r="U939" s="885"/>
      <c r="V939" s="885"/>
      <c r="W939" s="885"/>
      <c r="X939" s="885"/>
      <c r="Y939" s="885"/>
      <c r="Z939" s="885"/>
      <c r="AA939" s="885"/>
      <c r="AB939" s="885"/>
      <c r="AC939" s="885"/>
      <c r="AD939" s="885"/>
      <c r="AE939" s="885"/>
      <c r="AF939" s="885"/>
      <c r="AG939" s="885"/>
      <c r="AH939" s="885"/>
      <c r="AI939" s="885"/>
      <c r="AJ939" s="885"/>
      <c r="AK939" s="885"/>
      <c r="AL939" s="885"/>
      <c r="AM939" s="885"/>
      <c r="AN939" s="885"/>
      <c r="AO939" s="885"/>
      <c r="AP939" s="885"/>
      <c r="AQ939" s="885"/>
      <c r="AR939" s="885"/>
      <c r="AS939" s="885"/>
      <c r="AT939" s="885"/>
      <c r="AU939" s="885"/>
      <c r="AV939" s="885"/>
      <c r="AW939" s="885"/>
      <c r="AX939" s="885"/>
      <c r="AY939" s="885"/>
      <c r="AZ939" s="885"/>
      <c r="BA939" s="885"/>
      <c r="BB939" s="885"/>
      <c r="BC939" s="885"/>
      <c r="BD939" s="885"/>
      <c r="BE939" s="885"/>
      <c r="BF939" s="885"/>
      <c r="BG939" s="885"/>
      <c r="BH939" s="885"/>
      <c r="BI939" s="885"/>
      <c r="BJ939" s="885"/>
      <c r="BK939" s="885"/>
      <c r="BL939" s="885"/>
      <c r="BM939" s="885"/>
      <c r="BN939" s="885"/>
      <c r="BO939" s="885"/>
      <c r="BP939" s="885"/>
      <c r="BQ939" s="885"/>
      <c r="BR939" s="885"/>
      <c r="BS939" s="885"/>
      <c r="BT939" s="885"/>
      <c r="BU939" s="885"/>
      <c r="BV939" s="885"/>
      <c r="BW939" s="885"/>
      <c r="BX939" s="885"/>
      <c r="BY939" s="885"/>
      <c r="BZ939" s="885"/>
      <c r="CA939" s="885"/>
      <c r="CB939" s="885"/>
      <c r="CC939" s="885"/>
      <c r="CD939" s="885"/>
      <c r="CE939" s="885"/>
      <c r="CF939" s="885"/>
      <c r="CG939" s="885"/>
      <c r="CH939" s="885"/>
      <c r="CI939" s="885"/>
      <c r="CJ939" s="885"/>
      <c r="CK939" s="885"/>
      <c r="CL939" s="885"/>
      <c r="CM939" s="885"/>
      <c r="CN939" s="885"/>
      <c r="CO939" s="885"/>
      <c r="CP939" s="885"/>
      <c r="CQ939" s="885"/>
      <c r="CR939" s="885"/>
      <c r="CS939" s="885"/>
      <c r="CT939" s="885"/>
      <c r="CU939" s="885"/>
      <c r="CV939" s="885"/>
      <c r="CW939" s="885"/>
      <c r="CX939" s="885"/>
      <c r="CY939" s="885"/>
      <c r="CZ939" s="885"/>
      <c r="DA939" s="885"/>
      <c r="DB939" s="885"/>
      <c r="DC939" s="885"/>
      <c r="DD939" s="885"/>
      <c r="DE939" s="885"/>
      <c r="DF939" s="885"/>
      <c r="DG939" s="885"/>
      <c r="DH939" s="885"/>
      <c r="DI939" s="885"/>
      <c r="DJ939" s="885"/>
      <c r="DK939" s="885"/>
      <c r="DL939" s="885"/>
      <c r="DM939" s="885"/>
      <c r="DN939" s="885"/>
      <c r="DO939" s="885"/>
      <c r="DP939" s="885"/>
      <c r="DQ939" s="885"/>
      <c r="DR939" s="885"/>
      <c r="DS939" s="885"/>
      <c r="DT939" s="885"/>
      <c r="DU939" s="885"/>
      <c r="DV939" s="885"/>
      <c r="DW939" s="885"/>
      <c r="DX939" s="885"/>
      <c r="DY939" s="885"/>
      <c r="DZ939" s="885"/>
      <c r="EA939" s="885"/>
      <c r="EB939" s="885"/>
      <c r="EC939" s="885"/>
      <c r="ED939" s="885"/>
      <c r="EE939" s="885"/>
      <c r="EF939" s="885"/>
      <c r="EG939" s="885"/>
      <c r="EH939" s="885"/>
      <c r="EI939" s="885"/>
      <c r="EJ939" s="885"/>
      <c r="EK939" s="885"/>
      <c r="EL939" s="885"/>
      <c r="EM939" s="885"/>
      <c r="EN939" s="885"/>
      <c r="EO939" s="885"/>
      <c r="EP939" s="885"/>
      <c r="EQ939" s="885"/>
      <c r="ER939" s="885"/>
      <c r="ES939" s="885"/>
      <c r="ET939" s="885"/>
      <c r="EU939" s="885"/>
      <c r="EV939" s="885"/>
      <c r="EW939" s="885"/>
      <c r="EX939" s="885"/>
      <c r="EY939" s="885"/>
      <c r="EZ939" s="885"/>
      <c r="FA939" s="885"/>
      <c r="FB939" s="885"/>
      <c r="FC939" s="885"/>
      <c r="FD939" s="885"/>
      <c r="FE939" s="885"/>
      <c r="FF939" s="885"/>
      <c r="FG939" s="885"/>
      <c r="FH939" s="885"/>
      <c r="FI939" s="885"/>
      <c r="FJ939" s="885"/>
      <c r="FK939" s="885"/>
      <c r="FL939" s="885"/>
      <c r="FM939" s="885"/>
      <c r="FN939" s="885"/>
      <c r="FO939" s="885"/>
      <c r="FP939" s="885"/>
      <c r="FQ939" s="885"/>
      <c r="FR939" s="885"/>
      <c r="FS939" s="885"/>
      <c r="FT939" s="885"/>
      <c r="FU939" s="885"/>
      <c r="FV939" s="885"/>
      <c r="FW939" s="885"/>
      <c r="FX939" s="885"/>
      <c r="FY939" s="885"/>
      <c r="FZ939" s="885"/>
      <c r="GA939" s="885"/>
      <c r="GB939" s="885"/>
      <c r="GC939" s="885"/>
      <c r="GD939" s="885"/>
      <c r="GE939" s="885"/>
      <c r="GF939" s="885"/>
      <c r="GG939" s="885"/>
      <c r="GH939" s="885"/>
      <c r="GI939" s="885"/>
      <c r="GJ939" s="885"/>
      <c r="GK939" s="885"/>
      <c r="GL939" s="885"/>
      <c r="GM939" s="885"/>
      <c r="GN939" s="885"/>
      <c r="GO939" s="885"/>
      <c r="GP939" s="885"/>
      <c r="GQ939" s="885"/>
      <c r="GR939" s="885"/>
      <c r="GS939" s="885"/>
      <c r="GT939" s="885"/>
      <c r="GU939" s="885"/>
      <c r="GV939" s="885"/>
      <c r="GW939" s="885"/>
      <c r="GX939" s="885"/>
      <c r="GY939" s="885"/>
      <c r="GZ939" s="885"/>
      <c r="HA939" s="885"/>
      <c r="HB939" s="885"/>
      <c r="HC939" s="885"/>
      <c r="HD939" s="885"/>
      <c r="HE939" s="885"/>
      <c r="HF939" s="885"/>
      <c r="HG939" s="885"/>
      <c r="HH939" s="885"/>
      <c r="HI939" s="885"/>
      <c r="HJ939" s="885"/>
      <c r="HK939" s="885"/>
      <c r="HL939" s="885"/>
      <c r="HM939" s="885"/>
      <c r="HN939" s="885"/>
      <c r="HO939" s="885"/>
      <c r="HP939" s="885"/>
      <c r="HQ939" s="885"/>
      <c r="HR939" s="885"/>
      <c r="HS939" s="885"/>
      <c r="HT939" s="885"/>
      <c r="HU939" s="885"/>
      <c r="HV939" s="885"/>
      <c r="HW939" s="885"/>
      <c r="HX939" s="885"/>
      <c r="HY939" s="885"/>
      <c r="HZ939" s="885"/>
      <c r="IA939" s="885"/>
      <c r="IB939" s="885"/>
      <c r="IC939" s="885"/>
      <c r="ID939" s="885"/>
      <c r="IE939" s="885"/>
      <c r="IF939" s="885"/>
      <c r="IG939" s="885"/>
      <c r="IH939" s="885"/>
      <c r="II939" s="885"/>
      <c r="IJ939" s="885"/>
      <c r="IK939" s="885"/>
      <c r="IL939" s="885"/>
      <c r="IM939" s="885"/>
      <c r="IN939" s="885"/>
      <c r="IO939" s="885"/>
      <c r="IP939" s="885"/>
      <c r="IQ939" s="885"/>
      <c r="IR939" s="885"/>
      <c r="IS939" s="885"/>
      <c r="IT939" s="885"/>
      <c r="IU939" s="885"/>
      <c r="IV939" s="885"/>
      <c r="IW939" s="885"/>
      <c r="IX939" s="885"/>
    </row>
    <row r="940" spans="1:258" x14ac:dyDescent="0.25">
      <c r="A940" s="125">
        <f t="shared" si="118"/>
        <v>900</v>
      </c>
      <c r="B940" s="981"/>
      <c r="C940" s="134" t="s">
        <v>11579</v>
      </c>
      <c r="D940" s="924">
        <v>1320.19</v>
      </c>
      <c r="E940" s="924">
        <f>D940*13.33</f>
        <v>17598.132700000002</v>
      </c>
      <c r="F940" s="136">
        <f>E940/13.33</f>
        <v>1320.19</v>
      </c>
      <c r="G940" s="122" t="s">
        <v>1963</v>
      </c>
      <c r="I940" s="981"/>
      <c r="J940" s="981"/>
      <c r="K940" s="981"/>
      <c r="L940" s="981"/>
      <c r="M940" s="981"/>
      <c r="N940" s="981"/>
      <c r="O940" s="981"/>
      <c r="P940" s="981"/>
      <c r="Q940" s="981"/>
      <c r="R940" s="981"/>
      <c r="S940" s="981"/>
      <c r="T940" s="981"/>
      <c r="U940" s="981"/>
      <c r="V940" s="981"/>
      <c r="W940" s="981"/>
      <c r="X940" s="981"/>
      <c r="Y940" s="981"/>
      <c r="Z940" s="981"/>
      <c r="AA940" s="981"/>
      <c r="AB940" s="981"/>
      <c r="AC940" s="981"/>
      <c r="AD940" s="981"/>
      <c r="AE940" s="981"/>
      <c r="AF940" s="981"/>
      <c r="AG940" s="981"/>
      <c r="AH940" s="981"/>
      <c r="AI940" s="981"/>
      <c r="AJ940" s="981"/>
      <c r="AK940" s="981"/>
      <c r="AL940" s="981"/>
      <c r="AM940" s="981"/>
      <c r="AN940" s="981"/>
      <c r="AO940" s="981"/>
      <c r="AP940" s="981"/>
      <c r="AQ940" s="981"/>
      <c r="AR940" s="981"/>
      <c r="AS940" s="981"/>
      <c r="AT940" s="981"/>
      <c r="AU940" s="981"/>
      <c r="AV940" s="981"/>
      <c r="AW940" s="981"/>
      <c r="AX940" s="981"/>
      <c r="AY940" s="981"/>
      <c r="AZ940" s="981"/>
      <c r="BA940" s="981"/>
      <c r="BB940" s="981"/>
      <c r="BC940" s="981"/>
      <c r="BD940" s="981"/>
      <c r="BE940" s="981"/>
      <c r="BF940" s="981"/>
      <c r="BG940" s="981"/>
      <c r="BH940" s="981"/>
      <c r="BI940" s="981"/>
      <c r="BJ940" s="981"/>
      <c r="BK940" s="981"/>
      <c r="BL940" s="981"/>
      <c r="BM940" s="981"/>
      <c r="BN940" s="981"/>
      <c r="BO940" s="981"/>
      <c r="BP940" s="981"/>
      <c r="BQ940" s="981"/>
      <c r="BR940" s="981"/>
      <c r="BS940" s="981"/>
      <c r="BT940" s="981"/>
      <c r="BU940" s="981"/>
      <c r="BV940" s="981"/>
      <c r="BW940" s="981"/>
      <c r="BX940" s="981"/>
      <c r="BY940" s="981"/>
      <c r="BZ940" s="981"/>
      <c r="CA940" s="981"/>
      <c r="CB940" s="981"/>
      <c r="CC940" s="981"/>
      <c r="CD940" s="981"/>
      <c r="CE940" s="981"/>
      <c r="CF940" s="981"/>
      <c r="CG940" s="981"/>
      <c r="CH940" s="981"/>
      <c r="CI940" s="981"/>
      <c r="CJ940" s="981"/>
      <c r="CK940" s="981"/>
      <c r="CL940" s="981"/>
      <c r="CM940" s="981"/>
      <c r="CN940" s="981"/>
      <c r="CO940" s="981"/>
      <c r="CP940" s="981"/>
      <c r="CQ940" s="981"/>
      <c r="CR940" s="981"/>
      <c r="CS940" s="981"/>
      <c r="CT940" s="981"/>
      <c r="CU940" s="981"/>
      <c r="CV940" s="981"/>
      <c r="CW940" s="981"/>
      <c r="CX940" s="981"/>
      <c r="CY940" s="981"/>
      <c r="CZ940" s="981"/>
      <c r="DA940" s="981"/>
      <c r="DB940" s="981"/>
      <c r="DC940" s="981"/>
      <c r="DD940" s="981"/>
      <c r="DE940" s="981"/>
      <c r="DF940" s="981"/>
      <c r="DG940" s="981"/>
      <c r="DH940" s="981"/>
      <c r="DI940" s="981"/>
      <c r="DJ940" s="981"/>
      <c r="DK940" s="981"/>
      <c r="DL940" s="981"/>
      <c r="DM940" s="981"/>
      <c r="DN940" s="981"/>
      <c r="DO940" s="981"/>
      <c r="DP940" s="981"/>
      <c r="DQ940" s="981"/>
      <c r="DR940" s="981"/>
      <c r="DS940" s="981"/>
      <c r="DT940" s="981"/>
      <c r="DU940" s="981"/>
      <c r="DV940" s="981"/>
      <c r="DW940" s="981"/>
      <c r="DX940" s="981"/>
      <c r="DY940" s="981"/>
      <c r="DZ940" s="981"/>
      <c r="EA940" s="981"/>
      <c r="EB940" s="981"/>
      <c r="EC940" s="981"/>
      <c r="ED940" s="981"/>
      <c r="EE940" s="981"/>
      <c r="EF940" s="981"/>
      <c r="EG940" s="981"/>
      <c r="EH940" s="981"/>
      <c r="EI940" s="981"/>
      <c r="EJ940" s="981"/>
      <c r="EK940" s="981"/>
      <c r="EL940" s="981"/>
      <c r="EM940" s="981"/>
      <c r="EN940" s="981"/>
      <c r="EO940" s="981"/>
      <c r="EP940" s="981"/>
      <c r="EQ940" s="981"/>
      <c r="ER940" s="981"/>
      <c r="ES940" s="981"/>
      <c r="ET940" s="981"/>
      <c r="EU940" s="981"/>
      <c r="EV940" s="981"/>
      <c r="EW940" s="981"/>
      <c r="EX940" s="981"/>
      <c r="EY940" s="981"/>
      <c r="EZ940" s="981"/>
      <c r="FA940" s="981"/>
      <c r="FB940" s="981"/>
      <c r="FC940" s="981"/>
      <c r="FD940" s="981"/>
      <c r="FE940" s="981"/>
      <c r="FF940" s="981"/>
      <c r="FG940" s="981"/>
      <c r="FH940" s="981"/>
      <c r="FI940" s="981"/>
      <c r="FJ940" s="981"/>
      <c r="FK940" s="981"/>
      <c r="FL940" s="981"/>
      <c r="FM940" s="981"/>
      <c r="FN940" s="981"/>
      <c r="FO940" s="981"/>
      <c r="FP940" s="981"/>
      <c r="FQ940" s="981"/>
      <c r="FR940" s="981"/>
      <c r="FS940" s="981"/>
      <c r="FT940" s="981"/>
      <c r="FU940" s="981"/>
      <c r="FV940" s="981"/>
      <c r="FW940" s="981"/>
      <c r="FX940" s="981"/>
      <c r="FY940" s="981"/>
      <c r="FZ940" s="981"/>
      <c r="GA940" s="981"/>
      <c r="GB940" s="981"/>
      <c r="GC940" s="981"/>
      <c r="GD940" s="981"/>
      <c r="GE940" s="981"/>
      <c r="GF940" s="981"/>
      <c r="GG940" s="981"/>
      <c r="GH940" s="981"/>
      <c r="GI940" s="981"/>
      <c r="GJ940" s="981"/>
      <c r="GK940" s="981"/>
      <c r="GL940" s="981"/>
      <c r="GM940" s="981"/>
      <c r="GN940" s="981"/>
      <c r="GO940" s="981"/>
      <c r="GP940" s="981"/>
      <c r="GQ940" s="981"/>
      <c r="GR940" s="981"/>
      <c r="GS940" s="981"/>
      <c r="GT940" s="981"/>
      <c r="GU940" s="981"/>
      <c r="GV940" s="981"/>
      <c r="GW940" s="981"/>
      <c r="GX940" s="981"/>
      <c r="GY940" s="981"/>
      <c r="GZ940" s="981"/>
      <c r="HA940" s="981"/>
      <c r="HB940" s="981"/>
      <c r="HC940" s="981"/>
      <c r="HD940" s="981"/>
      <c r="HE940" s="981"/>
      <c r="HF940" s="981"/>
      <c r="HG940" s="981"/>
      <c r="HH940" s="981"/>
      <c r="HI940" s="981"/>
      <c r="HJ940" s="981"/>
      <c r="HK940" s="981"/>
      <c r="HL940" s="981"/>
      <c r="HM940" s="981"/>
      <c r="HN940" s="981"/>
      <c r="HO940" s="981"/>
      <c r="HP940" s="981"/>
      <c r="HQ940" s="981"/>
      <c r="HR940" s="981"/>
      <c r="HS940" s="981"/>
      <c r="HT940" s="981"/>
      <c r="HU940" s="981"/>
      <c r="HV940" s="981"/>
      <c r="HW940" s="981"/>
      <c r="HX940" s="981"/>
      <c r="HY940" s="981"/>
      <c r="HZ940" s="981"/>
      <c r="IA940" s="981"/>
      <c r="IB940" s="981"/>
      <c r="IC940" s="981"/>
      <c r="ID940" s="981"/>
      <c r="IE940" s="981"/>
      <c r="IF940" s="981"/>
      <c r="IG940" s="981"/>
      <c r="IH940" s="981"/>
      <c r="II940" s="981"/>
      <c r="IJ940" s="981"/>
      <c r="IK940" s="981"/>
      <c r="IL940" s="981"/>
      <c r="IM940" s="981"/>
      <c r="IN940" s="981"/>
      <c r="IO940" s="981"/>
      <c r="IP940" s="981"/>
      <c r="IQ940" s="981"/>
      <c r="IR940" s="981"/>
      <c r="IS940" s="981"/>
      <c r="IT940" s="981"/>
      <c r="IU940" s="981"/>
      <c r="IV940" s="981"/>
      <c r="IW940" s="981"/>
      <c r="IX940" s="981"/>
    </row>
    <row r="941" spans="1:258" x14ac:dyDescent="0.25">
      <c r="A941" s="125">
        <f t="shared" si="118"/>
        <v>901</v>
      </c>
      <c r="B941" s="885"/>
      <c r="C941" s="842" t="s">
        <v>10516</v>
      </c>
      <c r="D941" s="924">
        <v>549401.16</v>
      </c>
      <c r="E941" s="924">
        <f>D941/8*13.33</f>
        <v>915439.6828500001</v>
      </c>
      <c r="F941" s="136">
        <f>E941/13.33</f>
        <v>68675.145000000004</v>
      </c>
      <c r="G941" s="122" t="s">
        <v>1963</v>
      </c>
      <c r="I941" s="885"/>
      <c r="J941" s="885"/>
      <c r="K941" s="885"/>
      <c r="L941" s="885"/>
      <c r="M941" s="885"/>
      <c r="N941" s="885"/>
      <c r="O941" s="885"/>
      <c r="P941" s="885"/>
      <c r="Q941" s="885"/>
      <c r="R941" s="885"/>
      <c r="S941" s="885"/>
      <c r="T941" s="885"/>
      <c r="U941" s="885"/>
      <c r="V941" s="885"/>
      <c r="W941" s="885"/>
      <c r="X941" s="885"/>
      <c r="Y941" s="885"/>
      <c r="Z941" s="885"/>
      <c r="AA941" s="885"/>
      <c r="AB941" s="885"/>
      <c r="AC941" s="885"/>
      <c r="AD941" s="885"/>
      <c r="AE941" s="885"/>
      <c r="AF941" s="885"/>
      <c r="AG941" s="885"/>
      <c r="AH941" s="885"/>
      <c r="AI941" s="885"/>
      <c r="AJ941" s="885"/>
      <c r="AK941" s="885"/>
      <c r="AL941" s="885"/>
      <c r="AM941" s="885"/>
      <c r="AN941" s="885"/>
      <c r="AO941" s="885"/>
      <c r="AP941" s="885"/>
      <c r="AQ941" s="885"/>
      <c r="AR941" s="885"/>
      <c r="AS941" s="885"/>
      <c r="AT941" s="885"/>
      <c r="AU941" s="885"/>
      <c r="AV941" s="885"/>
      <c r="AW941" s="885"/>
      <c r="AX941" s="885"/>
      <c r="AY941" s="885"/>
      <c r="AZ941" s="885"/>
      <c r="BA941" s="885"/>
      <c r="BB941" s="885"/>
      <c r="BC941" s="885"/>
      <c r="BD941" s="885"/>
      <c r="BE941" s="885"/>
      <c r="BF941" s="885"/>
      <c r="BG941" s="885"/>
      <c r="BH941" s="885"/>
      <c r="BI941" s="885"/>
      <c r="BJ941" s="885"/>
      <c r="BK941" s="885"/>
      <c r="BL941" s="885"/>
      <c r="BM941" s="885"/>
      <c r="BN941" s="885"/>
      <c r="BO941" s="885"/>
      <c r="BP941" s="885"/>
      <c r="BQ941" s="885"/>
      <c r="BR941" s="885"/>
      <c r="BS941" s="885"/>
      <c r="BT941" s="885"/>
      <c r="BU941" s="885"/>
      <c r="BV941" s="885"/>
      <c r="BW941" s="885"/>
      <c r="BX941" s="885"/>
      <c r="BY941" s="885"/>
      <c r="BZ941" s="885"/>
      <c r="CA941" s="885"/>
      <c r="CB941" s="885"/>
      <c r="CC941" s="885"/>
      <c r="CD941" s="885"/>
      <c r="CE941" s="885"/>
      <c r="CF941" s="885"/>
      <c r="CG941" s="885"/>
      <c r="CH941" s="885"/>
      <c r="CI941" s="885"/>
      <c r="CJ941" s="885"/>
      <c r="CK941" s="885"/>
      <c r="CL941" s="885"/>
      <c r="CM941" s="885"/>
      <c r="CN941" s="885"/>
      <c r="CO941" s="885"/>
      <c r="CP941" s="885"/>
      <c r="CQ941" s="885"/>
      <c r="CR941" s="885"/>
      <c r="CS941" s="885"/>
      <c r="CT941" s="885"/>
      <c r="CU941" s="885"/>
      <c r="CV941" s="885"/>
      <c r="CW941" s="885"/>
      <c r="CX941" s="885"/>
      <c r="CY941" s="885"/>
      <c r="CZ941" s="885"/>
      <c r="DA941" s="885"/>
      <c r="DB941" s="885"/>
      <c r="DC941" s="885"/>
      <c r="DD941" s="885"/>
      <c r="DE941" s="885"/>
      <c r="DF941" s="885"/>
      <c r="DG941" s="885"/>
      <c r="DH941" s="885"/>
      <c r="DI941" s="885"/>
      <c r="DJ941" s="885"/>
      <c r="DK941" s="885"/>
      <c r="DL941" s="885"/>
      <c r="DM941" s="885"/>
      <c r="DN941" s="885"/>
      <c r="DO941" s="885"/>
      <c r="DP941" s="885"/>
      <c r="DQ941" s="885"/>
      <c r="DR941" s="885"/>
      <c r="DS941" s="885"/>
      <c r="DT941" s="885"/>
      <c r="DU941" s="885"/>
      <c r="DV941" s="885"/>
      <c r="DW941" s="885"/>
      <c r="DX941" s="885"/>
      <c r="DY941" s="885"/>
      <c r="DZ941" s="885"/>
      <c r="EA941" s="885"/>
      <c r="EB941" s="885"/>
      <c r="EC941" s="885"/>
      <c r="ED941" s="885"/>
      <c r="EE941" s="885"/>
      <c r="EF941" s="885"/>
      <c r="EG941" s="885"/>
      <c r="EH941" s="885"/>
      <c r="EI941" s="885"/>
      <c r="EJ941" s="885"/>
      <c r="EK941" s="885"/>
      <c r="EL941" s="885"/>
      <c r="EM941" s="885"/>
      <c r="EN941" s="885"/>
      <c r="EO941" s="885"/>
      <c r="EP941" s="885"/>
      <c r="EQ941" s="885"/>
      <c r="ER941" s="885"/>
      <c r="ES941" s="885"/>
      <c r="ET941" s="885"/>
      <c r="EU941" s="885"/>
      <c r="EV941" s="885"/>
      <c r="EW941" s="885"/>
      <c r="EX941" s="885"/>
      <c r="EY941" s="885"/>
      <c r="EZ941" s="885"/>
      <c r="FA941" s="885"/>
      <c r="FB941" s="885"/>
      <c r="FC941" s="885"/>
      <c r="FD941" s="885"/>
      <c r="FE941" s="885"/>
      <c r="FF941" s="885"/>
      <c r="FG941" s="885"/>
      <c r="FH941" s="885"/>
      <c r="FI941" s="885"/>
      <c r="FJ941" s="885"/>
      <c r="FK941" s="885"/>
      <c r="FL941" s="885"/>
      <c r="FM941" s="885"/>
      <c r="FN941" s="885"/>
      <c r="FO941" s="885"/>
      <c r="FP941" s="885"/>
      <c r="FQ941" s="885"/>
      <c r="FR941" s="885"/>
      <c r="FS941" s="885"/>
      <c r="FT941" s="885"/>
      <c r="FU941" s="885"/>
      <c r="FV941" s="885"/>
      <c r="FW941" s="885"/>
      <c r="FX941" s="885"/>
      <c r="FY941" s="885"/>
      <c r="FZ941" s="885"/>
      <c r="GA941" s="885"/>
      <c r="GB941" s="885"/>
      <c r="GC941" s="885"/>
      <c r="GD941" s="885"/>
      <c r="GE941" s="885"/>
      <c r="GF941" s="885"/>
      <c r="GG941" s="885"/>
      <c r="GH941" s="885"/>
      <c r="GI941" s="885"/>
      <c r="GJ941" s="885"/>
      <c r="GK941" s="885"/>
      <c r="GL941" s="885"/>
      <c r="GM941" s="885"/>
      <c r="GN941" s="885"/>
      <c r="GO941" s="885"/>
      <c r="GP941" s="885"/>
      <c r="GQ941" s="885"/>
      <c r="GR941" s="885"/>
      <c r="GS941" s="885"/>
      <c r="GT941" s="885"/>
      <c r="GU941" s="885"/>
      <c r="GV941" s="885"/>
      <c r="GW941" s="885"/>
      <c r="GX941" s="885"/>
      <c r="GY941" s="885"/>
      <c r="GZ941" s="885"/>
      <c r="HA941" s="885"/>
      <c r="HB941" s="885"/>
      <c r="HC941" s="885"/>
      <c r="HD941" s="885"/>
      <c r="HE941" s="885"/>
      <c r="HF941" s="885"/>
      <c r="HG941" s="885"/>
      <c r="HH941" s="885"/>
      <c r="HI941" s="885"/>
      <c r="HJ941" s="885"/>
      <c r="HK941" s="885"/>
      <c r="HL941" s="885"/>
      <c r="HM941" s="885"/>
      <c r="HN941" s="885"/>
      <c r="HO941" s="885"/>
      <c r="HP941" s="885"/>
      <c r="HQ941" s="885"/>
      <c r="HR941" s="885"/>
      <c r="HS941" s="885"/>
      <c r="HT941" s="885"/>
      <c r="HU941" s="885"/>
      <c r="HV941" s="885"/>
      <c r="HW941" s="885"/>
      <c r="HX941" s="885"/>
      <c r="HY941" s="885"/>
      <c r="HZ941" s="885"/>
      <c r="IA941" s="885"/>
      <c r="IB941" s="885"/>
      <c r="IC941" s="885"/>
      <c r="ID941" s="885"/>
      <c r="IE941" s="885"/>
      <c r="IF941" s="885"/>
      <c r="IG941" s="885"/>
      <c r="IH941" s="885"/>
      <c r="II941" s="885"/>
      <c r="IJ941" s="885"/>
      <c r="IK941" s="885"/>
      <c r="IL941" s="885"/>
      <c r="IM941" s="885"/>
      <c r="IN941" s="885"/>
      <c r="IO941" s="885"/>
      <c r="IP941" s="885"/>
      <c r="IQ941" s="885"/>
      <c r="IR941" s="885"/>
      <c r="IS941" s="885"/>
      <c r="IT941" s="885"/>
      <c r="IU941" s="885"/>
      <c r="IV941" s="885"/>
      <c r="IW941" s="885"/>
      <c r="IX941" s="885"/>
    </row>
    <row r="942" spans="1:258" x14ac:dyDescent="0.25">
      <c r="A942" s="125">
        <f t="shared" si="118"/>
        <v>902</v>
      </c>
      <c r="B942" s="954"/>
      <c r="C942" s="842" t="s">
        <v>11532</v>
      </c>
      <c r="D942" s="924">
        <v>108686.66</v>
      </c>
      <c r="E942" s="924">
        <f>D942/8*13.33</f>
        <v>181099.14722499999</v>
      </c>
      <c r="F942" s="136">
        <v>0</v>
      </c>
      <c r="G942" s="122" t="s">
        <v>1963</v>
      </c>
      <c r="I942" s="954"/>
      <c r="J942" s="954"/>
      <c r="K942" s="954"/>
      <c r="L942" s="954"/>
      <c r="M942" s="954"/>
      <c r="N942" s="954"/>
      <c r="O942" s="954"/>
      <c r="P942" s="954"/>
      <c r="Q942" s="954"/>
      <c r="R942" s="954"/>
      <c r="S942" s="954"/>
      <c r="T942" s="954"/>
      <c r="U942" s="954"/>
      <c r="V942" s="954"/>
      <c r="W942" s="954"/>
      <c r="X942" s="954"/>
      <c r="Y942" s="954"/>
      <c r="Z942" s="954"/>
      <c r="AA942" s="954"/>
      <c r="AB942" s="954"/>
      <c r="AC942" s="954"/>
      <c r="AD942" s="954"/>
      <c r="AE942" s="954"/>
      <c r="AF942" s="954"/>
      <c r="AG942" s="954"/>
      <c r="AH942" s="954"/>
      <c r="AI942" s="954"/>
      <c r="AJ942" s="954"/>
      <c r="AK942" s="954"/>
      <c r="AL942" s="954"/>
      <c r="AM942" s="954"/>
      <c r="AN942" s="954"/>
      <c r="AO942" s="954"/>
      <c r="AP942" s="954"/>
      <c r="AQ942" s="954"/>
      <c r="AR942" s="954"/>
      <c r="AS942" s="954"/>
      <c r="AT942" s="954"/>
      <c r="AU942" s="954"/>
      <c r="AV942" s="954"/>
      <c r="AW942" s="954"/>
      <c r="AX942" s="954"/>
      <c r="AY942" s="954"/>
      <c r="AZ942" s="954"/>
      <c r="BA942" s="954"/>
      <c r="BB942" s="954"/>
      <c r="BC942" s="954"/>
      <c r="BD942" s="954"/>
      <c r="BE942" s="954"/>
      <c r="BF942" s="954"/>
      <c r="BG942" s="954"/>
      <c r="BH942" s="954"/>
      <c r="BI942" s="954"/>
      <c r="BJ942" s="954"/>
      <c r="BK942" s="954"/>
      <c r="BL942" s="954"/>
      <c r="BM942" s="954"/>
      <c r="BN942" s="954"/>
      <c r="BO942" s="954"/>
      <c r="BP942" s="954"/>
      <c r="BQ942" s="954"/>
      <c r="BR942" s="954"/>
      <c r="BS942" s="954"/>
      <c r="BT942" s="954"/>
      <c r="BU942" s="954"/>
      <c r="BV942" s="954"/>
      <c r="BW942" s="954"/>
      <c r="BX942" s="954"/>
      <c r="BY942" s="954"/>
      <c r="BZ942" s="954"/>
      <c r="CA942" s="954"/>
      <c r="CB942" s="954"/>
      <c r="CC942" s="954"/>
      <c r="CD942" s="954"/>
      <c r="CE942" s="954"/>
      <c r="CF942" s="954"/>
      <c r="CG942" s="954"/>
      <c r="CH942" s="954"/>
      <c r="CI942" s="954"/>
      <c r="CJ942" s="954"/>
      <c r="CK942" s="954"/>
      <c r="CL942" s="954"/>
      <c r="CM942" s="954"/>
      <c r="CN942" s="954"/>
      <c r="CO942" s="954"/>
      <c r="CP942" s="954"/>
      <c r="CQ942" s="954"/>
      <c r="CR942" s="954"/>
      <c r="CS942" s="954"/>
      <c r="CT942" s="954"/>
      <c r="CU942" s="954"/>
      <c r="CV942" s="954"/>
      <c r="CW942" s="954"/>
      <c r="CX942" s="954"/>
      <c r="CY942" s="954"/>
      <c r="CZ942" s="954"/>
      <c r="DA942" s="954"/>
      <c r="DB942" s="954"/>
      <c r="DC942" s="954"/>
      <c r="DD942" s="954"/>
      <c r="DE942" s="954"/>
      <c r="DF942" s="954"/>
      <c r="DG942" s="954"/>
      <c r="DH942" s="954"/>
      <c r="DI942" s="954"/>
      <c r="DJ942" s="954"/>
      <c r="DK942" s="954"/>
      <c r="DL942" s="954"/>
      <c r="DM942" s="954"/>
      <c r="DN942" s="954"/>
      <c r="DO942" s="954"/>
      <c r="DP942" s="954"/>
      <c r="DQ942" s="954"/>
      <c r="DR942" s="954"/>
      <c r="DS942" s="954"/>
      <c r="DT942" s="954"/>
      <c r="DU942" s="954"/>
      <c r="DV942" s="954"/>
      <c r="DW942" s="954"/>
      <c r="DX942" s="954"/>
      <c r="DY942" s="954"/>
      <c r="DZ942" s="954"/>
      <c r="EA942" s="954"/>
      <c r="EB942" s="954"/>
      <c r="EC942" s="954"/>
      <c r="ED942" s="954"/>
      <c r="EE942" s="954"/>
      <c r="EF942" s="954"/>
      <c r="EG942" s="954"/>
      <c r="EH942" s="954"/>
      <c r="EI942" s="954"/>
      <c r="EJ942" s="954"/>
      <c r="EK942" s="954"/>
      <c r="EL942" s="954"/>
      <c r="EM942" s="954"/>
      <c r="EN942" s="954"/>
      <c r="EO942" s="954"/>
      <c r="EP942" s="954"/>
      <c r="EQ942" s="954"/>
      <c r="ER942" s="954"/>
      <c r="ES942" s="954"/>
      <c r="ET942" s="954"/>
      <c r="EU942" s="954"/>
      <c r="EV942" s="954"/>
      <c r="EW942" s="954"/>
      <c r="EX942" s="954"/>
      <c r="EY942" s="954"/>
      <c r="EZ942" s="954"/>
      <c r="FA942" s="954"/>
      <c r="FB942" s="954"/>
      <c r="FC942" s="954"/>
      <c r="FD942" s="954"/>
      <c r="FE942" s="954"/>
      <c r="FF942" s="954"/>
      <c r="FG942" s="954"/>
      <c r="FH942" s="954"/>
      <c r="FI942" s="954"/>
      <c r="FJ942" s="954"/>
      <c r="FK942" s="954"/>
      <c r="FL942" s="954"/>
      <c r="FM942" s="954"/>
      <c r="FN942" s="954"/>
      <c r="FO942" s="954"/>
      <c r="FP942" s="954"/>
      <c r="FQ942" s="954"/>
      <c r="FR942" s="954"/>
      <c r="FS942" s="954"/>
      <c r="FT942" s="954"/>
      <c r="FU942" s="954"/>
      <c r="FV942" s="954"/>
      <c r="FW942" s="954"/>
      <c r="FX942" s="954"/>
      <c r="FY942" s="954"/>
      <c r="FZ942" s="954"/>
      <c r="GA942" s="954"/>
      <c r="GB942" s="954"/>
      <c r="GC942" s="954"/>
      <c r="GD942" s="954"/>
      <c r="GE942" s="954"/>
      <c r="GF942" s="954"/>
      <c r="GG942" s="954"/>
      <c r="GH942" s="954"/>
      <c r="GI942" s="954"/>
      <c r="GJ942" s="954"/>
      <c r="GK942" s="954"/>
      <c r="GL942" s="954"/>
      <c r="GM942" s="954"/>
      <c r="GN942" s="954"/>
      <c r="GO942" s="954"/>
      <c r="GP942" s="954"/>
      <c r="GQ942" s="954"/>
      <c r="GR942" s="954"/>
      <c r="GS942" s="954"/>
      <c r="GT942" s="954"/>
      <c r="GU942" s="954"/>
      <c r="GV942" s="954"/>
      <c r="GW942" s="954"/>
      <c r="GX942" s="954"/>
      <c r="GY942" s="954"/>
      <c r="GZ942" s="954"/>
      <c r="HA942" s="954"/>
      <c r="HB942" s="954"/>
      <c r="HC942" s="954"/>
      <c r="HD942" s="954"/>
      <c r="HE942" s="954"/>
      <c r="HF942" s="954"/>
      <c r="HG942" s="954"/>
      <c r="HH942" s="954"/>
      <c r="HI942" s="954"/>
      <c r="HJ942" s="954"/>
      <c r="HK942" s="954"/>
      <c r="HL942" s="954"/>
      <c r="HM942" s="954"/>
      <c r="HN942" s="954"/>
      <c r="HO942" s="954"/>
      <c r="HP942" s="954"/>
      <c r="HQ942" s="954"/>
      <c r="HR942" s="954"/>
      <c r="HS942" s="954"/>
      <c r="HT942" s="954"/>
      <c r="HU942" s="954"/>
      <c r="HV942" s="954"/>
      <c r="HW942" s="954"/>
      <c r="HX942" s="954"/>
      <c r="HY942" s="954"/>
      <c r="HZ942" s="954"/>
      <c r="IA942" s="954"/>
      <c r="IB942" s="954"/>
      <c r="IC942" s="954"/>
      <c r="ID942" s="954"/>
      <c r="IE942" s="954"/>
      <c r="IF942" s="954"/>
      <c r="IG942" s="954"/>
      <c r="IH942" s="954"/>
      <c r="II942" s="954"/>
      <c r="IJ942" s="954"/>
      <c r="IK942" s="954"/>
      <c r="IL942" s="954"/>
      <c r="IM942" s="954"/>
      <c r="IN942" s="954"/>
      <c r="IO942" s="954"/>
      <c r="IP942" s="954"/>
      <c r="IQ942" s="954"/>
      <c r="IR942" s="954"/>
      <c r="IS942" s="954"/>
      <c r="IT942" s="954"/>
      <c r="IU942" s="954"/>
      <c r="IV942" s="954"/>
      <c r="IW942" s="954"/>
      <c r="IX942" s="954"/>
    </row>
    <row r="943" spans="1:258" x14ac:dyDescent="0.25">
      <c r="A943" s="125">
        <f t="shared" si="118"/>
        <v>903</v>
      </c>
      <c r="B943" s="885"/>
      <c r="C943" s="842" t="s">
        <v>10503</v>
      </c>
      <c r="D943" s="924">
        <v>0</v>
      </c>
      <c r="E943" s="924">
        <f t="shared" si="117"/>
        <v>0</v>
      </c>
      <c r="F943" s="136">
        <v>100</v>
      </c>
      <c r="G943" s="122" t="s">
        <v>1963</v>
      </c>
      <c r="I943" s="885"/>
      <c r="J943" s="885"/>
      <c r="K943" s="885"/>
      <c r="L943" s="885"/>
      <c r="M943" s="885"/>
      <c r="N943" s="885"/>
      <c r="O943" s="885"/>
      <c r="P943" s="885"/>
      <c r="Q943" s="885"/>
      <c r="R943" s="885"/>
      <c r="S943" s="885"/>
      <c r="T943" s="885"/>
      <c r="U943" s="885"/>
      <c r="V943" s="885"/>
      <c r="W943" s="885"/>
      <c r="X943" s="885"/>
      <c r="Y943" s="885"/>
      <c r="Z943" s="885"/>
      <c r="AA943" s="885"/>
      <c r="AB943" s="885"/>
      <c r="AC943" s="885"/>
      <c r="AD943" s="885"/>
      <c r="AE943" s="885"/>
      <c r="AF943" s="885"/>
      <c r="AG943" s="885"/>
      <c r="AH943" s="885"/>
      <c r="AI943" s="885"/>
      <c r="AJ943" s="885"/>
      <c r="AK943" s="885"/>
      <c r="AL943" s="885"/>
      <c r="AM943" s="885"/>
      <c r="AN943" s="885"/>
      <c r="AO943" s="885"/>
      <c r="AP943" s="885"/>
      <c r="AQ943" s="885"/>
      <c r="AR943" s="885"/>
      <c r="AS943" s="885"/>
      <c r="AT943" s="885"/>
      <c r="AU943" s="885"/>
      <c r="AV943" s="885"/>
      <c r="AW943" s="885"/>
      <c r="AX943" s="885"/>
      <c r="AY943" s="885"/>
      <c r="AZ943" s="885"/>
      <c r="BA943" s="885"/>
      <c r="BB943" s="885"/>
      <c r="BC943" s="885"/>
      <c r="BD943" s="885"/>
      <c r="BE943" s="885"/>
      <c r="BF943" s="885"/>
      <c r="BG943" s="885"/>
      <c r="BH943" s="885"/>
      <c r="BI943" s="885"/>
      <c r="BJ943" s="885"/>
      <c r="BK943" s="885"/>
      <c r="BL943" s="885"/>
      <c r="BM943" s="885"/>
      <c r="BN943" s="885"/>
      <c r="BO943" s="885"/>
      <c r="BP943" s="885"/>
      <c r="BQ943" s="885"/>
      <c r="BR943" s="885"/>
      <c r="BS943" s="885"/>
      <c r="BT943" s="885"/>
      <c r="BU943" s="885"/>
      <c r="BV943" s="885"/>
      <c r="BW943" s="885"/>
      <c r="BX943" s="885"/>
      <c r="BY943" s="885"/>
      <c r="BZ943" s="885"/>
      <c r="CA943" s="885"/>
      <c r="CB943" s="885"/>
      <c r="CC943" s="885"/>
      <c r="CD943" s="885"/>
      <c r="CE943" s="885"/>
      <c r="CF943" s="885"/>
      <c r="CG943" s="885"/>
      <c r="CH943" s="885"/>
      <c r="CI943" s="885"/>
      <c r="CJ943" s="885"/>
      <c r="CK943" s="885"/>
      <c r="CL943" s="885"/>
      <c r="CM943" s="885"/>
      <c r="CN943" s="885"/>
      <c r="CO943" s="885"/>
      <c r="CP943" s="885"/>
      <c r="CQ943" s="885"/>
      <c r="CR943" s="885"/>
      <c r="CS943" s="885"/>
      <c r="CT943" s="885"/>
      <c r="CU943" s="885"/>
      <c r="CV943" s="885"/>
      <c r="CW943" s="885"/>
      <c r="CX943" s="885"/>
      <c r="CY943" s="885"/>
      <c r="CZ943" s="885"/>
      <c r="DA943" s="885"/>
      <c r="DB943" s="885"/>
      <c r="DC943" s="885"/>
      <c r="DD943" s="885"/>
      <c r="DE943" s="885"/>
      <c r="DF943" s="885"/>
      <c r="DG943" s="885"/>
      <c r="DH943" s="885"/>
      <c r="DI943" s="885"/>
      <c r="DJ943" s="885"/>
      <c r="DK943" s="885"/>
      <c r="DL943" s="885"/>
      <c r="DM943" s="885"/>
      <c r="DN943" s="885"/>
      <c r="DO943" s="885"/>
      <c r="DP943" s="885"/>
      <c r="DQ943" s="885"/>
      <c r="DR943" s="885"/>
      <c r="DS943" s="885"/>
      <c r="DT943" s="885"/>
      <c r="DU943" s="885"/>
      <c r="DV943" s="885"/>
      <c r="DW943" s="885"/>
      <c r="DX943" s="885"/>
      <c r="DY943" s="885"/>
      <c r="DZ943" s="885"/>
      <c r="EA943" s="885"/>
      <c r="EB943" s="885"/>
      <c r="EC943" s="885"/>
      <c r="ED943" s="885"/>
      <c r="EE943" s="885"/>
      <c r="EF943" s="885"/>
      <c r="EG943" s="885"/>
      <c r="EH943" s="885"/>
      <c r="EI943" s="885"/>
      <c r="EJ943" s="885"/>
      <c r="EK943" s="885"/>
      <c r="EL943" s="885"/>
      <c r="EM943" s="885"/>
      <c r="EN943" s="885"/>
      <c r="EO943" s="885"/>
      <c r="EP943" s="885"/>
      <c r="EQ943" s="885"/>
      <c r="ER943" s="885"/>
      <c r="ES943" s="885"/>
      <c r="ET943" s="885"/>
      <c r="EU943" s="885"/>
      <c r="EV943" s="885"/>
      <c r="EW943" s="885"/>
      <c r="EX943" s="885"/>
      <c r="EY943" s="885"/>
      <c r="EZ943" s="885"/>
      <c r="FA943" s="885"/>
      <c r="FB943" s="885"/>
      <c r="FC943" s="885"/>
      <c r="FD943" s="885"/>
      <c r="FE943" s="885"/>
      <c r="FF943" s="885"/>
      <c r="FG943" s="885"/>
      <c r="FH943" s="885"/>
      <c r="FI943" s="885"/>
      <c r="FJ943" s="885"/>
      <c r="FK943" s="885"/>
      <c r="FL943" s="885"/>
      <c r="FM943" s="885"/>
      <c r="FN943" s="885"/>
      <c r="FO943" s="885"/>
      <c r="FP943" s="885"/>
      <c r="FQ943" s="885"/>
      <c r="FR943" s="885"/>
      <c r="FS943" s="885"/>
      <c r="FT943" s="885"/>
      <c r="FU943" s="885"/>
      <c r="FV943" s="885"/>
      <c r="FW943" s="885"/>
      <c r="FX943" s="885"/>
      <c r="FY943" s="885"/>
      <c r="FZ943" s="885"/>
      <c r="GA943" s="885"/>
      <c r="GB943" s="885"/>
      <c r="GC943" s="885"/>
      <c r="GD943" s="885"/>
      <c r="GE943" s="885"/>
      <c r="GF943" s="885"/>
      <c r="GG943" s="885"/>
      <c r="GH943" s="885"/>
      <c r="GI943" s="885"/>
      <c r="GJ943" s="885"/>
      <c r="GK943" s="885"/>
      <c r="GL943" s="885"/>
      <c r="GM943" s="885"/>
      <c r="GN943" s="885"/>
      <c r="GO943" s="885"/>
      <c r="GP943" s="885"/>
      <c r="GQ943" s="885"/>
      <c r="GR943" s="885"/>
      <c r="GS943" s="885"/>
      <c r="GT943" s="885"/>
      <c r="GU943" s="885"/>
      <c r="GV943" s="885"/>
      <c r="GW943" s="885"/>
      <c r="GX943" s="885"/>
      <c r="GY943" s="885"/>
      <c r="GZ943" s="885"/>
      <c r="HA943" s="885"/>
      <c r="HB943" s="885"/>
      <c r="HC943" s="885"/>
      <c r="HD943" s="885"/>
      <c r="HE943" s="885"/>
      <c r="HF943" s="885"/>
      <c r="HG943" s="885"/>
      <c r="HH943" s="885"/>
      <c r="HI943" s="885"/>
      <c r="HJ943" s="885"/>
      <c r="HK943" s="885"/>
      <c r="HL943" s="885"/>
      <c r="HM943" s="885"/>
      <c r="HN943" s="885"/>
      <c r="HO943" s="885"/>
      <c r="HP943" s="885"/>
      <c r="HQ943" s="885"/>
      <c r="HR943" s="885"/>
      <c r="HS943" s="885"/>
      <c r="HT943" s="885"/>
      <c r="HU943" s="885"/>
      <c r="HV943" s="885"/>
      <c r="HW943" s="885"/>
      <c r="HX943" s="885"/>
      <c r="HY943" s="885"/>
      <c r="HZ943" s="885"/>
      <c r="IA943" s="885"/>
      <c r="IB943" s="885"/>
      <c r="IC943" s="885"/>
      <c r="ID943" s="885"/>
      <c r="IE943" s="885"/>
      <c r="IF943" s="885"/>
      <c r="IG943" s="885"/>
      <c r="IH943" s="885"/>
      <c r="II943" s="885"/>
      <c r="IJ943" s="885"/>
      <c r="IK943" s="885"/>
      <c r="IL943" s="885"/>
      <c r="IM943" s="885"/>
      <c r="IN943" s="885"/>
      <c r="IO943" s="885"/>
      <c r="IP943" s="885"/>
      <c r="IQ943" s="885"/>
      <c r="IR943" s="885"/>
      <c r="IS943" s="885"/>
      <c r="IT943" s="885"/>
      <c r="IU943" s="885"/>
      <c r="IV943" s="885"/>
      <c r="IW943" s="885"/>
      <c r="IX943" s="885"/>
    </row>
    <row r="944" spans="1:258" x14ac:dyDescent="0.25">
      <c r="A944" s="125">
        <f t="shared" si="118"/>
        <v>904</v>
      </c>
      <c r="B944" s="885"/>
      <c r="C944" s="842" t="s">
        <v>125</v>
      </c>
      <c r="D944" s="924">
        <v>576</v>
      </c>
      <c r="E944" s="924">
        <f t="shared" si="117"/>
        <v>864</v>
      </c>
      <c r="F944" s="136">
        <f>E944/12</f>
        <v>72</v>
      </c>
      <c r="G944" s="122" t="s">
        <v>1963</v>
      </c>
      <c r="I944" s="885"/>
      <c r="J944" s="885"/>
      <c r="K944" s="885"/>
      <c r="L944" s="885"/>
      <c r="M944" s="885"/>
      <c r="N944" s="885"/>
      <c r="O944" s="885"/>
      <c r="P944" s="885"/>
      <c r="Q944" s="885"/>
      <c r="R944" s="885"/>
      <c r="S944" s="885"/>
      <c r="T944" s="885"/>
      <c r="U944" s="885"/>
      <c r="V944" s="885"/>
      <c r="W944" s="885"/>
      <c r="X944" s="885"/>
      <c r="Y944" s="885"/>
      <c r="Z944" s="885"/>
      <c r="AA944" s="885"/>
      <c r="AB944" s="885"/>
      <c r="AC944" s="885"/>
      <c r="AD944" s="885"/>
      <c r="AE944" s="885"/>
      <c r="AF944" s="885"/>
      <c r="AG944" s="885"/>
      <c r="AH944" s="885"/>
      <c r="AI944" s="885"/>
      <c r="AJ944" s="885"/>
      <c r="AK944" s="885"/>
      <c r="AL944" s="885"/>
      <c r="AM944" s="885"/>
      <c r="AN944" s="885"/>
      <c r="AO944" s="885"/>
      <c r="AP944" s="885"/>
      <c r="AQ944" s="885"/>
      <c r="AR944" s="885"/>
      <c r="AS944" s="885"/>
      <c r="AT944" s="885"/>
      <c r="AU944" s="885"/>
      <c r="AV944" s="885"/>
      <c r="AW944" s="885"/>
      <c r="AX944" s="885"/>
      <c r="AY944" s="885"/>
      <c r="AZ944" s="885"/>
      <c r="BA944" s="885"/>
      <c r="BB944" s="885"/>
      <c r="BC944" s="885"/>
      <c r="BD944" s="885"/>
      <c r="BE944" s="885"/>
      <c r="BF944" s="885"/>
      <c r="BG944" s="885"/>
      <c r="BH944" s="885"/>
      <c r="BI944" s="885"/>
      <c r="BJ944" s="885"/>
      <c r="BK944" s="885"/>
      <c r="BL944" s="885"/>
      <c r="BM944" s="885"/>
      <c r="BN944" s="885"/>
      <c r="BO944" s="885"/>
      <c r="BP944" s="885"/>
      <c r="BQ944" s="885"/>
      <c r="BR944" s="885"/>
      <c r="BS944" s="885"/>
      <c r="BT944" s="885"/>
      <c r="BU944" s="885"/>
      <c r="BV944" s="885"/>
      <c r="BW944" s="885"/>
      <c r="BX944" s="885"/>
      <c r="BY944" s="885"/>
      <c r="BZ944" s="885"/>
      <c r="CA944" s="885"/>
      <c r="CB944" s="885"/>
      <c r="CC944" s="885"/>
      <c r="CD944" s="885"/>
      <c r="CE944" s="885"/>
      <c r="CF944" s="885"/>
      <c r="CG944" s="885"/>
      <c r="CH944" s="885"/>
      <c r="CI944" s="885"/>
      <c r="CJ944" s="885"/>
      <c r="CK944" s="885"/>
      <c r="CL944" s="885"/>
      <c r="CM944" s="885"/>
      <c r="CN944" s="885"/>
      <c r="CO944" s="885"/>
      <c r="CP944" s="885"/>
      <c r="CQ944" s="885"/>
      <c r="CR944" s="885"/>
      <c r="CS944" s="885"/>
      <c r="CT944" s="885"/>
      <c r="CU944" s="885"/>
      <c r="CV944" s="885"/>
      <c r="CW944" s="885"/>
      <c r="CX944" s="885"/>
      <c r="CY944" s="885"/>
      <c r="CZ944" s="885"/>
      <c r="DA944" s="885"/>
      <c r="DB944" s="885"/>
      <c r="DC944" s="885"/>
      <c r="DD944" s="885"/>
      <c r="DE944" s="885"/>
      <c r="DF944" s="885"/>
      <c r="DG944" s="885"/>
      <c r="DH944" s="885"/>
      <c r="DI944" s="885"/>
      <c r="DJ944" s="885"/>
      <c r="DK944" s="885"/>
      <c r="DL944" s="885"/>
      <c r="DM944" s="885"/>
      <c r="DN944" s="885"/>
      <c r="DO944" s="885"/>
      <c r="DP944" s="885"/>
      <c r="DQ944" s="885"/>
      <c r="DR944" s="885"/>
      <c r="DS944" s="885"/>
      <c r="DT944" s="885"/>
      <c r="DU944" s="885"/>
      <c r="DV944" s="885"/>
      <c r="DW944" s="885"/>
      <c r="DX944" s="885"/>
      <c r="DY944" s="885"/>
      <c r="DZ944" s="885"/>
      <c r="EA944" s="885"/>
      <c r="EB944" s="885"/>
      <c r="EC944" s="885"/>
      <c r="ED944" s="885"/>
      <c r="EE944" s="885"/>
      <c r="EF944" s="885"/>
      <c r="EG944" s="885"/>
      <c r="EH944" s="885"/>
      <c r="EI944" s="885"/>
      <c r="EJ944" s="885"/>
      <c r="EK944" s="885"/>
      <c r="EL944" s="885"/>
      <c r="EM944" s="885"/>
      <c r="EN944" s="885"/>
      <c r="EO944" s="885"/>
      <c r="EP944" s="885"/>
      <c r="EQ944" s="885"/>
      <c r="ER944" s="885"/>
      <c r="ES944" s="885"/>
      <c r="ET944" s="885"/>
      <c r="EU944" s="885"/>
      <c r="EV944" s="885"/>
      <c r="EW944" s="885"/>
      <c r="EX944" s="885"/>
      <c r="EY944" s="885"/>
      <c r="EZ944" s="885"/>
      <c r="FA944" s="885"/>
      <c r="FB944" s="885"/>
      <c r="FC944" s="885"/>
      <c r="FD944" s="885"/>
      <c r="FE944" s="885"/>
      <c r="FF944" s="885"/>
      <c r="FG944" s="885"/>
      <c r="FH944" s="885"/>
      <c r="FI944" s="885"/>
      <c r="FJ944" s="885"/>
      <c r="FK944" s="885"/>
      <c r="FL944" s="885"/>
      <c r="FM944" s="885"/>
      <c r="FN944" s="885"/>
      <c r="FO944" s="885"/>
      <c r="FP944" s="885"/>
      <c r="FQ944" s="885"/>
      <c r="FR944" s="885"/>
      <c r="FS944" s="885"/>
      <c r="FT944" s="885"/>
      <c r="FU944" s="885"/>
      <c r="FV944" s="885"/>
      <c r="FW944" s="885"/>
      <c r="FX944" s="885"/>
      <c r="FY944" s="885"/>
      <c r="FZ944" s="885"/>
      <c r="GA944" s="885"/>
      <c r="GB944" s="885"/>
      <c r="GC944" s="885"/>
      <c r="GD944" s="885"/>
      <c r="GE944" s="885"/>
      <c r="GF944" s="885"/>
      <c r="GG944" s="885"/>
      <c r="GH944" s="885"/>
      <c r="GI944" s="885"/>
      <c r="GJ944" s="885"/>
      <c r="GK944" s="885"/>
      <c r="GL944" s="885"/>
      <c r="GM944" s="885"/>
      <c r="GN944" s="885"/>
      <c r="GO944" s="885"/>
      <c r="GP944" s="885"/>
      <c r="GQ944" s="885"/>
      <c r="GR944" s="885"/>
      <c r="GS944" s="885"/>
      <c r="GT944" s="885"/>
      <c r="GU944" s="885"/>
      <c r="GV944" s="885"/>
      <c r="GW944" s="885"/>
      <c r="GX944" s="885"/>
      <c r="GY944" s="885"/>
      <c r="GZ944" s="885"/>
      <c r="HA944" s="885"/>
      <c r="HB944" s="885"/>
      <c r="HC944" s="885"/>
      <c r="HD944" s="885"/>
      <c r="HE944" s="885"/>
      <c r="HF944" s="885"/>
      <c r="HG944" s="885"/>
      <c r="HH944" s="885"/>
      <c r="HI944" s="885"/>
      <c r="HJ944" s="885"/>
      <c r="HK944" s="885"/>
      <c r="HL944" s="885"/>
      <c r="HM944" s="885"/>
      <c r="HN944" s="885"/>
      <c r="HO944" s="885"/>
      <c r="HP944" s="885"/>
      <c r="HQ944" s="885"/>
      <c r="HR944" s="885"/>
      <c r="HS944" s="885"/>
      <c r="HT944" s="885"/>
      <c r="HU944" s="885"/>
      <c r="HV944" s="885"/>
      <c r="HW944" s="885"/>
      <c r="HX944" s="885"/>
      <c r="HY944" s="885"/>
      <c r="HZ944" s="885"/>
      <c r="IA944" s="885"/>
      <c r="IB944" s="885"/>
      <c r="IC944" s="885"/>
      <c r="ID944" s="885"/>
      <c r="IE944" s="885"/>
      <c r="IF944" s="885"/>
      <c r="IG944" s="885"/>
      <c r="IH944" s="885"/>
      <c r="II944" s="885"/>
      <c r="IJ944" s="885"/>
      <c r="IK944" s="885"/>
      <c r="IL944" s="885"/>
      <c r="IM944" s="885"/>
      <c r="IN944" s="885"/>
      <c r="IO944" s="885"/>
      <c r="IP944" s="885"/>
      <c r="IQ944" s="885"/>
      <c r="IR944" s="885"/>
      <c r="IS944" s="885"/>
      <c r="IT944" s="885"/>
      <c r="IU944" s="885"/>
      <c r="IV944" s="885"/>
      <c r="IW944" s="885"/>
      <c r="IX944" s="885"/>
    </row>
    <row r="945" spans="1:258" s="123" customFormat="1" x14ac:dyDescent="0.25">
      <c r="A945" s="125">
        <f t="shared" si="118"/>
        <v>905</v>
      </c>
      <c r="B945" s="885"/>
      <c r="C945" s="842" t="s">
        <v>10502</v>
      </c>
      <c r="D945" s="924">
        <v>29648.46</v>
      </c>
      <c r="E945" s="924">
        <f t="shared" si="117"/>
        <v>44472.69</v>
      </c>
      <c r="F945" s="136">
        <f>E945</f>
        <v>44472.69</v>
      </c>
      <c r="G945" s="122" t="s">
        <v>1963</v>
      </c>
      <c r="H945" s="885"/>
      <c r="I945" s="885"/>
      <c r="J945" s="885"/>
      <c r="K945" s="885"/>
      <c r="L945" s="885"/>
      <c r="M945" s="885"/>
      <c r="N945" s="885"/>
      <c r="O945" s="885"/>
      <c r="P945" s="885"/>
      <c r="Q945" s="885"/>
      <c r="R945" s="885"/>
      <c r="S945" s="885"/>
      <c r="T945" s="885"/>
      <c r="U945" s="885"/>
      <c r="V945" s="885"/>
      <c r="W945" s="885"/>
      <c r="X945" s="885"/>
      <c r="Y945" s="885"/>
      <c r="Z945" s="885"/>
      <c r="AA945" s="885"/>
      <c r="AB945" s="885"/>
      <c r="AC945" s="885"/>
      <c r="AD945" s="885"/>
      <c r="AE945" s="885"/>
      <c r="AF945" s="885"/>
      <c r="AG945" s="885"/>
      <c r="AH945" s="885"/>
      <c r="AI945" s="885"/>
      <c r="AJ945" s="885"/>
      <c r="AK945" s="885"/>
      <c r="AL945" s="885"/>
      <c r="AM945" s="885"/>
      <c r="AN945" s="885"/>
      <c r="AO945" s="885"/>
      <c r="AP945" s="885"/>
      <c r="AQ945" s="885"/>
      <c r="AR945" s="885"/>
      <c r="AS945" s="885"/>
      <c r="AT945" s="885"/>
      <c r="AU945" s="885"/>
      <c r="AV945" s="885"/>
      <c r="AW945" s="885"/>
      <c r="AX945" s="885"/>
      <c r="AY945" s="885"/>
      <c r="AZ945" s="885"/>
      <c r="BA945" s="885"/>
      <c r="BB945" s="885"/>
      <c r="BC945" s="885"/>
      <c r="BD945" s="885"/>
      <c r="BE945" s="885"/>
      <c r="BF945" s="885"/>
      <c r="BG945" s="885"/>
      <c r="BH945" s="885"/>
      <c r="BI945" s="885"/>
      <c r="BJ945" s="885"/>
      <c r="BK945" s="885"/>
      <c r="BL945" s="885"/>
      <c r="BM945" s="885"/>
      <c r="BN945" s="885"/>
      <c r="BO945" s="885"/>
      <c r="BP945" s="885"/>
      <c r="BQ945" s="885"/>
      <c r="BR945" s="885"/>
      <c r="BS945" s="885"/>
      <c r="BT945" s="885"/>
      <c r="BU945" s="885"/>
      <c r="BV945" s="885"/>
      <c r="BW945" s="885"/>
      <c r="BX945" s="885"/>
      <c r="BY945" s="885"/>
      <c r="BZ945" s="885"/>
      <c r="CA945" s="885"/>
      <c r="CB945" s="885"/>
      <c r="CC945" s="885"/>
      <c r="CD945" s="885"/>
      <c r="CE945" s="885"/>
      <c r="CF945" s="885"/>
      <c r="CG945" s="885"/>
      <c r="CH945" s="885"/>
      <c r="CI945" s="885"/>
      <c r="CJ945" s="885"/>
      <c r="CK945" s="885"/>
      <c r="CL945" s="885"/>
      <c r="CM945" s="885"/>
      <c r="CN945" s="885"/>
      <c r="CO945" s="885"/>
      <c r="CP945" s="885"/>
      <c r="CQ945" s="885"/>
      <c r="CR945" s="885"/>
      <c r="CS945" s="885"/>
      <c r="CT945" s="885"/>
      <c r="CU945" s="885"/>
      <c r="CV945" s="885"/>
      <c r="CW945" s="885"/>
      <c r="CX945" s="885"/>
      <c r="CY945" s="885"/>
      <c r="CZ945" s="885"/>
      <c r="DA945" s="885"/>
      <c r="DB945" s="885"/>
      <c r="DC945" s="885"/>
      <c r="DD945" s="885"/>
      <c r="DE945" s="885"/>
      <c r="DF945" s="885"/>
      <c r="DG945" s="885"/>
      <c r="DH945" s="885"/>
      <c r="DI945" s="885"/>
      <c r="DJ945" s="885"/>
      <c r="DK945" s="885"/>
      <c r="DL945" s="885"/>
      <c r="DM945" s="885"/>
      <c r="DN945" s="885"/>
      <c r="DO945" s="885"/>
      <c r="DP945" s="885"/>
      <c r="DQ945" s="885"/>
      <c r="DR945" s="885"/>
      <c r="DS945" s="885"/>
      <c r="DT945" s="885"/>
      <c r="DU945" s="885"/>
      <c r="DV945" s="885"/>
      <c r="DW945" s="885"/>
      <c r="DX945" s="885"/>
      <c r="DY945" s="885"/>
      <c r="DZ945" s="885"/>
      <c r="EA945" s="885"/>
      <c r="EB945" s="885"/>
      <c r="EC945" s="885"/>
      <c r="ED945" s="885"/>
      <c r="EE945" s="885"/>
      <c r="EF945" s="885"/>
      <c r="EG945" s="885"/>
      <c r="EH945" s="885"/>
      <c r="EI945" s="885"/>
      <c r="EJ945" s="885"/>
      <c r="EK945" s="885"/>
      <c r="EL945" s="885"/>
      <c r="EM945" s="885"/>
      <c r="EN945" s="885"/>
      <c r="EO945" s="885"/>
      <c r="EP945" s="885"/>
      <c r="EQ945" s="885"/>
      <c r="ER945" s="885"/>
      <c r="ES945" s="885"/>
      <c r="ET945" s="885"/>
      <c r="EU945" s="885"/>
      <c r="EV945" s="885"/>
      <c r="EW945" s="885"/>
      <c r="EX945" s="885"/>
      <c r="EY945" s="885"/>
      <c r="EZ945" s="885"/>
      <c r="FA945" s="885"/>
      <c r="FB945" s="885"/>
      <c r="FC945" s="885"/>
      <c r="FD945" s="885"/>
      <c r="FE945" s="885"/>
      <c r="FF945" s="885"/>
      <c r="FG945" s="885"/>
      <c r="FH945" s="885"/>
      <c r="FI945" s="885"/>
      <c r="FJ945" s="885"/>
      <c r="FK945" s="885"/>
      <c r="FL945" s="885"/>
      <c r="FM945" s="885"/>
      <c r="FN945" s="885"/>
      <c r="FO945" s="885"/>
      <c r="FP945" s="885"/>
      <c r="FQ945" s="885"/>
      <c r="FR945" s="885"/>
      <c r="FS945" s="885"/>
      <c r="FT945" s="885"/>
      <c r="FU945" s="885"/>
      <c r="FV945" s="885"/>
      <c r="FW945" s="885"/>
      <c r="FX945" s="885"/>
      <c r="FY945" s="885"/>
      <c r="FZ945" s="885"/>
      <c r="GA945" s="885"/>
      <c r="GB945" s="885"/>
      <c r="GC945" s="885"/>
      <c r="GD945" s="885"/>
      <c r="GE945" s="885"/>
      <c r="GF945" s="885"/>
      <c r="GG945" s="885"/>
      <c r="GH945" s="885"/>
      <c r="GI945" s="885"/>
      <c r="GJ945" s="885"/>
      <c r="GK945" s="885"/>
      <c r="GL945" s="885"/>
      <c r="GM945" s="885"/>
      <c r="GN945" s="885"/>
      <c r="GO945" s="885"/>
      <c r="GP945" s="885"/>
      <c r="GQ945" s="885"/>
      <c r="GR945" s="885"/>
      <c r="GS945" s="885"/>
      <c r="GT945" s="885"/>
      <c r="GU945" s="885"/>
      <c r="GV945" s="885"/>
      <c r="GW945" s="885"/>
      <c r="GX945" s="885"/>
      <c r="GY945" s="885"/>
      <c r="GZ945" s="885"/>
      <c r="HA945" s="885"/>
      <c r="HB945" s="885"/>
      <c r="HC945" s="885"/>
      <c r="HD945" s="885"/>
      <c r="HE945" s="885"/>
      <c r="HF945" s="885"/>
      <c r="HG945" s="885"/>
      <c r="HH945" s="885"/>
      <c r="HI945" s="885"/>
      <c r="HJ945" s="885"/>
      <c r="HK945" s="885"/>
      <c r="HL945" s="885"/>
      <c r="HM945" s="885"/>
      <c r="HN945" s="885"/>
      <c r="HO945" s="885"/>
      <c r="HP945" s="885"/>
      <c r="HQ945" s="885"/>
      <c r="HR945" s="885"/>
      <c r="HS945" s="885"/>
      <c r="HT945" s="885"/>
      <c r="HU945" s="885"/>
      <c r="HV945" s="885"/>
      <c r="HW945" s="885"/>
      <c r="HX945" s="885"/>
      <c r="HY945" s="885"/>
      <c r="HZ945" s="885"/>
      <c r="IA945" s="885"/>
      <c r="IB945" s="885"/>
      <c r="IC945" s="885"/>
      <c r="ID945" s="885"/>
      <c r="IE945" s="885"/>
      <c r="IF945" s="885"/>
      <c r="IG945" s="885"/>
      <c r="IH945" s="885"/>
      <c r="II945" s="885"/>
      <c r="IJ945" s="885"/>
      <c r="IK945" s="885"/>
      <c r="IL945" s="885"/>
      <c r="IM945" s="885"/>
      <c r="IN945" s="885"/>
      <c r="IO945" s="885"/>
      <c r="IP945" s="885"/>
      <c r="IQ945" s="885"/>
      <c r="IR945" s="885"/>
      <c r="IS945" s="885"/>
      <c r="IT945" s="885"/>
      <c r="IU945" s="885"/>
      <c r="IV945" s="885"/>
      <c r="IW945" s="885"/>
      <c r="IX945" s="885"/>
    </row>
    <row r="946" spans="1:258" x14ac:dyDescent="0.25">
      <c r="A946" s="125">
        <f t="shared" si="118"/>
        <v>906</v>
      </c>
      <c r="B946" s="885"/>
      <c r="C946" s="842" t="s">
        <v>10519</v>
      </c>
      <c r="D946" s="924">
        <v>0</v>
      </c>
      <c r="E946" s="924">
        <f t="shared" si="117"/>
        <v>0</v>
      </c>
      <c r="F946" s="136">
        <v>1000</v>
      </c>
      <c r="G946" s="122" t="s">
        <v>1963</v>
      </c>
      <c r="I946" s="885"/>
      <c r="J946" s="885"/>
      <c r="K946" s="885"/>
      <c r="L946" s="885"/>
      <c r="M946" s="885"/>
      <c r="N946" s="885"/>
      <c r="O946" s="885"/>
      <c r="P946" s="885"/>
      <c r="Q946" s="885"/>
      <c r="R946" s="885"/>
      <c r="S946" s="885"/>
      <c r="T946" s="885"/>
      <c r="U946" s="885"/>
      <c r="V946" s="885"/>
      <c r="W946" s="885"/>
      <c r="X946" s="885"/>
      <c r="Y946" s="885"/>
      <c r="Z946" s="885"/>
      <c r="AA946" s="885"/>
      <c r="AB946" s="885"/>
      <c r="AC946" s="885"/>
      <c r="AD946" s="885"/>
      <c r="AE946" s="885"/>
      <c r="AF946" s="885"/>
      <c r="AG946" s="885"/>
      <c r="AH946" s="885"/>
      <c r="AI946" s="885"/>
      <c r="AJ946" s="885"/>
      <c r="AK946" s="885"/>
      <c r="AL946" s="885"/>
      <c r="AM946" s="885"/>
      <c r="AN946" s="885"/>
      <c r="AO946" s="885"/>
      <c r="AP946" s="885"/>
      <c r="AQ946" s="885"/>
      <c r="AR946" s="885"/>
      <c r="AS946" s="885"/>
      <c r="AT946" s="885"/>
      <c r="AU946" s="885"/>
      <c r="AV946" s="885"/>
      <c r="AW946" s="885"/>
      <c r="AX946" s="885"/>
      <c r="AY946" s="885"/>
      <c r="AZ946" s="885"/>
      <c r="BA946" s="885"/>
      <c r="BB946" s="885"/>
      <c r="BC946" s="885"/>
      <c r="BD946" s="885"/>
      <c r="BE946" s="885"/>
      <c r="BF946" s="885"/>
      <c r="BG946" s="885"/>
      <c r="BH946" s="885"/>
      <c r="BI946" s="885"/>
      <c r="BJ946" s="885"/>
      <c r="BK946" s="885"/>
      <c r="BL946" s="885"/>
      <c r="BM946" s="885"/>
      <c r="BN946" s="885"/>
      <c r="BO946" s="885"/>
      <c r="BP946" s="885"/>
      <c r="BQ946" s="885"/>
      <c r="BR946" s="885"/>
      <c r="BS946" s="885"/>
      <c r="BT946" s="885"/>
      <c r="BU946" s="885"/>
      <c r="BV946" s="885"/>
      <c r="BW946" s="885"/>
      <c r="BX946" s="885"/>
      <c r="BY946" s="885"/>
      <c r="BZ946" s="885"/>
      <c r="CA946" s="885"/>
      <c r="CB946" s="885"/>
      <c r="CC946" s="885"/>
      <c r="CD946" s="885"/>
      <c r="CE946" s="885"/>
      <c r="CF946" s="885"/>
      <c r="CG946" s="885"/>
      <c r="CH946" s="885"/>
      <c r="CI946" s="885"/>
      <c r="CJ946" s="885"/>
      <c r="CK946" s="885"/>
      <c r="CL946" s="885"/>
      <c r="CM946" s="885"/>
      <c r="CN946" s="885"/>
      <c r="CO946" s="885"/>
      <c r="CP946" s="885"/>
      <c r="CQ946" s="885"/>
      <c r="CR946" s="885"/>
      <c r="CS946" s="885"/>
      <c r="CT946" s="885"/>
      <c r="CU946" s="885"/>
      <c r="CV946" s="885"/>
      <c r="CW946" s="885"/>
      <c r="CX946" s="885"/>
      <c r="CY946" s="885"/>
      <c r="CZ946" s="885"/>
      <c r="DA946" s="885"/>
      <c r="DB946" s="885"/>
      <c r="DC946" s="885"/>
      <c r="DD946" s="885"/>
      <c r="DE946" s="885"/>
      <c r="DF946" s="885"/>
      <c r="DG946" s="885"/>
      <c r="DH946" s="885"/>
      <c r="DI946" s="885"/>
      <c r="DJ946" s="885"/>
      <c r="DK946" s="885"/>
      <c r="DL946" s="885"/>
      <c r="DM946" s="885"/>
      <c r="DN946" s="885"/>
      <c r="DO946" s="885"/>
      <c r="DP946" s="885"/>
      <c r="DQ946" s="885"/>
      <c r="DR946" s="885"/>
      <c r="DS946" s="885"/>
      <c r="DT946" s="885"/>
      <c r="DU946" s="885"/>
      <c r="DV946" s="885"/>
      <c r="DW946" s="885"/>
      <c r="DX946" s="885"/>
      <c r="DY946" s="885"/>
      <c r="DZ946" s="885"/>
      <c r="EA946" s="885"/>
      <c r="EB946" s="885"/>
      <c r="EC946" s="885"/>
      <c r="ED946" s="885"/>
      <c r="EE946" s="885"/>
      <c r="EF946" s="885"/>
      <c r="EG946" s="885"/>
      <c r="EH946" s="885"/>
      <c r="EI946" s="885"/>
      <c r="EJ946" s="885"/>
      <c r="EK946" s="885"/>
      <c r="EL946" s="885"/>
      <c r="EM946" s="885"/>
      <c r="EN946" s="885"/>
      <c r="EO946" s="885"/>
      <c r="EP946" s="885"/>
      <c r="EQ946" s="885"/>
      <c r="ER946" s="885"/>
      <c r="ES946" s="885"/>
      <c r="ET946" s="885"/>
      <c r="EU946" s="885"/>
      <c r="EV946" s="885"/>
      <c r="EW946" s="885"/>
      <c r="EX946" s="885"/>
      <c r="EY946" s="885"/>
      <c r="EZ946" s="885"/>
      <c r="FA946" s="885"/>
      <c r="FB946" s="885"/>
      <c r="FC946" s="885"/>
      <c r="FD946" s="885"/>
      <c r="FE946" s="885"/>
      <c r="FF946" s="885"/>
      <c r="FG946" s="885"/>
      <c r="FH946" s="885"/>
      <c r="FI946" s="885"/>
      <c r="FJ946" s="885"/>
      <c r="FK946" s="885"/>
      <c r="FL946" s="885"/>
      <c r="FM946" s="885"/>
      <c r="FN946" s="885"/>
      <c r="FO946" s="885"/>
      <c r="FP946" s="885"/>
      <c r="FQ946" s="885"/>
      <c r="FR946" s="885"/>
      <c r="FS946" s="885"/>
      <c r="FT946" s="885"/>
      <c r="FU946" s="885"/>
      <c r="FV946" s="885"/>
      <c r="FW946" s="885"/>
      <c r="FX946" s="885"/>
      <c r="FY946" s="885"/>
      <c r="FZ946" s="885"/>
      <c r="GA946" s="885"/>
      <c r="GB946" s="885"/>
      <c r="GC946" s="885"/>
      <c r="GD946" s="885"/>
      <c r="GE946" s="885"/>
      <c r="GF946" s="885"/>
      <c r="GG946" s="885"/>
      <c r="GH946" s="885"/>
      <c r="GI946" s="885"/>
      <c r="GJ946" s="885"/>
      <c r="GK946" s="885"/>
      <c r="GL946" s="885"/>
      <c r="GM946" s="885"/>
      <c r="GN946" s="885"/>
      <c r="GO946" s="885"/>
      <c r="GP946" s="885"/>
      <c r="GQ946" s="885"/>
      <c r="GR946" s="885"/>
      <c r="GS946" s="885"/>
      <c r="GT946" s="885"/>
      <c r="GU946" s="885"/>
      <c r="GV946" s="885"/>
      <c r="GW946" s="885"/>
      <c r="GX946" s="885"/>
      <c r="GY946" s="885"/>
      <c r="GZ946" s="885"/>
      <c r="HA946" s="885"/>
      <c r="HB946" s="885"/>
      <c r="HC946" s="885"/>
      <c r="HD946" s="885"/>
      <c r="HE946" s="885"/>
      <c r="HF946" s="885"/>
      <c r="HG946" s="885"/>
      <c r="HH946" s="885"/>
      <c r="HI946" s="885"/>
      <c r="HJ946" s="885"/>
      <c r="HK946" s="885"/>
      <c r="HL946" s="885"/>
      <c r="HM946" s="885"/>
      <c r="HN946" s="885"/>
      <c r="HO946" s="885"/>
      <c r="HP946" s="885"/>
      <c r="HQ946" s="885"/>
      <c r="HR946" s="885"/>
      <c r="HS946" s="885"/>
      <c r="HT946" s="885"/>
      <c r="HU946" s="885"/>
      <c r="HV946" s="885"/>
      <c r="HW946" s="885"/>
      <c r="HX946" s="885"/>
      <c r="HY946" s="885"/>
      <c r="HZ946" s="885"/>
      <c r="IA946" s="885"/>
      <c r="IB946" s="885"/>
      <c r="IC946" s="885"/>
      <c r="ID946" s="885"/>
      <c r="IE946" s="885"/>
      <c r="IF946" s="885"/>
      <c r="IG946" s="885"/>
      <c r="IH946" s="885"/>
      <c r="II946" s="885"/>
      <c r="IJ946" s="885"/>
      <c r="IK946" s="885"/>
      <c r="IL946" s="885"/>
      <c r="IM946" s="885"/>
      <c r="IN946" s="885"/>
      <c r="IO946" s="885"/>
      <c r="IP946" s="885"/>
      <c r="IQ946" s="885"/>
      <c r="IR946" s="885"/>
      <c r="IS946" s="885"/>
      <c r="IT946" s="885"/>
      <c r="IU946" s="885"/>
      <c r="IV946" s="885"/>
      <c r="IW946" s="885"/>
      <c r="IX946" s="885"/>
    </row>
    <row r="947" spans="1:258" x14ac:dyDescent="0.25">
      <c r="A947" s="125">
        <f t="shared" si="118"/>
        <v>907</v>
      </c>
      <c r="B947" s="885"/>
      <c r="C947" s="842" t="s">
        <v>10501</v>
      </c>
      <c r="D947" s="924">
        <v>0</v>
      </c>
      <c r="E947" s="924">
        <f t="shared" si="117"/>
        <v>0</v>
      </c>
      <c r="F947" s="136">
        <v>1500</v>
      </c>
      <c r="G947" s="122" t="s">
        <v>1963</v>
      </c>
      <c r="I947" s="885"/>
      <c r="J947" s="885"/>
      <c r="K947" s="885"/>
      <c r="L947" s="885"/>
      <c r="M947" s="885"/>
      <c r="N947" s="885"/>
      <c r="O947" s="885"/>
      <c r="P947" s="885"/>
      <c r="Q947" s="885"/>
      <c r="R947" s="885"/>
      <c r="S947" s="885"/>
      <c r="T947" s="885"/>
      <c r="U947" s="885"/>
      <c r="V947" s="885"/>
      <c r="W947" s="885"/>
      <c r="X947" s="885"/>
      <c r="Y947" s="885"/>
      <c r="Z947" s="885"/>
      <c r="AA947" s="885"/>
      <c r="AB947" s="885"/>
      <c r="AC947" s="885"/>
      <c r="AD947" s="885"/>
      <c r="AE947" s="885"/>
      <c r="AF947" s="885"/>
      <c r="AG947" s="885"/>
      <c r="AH947" s="885"/>
      <c r="AI947" s="885"/>
      <c r="AJ947" s="885"/>
      <c r="AK947" s="885"/>
      <c r="AL947" s="885"/>
      <c r="AM947" s="885"/>
      <c r="AN947" s="885"/>
      <c r="AO947" s="885"/>
      <c r="AP947" s="885"/>
      <c r="AQ947" s="885"/>
      <c r="AR947" s="885"/>
      <c r="AS947" s="885"/>
      <c r="AT947" s="885"/>
      <c r="AU947" s="885"/>
      <c r="AV947" s="885"/>
      <c r="AW947" s="885"/>
      <c r="AX947" s="885"/>
      <c r="AY947" s="885"/>
      <c r="AZ947" s="885"/>
      <c r="BA947" s="885"/>
      <c r="BB947" s="885"/>
      <c r="BC947" s="885"/>
      <c r="BD947" s="885"/>
      <c r="BE947" s="885"/>
      <c r="BF947" s="885"/>
      <c r="BG947" s="885"/>
      <c r="BH947" s="885"/>
      <c r="BI947" s="885"/>
      <c r="BJ947" s="885"/>
      <c r="BK947" s="885"/>
      <c r="BL947" s="885"/>
      <c r="BM947" s="885"/>
      <c r="BN947" s="885"/>
      <c r="BO947" s="885"/>
      <c r="BP947" s="885"/>
      <c r="BQ947" s="885"/>
      <c r="BR947" s="885"/>
      <c r="BS947" s="885"/>
      <c r="BT947" s="885"/>
      <c r="BU947" s="885"/>
      <c r="BV947" s="885"/>
      <c r="BW947" s="885"/>
      <c r="BX947" s="885"/>
      <c r="BY947" s="885"/>
      <c r="BZ947" s="885"/>
      <c r="CA947" s="885"/>
      <c r="CB947" s="885"/>
      <c r="CC947" s="885"/>
      <c r="CD947" s="885"/>
      <c r="CE947" s="885"/>
      <c r="CF947" s="885"/>
      <c r="CG947" s="885"/>
      <c r="CH947" s="885"/>
      <c r="CI947" s="885"/>
      <c r="CJ947" s="885"/>
      <c r="CK947" s="885"/>
      <c r="CL947" s="885"/>
      <c r="CM947" s="885"/>
      <c r="CN947" s="885"/>
      <c r="CO947" s="885"/>
      <c r="CP947" s="885"/>
      <c r="CQ947" s="885"/>
      <c r="CR947" s="885"/>
      <c r="CS947" s="885"/>
      <c r="CT947" s="885"/>
      <c r="CU947" s="885"/>
      <c r="CV947" s="885"/>
      <c r="CW947" s="885"/>
      <c r="CX947" s="885"/>
      <c r="CY947" s="885"/>
      <c r="CZ947" s="885"/>
      <c r="DA947" s="885"/>
      <c r="DB947" s="885"/>
      <c r="DC947" s="885"/>
      <c r="DD947" s="885"/>
      <c r="DE947" s="885"/>
      <c r="DF947" s="885"/>
      <c r="DG947" s="885"/>
      <c r="DH947" s="885"/>
      <c r="DI947" s="885"/>
      <c r="DJ947" s="885"/>
      <c r="DK947" s="885"/>
      <c r="DL947" s="885"/>
      <c r="DM947" s="885"/>
      <c r="DN947" s="885"/>
      <c r="DO947" s="885"/>
      <c r="DP947" s="885"/>
      <c r="DQ947" s="885"/>
      <c r="DR947" s="885"/>
      <c r="DS947" s="885"/>
      <c r="DT947" s="885"/>
      <c r="DU947" s="885"/>
      <c r="DV947" s="885"/>
      <c r="DW947" s="885"/>
      <c r="DX947" s="885"/>
      <c r="DY947" s="885"/>
      <c r="DZ947" s="885"/>
      <c r="EA947" s="885"/>
      <c r="EB947" s="885"/>
      <c r="EC947" s="885"/>
      <c r="ED947" s="885"/>
      <c r="EE947" s="885"/>
      <c r="EF947" s="885"/>
      <c r="EG947" s="885"/>
      <c r="EH947" s="885"/>
      <c r="EI947" s="885"/>
      <c r="EJ947" s="885"/>
      <c r="EK947" s="885"/>
      <c r="EL947" s="885"/>
      <c r="EM947" s="885"/>
      <c r="EN947" s="885"/>
      <c r="EO947" s="885"/>
      <c r="EP947" s="885"/>
      <c r="EQ947" s="885"/>
      <c r="ER947" s="885"/>
      <c r="ES947" s="885"/>
      <c r="ET947" s="885"/>
      <c r="EU947" s="885"/>
      <c r="EV947" s="885"/>
      <c r="EW947" s="885"/>
      <c r="EX947" s="885"/>
      <c r="EY947" s="885"/>
      <c r="EZ947" s="885"/>
      <c r="FA947" s="885"/>
      <c r="FB947" s="885"/>
      <c r="FC947" s="885"/>
      <c r="FD947" s="885"/>
      <c r="FE947" s="885"/>
      <c r="FF947" s="885"/>
      <c r="FG947" s="885"/>
      <c r="FH947" s="885"/>
      <c r="FI947" s="885"/>
      <c r="FJ947" s="885"/>
      <c r="FK947" s="885"/>
      <c r="FL947" s="885"/>
      <c r="FM947" s="885"/>
      <c r="FN947" s="885"/>
      <c r="FO947" s="885"/>
      <c r="FP947" s="885"/>
      <c r="FQ947" s="885"/>
      <c r="FR947" s="885"/>
      <c r="FS947" s="885"/>
      <c r="FT947" s="885"/>
      <c r="FU947" s="885"/>
      <c r="FV947" s="885"/>
      <c r="FW947" s="885"/>
      <c r="FX947" s="885"/>
      <c r="FY947" s="885"/>
      <c r="FZ947" s="885"/>
      <c r="GA947" s="885"/>
      <c r="GB947" s="885"/>
      <c r="GC947" s="885"/>
      <c r="GD947" s="885"/>
      <c r="GE947" s="885"/>
      <c r="GF947" s="885"/>
      <c r="GG947" s="885"/>
      <c r="GH947" s="885"/>
      <c r="GI947" s="885"/>
      <c r="GJ947" s="885"/>
      <c r="GK947" s="885"/>
      <c r="GL947" s="885"/>
      <c r="GM947" s="885"/>
      <c r="GN947" s="885"/>
      <c r="GO947" s="885"/>
      <c r="GP947" s="885"/>
      <c r="GQ947" s="885"/>
      <c r="GR947" s="885"/>
      <c r="GS947" s="885"/>
      <c r="GT947" s="885"/>
      <c r="GU947" s="885"/>
      <c r="GV947" s="885"/>
      <c r="GW947" s="885"/>
      <c r="GX947" s="885"/>
      <c r="GY947" s="885"/>
      <c r="GZ947" s="885"/>
      <c r="HA947" s="885"/>
      <c r="HB947" s="885"/>
      <c r="HC947" s="885"/>
      <c r="HD947" s="885"/>
      <c r="HE947" s="885"/>
      <c r="HF947" s="885"/>
      <c r="HG947" s="885"/>
      <c r="HH947" s="885"/>
      <c r="HI947" s="885"/>
      <c r="HJ947" s="885"/>
      <c r="HK947" s="885"/>
      <c r="HL947" s="885"/>
      <c r="HM947" s="885"/>
      <c r="HN947" s="885"/>
      <c r="HO947" s="885"/>
      <c r="HP947" s="885"/>
      <c r="HQ947" s="885"/>
      <c r="HR947" s="885"/>
      <c r="HS947" s="885"/>
      <c r="HT947" s="885"/>
      <c r="HU947" s="885"/>
      <c r="HV947" s="885"/>
      <c r="HW947" s="885"/>
      <c r="HX947" s="885"/>
      <c r="HY947" s="885"/>
      <c r="HZ947" s="885"/>
      <c r="IA947" s="885"/>
      <c r="IB947" s="885"/>
      <c r="IC947" s="885"/>
      <c r="ID947" s="885"/>
      <c r="IE947" s="885"/>
      <c r="IF947" s="885"/>
      <c r="IG947" s="885"/>
      <c r="IH947" s="885"/>
      <c r="II947" s="885"/>
      <c r="IJ947" s="885"/>
      <c r="IK947" s="885"/>
      <c r="IL947" s="885"/>
      <c r="IM947" s="885"/>
      <c r="IN947" s="885"/>
      <c r="IO947" s="885"/>
      <c r="IP947" s="885"/>
      <c r="IQ947" s="885"/>
      <c r="IR947" s="885"/>
      <c r="IS947" s="885"/>
      <c r="IT947" s="885"/>
      <c r="IU947" s="885"/>
      <c r="IV947" s="885"/>
      <c r="IW947" s="885"/>
      <c r="IX947" s="885"/>
    </row>
    <row r="948" spans="1:258" x14ac:dyDescent="0.25">
      <c r="A948" s="125">
        <f t="shared" si="118"/>
        <v>908</v>
      </c>
      <c r="B948" s="885"/>
      <c r="C948" s="842" t="s">
        <v>10500</v>
      </c>
      <c r="D948" s="924">
        <v>552</v>
      </c>
      <c r="E948" s="924">
        <f t="shared" si="117"/>
        <v>828</v>
      </c>
      <c r="F948" s="136">
        <f>E948</f>
        <v>828</v>
      </c>
      <c r="G948" s="122" t="s">
        <v>1963</v>
      </c>
      <c r="H948" s="885"/>
      <c r="I948" s="885"/>
      <c r="J948" s="885"/>
      <c r="K948" s="885"/>
      <c r="L948" s="885"/>
      <c r="M948" s="885"/>
      <c r="N948" s="885"/>
      <c r="O948" s="885"/>
      <c r="P948" s="885"/>
      <c r="Q948" s="885"/>
      <c r="R948" s="885"/>
      <c r="S948" s="885"/>
      <c r="T948" s="885"/>
      <c r="U948" s="885"/>
      <c r="V948" s="885"/>
      <c r="W948" s="885"/>
      <c r="X948" s="885"/>
      <c r="Y948" s="885"/>
      <c r="Z948" s="885"/>
      <c r="AA948" s="885"/>
      <c r="AB948" s="885"/>
      <c r="AC948" s="885"/>
      <c r="AD948" s="885"/>
      <c r="AE948" s="885"/>
      <c r="AF948" s="885"/>
      <c r="AG948" s="885"/>
      <c r="AH948" s="885"/>
      <c r="AI948" s="885"/>
      <c r="AJ948" s="885"/>
      <c r="AK948" s="885"/>
      <c r="AL948" s="885"/>
      <c r="AM948" s="885"/>
      <c r="AN948" s="885"/>
      <c r="AO948" s="885"/>
      <c r="AP948" s="885"/>
      <c r="AQ948" s="885"/>
      <c r="AR948" s="885"/>
      <c r="AS948" s="885"/>
      <c r="AT948" s="885"/>
      <c r="AU948" s="885"/>
      <c r="AV948" s="885"/>
      <c r="AW948" s="885"/>
      <c r="AX948" s="885"/>
      <c r="AY948" s="885"/>
      <c r="AZ948" s="885"/>
      <c r="BA948" s="885"/>
      <c r="BB948" s="885"/>
      <c r="BC948" s="885"/>
      <c r="BD948" s="885"/>
      <c r="BE948" s="885"/>
      <c r="BF948" s="885"/>
      <c r="BG948" s="885"/>
      <c r="BH948" s="885"/>
      <c r="BI948" s="885"/>
      <c r="BJ948" s="885"/>
      <c r="BK948" s="885"/>
      <c r="BL948" s="885"/>
      <c r="BM948" s="885"/>
      <c r="BN948" s="885"/>
      <c r="BO948" s="885"/>
      <c r="BP948" s="885"/>
      <c r="BQ948" s="885"/>
      <c r="BR948" s="885"/>
      <c r="BS948" s="885"/>
      <c r="BT948" s="885"/>
      <c r="BU948" s="885"/>
      <c r="BV948" s="885"/>
      <c r="BW948" s="885"/>
      <c r="BX948" s="885"/>
      <c r="BY948" s="885"/>
      <c r="BZ948" s="885"/>
      <c r="CA948" s="885"/>
      <c r="CB948" s="885"/>
      <c r="CC948" s="885"/>
      <c r="CD948" s="885"/>
      <c r="CE948" s="885"/>
      <c r="CF948" s="885"/>
      <c r="CG948" s="885"/>
      <c r="CH948" s="885"/>
      <c r="CI948" s="885"/>
      <c r="CJ948" s="885"/>
      <c r="CK948" s="885"/>
      <c r="CL948" s="885"/>
      <c r="CM948" s="885"/>
      <c r="CN948" s="885"/>
      <c r="CO948" s="885"/>
      <c r="CP948" s="885"/>
      <c r="CQ948" s="885"/>
      <c r="CR948" s="885"/>
      <c r="CS948" s="885"/>
      <c r="CT948" s="885"/>
      <c r="CU948" s="885"/>
      <c r="CV948" s="885"/>
      <c r="CW948" s="885"/>
      <c r="CX948" s="885"/>
      <c r="CY948" s="885"/>
      <c r="CZ948" s="885"/>
      <c r="DA948" s="885"/>
      <c r="DB948" s="885"/>
      <c r="DC948" s="885"/>
      <c r="DD948" s="885"/>
      <c r="DE948" s="885"/>
      <c r="DF948" s="885"/>
      <c r="DG948" s="885"/>
      <c r="DH948" s="885"/>
      <c r="DI948" s="885"/>
      <c r="DJ948" s="885"/>
      <c r="DK948" s="885"/>
      <c r="DL948" s="885"/>
      <c r="DM948" s="885"/>
      <c r="DN948" s="885"/>
      <c r="DO948" s="885"/>
      <c r="DP948" s="885"/>
      <c r="DQ948" s="885"/>
      <c r="DR948" s="885"/>
      <c r="DS948" s="885"/>
      <c r="DT948" s="885"/>
      <c r="DU948" s="885"/>
      <c r="DV948" s="885"/>
      <c r="DW948" s="885"/>
      <c r="DX948" s="885"/>
      <c r="DY948" s="885"/>
      <c r="DZ948" s="885"/>
      <c r="EA948" s="885"/>
      <c r="EB948" s="885"/>
      <c r="EC948" s="885"/>
      <c r="ED948" s="885"/>
      <c r="EE948" s="885"/>
      <c r="EF948" s="885"/>
      <c r="EG948" s="885"/>
      <c r="EH948" s="885"/>
      <c r="EI948" s="885"/>
      <c r="EJ948" s="885"/>
      <c r="EK948" s="885"/>
      <c r="EL948" s="885"/>
      <c r="EM948" s="885"/>
      <c r="EN948" s="885"/>
      <c r="EO948" s="885"/>
      <c r="EP948" s="885"/>
      <c r="EQ948" s="885"/>
      <c r="ER948" s="885"/>
      <c r="ES948" s="885"/>
      <c r="ET948" s="885"/>
      <c r="EU948" s="885"/>
      <c r="EV948" s="885"/>
      <c r="EW948" s="885"/>
      <c r="EX948" s="885"/>
      <c r="EY948" s="885"/>
      <c r="EZ948" s="885"/>
      <c r="FA948" s="885"/>
      <c r="FB948" s="885"/>
      <c r="FC948" s="885"/>
      <c r="FD948" s="885"/>
      <c r="FE948" s="885"/>
      <c r="FF948" s="885"/>
      <c r="FG948" s="885"/>
      <c r="FH948" s="885"/>
      <c r="FI948" s="885"/>
      <c r="FJ948" s="885"/>
      <c r="FK948" s="885"/>
      <c r="FL948" s="885"/>
      <c r="FM948" s="885"/>
      <c r="FN948" s="885"/>
      <c r="FO948" s="885"/>
      <c r="FP948" s="885"/>
      <c r="FQ948" s="885"/>
      <c r="FR948" s="885"/>
      <c r="FS948" s="885"/>
      <c r="FT948" s="885"/>
      <c r="FU948" s="885"/>
      <c r="FV948" s="885"/>
      <c r="FW948" s="885"/>
      <c r="FX948" s="885"/>
      <c r="FY948" s="885"/>
      <c r="FZ948" s="885"/>
      <c r="GA948" s="885"/>
      <c r="GB948" s="885"/>
      <c r="GC948" s="885"/>
      <c r="GD948" s="885"/>
      <c r="GE948" s="885"/>
      <c r="GF948" s="885"/>
      <c r="GG948" s="885"/>
      <c r="GH948" s="885"/>
      <c r="GI948" s="885"/>
      <c r="GJ948" s="885"/>
      <c r="GK948" s="885"/>
      <c r="GL948" s="885"/>
      <c r="GM948" s="885"/>
      <c r="GN948" s="885"/>
      <c r="GO948" s="885"/>
      <c r="GP948" s="885"/>
      <c r="GQ948" s="885"/>
      <c r="GR948" s="885"/>
      <c r="GS948" s="885"/>
      <c r="GT948" s="885"/>
      <c r="GU948" s="885"/>
      <c r="GV948" s="885"/>
      <c r="GW948" s="885"/>
      <c r="GX948" s="885"/>
      <c r="GY948" s="885"/>
      <c r="GZ948" s="885"/>
      <c r="HA948" s="885"/>
      <c r="HB948" s="885"/>
      <c r="HC948" s="885"/>
      <c r="HD948" s="885"/>
      <c r="HE948" s="885"/>
      <c r="HF948" s="885"/>
      <c r="HG948" s="885"/>
      <c r="HH948" s="885"/>
      <c r="HI948" s="885"/>
      <c r="HJ948" s="885"/>
      <c r="HK948" s="885"/>
      <c r="HL948" s="885"/>
      <c r="HM948" s="885"/>
      <c r="HN948" s="885"/>
      <c r="HO948" s="885"/>
      <c r="HP948" s="885"/>
      <c r="HQ948" s="885"/>
      <c r="HR948" s="885"/>
      <c r="HS948" s="885"/>
      <c r="HT948" s="885"/>
      <c r="HU948" s="885"/>
      <c r="HV948" s="885"/>
      <c r="HW948" s="885"/>
      <c r="HX948" s="885"/>
      <c r="HY948" s="885"/>
      <c r="HZ948" s="885"/>
      <c r="IA948" s="885"/>
      <c r="IB948" s="885"/>
      <c r="IC948" s="885"/>
      <c r="ID948" s="885"/>
      <c r="IE948" s="885"/>
      <c r="IF948" s="885"/>
      <c r="IG948" s="885"/>
      <c r="IH948" s="885"/>
      <c r="II948" s="885"/>
      <c r="IJ948" s="885"/>
      <c r="IK948" s="885"/>
      <c r="IL948" s="885"/>
      <c r="IM948" s="885"/>
      <c r="IN948" s="885"/>
      <c r="IO948" s="885"/>
      <c r="IP948" s="885"/>
      <c r="IQ948" s="885"/>
      <c r="IR948" s="885"/>
      <c r="IS948" s="885"/>
      <c r="IT948" s="885"/>
      <c r="IU948" s="885"/>
      <c r="IV948" s="885"/>
      <c r="IW948" s="885"/>
      <c r="IX948" s="885"/>
    </row>
    <row r="949" spans="1:258" x14ac:dyDescent="0.25">
      <c r="A949" s="125">
        <f t="shared" si="118"/>
        <v>909</v>
      </c>
      <c r="B949" s="885"/>
      <c r="C949" s="842" t="s">
        <v>10520</v>
      </c>
      <c r="D949" s="924">
        <v>93440.34</v>
      </c>
      <c r="E949" s="924">
        <f t="shared" si="117"/>
        <v>140160.51</v>
      </c>
      <c r="F949" s="136">
        <f>E949</f>
        <v>140160.51</v>
      </c>
      <c r="G949" s="122" t="s">
        <v>1963</v>
      </c>
      <c r="I949" s="885"/>
      <c r="J949" s="885"/>
      <c r="K949" s="885"/>
      <c r="L949" s="885"/>
      <c r="M949" s="885"/>
      <c r="N949" s="885"/>
      <c r="O949" s="885"/>
      <c r="P949" s="885"/>
      <c r="Q949" s="885"/>
      <c r="R949" s="885"/>
      <c r="S949" s="885"/>
      <c r="T949" s="885"/>
      <c r="U949" s="885"/>
      <c r="V949" s="885"/>
      <c r="W949" s="885"/>
      <c r="X949" s="885"/>
      <c r="Y949" s="885"/>
      <c r="Z949" s="885"/>
      <c r="AA949" s="885"/>
      <c r="AB949" s="885"/>
      <c r="AC949" s="885"/>
      <c r="AD949" s="885"/>
      <c r="AE949" s="885"/>
      <c r="AF949" s="885"/>
      <c r="AG949" s="885"/>
      <c r="AH949" s="885"/>
      <c r="AI949" s="885"/>
      <c r="AJ949" s="885"/>
      <c r="AK949" s="885"/>
      <c r="AL949" s="885"/>
      <c r="AM949" s="885"/>
      <c r="AN949" s="885"/>
      <c r="AO949" s="885"/>
      <c r="AP949" s="885"/>
      <c r="AQ949" s="885"/>
      <c r="AR949" s="885"/>
      <c r="AS949" s="885"/>
      <c r="AT949" s="885"/>
      <c r="AU949" s="885"/>
      <c r="AV949" s="885"/>
      <c r="AW949" s="885"/>
      <c r="AX949" s="885"/>
      <c r="AY949" s="885"/>
      <c r="AZ949" s="885"/>
      <c r="BA949" s="885"/>
      <c r="BB949" s="885"/>
      <c r="BC949" s="885"/>
      <c r="BD949" s="885"/>
      <c r="BE949" s="885"/>
      <c r="BF949" s="885"/>
      <c r="BG949" s="885"/>
      <c r="BH949" s="885"/>
      <c r="BI949" s="885"/>
      <c r="BJ949" s="885"/>
      <c r="BK949" s="885"/>
      <c r="BL949" s="885"/>
      <c r="BM949" s="885"/>
      <c r="BN949" s="885"/>
      <c r="BO949" s="885"/>
      <c r="BP949" s="885"/>
      <c r="BQ949" s="885"/>
      <c r="BR949" s="885"/>
      <c r="BS949" s="885"/>
      <c r="BT949" s="885"/>
      <c r="BU949" s="885"/>
      <c r="BV949" s="885"/>
      <c r="BW949" s="885"/>
      <c r="BX949" s="885"/>
      <c r="BY949" s="885"/>
      <c r="BZ949" s="885"/>
      <c r="CA949" s="885"/>
      <c r="CB949" s="885"/>
      <c r="CC949" s="885"/>
      <c r="CD949" s="885"/>
      <c r="CE949" s="885"/>
      <c r="CF949" s="885"/>
      <c r="CG949" s="885"/>
      <c r="CH949" s="885"/>
      <c r="CI949" s="885"/>
      <c r="CJ949" s="885"/>
      <c r="CK949" s="885"/>
      <c r="CL949" s="885"/>
      <c r="CM949" s="885"/>
      <c r="CN949" s="885"/>
      <c r="CO949" s="885"/>
      <c r="CP949" s="885"/>
      <c r="CQ949" s="885"/>
      <c r="CR949" s="885"/>
      <c r="CS949" s="885"/>
      <c r="CT949" s="885"/>
      <c r="CU949" s="885"/>
      <c r="CV949" s="885"/>
      <c r="CW949" s="885"/>
      <c r="CX949" s="885"/>
      <c r="CY949" s="885"/>
      <c r="CZ949" s="885"/>
      <c r="DA949" s="885"/>
      <c r="DB949" s="885"/>
      <c r="DC949" s="885"/>
      <c r="DD949" s="885"/>
      <c r="DE949" s="885"/>
      <c r="DF949" s="885"/>
      <c r="DG949" s="885"/>
      <c r="DH949" s="885"/>
      <c r="DI949" s="885"/>
      <c r="DJ949" s="885"/>
      <c r="DK949" s="885"/>
      <c r="DL949" s="885"/>
      <c r="DM949" s="885"/>
      <c r="DN949" s="885"/>
      <c r="DO949" s="885"/>
      <c r="DP949" s="885"/>
      <c r="DQ949" s="885"/>
      <c r="DR949" s="885"/>
      <c r="DS949" s="885"/>
      <c r="DT949" s="885"/>
      <c r="DU949" s="885"/>
      <c r="DV949" s="885"/>
      <c r="DW949" s="885"/>
      <c r="DX949" s="885"/>
      <c r="DY949" s="885"/>
      <c r="DZ949" s="885"/>
      <c r="EA949" s="885"/>
      <c r="EB949" s="885"/>
      <c r="EC949" s="885"/>
      <c r="ED949" s="885"/>
      <c r="EE949" s="885"/>
      <c r="EF949" s="885"/>
      <c r="EG949" s="885"/>
      <c r="EH949" s="885"/>
      <c r="EI949" s="885"/>
      <c r="EJ949" s="885"/>
      <c r="EK949" s="885"/>
      <c r="EL949" s="885"/>
      <c r="EM949" s="885"/>
      <c r="EN949" s="885"/>
      <c r="EO949" s="885"/>
      <c r="EP949" s="885"/>
      <c r="EQ949" s="885"/>
      <c r="ER949" s="885"/>
      <c r="ES949" s="885"/>
      <c r="ET949" s="885"/>
      <c r="EU949" s="885"/>
      <c r="EV949" s="885"/>
      <c r="EW949" s="885"/>
      <c r="EX949" s="885"/>
      <c r="EY949" s="885"/>
      <c r="EZ949" s="885"/>
      <c r="FA949" s="885"/>
      <c r="FB949" s="885"/>
      <c r="FC949" s="885"/>
      <c r="FD949" s="885"/>
      <c r="FE949" s="885"/>
      <c r="FF949" s="885"/>
      <c r="FG949" s="885"/>
      <c r="FH949" s="885"/>
      <c r="FI949" s="885"/>
      <c r="FJ949" s="885"/>
      <c r="FK949" s="885"/>
      <c r="FL949" s="885"/>
      <c r="FM949" s="885"/>
      <c r="FN949" s="885"/>
      <c r="FO949" s="885"/>
      <c r="FP949" s="885"/>
      <c r="FQ949" s="885"/>
      <c r="FR949" s="885"/>
      <c r="FS949" s="885"/>
      <c r="FT949" s="885"/>
      <c r="FU949" s="885"/>
      <c r="FV949" s="885"/>
      <c r="FW949" s="885"/>
      <c r="FX949" s="885"/>
      <c r="FY949" s="885"/>
      <c r="FZ949" s="885"/>
      <c r="GA949" s="885"/>
      <c r="GB949" s="885"/>
      <c r="GC949" s="885"/>
      <c r="GD949" s="885"/>
      <c r="GE949" s="885"/>
      <c r="GF949" s="885"/>
      <c r="GG949" s="885"/>
      <c r="GH949" s="885"/>
      <c r="GI949" s="885"/>
      <c r="GJ949" s="885"/>
      <c r="GK949" s="885"/>
      <c r="GL949" s="885"/>
      <c r="GM949" s="885"/>
      <c r="GN949" s="885"/>
      <c r="GO949" s="885"/>
      <c r="GP949" s="885"/>
      <c r="GQ949" s="885"/>
      <c r="GR949" s="885"/>
      <c r="GS949" s="885"/>
      <c r="GT949" s="885"/>
      <c r="GU949" s="885"/>
      <c r="GV949" s="885"/>
      <c r="GW949" s="885"/>
      <c r="GX949" s="885"/>
      <c r="GY949" s="885"/>
      <c r="GZ949" s="885"/>
      <c r="HA949" s="885"/>
      <c r="HB949" s="885"/>
      <c r="HC949" s="885"/>
      <c r="HD949" s="885"/>
      <c r="HE949" s="885"/>
      <c r="HF949" s="885"/>
      <c r="HG949" s="885"/>
      <c r="HH949" s="885"/>
      <c r="HI949" s="885"/>
      <c r="HJ949" s="885"/>
      <c r="HK949" s="885"/>
      <c r="HL949" s="885"/>
      <c r="HM949" s="885"/>
      <c r="HN949" s="885"/>
      <c r="HO949" s="885"/>
      <c r="HP949" s="885"/>
      <c r="HQ949" s="885"/>
      <c r="HR949" s="885"/>
      <c r="HS949" s="885"/>
      <c r="HT949" s="885"/>
      <c r="HU949" s="885"/>
      <c r="HV949" s="885"/>
      <c r="HW949" s="885"/>
      <c r="HX949" s="885"/>
      <c r="HY949" s="885"/>
      <c r="HZ949" s="885"/>
      <c r="IA949" s="885"/>
      <c r="IB949" s="885"/>
      <c r="IC949" s="885"/>
      <c r="ID949" s="885"/>
      <c r="IE949" s="885"/>
      <c r="IF949" s="885"/>
      <c r="IG949" s="885"/>
      <c r="IH949" s="885"/>
      <c r="II949" s="885"/>
      <c r="IJ949" s="885"/>
      <c r="IK949" s="885"/>
      <c r="IL949" s="885"/>
      <c r="IM949" s="885"/>
      <c r="IN949" s="885"/>
      <c r="IO949" s="885"/>
      <c r="IP949" s="885"/>
      <c r="IQ949" s="885"/>
      <c r="IR949" s="885"/>
      <c r="IS949" s="885"/>
      <c r="IT949" s="885"/>
      <c r="IU949" s="885"/>
      <c r="IV949" s="885"/>
      <c r="IW949" s="885"/>
      <c r="IX949" s="885"/>
    </row>
    <row r="950" spans="1:258" x14ac:dyDescent="0.25">
      <c r="A950" s="125">
        <f t="shared" si="118"/>
        <v>910</v>
      </c>
      <c r="B950" s="954"/>
      <c r="C950" s="842" t="s">
        <v>11532</v>
      </c>
      <c r="D950" s="924">
        <v>3123.81</v>
      </c>
      <c r="E950" s="924">
        <f>D950/8*13.33</f>
        <v>5205.0484125000003</v>
      </c>
      <c r="F950" s="136">
        <v>0</v>
      </c>
      <c r="I950" s="954"/>
      <c r="J950" s="954"/>
      <c r="K950" s="954"/>
      <c r="L950" s="954"/>
      <c r="M950" s="954"/>
      <c r="N950" s="954"/>
      <c r="O950" s="954"/>
      <c r="P950" s="954"/>
      <c r="Q950" s="954"/>
      <c r="R950" s="954"/>
      <c r="S950" s="954"/>
      <c r="T950" s="954"/>
      <c r="U950" s="954"/>
      <c r="V950" s="954"/>
      <c r="W950" s="954"/>
      <c r="X950" s="954"/>
      <c r="Y950" s="954"/>
      <c r="Z950" s="954"/>
      <c r="AA950" s="954"/>
      <c r="AB950" s="954"/>
      <c r="AC950" s="954"/>
      <c r="AD950" s="954"/>
      <c r="AE950" s="954"/>
      <c r="AF950" s="954"/>
      <c r="AG950" s="954"/>
      <c r="AH950" s="954"/>
      <c r="AI950" s="954"/>
      <c r="AJ950" s="954"/>
      <c r="AK950" s="954"/>
      <c r="AL950" s="954"/>
      <c r="AM950" s="954"/>
      <c r="AN950" s="954"/>
      <c r="AO950" s="954"/>
      <c r="AP950" s="954"/>
      <c r="AQ950" s="954"/>
      <c r="AR950" s="954"/>
      <c r="AS950" s="954"/>
      <c r="AT950" s="954"/>
      <c r="AU950" s="954"/>
      <c r="AV950" s="954"/>
      <c r="AW950" s="954"/>
      <c r="AX950" s="954"/>
      <c r="AY950" s="954"/>
      <c r="AZ950" s="954"/>
      <c r="BA950" s="954"/>
      <c r="BB950" s="954"/>
      <c r="BC950" s="954"/>
      <c r="BD950" s="954"/>
      <c r="BE950" s="954"/>
      <c r="BF950" s="954"/>
      <c r="BG950" s="954"/>
      <c r="BH950" s="954"/>
      <c r="BI950" s="954"/>
      <c r="BJ950" s="954"/>
      <c r="BK950" s="954"/>
      <c r="BL950" s="954"/>
      <c r="BM950" s="954"/>
      <c r="BN950" s="954"/>
      <c r="BO950" s="954"/>
      <c r="BP950" s="954"/>
      <c r="BQ950" s="954"/>
      <c r="BR950" s="954"/>
      <c r="BS950" s="954"/>
      <c r="BT950" s="954"/>
      <c r="BU950" s="954"/>
      <c r="BV950" s="954"/>
      <c r="BW950" s="954"/>
      <c r="BX950" s="954"/>
      <c r="BY950" s="954"/>
      <c r="BZ950" s="954"/>
      <c r="CA950" s="954"/>
      <c r="CB950" s="954"/>
      <c r="CC950" s="954"/>
      <c r="CD950" s="954"/>
      <c r="CE950" s="954"/>
      <c r="CF950" s="954"/>
      <c r="CG950" s="954"/>
      <c r="CH950" s="954"/>
      <c r="CI950" s="954"/>
      <c r="CJ950" s="954"/>
      <c r="CK950" s="954"/>
      <c r="CL950" s="954"/>
      <c r="CM950" s="954"/>
      <c r="CN950" s="954"/>
      <c r="CO950" s="954"/>
      <c r="CP950" s="954"/>
      <c r="CQ950" s="954"/>
      <c r="CR950" s="954"/>
      <c r="CS950" s="954"/>
      <c r="CT950" s="954"/>
      <c r="CU950" s="954"/>
      <c r="CV950" s="954"/>
      <c r="CW950" s="954"/>
      <c r="CX950" s="954"/>
      <c r="CY950" s="954"/>
      <c r="CZ950" s="954"/>
      <c r="DA950" s="954"/>
      <c r="DB950" s="954"/>
      <c r="DC950" s="954"/>
      <c r="DD950" s="954"/>
      <c r="DE950" s="954"/>
      <c r="DF950" s="954"/>
      <c r="DG950" s="954"/>
      <c r="DH950" s="954"/>
      <c r="DI950" s="954"/>
      <c r="DJ950" s="954"/>
      <c r="DK950" s="954"/>
      <c r="DL950" s="954"/>
      <c r="DM950" s="954"/>
      <c r="DN950" s="954"/>
      <c r="DO950" s="954"/>
      <c r="DP950" s="954"/>
      <c r="DQ950" s="954"/>
      <c r="DR950" s="954"/>
      <c r="DS950" s="954"/>
      <c r="DT950" s="954"/>
      <c r="DU950" s="954"/>
      <c r="DV950" s="954"/>
      <c r="DW950" s="954"/>
      <c r="DX950" s="954"/>
      <c r="DY950" s="954"/>
      <c r="DZ950" s="954"/>
      <c r="EA950" s="954"/>
      <c r="EB950" s="954"/>
      <c r="EC950" s="954"/>
      <c r="ED950" s="954"/>
      <c r="EE950" s="954"/>
      <c r="EF950" s="954"/>
      <c r="EG950" s="954"/>
      <c r="EH950" s="954"/>
      <c r="EI950" s="954"/>
      <c r="EJ950" s="954"/>
      <c r="EK950" s="954"/>
      <c r="EL950" s="954"/>
      <c r="EM950" s="954"/>
      <c r="EN950" s="954"/>
      <c r="EO950" s="954"/>
      <c r="EP950" s="954"/>
      <c r="EQ950" s="954"/>
      <c r="ER950" s="954"/>
      <c r="ES950" s="954"/>
      <c r="ET950" s="954"/>
      <c r="EU950" s="954"/>
      <c r="EV950" s="954"/>
      <c r="EW950" s="954"/>
      <c r="EX950" s="954"/>
      <c r="EY950" s="954"/>
      <c r="EZ950" s="954"/>
      <c r="FA950" s="954"/>
      <c r="FB950" s="954"/>
      <c r="FC950" s="954"/>
      <c r="FD950" s="954"/>
      <c r="FE950" s="954"/>
      <c r="FF950" s="954"/>
      <c r="FG950" s="954"/>
      <c r="FH950" s="954"/>
      <c r="FI950" s="954"/>
      <c r="FJ950" s="954"/>
      <c r="FK950" s="954"/>
      <c r="FL950" s="954"/>
      <c r="FM950" s="954"/>
      <c r="FN950" s="954"/>
      <c r="FO950" s="954"/>
      <c r="FP950" s="954"/>
      <c r="FQ950" s="954"/>
      <c r="FR950" s="954"/>
      <c r="FS950" s="954"/>
      <c r="FT950" s="954"/>
      <c r="FU950" s="954"/>
      <c r="FV950" s="954"/>
      <c r="FW950" s="954"/>
      <c r="FX950" s="954"/>
      <c r="FY950" s="954"/>
      <c r="FZ950" s="954"/>
      <c r="GA950" s="954"/>
      <c r="GB950" s="954"/>
      <c r="GC950" s="954"/>
      <c r="GD950" s="954"/>
      <c r="GE950" s="954"/>
      <c r="GF950" s="954"/>
      <c r="GG950" s="954"/>
      <c r="GH950" s="954"/>
      <c r="GI950" s="954"/>
      <c r="GJ950" s="954"/>
      <c r="GK950" s="954"/>
      <c r="GL950" s="954"/>
      <c r="GM950" s="954"/>
      <c r="GN950" s="954"/>
      <c r="GO950" s="954"/>
      <c r="GP950" s="954"/>
      <c r="GQ950" s="954"/>
      <c r="GR950" s="954"/>
      <c r="GS950" s="954"/>
      <c r="GT950" s="954"/>
      <c r="GU950" s="954"/>
      <c r="GV950" s="954"/>
      <c r="GW950" s="954"/>
      <c r="GX950" s="954"/>
      <c r="GY950" s="954"/>
      <c r="GZ950" s="954"/>
      <c r="HA950" s="954"/>
      <c r="HB950" s="954"/>
      <c r="HC950" s="954"/>
      <c r="HD950" s="954"/>
      <c r="HE950" s="954"/>
      <c r="HF950" s="954"/>
      <c r="HG950" s="954"/>
      <c r="HH950" s="954"/>
      <c r="HI950" s="954"/>
      <c r="HJ950" s="954"/>
      <c r="HK950" s="954"/>
      <c r="HL950" s="954"/>
      <c r="HM950" s="954"/>
      <c r="HN950" s="954"/>
      <c r="HO950" s="954"/>
      <c r="HP950" s="954"/>
      <c r="HQ950" s="954"/>
      <c r="HR950" s="954"/>
      <c r="HS950" s="954"/>
      <c r="HT950" s="954"/>
      <c r="HU950" s="954"/>
      <c r="HV950" s="954"/>
      <c r="HW950" s="954"/>
      <c r="HX950" s="954"/>
      <c r="HY950" s="954"/>
      <c r="HZ950" s="954"/>
      <c r="IA950" s="954"/>
      <c r="IB950" s="954"/>
      <c r="IC950" s="954"/>
      <c r="ID950" s="954"/>
      <c r="IE950" s="954"/>
      <c r="IF950" s="954"/>
      <c r="IG950" s="954"/>
      <c r="IH950" s="954"/>
      <c r="II950" s="954"/>
      <c r="IJ950" s="954"/>
      <c r="IK950" s="954"/>
      <c r="IL950" s="954"/>
      <c r="IM950" s="954"/>
      <c r="IN950" s="954"/>
      <c r="IO950" s="954"/>
      <c r="IP950" s="954"/>
      <c r="IQ950" s="954"/>
      <c r="IR950" s="954"/>
      <c r="IS950" s="954"/>
      <c r="IT950" s="954"/>
      <c r="IU950" s="954"/>
      <c r="IV950" s="954"/>
      <c r="IW950" s="954"/>
      <c r="IX950" s="954"/>
    </row>
    <row r="951" spans="1:258" x14ac:dyDescent="0.25">
      <c r="A951" s="125">
        <f t="shared" si="118"/>
        <v>911</v>
      </c>
      <c r="B951" s="885"/>
      <c r="C951" s="842" t="s">
        <v>10498</v>
      </c>
      <c r="D951" s="924">
        <f>52737.82-9309.96</f>
        <v>43427.86</v>
      </c>
      <c r="E951" s="924">
        <f>D951/5.2*5.2</f>
        <v>43427.86</v>
      </c>
      <c r="F951" s="136">
        <f>E951/10.4</f>
        <v>4175.7557692307691</v>
      </c>
      <c r="G951" s="122" t="s">
        <v>1963</v>
      </c>
      <c r="I951" s="885"/>
      <c r="J951" s="885"/>
      <c r="K951" s="885"/>
      <c r="L951" s="885"/>
      <c r="M951" s="885"/>
      <c r="N951" s="885"/>
      <c r="O951" s="885"/>
      <c r="P951" s="885"/>
      <c r="Q951" s="885"/>
      <c r="R951" s="885"/>
      <c r="S951" s="885"/>
      <c r="T951" s="885"/>
      <c r="U951" s="885"/>
      <c r="V951" s="885"/>
      <c r="W951" s="885"/>
      <c r="X951" s="885"/>
      <c r="Y951" s="885"/>
      <c r="Z951" s="885"/>
      <c r="AA951" s="885"/>
      <c r="AB951" s="885"/>
      <c r="AC951" s="885"/>
      <c r="AD951" s="885"/>
      <c r="AE951" s="885"/>
      <c r="AF951" s="885"/>
      <c r="AG951" s="885"/>
      <c r="AH951" s="885"/>
      <c r="AI951" s="885"/>
      <c r="AJ951" s="885"/>
      <c r="AK951" s="885"/>
      <c r="AL951" s="885"/>
      <c r="AM951" s="885"/>
      <c r="AN951" s="885"/>
      <c r="AO951" s="885"/>
      <c r="AP951" s="885"/>
      <c r="AQ951" s="885"/>
      <c r="AR951" s="885"/>
      <c r="AS951" s="885"/>
      <c r="AT951" s="885"/>
      <c r="AU951" s="885"/>
      <c r="AV951" s="885"/>
      <c r="AW951" s="885"/>
      <c r="AX951" s="885"/>
      <c r="AY951" s="885"/>
      <c r="AZ951" s="885"/>
      <c r="BA951" s="885"/>
      <c r="BB951" s="885"/>
      <c r="BC951" s="885"/>
      <c r="BD951" s="885"/>
      <c r="BE951" s="885"/>
      <c r="BF951" s="885"/>
      <c r="BG951" s="885"/>
      <c r="BH951" s="885"/>
      <c r="BI951" s="885"/>
      <c r="BJ951" s="885"/>
      <c r="BK951" s="885"/>
      <c r="BL951" s="885"/>
      <c r="BM951" s="885"/>
      <c r="BN951" s="885"/>
      <c r="BO951" s="885"/>
      <c r="BP951" s="885"/>
      <c r="BQ951" s="885"/>
      <c r="BR951" s="885"/>
      <c r="BS951" s="885"/>
      <c r="BT951" s="885"/>
      <c r="BU951" s="885"/>
      <c r="BV951" s="885"/>
      <c r="BW951" s="885"/>
      <c r="BX951" s="885"/>
      <c r="BY951" s="885"/>
      <c r="BZ951" s="885"/>
      <c r="CA951" s="885"/>
      <c r="CB951" s="885"/>
      <c r="CC951" s="885"/>
      <c r="CD951" s="885"/>
      <c r="CE951" s="885"/>
      <c r="CF951" s="885"/>
      <c r="CG951" s="885"/>
      <c r="CH951" s="885"/>
      <c r="CI951" s="885"/>
      <c r="CJ951" s="885"/>
      <c r="CK951" s="885"/>
      <c r="CL951" s="885"/>
      <c r="CM951" s="885"/>
      <c r="CN951" s="885"/>
      <c r="CO951" s="885"/>
      <c r="CP951" s="885"/>
      <c r="CQ951" s="885"/>
      <c r="CR951" s="885"/>
      <c r="CS951" s="885"/>
      <c r="CT951" s="885"/>
      <c r="CU951" s="885"/>
      <c r="CV951" s="885"/>
      <c r="CW951" s="885"/>
      <c r="CX951" s="885"/>
      <c r="CY951" s="885"/>
      <c r="CZ951" s="885"/>
      <c r="DA951" s="885"/>
      <c r="DB951" s="885"/>
      <c r="DC951" s="885"/>
      <c r="DD951" s="885"/>
      <c r="DE951" s="885"/>
      <c r="DF951" s="885"/>
      <c r="DG951" s="885"/>
      <c r="DH951" s="885"/>
      <c r="DI951" s="885"/>
      <c r="DJ951" s="885"/>
      <c r="DK951" s="885"/>
      <c r="DL951" s="885"/>
      <c r="DM951" s="885"/>
      <c r="DN951" s="885"/>
      <c r="DO951" s="885"/>
      <c r="DP951" s="885"/>
      <c r="DQ951" s="885"/>
      <c r="DR951" s="885"/>
      <c r="DS951" s="885"/>
      <c r="DT951" s="885"/>
      <c r="DU951" s="885"/>
      <c r="DV951" s="885"/>
      <c r="DW951" s="885"/>
      <c r="DX951" s="885"/>
      <c r="DY951" s="885"/>
      <c r="DZ951" s="885"/>
      <c r="EA951" s="885"/>
      <c r="EB951" s="885"/>
      <c r="EC951" s="885"/>
      <c r="ED951" s="885"/>
      <c r="EE951" s="885"/>
      <c r="EF951" s="885"/>
      <c r="EG951" s="885"/>
      <c r="EH951" s="885"/>
      <c r="EI951" s="885"/>
      <c r="EJ951" s="885"/>
      <c r="EK951" s="885"/>
      <c r="EL951" s="885"/>
      <c r="EM951" s="885"/>
      <c r="EN951" s="885"/>
      <c r="EO951" s="885"/>
      <c r="EP951" s="885"/>
      <c r="EQ951" s="885"/>
      <c r="ER951" s="885"/>
      <c r="ES951" s="885"/>
      <c r="ET951" s="885"/>
      <c r="EU951" s="885"/>
      <c r="EV951" s="885"/>
      <c r="EW951" s="885"/>
      <c r="EX951" s="885"/>
      <c r="EY951" s="885"/>
      <c r="EZ951" s="885"/>
      <c r="FA951" s="885"/>
      <c r="FB951" s="885"/>
      <c r="FC951" s="885"/>
      <c r="FD951" s="885"/>
      <c r="FE951" s="885"/>
      <c r="FF951" s="885"/>
      <c r="FG951" s="885"/>
      <c r="FH951" s="885"/>
      <c r="FI951" s="885"/>
      <c r="FJ951" s="885"/>
      <c r="FK951" s="885"/>
      <c r="FL951" s="885"/>
      <c r="FM951" s="885"/>
      <c r="FN951" s="885"/>
      <c r="FO951" s="885"/>
      <c r="FP951" s="885"/>
      <c r="FQ951" s="885"/>
      <c r="FR951" s="885"/>
      <c r="FS951" s="885"/>
      <c r="FT951" s="885"/>
      <c r="FU951" s="885"/>
      <c r="FV951" s="885"/>
      <c r="FW951" s="885"/>
      <c r="FX951" s="885"/>
      <c r="FY951" s="885"/>
      <c r="FZ951" s="885"/>
      <c r="GA951" s="885"/>
      <c r="GB951" s="885"/>
      <c r="GC951" s="885"/>
      <c r="GD951" s="885"/>
      <c r="GE951" s="885"/>
      <c r="GF951" s="885"/>
      <c r="GG951" s="885"/>
      <c r="GH951" s="885"/>
      <c r="GI951" s="885"/>
      <c r="GJ951" s="885"/>
      <c r="GK951" s="885"/>
      <c r="GL951" s="885"/>
      <c r="GM951" s="885"/>
      <c r="GN951" s="885"/>
      <c r="GO951" s="885"/>
      <c r="GP951" s="885"/>
      <c r="GQ951" s="885"/>
      <c r="GR951" s="885"/>
      <c r="GS951" s="885"/>
      <c r="GT951" s="885"/>
      <c r="GU951" s="885"/>
      <c r="GV951" s="885"/>
      <c r="GW951" s="885"/>
      <c r="GX951" s="885"/>
      <c r="GY951" s="885"/>
      <c r="GZ951" s="885"/>
      <c r="HA951" s="885"/>
      <c r="HB951" s="885"/>
      <c r="HC951" s="885"/>
      <c r="HD951" s="885"/>
      <c r="HE951" s="885"/>
      <c r="HF951" s="885"/>
      <c r="HG951" s="885"/>
      <c r="HH951" s="885"/>
      <c r="HI951" s="885"/>
      <c r="HJ951" s="885"/>
      <c r="HK951" s="885"/>
      <c r="HL951" s="885"/>
      <c r="HM951" s="885"/>
      <c r="HN951" s="885"/>
      <c r="HO951" s="885"/>
      <c r="HP951" s="885"/>
      <c r="HQ951" s="885"/>
      <c r="HR951" s="885"/>
      <c r="HS951" s="885"/>
      <c r="HT951" s="885"/>
      <c r="HU951" s="885"/>
      <c r="HV951" s="885"/>
      <c r="HW951" s="885"/>
      <c r="HX951" s="885"/>
      <c r="HY951" s="885"/>
      <c r="HZ951" s="885"/>
      <c r="IA951" s="885"/>
      <c r="IB951" s="885"/>
      <c r="IC951" s="885"/>
      <c r="ID951" s="885"/>
      <c r="IE951" s="885"/>
      <c r="IF951" s="885"/>
      <c r="IG951" s="885"/>
      <c r="IH951" s="885"/>
      <c r="II951" s="885"/>
      <c r="IJ951" s="885"/>
      <c r="IK951" s="885"/>
      <c r="IL951" s="885"/>
      <c r="IM951" s="885"/>
      <c r="IN951" s="885"/>
      <c r="IO951" s="885"/>
      <c r="IP951" s="885"/>
      <c r="IQ951" s="885"/>
      <c r="IR951" s="885"/>
      <c r="IS951" s="885"/>
      <c r="IT951" s="885"/>
      <c r="IU951" s="885"/>
      <c r="IV951" s="885"/>
      <c r="IW951" s="885"/>
      <c r="IX951" s="885"/>
    </row>
    <row r="952" spans="1:258" x14ac:dyDescent="0.25">
      <c r="A952" s="125">
        <f t="shared" si="118"/>
        <v>912</v>
      </c>
      <c r="B952" s="885"/>
      <c r="C952" s="842" t="s">
        <v>10497</v>
      </c>
      <c r="D952" s="924">
        <f>491.66+8818.3</f>
        <v>9309.9599999999991</v>
      </c>
      <c r="E952" s="924">
        <f>D952/5.2*5.2</f>
        <v>9309.9599999999991</v>
      </c>
      <c r="F952" s="136">
        <f>E952/10.4</f>
        <v>895.18846153846141</v>
      </c>
      <c r="G952" s="122" t="s">
        <v>1963</v>
      </c>
      <c r="I952" s="974"/>
      <c r="J952" s="885"/>
      <c r="K952" s="885"/>
      <c r="L952" s="885"/>
      <c r="M952" s="885"/>
      <c r="N952" s="885"/>
      <c r="O952" s="885"/>
      <c r="P952" s="885"/>
      <c r="Q952" s="885"/>
      <c r="R952" s="885"/>
      <c r="S952" s="885"/>
      <c r="T952" s="885"/>
      <c r="U952" s="885"/>
      <c r="V952" s="885"/>
      <c r="W952" s="885"/>
      <c r="X952" s="885"/>
      <c r="Y952" s="885"/>
      <c r="Z952" s="885"/>
      <c r="AA952" s="885"/>
      <c r="AB952" s="885"/>
      <c r="AC952" s="885"/>
      <c r="AD952" s="885"/>
      <c r="AE952" s="885"/>
      <c r="AF952" s="885"/>
      <c r="AG952" s="885"/>
      <c r="AH952" s="885"/>
      <c r="AI952" s="885"/>
      <c r="AJ952" s="885"/>
      <c r="AK952" s="885"/>
      <c r="AL952" s="885"/>
      <c r="AM952" s="885"/>
      <c r="AN952" s="885"/>
      <c r="AO952" s="885"/>
      <c r="AP952" s="885"/>
      <c r="AQ952" s="885"/>
      <c r="AR952" s="885"/>
      <c r="AS952" s="885"/>
      <c r="AT952" s="885"/>
      <c r="AU952" s="885"/>
      <c r="AV952" s="885"/>
      <c r="AW952" s="885"/>
      <c r="AX952" s="885"/>
      <c r="AY952" s="885"/>
      <c r="AZ952" s="885"/>
      <c r="BA952" s="885"/>
      <c r="BB952" s="885"/>
      <c r="BC952" s="885"/>
      <c r="BD952" s="885"/>
      <c r="BE952" s="885"/>
      <c r="BF952" s="885"/>
      <c r="BG952" s="885"/>
      <c r="BH952" s="885"/>
      <c r="BI952" s="885"/>
      <c r="BJ952" s="885"/>
      <c r="BK952" s="885"/>
      <c r="BL952" s="885"/>
      <c r="BM952" s="885"/>
      <c r="BN952" s="885"/>
      <c r="BO952" s="885"/>
      <c r="BP952" s="885"/>
      <c r="BQ952" s="885"/>
      <c r="BR952" s="885"/>
      <c r="BS952" s="885"/>
      <c r="BT952" s="885"/>
      <c r="BU952" s="885"/>
      <c r="BV952" s="885"/>
      <c r="BW952" s="885"/>
      <c r="BX952" s="885"/>
      <c r="BY952" s="885"/>
      <c r="BZ952" s="885"/>
      <c r="CA952" s="885"/>
      <c r="CB952" s="885"/>
      <c r="CC952" s="885"/>
      <c r="CD952" s="885"/>
      <c r="CE952" s="885"/>
      <c r="CF952" s="885"/>
      <c r="CG952" s="885"/>
      <c r="CH952" s="885"/>
      <c r="CI952" s="885"/>
      <c r="CJ952" s="885"/>
      <c r="CK952" s="885"/>
      <c r="CL952" s="885"/>
      <c r="CM952" s="885"/>
      <c r="CN952" s="885"/>
      <c r="CO952" s="885"/>
      <c r="CP952" s="885"/>
      <c r="CQ952" s="885"/>
      <c r="CR952" s="885"/>
      <c r="CS952" s="885"/>
      <c r="CT952" s="885"/>
      <c r="CU952" s="885"/>
      <c r="CV952" s="885"/>
      <c r="CW952" s="885"/>
      <c r="CX952" s="885"/>
      <c r="CY952" s="885"/>
      <c r="CZ952" s="885"/>
      <c r="DA952" s="885"/>
      <c r="DB952" s="885"/>
      <c r="DC952" s="885"/>
      <c r="DD952" s="885"/>
      <c r="DE952" s="885"/>
      <c r="DF952" s="885"/>
      <c r="DG952" s="885"/>
      <c r="DH952" s="885"/>
      <c r="DI952" s="885"/>
      <c r="DJ952" s="885"/>
      <c r="DK952" s="885"/>
      <c r="DL952" s="885"/>
      <c r="DM952" s="885"/>
      <c r="DN952" s="885"/>
      <c r="DO952" s="885"/>
      <c r="DP952" s="885"/>
      <c r="DQ952" s="885"/>
      <c r="DR952" s="885"/>
      <c r="DS952" s="885"/>
      <c r="DT952" s="885"/>
      <c r="DU952" s="885"/>
      <c r="DV952" s="885"/>
      <c r="DW952" s="885"/>
      <c r="DX952" s="885"/>
      <c r="DY952" s="885"/>
      <c r="DZ952" s="885"/>
      <c r="EA952" s="885"/>
      <c r="EB952" s="885"/>
      <c r="EC952" s="885"/>
      <c r="ED952" s="885"/>
      <c r="EE952" s="885"/>
      <c r="EF952" s="885"/>
      <c r="EG952" s="885"/>
      <c r="EH952" s="885"/>
      <c r="EI952" s="885"/>
      <c r="EJ952" s="885"/>
      <c r="EK952" s="885"/>
      <c r="EL952" s="885"/>
      <c r="EM952" s="885"/>
      <c r="EN952" s="885"/>
      <c r="EO952" s="885"/>
      <c r="EP952" s="885"/>
      <c r="EQ952" s="885"/>
      <c r="ER952" s="885"/>
      <c r="ES952" s="885"/>
      <c r="ET952" s="885"/>
      <c r="EU952" s="885"/>
      <c r="EV952" s="885"/>
      <c r="EW952" s="885"/>
      <c r="EX952" s="885"/>
      <c r="EY952" s="885"/>
      <c r="EZ952" s="885"/>
      <c r="FA952" s="885"/>
      <c r="FB952" s="885"/>
      <c r="FC952" s="885"/>
      <c r="FD952" s="885"/>
      <c r="FE952" s="885"/>
      <c r="FF952" s="885"/>
      <c r="FG952" s="885"/>
      <c r="FH952" s="885"/>
      <c r="FI952" s="885"/>
      <c r="FJ952" s="885"/>
      <c r="FK952" s="885"/>
      <c r="FL952" s="885"/>
      <c r="FM952" s="885"/>
      <c r="FN952" s="885"/>
      <c r="FO952" s="885"/>
      <c r="FP952" s="885"/>
      <c r="FQ952" s="885"/>
      <c r="FR952" s="885"/>
      <c r="FS952" s="885"/>
      <c r="FT952" s="885"/>
      <c r="FU952" s="885"/>
      <c r="FV952" s="885"/>
      <c r="FW952" s="885"/>
      <c r="FX952" s="885"/>
      <c r="FY952" s="885"/>
      <c r="FZ952" s="885"/>
      <c r="GA952" s="885"/>
      <c r="GB952" s="885"/>
      <c r="GC952" s="885"/>
      <c r="GD952" s="885"/>
      <c r="GE952" s="885"/>
      <c r="GF952" s="885"/>
      <c r="GG952" s="885"/>
      <c r="GH952" s="885"/>
      <c r="GI952" s="885"/>
      <c r="GJ952" s="885"/>
      <c r="GK952" s="885"/>
      <c r="GL952" s="885"/>
      <c r="GM952" s="885"/>
      <c r="GN952" s="885"/>
      <c r="GO952" s="885"/>
      <c r="GP952" s="885"/>
      <c r="GQ952" s="885"/>
      <c r="GR952" s="885"/>
      <c r="GS952" s="885"/>
      <c r="GT952" s="885"/>
      <c r="GU952" s="885"/>
      <c r="GV952" s="885"/>
      <c r="GW952" s="885"/>
      <c r="GX952" s="885"/>
      <c r="GY952" s="885"/>
      <c r="GZ952" s="885"/>
      <c r="HA952" s="885"/>
      <c r="HB952" s="885"/>
      <c r="HC952" s="885"/>
      <c r="HD952" s="885"/>
      <c r="HE952" s="885"/>
      <c r="HF952" s="885"/>
      <c r="HG952" s="885"/>
      <c r="HH952" s="885"/>
      <c r="HI952" s="885"/>
      <c r="HJ952" s="885"/>
      <c r="HK952" s="885"/>
      <c r="HL952" s="885"/>
      <c r="HM952" s="885"/>
      <c r="HN952" s="885"/>
      <c r="HO952" s="885"/>
      <c r="HP952" s="885"/>
      <c r="HQ952" s="885"/>
      <c r="HR952" s="885"/>
      <c r="HS952" s="885"/>
      <c r="HT952" s="885"/>
      <c r="HU952" s="885"/>
      <c r="HV952" s="885"/>
      <c r="HW952" s="885"/>
      <c r="HX952" s="885"/>
      <c r="HY952" s="885"/>
      <c r="HZ952" s="885"/>
      <c r="IA952" s="885"/>
      <c r="IB952" s="885"/>
      <c r="IC952" s="885"/>
      <c r="ID952" s="885"/>
      <c r="IE952" s="885"/>
      <c r="IF952" s="885"/>
      <c r="IG952" s="885"/>
      <c r="IH952" s="885"/>
      <c r="II952" s="885"/>
      <c r="IJ952" s="885"/>
      <c r="IK952" s="885"/>
      <c r="IL952" s="885"/>
      <c r="IM952" s="885"/>
      <c r="IN952" s="885"/>
      <c r="IO952" s="885"/>
      <c r="IP952" s="885"/>
      <c r="IQ952" s="885"/>
      <c r="IR952" s="885"/>
      <c r="IS952" s="885"/>
      <c r="IT952" s="885"/>
      <c r="IU952" s="885"/>
      <c r="IV952" s="885"/>
      <c r="IW952" s="885"/>
      <c r="IX952" s="885"/>
    </row>
    <row r="953" spans="1:258" x14ac:dyDescent="0.25">
      <c r="A953" s="125">
        <f t="shared" si="118"/>
        <v>913</v>
      </c>
      <c r="B953" s="885"/>
      <c r="C953" s="842" t="s">
        <v>10496</v>
      </c>
      <c r="D953" s="924">
        <v>0</v>
      </c>
      <c r="E953" s="924">
        <f t="shared" si="117"/>
        <v>0</v>
      </c>
      <c r="F953" s="136">
        <v>500</v>
      </c>
      <c r="G953" s="122" t="s">
        <v>1963</v>
      </c>
      <c r="I953" s="885"/>
      <c r="J953" s="885"/>
      <c r="K953" s="885"/>
      <c r="L953" s="885"/>
      <c r="M953" s="885"/>
      <c r="N953" s="885"/>
      <c r="O953" s="885"/>
      <c r="P953" s="885"/>
      <c r="Q953" s="885"/>
      <c r="R953" s="885"/>
      <c r="S953" s="885"/>
      <c r="T953" s="885"/>
      <c r="U953" s="885"/>
      <c r="V953" s="885"/>
      <c r="W953" s="885"/>
      <c r="X953" s="885"/>
      <c r="Y953" s="885"/>
      <c r="Z953" s="885"/>
      <c r="AA953" s="885"/>
      <c r="AB953" s="885"/>
      <c r="AC953" s="885"/>
      <c r="AD953" s="885"/>
      <c r="AE953" s="885"/>
      <c r="AF953" s="885"/>
      <c r="AG953" s="885"/>
      <c r="AH953" s="885"/>
      <c r="AI953" s="885"/>
      <c r="AJ953" s="885"/>
      <c r="AK953" s="885"/>
      <c r="AL953" s="885"/>
      <c r="AM953" s="885"/>
      <c r="AN953" s="885"/>
      <c r="AO953" s="885"/>
      <c r="AP953" s="885"/>
      <c r="AQ953" s="885"/>
      <c r="AR953" s="885"/>
      <c r="AS953" s="885"/>
      <c r="AT953" s="885"/>
      <c r="AU953" s="885"/>
      <c r="AV953" s="885"/>
      <c r="AW953" s="885"/>
      <c r="AX953" s="885"/>
      <c r="AY953" s="885"/>
      <c r="AZ953" s="885"/>
      <c r="BA953" s="885"/>
      <c r="BB953" s="885"/>
      <c r="BC953" s="885"/>
      <c r="BD953" s="885"/>
      <c r="BE953" s="885"/>
      <c r="BF953" s="885"/>
      <c r="BG953" s="885"/>
      <c r="BH953" s="885"/>
      <c r="BI953" s="885"/>
      <c r="BJ953" s="885"/>
      <c r="BK953" s="885"/>
      <c r="BL953" s="885"/>
      <c r="BM953" s="885"/>
      <c r="BN953" s="885"/>
      <c r="BO953" s="885"/>
      <c r="BP953" s="885"/>
      <c r="BQ953" s="885"/>
      <c r="BR953" s="885"/>
      <c r="BS953" s="885"/>
      <c r="BT953" s="885"/>
      <c r="BU953" s="885"/>
      <c r="BV953" s="885"/>
      <c r="BW953" s="885"/>
      <c r="BX953" s="885"/>
      <c r="BY953" s="885"/>
      <c r="BZ953" s="885"/>
      <c r="CA953" s="885"/>
      <c r="CB953" s="885"/>
      <c r="CC953" s="885"/>
      <c r="CD953" s="885"/>
      <c r="CE953" s="885"/>
      <c r="CF953" s="885"/>
      <c r="CG953" s="885"/>
      <c r="CH953" s="885"/>
      <c r="CI953" s="885"/>
      <c r="CJ953" s="885"/>
      <c r="CK953" s="885"/>
      <c r="CL953" s="885"/>
      <c r="CM953" s="885"/>
      <c r="CN953" s="885"/>
      <c r="CO953" s="885"/>
      <c r="CP953" s="885"/>
      <c r="CQ953" s="885"/>
      <c r="CR953" s="885"/>
      <c r="CS953" s="885"/>
      <c r="CT953" s="885"/>
      <c r="CU953" s="885"/>
      <c r="CV953" s="885"/>
      <c r="CW953" s="885"/>
      <c r="CX953" s="885"/>
      <c r="CY953" s="885"/>
      <c r="CZ953" s="885"/>
      <c r="DA953" s="885"/>
      <c r="DB953" s="885"/>
      <c r="DC953" s="885"/>
      <c r="DD953" s="885"/>
      <c r="DE953" s="885"/>
      <c r="DF953" s="885"/>
      <c r="DG953" s="885"/>
      <c r="DH953" s="885"/>
      <c r="DI953" s="885"/>
      <c r="DJ953" s="885"/>
      <c r="DK953" s="885"/>
      <c r="DL953" s="885"/>
      <c r="DM953" s="885"/>
      <c r="DN953" s="885"/>
      <c r="DO953" s="885"/>
      <c r="DP953" s="885"/>
      <c r="DQ953" s="885"/>
      <c r="DR953" s="885"/>
      <c r="DS953" s="885"/>
      <c r="DT953" s="885"/>
      <c r="DU953" s="885"/>
      <c r="DV953" s="885"/>
      <c r="DW953" s="885"/>
      <c r="DX953" s="885"/>
      <c r="DY953" s="885"/>
      <c r="DZ953" s="885"/>
      <c r="EA953" s="885"/>
      <c r="EB953" s="885"/>
      <c r="EC953" s="885"/>
      <c r="ED953" s="885"/>
      <c r="EE953" s="885"/>
      <c r="EF953" s="885"/>
      <c r="EG953" s="885"/>
      <c r="EH953" s="885"/>
      <c r="EI953" s="885"/>
      <c r="EJ953" s="885"/>
      <c r="EK953" s="885"/>
      <c r="EL953" s="885"/>
      <c r="EM953" s="885"/>
      <c r="EN953" s="885"/>
      <c r="EO953" s="885"/>
      <c r="EP953" s="885"/>
      <c r="EQ953" s="885"/>
      <c r="ER953" s="885"/>
      <c r="ES953" s="885"/>
      <c r="ET953" s="885"/>
      <c r="EU953" s="885"/>
      <c r="EV953" s="885"/>
      <c r="EW953" s="885"/>
      <c r="EX953" s="885"/>
      <c r="EY953" s="885"/>
      <c r="EZ953" s="885"/>
      <c r="FA953" s="885"/>
      <c r="FB953" s="885"/>
      <c r="FC953" s="885"/>
      <c r="FD953" s="885"/>
      <c r="FE953" s="885"/>
      <c r="FF953" s="885"/>
      <c r="FG953" s="885"/>
      <c r="FH953" s="885"/>
      <c r="FI953" s="885"/>
      <c r="FJ953" s="885"/>
      <c r="FK953" s="885"/>
      <c r="FL953" s="885"/>
      <c r="FM953" s="885"/>
      <c r="FN953" s="885"/>
      <c r="FO953" s="885"/>
      <c r="FP953" s="885"/>
      <c r="FQ953" s="885"/>
      <c r="FR953" s="885"/>
      <c r="FS953" s="885"/>
      <c r="FT953" s="885"/>
      <c r="FU953" s="885"/>
      <c r="FV953" s="885"/>
      <c r="FW953" s="885"/>
      <c r="FX953" s="885"/>
      <c r="FY953" s="885"/>
      <c r="FZ953" s="885"/>
      <c r="GA953" s="885"/>
      <c r="GB953" s="885"/>
      <c r="GC953" s="885"/>
      <c r="GD953" s="885"/>
      <c r="GE953" s="885"/>
      <c r="GF953" s="885"/>
      <c r="GG953" s="885"/>
      <c r="GH953" s="885"/>
      <c r="GI953" s="885"/>
      <c r="GJ953" s="885"/>
      <c r="GK953" s="885"/>
      <c r="GL953" s="885"/>
      <c r="GM953" s="885"/>
      <c r="GN953" s="885"/>
      <c r="GO953" s="885"/>
      <c r="GP953" s="885"/>
      <c r="GQ953" s="885"/>
      <c r="GR953" s="885"/>
      <c r="GS953" s="885"/>
      <c r="GT953" s="885"/>
      <c r="GU953" s="885"/>
      <c r="GV953" s="885"/>
      <c r="GW953" s="885"/>
      <c r="GX953" s="885"/>
      <c r="GY953" s="885"/>
      <c r="GZ953" s="885"/>
      <c r="HA953" s="885"/>
      <c r="HB953" s="885"/>
      <c r="HC953" s="885"/>
      <c r="HD953" s="885"/>
      <c r="HE953" s="885"/>
      <c r="HF953" s="885"/>
      <c r="HG953" s="885"/>
      <c r="HH953" s="885"/>
      <c r="HI953" s="885"/>
      <c r="HJ953" s="885"/>
      <c r="HK953" s="885"/>
      <c r="HL953" s="885"/>
      <c r="HM953" s="885"/>
      <c r="HN953" s="885"/>
      <c r="HO953" s="885"/>
      <c r="HP953" s="885"/>
      <c r="HQ953" s="885"/>
      <c r="HR953" s="885"/>
      <c r="HS953" s="885"/>
      <c r="HT953" s="885"/>
      <c r="HU953" s="885"/>
      <c r="HV953" s="885"/>
      <c r="HW953" s="885"/>
      <c r="HX953" s="885"/>
      <c r="HY953" s="885"/>
      <c r="HZ953" s="885"/>
      <c r="IA953" s="885"/>
      <c r="IB953" s="885"/>
      <c r="IC953" s="885"/>
      <c r="ID953" s="885"/>
      <c r="IE953" s="885"/>
      <c r="IF953" s="885"/>
      <c r="IG953" s="885"/>
      <c r="IH953" s="885"/>
      <c r="II953" s="885"/>
      <c r="IJ953" s="885"/>
      <c r="IK953" s="885"/>
      <c r="IL953" s="885"/>
      <c r="IM953" s="885"/>
      <c r="IN953" s="885"/>
      <c r="IO953" s="885"/>
      <c r="IP953" s="885"/>
      <c r="IQ953" s="885"/>
      <c r="IR953" s="885"/>
      <c r="IS953" s="885"/>
      <c r="IT953" s="885"/>
      <c r="IU953" s="885"/>
      <c r="IV953" s="885"/>
      <c r="IW953" s="885"/>
      <c r="IX953" s="885"/>
    </row>
    <row r="954" spans="1:258" x14ac:dyDescent="0.25">
      <c r="A954" s="125">
        <f t="shared" si="118"/>
        <v>914</v>
      </c>
      <c r="B954" s="885"/>
      <c r="C954" s="842" t="s">
        <v>10495</v>
      </c>
      <c r="D954" s="924">
        <v>11507.75</v>
      </c>
      <c r="E954" s="924">
        <f t="shared" si="117"/>
        <v>17261.625</v>
      </c>
      <c r="F954" s="136">
        <f>E954</f>
        <v>17261.625</v>
      </c>
      <c r="G954" s="122" t="s">
        <v>1963</v>
      </c>
      <c r="I954" s="885"/>
      <c r="J954" s="885"/>
      <c r="K954" s="885"/>
      <c r="L954" s="885"/>
      <c r="M954" s="885"/>
      <c r="N954" s="885"/>
      <c r="O954" s="885"/>
      <c r="P954" s="885"/>
      <c r="Q954" s="885"/>
      <c r="R954" s="885"/>
      <c r="S954" s="885"/>
      <c r="T954" s="885"/>
      <c r="U954" s="885"/>
      <c r="V954" s="885"/>
      <c r="W954" s="885"/>
      <c r="X954" s="885"/>
      <c r="Y954" s="885"/>
      <c r="Z954" s="885"/>
      <c r="AA954" s="885"/>
      <c r="AB954" s="885"/>
      <c r="AC954" s="885"/>
      <c r="AD954" s="885"/>
      <c r="AE954" s="885"/>
      <c r="AF954" s="885"/>
      <c r="AG954" s="885"/>
      <c r="AH954" s="885"/>
      <c r="AI954" s="885"/>
      <c r="AJ954" s="885"/>
      <c r="AK954" s="885"/>
      <c r="AL954" s="885"/>
      <c r="AM954" s="885"/>
      <c r="AN954" s="885"/>
      <c r="AO954" s="885"/>
      <c r="AP954" s="885"/>
      <c r="AQ954" s="885"/>
      <c r="AR954" s="885"/>
      <c r="AS954" s="885"/>
      <c r="AT954" s="885"/>
      <c r="AU954" s="885"/>
      <c r="AV954" s="885"/>
      <c r="AW954" s="885"/>
      <c r="AX954" s="885"/>
      <c r="AY954" s="885"/>
      <c r="AZ954" s="885"/>
      <c r="BA954" s="885"/>
      <c r="BB954" s="885"/>
      <c r="BC954" s="885"/>
      <c r="BD954" s="885"/>
      <c r="BE954" s="885"/>
      <c r="BF954" s="885"/>
      <c r="BG954" s="885"/>
      <c r="BH954" s="885"/>
      <c r="BI954" s="885"/>
      <c r="BJ954" s="885"/>
      <c r="BK954" s="885"/>
      <c r="BL954" s="885"/>
      <c r="BM954" s="885"/>
      <c r="BN954" s="885"/>
      <c r="BO954" s="885"/>
      <c r="BP954" s="885"/>
      <c r="BQ954" s="885"/>
      <c r="BR954" s="885"/>
      <c r="BS954" s="885"/>
      <c r="BT954" s="885"/>
      <c r="BU954" s="885"/>
      <c r="BV954" s="885"/>
      <c r="BW954" s="885"/>
      <c r="BX954" s="885"/>
      <c r="BY954" s="885"/>
      <c r="BZ954" s="885"/>
      <c r="CA954" s="885"/>
      <c r="CB954" s="885"/>
      <c r="CC954" s="885"/>
      <c r="CD954" s="885"/>
      <c r="CE954" s="885"/>
      <c r="CF954" s="885"/>
      <c r="CG954" s="885"/>
      <c r="CH954" s="885"/>
      <c r="CI954" s="885"/>
      <c r="CJ954" s="885"/>
      <c r="CK954" s="885"/>
      <c r="CL954" s="885"/>
      <c r="CM954" s="885"/>
      <c r="CN954" s="885"/>
      <c r="CO954" s="885"/>
      <c r="CP954" s="885"/>
      <c r="CQ954" s="885"/>
      <c r="CR954" s="885"/>
      <c r="CS954" s="885"/>
      <c r="CT954" s="885"/>
      <c r="CU954" s="885"/>
      <c r="CV954" s="885"/>
      <c r="CW954" s="885"/>
      <c r="CX954" s="885"/>
      <c r="CY954" s="885"/>
      <c r="CZ954" s="885"/>
      <c r="DA954" s="885"/>
      <c r="DB954" s="885"/>
      <c r="DC954" s="885"/>
      <c r="DD954" s="885"/>
      <c r="DE954" s="885"/>
      <c r="DF954" s="885"/>
      <c r="DG954" s="885"/>
      <c r="DH954" s="885"/>
      <c r="DI954" s="885"/>
      <c r="DJ954" s="885"/>
      <c r="DK954" s="885"/>
      <c r="DL954" s="885"/>
      <c r="DM954" s="885"/>
      <c r="DN954" s="885"/>
      <c r="DO954" s="885"/>
      <c r="DP954" s="885"/>
      <c r="DQ954" s="885"/>
      <c r="DR954" s="885"/>
      <c r="DS954" s="885"/>
      <c r="DT954" s="885"/>
      <c r="DU954" s="885"/>
      <c r="DV954" s="885"/>
      <c r="DW954" s="885"/>
      <c r="DX954" s="885"/>
      <c r="DY954" s="885"/>
      <c r="DZ954" s="885"/>
      <c r="EA954" s="885"/>
      <c r="EB954" s="885"/>
      <c r="EC954" s="885"/>
      <c r="ED954" s="885"/>
      <c r="EE954" s="885"/>
      <c r="EF954" s="885"/>
      <c r="EG954" s="885"/>
      <c r="EH954" s="885"/>
      <c r="EI954" s="885"/>
      <c r="EJ954" s="885"/>
      <c r="EK954" s="885"/>
      <c r="EL954" s="885"/>
      <c r="EM954" s="885"/>
      <c r="EN954" s="885"/>
      <c r="EO954" s="885"/>
      <c r="EP954" s="885"/>
      <c r="EQ954" s="885"/>
      <c r="ER954" s="885"/>
      <c r="ES954" s="885"/>
      <c r="ET954" s="885"/>
      <c r="EU954" s="885"/>
      <c r="EV954" s="885"/>
      <c r="EW954" s="885"/>
      <c r="EX954" s="885"/>
      <c r="EY954" s="885"/>
      <c r="EZ954" s="885"/>
      <c r="FA954" s="885"/>
      <c r="FB954" s="885"/>
      <c r="FC954" s="885"/>
      <c r="FD954" s="885"/>
      <c r="FE954" s="885"/>
      <c r="FF954" s="885"/>
      <c r="FG954" s="885"/>
      <c r="FH954" s="885"/>
      <c r="FI954" s="885"/>
      <c r="FJ954" s="885"/>
      <c r="FK954" s="885"/>
      <c r="FL954" s="885"/>
      <c r="FM954" s="885"/>
      <c r="FN954" s="885"/>
      <c r="FO954" s="885"/>
      <c r="FP954" s="885"/>
      <c r="FQ954" s="885"/>
      <c r="FR954" s="885"/>
      <c r="FS954" s="885"/>
      <c r="FT954" s="885"/>
      <c r="FU954" s="885"/>
      <c r="FV954" s="885"/>
      <c r="FW954" s="885"/>
      <c r="FX954" s="885"/>
      <c r="FY954" s="885"/>
      <c r="FZ954" s="885"/>
      <c r="GA954" s="885"/>
      <c r="GB954" s="885"/>
      <c r="GC954" s="885"/>
      <c r="GD954" s="885"/>
      <c r="GE954" s="885"/>
      <c r="GF954" s="885"/>
      <c r="GG954" s="885"/>
      <c r="GH954" s="885"/>
      <c r="GI954" s="885"/>
      <c r="GJ954" s="885"/>
      <c r="GK954" s="885"/>
      <c r="GL954" s="885"/>
      <c r="GM954" s="885"/>
      <c r="GN954" s="885"/>
      <c r="GO954" s="885"/>
      <c r="GP954" s="885"/>
      <c r="GQ954" s="885"/>
      <c r="GR954" s="885"/>
      <c r="GS954" s="885"/>
      <c r="GT954" s="885"/>
      <c r="GU954" s="885"/>
      <c r="GV954" s="885"/>
      <c r="GW954" s="885"/>
      <c r="GX954" s="885"/>
      <c r="GY954" s="885"/>
      <c r="GZ954" s="885"/>
      <c r="HA954" s="885"/>
      <c r="HB954" s="885"/>
      <c r="HC954" s="885"/>
      <c r="HD954" s="885"/>
      <c r="HE954" s="885"/>
      <c r="HF954" s="885"/>
      <c r="HG954" s="885"/>
      <c r="HH954" s="885"/>
      <c r="HI954" s="885"/>
      <c r="HJ954" s="885"/>
      <c r="HK954" s="885"/>
      <c r="HL954" s="885"/>
      <c r="HM954" s="885"/>
      <c r="HN954" s="885"/>
      <c r="HO954" s="885"/>
      <c r="HP954" s="885"/>
      <c r="HQ954" s="885"/>
      <c r="HR954" s="885"/>
      <c r="HS954" s="885"/>
      <c r="HT954" s="885"/>
      <c r="HU954" s="885"/>
      <c r="HV954" s="885"/>
      <c r="HW954" s="885"/>
      <c r="HX954" s="885"/>
      <c r="HY954" s="885"/>
      <c r="HZ954" s="885"/>
      <c r="IA954" s="885"/>
      <c r="IB954" s="885"/>
      <c r="IC954" s="885"/>
      <c r="ID954" s="885"/>
      <c r="IE954" s="885"/>
      <c r="IF954" s="885"/>
      <c r="IG954" s="885"/>
      <c r="IH954" s="885"/>
      <c r="II954" s="885"/>
      <c r="IJ954" s="885"/>
      <c r="IK954" s="885"/>
      <c r="IL954" s="885"/>
      <c r="IM954" s="885"/>
      <c r="IN954" s="885"/>
      <c r="IO954" s="885"/>
      <c r="IP954" s="885"/>
      <c r="IQ954" s="885"/>
      <c r="IR954" s="885"/>
      <c r="IS954" s="885"/>
      <c r="IT954" s="885"/>
      <c r="IU954" s="885"/>
      <c r="IV954" s="885"/>
      <c r="IW954" s="885"/>
      <c r="IX954" s="885"/>
    </row>
    <row r="955" spans="1:258" x14ac:dyDescent="0.25">
      <c r="A955" s="125">
        <f t="shared" si="118"/>
        <v>915</v>
      </c>
      <c r="B955" s="885"/>
      <c r="C955" s="232" t="s">
        <v>10527</v>
      </c>
      <c r="D955" s="915"/>
      <c r="E955" s="915"/>
      <c r="F955" s="129"/>
      <c r="I955" s="885"/>
      <c r="J955" s="885"/>
      <c r="K955" s="885"/>
      <c r="L955" s="885"/>
      <c r="M955" s="885"/>
      <c r="N955" s="885"/>
      <c r="O955" s="885"/>
      <c r="P955" s="885"/>
      <c r="Q955" s="885"/>
      <c r="R955" s="885"/>
      <c r="S955" s="885"/>
      <c r="T955" s="885"/>
      <c r="U955" s="885"/>
      <c r="V955" s="885"/>
      <c r="W955" s="885"/>
      <c r="X955" s="885"/>
      <c r="Y955" s="885"/>
      <c r="Z955" s="885"/>
      <c r="AA955" s="885"/>
      <c r="AB955" s="885"/>
      <c r="AC955" s="885"/>
      <c r="AD955" s="885"/>
      <c r="AE955" s="885"/>
      <c r="AF955" s="885"/>
      <c r="AG955" s="885"/>
      <c r="AH955" s="885"/>
      <c r="AI955" s="885"/>
      <c r="AJ955" s="885"/>
      <c r="AK955" s="885"/>
      <c r="AL955" s="885"/>
      <c r="AM955" s="885"/>
      <c r="AN955" s="885"/>
      <c r="AO955" s="885"/>
      <c r="AP955" s="885"/>
      <c r="AQ955" s="885"/>
      <c r="AR955" s="885"/>
      <c r="AS955" s="885"/>
      <c r="AT955" s="885"/>
      <c r="AU955" s="885"/>
      <c r="AV955" s="885"/>
      <c r="AW955" s="885"/>
      <c r="AX955" s="885"/>
      <c r="AY955" s="885"/>
      <c r="AZ955" s="885"/>
      <c r="BA955" s="885"/>
      <c r="BB955" s="885"/>
      <c r="BC955" s="885"/>
      <c r="BD955" s="885"/>
      <c r="BE955" s="885"/>
      <c r="BF955" s="885"/>
      <c r="BG955" s="885"/>
      <c r="BH955" s="885"/>
      <c r="BI955" s="885"/>
      <c r="BJ955" s="885"/>
      <c r="BK955" s="885"/>
      <c r="BL955" s="885"/>
      <c r="BM955" s="885"/>
      <c r="BN955" s="885"/>
      <c r="BO955" s="885"/>
      <c r="BP955" s="885"/>
      <c r="BQ955" s="885"/>
      <c r="BR955" s="885"/>
      <c r="BS955" s="885"/>
      <c r="BT955" s="885"/>
      <c r="BU955" s="885"/>
      <c r="BV955" s="885"/>
      <c r="BW955" s="885"/>
      <c r="BX955" s="885"/>
      <c r="BY955" s="885"/>
      <c r="BZ955" s="885"/>
      <c r="CA955" s="885"/>
      <c r="CB955" s="885"/>
      <c r="CC955" s="885"/>
      <c r="CD955" s="885"/>
      <c r="CE955" s="885"/>
      <c r="CF955" s="885"/>
      <c r="CG955" s="885"/>
      <c r="CH955" s="885"/>
      <c r="CI955" s="885"/>
      <c r="CJ955" s="885"/>
      <c r="CK955" s="885"/>
      <c r="CL955" s="885"/>
      <c r="CM955" s="885"/>
      <c r="CN955" s="885"/>
      <c r="CO955" s="885"/>
      <c r="CP955" s="885"/>
      <c r="CQ955" s="885"/>
      <c r="CR955" s="885"/>
      <c r="CS955" s="885"/>
      <c r="CT955" s="885"/>
      <c r="CU955" s="885"/>
      <c r="CV955" s="885"/>
      <c r="CW955" s="885"/>
      <c r="CX955" s="885"/>
      <c r="CY955" s="885"/>
      <c r="CZ955" s="885"/>
      <c r="DA955" s="885"/>
      <c r="DB955" s="885"/>
      <c r="DC955" s="885"/>
      <c r="DD955" s="885"/>
      <c r="DE955" s="885"/>
      <c r="DF955" s="885"/>
      <c r="DG955" s="885"/>
      <c r="DH955" s="885"/>
      <c r="DI955" s="885"/>
      <c r="DJ955" s="885"/>
      <c r="DK955" s="885"/>
      <c r="DL955" s="885"/>
      <c r="DM955" s="885"/>
      <c r="DN955" s="885"/>
      <c r="DO955" s="885"/>
      <c r="DP955" s="885"/>
      <c r="DQ955" s="885"/>
      <c r="DR955" s="885"/>
      <c r="DS955" s="885"/>
      <c r="DT955" s="885"/>
      <c r="DU955" s="885"/>
      <c r="DV955" s="885"/>
      <c r="DW955" s="885"/>
      <c r="DX955" s="885"/>
      <c r="DY955" s="885"/>
      <c r="DZ955" s="885"/>
      <c r="EA955" s="885"/>
      <c r="EB955" s="885"/>
      <c r="EC955" s="885"/>
      <c r="ED955" s="885"/>
      <c r="EE955" s="885"/>
      <c r="EF955" s="885"/>
      <c r="EG955" s="885"/>
      <c r="EH955" s="885"/>
      <c r="EI955" s="885"/>
      <c r="EJ955" s="885"/>
      <c r="EK955" s="885"/>
      <c r="EL955" s="885"/>
      <c r="EM955" s="885"/>
      <c r="EN955" s="885"/>
      <c r="EO955" s="885"/>
      <c r="EP955" s="885"/>
      <c r="EQ955" s="885"/>
      <c r="ER955" s="885"/>
      <c r="ES955" s="885"/>
      <c r="ET955" s="885"/>
      <c r="EU955" s="885"/>
      <c r="EV955" s="885"/>
      <c r="EW955" s="885"/>
      <c r="EX955" s="885"/>
      <c r="EY955" s="885"/>
      <c r="EZ955" s="885"/>
      <c r="FA955" s="885"/>
      <c r="FB955" s="885"/>
      <c r="FC955" s="885"/>
      <c r="FD955" s="885"/>
      <c r="FE955" s="885"/>
      <c r="FF955" s="885"/>
      <c r="FG955" s="885"/>
      <c r="FH955" s="885"/>
      <c r="FI955" s="885"/>
      <c r="FJ955" s="885"/>
      <c r="FK955" s="885"/>
      <c r="FL955" s="885"/>
      <c r="FM955" s="885"/>
      <c r="FN955" s="885"/>
      <c r="FO955" s="885"/>
      <c r="FP955" s="885"/>
      <c r="FQ955" s="885"/>
      <c r="FR955" s="885"/>
      <c r="FS955" s="885"/>
      <c r="FT955" s="885"/>
      <c r="FU955" s="885"/>
      <c r="FV955" s="885"/>
      <c r="FW955" s="885"/>
      <c r="FX955" s="885"/>
      <c r="FY955" s="885"/>
      <c r="FZ955" s="885"/>
      <c r="GA955" s="885"/>
      <c r="GB955" s="885"/>
      <c r="GC955" s="885"/>
      <c r="GD955" s="885"/>
      <c r="GE955" s="885"/>
      <c r="GF955" s="885"/>
      <c r="GG955" s="885"/>
      <c r="GH955" s="885"/>
      <c r="GI955" s="885"/>
      <c r="GJ955" s="885"/>
      <c r="GK955" s="885"/>
      <c r="GL955" s="885"/>
      <c r="GM955" s="885"/>
      <c r="GN955" s="885"/>
      <c r="GO955" s="885"/>
      <c r="GP955" s="885"/>
      <c r="GQ955" s="885"/>
      <c r="GR955" s="885"/>
      <c r="GS955" s="885"/>
      <c r="GT955" s="885"/>
      <c r="GU955" s="885"/>
      <c r="GV955" s="885"/>
      <c r="GW955" s="885"/>
      <c r="GX955" s="885"/>
      <c r="GY955" s="885"/>
      <c r="GZ955" s="885"/>
      <c r="HA955" s="885"/>
      <c r="HB955" s="885"/>
      <c r="HC955" s="885"/>
      <c r="HD955" s="885"/>
      <c r="HE955" s="885"/>
      <c r="HF955" s="885"/>
      <c r="HG955" s="885"/>
      <c r="HH955" s="885"/>
      <c r="HI955" s="885"/>
      <c r="HJ955" s="885"/>
      <c r="HK955" s="885"/>
      <c r="HL955" s="885"/>
      <c r="HM955" s="885"/>
      <c r="HN955" s="885"/>
      <c r="HO955" s="885"/>
      <c r="HP955" s="885"/>
      <c r="HQ955" s="885"/>
      <c r="HR955" s="885"/>
      <c r="HS955" s="885"/>
      <c r="HT955" s="885"/>
      <c r="HU955" s="885"/>
      <c r="HV955" s="885"/>
      <c r="HW955" s="885"/>
      <c r="HX955" s="885"/>
      <c r="HY955" s="885"/>
      <c r="HZ955" s="885"/>
      <c r="IA955" s="885"/>
      <c r="IB955" s="885"/>
      <c r="IC955" s="885"/>
      <c r="ID955" s="885"/>
      <c r="IE955" s="885"/>
      <c r="IF955" s="885"/>
      <c r="IG955" s="885"/>
      <c r="IH955" s="885"/>
      <c r="II955" s="885"/>
      <c r="IJ955" s="885"/>
      <c r="IK955" s="885"/>
      <c r="IL955" s="885"/>
      <c r="IM955" s="885"/>
      <c r="IN955" s="885"/>
      <c r="IO955" s="885"/>
      <c r="IP955" s="885"/>
      <c r="IQ955" s="885"/>
      <c r="IR955" s="885"/>
      <c r="IS955" s="885"/>
      <c r="IT955" s="885"/>
      <c r="IU955" s="885"/>
      <c r="IV955" s="885"/>
      <c r="IW955" s="885"/>
      <c r="IX955" s="885"/>
    </row>
    <row r="956" spans="1:258" x14ac:dyDescent="0.25">
      <c r="A956" s="125">
        <f t="shared" si="118"/>
        <v>916</v>
      </c>
      <c r="B956" s="954"/>
      <c r="C956" s="842" t="s">
        <v>11532</v>
      </c>
      <c r="D956" s="924">
        <v>0</v>
      </c>
      <c r="E956" s="924">
        <f t="shared" si="117"/>
        <v>0</v>
      </c>
      <c r="F956" s="129"/>
      <c r="I956" s="954"/>
      <c r="J956" s="954"/>
      <c r="K956" s="954"/>
      <c r="L956" s="954"/>
      <c r="M956" s="954"/>
      <c r="N956" s="954"/>
      <c r="O956" s="954"/>
      <c r="P956" s="954"/>
      <c r="Q956" s="954"/>
      <c r="R956" s="954"/>
      <c r="S956" s="954"/>
      <c r="T956" s="954"/>
      <c r="U956" s="954"/>
      <c r="V956" s="954"/>
      <c r="W956" s="954"/>
      <c r="X956" s="954"/>
      <c r="Y956" s="954"/>
      <c r="Z956" s="954"/>
      <c r="AA956" s="954"/>
      <c r="AB956" s="954"/>
      <c r="AC956" s="954"/>
      <c r="AD956" s="954"/>
      <c r="AE956" s="954"/>
      <c r="AF956" s="954"/>
      <c r="AG956" s="954"/>
      <c r="AH956" s="954"/>
      <c r="AI956" s="954"/>
      <c r="AJ956" s="954"/>
      <c r="AK956" s="954"/>
      <c r="AL956" s="954"/>
      <c r="AM956" s="954"/>
      <c r="AN956" s="954"/>
      <c r="AO956" s="954"/>
      <c r="AP956" s="954"/>
      <c r="AQ956" s="954"/>
      <c r="AR956" s="954"/>
      <c r="AS956" s="954"/>
      <c r="AT956" s="954"/>
      <c r="AU956" s="954"/>
      <c r="AV956" s="954"/>
      <c r="AW956" s="954"/>
      <c r="AX956" s="954"/>
      <c r="AY956" s="954"/>
      <c r="AZ956" s="954"/>
      <c r="BA956" s="954"/>
      <c r="BB956" s="954"/>
      <c r="BC956" s="954"/>
      <c r="BD956" s="954"/>
      <c r="BE956" s="954"/>
      <c r="BF956" s="954"/>
      <c r="BG956" s="954"/>
      <c r="BH956" s="954"/>
      <c r="BI956" s="954"/>
      <c r="BJ956" s="954"/>
      <c r="BK956" s="954"/>
      <c r="BL956" s="954"/>
      <c r="BM956" s="954"/>
      <c r="BN956" s="954"/>
      <c r="BO956" s="954"/>
      <c r="BP956" s="954"/>
      <c r="BQ956" s="954"/>
      <c r="BR956" s="954"/>
      <c r="BS956" s="954"/>
      <c r="BT956" s="954"/>
      <c r="BU956" s="954"/>
      <c r="BV956" s="954"/>
      <c r="BW956" s="954"/>
      <c r="BX956" s="954"/>
      <c r="BY956" s="954"/>
      <c r="BZ956" s="954"/>
      <c r="CA956" s="954"/>
      <c r="CB956" s="954"/>
      <c r="CC956" s="954"/>
      <c r="CD956" s="954"/>
      <c r="CE956" s="954"/>
      <c r="CF956" s="954"/>
      <c r="CG956" s="954"/>
      <c r="CH956" s="954"/>
      <c r="CI956" s="954"/>
      <c r="CJ956" s="954"/>
      <c r="CK956" s="954"/>
      <c r="CL956" s="954"/>
      <c r="CM956" s="954"/>
      <c r="CN956" s="954"/>
      <c r="CO956" s="954"/>
      <c r="CP956" s="954"/>
      <c r="CQ956" s="954"/>
      <c r="CR956" s="954"/>
      <c r="CS956" s="954"/>
      <c r="CT956" s="954"/>
      <c r="CU956" s="954"/>
      <c r="CV956" s="954"/>
      <c r="CW956" s="954"/>
      <c r="CX956" s="954"/>
      <c r="CY956" s="954"/>
      <c r="CZ956" s="954"/>
      <c r="DA956" s="954"/>
      <c r="DB956" s="954"/>
      <c r="DC956" s="954"/>
      <c r="DD956" s="954"/>
      <c r="DE956" s="954"/>
      <c r="DF956" s="954"/>
      <c r="DG956" s="954"/>
      <c r="DH956" s="954"/>
      <c r="DI956" s="954"/>
      <c r="DJ956" s="954"/>
      <c r="DK956" s="954"/>
      <c r="DL956" s="954"/>
      <c r="DM956" s="954"/>
      <c r="DN956" s="954"/>
      <c r="DO956" s="954"/>
      <c r="DP956" s="954"/>
      <c r="DQ956" s="954"/>
      <c r="DR956" s="954"/>
      <c r="DS956" s="954"/>
      <c r="DT956" s="954"/>
      <c r="DU956" s="954"/>
      <c r="DV956" s="954"/>
      <c r="DW956" s="954"/>
      <c r="DX956" s="954"/>
      <c r="DY956" s="954"/>
      <c r="DZ956" s="954"/>
      <c r="EA956" s="954"/>
      <c r="EB956" s="954"/>
      <c r="EC956" s="954"/>
      <c r="ED956" s="954"/>
      <c r="EE956" s="954"/>
      <c r="EF956" s="954"/>
      <c r="EG956" s="954"/>
      <c r="EH956" s="954"/>
      <c r="EI956" s="954"/>
      <c r="EJ956" s="954"/>
      <c r="EK956" s="954"/>
      <c r="EL956" s="954"/>
      <c r="EM956" s="954"/>
      <c r="EN956" s="954"/>
      <c r="EO956" s="954"/>
      <c r="EP956" s="954"/>
      <c r="EQ956" s="954"/>
      <c r="ER956" s="954"/>
      <c r="ES956" s="954"/>
      <c r="ET956" s="954"/>
      <c r="EU956" s="954"/>
      <c r="EV956" s="954"/>
      <c r="EW956" s="954"/>
      <c r="EX956" s="954"/>
      <c r="EY956" s="954"/>
      <c r="EZ956" s="954"/>
      <c r="FA956" s="954"/>
      <c r="FB956" s="954"/>
      <c r="FC956" s="954"/>
      <c r="FD956" s="954"/>
      <c r="FE956" s="954"/>
      <c r="FF956" s="954"/>
      <c r="FG956" s="954"/>
      <c r="FH956" s="954"/>
      <c r="FI956" s="954"/>
      <c r="FJ956" s="954"/>
      <c r="FK956" s="954"/>
      <c r="FL956" s="954"/>
      <c r="FM956" s="954"/>
      <c r="FN956" s="954"/>
      <c r="FO956" s="954"/>
      <c r="FP956" s="954"/>
      <c r="FQ956" s="954"/>
      <c r="FR956" s="954"/>
      <c r="FS956" s="954"/>
      <c r="FT956" s="954"/>
      <c r="FU956" s="954"/>
      <c r="FV956" s="954"/>
      <c r="FW956" s="954"/>
      <c r="FX956" s="954"/>
      <c r="FY956" s="954"/>
      <c r="FZ956" s="954"/>
      <c r="GA956" s="954"/>
      <c r="GB956" s="954"/>
      <c r="GC956" s="954"/>
      <c r="GD956" s="954"/>
      <c r="GE956" s="954"/>
      <c r="GF956" s="954"/>
      <c r="GG956" s="954"/>
      <c r="GH956" s="954"/>
      <c r="GI956" s="954"/>
      <c r="GJ956" s="954"/>
      <c r="GK956" s="954"/>
      <c r="GL956" s="954"/>
      <c r="GM956" s="954"/>
      <c r="GN956" s="954"/>
      <c r="GO956" s="954"/>
      <c r="GP956" s="954"/>
      <c r="GQ956" s="954"/>
      <c r="GR956" s="954"/>
      <c r="GS956" s="954"/>
      <c r="GT956" s="954"/>
      <c r="GU956" s="954"/>
      <c r="GV956" s="954"/>
      <c r="GW956" s="954"/>
      <c r="GX956" s="954"/>
      <c r="GY956" s="954"/>
      <c r="GZ956" s="954"/>
      <c r="HA956" s="954"/>
      <c r="HB956" s="954"/>
      <c r="HC956" s="954"/>
      <c r="HD956" s="954"/>
      <c r="HE956" s="954"/>
      <c r="HF956" s="954"/>
      <c r="HG956" s="954"/>
      <c r="HH956" s="954"/>
      <c r="HI956" s="954"/>
      <c r="HJ956" s="954"/>
      <c r="HK956" s="954"/>
      <c r="HL956" s="954"/>
      <c r="HM956" s="954"/>
      <c r="HN956" s="954"/>
      <c r="HO956" s="954"/>
      <c r="HP956" s="954"/>
      <c r="HQ956" s="954"/>
      <c r="HR956" s="954"/>
      <c r="HS956" s="954"/>
      <c r="HT956" s="954"/>
      <c r="HU956" s="954"/>
      <c r="HV956" s="954"/>
      <c r="HW956" s="954"/>
      <c r="HX956" s="954"/>
      <c r="HY956" s="954"/>
      <c r="HZ956" s="954"/>
      <c r="IA956" s="954"/>
      <c r="IB956" s="954"/>
      <c r="IC956" s="954"/>
      <c r="ID956" s="954"/>
      <c r="IE956" s="954"/>
      <c r="IF956" s="954"/>
      <c r="IG956" s="954"/>
      <c r="IH956" s="954"/>
      <c r="II956" s="954"/>
      <c r="IJ956" s="954"/>
      <c r="IK956" s="954"/>
      <c r="IL956" s="954"/>
      <c r="IM956" s="954"/>
      <c r="IN956" s="954"/>
      <c r="IO956" s="954"/>
      <c r="IP956" s="954"/>
      <c r="IQ956" s="954"/>
      <c r="IR956" s="954"/>
      <c r="IS956" s="954"/>
      <c r="IT956" s="954"/>
      <c r="IU956" s="954"/>
      <c r="IV956" s="954"/>
      <c r="IW956" s="954"/>
      <c r="IX956" s="954"/>
    </row>
    <row r="957" spans="1:258" x14ac:dyDescent="0.25">
      <c r="A957" s="125">
        <f t="shared" si="118"/>
        <v>917</v>
      </c>
      <c r="B957" s="885"/>
      <c r="C957" s="842" t="s">
        <v>10529</v>
      </c>
      <c r="D957" s="924">
        <v>0</v>
      </c>
      <c r="E957" s="924">
        <f t="shared" si="117"/>
        <v>0</v>
      </c>
      <c r="F957" s="136">
        <v>2000</v>
      </c>
      <c r="G957" s="122" t="s">
        <v>1963</v>
      </c>
      <c r="I957" s="885"/>
      <c r="J957" s="885"/>
      <c r="K957" s="885"/>
      <c r="L957" s="885"/>
      <c r="M957" s="885"/>
      <c r="N957" s="885"/>
      <c r="O957" s="885"/>
      <c r="P957" s="885"/>
      <c r="Q957" s="885"/>
      <c r="R957" s="885"/>
      <c r="S957" s="885"/>
      <c r="T957" s="885"/>
      <c r="U957" s="885"/>
      <c r="V957" s="885"/>
      <c r="W957" s="885"/>
      <c r="X957" s="885"/>
      <c r="Y957" s="885"/>
      <c r="Z957" s="885"/>
      <c r="AA957" s="885"/>
      <c r="AB957" s="885"/>
      <c r="AC957" s="885"/>
      <c r="AD957" s="885"/>
      <c r="AE957" s="885"/>
      <c r="AF957" s="885"/>
      <c r="AG957" s="885"/>
      <c r="AH957" s="885"/>
      <c r="AI957" s="885"/>
      <c r="AJ957" s="885"/>
      <c r="AK957" s="885"/>
      <c r="AL957" s="885"/>
      <c r="AM957" s="885"/>
      <c r="AN957" s="885"/>
      <c r="AO957" s="885"/>
      <c r="AP957" s="885"/>
      <c r="AQ957" s="885"/>
      <c r="AR957" s="885"/>
      <c r="AS957" s="885"/>
      <c r="AT957" s="885"/>
      <c r="AU957" s="885"/>
      <c r="AV957" s="885"/>
      <c r="AW957" s="885"/>
      <c r="AX957" s="885"/>
      <c r="AY957" s="885"/>
      <c r="AZ957" s="885"/>
      <c r="BA957" s="885"/>
      <c r="BB957" s="885"/>
      <c r="BC957" s="885"/>
      <c r="BD957" s="885"/>
      <c r="BE957" s="885"/>
      <c r="BF957" s="885"/>
      <c r="BG957" s="885"/>
      <c r="BH957" s="885"/>
      <c r="BI957" s="885"/>
      <c r="BJ957" s="885"/>
      <c r="BK957" s="885"/>
      <c r="BL957" s="885"/>
      <c r="BM957" s="885"/>
      <c r="BN957" s="885"/>
      <c r="BO957" s="885"/>
      <c r="BP957" s="885"/>
      <c r="BQ957" s="885"/>
      <c r="BR957" s="885"/>
      <c r="BS957" s="885"/>
      <c r="BT957" s="885"/>
      <c r="BU957" s="885"/>
      <c r="BV957" s="885"/>
      <c r="BW957" s="885"/>
      <c r="BX957" s="885"/>
      <c r="BY957" s="885"/>
      <c r="BZ957" s="885"/>
      <c r="CA957" s="885"/>
      <c r="CB957" s="885"/>
      <c r="CC957" s="885"/>
      <c r="CD957" s="885"/>
      <c r="CE957" s="885"/>
      <c r="CF957" s="885"/>
      <c r="CG957" s="885"/>
      <c r="CH957" s="885"/>
      <c r="CI957" s="885"/>
      <c r="CJ957" s="885"/>
      <c r="CK957" s="885"/>
      <c r="CL957" s="885"/>
      <c r="CM957" s="885"/>
      <c r="CN957" s="885"/>
      <c r="CO957" s="885"/>
      <c r="CP957" s="885"/>
      <c r="CQ957" s="885"/>
      <c r="CR957" s="885"/>
      <c r="CS957" s="885"/>
      <c r="CT957" s="885"/>
      <c r="CU957" s="885"/>
      <c r="CV957" s="885"/>
      <c r="CW957" s="885"/>
      <c r="CX957" s="885"/>
      <c r="CY957" s="885"/>
      <c r="CZ957" s="885"/>
      <c r="DA957" s="885"/>
      <c r="DB957" s="885"/>
      <c r="DC957" s="885"/>
      <c r="DD957" s="885"/>
      <c r="DE957" s="885"/>
      <c r="DF957" s="885"/>
      <c r="DG957" s="885"/>
      <c r="DH957" s="885"/>
      <c r="DI957" s="885"/>
      <c r="DJ957" s="885"/>
      <c r="DK957" s="885"/>
      <c r="DL957" s="885"/>
      <c r="DM957" s="885"/>
      <c r="DN957" s="885"/>
      <c r="DO957" s="885"/>
      <c r="DP957" s="885"/>
      <c r="DQ957" s="885"/>
      <c r="DR957" s="885"/>
      <c r="DS957" s="885"/>
      <c r="DT957" s="885"/>
      <c r="DU957" s="885"/>
      <c r="DV957" s="885"/>
      <c r="DW957" s="885"/>
      <c r="DX957" s="885"/>
      <c r="DY957" s="885"/>
      <c r="DZ957" s="885"/>
      <c r="EA957" s="885"/>
      <c r="EB957" s="885"/>
      <c r="EC957" s="885"/>
      <c r="ED957" s="885"/>
      <c r="EE957" s="885"/>
      <c r="EF957" s="885"/>
      <c r="EG957" s="885"/>
      <c r="EH957" s="885"/>
      <c r="EI957" s="885"/>
      <c r="EJ957" s="885"/>
      <c r="EK957" s="885"/>
      <c r="EL957" s="885"/>
      <c r="EM957" s="885"/>
      <c r="EN957" s="885"/>
      <c r="EO957" s="885"/>
      <c r="EP957" s="885"/>
      <c r="EQ957" s="885"/>
      <c r="ER957" s="885"/>
      <c r="ES957" s="885"/>
      <c r="ET957" s="885"/>
      <c r="EU957" s="885"/>
      <c r="EV957" s="885"/>
      <c r="EW957" s="885"/>
      <c r="EX957" s="885"/>
      <c r="EY957" s="885"/>
      <c r="EZ957" s="885"/>
      <c r="FA957" s="885"/>
      <c r="FB957" s="885"/>
      <c r="FC957" s="885"/>
      <c r="FD957" s="885"/>
      <c r="FE957" s="885"/>
      <c r="FF957" s="885"/>
      <c r="FG957" s="885"/>
      <c r="FH957" s="885"/>
      <c r="FI957" s="885"/>
      <c r="FJ957" s="885"/>
      <c r="FK957" s="885"/>
      <c r="FL957" s="885"/>
      <c r="FM957" s="885"/>
      <c r="FN957" s="885"/>
      <c r="FO957" s="885"/>
      <c r="FP957" s="885"/>
      <c r="FQ957" s="885"/>
      <c r="FR957" s="885"/>
      <c r="FS957" s="885"/>
      <c r="FT957" s="885"/>
      <c r="FU957" s="885"/>
      <c r="FV957" s="885"/>
      <c r="FW957" s="885"/>
      <c r="FX957" s="885"/>
      <c r="FY957" s="885"/>
      <c r="FZ957" s="885"/>
      <c r="GA957" s="885"/>
      <c r="GB957" s="885"/>
      <c r="GC957" s="885"/>
      <c r="GD957" s="885"/>
      <c r="GE957" s="885"/>
      <c r="GF957" s="885"/>
      <c r="GG957" s="885"/>
      <c r="GH957" s="885"/>
      <c r="GI957" s="885"/>
      <c r="GJ957" s="885"/>
      <c r="GK957" s="885"/>
      <c r="GL957" s="885"/>
      <c r="GM957" s="885"/>
      <c r="GN957" s="885"/>
      <c r="GO957" s="885"/>
      <c r="GP957" s="885"/>
      <c r="GQ957" s="885"/>
      <c r="GR957" s="885"/>
      <c r="GS957" s="885"/>
      <c r="GT957" s="885"/>
      <c r="GU957" s="885"/>
      <c r="GV957" s="885"/>
      <c r="GW957" s="885"/>
      <c r="GX957" s="885"/>
      <c r="GY957" s="885"/>
      <c r="GZ957" s="885"/>
      <c r="HA957" s="885"/>
      <c r="HB957" s="885"/>
      <c r="HC957" s="885"/>
      <c r="HD957" s="885"/>
      <c r="HE957" s="885"/>
      <c r="HF957" s="885"/>
      <c r="HG957" s="885"/>
      <c r="HH957" s="885"/>
      <c r="HI957" s="885"/>
      <c r="HJ957" s="885"/>
      <c r="HK957" s="885"/>
      <c r="HL957" s="885"/>
      <c r="HM957" s="885"/>
      <c r="HN957" s="885"/>
      <c r="HO957" s="885"/>
      <c r="HP957" s="885"/>
      <c r="HQ957" s="885"/>
      <c r="HR957" s="885"/>
      <c r="HS957" s="885"/>
      <c r="HT957" s="885"/>
      <c r="HU957" s="885"/>
      <c r="HV957" s="885"/>
      <c r="HW957" s="885"/>
      <c r="HX957" s="885"/>
      <c r="HY957" s="885"/>
      <c r="HZ957" s="885"/>
      <c r="IA957" s="885"/>
      <c r="IB957" s="885"/>
      <c r="IC957" s="885"/>
      <c r="ID957" s="885"/>
      <c r="IE957" s="885"/>
      <c r="IF957" s="885"/>
      <c r="IG957" s="885"/>
      <c r="IH957" s="885"/>
      <c r="II957" s="885"/>
      <c r="IJ957" s="885"/>
      <c r="IK957" s="885"/>
      <c r="IL957" s="885"/>
      <c r="IM957" s="885"/>
      <c r="IN957" s="885"/>
      <c r="IO957" s="885"/>
      <c r="IP957" s="885"/>
      <c r="IQ957" s="885"/>
      <c r="IR957" s="885"/>
      <c r="IS957" s="885"/>
      <c r="IT957" s="885"/>
      <c r="IU957" s="885"/>
      <c r="IV957" s="885"/>
      <c r="IW957" s="885"/>
      <c r="IX957" s="885"/>
    </row>
    <row r="958" spans="1:258" x14ac:dyDescent="0.25">
      <c r="A958" s="125">
        <f t="shared" si="118"/>
        <v>918</v>
      </c>
      <c r="B958" s="885"/>
      <c r="C958" s="842" t="s">
        <v>10530</v>
      </c>
      <c r="D958" s="924">
        <v>0</v>
      </c>
      <c r="E958" s="924">
        <f t="shared" si="117"/>
        <v>0</v>
      </c>
      <c r="F958" s="136">
        <v>2000</v>
      </c>
      <c r="G958" s="122" t="s">
        <v>1963</v>
      </c>
      <c r="I958" s="885"/>
      <c r="J958" s="885"/>
      <c r="K958" s="885"/>
      <c r="L958" s="885"/>
      <c r="M958" s="885"/>
      <c r="N958" s="885"/>
      <c r="O958" s="885"/>
      <c r="P958" s="885"/>
      <c r="Q958" s="885"/>
      <c r="R958" s="885"/>
      <c r="S958" s="885"/>
      <c r="T958" s="885"/>
      <c r="U958" s="885"/>
      <c r="V958" s="885"/>
      <c r="W958" s="885"/>
      <c r="X958" s="885"/>
      <c r="Y958" s="885"/>
      <c r="Z958" s="885"/>
      <c r="AA958" s="885"/>
      <c r="AB958" s="885"/>
      <c r="AC958" s="885"/>
      <c r="AD958" s="885"/>
      <c r="AE958" s="885"/>
      <c r="AF958" s="885"/>
      <c r="AG958" s="885"/>
      <c r="AH958" s="885"/>
      <c r="AI958" s="885"/>
      <c r="AJ958" s="885"/>
      <c r="AK958" s="885"/>
      <c r="AL958" s="885"/>
      <c r="AM958" s="885"/>
      <c r="AN958" s="885"/>
      <c r="AO958" s="885"/>
      <c r="AP958" s="885"/>
      <c r="AQ958" s="885"/>
      <c r="AR958" s="885"/>
      <c r="AS958" s="885"/>
      <c r="AT958" s="885"/>
      <c r="AU958" s="885"/>
      <c r="AV958" s="885"/>
      <c r="AW958" s="885"/>
      <c r="AX958" s="885"/>
      <c r="AY958" s="885"/>
      <c r="AZ958" s="885"/>
      <c r="BA958" s="885"/>
      <c r="BB958" s="885"/>
      <c r="BC958" s="885"/>
      <c r="BD958" s="885"/>
      <c r="BE958" s="885"/>
      <c r="BF958" s="885"/>
      <c r="BG958" s="885"/>
      <c r="BH958" s="885"/>
      <c r="BI958" s="885"/>
      <c r="BJ958" s="885"/>
      <c r="BK958" s="885"/>
      <c r="BL958" s="885"/>
      <c r="BM958" s="885"/>
      <c r="BN958" s="885"/>
      <c r="BO958" s="885"/>
      <c r="BP958" s="885"/>
      <c r="BQ958" s="885"/>
      <c r="BR958" s="885"/>
      <c r="BS958" s="885"/>
      <c r="BT958" s="885"/>
      <c r="BU958" s="885"/>
      <c r="BV958" s="885"/>
      <c r="BW958" s="885"/>
      <c r="BX958" s="885"/>
      <c r="BY958" s="885"/>
      <c r="BZ958" s="885"/>
      <c r="CA958" s="885"/>
      <c r="CB958" s="885"/>
      <c r="CC958" s="885"/>
      <c r="CD958" s="885"/>
      <c r="CE958" s="885"/>
      <c r="CF958" s="885"/>
      <c r="CG958" s="885"/>
      <c r="CH958" s="885"/>
      <c r="CI958" s="885"/>
      <c r="CJ958" s="885"/>
      <c r="CK958" s="885"/>
      <c r="CL958" s="885"/>
      <c r="CM958" s="885"/>
      <c r="CN958" s="885"/>
      <c r="CO958" s="885"/>
      <c r="CP958" s="885"/>
      <c r="CQ958" s="885"/>
      <c r="CR958" s="885"/>
      <c r="CS958" s="885"/>
      <c r="CT958" s="885"/>
      <c r="CU958" s="885"/>
      <c r="CV958" s="885"/>
      <c r="CW958" s="885"/>
      <c r="CX958" s="885"/>
      <c r="CY958" s="885"/>
      <c r="CZ958" s="885"/>
      <c r="DA958" s="885"/>
      <c r="DB958" s="885"/>
      <c r="DC958" s="885"/>
      <c r="DD958" s="885"/>
      <c r="DE958" s="885"/>
      <c r="DF958" s="885"/>
      <c r="DG958" s="885"/>
      <c r="DH958" s="885"/>
      <c r="DI958" s="885"/>
      <c r="DJ958" s="885"/>
      <c r="DK958" s="885"/>
      <c r="DL958" s="885"/>
      <c r="DM958" s="885"/>
      <c r="DN958" s="885"/>
      <c r="DO958" s="885"/>
      <c r="DP958" s="885"/>
      <c r="DQ958" s="885"/>
      <c r="DR958" s="885"/>
      <c r="DS958" s="885"/>
      <c r="DT958" s="885"/>
      <c r="DU958" s="885"/>
      <c r="DV958" s="885"/>
      <c r="DW958" s="885"/>
      <c r="DX958" s="885"/>
      <c r="DY958" s="885"/>
      <c r="DZ958" s="885"/>
      <c r="EA958" s="885"/>
      <c r="EB958" s="885"/>
      <c r="EC958" s="885"/>
      <c r="ED958" s="885"/>
      <c r="EE958" s="885"/>
      <c r="EF958" s="885"/>
      <c r="EG958" s="885"/>
      <c r="EH958" s="885"/>
      <c r="EI958" s="885"/>
      <c r="EJ958" s="885"/>
      <c r="EK958" s="885"/>
      <c r="EL958" s="885"/>
      <c r="EM958" s="885"/>
      <c r="EN958" s="885"/>
      <c r="EO958" s="885"/>
      <c r="EP958" s="885"/>
      <c r="EQ958" s="885"/>
      <c r="ER958" s="885"/>
      <c r="ES958" s="885"/>
      <c r="ET958" s="885"/>
      <c r="EU958" s="885"/>
      <c r="EV958" s="885"/>
      <c r="EW958" s="885"/>
      <c r="EX958" s="885"/>
      <c r="EY958" s="885"/>
      <c r="EZ958" s="885"/>
      <c r="FA958" s="885"/>
      <c r="FB958" s="885"/>
      <c r="FC958" s="885"/>
      <c r="FD958" s="885"/>
      <c r="FE958" s="885"/>
      <c r="FF958" s="885"/>
      <c r="FG958" s="885"/>
      <c r="FH958" s="885"/>
      <c r="FI958" s="885"/>
      <c r="FJ958" s="885"/>
      <c r="FK958" s="885"/>
      <c r="FL958" s="885"/>
      <c r="FM958" s="885"/>
      <c r="FN958" s="885"/>
      <c r="FO958" s="885"/>
      <c r="FP958" s="885"/>
      <c r="FQ958" s="885"/>
      <c r="FR958" s="885"/>
      <c r="FS958" s="885"/>
      <c r="FT958" s="885"/>
      <c r="FU958" s="885"/>
      <c r="FV958" s="885"/>
      <c r="FW958" s="885"/>
      <c r="FX958" s="885"/>
      <c r="FY958" s="885"/>
      <c r="FZ958" s="885"/>
      <c r="GA958" s="885"/>
      <c r="GB958" s="885"/>
      <c r="GC958" s="885"/>
      <c r="GD958" s="885"/>
      <c r="GE958" s="885"/>
      <c r="GF958" s="885"/>
      <c r="GG958" s="885"/>
      <c r="GH958" s="885"/>
      <c r="GI958" s="885"/>
      <c r="GJ958" s="885"/>
      <c r="GK958" s="885"/>
      <c r="GL958" s="885"/>
      <c r="GM958" s="885"/>
      <c r="GN958" s="885"/>
      <c r="GO958" s="885"/>
      <c r="GP958" s="885"/>
      <c r="GQ958" s="885"/>
      <c r="GR958" s="885"/>
      <c r="GS958" s="885"/>
      <c r="GT958" s="885"/>
      <c r="GU958" s="885"/>
      <c r="GV958" s="885"/>
      <c r="GW958" s="885"/>
      <c r="GX958" s="885"/>
      <c r="GY958" s="885"/>
      <c r="GZ958" s="885"/>
      <c r="HA958" s="885"/>
      <c r="HB958" s="885"/>
      <c r="HC958" s="885"/>
      <c r="HD958" s="885"/>
      <c r="HE958" s="885"/>
      <c r="HF958" s="885"/>
      <c r="HG958" s="885"/>
      <c r="HH958" s="885"/>
      <c r="HI958" s="885"/>
      <c r="HJ958" s="885"/>
      <c r="HK958" s="885"/>
      <c r="HL958" s="885"/>
      <c r="HM958" s="885"/>
      <c r="HN958" s="885"/>
      <c r="HO958" s="885"/>
      <c r="HP958" s="885"/>
      <c r="HQ958" s="885"/>
      <c r="HR958" s="885"/>
      <c r="HS958" s="885"/>
      <c r="HT958" s="885"/>
      <c r="HU958" s="885"/>
      <c r="HV958" s="885"/>
      <c r="HW958" s="885"/>
      <c r="HX958" s="885"/>
      <c r="HY958" s="885"/>
      <c r="HZ958" s="885"/>
      <c r="IA958" s="885"/>
      <c r="IB958" s="885"/>
      <c r="IC958" s="885"/>
      <c r="ID958" s="885"/>
      <c r="IE958" s="885"/>
      <c r="IF958" s="885"/>
      <c r="IG958" s="885"/>
      <c r="IH958" s="885"/>
      <c r="II958" s="885"/>
      <c r="IJ958" s="885"/>
      <c r="IK958" s="885"/>
      <c r="IL958" s="885"/>
      <c r="IM958" s="885"/>
      <c r="IN958" s="885"/>
      <c r="IO958" s="885"/>
      <c r="IP958" s="885"/>
      <c r="IQ958" s="885"/>
      <c r="IR958" s="885"/>
      <c r="IS958" s="885"/>
      <c r="IT958" s="885"/>
      <c r="IU958" s="885"/>
      <c r="IV958" s="885"/>
      <c r="IW958" s="885"/>
      <c r="IX958" s="885"/>
    </row>
    <row r="959" spans="1:258" s="123" customFormat="1" x14ac:dyDescent="0.25">
      <c r="A959" s="125">
        <f t="shared" si="118"/>
        <v>919</v>
      </c>
      <c r="B959" s="885"/>
      <c r="C959" s="842" t="s">
        <v>10531</v>
      </c>
      <c r="D959" s="924">
        <v>0</v>
      </c>
      <c r="E959" s="924">
        <f t="shared" si="117"/>
        <v>0</v>
      </c>
      <c r="F959" s="136">
        <v>5000</v>
      </c>
      <c r="G959" s="122" t="s">
        <v>1963</v>
      </c>
      <c r="H959" s="885"/>
      <c r="I959" s="885"/>
      <c r="J959" s="885"/>
      <c r="K959" s="885"/>
      <c r="L959" s="885"/>
      <c r="M959" s="885"/>
      <c r="N959" s="885"/>
      <c r="O959" s="885"/>
      <c r="P959" s="885"/>
      <c r="Q959" s="885"/>
      <c r="R959" s="885"/>
      <c r="S959" s="885"/>
      <c r="T959" s="885"/>
      <c r="U959" s="885"/>
      <c r="V959" s="885"/>
      <c r="W959" s="885"/>
      <c r="X959" s="885"/>
      <c r="Y959" s="885"/>
      <c r="Z959" s="885"/>
      <c r="AA959" s="885"/>
      <c r="AB959" s="885"/>
      <c r="AC959" s="885"/>
      <c r="AD959" s="885"/>
      <c r="AE959" s="885"/>
      <c r="AF959" s="885"/>
      <c r="AG959" s="885"/>
      <c r="AH959" s="885"/>
      <c r="AI959" s="885"/>
      <c r="AJ959" s="885"/>
      <c r="AK959" s="885"/>
      <c r="AL959" s="885"/>
      <c r="AM959" s="885"/>
      <c r="AN959" s="885"/>
      <c r="AO959" s="885"/>
      <c r="AP959" s="885"/>
      <c r="AQ959" s="885"/>
      <c r="AR959" s="885"/>
      <c r="AS959" s="885"/>
      <c r="AT959" s="885"/>
      <c r="AU959" s="885"/>
      <c r="AV959" s="885"/>
      <c r="AW959" s="885"/>
      <c r="AX959" s="885"/>
      <c r="AY959" s="885"/>
      <c r="AZ959" s="885"/>
      <c r="BA959" s="885"/>
      <c r="BB959" s="885"/>
      <c r="BC959" s="885"/>
      <c r="BD959" s="885"/>
      <c r="BE959" s="885"/>
      <c r="BF959" s="885"/>
      <c r="BG959" s="885"/>
      <c r="BH959" s="885"/>
      <c r="BI959" s="885"/>
      <c r="BJ959" s="885"/>
      <c r="BK959" s="885"/>
      <c r="BL959" s="885"/>
      <c r="BM959" s="885"/>
      <c r="BN959" s="885"/>
      <c r="BO959" s="885"/>
      <c r="BP959" s="885"/>
      <c r="BQ959" s="885"/>
      <c r="BR959" s="885"/>
      <c r="BS959" s="885"/>
      <c r="BT959" s="885"/>
      <c r="BU959" s="885"/>
      <c r="BV959" s="885"/>
      <c r="BW959" s="885"/>
      <c r="BX959" s="885"/>
      <c r="BY959" s="885"/>
      <c r="BZ959" s="885"/>
      <c r="CA959" s="885"/>
      <c r="CB959" s="885"/>
      <c r="CC959" s="885"/>
      <c r="CD959" s="885"/>
      <c r="CE959" s="885"/>
      <c r="CF959" s="885"/>
      <c r="CG959" s="885"/>
      <c r="CH959" s="885"/>
      <c r="CI959" s="885"/>
      <c r="CJ959" s="885"/>
      <c r="CK959" s="885"/>
      <c r="CL959" s="885"/>
      <c r="CM959" s="885"/>
      <c r="CN959" s="885"/>
      <c r="CO959" s="885"/>
      <c r="CP959" s="885"/>
      <c r="CQ959" s="885"/>
      <c r="CR959" s="885"/>
      <c r="CS959" s="885"/>
      <c r="CT959" s="885"/>
      <c r="CU959" s="885"/>
      <c r="CV959" s="885"/>
      <c r="CW959" s="885"/>
      <c r="CX959" s="885"/>
      <c r="CY959" s="885"/>
      <c r="CZ959" s="885"/>
      <c r="DA959" s="885"/>
      <c r="DB959" s="885"/>
      <c r="DC959" s="885"/>
      <c r="DD959" s="885"/>
      <c r="DE959" s="885"/>
      <c r="DF959" s="885"/>
      <c r="DG959" s="885"/>
      <c r="DH959" s="885"/>
      <c r="DI959" s="885"/>
      <c r="DJ959" s="885"/>
      <c r="DK959" s="885"/>
      <c r="DL959" s="885"/>
      <c r="DM959" s="885"/>
      <c r="DN959" s="885"/>
      <c r="DO959" s="885"/>
      <c r="DP959" s="885"/>
      <c r="DQ959" s="885"/>
      <c r="DR959" s="885"/>
      <c r="DS959" s="885"/>
      <c r="DT959" s="885"/>
      <c r="DU959" s="885"/>
      <c r="DV959" s="885"/>
      <c r="DW959" s="885"/>
      <c r="DX959" s="885"/>
      <c r="DY959" s="885"/>
      <c r="DZ959" s="885"/>
      <c r="EA959" s="885"/>
      <c r="EB959" s="885"/>
      <c r="EC959" s="885"/>
      <c r="ED959" s="885"/>
      <c r="EE959" s="885"/>
      <c r="EF959" s="885"/>
      <c r="EG959" s="885"/>
      <c r="EH959" s="885"/>
      <c r="EI959" s="885"/>
      <c r="EJ959" s="885"/>
      <c r="EK959" s="885"/>
      <c r="EL959" s="885"/>
      <c r="EM959" s="885"/>
      <c r="EN959" s="885"/>
      <c r="EO959" s="885"/>
      <c r="EP959" s="885"/>
      <c r="EQ959" s="885"/>
      <c r="ER959" s="885"/>
      <c r="ES959" s="885"/>
      <c r="ET959" s="885"/>
      <c r="EU959" s="885"/>
      <c r="EV959" s="885"/>
      <c r="EW959" s="885"/>
      <c r="EX959" s="885"/>
      <c r="EY959" s="885"/>
      <c r="EZ959" s="885"/>
      <c r="FA959" s="885"/>
      <c r="FB959" s="885"/>
      <c r="FC959" s="885"/>
      <c r="FD959" s="885"/>
      <c r="FE959" s="885"/>
      <c r="FF959" s="885"/>
      <c r="FG959" s="885"/>
      <c r="FH959" s="885"/>
      <c r="FI959" s="885"/>
      <c r="FJ959" s="885"/>
      <c r="FK959" s="885"/>
      <c r="FL959" s="885"/>
      <c r="FM959" s="885"/>
      <c r="FN959" s="885"/>
      <c r="FO959" s="885"/>
      <c r="FP959" s="885"/>
      <c r="FQ959" s="885"/>
      <c r="FR959" s="885"/>
      <c r="FS959" s="885"/>
      <c r="FT959" s="885"/>
      <c r="FU959" s="885"/>
      <c r="FV959" s="885"/>
      <c r="FW959" s="885"/>
      <c r="FX959" s="885"/>
      <c r="FY959" s="885"/>
      <c r="FZ959" s="885"/>
      <c r="GA959" s="885"/>
      <c r="GB959" s="885"/>
      <c r="GC959" s="885"/>
      <c r="GD959" s="885"/>
      <c r="GE959" s="885"/>
      <c r="GF959" s="885"/>
      <c r="GG959" s="885"/>
      <c r="GH959" s="885"/>
      <c r="GI959" s="885"/>
      <c r="GJ959" s="885"/>
      <c r="GK959" s="885"/>
      <c r="GL959" s="885"/>
      <c r="GM959" s="885"/>
      <c r="GN959" s="885"/>
      <c r="GO959" s="885"/>
      <c r="GP959" s="885"/>
      <c r="GQ959" s="885"/>
      <c r="GR959" s="885"/>
      <c r="GS959" s="885"/>
      <c r="GT959" s="885"/>
      <c r="GU959" s="885"/>
      <c r="GV959" s="885"/>
      <c r="GW959" s="885"/>
      <c r="GX959" s="885"/>
      <c r="GY959" s="885"/>
      <c r="GZ959" s="885"/>
      <c r="HA959" s="885"/>
      <c r="HB959" s="885"/>
      <c r="HC959" s="885"/>
      <c r="HD959" s="885"/>
      <c r="HE959" s="885"/>
      <c r="HF959" s="885"/>
      <c r="HG959" s="885"/>
      <c r="HH959" s="885"/>
      <c r="HI959" s="885"/>
      <c r="HJ959" s="885"/>
      <c r="HK959" s="885"/>
      <c r="HL959" s="885"/>
      <c r="HM959" s="885"/>
      <c r="HN959" s="885"/>
      <c r="HO959" s="885"/>
      <c r="HP959" s="885"/>
      <c r="HQ959" s="885"/>
      <c r="HR959" s="885"/>
      <c r="HS959" s="885"/>
      <c r="HT959" s="885"/>
      <c r="HU959" s="885"/>
      <c r="HV959" s="885"/>
      <c r="HW959" s="885"/>
      <c r="HX959" s="885"/>
      <c r="HY959" s="885"/>
      <c r="HZ959" s="885"/>
      <c r="IA959" s="885"/>
      <c r="IB959" s="885"/>
      <c r="IC959" s="885"/>
      <c r="ID959" s="885"/>
      <c r="IE959" s="885"/>
      <c r="IF959" s="885"/>
      <c r="IG959" s="885"/>
      <c r="IH959" s="885"/>
      <c r="II959" s="885"/>
      <c r="IJ959" s="885"/>
      <c r="IK959" s="885"/>
      <c r="IL959" s="885"/>
      <c r="IM959" s="885"/>
      <c r="IN959" s="885"/>
      <c r="IO959" s="885"/>
      <c r="IP959" s="885"/>
      <c r="IQ959" s="885"/>
      <c r="IR959" s="885"/>
      <c r="IS959" s="885"/>
      <c r="IT959" s="885"/>
      <c r="IU959" s="885"/>
      <c r="IV959" s="885"/>
      <c r="IW959" s="885"/>
      <c r="IX959" s="885"/>
    </row>
    <row r="960" spans="1:258" x14ac:dyDescent="0.25">
      <c r="A960" s="125">
        <f t="shared" si="118"/>
        <v>920</v>
      </c>
      <c r="B960" s="885"/>
      <c r="C960" s="842" t="s">
        <v>10532</v>
      </c>
      <c r="D960" s="924">
        <v>0</v>
      </c>
      <c r="E960" s="924">
        <f t="shared" si="117"/>
        <v>0</v>
      </c>
      <c r="F960" s="136">
        <v>3000</v>
      </c>
      <c r="G960" s="122" t="s">
        <v>1963</v>
      </c>
      <c r="I960" s="885"/>
      <c r="J960" s="885"/>
      <c r="K960" s="885"/>
      <c r="L960" s="885"/>
      <c r="M960" s="885"/>
      <c r="N960" s="885"/>
      <c r="O960" s="885"/>
      <c r="P960" s="885"/>
      <c r="Q960" s="885"/>
      <c r="R960" s="885"/>
      <c r="S960" s="885"/>
      <c r="T960" s="885"/>
      <c r="U960" s="885"/>
      <c r="V960" s="885"/>
      <c r="W960" s="885"/>
      <c r="X960" s="885"/>
      <c r="Y960" s="885"/>
      <c r="Z960" s="885"/>
      <c r="AA960" s="885"/>
      <c r="AB960" s="885"/>
      <c r="AC960" s="885"/>
      <c r="AD960" s="885"/>
      <c r="AE960" s="885"/>
      <c r="AF960" s="885"/>
      <c r="AG960" s="885"/>
      <c r="AH960" s="885"/>
      <c r="AI960" s="885"/>
      <c r="AJ960" s="885"/>
      <c r="AK960" s="885"/>
      <c r="AL960" s="885"/>
      <c r="AM960" s="885"/>
      <c r="AN960" s="885"/>
      <c r="AO960" s="885"/>
      <c r="AP960" s="885"/>
      <c r="AQ960" s="885"/>
      <c r="AR960" s="885"/>
      <c r="AS960" s="885"/>
      <c r="AT960" s="885"/>
      <c r="AU960" s="885"/>
      <c r="AV960" s="885"/>
      <c r="AW960" s="885"/>
      <c r="AX960" s="885"/>
      <c r="AY960" s="885"/>
      <c r="AZ960" s="885"/>
      <c r="BA960" s="885"/>
      <c r="BB960" s="885"/>
      <c r="BC960" s="885"/>
      <c r="BD960" s="885"/>
      <c r="BE960" s="885"/>
      <c r="BF960" s="885"/>
      <c r="BG960" s="885"/>
      <c r="BH960" s="885"/>
      <c r="BI960" s="885"/>
      <c r="BJ960" s="885"/>
      <c r="BK960" s="885"/>
      <c r="BL960" s="885"/>
      <c r="BM960" s="885"/>
      <c r="BN960" s="885"/>
      <c r="BO960" s="885"/>
      <c r="BP960" s="885"/>
      <c r="BQ960" s="885"/>
      <c r="BR960" s="885"/>
      <c r="BS960" s="885"/>
      <c r="BT960" s="885"/>
      <c r="BU960" s="885"/>
      <c r="BV960" s="885"/>
      <c r="BW960" s="885"/>
      <c r="BX960" s="885"/>
      <c r="BY960" s="885"/>
      <c r="BZ960" s="885"/>
      <c r="CA960" s="885"/>
      <c r="CB960" s="885"/>
      <c r="CC960" s="885"/>
      <c r="CD960" s="885"/>
      <c r="CE960" s="885"/>
      <c r="CF960" s="885"/>
      <c r="CG960" s="885"/>
      <c r="CH960" s="885"/>
      <c r="CI960" s="885"/>
      <c r="CJ960" s="885"/>
      <c r="CK960" s="885"/>
      <c r="CL960" s="885"/>
      <c r="CM960" s="885"/>
      <c r="CN960" s="885"/>
      <c r="CO960" s="885"/>
      <c r="CP960" s="885"/>
      <c r="CQ960" s="885"/>
      <c r="CR960" s="885"/>
      <c r="CS960" s="885"/>
      <c r="CT960" s="885"/>
      <c r="CU960" s="885"/>
      <c r="CV960" s="885"/>
      <c r="CW960" s="885"/>
      <c r="CX960" s="885"/>
      <c r="CY960" s="885"/>
      <c r="CZ960" s="885"/>
      <c r="DA960" s="885"/>
      <c r="DB960" s="885"/>
      <c r="DC960" s="885"/>
      <c r="DD960" s="885"/>
      <c r="DE960" s="885"/>
      <c r="DF960" s="885"/>
      <c r="DG960" s="885"/>
      <c r="DH960" s="885"/>
      <c r="DI960" s="885"/>
      <c r="DJ960" s="885"/>
      <c r="DK960" s="885"/>
      <c r="DL960" s="885"/>
      <c r="DM960" s="885"/>
      <c r="DN960" s="885"/>
      <c r="DO960" s="885"/>
      <c r="DP960" s="885"/>
      <c r="DQ960" s="885"/>
      <c r="DR960" s="885"/>
      <c r="DS960" s="885"/>
      <c r="DT960" s="885"/>
      <c r="DU960" s="885"/>
      <c r="DV960" s="885"/>
      <c r="DW960" s="885"/>
      <c r="DX960" s="885"/>
      <c r="DY960" s="885"/>
      <c r="DZ960" s="885"/>
      <c r="EA960" s="885"/>
      <c r="EB960" s="885"/>
      <c r="EC960" s="885"/>
      <c r="ED960" s="885"/>
      <c r="EE960" s="885"/>
      <c r="EF960" s="885"/>
      <c r="EG960" s="885"/>
      <c r="EH960" s="885"/>
      <c r="EI960" s="885"/>
      <c r="EJ960" s="885"/>
      <c r="EK960" s="885"/>
      <c r="EL960" s="885"/>
      <c r="EM960" s="885"/>
      <c r="EN960" s="885"/>
      <c r="EO960" s="885"/>
      <c r="EP960" s="885"/>
      <c r="EQ960" s="885"/>
      <c r="ER960" s="885"/>
      <c r="ES960" s="885"/>
      <c r="ET960" s="885"/>
      <c r="EU960" s="885"/>
      <c r="EV960" s="885"/>
      <c r="EW960" s="885"/>
      <c r="EX960" s="885"/>
      <c r="EY960" s="885"/>
      <c r="EZ960" s="885"/>
      <c r="FA960" s="885"/>
      <c r="FB960" s="885"/>
      <c r="FC960" s="885"/>
      <c r="FD960" s="885"/>
      <c r="FE960" s="885"/>
      <c r="FF960" s="885"/>
      <c r="FG960" s="885"/>
      <c r="FH960" s="885"/>
      <c r="FI960" s="885"/>
      <c r="FJ960" s="885"/>
      <c r="FK960" s="885"/>
      <c r="FL960" s="885"/>
      <c r="FM960" s="885"/>
      <c r="FN960" s="885"/>
      <c r="FO960" s="885"/>
      <c r="FP960" s="885"/>
      <c r="FQ960" s="885"/>
      <c r="FR960" s="885"/>
      <c r="FS960" s="885"/>
      <c r="FT960" s="885"/>
      <c r="FU960" s="885"/>
      <c r="FV960" s="885"/>
      <c r="FW960" s="885"/>
      <c r="FX960" s="885"/>
      <c r="FY960" s="885"/>
      <c r="FZ960" s="885"/>
      <c r="GA960" s="885"/>
      <c r="GB960" s="885"/>
      <c r="GC960" s="885"/>
      <c r="GD960" s="885"/>
      <c r="GE960" s="885"/>
      <c r="GF960" s="885"/>
      <c r="GG960" s="885"/>
      <c r="GH960" s="885"/>
      <c r="GI960" s="885"/>
      <c r="GJ960" s="885"/>
      <c r="GK960" s="885"/>
      <c r="GL960" s="885"/>
      <c r="GM960" s="885"/>
      <c r="GN960" s="885"/>
      <c r="GO960" s="885"/>
      <c r="GP960" s="885"/>
      <c r="GQ960" s="885"/>
      <c r="GR960" s="885"/>
      <c r="GS960" s="885"/>
      <c r="GT960" s="885"/>
      <c r="GU960" s="885"/>
      <c r="GV960" s="885"/>
      <c r="GW960" s="885"/>
      <c r="GX960" s="885"/>
      <c r="GY960" s="885"/>
      <c r="GZ960" s="885"/>
      <c r="HA960" s="885"/>
      <c r="HB960" s="885"/>
      <c r="HC960" s="885"/>
      <c r="HD960" s="885"/>
      <c r="HE960" s="885"/>
      <c r="HF960" s="885"/>
      <c r="HG960" s="885"/>
      <c r="HH960" s="885"/>
      <c r="HI960" s="885"/>
      <c r="HJ960" s="885"/>
      <c r="HK960" s="885"/>
      <c r="HL960" s="885"/>
      <c r="HM960" s="885"/>
      <c r="HN960" s="885"/>
      <c r="HO960" s="885"/>
      <c r="HP960" s="885"/>
      <c r="HQ960" s="885"/>
      <c r="HR960" s="885"/>
      <c r="HS960" s="885"/>
      <c r="HT960" s="885"/>
      <c r="HU960" s="885"/>
      <c r="HV960" s="885"/>
      <c r="HW960" s="885"/>
      <c r="HX960" s="885"/>
      <c r="HY960" s="885"/>
      <c r="HZ960" s="885"/>
      <c r="IA960" s="885"/>
      <c r="IB960" s="885"/>
      <c r="IC960" s="885"/>
      <c r="ID960" s="885"/>
      <c r="IE960" s="885"/>
      <c r="IF960" s="885"/>
      <c r="IG960" s="885"/>
      <c r="IH960" s="885"/>
      <c r="II960" s="885"/>
      <c r="IJ960" s="885"/>
      <c r="IK960" s="885"/>
      <c r="IL960" s="885"/>
      <c r="IM960" s="885"/>
      <c r="IN960" s="885"/>
      <c r="IO960" s="885"/>
      <c r="IP960" s="885"/>
      <c r="IQ960" s="885"/>
      <c r="IR960" s="885"/>
      <c r="IS960" s="885"/>
      <c r="IT960" s="885"/>
      <c r="IU960" s="885"/>
      <c r="IV960" s="885"/>
      <c r="IW960" s="885"/>
      <c r="IX960" s="885"/>
    </row>
    <row r="961" spans="1:258" x14ac:dyDescent="0.25">
      <c r="A961" s="125">
        <f t="shared" si="118"/>
        <v>921</v>
      </c>
      <c r="B961" s="885"/>
      <c r="C961" s="842" t="s">
        <v>10533</v>
      </c>
      <c r="D961" s="924">
        <v>0</v>
      </c>
      <c r="E961" s="924">
        <f t="shared" si="117"/>
        <v>0</v>
      </c>
      <c r="F961" s="136">
        <v>4000</v>
      </c>
      <c r="G961" s="122" t="s">
        <v>1963</v>
      </c>
      <c r="I961" s="885"/>
      <c r="J961" s="885"/>
      <c r="K961" s="885"/>
      <c r="L961" s="885"/>
      <c r="M961" s="885"/>
      <c r="N961" s="885"/>
      <c r="O961" s="885"/>
      <c r="P961" s="885"/>
      <c r="Q961" s="885"/>
      <c r="R961" s="885"/>
      <c r="S961" s="885"/>
      <c r="T961" s="885"/>
      <c r="U961" s="885"/>
      <c r="V961" s="885"/>
      <c r="W961" s="885"/>
      <c r="X961" s="885"/>
      <c r="Y961" s="885"/>
      <c r="Z961" s="885"/>
      <c r="AA961" s="885"/>
      <c r="AB961" s="885"/>
      <c r="AC961" s="885"/>
      <c r="AD961" s="885"/>
      <c r="AE961" s="885"/>
      <c r="AF961" s="885"/>
      <c r="AG961" s="885"/>
      <c r="AH961" s="885"/>
      <c r="AI961" s="885"/>
      <c r="AJ961" s="885"/>
      <c r="AK961" s="885"/>
      <c r="AL961" s="885"/>
      <c r="AM961" s="885"/>
      <c r="AN961" s="885"/>
      <c r="AO961" s="885"/>
      <c r="AP961" s="885"/>
      <c r="AQ961" s="885"/>
      <c r="AR961" s="885"/>
      <c r="AS961" s="885"/>
      <c r="AT961" s="885"/>
      <c r="AU961" s="885"/>
      <c r="AV961" s="885"/>
      <c r="AW961" s="885"/>
      <c r="AX961" s="885"/>
      <c r="AY961" s="885"/>
      <c r="AZ961" s="885"/>
      <c r="BA961" s="885"/>
      <c r="BB961" s="885"/>
      <c r="BC961" s="885"/>
      <c r="BD961" s="885"/>
      <c r="BE961" s="885"/>
      <c r="BF961" s="885"/>
      <c r="BG961" s="885"/>
      <c r="BH961" s="885"/>
      <c r="BI961" s="885"/>
      <c r="BJ961" s="885"/>
      <c r="BK961" s="885"/>
      <c r="BL961" s="885"/>
      <c r="BM961" s="885"/>
      <c r="BN961" s="885"/>
      <c r="BO961" s="885"/>
      <c r="BP961" s="885"/>
      <c r="BQ961" s="885"/>
      <c r="BR961" s="885"/>
      <c r="BS961" s="885"/>
      <c r="BT961" s="885"/>
      <c r="BU961" s="885"/>
      <c r="BV961" s="885"/>
      <c r="BW961" s="885"/>
      <c r="BX961" s="885"/>
      <c r="BY961" s="885"/>
      <c r="BZ961" s="885"/>
      <c r="CA961" s="885"/>
      <c r="CB961" s="885"/>
      <c r="CC961" s="885"/>
      <c r="CD961" s="885"/>
      <c r="CE961" s="885"/>
      <c r="CF961" s="885"/>
      <c r="CG961" s="885"/>
      <c r="CH961" s="885"/>
      <c r="CI961" s="885"/>
      <c r="CJ961" s="885"/>
      <c r="CK961" s="885"/>
      <c r="CL961" s="885"/>
      <c r="CM961" s="885"/>
      <c r="CN961" s="885"/>
      <c r="CO961" s="885"/>
      <c r="CP961" s="885"/>
      <c r="CQ961" s="885"/>
      <c r="CR961" s="885"/>
      <c r="CS961" s="885"/>
      <c r="CT961" s="885"/>
      <c r="CU961" s="885"/>
      <c r="CV961" s="885"/>
      <c r="CW961" s="885"/>
      <c r="CX961" s="885"/>
      <c r="CY961" s="885"/>
      <c r="CZ961" s="885"/>
      <c r="DA961" s="885"/>
      <c r="DB961" s="885"/>
      <c r="DC961" s="885"/>
      <c r="DD961" s="885"/>
      <c r="DE961" s="885"/>
      <c r="DF961" s="885"/>
      <c r="DG961" s="885"/>
      <c r="DH961" s="885"/>
      <c r="DI961" s="885"/>
      <c r="DJ961" s="885"/>
      <c r="DK961" s="885"/>
      <c r="DL961" s="885"/>
      <c r="DM961" s="885"/>
      <c r="DN961" s="885"/>
      <c r="DO961" s="885"/>
      <c r="DP961" s="885"/>
      <c r="DQ961" s="885"/>
      <c r="DR961" s="885"/>
      <c r="DS961" s="885"/>
      <c r="DT961" s="885"/>
      <c r="DU961" s="885"/>
      <c r="DV961" s="885"/>
      <c r="DW961" s="885"/>
      <c r="DX961" s="885"/>
      <c r="DY961" s="885"/>
      <c r="DZ961" s="885"/>
      <c r="EA961" s="885"/>
      <c r="EB961" s="885"/>
      <c r="EC961" s="885"/>
      <c r="ED961" s="885"/>
      <c r="EE961" s="885"/>
      <c r="EF961" s="885"/>
      <c r="EG961" s="885"/>
      <c r="EH961" s="885"/>
      <c r="EI961" s="885"/>
      <c r="EJ961" s="885"/>
      <c r="EK961" s="885"/>
      <c r="EL961" s="885"/>
      <c r="EM961" s="885"/>
      <c r="EN961" s="885"/>
      <c r="EO961" s="885"/>
      <c r="EP961" s="885"/>
      <c r="EQ961" s="885"/>
      <c r="ER961" s="885"/>
      <c r="ES961" s="885"/>
      <c r="ET961" s="885"/>
      <c r="EU961" s="885"/>
      <c r="EV961" s="885"/>
      <c r="EW961" s="885"/>
      <c r="EX961" s="885"/>
      <c r="EY961" s="885"/>
      <c r="EZ961" s="885"/>
      <c r="FA961" s="885"/>
      <c r="FB961" s="885"/>
      <c r="FC961" s="885"/>
      <c r="FD961" s="885"/>
      <c r="FE961" s="885"/>
      <c r="FF961" s="885"/>
      <c r="FG961" s="885"/>
      <c r="FH961" s="885"/>
      <c r="FI961" s="885"/>
      <c r="FJ961" s="885"/>
      <c r="FK961" s="885"/>
      <c r="FL961" s="885"/>
      <c r="FM961" s="885"/>
      <c r="FN961" s="885"/>
      <c r="FO961" s="885"/>
      <c r="FP961" s="885"/>
      <c r="FQ961" s="885"/>
      <c r="FR961" s="885"/>
      <c r="FS961" s="885"/>
      <c r="FT961" s="885"/>
      <c r="FU961" s="885"/>
      <c r="FV961" s="885"/>
      <c r="FW961" s="885"/>
      <c r="FX961" s="885"/>
      <c r="FY961" s="885"/>
      <c r="FZ961" s="885"/>
      <c r="GA961" s="885"/>
      <c r="GB961" s="885"/>
      <c r="GC961" s="885"/>
      <c r="GD961" s="885"/>
      <c r="GE961" s="885"/>
      <c r="GF961" s="885"/>
      <c r="GG961" s="885"/>
      <c r="GH961" s="885"/>
      <c r="GI961" s="885"/>
      <c r="GJ961" s="885"/>
      <c r="GK961" s="885"/>
      <c r="GL961" s="885"/>
      <c r="GM961" s="885"/>
      <c r="GN961" s="885"/>
      <c r="GO961" s="885"/>
      <c r="GP961" s="885"/>
      <c r="GQ961" s="885"/>
      <c r="GR961" s="885"/>
      <c r="GS961" s="885"/>
      <c r="GT961" s="885"/>
      <c r="GU961" s="885"/>
      <c r="GV961" s="885"/>
      <c r="GW961" s="885"/>
      <c r="GX961" s="885"/>
      <c r="GY961" s="885"/>
      <c r="GZ961" s="885"/>
      <c r="HA961" s="885"/>
      <c r="HB961" s="885"/>
      <c r="HC961" s="885"/>
      <c r="HD961" s="885"/>
      <c r="HE961" s="885"/>
      <c r="HF961" s="885"/>
      <c r="HG961" s="885"/>
      <c r="HH961" s="885"/>
      <c r="HI961" s="885"/>
      <c r="HJ961" s="885"/>
      <c r="HK961" s="885"/>
      <c r="HL961" s="885"/>
      <c r="HM961" s="885"/>
      <c r="HN961" s="885"/>
      <c r="HO961" s="885"/>
      <c r="HP961" s="885"/>
      <c r="HQ961" s="885"/>
      <c r="HR961" s="885"/>
      <c r="HS961" s="885"/>
      <c r="HT961" s="885"/>
      <c r="HU961" s="885"/>
      <c r="HV961" s="885"/>
      <c r="HW961" s="885"/>
      <c r="HX961" s="885"/>
      <c r="HY961" s="885"/>
      <c r="HZ961" s="885"/>
      <c r="IA961" s="885"/>
      <c r="IB961" s="885"/>
      <c r="IC961" s="885"/>
      <c r="ID961" s="885"/>
      <c r="IE961" s="885"/>
      <c r="IF961" s="885"/>
      <c r="IG961" s="885"/>
      <c r="IH961" s="885"/>
      <c r="II961" s="885"/>
      <c r="IJ961" s="885"/>
      <c r="IK961" s="885"/>
      <c r="IL961" s="885"/>
      <c r="IM961" s="885"/>
      <c r="IN961" s="885"/>
      <c r="IO961" s="885"/>
      <c r="IP961" s="885"/>
      <c r="IQ961" s="885"/>
      <c r="IR961" s="885"/>
      <c r="IS961" s="885"/>
      <c r="IT961" s="885"/>
      <c r="IU961" s="885"/>
      <c r="IV961" s="885"/>
      <c r="IW961" s="885"/>
      <c r="IX961" s="885"/>
    </row>
    <row r="962" spans="1:258" x14ac:dyDescent="0.25">
      <c r="A962" s="125">
        <f t="shared" si="118"/>
        <v>922</v>
      </c>
      <c r="B962" s="885"/>
      <c r="C962" s="927" t="s">
        <v>11462</v>
      </c>
      <c r="D962" s="928"/>
      <c r="E962" s="928"/>
      <c r="F962" s="136"/>
      <c r="I962" s="885"/>
      <c r="J962" s="885"/>
      <c r="K962" s="885"/>
      <c r="L962" s="885"/>
      <c r="M962" s="885"/>
      <c r="N962" s="885"/>
      <c r="O962" s="885"/>
      <c r="P962" s="885"/>
      <c r="Q962" s="885"/>
      <c r="R962" s="885"/>
      <c r="S962" s="885"/>
      <c r="T962" s="885"/>
      <c r="U962" s="885"/>
      <c r="V962" s="885"/>
      <c r="W962" s="885"/>
      <c r="X962" s="885"/>
      <c r="Y962" s="885"/>
      <c r="Z962" s="885"/>
      <c r="AA962" s="885"/>
      <c r="AB962" s="885"/>
      <c r="AC962" s="885"/>
      <c r="AD962" s="885"/>
      <c r="AE962" s="885"/>
      <c r="AF962" s="885"/>
      <c r="AG962" s="885"/>
      <c r="AH962" s="885"/>
      <c r="AI962" s="885"/>
      <c r="AJ962" s="885"/>
      <c r="AK962" s="885"/>
      <c r="AL962" s="885"/>
      <c r="AM962" s="885"/>
      <c r="AN962" s="885"/>
      <c r="AO962" s="885"/>
      <c r="AP962" s="885"/>
      <c r="AQ962" s="885"/>
      <c r="AR962" s="885"/>
      <c r="AS962" s="885"/>
      <c r="AT962" s="885"/>
      <c r="AU962" s="885"/>
      <c r="AV962" s="885"/>
      <c r="AW962" s="885"/>
      <c r="AX962" s="885"/>
      <c r="AY962" s="885"/>
      <c r="AZ962" s="885"/>
      <c r="BA962" s="885"/>
      <c r="BB962" s="885"/>
      <c r="BC962" s="885"/>
      <c r="BD962" s="885"/>
      <c r="BE962" s="885"/>
      <c r="BF962" s="885"/>
      <c r="BG962" s="885"/>
      <c r="BH962" s="885"/>
      <c r="BI962" s="885"/>
      <c r="BJ962" s="885"/>
      <c r="BK962" s="885"/>
      <c r="BL962" s="885"/>
      <c r="BM962" s="885"/>
      <c r="BN962" s="885"/>
      <c r="BO962" s="885"/>
      <c r="BP962" s="885"/>
      <c r="BQ962" s="885"/>
      <c r="BR962" s="885"/>
      <c r="BS962" s="885"/>
      <c r="BT962" s="885"/>
      <c r="BU962" s="885"/>
      <c r="BV962" s="885"/>
      <c r="BW962" s="885"/>
      <c r="BX962" s="885"/>
      <c r="BY962" s="885"/>
      <c r="BZ962" s="885"/>
      <c r="CA962" s="885"/>
      <c r="CB962" s="885"/>
      <c r="CC962" s="885"/>
      <c r="CD962" s="885"/>
      <c r="CE962" s="885"/>
      <c r="CF962" s="885"/>
      <c r="CG962" s="885"/>
      <c r="CH962" s="885"/>
      <c r="CI962" s="885"/>
      <c r="CJ962" s="885"/>
      <c r="CK962" s="885"/>
      <c r="CL962" s="885"/>
      <c r="CM962" s="885"/>
      <c r="CN962" s="885"/>
      <c r="CO962" s="885"/>
      <c r="CP962" s="885"/>
      <c r="CQ962" s="885"/>
      <c r="CR962" s="885"/>
      <c r="CS962" s="885"/>
      <c r="CT962" s="885"/>
      <c r="CU962" s="885"/>
      <c r="CV962" s="885"/>
      <c r="CW962" s="885"/>
      <c r="CX962" s="885"/>
      <c r="CY962" s="885"/>
      <c r="CZ962" s="885"/>
      <c r="DA962" s="885"/>
      <c r="DB962" s="885"/>
      <c r="DC962" s="885"/>
      <c r="DD962" s="885"/>
      <c r="DE962" s="885"/>
      <c r="DF962" s="885"/>
      <c r="DG962" s="885"/>
      <c r="DH962" s="885"/>
      <c r="DI962" s="885"/>
      <c r="DJ962" s="885"/>
      <c r="DK962" s="885"/>
      <c r="DL962" s="885"/>
      <c r="DM962" s="885"/>
      <c r="DN962" s="885"/>
      <c r="DO962" s="885"/>
      <c r="DP962" s="885"/>
      <c r="DQ962" s="885"/>
      <c r="DR962" s="885"/>
      <c r="DS962" s="885"/>
      <c r="DT962" s="885"/>
      <c r="DU962" s="885"/>
      <c r="DV962" s="885"/>
      <c r="DW962" s="885"/>
      <c r="DX962" s="885"/>
      <c r="DY962" s="885"/>
      <c r="DZ962" s="885"/>
      <c r="EA962" s="885"/>
      <c r="EB962" s="885"/>
      <c r="EC962" s="885"/>
      <c r="ED962" s="885"/>
      <c r="EE962" s="885"/>
      <c r="EF962" s="885"/>
      <c r="EG962" s="885"/>
      <c r="EH962" s="885"/>
      <c r="EI962" s="885"/>
      <c r="EJ962" s="885"/>
      <c r="EK962" s="885"/>
      <c r="EL962" s="885"/>
      <c r="EM962" s="885"/>
      <c r="EN962" s="885"/>
      <c r="EO962" s="885"/>
      <c r="EP962" s="885"/>
      <c r="EQ962" s="885"/>
      <c r="ER962" s="885"/>
      <c r="ES962" s="885"/>
      <c r="ET962" s="885"/>
      <c r="EU962" s="885"/>
      <c r="EV962" s="885"/>
      <c r="EW962" s="885"/>
      <c r="EX962" s="885"/>
      <c r="EY962" s="885"/>
      <c r="EZ962" s="885"/>
      <c r="FA962" s="885"/>
      <c r="FB962" s="885"/>
      <c r="FC962" s="885"/>
      <c r="FD962" s="885"/>
      <c r="FE962" s="885"/>
      <c r="FF962" s="885"/>
      <c r="FG962" s="885"/>
      <c r="FH962" s="885"/>
      <c r="FI962" s="885"/>
      <c r="FJ962" s="885"/>
      <c r="FK962" s="885"/>
      <c r="FL962" s="885"/>
      <c r="FM962" s="885"/>
      <c r="FN962" s="885"/>
      <c r="FO962" s="885"/>
      <c r="FP962" s="885"/>
      <c r="FQ962" s="885"/>
      <c r="FR962" s="885"/>
      <c r="FS962" s="885"/>
      <c r="FT962" s="885"/>
      <c r="FU962" s="885"/>
      <c r="FV962" s="885"/>
      <c r="FW962" s="885"/>
      <c r="FX962" s="885"/>
      <c r="FY962" s="885"/>
      <c r="FZ962" s="885"/>
      <c r="GA962" s="885"/>
      <c r="GB962" s="885"/>
      <c r="GC962" s="885"/>
      <c r="GD962" s="885"/>
      <c r="GE962" s="885"/>
      <c r="GF962" s="885"/>
      <c r="GG962" s="885"/>
      <c r="GH962" s="885"/>
      <c r="GI962" s="885"/>
      <c r="GJ962" s="885"/>
      <c r="GK962" s="885"/>
      <c r="GL962" s="885"/>
      <c r="GM962" s="885"/>
      <c r="GN962" s="885"/>
      <c r="GO962" s="885"/>
      <c r="GP962" s="885"/>
      <c r="GQ962" s="885"/>
      <c r="GR962" s="885"/>
      <c r="GS962" s="885"/>
      <c r="GT962" s="885"/>
      <c r="GU962" s="885"/>
      <c r="GV962" s="885"/>
      <c r="GW962" s="885"/>
      <c r="GX962" s="885"/>
      <c r="GY962" s="885"/>
      <c r="GZ962" s="885"/>
      <c r="HA962" s="885"/>
      <c r="HB962" s="885"/>
      <c r="HC962" s="885"/>
      <c r="HD962" s="885"/>
      <c r="HE962" s="885"/>
      <c r="HF962" s="885"/>
      <c r="HG962" s="885"/>
      <c r="HH962" s="885"/>
      <c r="HI962" s="885"/>
      <c r="HJ962" s="885"/>
      <c r="HK962" s="885"/>
      <c r="HL962" s="885"/>
      <c r="HM962" s="885"/>
      <c r="HN962" s="885"/>
      <c r="HO962" s="885"/>
      <c r="HP962" s="885"/>
      <c r="HQ962" s="885"/>
      <c r="HR962" s="885"/>
      <c r="HS962" s="885"/>
      <c r="HT962" s="885"/>
      <c r="HU962" s="885"/>
      <c r="HV962" s="885"/>
      <c r="HW962" s="885"/>
      <c r="HX962" s="885"/>
      <c r="HY962" s="885"/>
      <c r="HZ962" s="885"/>
      <c r="IA962" s="885"/>
      <c r="IB962" s="885"/>
      <c r="IC962" s="885"/>
      <c r="ID962" s="885"/>
      <c r="IE962" s="885"/>
      <c r="IF962" s="885"/>
      <c r="IG962" s="885"/>
      <c r="IH962" s="885"/>
      <c r="II962" s="885"/>
      <c r="IJ962" s="885"/>
      <c r="IK962" s="885"/>
      <c r="IL962" s="885"/>
      <c r="IM962" s="885"/>
      <c r="IN962" s="885"/>
      <c r="IO962" s="885"/>
      <c r="IP962" s="885"/>
      <c r="IQ962" s="885"/>
      <c r="IR962" s="885"/>
      <c r="IS962" s="885"/>
      <c r="IT962" s="885"/>
      <c r="IU962" s="885"/>
      <c r="IV962" s="885"/>
      <c r="IW962" s="885"/>
      <c r="IX962" s="885"/>
    </row>
    <row r="963" spans="1:258" x14ac:dyDescent="0.25">
      <c r="A963" s="125">
        <f t="shared" si="118"/>
        <v>923</v>
      </c>
      <c r="B963" s="885"/>
      <c r="C963" s="842" t="s">
        <v>11463</v>
      </c>
      <c r="D963" s="924">
        <v>0</v>
      </c>
      <c r="E963" s="924">
        <f t="shared" si="117"/>
        <v>0</v>
      </c>
      <c r="F963" s="136">
        <v>5000</v>
      </c>
      <c r="G963" s="122" t="s">
        <v>1963</v>
      </c>
      <c r="I963" s="885"/>
      <c r="J963" s="885"/>
      <c r="K963" s="885"/>
      <c r="L963" s="885"/>
      <c r="M963" s="885"/>
      <c r="N963" s="885"/>
      <c r="O963" s="885"/>
      <c r="P963" s="885"/>
      <c r="Q963" s="885"/>
      <c r="R963" s="885"/>
      <c r="S963" s="885"/>
      <c r="T963" s="885"/>
      <c r="U963" s="885"/>
      <c r="V963" s="885"/>
      <c r="W963" s="885"/>
      <c r="X963" s="885"/>
      <c r="Y963" s="885"/>
      <c r="Z963" s="885"/>
      <c r="AA963" s="885"/>
      <c r="AB963" s="885"/>
      <c r="AC963" s="885"/>
      <c r="AD963" s="885"/>
      <c r="AE963" s="885"/>
      <c r="AF963" s="885"/>
      <c r="AG963" s="885"/>
      <c r="AH963" s="885"/>
      <c r="AI963" s="885"/>
      <c r="AJ963" s="885"/>
      <c r="AK963" s="885"/>
      <c r="AL963" s="885"/>
      <c r="AM963" s="885"/>
      <c r="AN963" s="885"/>
      <c r="AO963" s="885"/>
      <c r="AP963" s="885"/>
      <c r="AQ963" s="885"/>
      <c r="AR963" s="885"/>
      <c r="AS963" s="885"/>
      <c r="AT963" s="885"/>
      <c r="AU963" s="885"/>
      <c r="AV963" s="885"/>
      <c r="AW963" s="885"/>
      <c r="AX963" s="885"/>
      <c r="AY963" s="885"/>
      <c r="AZ963" s="885"/>
      <c r="BA963" s="885"/>
      <c r="BB963" s="885"/>
      <c r="BC963" s="885"/>
      <c r="BD963" s="885"/>
      <c r="BE963" s="885"/>
      <c r="BF963" s="885"/>
      <c r="BG963" s="885"/>
      <c r="BH963" s="885"/>
      <c r="BI963" s="885"/>
      <c r="BJ963" s="885"/>
      <c r="BK963" s="885"/>
      <c r="BL963" s="885"/>
      <c r="BM963" s="885"/>
      <c r="BN963" s="885"/>
      <c r="BO963" s="885"/>
      <c r="BP963" s="885"/>
      <c r="BQ963" s="885"/>
      <c r="BR963" s="885"/>
      <c r="BS963" s="885"/>
      <c r="BT963" s="885"/>
      <c r="BU963" s="885"/>
      <c r="BV963" s="885"/>
      <c r="BW963" s="885"/>
      <c r="BX963" s="885"/>
      <c r="BY963" s="885"/>
      <c r="BZ963" s="885"/>
      <c r="CA963" s="885"/>
      <c r="CB963" s="885"/>
      <c r="CC963" s="885"/>
      <c r="CD963" s="885"/>
      <c r="CE963" s="885"/>
      <c r="CF963" s="885"/>
      <c r="CG963" s="885"/>
      <c r="CH963" s="885"/>
      <c r="CI963" s="885"/>
      <c r="CJ963" s="885"/>
      <c r="CK963" s="885"/>
      <c r="CL963" s="885"/>
      <c r="CM963" s="885"/>
      <c r="CN963" s="885"/>
      <c r="CO963" s="885"/>
      <c r="CP963" s="885"/>
      <c r="CQ963" s="885"/>
      <c r="CR963" s="885"/>
      <c r="CS963" s="885"/>
      <c r="CT963" s="885"/>
      <c r="CU963" s="885"/>
      <c r="CV963" s="885"/>
      <c r="CW963" s="885"/>
      <c r="CX963" s="885"/>
      <c r="CY963" s="885"/>
      <c r="CZ963" s="885"/>
      <c r="DA963" s="885"/>
      <c r="DB963" s="885"/>
      <c r="DC963" s="885"/>
      <c r="DD963" s="885"/>
      <c r="DE963" s="885"/>
      <c r="DF963" s="885"/>
      <c r="DG963" s="885"/>
      <c r="DH963" s="885"/>
      <c r="DI963" s="885"/>
      <c r="DJ963" s="885"/>
      <c r="DK963" s="885"/>
      <c r="DL963" s="885"/>
      <c r="DM963" s="885"/>
      <c r="DN963" s="885"/>
      <c r="DO963" s="885"/>
      <c r="DP963" s="885"/>
      <c r="DQ963" s="885"/>
      <c r="DR963" s="885"/>
      <c r="DS963" s="885"/>
      <c r="DT963" s="885"/>
      <c r="DU963" s="885"/>
      <c r="DV963" s="885"/>
      <c r="DW963" s="885"/>
      <c r="DX963" s="885"/>
      <c r="DY963" s="885"/>
      <c r="DZ963" s="885"/>
      <c r="EA963" s="885"/>
      <c r="EB963" s="885"/>
      <c r="EC963" s="885"/>
      <c r="ED963" s="885"/>
      <c r="EE963" s="885"/>
      <c r="EF963" s="885"/>
      <c r="EG963" s="885"/>
      <c r="EH963" s="885"/>
      <c r="EI963" s="885"/>
      <c r="EJ963" s="885"/>
      <c r="EK963" s="885"/>
      <c r="EL963" s="885"/>
      <c r="EM963" s="885"/>
      <c r="EN963" s="885"/>
      <c r="EO963" s="885"/>
      <c r="EP963" s="885"/>
      <c r="EQ963" s="885"/>
      <c r="ER963" s="885"/>
      <c r="ES963" s="885"/>
      <c r="ET963" s="885"/>
      <c r="EU963" s="885"/>
      <c r="EV963" s="885"/>
      <c r="EW963" s="885"/>
      <c r="EX963" s="885"/>
      <c r="EY963" s="885"/>
      <c r="EZ963" s="885"/>
      <c r="FA963" s="885"/>
      <c r="FB963" s="885"/>
      <c r="FC963" s="885"/>
      <c r="FD963" s="885"/>
      <c r="FE963" s="885"/>
      <c r="FF963" s="885"/>
      <c r="FG963" s="885"/>
      <c r="FH963" s="885"/>
      <c r="FI963" s="885"/>
      <c r="FJ963" s="885"/>
      <c r="FK963" s="885"/>
      <c r="FL963" s="885"/>
      <c r="FM963" s="885"/>
      <c r="FN963" s="885"/>
      <c r="FO963" s="885"/>
      <c r="FP963" s="885"/>
      <c r="FQ963" s="885"/>
      <c r="FR963" s="885"/>
      <c r="FS963" s="885"/>
      <c r="FT963" s="885"/>
      <c r="FU963" s="885"/>
      <c r="FV963" s="885"/>
      <c r="FW963" s="885"/>
      <c r="FX963" s="885"/>
      <c r="FY963" s="885"/>
      <c r="FZ963" s="885"/>
      <c r="GA963" s="885"/>
      <c r="GB963" s="885"/>
      <c r="GC963" s="885"/>
      <c r="GD963" s="885"/>
      <c r="GE963" s="885"/>
      <c r="GF963" s="885"/>
      <c r="GG963" s="885"/>
      <c r="GH963" s="885"/>
      <c r="GI963" s="885"/>
      <c r="GJ963" s="885"/>
      <c r="GK963" s="885"/>
      <c r="GL963" s="885"/>
      <c r="GM963" s="885"/>
      <c r="GN963" s="885"/>
      <c r="GO963" s="885"/>
      <c r="GP963" s="885"/>
      <c r="GQ963" s="885"/>
      <c r="GR963" s="885"/>
      <c r="GS963" s="885"/>
      <c r="GT963" s="885"/>
      <c r="GU963" s="885"/>
      <c r="GV963" s="885"/>
      <c r="GW963" s="885"/>
      <c r="GX963" s="885"/>
      <c r="GY963" s="885"/>
      <c r="GZ963" s="885"/>
      <c r="HA963" s="885"/>
      <c r="HB963" s="885"/>
      <c r="HC963" s="885"/>
      <c r="HD963" s="885"/>
      <c r="HE963" s="885"/>
      <c r="HF963" s="885"/>
      <c r="HG963" s="885"/>
      <c r="HH963" s="885"/>
      <c r="HI963" s="885"/>
      <c r="HJ963" s="885"/>
      <c r="HK963" s="885"/>
      <c r="HL963" s="885"/>
      <c r="HM963" s="885"/>
      <c r="HN963" s="885"/>
      <c r="HO963" s="885"/>
      <c r="HP963" s="885"/>
      <c r="HQ963" s="885"/>
      <c r="HR963" s="885"/>
      <c r="HS963" s="885"/>
      <c r="HT963" s="885"/>
      <c r="HU963" s="885"/>
      <c r="HV963" s="885"/>
      <c r="HW963" s="885"/>
      <c r="HX963" s="885"/>
      <c r="HY963" s="885"/>
      <c r="HZ963" s="885"/>
      <c r="IA963" s="885"/>
      <c r="IB963" s="885"/>
      <c r="IC963" s="885"/>
      <c r="ID963" s="885"/>
      <c r="IE963" s="885"/>
      <c r="IF963" s="885"/>
      <c r="IG963" s="885"/>
      <c r="IH963" s="885"/>
      <c r="II963" s="885"/>
      <c r="IJ963" s="885"/>
      <c r="IK963" s="885"/>
      <c r="IL963" s="885"/>
      <c r="IM963" s="885"/>
      <c r="IN963" s="885"/>
      <c r="IO963" s="885"/>
      <c r="IP963" s="885"/>
      <c r="IQ963" s="885"/>
      <c r="IR963" s="885"/>
      <c r="IS963" s="885"/>
      <c r="IT963" s="885"/>
      <c r="IU963" s="885"/>
      <c r="IV963" s="885"/>
      <c r="IW963" s="885"/>
      <c r="IX963" s="885"/>
    </row>
    <row r="964" spans="1:258" x14ac:dyDescent="0.25">
      <c r="A964" s="125">
        <f t="shared" si="118"/>
        <v>924</v>
      </c>
      <c r="B964" s="885"/>
      <c r="C964" s="232" t="s">
        <v>10534</v>
      </c>
      <c r="D964" s="915"/>
      <c r="E964" s="915"/>
      <c r="F964" s="129"/>
      <c r="I964" s="885"/>
      <c r="J964" s="885"/>
      <c r="K964" s="885"/>
      <c r="L964" s="885"/>
      <c r="M964" s="885"/>
      <c r="N964" s="885"/>
      <c r="O964" s="885"/>
      <c r="P964" s="885"/>
      <c r="Q964" s="885"/>
      <c r="R964" s="885"/>
      <c r="S964" s="885"/>
      <c r="T964" s="885"/>
      <c r="U964" s="885"/>
      <c r="V964" s="885"/>
      <c r="W964" s="885"/>
      <c r="X964" s="885"/>
      <c r="Y964" s="885"/>
      <c r="Z964" s="885"/>
      <c r="AA964" s="885"/>
      <c r="AB964" s="885"/>
      <c r="AC964" s="885"/>
      <c r="AD964" s="885"/>
      <c r="AE964" s="885"/>
      <c r="AF964" s="885"/>
      <c r="AG964" s="885"/>
      <c r="AH964" s="885"/>
      <c r="AI964" s="885"/>
      <c r="AJ964" s="885"/>
      <c r="AK964" s="885"/>
      <c r="AL964" s="885"/>
      <c r="AM964" s="885"/>
      <c r="AN964" s="885"/>
      <c r="AO964" s="885"/>
      <c r="AP964" s="885"/>
      <c r="AQ964" s="885"/>
      <c r="AR964" s="885"/>
      <c r="AS964" s="885"/>
      <c r="AT964" s="885"/>
      <c r="AU964" s="885"/>
      <c r="AV964" s="885"/>
      <c r="AW964" s="885"/>
      <c r="AX964" s="885"/>
      <c r="AY964" s="885"/>
      <c r="AZ964" s="885"/>
      <c r="BA964" s="885"/>
      <c r="BB964" s="885"/>
      <c r="BC964" s="885"/>
      <c r="BD964" s="885"/>
      <c r="BE964" s="885"/>
      <c r="BF964" s="885"/>
      <c r="BG964" s="885"/>
      <c r="BH964" s="885"/>
      <c r="BI964" s="885"/>
      <c r="BJ964" s="885"/>
      <c r="BK964" s="885"/>
      <c r="BL964" s="885"/>
      <c r="BM964" s="885"/>
      <c r="BN964" s="885"/>
      <c r="BO964" s="885"/>
      <c r="BP964" s="885"/>
      <c r="BQ964" s="885"/>
      <c r="BR964" s="885"/>
      <c r="BS964" s="885"/>
      <c r="BT964" s="885"/>
      <c r="BU964" s="885"/>
      <c r="BV964" s="885"/>
      <c r="BW964" s="885"/>
      <c r="BX964" s="885"/>
      <c r="BY964" s="885"/>
      <c r="BZ964" s="885"/>
      <c r="CA964" s="885"/>
      <c r="CB964" s="885"/>
      <c r="CC964" s="885"/>
      <c r="CD964" s="885"/>
      <c r="CE964" s="885"/>
      <c r="CF964" s="885"/>
      <c r="CG964" s="885"/>
      <c r="CH964" s="885"/>
      <c r="CI964" s="885"/>
      <c r="CJ964" s="885"/>
      <c r="CK964" s="885"/>
      <c r="CL964" s="885"/>
      <c r="CM964" s="885"/>
      <c r="CN964" s="885"/>
      <c r="CO964" s="885"/>
      <c r="CP964" s="885"/>
      <c r="CQ964" s="885"/>
      <c r="CR964" s="885"/>
      <c r="CS964" s="885"/>
      <c r="CT964" s="885"/>
      <c r="CU964" s="885"/>
      <c r="CV964" s="885"/>
      <c r="CW964" s="885"/>
      <c r="CX964" s="885"/>
      <c r="CY964" s="885"/>
      <c r="CZ964" s="885"/>
      <c r="DA964" s="885"/>
      <c r="DB964" s="885"/>
      <c r="DC964" s="885"/>
      <c r="DD964" s="885"/>
      <c r="DE964" s="885"/>
      <c r="DF964" s="885"/>
      <c r="DG964" s="885"/>
      <c r="DH964" s="885"/>
      <c r="DI964" s="885"/>
      <c r="DJ964" s="885"/>
      <c r="DK964" s="885"/>
      <c r="DL964" s="885"/>
      <c r="DM964" s="885"/>
      <c r="DN964" s="885"/>
      <c r="DO964" s="885"/>
      <c r="DP964" s="885"/>
      <c r="DQ964" s="885"/>
      <c r="DR964" s="885"/>
      <c r="DS964" s="885"/>
      <c r="DT964" s="885"/>
      <c r="DU964" s="885"/>
      <c r="DV964" s="885"/>
      <c r="DW964" s="885"/>
      <c r="DX964" s="885"/>
      <c r="DY964" s="885"/>
      <c r="DZ964" s="885"/>
      <c r="EA964" s="885"/>
      <c r="EB964" s="885"/>
      <c r="EC964" s="885"/>
      <c r="ED964" s="885"/>
      <c r="EE964" s="885"/>
      <c r="EF964" s="885"/>
      <c r="EG964" s="885"/>
      <c r="EH964" s="885"/>
      <c r="EI964" s="885"/>
      <c r="EJ964" s="885"/>
      <c r="EK964" s="885"/>
      <c r="EL964" s="885"/>
      <c r="EM964" s="885"/>
      <c r="EN964" s="885"/>
      <c r="EO964" s="885"/>
      <c r="EP964" s="885"/>
      <c r="EQ964" s="885"/>
      <c r="ER964" s="885"/>
      <c r="ES964" s="885"/>
      <c r="ET964" s="885"/>
      <c r="EU964" s="885"/>
      <c r="EV964" s="885"/>
      <c r="EW964" s="885"/>
      <c r="EX964" s="885"/>
      <c r="EY964" s="885"/>
      <c r="EZ964" s="885"/>
      <c r="FA964" s="885"/>
      <c r="FB964" s="885"/>
      <c r="FC964" s="885"/>
      <c r="FD964" s="885"/>
      <c r="FE964" s="885"/>
      <c r="FF964" s="885"/>
      <c r="FG964" s="885"/>
      <c r="FH964" s="885"/>
      <c r="FI964" s="885"/>
      <c r="FJ964" s="885"/>
      <c r="FK964" s="885"/>
      <c r="FL964" s="885"/>
      <c r="FM964" s="885"/>
      <c r="FN964" s="885"/>
      <c r="FO964" s="885"/>
      <c r="FP964" s="885"/>
      <c r="FQ964" s="885"/>
      <c r="FR964" s="885"/>
      <c r="FS964" s="885"/>
      <c r="FT964" s="885"/>
      <c r="FU964" s="885"/>
      <c r="FV964" s="885"/>
      <c r="FW964" s="885"/>
      <c r="FX964" s="885"/>
      <c r="FY964" s="885"/>
      <c r="FZ964" s="885"/>
      <c r="GA964" s="885"/>
      <c r="GB964" s="885"/>
      <c r="GC964" s="885"/>
      <c r="GD964" s="885"/>
      <c r="GE964" s="885"/>
      <c r="GF964" s="885"/>
      <c r="GG964" s="885"/>
      <c r="GH964" s="885"/>
      <c r="GI964" s="885"/>
      <c r="GJ964" s="885"/>
      <c r="GK964" s="885"/>
      <c r="GL964" s="885"/>
      <c r="GM964" s="885"/>
      <c r="GN964" s="885"/>
      <c r="GO964" s="885"/>
      <c r="GP964" s="885"/>
      <c r="GQ964" s="885"/>
      <c r="GR964" s="885"/>
      <c r="GS964" s="885"/>
      <c r="GT964" s="885"/>
      <c r="GU964" s="885"/>
      <c r="GV964" s="885"/>
      <c r="GW964" s="885"/>
      <c r="GX964" s="885"/>
      <c r="GY964" s="885"/>
      <c r="GZ964" s="885"/>
      <c r="HA964" s="885"/>
      <c r="HB964" s="885"/>
      <c r="HC964" s="885"/>
      <c r="HD964" s="885"/>
      <c r="HE964" s="885"/>
      <c r="HF964" s="885"/>
      <c r="HG964" s="885"/>
      <c r="HH964" s="885"/>
      <c r="HI964" s="885"/>
      <c r="HJ964" s="885"/>
      <c r="HK964" s="885"/>
      <c r="HL964" s="885"/>
      <c r="HM964" s="885"/>
      <c r="HN964" s="885"/>
      <c r="HO964" s="885"/>
      <c r="HP964" s="885"/>
      <c r="HQ964" s="885"/>
      <c r="HR964" s="885"/>
      <c r="HS964" s="885"/>
      <c r="HT964" s="885"/>
      <c r="HU964" s="885"/>
      <c r="HV964" s="885"/>
      <c r="HW964" s="885"/>
      <c r="HX964" s="885"/>
      <c r="HY964" s="885"/>
      <c r="HZ964" s="885"/>
      <c r="IA964" s="885"/>
      <c r="IB964" s="885"/>
      <c r="IC964" s="885"/>
      <c r="ID964" s="885"/>
      <c r="IE964" s="885"/>
      <c r="IF964" s="885"/>
      <c r="IG964" s="885"/>
      <c r="IH964" s="885"/>
      <c r="II964" s="885"/>
      <c r="IJ964" s="885"/>
      <c r="IK964" s="885"/>
      <c r="IL964" s="885"/>
      <c r="IM964" s="885"/>
      <c r="IN964" s="885"/>
      <c r="IO964" s="885"/>
      <c r="IP964" s="885"/>
      <c r="IQ964" s="885"/>
      <c r="IR964" s="885"/>
      <c r="IS964" s="885"/>
      <c r="IT964" s="885"/>
      <c r="IU964" s="885"/>
      <c r="IV964" s="885"/>
      <c r="IW964" s="885"/>
      <c r="IX964" s="885"/>
    </row>
    <row r="965" spans="1:258" x14ac:dyDescent="0.25">
      <c r="A965" s="125">
        <f t="shared" si="118"/>
        <v>925</v>
      </c>
      <c r="B965" s="954"/>
      <c r="C965" s="842" t="s">
        <v>11532</v>
      </c>
      <c r="D965" s="924">
        <v>0</v>
      </c>
      <c r="E965" s="924">
        <f t="shared" si="117"/>
        <v>0</v>
      </c>
      <c r="F965" s="129"/>
      <c r="G965" s="122" t="s">
        <v>1963</v>
      </c>
      <c r="I965" s="954"/>
      <c r="J965" s="954"/>
      <c r="K965" s="954"/>
      <c r="L965" s="954"/>
      <c r="M965" s="954"/>
      <c r="N965" s="954"/>
      <c r="O965" s="954"/>
      <c r="P965" s="954"/>
      <c r="Q965" s="954"/>
      <c r="R965" s="954"/>
      <c r="S965" s="954"/>
      <c r="T965" s="954"/>
      <c r="U965" s="954"/>
      <c r="V965" s="954"/>
      <c r="W965" s="954"/>
      <c r="X965" s="954"/>
      <c r="Y965" s="954"/>
      <c r="Z965" s="954"/>
      <c r="AA965" s="954"/>
      <c r="AB965" s="954"/>
      <c r="AC965" s="954"/>
      <c r="AD965" s="954"/>
      <c r="AE965" s="954"/>
      <c r="AF965" s="954"/>
      <c r="AG965" s="954"/>
      <c r="AH965" s="954"/>
      <c r="AI965" s="954"/>
      <c r="AJ965" s="954"/>
      <c r="AK965" s="954"/>
      <c r="AL965" s="954"/>
      <c r="AM965" s="954"/>
      <c r="AN965" s="954"/>
      <c r="AO965" s="954"/>
      <c r="AP965" s="954"/>
      <c r="AQ965" s="954"/>
      <c r="AR965" s="954"/>
      <c r="AS965" s="954"/>
      <c r="AT965" s="954"/>
      <c r="AU965" s="954"/>
      <c r="AV965" s="954"/>
      <c r="AW965" s="954"/>
      <c r="AX965" s="954"/>
      <c r="AY965" s="954"/>
      <c r="AZ965" s="954"/>
      <c r="BA965" s="954"/>
      <c r="BB965" s="954"/>
      <c r="BC965" s="954"/>
      <c r="BD965" s="954"/>
      <c r="BE965" s="954"/>
      <c r="BF965" s="954"/>
      <c r="BG965" s="954"/>
      <c r="BH965" s="954"/>
      <c r="BI965" s="954"/>
      <c r="BJ965" s="954"/>
      <c r="BK965" s="954"/>
      <c r="BL965" s="954"/>
      <c r="BM965" s="954"/>
      <c r="BN965" s="954"/>
      <c r="BO965" s="954"/>
      <c r="BP965" s="954"/>
      <c r="BQ965" s="954"/>
      <c r="BR965" s="954"/>
      <c r="BS965" s="954"/>
      <c r="BT965" s="954"/>
      <c r="BU965" s="954"/>
      <c r="BV965" s="954"/>
      <c r="BW965" s="954"/>
      <c r="BX965" s="954"/>
      <c r="BY965" s="954"/>
      <c r="BZ965" s="954"/>
      <c r="CA965" s="954"/>
      <c r="CB965" s="954"/>
      <c r="CC965" s="954"/>
      <c r="CD965" s="954"/>
      <c r="CE965" s="954"/>
      <c r="CF965" s="954"/>
      <c r="CG965" s="954"/>
      <c r="CH965" s="954"/>
      <c r="CI965" s="954"/>
      <c r="CJ965" s="954"/>
      <c r="CK965" s="954"/>
      <c r="CL965" s="954"/>
      <c r="CM965" s="954"/>
      <c r="CN965" s="954"/>
      <c r="CO965" s="954"/>
      <c r="CP965" s="954"/>
      <c r="CQ965" s="954"/>
      <c r="CR965" s="954"/>
      <c r="CS965" s="954"/>
      <c r="CT965" s="954"/>
      <c r="CU965" s="954"/>
      <c r="CV965" s="954"/>
      <c r="CW965" s="954"/>
      <c r="CX965" s="954"/>
      <c r="CY965" s="954"/>
      <c r="CZ965" s="954"/>
      <c r="DA965" s="954"/>
      <c r="DB965" s="954"/>
      <c r="DC965" s="954"/>
      <c r="DD965" s="954"/>
      <c r="DE965" s="954"/>
      <c r="DF965" s="954"/>
      <c r="DG965" s="954"/>
      <c r="DH965" s="954"/>
      <c r="DI965" s="954"/>
      <c r="DJ965" s="954"/>
      <c r="DK965" s="954"/>
      <c r="DL965" s="954"/>
      <c r="DM965" s="954"/>
      <c r="DN965" s="954"/>
      <c r="DO965" s="954"/>
      <c r="DP965" s="954"/>
      <c r="DQ965" s="954"/>
      <c r="DR965" s="954"/>
      <c r="DS965" s="954"/>
      <c r="DT965" s="954"/>
      <c r="DU965" s="954"/>
      <c r="DV965" s="954"/>
      <c r="DW965" s="954"/>
      <c r="DX965" s="954"/>
      <c r="DY965" s="954"/>
      <c r="DZ965" s="954"/>
      <c r="EA965" s="954"/>
      <c r="EB965" s="954"/>
      <c r="EC965" s="954"/>
      <c r="ED965" s="954"/>
      <c r="EE965" s="954"/>
      <c r="EF965" s="954"/>
      <c r="EG965" s="954"/>
      <c r="EH965" s="954"/>
      <c r="EI965" s="954"/>
      <c r="EJ965" s="954"/>
      <c r="EK965" s="954"/>
      <c r="EL965" s="954"/>
      <c r="EM965" s="954"/>
      <c r="EN965" s="954"/>
      <c r="EO965" s="954"/>
      <c r="EP965" s="954"/>
      <c r="EQ965" s="954"/>
      <c r="ER965" s="954"/>
      <c r="ES965" s="954"/>
      <c r="ET965" s="954"/>
      <c r="EU965" s="954"/>
      <c r="EV965" s="954"/>
      <c r="EW965" s="954"/>
      <c r="EX965" s="954"/>
      <c r="EY965" s="954"/>
      <c r="EZ965" s="954"/>
      <c r="FA965" s="954"/>
      <c r="FB965" s="954"/>
      <c r="FC965" s="954"/>
      <c r="FD965" s="954"/>
      <c r="FE965" s="954"/>
      <c r="FF965" s="954"/>
      <c r="FG965" s="954"/>
      <c r="FH965" s="954"/>
      <c r="FI965" s="954"/>
      <c r="FJ965" s="954"/>
      <c r="FK965" s="954"/>
      <c r="FL965" s="954"/>
      <c r="FM965" s="954"/>
      <c r="FN965" s="954"/>
      <c r="FO965" s="954"/>
      <c r="FP965" s="954"/>
      <c r="FQ965" s="954"/>
      <c r="FR965" s="954"/>
      <c r="FS965" s="954"/>
      <c r="FT965" s="954"/>
      <c r="FU965" s="954"/>
      <c r="FV965" s="954"/>
      <c r="FW965" s="954"/>
      <c r="FX965" s="954"/>
      <c r="FY965" s="954"/>
      <c r="FZ965" s="954"/>
      <c r="GA965" s="954"/>
      <c r="GB965" s="954"/>
      <c r="GC965" s="954"/>
      <c r="GD965" s="954"/>
      <c r="GE965" s="954"/>
      <c r="GF965" s="954"/>
      <c r="GG965" s="954"/>
      <c r="GH965" s="954"/>
      <c r="GI965" s="954"/>
      <c r="GJ965" s="954"/>
      <c r="GK965" s="954"/>
      <c r="GL965" s="954"/>
      <c r="GM965" s="954"/>
      <c r="GN965" s="954"/>
      <c r="GO965" s="954"/>
      <c r="GP965" s="954"/>
      <c r="GQ965" s="954"/>
      <c r="GR965" s="954"/>
      <c r="GS965" s="954"/>
      <c r="GT965" s="954"/>
      <c r="GU965" s="954"/>
      <c r="GV965" s="954"/>
      <c r="GW965" s="954"/>
      <c r="GX965" s="954"/>
      <c r="GY965" s="954"/>
      <c r="GZ965" s="954"/>
      <c r="HA965" s="954"/>
      <c r="HB965" s="954"/>
      <c r="HC965" s="954"/>
      <c r="HD965" s="954"/>
      <c r="HE965" s="954"/>
      <c r="HF965" s="954"/>
      <c r="HG965" s="954"/>
      <c r="HH965" s="954"/>
      <c r="HI965" s="954"/>
      <c r="HJ965" s="954"/>
      <c r="HK965" s="954"/>
      <c r="HL965" s="954"/>
      <c r="HM965" s="954"/>
      <c r="HN965" s="954"/>
      <c r="HO965" s="954"/>
      <c r="HP965" s="954"/>
      <c r="HQ965" s="954"/>
      <c r="HR965" s="954"/>
      <c r="HS965" s="954"/>
      <c r="HT965" s="954"/>
      <c r="HU965" s="954"/>
      <c r="HV965" s="954"/>
      <c r="HW965" s="954"/>
      <c r="HX965" s="954"/>
      <c r="HY965" s="954"/>
      <c r="HZ965" s="954"/>
      <c r="IA965" s="954"/>
      <c r="IB965" s="954"/>
      <c r="IC965" s="954"/>
      <c r="ID965" s="954"/>
      <c r="IE965" s="954"/>
      <c r="IF965" s="954"/>
      <c r="IG965" s="954"/>
      <c r="IH965" s="954"/>
      <c r="II965" s="954"/>
      <c r="IJ965" s="954"/>
      <c r="IK965" s="954"/>
      <c r="IL965" s="954"/>
      <c r="IM965" s="954"/>
      <c r="IN965" s="954"/>
      <c r="IO965" s="954"/>
      <c r="IP965" s="954"/>
      <c r="IQ965" s="954"/>
      <c r="IR965" s="954"/>
      <c r="IS965" s="954"/>
      <c r="IT965" s="954"/>
      <c r="IU965" s="954"/>
      <c r="IV965" s="954"/>
      <c r="IW965" s="954"/>
      <c r="IX965" s="954"/>
    </row>
    <row r="966" spans="1:258" ht="31.5" x14ac:dyDescent="0.25">
      <c r="A966" s="125">
        <f t="shared" si="118"/>
        <v>926</v>
      </c>
      <c r="B966" s="885"/>
      <c r="C966" s="842" t="s">
        <v>10535</v>
      </c>
      <c r="D966" s="924">
        <v>0</v>
      </c>
      <c r="E966" s="924">
        <f t="shared" si="117"/>
        <v>0</v>
      </c>
      <c r="F966" s="136">
        <v>10</v>
      </c>
      <c r="G966" s="122" t="s">
        <v>1963</v>
      </c>
      <c r="I966" s="885"/>
      <c r="J966" s="885"/>
      <c r="K966" s="885"/>
      <c r="L966" s="885"/>
      <c r="M966" s="885"/>
      <c r="N966" s="885"/>
      <c r="O966" s="885"/>
      <c r="P966" s="885"/>
      <c r="Q966" s="885"/>
      <c r="R966" s="885"/>
      <c r="S966" s="885"/>
      <c r="T966" s="885"/>
      <c r="U966" s="885"/>
      <c r="V966" s="885"/>
      <c r="W966" s="885"/>
      <c r="X966" s="885"/>
      <c r="Y966" s="885"/>
      <c r="Z966" s="885"/>
      <c r="AA966" s="885"/>
      <c r="AB966" s="885"/>
      <c r="AC966" s="885"/>
      <c r="AD966" s="885"/>
      <c r="AE966" s="885"/>
      <c r="AF966" s="885"/>
      <c r="AG966" s="885"/>
      <c r="AH966" s="885"/>
      <c r="AI966" s="885"/>
      <c r="AJ966" s="885"/>
      <c r="AK966" s="885"/>
      <c r="AL966" s="885"/>
      <c r="AM966" s="885"/>
      <c r="AN966" s="885"/>
      <c r="AO966" s="885"/>
      <c r="AP966" s="885"/>
      <c r="AQ966" s="885"/>
      <c r="AR966" s="885"/>
      <c r="AS966" s="885"/>
      <c r="AT966" s="885"/>
      <c r="AU966" s="885"/>
      <c r="AV966" s="885"/>
      <c r="AW966" s="885"/>
      <c r="AX966" s="885"/>
      <c r="AY966" s="885"/>
      <c r="AZ966" s="885"/>
      <c r="BA966" s="885"/>
      <c r="BB966" s="885"/>
      <c r="BC966" s="885"/>
      <c r="BD966" s="885"/>
      <c r="BE966" s="885"/>
      <c r="BF966" s="885"/>
      <c r="BG966" s="885"/>
      <c r="BH966" s="885"/>
      <c r="BI966" s="885"/>
      <c r="BJ966" s="885"/>
      <c r="BK966" s="885"/>
      <c r="BL966" s="885"/>
      <c r="BM966" s="885"/>
      <c r="BN966" s="885"/>
      <c r="BO966" s="885"/>
      <c r="BP966" s="885"/>
      <c r="BQ966" s="885"/>
      <c r="BR966" s="885"/>
      <c r="BS966" s="885"/>
      <c r="BT966" s="885"/>
      <c r="BU966" s="885"/>
      <c r="BV966" s="885"/>
      <c r="BW966" s="885"/>
      <c r="BX966" s="885"/>
      <c r="BY966" s="885"/>
      <c r="BZ966" s="885"/>
      <c r="CA966" s="885"/>
      <c r="CB966" s="885"/>
      <c r="CC966" s="885"/>
      <c r="CD966" s="885"/>
      <c r="CE966" s="885"/>
      <c r="CF966" s="885"/>
      <c r="CG966" s="885"/>
      <c r="CH966" s="885"/>
      <c r="CI966" s="885"/>
      <c r="CJ966" s="885"/>
      <c r="CK966" s="885"/>
      <c r="CL966" s="885"/>
      <c r="CM966" s="885"/>
      <c r="CN966" s="885"/>
      <c r="CO966" s="885"/>
      <c r="CP966" s="885"/>
      <c r="CQ966" s="885"/>
      <c r="CR966" s="885"/>
      <c r="CS966" s="885"/>
      <c r="CT966" s="885"/>
      <c r="CU966" s="885"/>
      <c r="CV966" s="885"/>
      <c r="CW966" s="885"/>
      <c r="CX966" s="885"/>
      <c r="CY966" s="885"/>
      <c r="CZ966" s="885"/>
      <c r="DA966" s="885"/>
      <c r="DB966" s="885"/>
      <c r="DC966" s="885"/>
      <c r="DD966" s="885"/>
      <c r="DE966" s="885"/>
      <c r="DF966" s="885"/>
      <c r="DG966" s="885"/>
      <c r="DH966" s="885"/>
      <c r="DI966" s="885"/>
      <c r="DJ966" s="885"/>
      <c r="DK966" s="885"/>
      <c r="DL966" s="885"/>
      <c r="DM966" s="885"/>
      <c r="DN966" s="885"/>
      <c r="DO966" s="885"/>
      <c r="DP966" s="885"/>
      <c r="DQ966" s="885"/>
      <c r="DR966" s="885"/>
      <c r="DS966" s="885"/>
      <c r="DT966" s="885"/>
      <c r="DU966" s="885"/>
      <c r="DV966" s="885"/>
      <c r="DW966" s="885"/>
      <c r="DX966" s="885"/>
      <c r="DY966" s="885"/>
      <c r="DZ966" s="885"/>
      <c r="EA966" s="885"/>
      <c r="EB966" s="885"/>
      <c r="EC966" s="885"/>
      <c r="ED966" s="885"/>
      <c r="EE966" s="885"/>
      <c r="EF966" s="885"/>
      <c r="EG966" s="885"/>
      <c r="EH966" s="885"/>
      <c r="EI966" s="885"/>
      <c r="EJ966" s="885"/>
      <c r="EK966" s="885"/>
      <c r="EL966" s="885"/>
      <c r="EM966" s="885"/>
      <c r="EN966" s="885"/>
      <c r="EO966" s="885"/>
      <c r="EP966" s="885"/>
      <c r="EQ966" s="885"/>
      <c r="ER966" s="885"/>
      <c r="ES966" s="885"/>
      <c r="ET966" s="885"/>
      <c r="EU966" s="885"/>
      <c r="EV966" s="885"/>
      <c r="EW966" s="885"/>
      <c r="EX966" s="885"/>
      <c r="EY966" s="885"/>
      <c r="EZ966" s="885"/>
      <c r="FA966" s="885"/>
      <c r="FB966" s="885"/>
      <c r="FC966" s="885"/>
      <c r="FD966" s="885"/>
      <c r="FE966" s="885"/>
      <c r="FF966" s="885"/>
      <c r="FG966" s="885"/>
      <c r="FH966" s="885"/>
      <c r="FI966" s="885"/>
      <c r="FJ966" s="885"/>
      <c r="FK966" s="885"/>
      <c r="FL966" s="885"/>
      <c r="FM966" s="885"/>
      <c r="FN966" s="885"/>
      <c r="FO966" s="885"/>
      <c r="FP966" s="885"/>
      <c r="FQ966" s="885"/>
      <c r="FR966" s="885"/>
      <c r="FS966" s="885"/>
      <c r="FT966" s="885"/>
      <c r="FU966" s="885"/>
      <c r="FV966" s="885"/>
      <c r="FW966" s="885"/>
      <c r="FX966" s="885"/>
      <c r="FY966" s="885"/>
      <c r="FZ966" s="885"/>
      <c r="GA966" s="885"/>
      <c r="GB966" s="885"/>
      <c r="GC966" s="885"/>
      <c r="GD966" s="885"/>
      <c r="GE966" s="885"/>
      <c r="GF966" s="885"/>
      <c r="GG966" s="885"/>
      <c r="GH966" s="885"/>
      <c r="GI966" s="885"/>
      <c r="GJ966" s="885"/>
      <c r="GK966" s="885"/>
      <c r="GL966" s="885"/>
      <c r="GM966" s="885"/>
      <c r="GN966" s="885"/>
      <c r="GO966" s="885"/>
      <c r="GP966" s="885"/>
      <c r="GQ966" s="885"/>
      <c r="GR966" s="885"/>
      <c r="GS966" s="885"/>
      <c r="GT966" s="885"/>
      <c r="GU966" s="885"/>
      <c r="GV966" s="885"/>
      <c r="GW966" s="885"/>
      <c r="GX966" s="885"/>
      <c r="GY966" s="885"/>
      <c r="GZ966" s="885"/>
      <c r="HA966" s="885"/>
      <c r="HB966" s="885"/>
      <c r="HC966" s="885"/>
      <c r="HD966" s="885"/>
      <c r="HE966" s="885"/>
      <c r="HF966" s="885"/>
      <c r="HG966" s="885"/>
      <c r="HH966" s="885"/>
      <c r="HI966" s="885"/>
      <c r="HJ966" s="885"/>
      <c r="HK966" s="885"/>
      <c r="HL966" s="885"/>
      <c r="HM966" s="885"/>
      <c r="HN966" s="885"/>
      <c r="HO966" s="885"/>
      <c r="HP966" s="885"/>
      <c r="HQ966" s="885"/>
      <c r="HR966" s="885"/>
      <c r="HS966" s="885"/>
      <c r="HT966" s="885"/>
      <c r="HU966" s="885"/>
      <c r="HV966" s="885"/>
      <c r="HW966" s="885"/>
      <c r="HX966" s="885"/>
      <c r="HY966" s="885"/>
      <c r="HZ966" s="885"/>
      <c r="IA966" s="885"/>
      <c r="IB966" s="885"/>
      <c r="IC966" s="885"/>
      <c r="ID966" s="885"/>
      <c r="IE966" s="885"/>
      <c r="IF966" s="885"/>
      <c r="IG966" s="885"/>
      <c r="IH966" s="885"/>
      <c r="II966" s="885"/>
      <c r="IJ966" s="885"/>
      <c r="IK966" s="885"/>
      <c r="IL966" s="885"/>
      <c r="IM966" s="885"/>
      <c r="IN966" s="885"/>
      <c r="IO966" s="885"/>
      <c r="IP966" s="885"/>
      <c r="IQ966" s="885"/>
      <c r="IR966" s="885"/>
      <c r="IS966" s="885"/>
      <c r="IT966" s="885"/>
      <c r="IU966" s="885"/>
      <c r="IV966" s="885"/>
      <c r="IW966" s="885"/>
      <c r="IX966" s="885"/>
    </row>
    <row r="967" spans="1:258" ht="31.5" x14ac:dyDescent="0.25">
      <c r="A967" s="125">
        <f t="shared" si="118"/>
        <v>927</v>
      </c>
      <c r="B967" s="885"/>
      <c r="C967" s="842" t="s">
        <v>10536</v>
      </c>
      <c r="D967" s="924">
        <v>0</v>
      </c>
      <c r="E967" s="924">
        <f t="shared" si="117"/>
        <v>0</v>
      </c>
      <c r="F967" s="136">
        <v>10</v>
      </c>
      <c r="G967" s="122" t="s">
        <v>1963</v>
      </c>
      <c r="I967" s="885"/>
      <c r="J967" s="885"/>
      <c r="K967" s="885"/>
      <c r="L967" s="885"/>
      <c r="M967" s="885"/>
      <c r="N967" s="885"/>
      <c r="O967" s="885"/>
      <c r="P967" s="885"/>
      <c r="Q967" s="885"/>
      <c r="R967" s="885"/>
      <c r="S967" s="885"/>
      <c r="T967" s="885"/>
      <c r="U967" s="885"/>
      <c r="V967" s="885"/>
      <c r="W967" s="885"/>
      <c r="X967" s="885"/>
      <c r="Y967" s="885"/>
      <c r="Z967" s="885"/>
      <c r="AA967" s="885"/>
      <c r="AB967" s="885"/>
      <c r="AC967" s="885"/>
      <c r="AD967" s="885"/>
      <c r="AE967" s="885"/>
      <c r="AF967" s="885"/>
      <c r="AG967" s="885"/>
      <c r="AH967" s="885"/>
      <c r="AI967" s="885"/>
      <c r="AJ967" s="885"/>
      <c r="AK967" s="885"/>
      <c r="AL967" s="885"/>
      <c r="AM967" s="885"/>
      <c r="AN967" s="885"/>
      <c r="AO967" s="885"/>
      <c r="AP967" s="885"/>
      <c r="AQ967" s="885"/>
      <c r="AR967" s="885"/>
      <c r="AS967" s="885"/>
      <c r="AT967" s="885"/>
      <c r="AU967" s="885"/>
      <c r="AV967" s="885"/>
      <c r="AW967" s="885"/>
      <c r="AX967" s="885"/>
      <c r="AY967" s="885"/>
      <c r="AZ967" s="885"/>
      <c r="BA967" s="885"/>
      <c r="BB967" s="885"/>
      <c r="BC967" s="885"/>
      <c r="BD967" s="885"/>
      <c r="BE967" s="885"/>
      <c r="BF967" s="885"/>
      <c r="BG967" s="885"/>
      <c r="BH967" s="885"/>
      <c r="BI967" s="885"/>
      <c r="BJ967" s="885"/>
      <c r="BK967" s="885"/>
      <c r="BL967" s="885"/>
      <c r="BM967" s="885"/>
      <c r="BN967" s="885"/>
      <c r="BO967" s="885"/>
      <c r="BP967" s="885"/>
      <c r="BQ967" s="885"/>
      <c r="BR967" s="885"/>
      <c r="BS967" s="885"/>
      <c r="BT967" s="885"/>
      <c r="BU967" s="885"/>
      <c r="BV967" s="885"/>
      <c r="BW967" s="885"/>
      <c r="BX967" s="885"/>
      <c r="BY967" s="885"/>
      <c r="BZ967" s="885"/>
      <c r="CA967" s="885"/>
      <c r="CB967" s="885"/>
      <c r="CC967" s="885"/>
      <c r="CD967" s="885"/>
      <c r="CE967" s="885"/>
      <c r="CF967" s="885"/>
      <c r="CG967" s="885"/>
      <c r="CH967" s="885"/>
      <c r="CI967" s="885"/>
      <c r="CJ967" s="885"/>
      <c r="CK967" s="885"/>
      <c r="CL967" s="885"/>
      <c r="CM967" s="885"/>
      <c r="CN967" s="885"/>
      <c r="CO967" s="885"/>
      <c r="CP967" s="885"/>
      <c r="CQ967" s="885"/>
      <c r="CR967" s="885"/>
      <c r="CS967" s="885"/>
      <c r="CT967" s="885"/>
      <c r="CU967" s="885"/>
      <c r="CV967" s="885"/>
      <c r="CW967" s="885"/>
      <c r="CX967" s="885"/>
      <c r="CY967" s="885"/>
      <c r="CZ967" s="885"/>
      <c r="DA967" s="885"/>
      <c r="DB967" s="885"/>
      <c r="DC967" s="885"/>
      <c r="DD967" s="885"/>
      <c r="DE967" s="885"/>
      <c r="DF967" s="885"/>
      <c r="DG967" s="885"/>
      <c r="DH967" s="885"/>
      <c r="DI967" s="885"/>
      <c r="DJ967" s="885"/>
      <c r="DK967" s="885"/>
      <c r="DL967" s="885"/>
      <c r="DM967" s="885"/>
      <c r="DN967" s="885"/>
      <c r="DO967" s="885"/>
      <c r="DP967" s="885"/>
      <c r="DQ967" s="885"/>
      <c r="DR967" s="885"/>
      <c r="DS967" s="885"/>
      <c r="DT967" s="885"/>
      <c r="DU967" s="885"/>
      <c r="DV967" s="885"/>
      <c r="DW967" s="885"/>
      <c r="DX967" s="885"/>
      <c r="DY967" s="885"/>
      <c r="DZ967" s="885"/>
      <c r="EA967" s="885"/>
      <c r="EB967" s="885"/>
      <c r="EC967" s="885"/>
      <c r="ED967" s="885"/>
      <c r="EE967" s="885"/>
      <c r="EF967" s="885"/>
      <c r="EG967" s="885"/>
      <c r="EH967" s="885"/>
      <c r="EI967" s="885"/>
      <c r="EJ967" s="885"/>
      <c r="EK967" s="885"/>
      <c r="EL967" s="885"/>
      <c r="EM967" s="885"/>
      <c r="EN967" s="885"/>
      <c r="EO967" s="885"/>
      <c r="EP967" s="885"/>
      <c r="EQ967" s="885"/>
      <c r="ER967" s="885"/>
      <c r="ES967" s="885"/>
      <c r="ET967" s="885"/>
      <c r="EU967" s="885"/>
      <c r="EV967" s="885"/>
      <c r="EW967" s="885"/>
      <c r="EX967" s="885"/>
      <c r="EY967" s="885"/>
      <c r="EZ967" s="885"/>
      <c r="FA967" s="885"/>
      <c r="FB967" s="885"/>
      <c r="FC967" s="885"/>
      <c r="FD967" s="885"/>
      <c r="FE967" s="885"/>
      <c r="FF967" s="885"/>
      <c r="FG967" s="885"/>
      <c r="FH967" s="885"/>
      <c r="FI967" s="885"/>
      <c r="FJ967" s="885"/>
      <c r="FK967" s="885"/>
      <c r="FL967" s="885"/>
      <c r="FM967" s="885"/>
      <c r="FN967" s="885"/>
      <c r="FO967" s="885"/>
      <c r="FP967" s="885"/>
      <c r="FQ967" s="885"/>
      <c r="FR967" s="885"/>
      <c r="FS967" s="885"/>
      <c r="FT967" s="885"/>
      <c r="FU967" s="885"/>
      <c r="FV967" s="885"/>
      <c r="FW967" s="885"/>
      <c r="FX967" s="885"/>
      <c r="FY967" s="885"/>
      <c r="FZ967" s="885"/>
      <c r="GA967" s="885"/>
      <c r="GB967" s="885"/>
      <c r="GC967" s="885"/>
      <c r="GD967" s="885"/>
      <c r="GE967" s="885"/>
      <c r="GF967" s="885"/>
      <c r="GG967" s="885"/>
      <c r="GH967" s="885"/>
      <c r="GI967" s="885"/>
      <c r="GJ967" s="885"/>
      <c r="GK967" s="885"/>
      <c r="GL967" s="885"/>
      <c r="GM967" s="885"/>
      <c r="GN967" s="885"/>
      <c r="GO967" s="885"/>
      <c r="GP967" s="885"/>
      <c r="GQ967" s="885"/>
      <c r="GR967" s="885"/>
      <c r="GS967" s="885"/>
      <c r="GT967" s="885"/>
      <c r="GU967" s="885"/>
      <c r="GV967" s="885"/>
      <c r="GW967" s="885"/>
      <c r="GX967" s="885"/>
      <c r="GY967" s="885"/>
      <c r="GZ967" s="885"/>
      <c r="HA967" s="885"/>
      <c r="HB967" s="885"/>
      <c r="HC967" s="885"/>
      <c r="HD967" s="885"/>
      <c r="HE967" s="885"/>
      <c r="HF967" s="885"/>
      <c r="HG967" s="885"/>
      <c r="HH967" s="885"/>
      <c r="HI967" s="885"/>
      <c r="HJ967" s="885"/>
      <c r="HK967" s="885"/>
      <c r="HL967" s="885"/>
      <c r="HM967" s="885"/>
      <c r="HN967" s="885"/>
      <c r="HO967" s="885"/>
      <c r="HP967" s="885"/>
      <c r="HQ967" s="885"/>
      <c r="HR967" s="885"/>
      <c r="HS967" s="885"/>
      <c r="HT967" s="885"/>
      <c r="HU967" s="885"/>
      <c r="HV967" s="885"/>
      <c r="HW967" s="885"/>
      <c r="HX967" s="885"/>
      <c r="HY967" s="885"/>
      <c r="HZ967" s="885"/>
      <c r="IA967" s="885"/>
      <c r="IB967" s="885"/>
      <c r="IC967" s="885"/>
      <c r="ID967" s="885"/>
      <c r="IE967" s="885"/>
      <c r="IF967" s="885"/>
      <c r="IG967" s="885"/>
      <c r="IH967" s="885"/>
      <c r="II967" s="885"/>
      <c r="IJ967" s="885"/>
      <c r="IK967" s="885"/>
      <c r="IL967" s="885"/>
      <c r="IM967" s="885"/>
      <c r="IN967" s="885"/>
      <c r="IO967" s="885"/>
      <c r="IP967" s="885"/>
      <c r="IQ967" s="885"/>
      <c r="IR967" s="885"/>
      <c r="IS967" s="885"/>
      <c r="IT967" s="885"/>
      <c r="IU967" s="885"/>
      <c r="IV967" s="885"/>
      <c r="IW967" s="885"/>
      <c r="IX967" s="885"/>
    </row>
    <row r="968" spans="1:258" ht="31.5" x14ac:dyDescent="0.25">
      <c r="A968" s="125">
        <f t="shared" si="118"/>
        <v>928</v>
      </c>
      <c r="B968" s="885"/>
      <c r="C968" s="842" t="s">
        <v>10537</v>
      </c>
      <c r="D968" s="924">
        <v>0</v>
      </c>
      <c r="E968" s="924">
        <f t="shared" si="117"/>
        <v>0</v>
      </c>
      <c r="F968" s="136">
        <v>10</v>
      </c>
      <c r="G968" s="122" t="s">
        <v>1963</v>
      </c>
      <c r="I968" s="885"/>
      <c r="J968" s="885"/>
      <c r="K968" s="885"/>
      <c r="L968" s="885"/>
      <c r="M968" s="885"/>
      <c r="N968" s="885"/>
      <c r="O968" s="885"/>
      <c r="P968" s="885"/>
      <c r="Q968" s="885"/>
      <c r="R968" s="885"/>
      <c r="S968" s="885"/>
      <c r="T968" s="885"/>
      <c r="U968" s="885"/>
      <c r="V968" s="885"/>
      <c r="W968" s="885"/>
      <c r="X968" s="885"/>
      <c r="Y968" s="885"/>
      <c r="Z968" s="885"/>
      <c r="AA968" s="885"/>
      <c r="AB968" s="885"/>
      <c r="AC968" s="885"/>
      <c r="AD968" s="885"/>
      <c r="AE968" s="885"/>
      <c r="AF968" s="885"/>
      <c r="AG968" s="885"/>
      <c r="AH968" s="885"/>
      <c r="AI968" s="885"/>
      <c r="AJ968" s="885"/>
      <c r="AK968" s="885"/>
      <c r="AL968" s="885"/>
      <c r="AM968" s="885"/>
      <c r="AN968" s="885"/>
      <c r="AO968" s="885"/>
      <c r="AP968" s="885"/>
      <c r="AQ968" s="885"/>
      <c r="AR968" s="885"/>
      <c r="AS968" s="885"/>
      <c r="AT968" s="885"/>
      <c r="AU968" s="885"/>
      <c r="AV968" s="885"/>
      <c r="AW968" s="885"/>
      <c r="AX968" s="885"/>
      <c r="AY968" s="885"/>
      <c r="AZ968" s="885"/>
      <c r="BA968" s="885"/>
      <c r="BB968" s="885"/>
      <c r="BC968" s="885"/>
      <c r="BD968" s="885"/>
      <c r="BE968" s="885"/>
      <c r="BF968" s="885"/>
      <c r="BG968" s="885"/>
      <c r="BH968" s="885"/>
      <c r="BI968" s="885"/>
      <c r="BJ968" s="885"/>
      <c r="BK968" s="885"/>
      <c r="BL968" s="885"/>
      <c r="BM968" s="885"/>
      <c r="BN968" s="885"/>
      <c r="BO968" s="885"/>
      <c r="BP968" s="885"/>
      <c r="BQ968" s="885"/>
      <c r="BR968" s="885"/>
      <c r="BS968" s="885"/>
      <c r="BT968" s="885"/>
      <c r="BU968" s="885"/>
      <c r="BV968" s="885"/>
      <c r="BW968" s="885"/>
      <c r="BX968" s="885"/>
      <c r="BY968" s="885"/>
      <c r="BZ968" s="885"/>
      <c r="CA968" s="885"/>
      <c r="CB968" s="885"/>
      <c r="CC968" s="885"/>
      <c r="CD968" s="885"/>
      <c r="CE968" s="885"/>
      <c r="CF968" s="885"/>
      <c r="CG968" s="885"/>
      <c r="CH968" s="885"/>
      <c r="CI968" s="885"/>
      <c r="CJ968" s="885"/>
      <c r="CK968" s="885"/>
      <c r="CL968" s="885"/>
      <c r="CM968" s="885"/>
      <c r="CN968" s="885"/>
      <c r="CO968" s="885"/>
      <c r="CP968" s="885"/>
      <c r="CQ968" s="885"/>
      <c r="CR968" s="885"/>
      <c r="CS968" s="885"/>
      <c r="CT968" s="885"/>
      <c r="CU968" s="885"/>
      <c r="CV968" s="885"/>
      <c r="CW968" s="885"/>
      <c r="CX968" s="885"/>
      <c r="CY968" s="885"/>
      <c r="CZ968" s="885"/>
      <c r="DA968" s="885"/>
      <c r="DB968" s="885"/>
      <c r="DC968" s="885"/>
      <c r="DD968" s="885"/>
      <c r="DE968" s="885"/>
      <c r="DF968" s="885"/>
      <c r="DG968" s="885"/>
      <c r="DH968" s="885"/>
      <c r="DI968" s="885"/>
      <c r="DJ968" s="885"/>
      <c r="DK968" s="885"/>
      <c r="DL968" s="885"/>
      <c r="DM968" s="885"/>
      <c r="DN968" s="885"/>
      <c r="DO968" s="885"/>
      <c r="DP968" s="885"/>
      <c r="DQ968" s="885"/>
      <c r="DR968" s="885"/>
      <c r="DS968" s="885"/>
      <c r="DT968" s="885"/>
      <c r="DU968" s="885"/>
      <c r="DV968" s="885"/>
      <c r="DW968" s="885"/>
      <c r="DX968" s="885"/>
      <c r="DY968" s="885"/>
      <c r="DZ968" s="885"/>
      <c r="EA968" s="885"/>
      <c r="EB968" s="885"/>
      <c r="EC968" s="885"/>
      <c r="ED968" s="885"/>
      <c r="EE968" s="885"/>
      <c r="EF968" s="885"/>
      <c r="EG968" s="885"/>
      <c r="EH968" s="885"/>
      <c r="EI968" s="885"/>
      <c r="EJ968" s="885"/>
      <c r="EK968" s="885"/>
      <c r="EL968" s="885"/>
      <c r="EM968" s="885"/>
      <c r="EN968" s="885"/>
      <c r="EO968" s="885"/>
      <c r="EP968" s="885"/>
      <c r="EQ968" s="885"/>
      <c r="ER968" s="885"/>
      <c r="ES968" s="885"/>
      <c r="ET968" s="885"/>
      <c r="EU968" s="885"/>
      <c r="EV968" s="885"/>
      <c r="EW968" s="885"/>
      <c r="EX968" s="885"/>
      <c r="EY968" s="885"/>
      <c r="EZ968" s="885"/>
      <c r="FA968" s="885"/>
      <c r="FB968" s="885"/>
      <c r="FC968" s="885"/>
      <c r="FD968" s="885"/>
      <c r="FE968" s="885"/>
      <c r="FF968" s="885"/>
      <c r="FG968" s="885"/>
      <c r="FH968" s="885"/>
      <c r="FI968" s="885"/>
      <c r="FJ968" s="885"/>
      <c r="FK968" s="885"/>
      <c r="FL968" s="885"/>
      <c r="FM968" s="885"/>
      <c r="FN968" s="885"/>
      <c r="FO968" s="885"/>
      <c r="FP968" s="885"/>
      <c r="FQ968" s="885"/>
      <c r="FR968" s="885"/>
      <c r="FS968" s="885"/>
      <c r="FT968" s="885"/>
      <c r="FU968" s="885"/>
      <c r="FV968" s="885"/>
      <c r="FW968" s="885"/>
      <c r="FX968" s="885"/>
      <c r="FY968" s="885"/>
      <c r="FZ968" s="885"/>
      <c r="GA968" s="885"/>
      <c r="GB968" s="885"/>
      <c r="GC968" s="885"/>
      <c r="GD968" s="885"/>
      <c r="GE968" s="885"/>
      <c r="GF968" s="885"/>
      <c r="GG968" s="885"/>
      <c r="GH968" s="885"/>
      <c r="GI968" s="885"/>
      <c r="GJ968" s="885"/>
      <c r="GK968" s="885"/>
      <c r="GL968" s="885"/>
      <c r="GM968" s="885"/>
      <c r="GN968" s="885"/>
      <c r="GO968" s="885"/>
      <c r="GP968" s="885"/>
      <c r="GQ968" s="885"/>
      <c r="GR968" s="885"/>
      <c r="GS968" s="885"/>
      <c r="GT968" s="885"/>
      <c r="GU968" s="885"/>
      <c r="GV968" s="885"/>
      <c r="GW968" s="885"/>
      <c r="GX968" s="885"/>
      <c r="GY968" s="885"/>
      <c r="GZ968" s="885"/>
      <c r="HA968" s="885"/>
      <c r="HB968" s="885"/>
      <c r="HC968" s="885"/>
      <c r="HD968" s="885"/>
      <c r="HE968" s="885"/>
      <c r="HF968" s="885"/>
      <c r="HG968" s="885"/>
      <c r="HH968" s="885"/>
      <c r="HI968" s="885"/>
      <c r="HJ968" s="885"/>
      <c r="HK968" s="885"/>
      <c r="HL968" s="885"/>
      <c r="HM968" s="885"/>
      <c r="HN968" s="885"/>
      <c r="HO968" s="885"/>
      <c r="HP968" s="885"/>
      <c r="HQ968" s="885"/>
      <c r="HR968" s="885"/>
      <c r="HS968" s="885"/>
      <c r="HT968" s="885"/>
      <c r="HU968" s="885"/>
      <c r="HV968" s="885"/>
      <c r="HW968" s="885"/>
      <c r="HX968" s="885"/>
      <c r="HY968" s="885"/>
      <c r="HZ968" s="885"/>
      <c r="IA968" s="885"/>
      <c r="IB968" s="885"/>
      <c r="IC968" s="885"/>
      <c r="ID968" s="885"/>
      <c r="IE968" s="885"/>
      <c r="IF968" s="885"/>
      <c r="IG968" s="885"/>
      <c r="IH968" s="885"/>
      <c r="II968" s="885"/>
      <c r="IJ968" s="885"/>
      <c r="IK968" s="885"/>
      <c r="IL968" s="885"/>
      <c r="IM968" s="885"/>
      <c r="IN968" s="885"/>
      <c r="IO968" s="885"/>
      <c r="IP968" s="885"/>
      <c r="IQ968" s="885"/>
      <c r="IR968" s="885"/>
      <c r="IS968" s="885"/>
      <c r="IT968" s="885"/>
      <c r="IU968" s="885"/>
      <c r="IV968" s="885"/>
      <c r="IW968" s="885"/>
      <c r="IX968" s="885"/>
    </row>
    <row r="969" spans="1:258" ht="31.5" x14ac:dyDescent="0.25">
      <c r="A969" s="125">
        <f t="shared" si="118"/>
        <v>929</v>
      </c>
      <c r="B969" s="885"/>
      <c r="C969" s="842" t="s">
        <v>10538</v>
      </c>
      <c r="D969" s="924">
        <v>0</v>
      </c>
      <c r="E969" s="924">
        <f t="shared" si="117"/>
        <v>0</v>
      </c>
      <c r="F969" s="136">
        <v>10</v>
      </c>
      <c r="G969" s="122" t="s">
        <v>1963</v>
      </c>
      <c r="I969" s="885"/>
      <c r="J969" s="885"/>
      <c r="K969" s="885"/>
      <c r="L969" s="885"/>
      <c r="M969" s="885"/>
      <c r="N969" s="885"/>
      <c r="O969" s="885"/>
      <c r="P969" s="885"/>
      <c r="Q969" s="885"/>
      <c r="R969" s="885"/>
      <c r="S969" s="885"/>
      <c r="T969" s="885"/>
      <c r="U969" s="885"/>
      <c r="V969" s="885"/>
      <c r="W969" s="885"/>
      <c r="X969" s="885"/>
      <c r="Y969" s="885"/>
      <c r="Z969" s="885"/>
      <c r="AA969" s="885"/>
      <c r="AB969" s="885"/>
      <c r="AC969" s="885"/>
      <c r="AD969" s="885"/>
      <c r="AE969" s="885"/>
      <c r="AF969" s="885"/>
      <c r="AG969" s="885"/>
      <c r="AH969" s="885"/>
      <c r="AI969" s="885"/>
      <c r="AJ969" s="885"/>
      <c r="AK969" s="885"/>
      <c r="AL969" s="885"/>
      <c r="AM969" s="885"/>
      <c r="AN969" s="885"/>
      <c r="AO969" s="885"/>
      <c r="AP969" s="885"/>
      <c r="AQ969" s="885"/>
      <c r="AR969" s="885"/>
      <c r="AS969" s="885"/>
      <c r="AT969" s="885"/>
      <c r="AU969" s="885"/>
      <c r="AV969" s="885"/>
      <c r="AW969" s="885"/>
      <c r="AX969" s="885"/>
      <c r="AY969" s="885"/>
      <c r="AZ969" s="885"/>
      <c r="BA969" s="885"/>
      <c r="BB969" s="885"/>
      <c r="BC969" s="885"/>
      <c r="BD969" s="885"/>
      <c r="BE969" s="885"/>
      <c r="BF969" s="885"/>
      <c r="BG969" s="885"/>
      <c r="BH969" s="885"/>
      <c r="BI969" s="885"/>
      <c r="BJ969" s="885"/>
      <c r="BK969" s="885"/>
      <c r="BL969" s="885"/>
      <c r="BM969" s="885"/>
      <c r="BN969" s="885"/>
      <c r="BO969" s="885"/>
      <c r="BP969" s="885"/>
      <c r="BQ969" s="885"/>
      <c r="BR969" s="885"/>
      <c r="BS969" s="885"/>
      <c r="BT969" s="885"/>
      <c r="BU969" s="885"/>
      <c r="BV969" s="885"/>
      <c r="BW969" s="885"/>
      <c r="BX969" s="885"/>
      <c r="BY969" s="885"/>
      <c r="BZ969" s="885"/>
      <c r="CA969" s="885"/>
      <c r="CB969" s="885"/>
      <c r="CC969" s="885"/>
      <c r="CD969" s="885"/>
      <c r="CE969" s="885"/>
      <c r="CF969" s="885"/>
      <c r="CG969" s="885"/>
      <c r="CH969" s="885"/>
      <c r="CI969" s="885"/>
      <c r="CJ969" s="885"/>
      <c r="CK969" s="885"/>
      <c r="CL969" s="885"/>
      <c r="CM969" s="885"/>
      <c r="CN969" s="885"/>
      <c r="CO969" s="885"/>
      <c r="CP969" s="885"/>
      <c r="CQ969" s="885"/>
      <c r="CR969" s="885"/>
      <c r="CS969" s="885"/>
      <c r="CT969" s="885"/>
      <c r="CU969" s="885"/>
      <c r="CV969" s="885"/>
      <c r="CW969" s="885"/>
      <c r="CX969" s="885"/>
      <c r="CY969" s="885"/>
      <c r="CZ969" s="885"/>
      <c r="DA969" s="885"/>
      <c r="DB969" s="885"/>
      <c r="DC969" s="885"/>
      <c r="DD969" s="885"/>
      <c r="DE969" s="885"/>
      <c r="DF969" s="885"/>
      <c r="DG969" s="885"/>
      <c r="DH969" s="885"/>
      <c r="DI969" s="885"/>
      <c r="DJ969" s="885"/>
      <c r="DK969" s="885"/>
      <c r="DL969" s="885"/>
      <c r="DM969" s="885"/>
      <c r="DN969" s="885"/>
      <c r="DO969" s="885"/>
      <c r="DP969" s="885"/>
      <c r="DQ969" s="885"/>
      <c r="DR969" s="885"/>
      <c r="DS969" s="885"/>
      <c r="DT969" s="885"/>
      <c r="DU969" s="885"/>
      <c r="DV969" s="885"/>
      <c r="DW969" s="885"/>
      <c r="DX969" s="885"/>
      <c r="DY969" s="885"/>
      <c r="DZ969" s="885"/>
      <c r="EA969" s="885"/>
      <c r="EB969" s="885"/>
      <c r="EC969" s="885"/>
      <c r="ED969" s="885"/>
      <c r="EE969" s="885"/>
      <c r="EF969" s="885"/>
      <c r="EG969" s="885"/>
      <c r="EH969" s="885"/>
      <c r="EI969" s="885"/>
      <c r="EJ969" s="885"/>
      <c r="EK969" s="885"/>
      <c r="EL969" s="885"/>
      <c r="EM969" s="885"/>
      <c r="EN969" s="885"/>
      <c r="EO969" s="885"/>
      <c r="EP969" s="885"/>
      <c r="EQ969" s="885"/>
      <c r="ER969" s="885"/>
      <c r="ES969" s="885"/>
      <c r="ET969" s="885"/>
      <c r="EU969" s="885"/>
      <c r="EV969" s="885"/>
      <c r="EW969" s="885"/>
      <c r="EX969" s="885"/>
      <c r="EY969" s="885"/>
      <c r="EZ969" s="885"/>
      <c r="FA969" s="885"/>
      <c r="FB969" s="885"/>
      <c r="FC969" s="885"/>
      <c r="FD969" s="885"/>
      <c r="FE969" s="885"/>
      <c r="FF969" s="885"/>
      <c r="FG969" s="885"/>
      <c r="FH969" s="885"/>
      <c r="FI969" s="885"/>
      <c r="FJ969" s="885"/>
      <c r="FK969" s="885"/>
      <c r="FL969" s="885"/>
      <c r="FM969" s="885"/>
      <c r="FN969" s="885"/>
      <c r="FO969" s="885"/>
      <c r="FP969" s="885"/>
      <c r="FQ969" s="885"/>
      <c r="FR969" s="885"/>
      <c r="FS969" s="885"/>
      <c r="FT969" s="885"/>
      <c r="FU969" s="885"/>
      <c r="FV969" s="885"/>
      <c r="FW969" s="885"/>
      <c r="FX969" s="885"/>
      <c r="FY969" s="885"/>
      <c r="FZ969" s="885"/>
      <c r="GA969" s="885"/>
      <c r="GB969" s="885"/>
      <c r="GC969" s="885"/>
      <c r="GD969" s="885"/>
      <c r="GE969" s="885"/>
      <c r="GF969" s="885"/>
      <c r="GG969" s="885"/>
      <c r="GH969" s="885"/>
      <c r="GI969" s="885"/>
      <c r="GJ969" s="885"/>
      <c r="GK969" s="885"/>
      <c r="GL969" s="885"/>
      <c r="GM969" s="885"/>
      <c r="GN969" s="885"/>
      <c r="GO969" s="885"/>
      <c r="GP969" s="885"/>
      <c r="GQ969" s="885"/>
      <c r="GR969" s="885"/>
      <c r="GS969" s="885"/>
      <c r="GT969" s="885"/>
      <c r="GU969" s="885"/>
      <c r="GV969" s="885"/>
      <c r="GW969" s="885"/>
      <c r="GX969" s="885"/>
      <c r="GY969" s="885"/>
      <c r="GZ969" s="885"/>
      <c r="HA969" s="885"/>
      <c r="HB969" s="885"/>
      <c r="HC969" s="885"/>
      <c r="HD969" s="885"/>
      <c r="HE969" s="885"/>
      <c r="HF969" s="885"/>
      <c r="HG969" s="885"/>
      <c r="HH969" s="885"/>
      <c r="HI969" s="885"/>
      <c r="HJ969" s="885"/>
      <c r="HK969" s="885"/>
      <c r="HL969" s="885"/>
      <c r="HM969" s="885"/>
      <c r="HN969" s="885"/>
      <c r="HO969" s="885"/>
      <c r="HP969" s="885"/>
      <c r="HQ969" s="885"/>
      <c r="HR969" s="885"/>
      <c r="HS969" s="885"/>
      <c r="HT969" s="885"/>
      <c r="HU969" s="885"/>
      <c r="HV969" s="885"/>
      <c r="HW969" s="885"/>
      <c r="HX969" s="885"/>
      <c r="HY969" s="885"/>
      <c r="HZ969" s="885"/>
      <c r="IA969" s="885"/>
      <c r="IB969" s="885"/>
      <c r="IC969" s="885"/>
      <c r="ID969" s="885"/>
      <c r="IE969" s="885"/>
      <c r="IF969" s="885"/>
      <c r="IG969" s="885"/>
      <c r="IH969" s="885"/>
      <c r="II969" s="885"/>
      <c r="IJ969" s="885"/>
      <c r="IK969" s="885"/>
      <c r="IL969" s="885"/>
      <c r="IM969" s="885"/>
      <c r="IN969" s="885"/>
      <c r="IO969" s="885"/>
      <c r="IP969" s="885"/>
      <c r="IQ969" s="885"/>
      <c r="IR969" s="885"/>
      <c r="IS969" s="885"/>
      <c r="IT969" s="885"/>
      <c r="IU969" s="885"/>
      <c r="IV969" s="885"/>
      <c r="IW969" s="885"/>
      <c r="IX969" s="885"/>
    </row>
    <row r="970" spans="1:258" x14ac:dyDescent="0.25">
      <c r="A970" s="125">
        <f t="shared" si="118"/>
        <v>930</v>
      </c>
      <c r="B970" s="885"/>
      <c r="C970" s="842" t="s">
        <v>10539</v>
      </c>
      <c r="D970" s="924">
        <v>0</v>
      </c>
      <c r="E970" s="924">
        <f t="shared" si="117"/>
        <v>0</v>
      </c>
      <c r="F970" s="136">
        <v>10</v>
      </c>
      <c r="G970" s="122" t="s">
        <v>1963</v>
      </c>
      <c r="I970" s="885"/>
      <c r="J970" s="885"/>
      <c r="K970" s="885"/>
      <c r="L970" s="885"/>
      <c r="M970" s="885"/>
      <c r="N970" s="885"/>
      <c r="O970" s="885"/>
      <c r="P970" s="885"/>
      <c r="Q970" s="885"/>
      <c r="R970" s="885"/>
      <c r="S970" s="885"/>
      <c r="T970" s="885"/>
      <c r="U970" s="885"/>
      <c r="V970" s="885"/>
      <c r="W970" s="885"/>
      <c r="X970" s="885"/>
      <c r="Y970" s="885"/>
      <c r="Z970" s="885"/>
      <c r="AA970" s="885"/>
      <c r="AB970" s="885"/>
      <c r="AC970" s="885"/>
      <c r="AD970" s="885"/>
      <c r="AE970" s="885"/>
      <c r="AF970" s="885"/>
      <c r="AG970" s="885"/>
      <c r="AH970" s="885"/>
      <c r="AI970" s="885"/>
      <c r="AJ970" s="885"/>
      <c r="AK970" s="885"/>
      <c r="AL970" s="885"/>
      <c r="AM970" s="885"/>
      <c r="AN970" s="885"/>
      <c r="AO970" s="885"/>
      <c r="AP970" s="885"/>
      <c r="AQ970" s="885"/>
      <c r="AR970" s="885"/>
      <c r="AS970" s="885"/>
      <c r="AT970" s="885"/>
      <c r="AU970" s="885"/>
      <c r="AV970" s="885"/>
      <c r="AW970" s="885"/>
      <c r="AX970" s="885"/>
      <c r="AY970" s="885"/>
      <c r="AZ970" s="885"/>
      <c r="BA970" s="885"/>
      <c r="BB970" s="885"/>
      <c r="BC970" s="885"/>
      <c r="BD970" s="885"/>
      <c r="BE970" s="885"/>
      <c r="BF970" s="885"/>
      <c r="BG970" s="885"/>
      <c r="BH970" s="885"/>
      <c r="BI970" s="885"/>
      <c r="BJ970" s="885"/>
      <c r="BK970" s="885"/>
      <c r="BL970" s="885"/>
      <c r="BM970" s="885"/>
      <c r="BN970" s="885"/>
      <c r="BO970" s="885"/>
      <c r="BP970" s="885"/>
      <c r="BQ970" s="885"/>
      <c r="BR970" s="885"/>
      <c r="BS970" s="885"/>
      <c r="BT970" s="885"/>
      <c r="BU970" s="885"/>
      <c r="BV970" s="885"/>
      <c r="BW970" s="885"/>
      <c r="BX970" s="885"/>
      <c r="BY970" s="885"/>
      <c r="BZ970" s="885"/>
      <c r="CA970" s="885"/>
      <c r="CB970" s="885"/>
      <c r="CC970" s="885"/>
      <c r="CD970" s="885"/>
      <c r="CE970" s="885"/>
      <c r="CF970" s="885"/>
      <c r="CG970" s="885"/>
      <c r="CH970" s="885"/>
      <c r="CI970" s="885"/>
      <c r="CJ970" s="885"/>
      <c r="CK970" s="885"/>
      <c r="CL970" s="885"/>
      <c r="CM970" s="885"/>
      <c r="CN970" s="885"/>
      <c r="CO970" s="885"/>
      <c r="CP970" s="885"/>
      <c r="CQ970" s="885"/>
      <c r="CR970" s="885"/>
      <c r="CS970" s="885"/>
      <c r="CT970" s="885"/>
      <c r="CU970" s="885"/>
      <c r="CV970" s="885"/>
      <c r="CW970" s="885"/>
      <c r="CX970" s="885"/>
      <c r="CY970" s="885"/>
      <c r="CZ970" s="885"/>
      <c r="DA970" s="885"/>
      <c r="DB970" s="885"/>
      <c r="DC970" s="885"/>
      <c r="DD970" s="885"/>
      <c r="DE970" s="885"/>
      <c r="DF970" s="885"/>
      <c r="DG970" s="885"/>
      <c r="DH970" s="885"/>
      <c r="DI970" s="885"/>
      <c r="DJ970" s="885"/>
      <c r="DK970" s="885"/>
      <c r="DL970" s="885"/>
      <c r="DM970" s="885"/>
      <c r="DN970" s="885"/>
      <c r="DO970" s="885"/>
      <c r="DP970" s="885"/>
      <c r="DQ970" s="885"/>
      <c r="DR970" s="885"/>
      <c r="DS970" s="885"/>
      <c r="DT970" s="885"/>
      <c r="DU970" s="885"/>
      <c r="DV970" s="885"/>
      <c r="DW970" s="885"/>
      <c r="DX970" s="885"/>
      <c r="DY970" s="885"/>
      <c r="DZ970" s="885"/>
      <c r="EA970" s="885"/>
      <c r="EB970" s="885"/>
      <c r="EC970" s="885"/>
      <c r="ED970" s="885"/>
      <c r="EE970" s="885"/>
      <c r="EF970" s="885"/>
      <c r="EG970" s="885"/>
      <c r="EH970" s="885"/>
      <c r="EI970" s="885"/>
      <c r="EJ970" s="885"/>
      <c r="EK970" s="885"/>
      <c r="EL970" s="885"/>
      <c r="EM970" s="885"/>
      <c r="EN970" s="885"/>
      <c r="EO970" s="885"/>
      <c r="EP970" s="885"/>
      <c r="EQ970" s="885"/>
      <c r="ER970" s="885"/>
      <c r="ES970" s="885"/>
      <c r="ET970" s="885"/>
      <c r="EU970" s="885"/>
      <c r="EV970" s="885"/>
      <c r="EW970" s="885"/>
      <c r="EX970" s="885"/>
      <c r="EY970" s="885"/>
      <c r="EZ970" s="885"/>
      <c r="FA970" s="885"/>
      <c r="FB970" s="885"/>
      <c r="FC970" s="885"/>
      <c r="FD970" s="885"/>
      <c r="FE970" s="885"/>
      <c r="FF970" s="885"/>
      <c r="FG970" s="885"/>
      <c r="FH970" s="885"/>
      <c r="FI970" s="885"/>
      <c r="FJ970" s="885"/>
      <c r="FK970" s="885"/>
      <c r="FL970" s="885"/>
      <c r="FM970" s="885"/>
      <c r="FN970" s="885"/>
      <c r="FO970" s="885"/>
      <c r="FP970" s="885"/>
      <c r="FQ970" s="885"/>
      <c r="FR970" s="885"/>
      <c r="FS970" s="885"/>
      <c r="FT970" s="885"/>
      <c r="FU970" s="885"/>
      <c r="FV970" s="885"/>
      <c r="FW970" s="885"/>
      <c r="FX970" s="885"/>
      <c r="FY970" s="885"/>
      <c r="FZ970" s="885"/>
      <c r="GA970" s="885"/>
      <c r="GB970" s="885"/>
      <c r="GC970" s="885"/>
      <c r="GD970" s="885"/>
      <c r="GE970" s="885"/>
      <c r="GF970" s="885"/>
      <c r="GG970" s="885"/>
      <c r="GH970" s="885"/>
      <c r="GI970" s="885"/>
      <c r="GJ970" s="885"/>
      <c r="GK970" s="885"/>
      <c r="GL970" s="885"/>
      <c r="GM970" s="885"/>
      <c r="GN970" s="885"/>
      <c r="GO970" s="885"/>
      <c r="GP970" s="885"/>
      <c r="GQ970" s="885"/>
      <c r="GR970" s="885"/>
      <c r="GS970" s="885"/>
      <c r="GT970" s="885"/>
      <c r="GU970" s="885"/>
      <c r="GV970" s="885"/>
      <c r="GW970" s="885"/>
      <c r="GX970" s="885"/>
      <c r="GY970" s="885"/>
      <c r="GZ970" s="885"/>
      <c r="HA970" s="885"/>
      <c r="HB970" s="885"/>
      <c r="HC970" s="885"/>
      <c r="HD970" s="885"/>
      <c r="HE970" s="885"/>
      <c r="HF970" s="885"/>
      <c r="HG970" s="885"/>
      <c r="HH970" s="885"/>
      <c r="HI970" s="885"/>
      <c r="HJ970" s="885"/>
      <c r="HK970" s="885"/>
      <c r="HL970" s="885"/>
      <c r="HM970" s="885"/>
      <c r="HN970" s="885"/>
      <c r="HO970" s="885"/>
      <c r="HP970" s="885"/>
      <c r="HQ970" s="885"/>
      <c r="HR970" s="885"/>
      <c r="HS970" s="885"/>
      <c r="HT970" s="885"/>
      <c r="HU970" s="885"/>
      <c r="HV970" s="885"/>
      <c r="HW970" s="885"/>
      <c r="HX970" s="885"/>
      <c r="HY970" s="885"/>
      <c r="HZ970" s="885"/>
      <c r="IA970" s="885"/>
      <c r="IB970" s="885"/>
      <c r="IC970" s="885"/>
      <c r="ID970" s="885"/>
      <c r="IE970" s="885"/>
      <c r="IF970" s="885"/>
      <c r="IG970" s="885"/>
      <c r="IH970" s="885"/>
      <c r="II970" s="885"/>
      <c r="IJ970" s="885"/>
      <c r="IK970" s="885"/>
      <c r="IL970" s="885"/>
      <c r="IM970" s="885"/>
      <c r="IN970" s="885"/>
      <c r="IO970" s="885"/>
      <c r="IP970" s="885"/>
      <c r="IQ970" s="885"/>
      <c r="IR970" s="885"/>
      <c r="IS970" s="885"/>
      <c r="IT970" s="885"/>
      <c r="IU970" s="885"/>
      <c r="IV970" s="885"/>
      <c r="IW970" s="885"/>
      <c r="IX970" s="885"/>
    </row>
    <row r="971" spans="1:258" s="123" customFormat="1" x14ac:dyDescent="0.25">
      <c r="A971" s="125">
        <f t="shared" si="118"/>
        <v>931</v>
      </c>
      <c r="B971" s="885"/>
      <c r="C971" s="232" t="s">
        <v>10540</v>
      </c>
      <c r="D971" s="915"/>
      <c r="E971" s="915"/>
      <c r="F971" s="249"/>
      <c r="G971" s="885"/>
      <c r="H971" s="885"/>
      <c r="I971" s="885"/>
      <c r="J971" s="885"/>
      <c r="K971" s="885"/>
      <c r="L971" s="885"/>
      <c r="M971" s="885"/>
      <c r="N971" s="885"/>
      <c r="O971" s="885"/>
      <c r="P971" s="885"/>
      <c r="Q971" s="885"/>
      <c r="R971" s="885"/>
      <c r="S971" s="885"/>
      <c r="T971" s="885"/>
      <c r="U971" s="885"/>
      <c r="V971" s="885"/>
      <c r="W971" s="885"/>
      <c r="X971" s="885"/>
      <c r="Y971" s="885"/>
      <c r="Z971" s="885"/>
      <c r="AA971" s="885"/>
      <c r="AB971" s="885"/>
      <c r="AC971" s="885"/>
      <c r="AD971" s="885"/>
      <c r="AE971" s="885"/>
      <c r="AF971" s="885"/>
      <c r="AG971" s="885"/>
      <c r="AH971" s="885"/>
      <c r="AI971" s="885"/>
      <c r="AJ971" s="885"/>
      <c r="AK971" s="885"/>
      <c r="AL971" s="885"/>
      <c r="AM971" s="885"/>
      <c r="AN971" s="885"/>
      <c r="AO971" s="885"/>
      <c r="AP971" s="885"/>
      <c r="AQ971" s="885"/>
      <c r="AR971" s="885"/>
      <c r="AS971" s="885"/>
      <c r="AT971" s="885"/>
      <c r="AU971" s="885"/>
      <c r="AV971" s="885"/>
      <c r="AW971" s="885"/>
      <c r="AX971" s="885"/>
      <c r="AY971" s="885"/>
      <c r="AZ971" s="885"/>
      <c r="BA971" s="885"/>
      <c r="BB971" s="885"/>
      <c r="BC971" s="885"/>
      <c r="BD971" s="885"/>
      <c r="BE971" s="885"/>
      <c r="BF971" s="885"/>
      <c r="BG971" s="885"/>
      <c r="BH971" s="885"/>
      <c r="BI971" s="885"/>
      <c r="BJ971" s="885"/>
      <c r="BK971" s="885"/>
      <c r="BL971" s="885"/>
      <c r="BM971" s="885"/>
      <c r="BN971" s="885"/>
      <c r="BO971" s="885"/>
      <c r="BP971" s="885"/>
      <c r="BQ971" s="885"/>
      <c r="BR971" s="885"/>
      <c r="BS971" s="885"/>
      <c r="BT971" s="885"/>
      <c r="BU971" s="885"/>
      <c r="BV971" s="885"/>
      <c r="BW971" s="885"/>
      <c r="BX971" s="885"/>
      <c r="BY971" s="885"/>
      <c r="BZ971" s="885"/>
      <c r="CA971" s="885"/>
      <c r="CB971" s="885"/>
      <c r="CC971" s="885"/>
      <c r="CD971" s="885"/>
      <c r="CE971" s="885"/>
      <c r="CF971" s="885"/>
      <c r="CG971" s="885"/>
      <c r="CH971" s="885"/>
      <c r="CI971" s="885"/>
      <c r="CJ971" s="885"/>
      <c r="CK971" s="885"/>
      <c r="CL971" s="885"/>
      <c r="CM971" s="885"/>
      <c r="CN971" s="885"/>
      <c r="CO971" s="885"/>
      <c r="CP971" s="885"/>
      <c r="CQ971" s="885"/>
      <c r="CR971" s="885"/>
      <c r="CS971" s="885"/>
      <c r="CT971" s="885"/>
      <c r="CU971" s="885"/>
      <c r="CV971" s="885"/>
      <c r="CW971" s="885"/>
      <c r="CX971" s="885"/>
      <c r="CY971" s="885"/>
      <c r="CZ971" s="885"/>
      <c r="DA971" s="885"/>
      <c r="DB971" s="885"/>
      <c r="DC971" s="885"/>
      <c r="DD971" s="885"/>
      <c r="DE971" s="885"/>
      <c r="DF971" s="885"/>
      <c r="DG971" s="885"/>
      <c r="DH971" s="885"/>
      <c r="DI971" s="885"/>
      <c r="DJ971" s="885"/>
      <c r="DK971" s="885"/>
      <c r="DL971" s="885"/>
      <c r="DM971" s="885"/>
      <c r="DN971" s="885"/>
      <c r="DO971" s="885"/>
      <c r="DP971" s="885"/>
      <c r="DQ971" s="885"/>
      <c r="DR971" s="885"/>
      <c r="DS971" s="885"/>
      <c r="DT971" s="885"/>
      <c r="DU971" s="885"/>
      <c r="DV971" s="885"/>
      <c r="DW971" s="885"/>
      <c r="DX971" s="885"/>
      <c r="DY971" s="885"/>
      <c r="DZ971" s="885"/>
      <c r="EA971" s="885"/>
      <c r="EB971" s="885"/>
      <c r="EC971" s="885"/>
      <c r="ED971" s="885"/>
      <c r="EE971" s="885"/>
      <c r="EF971" s="885"/>
      <c r="EG971" s="885"/>
      <c r="EH971" s="885"/>
      <c r="EI971" s="885"/>
      <c r="EJ971" s="885"/>
      <c r="EK971" s="885"/>
      <c r="EL971" s="885"/>
      <c r="EM971" s="885"/>
      <c r="EN971" s="885"/>
      <c r="EO971" s="885"/>
      <c r="EP971" s="885"/>
      <c r="EQ971" s="885"/>
      <c r="ER971" s="885"/>
      <c r="ES971" s="885"/>
      <c r="ET971" s="885"/>
      <c r="EU971" s="885"/>
      <c r="EV971" s="885"/>
      <c r="EW971" s="885"/>
      <c r="EX971" s="885"/>
      <c r="EY971" s="885"/>
      <c r="EZ971" s="885"/>
      <c r="FA971" s="885"/>
      <c r="FB971" s="885"/>
      <c r="FC971" s="885"/>
      <c r="FD971" s="885"/>
      <c r="FE971" s="885"/>
      <c r="FF971" s="885"/>
      <c r="FG971" s="885"/>
      <c r="FH971" s="885"/>
      <c r="FI971" s="885"/>
      <c r="FJ971" s="885"/>
      <c r="FK971" s="885"/>
      <c r="FL971" s="885"/>
      <c r="FM971" s="885"/>
      <c r="FN971" s="885"/>
      <c r="FO971" s="885"/>
      <c r="FP971" s="885"/>
      <c r="FQ971" s="885"/>
      <c r="FR971" s="885"/>
      <c r="FS971" s="885"/>
      <c r="FT971" s="885"/>
      <c r="FU971" s="885"/>
      <c r="FV971" s="885"/>
      <c r="FW971" s="885"/>
      <c r="FX971" s="885"/>
      <c r="FY971" s="885"/>
      <c r="FZ971" s="885"/>
      <c r="GA971" s="885"/>
      <c r="GB971" s="885"/>
      <c r="GC971" s="885"/>
      <c r="GD971" s="885"/>
      <c r="GE971" s="885"/>
      <c r="GF971" s="885"/>
      <c r="GG971" s="885"/>
      <c r="GH971" s="885"/>
      <c r="GI971" s="885"/>
      <c r="GJ971" s="885"/>
      <c r="GK971" s="885"/>
      <c r="GL971" s="885"/>
      <c r="GM971" s="885"/>
      <c r="GN971" s="885"/>
      <c r="GO971" s="885"/>
      <c r="GP971" s="885"/>
      <c r="GQ971" s="885"/>
      <c r="GR971" s="885"/>
      <c r="GS971" s="885"/>
      <c r="GT971" s="885"/>
      <c r="GU971" s="885"/>
      <c r="GV971" s="885"/>
      <c r="GW971" s="885"/>
      <c r="GX971" s="885"/>
      <c r="GY971" s="885"/>
      <c r="GZ971" s="885"/>
      <c r="HA971" s="885"/>
      <c r="HB971" s="885"/>
      <c r="HC971" s="885"/>
      <c r="HD971" s="885"/>
      <c r="HE971" s="885"/>
      <c r="HF971" s="885"/>
      <c r="HG971" s="885"/>
      <c r="HH971" s="885"/>
      <c r="HI971" s="885"/>
      <c r="HJ971" s="885"/>
      <c r="HK971" s="885"/>
      <c r="HL971" s="885"/>
      <c r="HM971" s="885"/>
      <c r="HN971" s="885"/>
      <c r="HO971" s="885"/>
      <c r="HP971" s="885"/>
      <c r="HQ971" s="885"/>
      <c r="HR971" s="885"/>
      <c r="HS971" s="885"/>
      <c r="HT971" s="885"/>
      <c r="HU971" s="885"/>
      <c r="HV971" s="885"/>
      <c r="HW971" s="885"/>
      <c r="HX971" s="885"/>
      <c r="HY971" s="885"/>
      <c r="HZ971" s="885"/>
      <c r="IA971" s="885"/>
      <c r="IB971" s="885"/>
      <c r="IC971" s="885"/>
      <c r="ID971" s="885"/>
      <c r="IE971" s="885"/>
      <c r="IF971" s="885"/>
      <c r="IG971" s="885"/>
      <c r="IH971" s="885"/>
      <c r="II971" s="885"/>
      <c r="IJ971" s="885"/>
      <c r="IK971" s="885"/>
      <c r="IL971" s="885"/>
      <c r="IM971" s="885"/>
      <c r="IN971" s="885"/>
      <c r="IO971" s="885"/>
      <c r="IP971" s="885"/>
      <c r="IQ971" s="885"/>
      <c r="IR971" s="885"/>
      <c r="IS971" s="885"/>
      <c r="IT971" s="885"/>
      <c r="IU971" s="885"/>
      <c r="IV971" s="885"/>
      <c r="IW971" s="885"/>
      <c r="IX971" s="885"/>
    </row>
    <row r="972" spans="1:258" x14ac:dyDescent="0.25">
      <c r="A972" s="125">
        <f t="shared" si="118"/>
        <v>932</v>
      </c>
      <c r="B972" s="885"/>
      <c r="C972" s="842" t="s">
        <v>10505</v>
      </c>
      <c r="D972" s="924">
        <v>6311.05</v>
      </c>
      <c r="E972" s="924">
        <f>D972/8*13.33</f>
        <v>10515.7870625</v>
      </c>
      <c r="F972" s="136">
        <f>E972/13.33</f>
        <v>788.88124999999991</v>
      </c>
      <c r="G972" s="122" t="s">
        <v>1963</v>
      </c>
      <c r="I972" s="885"/>
      <c r="J972" s="885"/>
      <c r="K972" s="885"/>
      <c r="L972" s="885"/>
      <c r="M972" s="885"/>
      <c r="N972" s="885"/>
      <c r="O972" s="885"/>
      <c r="P972" s="885"/>
      <c r="Q972" s="885"/>
      <c r="R972" s="885"/>
      <c r="S972" s="885"/>
      <c r="T972" s="885"/>
      <c r="U972" s="885"/>
      <c r="V972" s="885"/>
      <c r="W972" s="885"/>
      <c r="X972" s="885"/>
      <c r="Y972" s="885"/>
      <c r="Z972" s="885"/>
      <c r="AA972" s="885"/>
      <c r="AB972" s="885"/>
      <c r="AC972" s="885"/>
      <c r="AD972" s="885"/>
      <c r="AE972" s="885"/>
      <c r="AF972" s="885"/>
      <c r="AG972" s="885"/>
      <c r="AH972" s="885"/>
      <c r="AI972" s="885"/>
      <c r="AJ972" s="885"/>
      <c r="AK972" s="885"/>
      <c r="AL972" s="885"/>
      <c r="AM972" s="885"/>
      <c r="AN972" s="885"/>
      <c r="AO972" s="885"/>
      <c r="AP972" s="885"/>
      <c r="AQ972" s="885"/>
      <c r="AR972" s="885"/>
      <c r="AS972" s="885"/>
      <c r="AT972" s="885"/>
      <c r="AU972" s="885"/>
      <c r="AV972" s="885"/>
      <c r="AW972" s="885"/>
      <c r="AX972" s="885"/>
      <c r="AY972" s="885"/>
      <c r="AZ972" s="885"/>
      <c r="BA972" s="885"/>
      <c r="BB972" s="885"/>
      <c r="BC972" s="885"/>
      <c r="BD972" s="885"/>
      <c r="BE972" s="885"/>
      <c r="BF972" s="885"/>
      <c r="BG972" s="885"/>
      <c r="BH972" s="885"/>
      <c r="BI972" s="885"/>
      <c r="BJ972" s="885"/>
      <c r="BK972" s="885"/>
      <c r="BL972" s="885"/>
      <c r="BM972" s="885"/>
      <c r="BN972" s="885"/>
      <c r="BO972" s="885"/>
      <c r="BP972" s="885"/>
      <c r="BQ972" s="885"/>
      <c r="BR972" s="885"/>
      <c r="BS972" s="885"/>
      <c r="BT972" s="885"/>
      <c r="BU972" s="885"/>
      <c r="BV972" s="885"/>
      <c r="BW972" s="885"/>
      <c r="BX972" s="885"/>
      <c r="BY972" s="885"/>
      <c r="BZ972" s="885"/>
      <c r="CA972" s="885"/>
      <c r="CB972" s="885"/>
      <c r="CC972" s="885"/>
      <c r="CD972" s="885"/>
      <c r="CE972" s="885"/>
      <c r="CF972" s="885"/>
      <c r="CG972" s="885"/>
      <c r="CH972" s="885"/>
      <c r="CI972" s="885"/>
      <c r="CJ972" s="885"/>
      <c r="CK972" s="885"/>
      <c r="CL972" s="885"/>
      <c r="CM972" s="885"/>
      <c r="CN972" s="885"/>
      <c r="CO972" s="885"/>
      <c r="CP972" s="885"/>
      <c r="CQ972" s="885"/>
      <c r="CR972" s="885"/>
      <c r="CS972" s="885"/>
      <c r="CT972" s="885"/>
      <c r="CU972" s="885"/>
      <c r="CV972" s="885"/>
      <c r="CW972" s="885"/>
      <c r="CX972" s="885"/>
      <c r="CY972" s="885"/>
      <c r="CZ972" s="885"/>
      <c r="DA972" s="885"/>
      <c r="DB972" s="885"/>
      <c r="DC972" s="885"/>
      <c r="DD972" s="885"/>
      <c r="DE972" s="885"/>
      <c r="DF972" s="885"/>
      <c r="DG972" s="885"/>
      <c r="DH972" s="885"/>
      <c r="DI972" s="885"/>
      <c r="DJ972" s="885"/>
      <c r="DK972" s="885"/>
      <c r="DL972" s="885"/>
      <c r="DM972" s="885"/>
      <c r="DN972" s="885"/>
      <c r="DO972" s="885"/>
      <c r="DP972" s="885"/>
      <c r="DQ972" s="885"/>
      <c r="DR972" s="885"/>
      <c r="DS972" s="885"/>
      <c r="DT972" s="885"/>
      <c r="DU972" s="885"/>
      <c r="DV972" s="885"/>
      <c r="DW972" s="885"/>
      <c r="DX972" s="885"/>
      <c r="DY972" s="885"/>
      <c r="DZ972" s="885"/>
      <c r="EA972" s="885"/>
      <c r="EB972" s="885"/>
      <c r="EC972" s="885"/>
      <c r="ED972" s="885"/>
      <c r="EE972" s="885"/>
      <c r="EF972" s="885"/>
      <c r="EG972" s="885"/>
      <c r="EH972" s="885"/>
      <c r="EI972" s="885"/>
      <c r="EJ972" s="885"/>
      <c r="EK972" s="885"/>
      <c r="EL972" s="885"/>
      <c r="EM972" s="885"/>
      <c r="EN972" s="885"/>
      <c r="EO972" s="885"/>
      <c r="EP972" s="885"/>
      <c r="EQ972" s="885"/>
      <c r="ER972" s="885"/>
      <c r="ES972" s="885"/>
      <c r="ET972" s="885"/>
      <c r="EU972" s="885"/>
      <c r="EV972" s="885"/>
      <c r="EW972" s="885"/>
      <c r="EX972" s="885"/>
      <c r="EY972" s="885"/>
      <c r="EZ972" s="885"/>
      <c r="FA972" s="885"/>
      <c r="FB972" s="885"/>
      <c r="FC972" s="885"/>
      <c r="FD972" s="885"/>
      <c r="FE972" s="885"/>
      <c r="FF972" s="885"/>
      <c r="FG972" s="885"/>
      <c r="FH972" s="885"/>
      <c r="FI972" s="885"/>
      <c r="FJ972" s="885"/>
      <c r="FK972" s="885"/>
      <c r="FL972" s="885"/>
      <c r="FM972" s="885"/>
      <c r="FN972" s="885"/>
      <c r="FO972" s="885"/>
      <c r="FP972" s="885"/>
      <c r="FQ972" s="885"/>
      <c r="FR972" s="885"/>
      <c r="FS972" s="885"/>
      <c r="FT972" s="885"/>
      <c r="FU972" s="885"/>
      <c r="FV972" s="885"/>
      <c r="FW972" s="885"/>
      <c r="FX972" s="885"/>
      <c r="FY972" s="885"/>
      <c r="FZ972" s="885"/>
      <c r="GA972" s="885"/>
      <c r="GB972" s="885"/>
      <c r="GC972" s="885"/>
      <c r="GD972" s="885"/>
      <c r="GE972" s="885"/>
      <c r="GF972" s="885"/>
      <c r="GG972" s="885"/>
      <c r="GH972" s="885"/>
      <c r="GI972" s="885"/>
      <c r="GJ972" s="885"/>
      <c r="GK972" s="885"/>
      <c r="GL972" s="885"/>
      <c r="GM972" s="885"/>
      <c r="GN972" s="885"/>
      <c r="GO972" s="885"/>
      <c r="GP972" s="885"/>
      <c r="GQ972" s="885"/>
      <c r="GR972" s="885"/>
      <c r="GS972" s="885"/>
      <c r="GT972" s="885"/>
      <c r="GU972" s="885"/>
      <c r="GV972" s="885"/>
      <c r="GW972" s="885"/>
      <c r="GX972" s="885"/>
      <c r="GY972" s="885"/>
      <c r="GZ972" s="885"/>
      <c r="HA972" s="885"/>
      <c r="HB972" s="885"/>
      <c r="HC972" s="885"/>
      <c r="HD972" s="885"/>
      <c r="HE972" s="885"/>
      <c r="HF972" s="885"/>
      <c r="HG972" s="885"/>
      <c r="HH972" s="885"/>
      <c r="HI972" s="885"/>
      <c r="HJ972" s="885"/>
      <c r="HK972" s="885"/>
      <c r="HL972" s="885"/>
      <c r="HM972" s="885"/>
      <c r="HN972" s="885"/>
      <c r="HO972" s="885"/>
      <c r="HP972" s="885"/>
      <c r="HQ972" s="885"/>
      <c r="HR972" s="885"/>
      <c r="HS972" s="885"/>
      <c r="HT972" s="885"/>
      <c r="HU972" s="885"/>
      <c r="HV972" s="885"/>
      <c r="HW972" s="885"/>
      <c r="HX972" s="885"/>
      <c r="HY972" s="885"/>
      <c r="HZ972" s="885"/>
      <c r="IA972" s="885"/>
      <c r="IB972" s="885"/>
      <c r="IC972" s="885"/>
      <c r="ID972" s="885"/>
      <c r="IE972" s="885"/>
      <c r="IF972" s="885"/>
      <c r="IG972" s="885"/>
      <c r="IH972" s="885"/>
      <c r="II972" s="885"/>
      <c r="IJ972" s="885"/>
      <c r="IK972" s="885"/>
      <c r="IL972" s="885"/>
      <c r="IM972" s="885"/>
      <c r="IN972" s="885"/>
      <c r="IO972" s="885"/>
      <c r="IP972" s="885"/>
      <c r="IQ972" s="885"/>
      <c r="IR972" s="885"/>
      <c r="IS972" s="885"/>
      <c r="IT972" s="885"/>
      <c r="IU972" s="885"/>
      <c r="IV972" s="885"/>
      <c r="IW972" s="885"/>
      <c r="IX972" s="885"/>
    </row>
    <row r="973" spans="1:258" x14ac:dyDescent="0.25">
      <c r="A973" s="125">
        <f t="shared" si="118"/>
        <v>933</v>
      </c>
      <c r="B973" s="981"/>
      <c r="C973" s="134" t="s">
        <v>11580</v>
      </c>
      <c r="D973" s="924">
        <f>124.15+282.03</f>
        <v>406.17999999999995</v>
      </c>
      <c r="E973" s="924">
        <f>D973*13.33</f>
        <v>5414.3793999999998</v>
      </c>
      <c r="F973" s="136">
        <f>E973/13.33</f>
        <v>406.18</v>
      </c>
      <c r="G973" s="122" t="s">
        <v>1963</v>
      </c>
      <c r="I973" s="981"/>
      <c r="J973" s="981"/>
      <c r="K973" s="981"/>
      <c r="L973" s="981"/>
      <c r="M973" s="981"/>
      <c r="N973" s="981"/>
      <c r="O973" s="981"/>
      <c r="P973" s="981"/>
      <c r="Q973" s="981"/>
      <c r="R973" s="981"/>
      <c r="S973" s="981"/>
      <c r="T973" s="981"/>
      <c r="U973" s="981"/>
      <c r="V973" s="981"/>
      <c r="W973" s="981"/>
      <c r="X973" s="981"/>
      <c r="Y973" s="981"/>
      <c r="Z973" s="981"/>
      <c r="AA973" s="981"/>
      <c r="AB973" s="981"/>
      <c r="AC973" s="981"/>
      <c r="AD973" s="981"/>
      <c r="AE973" s="981"/>
      <c r="AF973" s="981"/>
      <c r="AG973" s="981"/>
      <c r="AH973" s="981"/>
      <c r="AI973" s="981"/>
      <c r="AJ973" s="981"/>
      <c r="AK973" s="981"/>
      <c r="AL973" s="981"/>
      <c r="AM973" s="981"/>
      <c r="AN973" s="981"/>
      <c r="AO973" s="981"/>
      <c r="AP973" s="981"/>
      <c r="AQ973" s="981"/>
      <c r="AR973" s="981"/>
      <c r="AS973" s="981"/>
      <c r="AT973" s="981"/>
      <c r="AU973" s="981"/>
      <c r="AV973" s="981"/>
      <c r="AW973" s="981"/>
      <c r="AX973" s="981"/>
      <c r="AY973" s="981"/>
      <c r="AZ973" s="981"/>
      <c r="BA973" s="981"/>
      <c r="BB973" s="981"/>
      <c r="BC973" s="981"/>
      <c r="BD973" s="981"/>
      <c r="BE973" s="981"/>
      <c r="BF973" s="981"/>
      <c r="BG973" s="981"/>
      <c r="BH973" s="981"/>
      <c r="BI973" s="981"/>
      <c r="BJ973" s="981"/>
      <c r="BK973" s="981"/>
      <c r="BL973" s="981"/>
      <c r="BM973" s="981"/>
      <c r="BN973" s="981"/>
      <c r="BO973" s="981"/>
      <c r="BP973" s="981"/>
      <c r="BQ973" s="981"/>
      <c r="BR973" s="981"/>
      <c r="BS973" s="981"/>
      <c r="BT973" s="981"/>
      <c r="BU973" s="981"/>
      <c r="BV973" s="981"/>
      <c r="BW973" s="981"/>
      <c r="BX973" s="981"/>
      <c r="BY973" s="981"/>
      <c r="BZ973" s="981"/>
      <c r="CA973" s="981"/>
      <c r="CB973" s="981"/>
      <c r="CC973" s="981"/>
      <c r="CD973" s="981"/>
      <c r="CE973" s="981"/>
      <c r="CF973" s="981"/>
      <c r="CG973" s="981"/>
      <c r="CH973" s="981"/>
      <c r="CI973" s="981"/>
      <c r="CJ973" s="981"/>
      <c r="CK973" s="981"/>
      <c r="CL973" s="981"/>
      <c r="CM973" s="981"/>
      <c r="CN973" s="981"/>
      <c r="CO973" s="981"/>
      <c r="CP973" s="981"/>
      <c r="CQ973" s="981"/>
      <c r="CR973" s="981"/>
      <c r="CS973" s="981"/>
      <c r="CT973" s="981"/>
      <c r="CU973" s="981"/>
      <c r="CV973" s="981"/>
      <c r="CW973" s="981"/>
      <c r="CX973" s="981"/>
      <c r="CY973" s="981"/>
      <c r="CZ973" s="981"/>
      <c r="DA973" s="981"/>
      <c r="DB973" s="981"/>
      <c r="DC973" s="981"/>
      <c r="DD973" s="981"/>
      <c r="DE973" s="981"/>
      <c r="DF973" s="981"/>
      <c r="DG973" s="981"/>
      <c r="DH973" s="981"/>
      <c r="DI973" s="981"/>
      <c r="DJ973" s="981"/>
      <c r="DK973" s="981"/>
      <c r="DL973" s="981"/>
      <c r="DM973" s="981"/>
      <c r="DN973" s="981"/>
      <c r="DO973" s="981"/>
      <c r="DP973" s="981"/>
      <c r="DQ973" s="981"/>
      <c r="DR973" s="981"/>
      <c r="DS973" s="981"/>
      <c r="DT973" s="981"/>
      <c r="DU973" s="981"/>
      <c r="DV973" s="981"/>
      <c r="DW973" s="981"/>
      <c r="DX973" s="981"/>
      <c r="DY973" s="981"/>
      <c r="DZ973" s="981"/>
      <c r="EA973" s="981"/>
      <c r="EB973" s="981"/>
      <c r="EC973" s="981"/>
      <c r="ED973" s="981"/>
      <c r="EE973" s="981"/>
      <c r="EF973" s="981"/>
      <c r="EG973" s="981"/>
      <c r="EH973" s="981"/>
      <c r="EI973" s="981"/>
      <c r="EJ973" s="981"/>
      <c r="EK973" s="981"/>
      <c r="EL973" s="981"/>
      <c r="EM973" s="981"/>
      <c r="EN973" s="981"/>
      <c r="EO973" s="981"/>
      <c r="EP973" s="981"/>
      <c r="EQ973" s="981"/>
      <c r="ER973" s="981"/>
      <c r="ES973" s="981"/>
      <c r="ET973" s="981"/>
      <c r="EU973" s="981"/>
      <c r="EV973" s="981"/>
      <c r="EW973" s="981"/>
      <c r="EX973" s="981"/>
      <c r="EY973" s="981"/>
      <c r="EZ973" s="981"/>
      <c r="FA973" s="981"/>
      <c r="FB973" s="981"/>
      <c r="FC973" s="981"/>
      <c r="FD973" s="981"/>
      <c r="FE973" s="981"/>
      <c r="FF973" s="981"/>
      <c r="FG973" s="981"/>
      <c r="FH973" s="981"/>
      <c r="FI973" s="981"/>
      <c r="FJ973" s="981"/>
      <c r="FK973" s="981"/>
      <c r="FL973" s="981"/>
      <c r="FM973" s="981"/>
      <c r="FN973" s="981"/>
      <c r="FO973" s="981"/>
      <c r="FP973" s="981"/>
      <c r="FQ973" s="981"/>
      <c r="FR973" s="981"/>
      <c r="FS973" s="981"/>
      <c r="FT973" s="981"/>
      <c r="FU973" s="981"/>
      <c r="FV973" s="981"/>
      <c r="FW973" s="981"/>
      <c r="FX973" s="981"/>
      <c r="FY973" s="981"/>
      <c r="FZ973" s="981"/>
      <c r="GA973" s="981"/>
      <c r="GB973" s="981"/>
      <c r="GC973" s="981"/>
      <c r="GD973" s="981"/>
      <c r="GE973" s="981"/>
      <c r="GF973" s="981"/>
      <c r="GG973" s="981"/>
      <c r="GH973" s="981"/>
      <c r="GI973" s="981"/>
      <c r="GJ973" s="981"/>
      <c r="GK973" s="981"/>
      <c r="GL973" s="981"/>
      <c r="GM973" s="981"/>
      <c r="GN973" s="981"/>
      <c r="GO973" s="981"/>
      <c r="GP973" s="981"/>
      <c r="GQ973" s="981"/>
      <c r="GR973" s="981"/>
      <c r="GS973" s="981"/>
      <c r="GT973" s="981"/>
      <c r="GU973" s="981"/>
      <c r="GV973" s="981"/>
      <c r="GW973" s="981"/>
      <c r="GX973" s="981"/>
      <c r="GY973" s="981"/>
      <c r="GZ973" s="981"/>
      <c r="HA973" s="981"/>
      <c r="HB973" s="981"/>
      <c r="HC973" s="981"/>
      <c r="HD973" s="981"/>
      <c r="HE973" s="981"/>
      <c r="HF973" s="981"/>
      <c r="HG973" s="981"/>
      <c r="HH973" s="981"/>
      <c r="HI973" s="981"/>
      <c r="HJ973" s="981"/>
      <c r="HK973" s="981"/>
      <c r="HL973" s="981"/>
      <c r="HM973" s="981"/>
      <c r="HN973" s="981"/>
      <c r="HO973" s="981"/>
      <c r="HP973" s="981"/>
      <c r="HQ973" s="981"/>
      <c r="HR973" s="981"/>
      <c r="HS973" s="981"/>
      <c r="HT973" s="981"/>
      <c r="HU973" s="981"/>
      <c r="HV973" s="981"/>
      <c r="HW973" s="981"/>
      <c r="HX973" s="981"/>
      <c r="HY973" s="981"/>
      <c r="HZ973" s="981"/>
      <c r="IA973" s="981"/>
      <c r="IB973" s="981"/>
      <c r="IC973" s="981"/>
      <c r="ID973" s="981"/>
      <c r="IE973" s="981"/>
      <c r="IF973" s="981"/>
      <c r="IG973" s="981"/>
      <c r="IH973" s="981"/>
      <c r="II973" s="981"/>
      <c r="IJ973" s="981"/>
      <c r="IK973" s="981"/>
      <c r="IL973" s="981"/>
      <c r="IM973" s="981"/>
      <c r="IN973" s="981"/>
      <c r="IO973" s="981"/>
      <c r="IP973" s="981"/>
      <c r="IQ973" s="981"/>
      <c r="IR973" s="981"/>
      <c r="IS973" s="981"/>
      <c r="IT973" s="981"/>
      <c r="IU973" s="981"/>
      <c r="IV973" s="981"/>
      <c r="IW973" s="981"/>
      <c r="IX973" s="981"/>
    </row>
    <row r="974" spans="1:258" x14ac:dyDescent="0.25">
      <c r="A974" s="125">
        <f t="shared" si="118"/>
        <v>934</v>
      </c>
      <c r="B974" s="885"/>
      <c r="C974" s="842" t="s">
        <v>10516</v>
      </c>
      <c r="D974" s="924">
        <v>76499.09</v>
      </c>
      <c r="E974" s="924">
        <f>D974/8*13.33</f>
        <v>127466.60871249999</v>
      </c>
      <c r="F974" s="136">
        <f>E974/13.33</f>
        <v>9562.3862499999996</v>
      </c>
      <c r="G974" s="122" t="s">
        <v>1963</v>
      </c>
      <c r="I974" s="885"/>
      <c r="J974" s="885"/>
      <c r="K974" s="885"/>
      <c r="L974" s="885"/>
      <c r="M974" s="885"/>
      <c r="N974" s="885"/>
      <c r="O974" s="885"/>
      <c r="P974" s="885"/>
      <c r="Q974" s="885"/>
      <c r="R974" s="885"/>
      <c r="S974" s="885"/>
      <c r="T974" s="885"/>
      <c r="U974" s="885"/>
      <c r="V974" s="885"/>
      <c r="W974" s="885"/>
      <c r="X974" s="885"/>
      <c r="Y974" s="885"/>
      <c r="Z974" s="885"/>
      <c r="AA974" s="885"/>
      <c r="AB974" s="885"/>
      <c r="AC974" s="885"/>
      <c r="AD974" s="885"/>
      <c r="AE974" s="885"/>
      <c r="AF974" s="885"/>
      <c r="AG974" s="885"/>
      <c r="AH974" s="885"/>
      <c r="AI974" s="885"/>
      <c r="AJ974" s="885"/>
      <c r="AK974" s="885"/>
      <c r="AL974" s="885"/>
      <c r="AM974" s="885"/>
      <c r="AN974" s="885"/>
      <c r="AO974" s="885"/>
      <c r="AP974" s="885"/>
      <c r="AQ974" s="885"/>
      <c r="AR974" s="885"/>
      <c r="AS974" s="885"/>
      <c r="AT974" s="885"/>
      <c r="AU974" s="885"/>
      <c r="AV974" s="885"/>
      <c r="AW974" s="885"/>
      <c r="AX974" s="885"/>
      <c r="AY974" s="885"/>
      <c r="AZ974" s="885"/>
      <c r="BA974" s="885"/>
      <c r="BB974" s="885"/>
      <c r="BC974" s="885"/>
      <c r="BD974" s="885"/>
      <c r="BE974" s="885"/>
      <c r="BF974" s="885"/>
      <c r="BG974" s="885"/>
      <c r="BH974" s="885"/>
      <c r="BI974" s="885"/>
      <c r="BJ974" s="885"/>
      <c r="BK974" s="885"/>
      <c r="BL974" s="885"/>
      <c r="BM974" s="885"/>
      <c r="BN974" s="885"/>
      <c r="BO974" s="885"/>
      <c r="BP974" s="885"/>
      <c r="BQ974" s="885"/>
      <c r="BR974" s="885"/>
      <c r="BS974" s="885"/>
      <c r="BT974" s="885"/>
      <c r="BU974" s="885"/>
      <c r="BV974" s="885"/>
      <c r="BW974" s="885"/>
      <c r="BX974" s="885"/>
      <c r="BY974" s="885"/>
      <c r="BZ974" s="885"/>
      <c r="CA974" s="885"/>
      <c r="CB974" s="885"/>
      <c r="CC974" s="885"/>
      <c r="CD974" s="885"/>
      <c r="CE974" s="885"/>
      <c r="CF974" s="885"/>
      <c r="CG974" s="885"/>
      <c r="CH974" s="885"/>
      <c r="CI974" s="885"/>
      <c r="CJ974" s="885"/>
      <c r="CK974" s="885"/>
      <c r="CL974" s="885"/>
      <c r="CM974" s="885"/>
      <c r="CN974" s="885"/>
      <c r="CO974" s="885"/>
      <c r="CP974" s="885"/>
      <c r="CQ974" s="885"/>
      <c r="CR974" s="885"/>
      <c r="CS974" s="885"/>
      <c r="CT974" s="885"/>
      <c r="CU974" s="885"/>
      <c r="CV974" s="885"/>
      <c r="CW974" s="885"/>
      <c r="CX974" s="885"/>
      <c r="CY974" s="885"/>
      <c r="CZ974" s="885"/>
      <c r="DA974" s="885"/>
      <c r="DB974" s="885"/>
      <c r="DC974" s="885"/>
      <c r="DD974" s="885"/>
      <c r="DE974" s="885"/>
      <c r="DF974" s="885"/>
      <c r="DG974" s="885"/>
      <c r="DH974" s="885"/>
      <c r="DI974" s="885"/>
      <c r="DJ974" s="885"/>
      <c r="DK974" s="885"/>
      <c r="DL974" s="885"/>
      <c r="DM974" s="885"/>
      <c r="DN974" s="885"/>
      <c r="DO974" s="885"/>
      <c r="DP974" s="885"/>
      <c r="DQ974" s="885"/>
      <c r="DR974" s="885"/>
      <c r="DS974" s="885"/>
      <c r="DT974" s="885"/>
      <c r="DU974" s="885"/>
      <c r="DV974" s="885"/>
      <c r="DW974" s="885"/>
      <c r="DX974" s="885"/>
      <c r="DY974" s="885"/>
      <c r="DZ974" s="885"/>
      <c r="EA974" s="885"/>
      <c r="EB974" s="885"/>
      <c r="EC974" s="885"/>
      <c r="ED974" s="885"/>
      <c r="EE974" s="885"/>
      <c r="EF974" s="885"/>
      <c r="EG974" s="885"/>
      <c r="EH974" s="885"/>
      <c r="EI974" s="885"/>
      <c r="EJ974" s="885"/>
      <c r="EK974" s="885"/>
      <c r="EL974" s="885"/>
      <c r="EM974" s="885"/>
      <c r="EN974" s="885"/>
      <c r="EO974" s="885"/>
      <c r="EP974" s="885"/>
      <c r="EQ974" s="885"/>
      <c r="ER974" s="885"/>
      <c r="ES974" s="885"/>
      <c r="ET974" s="885"/>
      <c r="EU974" s="885"/>
      <c r="EV974" s="885"/>
      <c r="EW974" s="885"/>
      <c r="EX974" s="885"/>
      <c r="EY974" s="885"/>
      <c r="EZ974" s="885"/>
      <c r="FA974" s="885"/>
      <c r="FB974" s="885"/>
      <c r="FC974" s="885"/>
      <c r="FD974" s="885"/>
      <c r="FE974" s="885"/>
      <c r="FF974" s="885"/>
      <c r="FG974" s="885"/>
      <c r="FH974" s="885"/>
      <c r="FI974" s="885"/>
      <c r="FJ974" s="885"/>
      <c r="FK974" s="885"/>
      <c r="FL974" s="885"/>
      <c r="FM974" s="885"/>
      <c r="FN974" s="885"/>
      <c r="FO974" s="885"/>
      <c r="FP974" s="885"/>
      <c r="FQ974" s="885"/>
      <c r="FR974" s="885"/>
      <c r="FS974" s="885"/>
      <c r="FT974" s="885"/>
      <c r="FU974" s="885"/>
      <c r="FV974" s="885"/>
      <c r="FW974" s="885"/>
      <c r="FX974" s="885"/>
      <c r="FY974" s="885"/>
      <c r="FZ974" s="885"/>
      <c r="GA974" s="885"/>
      <c r="GB974" s="885"/>
      <c r="GC974" s="885"/>
      <c r="GD974" s="885"/>
      <c r="GE974" s="885"/>
      <c r="GF974" s="885"/>
      <c r="GG974" s="885"/>
      <c r="GH974" s="885"/>
      <c r="GI974" s="885"/>
      <c r="GJ974" s="885"/>
      <c r="GK974" s="885"/>
      <c r="GL974" s="885"/>
      <c r="GM974" s="885"/>
      <c r="GN974" s="885"/>
      <c r="GO974" s="885"/>
      <c r="GP974" s="885"/>
      <c r="GQ974" s="885"/>
      <c r="GR974" s="885"/>
      <c r="GS974" s="885"/>
      <c r="GT974" s="885"/>
      <c r="GU974" s="885"/>
      <c r="GV974" s="885"/>
      <c r="GW974" s="885"/>
      <c r="GX974" s="885"/>
      <c r="GY974" s="885"/>
      <c r="GZ974" s="885"/>
      <c r="HA974" s="885"/>
      <c r="HB974" s="885"/>
      <c r="HC974" s="885"/>
      <c r="HD974" s="885"/>
      <c r="HE974" s="885"/>
      <c r="HF974" s="885"/>
      <c r="HG974" s="885"/>
      <c r="HH974" s="885"/>
      <c r="HI974" s="885"/>
      <c r="HJ974" s="885"/>
      <c r="HK974" s="885"/>
      <c r="HL974" s="885"/>
      <c r="HM974" s="885"/>
      <c r="HN974" s="885"/>
      <c r="HO974" s="885"/>
      <c r="HP974" s="885"/>
      <c r="HQ974" s="885"/>
      <c r="HR974" s="885"/>
      <c r="HS974" s="885"/>
      <c r="HT974" s="885"/>
      <c r="HU974" s="885"/>
      <c r="HV974" s="885"/>
      <c r="HW974" s="885"/>
      <c r="HX974" s="885"/>
      <c r="HY974" s="885"/>
      <c r="HZ974" s="885"/>
      <c r="IA974" s="885"/>
      <c r="IB974" s="885"/>
      <c r="IC974" s="885"/>
      <c r="ID974" s="885"/>
      <c r="IE974" s="885"/>
      <c r="IF974" s="885"/>
      <c r="IG974" s="885"/>
      <c r="IH974" s="885"/>
      <c r="II974" s="885"/>
      <c r="IJ974" s="885"/>
      <c r="IK974" s="885"/>
      <c r="IL974" s="885"/>
      <c r="IM974" s="885"/>
      <c r="IN974" s="885"/>
      <c r="IO974" s="885"/>
      <c r="IP974" s="885"/>
      <c r="IQ974" s="885"/>
      <c r="IR974" s="885"/>
      <c r="IS974" s="885"/>
      <c r="IT974" s="885"/>
      <c r="IU974" s="885"/>
      <c r="IV974" s="885"/>
      <c r="IW974" s="885"/>
      <c r="IX974" s="885"/>
    </row>
    <row r="975" spans="1:258" x14ac:dyDescent="0.25">
      <c r="A975" s="125">
        <f t="shared" si="118"/>
        <v>935</v>
      </c>
      <c r="B975" s="954"/>
      <c r="C975" s="842" t="s">
        <v>11532</v>
      </c>
      <c r="D975" s="924">
        <v>11806.76</v>
      </c>
      <c r="E975" s="924">
        <f t="shared" ref="E975" si="119">D975/8*12</f>
        <v>17710.14</v>
      </c>
      <c r="F975" s="136">
        <v>0</v>
      </c>
      <c r="G975" s="122" t="s">
        <v>1963</v>
      </c>
      <c r="I975" s="954"/>
      <c r="J975" s="954"/>
      <c r="K975" s="954"/>
      <c r="L975" s="954"/>
      <c r="M975" s="954"/>
      <c r="N975" s="954"/>
      <c r="O975" s="954"/>
      <c r="P975" s="954"/>
      <c r="Q975" s="954"/>
      <c r="R975" s="954"/>
      <c r="S975" s="954"/>
      <c r="T975" s="954"/>
      <c r="U975" s="954"/>
      <c r="V975" s="954"/>
      <c r="W975" s="954"/>
      <c r="X975" s="954"/>
      <c r="Y975" s="954"/>
      <c r="Z975" s="954"/>
      <c r="AA975" s="954"/>
      <c r="AB975" s="954"/>
      <c r="AC975" s="954"/>
      <c r="AD975" s="954"/>
      <c r="AE975" s="954"/>
      <c r="AF975" s="954"/>
      <c r="AG975" s="954"/>
      <c r="AH975" s="954"/>
      <c r="AI975" s="954"/>
      <c r="AJ975" s="954"/>
      <c r="AK975" s="954"/>
      <c r="AL975" s="954"/>
      <c r="AM975" s="954"/>
      <c r="AN975" s="954"/>
      <c r="AO975" s="954"/>
      <c r="AP975" s="954"/>
      <c r="AQ975" s="954"/>
      <c r="AR975" s="954"/>
      <c r="AS975" s="954"/>
      <c r="AT975" s="954"/>
      <c r="AU975" s="954"/>
      <c r="AV975" s="954"/>
      <c r="AW975" s="954"/>
      <c r="AX975" s="954"/>
      <c r="AY975" s="954"/>
      <c r="AZ975" s="954"/>
      <c r="BA975" s="954"/>
      <c r="BB975" s="954"/>
      <c r="BC975" s="954"/>
      <c r="BD975" s="954"/>
      <c r="BE975" s="954"/>
      <c r="BF975" s="954"/>
      <c r="BG975" s="954"/>
      <c r="BH975" s="954"/>
      <c r="BI975" s="954"/>
      <c r="BJ975" s="954"/>
      <c r="BK975" s="954"/>
      <c r="BL975" s="954"/>
      <c r="BM975" s="954"/>
      <c r="BN975" s="954"/>
      <c r="BO975" s="954"/>
      <c r="BP975" s="954"/>
      <c r="BQ975" s="954"/>
      <c r="BR975" s="954"/>
      <c r="BS975" s="954"/>
      <c r="BT975" s="954"/>
      <c r="BU975" s="954"/>
      <c r="BV975" s="954"/>
      <c r="BW975" s="954"/>
      <c r="BX975" s="954"/>
      <c r="BY975" s="954"/>
      <c r="BZ975" s="954"/>
      <c r="CA975" s="954"/>
      <c r="CB975" s="954"/>
      <c r="CC975" s="954"/>
      <c r="CD975" s="954"/>
      <c r="CE975" s="954"/>
      <c r="CF975" s="954"/>
      <c r="CG975" s="954"/>
      <c r="CH975" s="954"/>
      <c r="CI975" s="954"/>
      <c r="CJ975" s="954"/>
      <c r="CK975" s="954"/>
      <c r="CL975" s="954"/>
      <c r="CM975" s="954"/>
      <c r="CN975" s="954"/>
      <c r="CO975" s="954"/>
      <c r="CP975" s="954"/>
      <c r="CQ975" s="954"/>
      <c r="CR975" s="954"/>
      <c r="CS975" s="954"/>
      <c r="CT975" s="954"/>
      <c r="CU975" s="954"/>
      <c r="CV975" s="954"/>
      <c r="CW975" s="954"/>
      <c r="CX975" s="954"/>
      <c r="CY975" s="954"/>
      <c r="CZ975" s="954"/>
      <c r="DA975" s="954"/>
      <c r="DB975" s="954"/>
      <c r="DC975" s="954"/>
      <c r="DD975" s="954"/>
      <c r="DE975" s="954"/>
      <c r="DF975" s="954"/>
      <c r="DG975" s="954"/>
      <c r="DH975" s="954"/>
      <c r="DI975" s="954"/>
      <c r="DJ975" s="954"/>
      <c r="DK975" s="954"/>
      <c r="DL975" s="954"/>
      <c r="DM975" s="954"/>
      <c r="DN975" s="954"/>
      <c r="DO975" s="954"/>
      <c r="DP975" s="954"/>
      <c r="DQ975" s="954"/>
      <c r="DR975" s="954"/>
      <c r="DS975" s="954"/>
      <c r="DT975" s="954"/>
      <c r="DU975" s="954"/>
      <c r="DV975" s="954"/>
      <c r="DW975" s="954"/>
      <c r="DX975" s="954"/>
      <c r="DY975" s="954"/>
      <c r="DZ975" s="954"/>
      <c r="EA975" s="954"/>
      <c r="EB975" s="954"/>
      <c r="EC975" s="954"/>
      <c r="ED975" s="954"/>
      <c r="EE975" s="954"/>
      <c r="EF975" s="954"/>
      <c r="EG975" s="954"/>
      <c r="EH975" s="954"/>
      <c r="EI975" s="954"/>
      <c r="EJ975" s="954"/>
      <c r="EK975" s="954"/>
      <c r="EL975" s="954"/>
      <c r="EM975" s="954"/>
      <c r="EN975" s="954"/>
      <c r="EO975" s="954"/>
      <c r="EP975" s="954"/>
      <c r="EQ975" s="954"/>
      <c r="ER975" s="954"/>
      <c r="ES975" s="954"/>
      <c r="ET975" s="954"/>
      <c r="EU975" s="954"/>
      <c r="EV975" s="954"/>
      <c r="EW975" s="954"/>
      <c r="EX975" s="954"/>
      <c r="EY975" s="954"/>
      <c r="EZ975" s="954"/>
      <c r="FA975" s="954"/>
      <c r="FB975" s="954"/>
      <c r="FC975" s="954"/>
      <c r="FD975" s="954"/>
      <c r="FE975" s="954"/>
      <c r="FF975" s="954"/>
      <c r="FG975" s="954"/>
      <c r="FH975" s="954"/>
      <c r="FI975" s="954"/>
      <c r="FJ975" s="954"/>
      <c r="FK975" s="954"/>
      <c r="FL975" s="954"/>
      <c r="FM975" s="954"/>
      <c r="FN975" s="954"/>
      <c r="FO975" s="954"/>
      <c r="FP975" s="954"/>
      <c r="FQ975" s="954"/>
      <c r="FR975" s="954"/>
      <c r="FS975" s="954"/>
      <c r="FT975" s="954"/>
      <c r="FU975" s="954"/>
      <c r="FV975" s="954"/>
      <c r="FW975" s="954"/>
      <c r="FX975" s="954"/>
      <c r="FY975" s="954"/>
      <c r="FZ975" s="954"/>
      <c r="GA975" s="954"/>
      <c r="GB975" s="954"/>
      <c r="GC975" s="954"/>
      <c r="GD975" s="954"/>
      <c r="GE975" s="954"/>
      <c r="GF975" s="954"/>
      <c r="GG975" s="954"/>
      <c r="GH975" s="954"/>
      <c r="GI975" s="954"/>
      <c r="GJ975" s="954"/>
      <c r="GK975" s="954"/>
      <c r="GL975" s="954"/>
      <c r="GM975" s="954"/>
      <c r="GN975" s="954"/>
      <c r="GO975" s="954"/>
      <c r="GP975" s="954"/>
      <c r="GQ975" s="954"/>
      <c r="GR975" s="954"/>
      <c r="GS975" s="954"/>
      <c r="GT975" s="954"/>
      <c r="GU975" s="954"/>
      <c r="GV975" s="954"/>
      <c r="GW975" s="954"/>
      <c r="GX975" s="954"/>
      <c r="GY975" s="954"/>
      <c r="GZ975" s="954"/>
      <c r="HA975" s="954"/>
      <c r="HB975" s="954"/>
      <c r="HC975" s="954"/>
      <c r="HD975" s="954"/>
      <c r="HE975" s="954"/>
      <c r="HF975" s="954"/>
      <c r="HG975" s="954"/>
      <c r="HH975" s="954"/>
      <c r="HI975" s="954"/>
      <c r="HJ975" s="954"/>
      <c r="HK975" s="954"/>
      <c r="HL975" s="954"/>
      <c r="HM975" s="954"/>
      <c r="HN975" s="954"/>
      <c r="HO975" s="954"/>
      <c r="HP975" s="954"/>
      <c r="HQ975" s="954"/>
      <c r="HR975" s="954"/>
      <c r="HS975" s="954"/>
      <c r="HT975" s="954"/>
      <c r="HU975" s="954"/>
      <c r="HV975" s="954"/>
      <c r="HW975" s="954"/>
      <c r="HX975" s="954"/>
      <c r="HY975" s="954"/>
      <c r="HZ975" s="954"/>
      <c r="IA975" s="954"/>
      <c r="IB975" s="954"/>
      <c r="IC975" s="954"/>
      <c r="ID975" s="954"/>
      <c r="IE975" s="954"/>
      <c r="IF975" s="954"/>
      <c r="IG975" s="954"/>
      <c r="IH975" s="954"/>
      <c r="II975" s="954"/>
      <c r="IJ975" s="954"/>
      <c r="IK975" s="954"/>
      <c r="IL975" s="954"/>
      <c r="IM975" s="954"/>
      <c r="IN975" s="954"/>
      <c r="IO975" s="954"/>
      <c r="IP975" s="954"/>
      <c r="IQ975" s="954"/>
      <c r="IR975" s="954"/>
      <c r="IS975" s="954"/>
      <c r="IT975" s="954"/>
      <c r="IU975" s="954"/>
      <c r="IV975" s="954"/>
      <c r="IW975" s="954"/>
      <c r="IX975" s="954"/>
    </row>
    <row r="976" spans="1:258" x14ac:dyDescent="0.25">
      <c r="A976" s="125">
        <f t="shared" si="118"/>
        <v>936</v>
      </c>
      <c r="B976" s="885"/>
      <c r="C976" s="842" t="s">
        <v>10503</v>
      </c>
      <c r="D976" s="924">
        <v>0</v>
      </c>
      <c r="E976" s="924">
        <v>0</v>
      </c>
      <c r="F976" s="136">
        <v>1</v>
      </c>
      <c r="G976" s="122" t="s">
        <v>1963</v>
      </c>
      <c r="I976" s="885"/>
      <c r="J976" s="885"/>
      <c r="K976" s="885"/>
      <c r="L976" s="885"/>
      <c r="M976" s="885"/>
      <c r="N976" s="885"/>
      <c r="O976" s="885"/>
      <c r="P976" s="885"/>
      <c r="Q976" s="885"/>
      <c r="R976" s="885"/>
      <c r="S976" s="885"/>
      <c r="T976" s="885"/>
      <c r="U976" s="885"/>
      <c r="V976" s="885"/>
      <c r="W976" s="885"/>
      <c r="X976" s="885"/>
      <c r="Y976" s="885"/>
      <c r="Z976" s="885"/>
      <c r="AA976" s="885"/>
      <c r="AB976" s="885"/>
      <c r="AC976" s="885"/>
      <c r="AD976" s="885"/>
      <c r="AE976" s="885"/>
      <c r="AF976" s="885"/>
      <c r="AG976" s="885"/>
      <c r="AH976" s="885"/>
      <c r="AI976" s="885"/>
      <c r="AJ976" s="885"/>
      <c r="AK976" s="885"/>
      <c r="AL976" s="885"/>
      <c r="AM976" s="885"/>
      <c r="AN976" s="885"/>
      <c r="AO976" s="885"/>
      <c r="AP976" s="885"/>
      <c r="AQ976" s="885"/>
      <c r="AR976" s="885"/>
      <c r="AS976" s="885"/>
      <c r="AT976" s="885"/>
      <c r="AU976" s="885"/>
      <c r="AV976" s="885"/>
      <c r="AW976" s="885"/>
      <c r="AX976" s="885"/>
      <c r="AY976" s="885"/>
      <c r="AZ976" s="885"/>
      <c r="BA976" s="885"/>
      <c r="BB976" s="885"/>
      <c r="BC976" s="885"/>
      <c r="BD976" s="885"/>
      <c r="BE976" s="885"/>
      <c r="BF976" s="885"/>
      <c r="BG976" s="885"/>
      <c r="BH976" s="885"/>
      <c r="BI976" s="885"/>
      <c r="BJ976" s="885"/>
      <c r="BK976" s="885"/>
      <c r="BL976" s="885"/>
      <c r="BM976" s="885"/>
      <c r="BN976" s="885"/>
      <c r="BO976" s="885"/>
      <c r="BP976" s="885"/>
      <c r="BQ976" s="885"/>
      <c r="BR976" s="885"/>
      <c r="BS976" s="885"/>
      <c r="BT976" s="885"/>
      <c r="BU976" s="885"/>
      <c r="BV976" s="885"/>
      <c r="BW976" s="885"/>
      <c r="BX976" s="885"/>
      <c r="BY976" s="885"/>
      <c r="BZ976" s="885"/>
      <c r="CA976" s="885"/>
      <c r="CB976" s="885"/>
      <c r="CC976" s="885"/>
      <c r="CD976" s="885"/>
      <c r="CE976" s="885"/>
      <c r="CF976" s="885"/>
      <c r="CG976" s="885"/>
      <c r="CH976" s="885"/>
      <c r="CI976" s="885"/>
      <c r="CJ976" s="885"/>
      <c r="CK976" s="885"/>
      <c r="CL976" s="885"/>
      <c r="CM976" s="885"/>
      <c r="CN976" s="885"/>
      <c r="CO976" s="885"/>
      <c r="CP976" s="885"/>
      <c r="CQ976" s="885"/>
      <c r="CR976" s="885"/>
      <c r="CS976" s="885"/>
      <c r="CT976" s="885"/>
      <c r="CU976" s="885"/>
      <c r="CV976" s="885"/>
      <c r="CW976" s="885"/>
      <c r="CX976" s="885"/>
      <c r="CY976" s="885"/>
      <c r="CZ976" s="885"/>
      <c r="DA976" s="885"/>
      <c r="DB976" s="885"/>
      <c r="DC976" s="885"/>
      <c r="DD976" s="885"/>
      <c r="DE976" s="885"/>
      <c r="DF976" s="885"/>
      <c r="DG976" s="885"/>
      <c r="DH976" s="885"/>
      <c r="DI976" s="885"/>
      <c r="DJ976" s="885"/>
      <c r="DK976" s="885"/>
      <c r="DL976" s="885"/>
      <c r="DM976" s="885"/>
      <c r="DN976" s="885"/>
      <c r="DO976" s="885"/>
      <c r="DP976" s="885"/>
      <c r="DQ976" s="885"/>
      <c r="DR976" s="885"/>
      <c r="DS976" s="885"/>
      <c r="DT976" s="885"/>
      <c r="DU976" s="885"/>
      <c r="DV976" s="885"/>
      <c r="DW976" s="885"/>
      <c r="DX976" s="885"/>
      <c r="DY976" s="885"/>
      <c r="DZ976" s="885"/>
      <c r="EA976" s="885"/>
      <c r="EB976" s="885"/>
      <c r="EC976" s="885"/>
      <c r="ED976" s="885"/>
      <c r="EE976" s="885"/>
      <c r="EF976" s="885"/>
      <c r="EG976" s="885"/>
      <c r="EH976" s="885"/>
      <c r="EI976" s="885"/>
      <c r="EJ976" s="885"/>
      <c r="EK976" s="885"/>
      <c r="EL976" s="885"/>
      <c r="EM976" s="885"/>
      <c r="EN976" s="885"/>
      <c r="EO976" s="885"/>
      <c r="EP976" s="885"/>
      <c r="EQ976" s="885"/>
      <c r="ER976" s="885"/>
      <c r="ES976" s="885"/>
      <c r="ET976" s="885"/>
      <c r="EU976" s="885"/>
      <c r="EV976" s="885"/>
      <c r="EW976" s="885"/>
      <c r="EX976" s="885"/>
      <c r="EY976" s="885"/>
      <c r="EZ976" s="885"/>
      <c r="FA976" s="885"/>
      <c r="FB976" s="885"/>
      <c r="FC976" s="885"/>
      <c r="FD976" s="885"/>
      <c r="FE976" s="885"/>
      <c r="FF976" s="885"/>
      <c r="FG976" s="885"/>
      <c r="FH976" s="885"/>
      <c r="FI976" s="885"/>
      <c r="FJ976" s="885"/>
      <c r="FK976" s="885"/>
      <c r="FL976" s="885"/>
      <c r="FM976" s="885"/>
      <c r="FN976" s="885"/>
      <c r="FO976" s="885"/>
      <c r="FP976" s="885"/>
      <c r="FQ976" s="885"/>
      <c r="FR976" s="885"/>
      <c r="FS976" s="885"/>
      <c r="FT976" s="885"/>
      <c r="FU976" s="885"/>
      <c r="FV976" s="885"/>
      <c r="FW976" s="885"/>
      <c r="FX976" s="885"/>
      <c r="FY976" s="885"/>
      <c r="FZ976" s="885"/>
      <c r="GA976" s="885"/>
      <c r="GB976" s="885"/>
      <c r="GC976" s="885"/>
      <c r="GD976" s="885"/>
      <c r="GE976" s="885"/>
      <c r="GF976" s="885"/>
      <c r="GG976" s="885"/>
      <c r="GH976" s="885"/>
      <c r="GI976" s="885"/>
      <c r="GJ976" s="885"/>
      <c r="GK976" s="885"/>
      <c r="GL976" s="885"/>
      <c r="GM976" s="885"/>
      <c r="GN976" s="885"/>
      <c r="GO976" s="885"/>
      <c r="GP976" s="885"/>
      <c r="GQ976" s="885"/>
      <c r="GR976" s="885"/>
      <c r="GS976" s="885"/>
      <c r="GT976" s="885"/>
      <c r="GU976" s="885"/>
      <c r="GV976" s="885"/>
      <c r="GW976" s="885"/>
      <c r="GX976" s="885"/>
      <c r="GY976" s="885"/>
      <c r="GZ976" s="885"/>
      <c r="HA976" s="885"/>
      <c r="HB976" s="885"/>
      <c r="HC976" s="885"/>
      <c r="HD976" s="885"/>
      <c r="HE976" s="885"/>
      <c r="HF976" s="885"/>
      <c r="HG976" s="885"/>
      <c r="HH976" s="885"/>
      <c r="HI976" s="885"/>
      <c r="HJ976" s="885"/>
      <c r="HK976" s="885"/>
      <c r="HL976" s="885"/>
      <c r="HM976" s="885"/>
      <c r="HN976" s="885"/>
      <c r="HO976" s="885"/>
      <c r="HP976" s="885"/>
      <c r="HQ976" s="885"/>
      <c r="HR976" s="885"/>
      <c r="HS976" s="885"/>
      <c r="HT976" s="885"/>
      <c r="HU976" s="885"/>
      <c r="HV976" s="885"/>
      <c r="HW976" s="885"/>
      <c r="HX976" s="885"/>
      <c r="HY976" s="885"/>
      <c r="HZ976" s="885"/>
      <c r="IA976" s="885"/>
      <c r="IB976" s="885"/>
      <c r="IC976" s="885"/>
      <c r="ID976" s="885"/>
      <c r="IE976" s="885"/>
      <c r="IF976" s="885"/>
      <c r="IG976" s="885"/>
      <c r="IH976" s="885"/>
      <c r="II976" s="885"/>
      <c r="IJ976" s="885"/>
      <c r="IK976" s="885"/>
      <c r="IL976" s="885"/>
      <c r="IM976" s="885"/>
      <c r="IN976" s="885"/>
      <c r="IO976" s="885"/>
      <c r="IP976" s="885"/>
      <c r="IQ976" s="885"/>
      <c r="IR976" s="885"/>
      <c r="IS976" s="885"/>
      <c r="IT976" s="885"/>
      <c r="IU976" s="885"/>
      <c r="IV976" s="885"/>
      <c r="IW976" s="885"/>
      <c r="IX976" s="885"/>
    </row>
    <row r="977" spans="1:258" x14ac:dyDescent="0.25">
      <c r="A977" s="125">
        <f t="shared" si="118"/>
        <v>937</v>
      </c>
      <c r="B977" s="885"/>
      <c r="C977" s="842" t="s">
        <v>125</v>
      </c>
      <c r="D977" s="924">
        <v>0</v>
      </c>
      <c r="E977" s="924">
        <f t="shared" ref="E977:E988" si="120">D977/8*12</f>
        <v>0</v>
      </c>
      <c r="F977" s="136">
        <v>300</v>
      </c>
      <c r="G977" s="122" t="s">
        <v>1963</v>
      </c>
      <c r="I977" s="885"/>
      <c r="J977" s="885"/>
      <c r="K977" s="885"/>
      <c r="L977" s="885"/>
      <c r="M977" s="885"/>
      <c r="N977" s="885"/>
      <c r="O977" s="885"/>
      <c r="P977" s="885"/>
      <c r="Q977" s="885"/>
      <c r="R977" s="885"/>
      <c r="S977" s="885"/>
      <c r="T977" s="885"/>
      <c r="U977" s="885"/>
      <c r="V977" s="885"/>
      <c r="W977" s="885"/>
      <c r="X977" s="885"/>
      <c r="Y977" s="885"/>
      <c r="Z977" s="885"/>
      <c r="AA977" s="885"/>
      <c r="AB977" s="885"/>
      <c r="AC977" s="885"/>
      <c r="AD977" s="885"/>
      <c r="AE977" s="885"/>
      <c r="AF977" s="885"/>
      <c r="AG977" s="885"/>
      <c r="AH977" s="885"/>
      <c r="AI977" s="885"/>
      <c r="AJ977" s="885"/>
      <c r="AK977" s="885"/>
      <c r="AL977" s="885"/>
      <c r="AM977" s="885"/>
      <c r="AN977" s="885"/>
      <c r="AO977" s="885"/>
      <c r="AP977" s="885"/>
      <c r="AQ977" s="885"/>
      <c r="AR977" s="885"/>
      <c r="AS977" s="885"/>
      <c r="AT977" s="885"/>
      <c r="AU977" s="885"/>
      <c r="AV977" s="885"/>
      <c r="AW977" s="885"/>
      <c r="AX977" s="885"/>
      <c r="AY977" s="885"/>
      <c r="AZ977" s="885"/>
      <c r="BA977" s="885"/>
      <c r="BB977" s="885"/>
      <c r="BC977" s="885"/>
      <c r="BD977" s="885"/>
      <c r="BE977" s="885"/>
      <c r="BF977" s="885"/>
      <c r="BG977" s="885"/>
      <c r="BH977" s="885"/>
      <c r="BI977" s="885"/>
      <c r="BJ977" s="885"/>
      <c r="BK977" s="885"/>
      <c r="BL977" s="885"/>
      <c r="BM977" s="885"/>
      <c r="BN977" s="885"/>
      <c r="BO977" s="885"/>
      <c r="BP977" s="885"/>
      <c r="BQ977" s="885"/>
      <c r="BR977" s="885"/>
      <c r="BS977" s="885"/>
      <c r="BT977" s="885"/>
      <c r="BU977" s="885"/>
      <c r="BV977" s="885"/>
      <c r="BW977" s="885"/>
      <c r="BX977" s="885"/>
      <c r="BY977" s="885"/>
      <c r="BZ977" s="885"/>
      <c r="CA977" s="885"/>
      <c r="CB977" s="885"/>
      <c r="CC977" s="885"/>
      <c r="CD977" s="885"/>
      <c r="CE977" s="885"/>
      <c r="CF977" s="885"/>
      <c r="CG977" s="885"/>
      <c r="CH977" s="885"/>
      <c r="CI977" s="885"/>
      <c r="CJ977" s="885"/>
      <c r="CK977" s="885"/>
      <c r="CL977" s="885"/>
      <c r="CM977" s="885"/>
      <c r="CN977" s="885"/>
      <c r="CO977" s="885"/>
      <c r="CP977" s="885"/>
      <c r="CQ977" s="885"/>
      <c r="CR977" s="885"/>
      <c r="CS977" s="885"/>
      <c r="CT977" s="885"/>
      <c r="CU977" s="885"/>
      <c r="CV977" s="885"/>
      <c r="CW977" s="885"/>
      <c r="CX977" s="885"/>
      <c r="CY977" s="885"/>
      <c r="CZ977" s="885"/>
      <c r="DA977" s="885"/>
      <c r="DB977" s="885"/>
      <c r="DC977" s="885"/>
      <c r="DD977" s="885"/>
      <c r="DE977" s="885"/>
      <c r="DF977" s="885"/>
      <c r="DG977" s="885"/>
      <c r="DH977" s="885"/>
      <c r="DI977" s="885"/>
      <c r="DJ977" s="885"/>
      <c r="DK977" s="885"/>
      <c r="DL977" s="885"/>
      <c r="DM977" s="885"/>
      <c r="DN977" s="885"/>
      <c r="DO977" s="885"/>
      <c r="DP977" s="885"/>
      <c r="DQ977" s="885"/>
      <c r="DR977" s="885"/>
      <c r="DS977" s="885"/>
      <c r="DT977" s="885"/>
      <c r="DU977" s="885"/>
      <c r="DV977" s="885"/>
      <c r="DW977" s="885"/>
      <c r="DX977" s="885"/>
      <c r="DY977" s="885"/>
      <c r="DZ977" s="885"/>
      <c r="EA977" s="885"/>
      <c r="EB977" s="885"/>
      <c r="EC977" s="885"/>
      <c r="ED977" s="885"/>
      <c r="EE977" s="885"/>
      <c r="EF977" s="885"/>
      <c r="EG977" s="885"/>
      <c r="EH977" s="885"/>
      <c r="EI977" s="885"/>
      <c r="EJ977" s="885"/>
      <c r="EK977" s="885"/>
      <c r="EL977" s="885"/>
      <c r="EM977" s="885"/>
      <c r="EN977" s="885"/>
      <c r="EO977" s="885"/>
      <c r="EP977" s="885"/>
      <c r="EQ977" s="885"/>
      <c r="ER977" s="885"/>
      <c r="ES977" s="885"/>
      <c r="ET977" s="885"/>
      <c r="EU977" s="885"/>
      <c r="EV977" s="885"/>
      <c r="EW977" s="885"/>
      <c r="EX977" s="885"/>
      <c r="EY977" s="885"/>
      <c r="EZ977" s="885"/>
      <c r="FA977" s="885"/>
      <c r="FB977" s="885"/>
      <c r="FC977" s="885"/>
      <c r="FD977" s="885"/>
      <c r="FE977" s="885"/>
      <c r="FF977" s="885"/>
      <c r="FG977" s="885"/>
      <c r="FH977" s="885"/>
      <c r="FI977" s="885"/>
      <c r="FJ977" s="885"/>
      <c r="FK977" s="885"/>
      <c r="FL977" s="885"/>
      <c r="FM977" s="885"/>
      <c r="FN977" s="885"/>
      <c r="FO977" s="885"/>
      <c r="FP977" s="885"/>
      <c r="FQ977" s="885"/>
      <c r="FR977" s="885"/>
      <c r="FS977" s="885"/>
      <c r="FT977" s="885"/>
      <c r="FU977" s="885"/>
      <c r="FV977" s="885"/>
      <c r="FW977" s="885"/>
      <c r="FX977" s="885"/>
      <c r="FY977" s="885"/>
      <c r="FZ977" s="885"/>
      <c r="GA977" s="885"/>
      <c r="GB977" s="885"/>
      <c r="GC977" s="885"/>
      <c r="GD977" s="885"/>
      <c r="GE977" s="885"/>
      <c r="GF977" s="885"/>
      <c r="GG977" s="885"/>
      <c r="GH977" s="885"/>
      <c r="GI977" s="885"/>
      <c r="GJ977" s="885"/>
      <c r="GK977" s="885"/>
      <c r="GL977" s="885"/>
      <c r="GM977" s="885"/>
      <c r="GN977" s="885"/>
      <c r="GO977" s="885"/>
      <c r="GP977" s="885"/>
      <c r="GQ977" s="885"/>
      <c r="GR977" s="885"/>
      <c r="GS977" s="885"/>
      <c r="GT977" s="885"/>
      <c r="GU977" s="885"/>
      <c r="GV977" s="885"/>
      <c r="GW977" s="885"/>
      <c r="GX977" s="885"/>
      <c r="GY977" s="885"/>
      <c r="GZ977" s="885"/>
      <c r="HA977" s="885"/>
      <c r="HB977" s="885"/>
      <c r="HC977" s="885"/>
      <c r="HD977" s="885"/>
      <c r="HE977" s="885"/>
      <c r="HF977" s="885"/>
      <c r="HG977" s="885"/>
      <c r="HH977" s="885"/>
      <c r="HI977" s="885"/>
      <c r="HJ977" s="885"/>
      <c r="HK977" s="885"/>
      <c r="HL977" s="885"/>
      <c r="HM977" s="885"/>
      <c r="HN977" s="885"/>
      <c r="HO977" s="885"/>
      <c r="HP977" s="885"/>
      <c r="HQ977" s="885"/>
      <c r="HR977" s="885"/>
      <c r="HS977" s="885"/>
      <c r="HT977" s="885"/>
      <c r="HU977" s="885"/>
      <c r="HV977" s="885"/>
      <c r="HW977" s="885"/>
      <c r="HX977" s="885"/>
      <c r="HY977" s="885"/>
      <c r="HZ977" s="885"/>
      <c r="IA977" s="885"/>
      <c r="IB977" s="885"/>
      <c r="IC977" s="885"/>
      <c r="ID977" s="885"/>
      <c r="IE977" s="885"/>
      <c r="IF977" s="885"/>
      <c r="IG977" s="885"/>
      <c r="IH977" s="885"/>
      <c r="II977" s="885"/>
      <c r="IJ977" s="885"/>
      <c r="IK977" s="885"/>
      <c r="IL977" s="885"/>
      <c r="IM977" s="885"/>
      <c r="IN977" s="885"/>
      <c r="IO977" s="885"/>
      <c r="IP977" s="885"/>
      <c r="IQ977" s="885"/>
      <c r="IR977" s="885"/>
      <c r="IS977" s="885"/>
      <c r="IT977" s="885"/>
      <c r="IU977" s="885"/>
      <c r="IV977" s="885"/>
      <c r="IW977" s="885"/>
      <c r="IX977" s="885"/>
    </row>
    <row r="978" spans="1:258" x14ac:dyDescent="0.25">
      <c r="A978" s="125">
        <f t="shared" si="118"/>
        <v>938</v>
      </c>
      <c r="B978" s="885"/>
      <c r="C978" s="842" t="s">
        <v>10502</v>
      </c>
      <c r="D978" s="924">
        <v>69.63</v>
      </c>
      <c r="E978" s="924">
        <f t="shared" si="120"/>
        <v>104.44499999999999</v>
      </c>
      <c r="F978" s="136">
        <v>1000</v>
      </c>
      <c r="G978" s="122" t="s">
        <v>1963</v>
      </c>
      <c r="I978" s="885"/>
      <c r="J978" s="885"/>
      <c r="K978" s="885"/>
      <c r="L978" s="885"/>
      <c r="M978" s="885"/>
      <c r="N978" s="885"/>
      <c r="O978" s="885"/>
      <c r="P978" s="885"/>
      <c r="Q978" s="885"/>
      <c r="R978" s="885"/>
      <c r="S978" s="885"/>
      <c r="T978" s="885"/>
      <c r="U978" s="885"/>
      <c r="V978" s="885"/>
      <c r="W978" s="885"/>
      <c r="X978" s="885"/>
      <c r="Y978" s="885"/>
      <c r="Z978" s="885"/>
      <c r="AA978" s="885"/>
      <c r="AB978" s="885"/>
      <c r="AC978" s="885"/>
      <c r="AD978" s="885"/>
      <c r="AE978" s="885"/>
      <c r="AF978" s="885"/>
      <c r="AG978" s="885"/>
      <c r="AH978" s="885"/>
      <c r="AI978" s="885"/>
      <c r="AJ978" s="885"/>
      <c r="AK978" s="885"/>
      <c r="AL978" s="885"/>
      <c r="AM978" s="885"/>
      <c r="AN978" s="885"/>
      <c r="AO978" s="885"/>
      <c r="AP978" s="885"/>
      <c r="AQ978" s="885"/>
      <c r="AR978" s="885"/>
      <c r="AS978" s="885"/>
      <c r="AT978" s="885"/>
      <c r="AU978" s="885"/>
      <c r="AV978" s="885"/>
      <c r="AW978" s="885"/>
      <c r="AX978" s="885"/>
      <c r="AY978" s="885"/>
      <c r="AZ978" s="885"/>
      <c r="BA978" s="885"/>
      <c r="BB978" s="885"/>
      <c r="BC978" s="885"/>
      <c r="BD978" s="885"/>
      <c r="BE978" s="885"/>
      <c r="BF978" s="885"/>
      <c r="BG978" s="885"/>
      <c r="BH978" s="885"/>
      <c r="BI978" s="885"/>
      <c r="BJ978" s="885"/>
      <c r="BK978" s="885"/>
      <c r="BL978" s="885"/>
      <c r="BM978" s="885"/>
      <c r="BN978" s="885"/>
      <c r="BO978" s="885"/>
      <c r="BP978" s="885"/>
      <c r="BQ978" s="885"/>
      <c r="BR978" s="885"/>
      <c r="BS978" s="885"/>
      <c r="BT978" s="885"/>
      <c r="BU978" s="885"/>
      <c r="BV978" s="885"/>
      <c r="BW978" s="885"/>
      <c r="BX978" s="885"/>
      <c r="BY978" s="885"/>
      <c r="BZ978" s="885"/>
      <c r="CA978" s="885"/>
      <c r="CB978" s="885"/>
      <c r="CC978" s="885"/>
      <c r="CD978" s="885"/>
      <c r="CE978" s="885"/>
      <c r="CF978" s="885"/>
      <c r="CG978" s="885"/>
      <c r="CH978" s="885"/>
      <c r="CI978" s="885"/>
      <c r="CJ978" s="885"/>
      <c r="CK978" s="885"/>
      <c r="CL978" s="885"/>
      <c r="CM978" s="885"/>
      <c r="CN978" s="885"/>
      <c r="CO978" s="885"/>
      <c r="CP978" s="885"/>
      <c r="CQ978" s="885"/>
      <c r="CR978" s="885"/>
      <c r="CS978" s="885"/>
      <c r="CT978" s="885"/>
      <c r="CU978" s="885"/>
      <c r="CV978" s="885"/>
      <c r="CW978" s="885"/>
      <c r="CX978" s="885"/>
      <c r="CY978" s="885"/>
      <c r="CZ978" s="885"/>
      <c r="DA978" s="885"/>
      <c r="DB978" s="885"/>
      <c r="DC978" s="885"/>
      <c r="DD978" s="885"/>
      <c r="DE978" s="885"/>
      <c r="DF978" s="885"/>
      <c r="DG978" s="885"/>
      <c r="DH978" s="885"/>
      <c r="DI978" s="885"/>
      <c r="DJ978" s="885"/>
      <c r="DK978" s="885"/>
      <c r="DL978" s="885"/>
      <c r="DM978" s="885"/>
      <c r="DN978" s="885"/>
      <c r="DO978" s="885"/>
      <c r="DP978" s="885"/>
      <c r="DQ978" s="885"/>
      <c r="DR978" s="885"/>
      <c r="DS978" s="885"/>
      <c r="DT978" s="885"/>
      <c r="DU978" s="885"/>
      <c r="DV978" s="885"/>
      <c r="DW978" s="885"/>
      <c r="DX978" s="885"/>
      <c r="DY978" s="885"/>
      <c r="DZ978" s="885"/>
      <c r="EA978" s="885"/>
      <c r="EB978" s="885"/>
      <c r="EC978" s="885"/>
      <c r="ED978" s="885"/>
      <c r="EE978" s="885"/>
      <c r="EF978" s="885"/>
      <c r="EG978" s="885"/>
      <c r="EH978" s="885"/>
      <c r="EI978" s="885"/>
      <c r="EJ978" s="885"/>
      <c r="EK978" s="885"/>
      <c r="EL978" s="885"/>
      <c r="EM978" s="885"/>
      <c r="EN978" s="885"/>
      <c r="EO978" s="885"/>
      <c r="EP978" s="885"/>
      <c r="EQ978" s="885"/>
      <c r="ER978" s="885"/>
      <c r="ES978" s="885"/>
      <c r="ET978" s="885"/>
      <c r="EU978" s="885"/>
      <c r="EV978" s="885"/>
      <c r="EW978" s="885"/>
      <c r="EX978" s="885"/>
      <c r="EY978" s="885"/>
      <c r="EZ978" s="885"/>
      <c r="FA978" s="885"/>
      <c r="FB978" s="885"/>
      <c r="FC978" s="885"/>
      <c r="FD978" s="885"/>
      <c r="FE978" s="885"/>
      <c r="FF978" s="885"/>
      <c r="FG978" s="885"/>
      <c r="FH978" s="885"/>
      <c r="FI978" s="885"/>
      <c r="FJ978" s="885"/>
      <c r="FK978" s="885"/>
      <c r="FL978" s="885"/>
      <c r="FM978" s="885"/>
      <c r="FN978" s="885"/>
      <c r="FO978" s="885"/>
      <c r="FP978" s="885"/>
      <c r="FQ978" s="885"/>
      <c r="FR978" s="885"/>
      <c r="FS978" s="885"/>
      <c r="FT978" s="885"/>
      <c r="FU978" s="885"/>
      <c r="FV978" s="885"/>
      <c r="FW978" s="885"/>
      <c r="FX978" s="885"/>
      <c r="FY978" s="885"/>
      <c r="FZ978" s="885"/>
      <c r="GA978" s="885"/>
      <c r="GB978" s="885"/>
      <c r="GC978" s="885"/>
      <c r="GD978" s="885"/>
      <c r="GE978" s="885"/>
      <c r="GF978" s="885"/>
      <c r="GG978" s="885"/>
      <c r="GH978" s="885"/>
      <c r="GI978" s="885"/>
      <c r="GJ978" s="885"/>
      <c r="GK978" s="885"/>
      <c r="GL978" s="885"/>
      <c r="GM978" s="885"/>
      <c r="GN978" s="885"/>
      <c r="GO978" s="885"/>
      <c r="GP978" s="885"/>
      <c r="GQ978" s="885"/>
      <c r="GR978" s="885"/>
      <c r="GS978" s="885"/>
      <c r="GT978" s="885"/>
      <c r="GU978" s="885"/>
      <c r="GV978" s="885"/>
      <c r="GW978" s="885"/>
      <c r="GX978" s="885"/>
      <c r="GY978" s="885"/>
      <c r="GZ978" s="885"/>
      <c r="HA978" s="885"/>
      <c r="HB978" s="885"/>
      <c r="HC978" s="885"/>
      <c r="HD978" s="885"/>
      <c r="HE978" s="885"/>
      <c r="HF978" s="885"/>
      <c r="HG978" s="885"/>
      <c r="HH978" s="885"/>
      <c r="HI978" s="885"/>
      <c r="HJ978" s="885"/>
      <c r="HK978" s="885"/>
      <c r="HL978" s="885"/>
      <c r="HM978" s="885"/>
      <c r="HN978" s="885"/>
      <c r="HO978" s="885"/>
      <c r="HP978" s="885"/>
      <c r="HQ978" s="885"/>
      <c r="HR978" s="885"/>
      <c r="HS978" s="885"/>
      <c r="HT978" s="885"/>
      <c r="HU978" s="885"/>
      <c r="HV978" s="885"/>
      <c r="HW978" s="885"/>
      <c r="HX978" s="885"/>
      <c r="HY978" s="885"/>
      <c r="HZ978" s="885"/>
      <c r="IA978" s="885"/>
      <c r="IB978" s="885"/>
      <c r="IC978" s="885"/>
      <c r="ID978" s="885"/>
      <c r="IE978" s="885"/>
      <c r="IF978" s="885"/>
      <c r="IG978" s="885"/>
      <c r="IH978" s="885"/>
      <c r="II978" s="885"/>
      <c r="IJ978" s="885"/>
      <c r="IK978" s="885"/>
      <c r="IL978" s="885"/>
      <c r="IM978" s="885"/>
      <c r="IN978" s="885"/>
      <c r="IO978" s="885"/>
      <c r="IP978" s="885"/>
      <c r="IQ978" s="885"/>
      <c r="IR978" s="885"/>
      <c r="IS978" s="885"/>
      <c r="IT978" s="885"/>
      <c r="IU978" s="885"/>
      <c r="IV978" s="885"/>
      <c r="IW978" s="885"/>
      <c r="IX978" s="885"/>
    </row>
    <row r="979" spans="1:258" x14ac:dyDescent="0.25">
      <c r="A979" s="125">
        <f t="shared" si="118"/>
        <v>939</v>
      </c>
      <c r="B979" s="885"/>
      <c r="C979" s="842" t="s">
        <v>10519</v>
      </c>
      <c r="D979" s="924">
        <v>0</v>
      </c>
      <c r="E979" s="924">
        <f t="shared" si="120"/>
        <v>0</v>
      </c>
      <c r="F979" s="136">
        <v>3000</v>
      </c>
      <c r="G979" s="122" t="s">
        <v>1963</v>
      </c>
      <c r="I979" s="885"/>
      <c r="J979" s="885"/>
      <c r="K979" s="885"/>
      <c r="L979" s="885"/>
      <c r="M979" s="885"/>
      <c r="N979" s="885"/>
      <c r="O979" s="885"/>
      <c r="P979" s="885"/>
      <c r="Q979" s="885"/>
      <c r="R979" s="885"/>
      <c r="S979" s="885"/>
      <c r="T979" s="885"/>
      <c r="U979" s="885"/>
      <c r="V979" s="885"/>
      <c r="W979" s="885"/>
      <c r="X979" s="885"/>
      <c r="Y979" s="885"/>
      <c r="Z979" s="885"/>
      <c r="AA979" s="885"/>
      <c r="AB979" s="885"/>
      <c r="AC979" s="885"/>
      <c r="AD979" s="885"/>
      <c r="AE979" s="885"/>
      <c r="AF979" s="885"/>
      <c r="AG979" s="885"/>
      <c r="AH979" s="885"/>
      <c r="AI979" s="885"/>
      <c r="AJ979" s="885"/>
      <c r="AK979" s="885"/>
      <c r="AL979" s="885"/>
      <c r="AM979" s="885"/>
      <c r="AN979" s="885"/>
      <c r="AO979" s="885"/>
      <c r="AP979" s="885"/>
      <c r="AQ979" s="885"/>
      <c r="AR979" s="885"/>
      <c r="AS979" s="885"/>
      <c r="AT979" s="885"/>
      <c r="AU979" s="885"/>
      <c r="AV979" s="885"/>
      <c r="AW979" s="885"/>
      <c r="AX979" s="885"/>
      <c r="AY979" s="885"/>
      <c r="AZ979" s="885"/>
      <c r="BA979" s="885"/>
      <c r="BB979" s="885"/>
      <c r="BC979" s="885"/>
      <c r="BD979" s="885"/>
      <c r="BE979" s="885"/>
      <c r="BF979" s="885"/>
      <c r="BG979" s="885"/>
      <c r="BH979" s="885"/>
      <c r="BI979" s="885"/>
      <c r="BJ979" s="885"/>
      <c r="BK979" s="885"/>
      <c r="BL979" s="885"/>
      <c r="BM979" s="885"/>
      <c r="BN979" s="885"/>
      <c r="BO979" s="885"/>
      <c r="BP979" s="885"/>
      <c r="BQ979" s="885"/>
      <c r="BR979" s="885"/>
      <c r="BS979" s="885"/>
      <c r="BT979" s="885"/>
      <c r="BU979" s="885"/>
      <c r="BV979" s="885"/>
      <c r="BW979" s="885"/>
      <c r="BX979" s="885"/>
      <c r="BY979" s="885"/>
      <c r="BZ979" s="885"/>
      <c r="CA979" s="885"/>
      <c r="CB979" s="885"/>
      <c r="CC979" s="885"/>
      <c r="CD979" s="885"/>
      <c r="CE979" s="885"/>
      <c r="CF979" s="885"/>
      <c r="CG979" s="885"/>
      <c r="CH979" s="885"/>
      <c r="CI979" s="885"/>
      <c r="CJ979" s="885"/>
      <c r="CK979" s="885"/>
      <c r="CL979" s="885"/>
      <c r="CM979" s="885"/>
      <c r="CN979" s="885"/>
      <c r="CO979" s="885"/>
      <c r="CP979" s="885"/>
      <c r="CQ979" s="885"/>
      <c r="CR979" s="885"/>
      <c r="CS979" s="885"/>
      <c r="CT979" s="885"/>
      <c r="CU979" s="885"/>
      <c r="CV979" s="885"/>
      <c r="CW979" s="885"/>
      <c r="CX979" s="885"/>
      <c r="CY979" s="885"/>
      <c r="CZ979" s="885"/>
      <c r="DA979" s="885"/>
      <c r="DB979" s="885"/>
      <c r="DC979" s="885"/>
      <c r="DD979" s="885"/>
      <c r="DE979" s="885"/>
      <c r="DF979" s="885"/>
      <c r="DG979" s="885"/>
      <c r="DH979" s="885"/>
      <c r="DI979" s="885"/>
      <c r="DJ979" s="885"/>
      <c r="DK979" s="885"/>
      <c r="DL979" s="885"/>
      <c r="DM979" s="885"/>
      <c r="DN979" s="885"/>
      <c r="DO979" s="885"/>
      <c r="DP979" s="885"/>
      <c r="DQ979" s="885"/>
      <c r="DR979" s="885"/>
      <c r="DS979" s="885"/>
      <c r="DT979" s="885"/>
      <c r="DU979" s="885"/>
      <c r="DV979" s="885"/>
      <c r="DW979" s="885"/>
      <c r="DX979" s="885"/>
      <c r="DY979" s="885"/>
      <c r="DZ979" s="885"/>
      <c r="EA979" s="885"/>
      <c r="EB979" s="885"/>
      <c r="EC979" s="885"/>
      <c r="ED979" s="885"/>
      <c r="EE979" s="885"/>
      <c r="EF979" s="885"/>
      <c r="EG979" s="885"/>
      <c r="EH979" s="885"/>
      <c r="EI979" s="885"/>
      <c r="EJ979" s="885"/>
      <c r="EK979" s="885"/>
      <c r="EL979" s="885"/>
      <c r="EM979" s="885"/>
      <c r="EN979" s="885"/>
      <c r="EO979" s="885"/>
      <c r="EP979" s="885"/>
      <c r="EQ979" s="885"/>
      <c r="ER979" s="885"/>
      <c r="ES979" s="885"/>
      <c r="ET979" s="885"/>
      <c r="EU979" s="885"/>
      <c r="EV979" s="885"/>
      <c r="EW979" s="885"/>
      <c r="EX979" s="885"/>
      <c r="EY979" s="885"/>
      <c r="EZ979" s="885"/>
      <c r="FA979" s="885"/>
      <c r="FB979" s="885"/>
      <c r="FC979" s="885"/>
      <c r="FD979" s="885"/>
      <c r="FE979" s="885"/>
      <c r="FF979" s="885"/>
      <c r="FG979" s="885"/>
      <c r="FH979" s="885"/>
      <c r="FI979" s="885"/>
      <c r="FJ979" s="885"/>
      <c r="FK979" s="885"/>
      <c r="FL979" s="885"/>
      <c r="FM979" s="885"/>
      <c r="FN979" s="885"/>
      <c r="FO979" s="885"/>
      <c r="FP979" s="885"/>
      <c r="FQ979" s="885"/>
      <c r="FR979" s="885"/>
      <c r="FS979" s="885"/>
      <c r="FT979" s="885"/>
      <c r="FU979" s="885"/>
      <c r="FV979" s="885"/>
      <c r="FW979" s="885"/>
      <c r="FX979" s="885"/>
      <c r="FY979" s="885"/>
      <c r="FZ979" s="885"/>
      <c r="GA979" s="885"/>
      <c r="GB979" s="885"/>
      <c r="GC979" s="885"/>
      <c r="GD979" s="885"/>
      <c r="GE979" s="885"/>
      <c r="GF979" s="885"/>
      <c r="GG979" s="885"/>
      <c r="GH979" s="885"/>
      <c r="GI979" s="885"/>
      <c r="GJ979" s="885"/>
      <c r="GK979" s="885"/>
      <c r="GL979" s="885"/>
      <c r="GM979" s="885"/>
      <c r="GN979" s="885"/>
      <c r="GO979" s="885"/>
      <c r="GP979" s="885"/>
      <c r="GQ979" s="885"/>
      <c r="GR979" s="885"/>
      <c r="GS979" s="885"/>
      <c r="GT979" s="885"/>
      <c r="GU979" s="885"/>
      <c r="GV979" s="885"/>
      <c r="GW979" s="885"/>
      <c r="GX979" s="885"/>
      <c r="GY979" s="885"/>
      <c r="GZ979" s="885"/>
      <c r="HA979" s="885"/>
      <c r="HB979" s="885"/>
      <c r="HC979" s="885"/>
      <c r="HD979" s="885"/>
      <c r="HE979" s="885"/>
      <c r="HF979" s="885"/>
      <c r="HG979" s="885"/>
      <c r="HH979" s="885"/>
      <c r="HI979" s="885"/>
      <c r="HJ979" s="885"/>
      <c r="HK979" s="885"/>
      <c r="HL979" s="885"/>
      <c r="HM979" s="885"/>
      <c r="HN979" s="885"/>
      <c r="HO979" s="885"/>
      <c r="HP979" s="885"/>
      <c r="HQ979" s="885"/>
      <c r="HR979" s="885"/>
      <c r="HS979" s="885"/>
      <c r="HT979" s="885"/>
      <c r="HU979" s="885"/>
      <c r="HV979" s="885"/>
      <c r="HW979" s="885"/>
      <c r="HX979" s="885"/>
      <c r="HY979" s="885"/>
      <c r="HZ979" s="885"/>
      <c r="IA979" s="885"/>
      <c r="IB979" s="885"/>
      <c r="IC979" s="885"/>
      <c r="ID979" s="885"/>
      <c r="IE979" s="885"/>
      <c r="IF979" s="885"/>
      <c r="IG979" s="885"/>
      <c r="IH979" s="885"/>
      <c r="II979" s="885"/>
      <c r="IJ979" s="885"/>
      <c r="IK979" s="885"/>
      <c r="IL979" s="885"/>
      <c r="IM979" s="885"/>
      <c r="IN979" s="885"/>
      <c r="IO979" s="885"/>
      <c r="IP979" s="885"/>
      <c r="IQ979" s="885"/>
      <c r="IR979" s="885"/>
      <c r="IS979" s="885"/>
      <c r="IT979" s="885"/>
      <c r="IU979" s="885"/>
      <c r="IV979" s="885"/>
      <c r="IW979" s="885"/>
      <c r="IX979" s="885"/>
    </row>
    <row r="980" spans="1:258" x14ac:dyDescent="0.25">
      <c r="A980" s="125">
        <f t="shared" si="118"/>
        <v>940</v>
      </c>
      <c r="B980" s="885"/>
      <c r="C980" s="842" t="s">
        <v>10501</v>
      </c>
      <c r="D980" s="924">
        <v>0</v>
      </c>
      <c r="E980" s="924">
        <f t="shared" si="120"/>
        <v>0</v>
      </c>
      <c r="F980" s="136">
        <v>1500</v>
      </c>
      <c r="G980" s="122" t="s">
        <v>1963</v>
      </c>
      <c r="I980" s="885"/>
      <c r="J980" s="885"/>
      <c r="K980" s="885"/>
      <c r="L980" s="885"/>
      <c r="M980" s="885"/>
      <c r="N980" s="885"/>
      <c r="O980" s="885"/>
      <c r="P980" s="885"/>
      <c r="Q980" s="885"/>
      <c r="R980" s="885"/>
      <c r="S980" s="885"/>
      <c r="T980" s="885"/>
      <c r="U980" s="885"/>
      <c r="V980" s="885"/>
      <c r="W980" s="885"/>
      <c r="X980" s="885"/>
      <c r="Y980" s="885"/>
      <c r="Z980" s="885"/>
      <c r="AA980" s="885"/>
      <c r="AB980" s="885"/>
      <c r="AC980" s="885"/>
      <c r="AD980" s="885"/>
      <c r="AE980" s="885"/>
      <c r="AF980" s="885"/>
      <c r="AG980" s="885"/>
      <c r="AH980" s="885"/>
      <c r="AI980" s="885"/>
      <c r="AJ980" s="885"/>
      <c r="AK980" s="885"/>
      <c r="AL980" s="885"/>
      <c r="AM980" s="885"/>
      <c r="AN980" s="885"/>
      <c r="AO980" s="885"/>
      <c r="AP980" s="885"/>
      <c r="AQ980" s="885"/>
      <c r="AR980" s="885"/>
      <c r="AS980" s="885"/>
      <c r="AT980" s="885"/>
      <c r="AU980" s="885"/>
      <c r="AV980" s="885"/>
      <c r="AW980" s="885"/>
      <c r="AX980" s="885"/>
      <c r="AY980" s="885"/>
      <c r="AZ980" s="885"/>
      <c r="BA980" s="885"/>
      <c r="BB980" s="885"/>
      <c r="BC980" s="885"/>
      <c r="BD980" s="885"/>
      <c r="BE980" s="885"/>
      <c r="BF980" s="885"/>
      <c r="BG980" s="885"/>
      <c r="BH980" s="885"/>
      <c r="BI980" s="885"/>
      <c r="BJ980" s="885"/>
      <c r="BK980" s="885"/>
      <c r="BL980" s="885"/>
      <c r="BM980" s="885"/>
      <c r="BN980" s="885"/>
      <c r="BO980" s="885"/>
      <c r="BP980" s="885"/>
      <c r="BQ980" s="885"/>
      <c r="BR980" s="885"/>
      <c r="BS980" s="885"/>
      <c r="BT980" s="885"/>
      <c r="BU980" s="885"/>
      <c r="BV980" s="885"/>
      <c r="BW980" s="885"/>
      <c r="BX980" s="885"/>
      <c r="BY980" s="885"/>
      <c r="BZ980" s="885"/>
      <c r="CA980" s="885"/>
      <c r="CB980" s="885"/>
      <c r="CC980" s="885"/>
      <c r="CD980" s="885"/>
      <c r="CE980" s="885"/>
      <c r="CF980" s="885"/>
      <c r="CG980" s="885"/>
      <c r="CH980" s="885"/>
      <c r="CI980" s="885"/>
      <c r="CJ980" s="885"/>
      <c r="CK980" s="885"/>
      <c r="CL980" s="885"/>
      <c r="CM980" s="885"/>
      <c r="CN980" s="885"/>
      <c r="CO980" s="885"/>
      <c r="CP980" s="885"/>
      <c r="CQ980" s="885"/>
      <c r="CR980" s="885"/>
      <c r="CS980" s="885"/>
      <c r="CT980" s="885"/>
      <c r="CU980" s="885"/>
      <c r="CV980" s="885"/>
      <c r="CW980" s="885"/>
      <c r="CX980" s="885"/>
      <c r="CY980" s="885"/>
      <c r="CZ980" s="885"/>
      <c r="DA980" s="885"/>
      <c r="DB980" s="885"/>
      <c r="DC980" s="885"/>
      <c r="DD980" s="885"/>
      <c r="DE980" s="885"/>
      <c r="DF980" s="885"/>
      <c r="DG980" s="885"/>
      <c r="DH980" s="885"/>
      <c r="DI980" s="885"/>
      <c r="DJ980" s="885"/>
      <c r="DK980" s="885"/>
      <c r="DL980" s="885"/>
      <c r="DM980" s="885"/>
      <c r="DN980" s="885"/>
      <c r="DO980" s="885"/>
      <c r="DP980" s="885"/>
      <c r="DQ980" s="885"/>
      <c r="DR980" s="885"/>
      <c r="DS980" s="885"/>
      <c r="DT980" s="885"/>
      <c r="DU980" s="885"/>
      <c r="DV980" s="885"/>
      <c r="DW980" s="885"/>
      <c r="DX980" s="885"/>
      <c r="DY980" s="885"/>
      <c r="DZ980" s="885"/>
      <c r="EA980" s="885"/>
      <c r="EB980" s="885"/>
      <c r="EC980" s="885"/>
      <c r="ED980" s="885"/>
      <c r="EE980" s="885"/>
      <c r="EF980" s="885"/>
      <c r="EG980" s="885"/>
      <c r="EH980" s="885"/>
      <c r="EI980" s="885"/>
      <c r="EJ980" s="885"/>
      <c r="EK980" s="885"/>
      <c r="EL980" s="885"/>
      <c r="EM980" s="885"/>
      <c r="EN980" s="885"/>
      <c r="EO980" s="885"/>
      <c r="EP980" s="885"/>
      <c r="EQ980" s="885"/>
      <c r="ER980" s="885"/>
      <c r="ES980" s="885"/>
      <c r="ET980" s="885"/>
      <c r="EU980" s="885"/>
      <c r="EV980" s="885"/>
      <c r="EW980" s="885"/>
      <c r="EX980" s="885"/>
      <c r="EY980" s="885"/>
      <c r="EZ980" s="885"/>
      <c r="FA980" s="885"/>
      <c r="FB980" s="885"/>
      <c r="FC980" s="885"/>
      <c r="FD980" s="885"/>
      <c r="FE980" s="885"/>
      <c r="FF980" s="885"/>
      <c r="FG980" s="885"/>
      <c r="FH980" s="885"/>
      <c r="FI980" s="885"/>
      <c r="FJ980" s="885"/>
      <c r="FK980" s="885"/>
      <c r="FL980" s="885"/>
      <c r="FM980" s="885"/>
      <c r="FN980" s="885"/>
      <c r="FO980" s="885"/>
      <c r="FP980" s="885"/>
      <c r="FQ980" s="885"/>
      <c r="FR980" s="885"/>
      <c r="FS980" s="885"/>
      <c r="FT980" s="885"/>
      <c r="FU980" s="885"/>
      <c r="FV980" s="885"/>
      <c r="FW980" s="885"/>
      <c r="FX980" s="885"/>
      <c r="FY980" s="885"/>
      <c r="FZ980" s="885"/>
      <c r="GA980" s="885"/>
      <c r="GB980" s="885"/>
      <c r="GC980" s="885"/>
      <c r="GD980" s="885"/>
      <c r="GE980" s="885"/>
      <c r="GF980" s="885"/>
      <c r="GG980" s="885"/>
      <c r="GH980" s="885"/>
      <c r="GI980" s="885"/>
      <c r="GJ980" s="885"/>
      <c r="GK980" s="885"/>
      <c r="GL980" s="885"/>
      <c r="GM980" s="885"/>
      <c r="GN980" s="885"/>
      <c r="GO980" s="885"/>
      <c r="GP980" s="885"/>
      <c r="GQ980" s="885"/>
      <c r="GR980" s="885"/>
      <c r="GS980" s="885"/>
      <c r="GT980" s="885"/>
      <c r="GU980" s="885"/>
      <c r="GV980" s="885"/>
      <c r="GW980" s="885"/>
      <c r="GX980" s="885"/>
      <c r="GY980" s="885"/>
      <c r="GZ980" s="885"/>
      <c r="HA980" s="885"/>
      <c r="HB980" s="885"/>
      <c r="HC980" s="885"/>
      <c r="HD980" s="885"/>
      <c r="HE980" s="885"/>
      <c r="HF980" s="885"/>
      <c r="HG980" s="885"/>
      <c r="HH980" s="885"/>
      <c r="HI980" s="885"/>
      <c r="HJ980" s="885"/>
      <c r="HK980" s="885"/>
      <c r="HL980" s="885"/>
      <c r="HM980" s="885"/>
      <c r="HN980" s="885"/>
      <c r="HO980" s="885"/>
      <c r="HP980" s="885"/>
      <c r="HQ980" s="885"/>
      <c r="HR980" s="885"/>
      <c r="HS980" s="885"/>
      <c r="HT980" s="885"/>
      <c r="HU980" s="885"/>
      <c r="HV980" s="885"/>
      <c r="HW980" s="885"/>
      <c r="HX980" s="885"/>
      <c r="HY980" s="885"/>
      <c r="HZ980" s="885"/>
      <c r="IA980" s="885"/>
      <c r="IB980" s="885"/>
      <c r="IC980" s="885"/>
      <c r="ID980" s="885"/>
      <c r="IE980" s="885"/>
      <c r="IF980" s="885"/>
      <c r="IG980" s="885"/>
      <c r="IH980" s="885"/>
      <c r="II980" s="885"/>
      <c r="IJ980" s="885"/>
      <c r="IK980" s="885"/>
      <c r="IL980" s="885"/>
      <c r="IM980" s="885"/>
      <c r="IN980" s="885"/>
      <c r="IO980" s="885"/>
      <c r="IP980" s="885"/>
      <c r="IQ980" s="885"/>
      <c r="IR980" s="885"/>
      <c r="IS980" s="885"/>
      <c r="IT980" s="885"/>
      <c r="IU980" s="885"/>
      <c r="IV980" s="885"/>
      <c r="IW980" s="885"/>
      <c r="IX980" s="885"/>
    </row>
    <row r="981" spans="1:258" x14ac:dyDescent="0.25">
      <c r="A981" s="125">
        <f t="shared" si="118"/>
        <v>941</v>
      </c>
      <c r="B981" s="885"/>
      <c r="C981" s="842" t="s">
        <v>10500</v>
      </c>
      <c r="D981" s="924">
        <v>0</v>
      </c>
      <c r="E981" s="924">
        <f t="shared" si="120"/>
        <v>0</v>
      </c>
      <c r="F981" s="136">
        <v>5000</v>
      </c>
      <c r="G981" s="122" t="s">
        <v>1963</v>
      </c>
      <c r="I981" s="885"/>
      <c r="J981" s="885"/>
      <c r="K981" s="885"/>
      <c r="L981" s="885"/>
      <c r="M981" s="885"/>
      <c r="N981" s="885"/>
      <c r="O981" s="885"/>
      <c r="P981" s="885"/>
      <c r="Q981" s="885"/>
      <c r="R981" s="885"/>
      <c r="S981" s="885"/>
      <c r="T981" s="885"/>
      <c r="U981" s="885"/>
      <c r="V981" s="885"/>
      <c r="W981" s="885"/>
      <c r="X981" s="885"/>
      <c r="Y981" s="885"/>
      <c r="Z981" s="885"/>
      <c r="AA981" s="885"/>
      <c r="AB981" s="885"/>
      <c r="AC981" s="885"/>
      <c r="AD981" s="885"/>
      <c r="AE981" s="885"/>
      <c r="AF981" s="885"/>
      <c r="AG981" s="885"/>
      <c r="AH981" s="885"/>
      <c r="AI981" s="885"/>
      <c r="AJ981" s="885"/>
      <c r="AK981" s="885"/>
      <c r="AL981" s="885"/>
      <c r="AM981" s="885"/>
      <c r="AN981" s="885"/>
      <c r="AO981" s="885"/>
      <c r="AP981" s="885"/>
      <c r="AQ981" s="885"/>
      <c r="AR981" s="885"/>
      <c r="AS981" s="885"/>
      <c r="AT981" s="885"/>
      <c r="AU981" s="885"/>
      <c r="AV981" s="885"/>
      <c r="AW981" s="885"/>
      <c r="AX981" s="885"/>
      <c r="AY981" s="885"/>
      <c r="AZ981" s="885"/>
      <c r="BA981" s="885"/>
      <c r="BB981" s="885"/>
      <c r="BC981" s="885"/>
      <c r="BD981" s="885"/>
      <c r="BE981" s="885"/>
      <c r="BF981" s="885"/>
      <c r="BG981" s="885"/>
      <c r="BH981" s="885"/>
      <c r="BI981" s="885"/>
      <c r="BJ981" s="885"/>
      <c r="BK981" s="885"/>
      <c r="BL981" s="885"/>
      <c r="BM981" s="885"/>
      <c r="BN981" s="885"/>
      <c r="BO981" s="885"/>
      <c r="BP981" s="885"/>
      <c r="BQ981" s="885"/>
      <c r="BR981" s="885"/>
      <c r="BS981" s="885"/>
      <c r="BT981" s="885"/>
      <c r="BU981" s="885"/>
      <c r="BV981" s="885"/>
      <c r="BW981" s="885"/>
      <c r="BX981" s="885"/>
      <c r="BY981" s="885"/>
      <c r="BZ981" s="885"/>
      <c r="CA981" s="885"/>
      <c r="CB981" s="885"/>
      <c r="CC981" s="885"/>
      <c r="CD981" s="885"/>
      <c r="CE981" s="885"/>
      <c r="CF981" s="885"/>
      <c r="CG981" s="885"/>
      <c r="CH981" s="885"/>
      <c r="CI981" s="885"/>
      <c r="CJ981" s="885"/>
      <c r="CK981" s="885"/>
      <c r="CL981" s="885"/>
      <c r="CM981" s="885"/>
      <c r="CN981" s="885"/>
      <c r="CO981" s="885"/>
      <c r="CP981" s="885"/>
      <c r="CQ981" s="885"/>
      <c r="CR981" s="885"/>
      <c r="CS981" s="885"/>
      <c r="CT981" s="885"/>
      <c r="CU981" s="885"/>
      <c r="CV981" s="885"/>
      <c r="CW981" s="885"/>
      <c r="CX981" s="885"/>
      <c r="CY981" s="885"/>
      <c r="CZ981" s="885"/>
      <c r="DA981" s="885"/>
      <c r="DB981" s="885"/>
      <c r="DC981" s="885"/>
      <c r="DD981" s="885"/>
      <c r="DE981" s="885"/>
      <c r="DF981" s="885"/>
      <c r="DG981" s="885"/>
      <c r="DH981" s="885"/>
      <c r="DI981" s="885"/>
      <c r="DJ981" s="885"/>
      <c r="DK981" s="885"/>
      <c r="DL981" s="885"/>
      <c r="DM981" s="885"/>
      <c r="DN981" s="885"/>
      <c r="DO981" s="885"/>
      <c r="DP981" s="885"/>
      <c r="DQ981" s="885"/>
      <c r="DR981" s="885"/>
      <c r="DS981" s="885"/>
      <c r="DT981" s="885"/>
      <c r="DU981" s="885"/>
      <c r="DV981" s="885"/>
      <c r="DW981" s="885"/>
      <c r="DX981" s="885"/>
      <c r="DY981" s="885"/>
      <c r="DZ981" s="885"/>
      <c r="EA981" s="885"/>
      <c r="EB981" s="885"/>
      <c r="EC981" s="885"/>
      <c r="ED981" s="885"/>
      <c r="EE981" s="885"/>
      <c r="EF981" s="885"/>
      <c r="EG981" s="885"/>
      <c r="EH981" s="885"/>
      <c r="EI981" s="885"/>
      <c r="EJ981" s="885"/>
      <c r="EK981" s="885"/>
      <c r="EL981" s="885"/>
      <c r="EM981" s="885"/>
      <c r="EN981" s="885"/>
      <c r="EO981" s="885"/>
      <c r="EP981" s="885"/>
      <c r="EQ981" s="885"/>
      <c r="ER981" s="885"/>
      <c r="ES981" s="885"/>
      <c r="ET981" s="885"/>
      <c r="EU981" s="885"/>
      <c r="EV981" s="885"/>
      <c r="EW981" s="885"/>
      <c r="EX981" s="885"/>
      <c r="EY981" s="885"/>
      <c r="EZ981" s="885"/>
      <c r="FA981" s="885"/>
      <c r="FB981" s="885"/>
      <c r="FC981" s="885"/>
      <c r="FD981" s="885"/>
      <c r="FE981" s="885"/>
      <c r="FF981" s="885"/>
      <c r="FG981" s="885"/>
      <c r="FH981" s="885"/>
      <c r="FI981" s="885"/>
      <c r="FJ981" s="885"/>
      <c r="FK981" s="885"/>
      <c r="FL981" s="885"/>
      <c r="FM981" s="885"/>
      <c r="FN981" s="885"/>
      <c r="FO981" s="885"/>
      <c r="FP981" s="885"/>
      <c r="FQ981" s="885"/>
      <c r="FR981" s="885"/>
      <c r="FS981" s="885"/>
      <c r="FT981" s="885"/>
      <c r="FU981" s="885"/>
      <c r="FV981" s="885"/>
      <c r="FW981" s="885"/>
      <c r="FX981" s="885"/>
      <c r="FY981" s="885"/>
      <c r="FZ981" s="885"/>
      <c r="GA981" s="885"/>
      <c r="GB981" s="885"/>
      <c r="GC981" s="885"/>
      <c r="GD981" s="885"/>
      <c r="GE981" s="885"/>
      <c r="GF981" s="885"/>
      <c r="GG981" s="885"/>
      <c r="GH981" s="885"/>
      <c r="GI981" s="885"/>
      <c r="GJ981" s="885"/>
      <c r="GK981" s="885"/>
      <c r="GL981" s="885"/>
      <c r="GM981" s="885"/>
      <c r="GN981" s="885"/>
      <c r="GO981" s="885"/>
      <c r="GP981" s="885"/>
      <c r="GQ981" s="885"/>
      <c r="GR981" s="885"/>
      <c r="GS981" s="885"/>
      <c r="GT981" s="885"/>
      <c r="GU981" s="885"/>
      <c r="GV981" s="885"/>
      <c r="GW981" s="885"/>
      <c r="GX981" s="885"/>
      <c r="GY981" s="885"/>
      <c r="GZ981" s="885"/>
      <c r="HA981" s="885"/>
      <c r="HB981" s="885"/>
      <c r="HC981" s="885"/>
      <c r="HD981" s="885"/>
      <c r="HE981" s="885"/>
      <c r="HF981" s="885"/>
      <c r="HG981" s="885"/>
      <c r="HH981" s="885"/>
      <c r="HI981" s="885"/>
      <c r="HJ981" s="885"/>
      <c r="HK981" s="885"/>
      <c r="HL981" s="885"/>
      <c r="HM981" s="885"/>
      <c r="HN981" s="885"/>
      <c r="HO981" s="885"/>
      <c r="HP981" s="885"/>
      <c r="HQ981" s="885"/>
      <c r="HR981" s="885"/>
      <c r="HS981" s="885"/>
      <c r="HT981" s="885"/>
      <c r="HU981" s="885"/>
      <c r="HV981" s="885"/>
      <c r="HW981" s="885"/>
      <c r="HX981" s="885"/>
      <c r="HY981" s="885"/>
      <c r="HZ981" s="885"/>
      <c r="IA981" s="885"/>
      <c r="IB981" s="885"/>
      <c r="IC981" s="885"/>
      <c r="ID981" s="885"/>
      <c r="IE981" s="885"/>
      <c r="IF981" s="885"/>
      <c r="IG981" s="885"/>
      <c r="IH981" s="885"/>
      <c r="II981" s="885"/>
      <c r="IJ981" s="885"/>
      <c r="IK981" s="885"/>
      <c r="IL981" s="885"/>
      <c r="IM981" s="885"/>
      <c r="IN981" s="885"/>
      <c r="IO981" s="885"/>
      <c r="IP981" s="885"/>
      <c r="IQ981" s="885"/>
      <c r="IR981" s="885"/>
      <c r="IS981" s="885"/>
      <c r="IT981" s="885"/>
      <c r="IU981" s="885"/>
      <c r="IV981" s="885"/>
      <c r="IW981" s="885"/>
      <c r="IX981" s="885"/>
    </row>
    <row r="982" spans="1:258" s="130" customFormat="1" x14ac:dyDescent="0.25">
      <c r="A982" s="125">
        <f t="shared" si="118"/>
        <v>942</v>
      </c>
      <c r="B982" s="885"/>
      <c r="C982" s="842" t="s">
        <v>10520</v>
      </c>
      <c r="D982" s="924">
        <v>0</v>
      </c>
      <c r="E982" s="924">
        <f t="shared" si="120"/>
        <v>0</v>
      </c>
      <c r="F982" s="136">
        <f>1211.54/8*12</f>
        <v>1817.31</v>
      </c>
      <c r="G982" s="122" t="s">
        <v>1963</v>
      </c>
      <c r="H982" s="122"/>
      <c r="I982" s="885"/>
      <c r="J982" s="885"/>
      <c r="K982" s="885"/>
      <c r="L982" s="885"/>
      <c r="M982" s="885"/>
      <c r="N982" s="885"/>
      <c r="O982" s="885"/>
      <c r="P982" s="885"/>
      <c r="Q982" s="885"/>
      <c r="R982" s="885"/>
      <c r="S982" s="885"/>
      <c r="T982" s="885"/>
      <c r="U982" s="885"/>
      <c r="V982" s="885"/>
      <c r="W982" s="885"/>
      <c r="X982" s="885"/>
      <c r="Y982" s="885"/>
      <c r="Z982" s="885"/>
      <c r="AA982" s="885"/>
      <c r="AB982" s="885"/>
      <c r="AC982" s="885"/>
      <c r="AD982" s="885"/>
      <c r="AE982" s="885"/>
      <c r="AF982" s="885"/>
      <c r="AG982" s="885"/>
      <c r="AH982" s="885"/>
      <c r="AI982" s="885"/>
      <c r="AJ982" s="885"/>
      <c r="AK982" s="885"/>
      <c r="AL982" s="885"/>
      <c r="AM982" s="885"/>
      <c r="AN982" s="885"/>
      <c r="AO982" s="885"/>
      <c r="AP982" s="885"/>
      <c r="AQ982" s="885"/>
      <c r="AR982" s="885"/>
      <c r="AS982" s="885"/>
      <c r="AT982" s="885"/>
      <c r="AU982" s="885"/>
      <c r="AV982" s="885"/>
      <c r="AW982" s="885"/>
      <c r="AX982" s="885"/>
      <c r="AY982" s="885"/>
      <c r="AZ982" s="885"/>
      <c r="BA982" s="885"/>
      <c r="BB982" s="885"/>
      <c r="BC982" s="885"/>
      <c r="BD982" s="885"/>
      <c r="BE982" s="885"/>
      <c r="BF982" s="885"/>
      <c r="BG982" s="885"/>
      <c r="BH982" s="885"/>
      <c r="BI982" s="885"/>
      <c r="BJ982" s="885"/>
      <c r="BK982" s="885"/>
      <c r="BL982" s="885"/>
      <c r="BM982" s="885"/>
      <c r="BN982" s="885"/>
      <c r="BO982" s="885"/>
      <c r="BP982" s="885"/>
      <c r="BQ982" s="885"/>
      <c r="BR982" s="885"/>
      <c r="BS982" s="885"/>
      <c r="BT982" s="885"/>
      <c r="BU982" s="885"/>
      <c r="BV982" s="885"/>
      <c r="BW982" s="885"/>
      <c r="BX982" s="885"/>
      <c r="BY982" s="885"/>
      <c r="BZ982" s="885"/>
      <c r="CA982" s="885"/>
      <c r="CB982" s="885"/>
      <c r="CC982" s="885"/>
      <c r="CD982" s="885"/>
      <c r="CE982" s="885"/>
      <c r="CF982" s="885"/>
      <c r="CG982" s="885"/>
      <c r="CH982" s="885"/>
      <c r="CI982" s="885"/>
      <c r="CJ982" s="885"/>
      <c r="CK982" s="885"/>
      <c r="CL982" s="885"/>
      <c r="CM982" s="885"/>
      <c r="CN982" s="885"/>
      <c r="CO982" s="885"/>
      <c r="CP982" s="885"/>
      <c r="CQ982" s="885"/>
      <c r="CR982" s="885"/>
      <c r="CS982" s="885"/>
      <c r="CT982" s="885"/>
      <c r="CU982" s="885"/>
      <c r="CV982" s="885"/>
      <c r="CW982" s="885"/>
      <c r="CX982" s="885"/>
      <c r="CY982" s="885"/>
      <c r="CZ982" s="885"/>
      <c r="DA982" s="885"/>
      <c r="DB982" s="885"/>
      <c r="DC982" s="885"/>
      <c r="DD982" s="885"/>
      <c r="DE982" s="885"/>
      <c r="DF982" s="885"/>
      <c r="DG982" s="885"/>
      <c r="DH982" s="885"/>
      <c r="DI982" s="885"/>
      <c r="DJ982" s="885"/>
      <c r="DK982" s="885"/>
      <c r="DL982" s="885"/>
      <c r="DM982" s="885"/>
      <c r="DN982" s="885"/>
      <c r="DO982" s="885"/>
      <c r="DP982" s="885"/>
      <c r="DQ982" s="885"/>
      <c r="DR982" s="885"/>
      <c r="DS982" s="885"/>
      <c r="DT982" s="885"/>
      <c r="DU982" s="885"/>
      <c r="DV982" s="885"/>
      <c r="DW982" s="885"/>
      <c r="DX982" s="885"/>
      <c r="DY982" s="885"/>
      <c r="DZ982" s="885"/>
      <c r="EA982" s="885"/>
      <c r="EB982" s="885"/>
      <c r="EC982" s="885"/>
      <c r="ED982" s="885"/>
      <c r="EE982" s="885"/>
      <c r="EF982" s="885"/>
      <c r="EG982" s="885"/>
      <c r="EH982" s="885"/>
      <c r="EI982" s="885"/>
      <c r="EJ982" s="885"/>
      <c r="EK982" s="885"/>
      <c r="EL982" s="885"/>
      <c r="EM982" s="885"/>
      <c r="EN982" s="885"/>
      <c r="EO982" s="885"/>
      <c r="EP982" s="885"/>
      <c r="EQ982" s="885"/>
      <c r="ER982" s="885"/>
      <c r="ES982" s="885"/>
      <c r="ET982" s="885"/>
      <c r="EU982" s="885"/>
      <c r="EV982" s="885"/>
      <c r="EW982" s="885"/>
      <c r="EX982" s="885"/>
      <c r="EY982" s="885"/>
      <c r="EZ982" s="885"/>
      <c r="FA982" s="885"/>
      <c r="FB982" s="885"/>
      <c r="FC982" s="885"/>
      <c r="FD982" s="885"/>
      <c r="FE982" s="885"/>
      <c r="FF982" s="885"/>
      <c r="FG982" s="885"/>
      <c r="FH982" s="885"/>
      <c r="FI982" s="885"/>
      <c r="FJ982" s="885"/>
      <c r="FK982" s="885"/>
      <c r="FL982" s="885"/>
      <c r="FM982" s="885"/>
      <c r="FN982" s="885"/>
      <c r="FO982" s="885"/>
      <c r="FP982" s="885"/>
      <c r="FQ982" s="885"/>
      <c r="FR982" s="885"/>
      <c r="FS982" s="885"/>
      <c r="FT982" s="885"/>
      <c r="FU982" s="885"/>
      <c r="FV982" s="885"/>
      <c r="FW982" s="885"/>
      <c r="FX982" s="885"/>
      <c r="FY982" s="885"/>
      <c r="FZ982" s="885"/>
      <c r="GA982" s="885"/>
      <c r="GB982" s="885"/>
      <c r="GC982" s="885"/>
      <c r="GD982" s="885"/>
      <c r="GE982" s="885"/>
      <c r="GF982" s="885"/>
      <c r="GG982" s="885"/>
      <c r="GH982" s="885"/>
      <c r="GI982" s="885"/>
      <c r="GJ982" s="885"/>
      <c r="GK982" s="885"/>
      <c r="GL982" s="885"/>
      <c r="GM982" s="885"/>
      <c r="GN982" s="885"/>
      <c r="GO982" s="885"/>
      <c r="GP982" s="885"/>
      <c r="GQ982" s="885"/>
      <c r="GR982" s="885"/>
      <c r="GS982" s="885"/>
      <c r="GT982" s="885"/>
      <c r="GU982" s="885"/>
      <c r="GV982" s="885"/>
      <c r="GW982" s="885"/>
      <c r="GX982" s="885"/>
      <c r="GY982" s="885"/>
      <c r="GZ982" s="885"/>
      <c r="HA982" s="885"/>
      <c r="HB982" s="885"/>
      <c r="HC982" s="885"/>
      <c r="HD982" s="885"/>
      <c r="HE982" s="885"/>
      <c r="HF982" s="885"/>
      <c r="HG982" s="885"/>
      <c r="HH982" s="885"/>
      <c r="HI982" s="885"/>
      <c r="HJ982" s="885"/>
      <c r="HK982" s="885"/>
      <c r="HL982" s="885"/>
      <c r="HM982" s="885"/>
      <c r="HN982" s="885"/>
      <c r="HO982" s="885"/>
      <c r="HP982" s="885"/>
      <c r="HQ982" s="885"/>
      <c r="HR982" s="885"/>
      <c r="HS982" s="885"/>
      <c r="HT982" s="885"/>
      <c r="HU982" s="885"/>
      <c r="HV982" s="885"/>
      <c r="HW982" s="885"/>
      <c r="HX982" s="885"/>
      <c r="HY982" s="885"/>
      <c r="HZ982" s="885"/>
      <c r="IA982" s="885"/>
      <c r="IB982" s="885"/>
      <c r="IC982" s="885"/>
      <c r="ID982" s="885"/>
      <c r="IE982" s="885"/>
      <c r="IF982" s="885"/>
      <c r="IG982" s="885"/>
      <c r="IH982" s="885"/>
      <c r="II982" s="885"/>
      <c r="IJ982" s="885"/>
      <c r="IK982" s="885"/>
      <c r="IL982" s="885"/>
      <c r="IM982" s="885"/>
      <c r="IN982" s="885"/>
      <c r="IO982" s="885"/>
      <c r="IP982" s="885"/>
      <c r="IQ982" s="885"/>
      <c r="IR982" s="885"/>
      <c r="IS982" s="885"/>
      <c r="IT982" s="885"/>
      <c r="IU982" s="885"/>
      <c r="IV982" s="885"/>
      <c r="IW982" s="885"/>
      <c r="IX982" s="885"/>
    </row>
    <row r="983" spans="1:258" s="130" customFormat="1" x14ac:dyDescent="0.25">
      <c r="A983" s="125">
        <f t="shared" si="118"/>
        <v>943</v>
      </c>
      <c r="B983" s="954"/>
      <c r="C983" s="842" t="s">
        <v>11532</v>
      </c>
      <c r="D983" s="924">
        <v>0</v>
      </c>
      <c r="E983" s="924">
        <f t="shared" si="120"/>
        <v>0</v>
      </c>
      <c r="F983" s="136">
        <v>0</v>
      </c>
      <c r="G983" s="122" t="s">
        <v>1963</v>
      </c>
      <c r="H983" s="122"/>
      <c r="I983" s="954"/>
      <c r="J983" s="954"/>
      <c r="K983" s="954"/>
      <c r="L983" s="954"/>
      <c r="M983" s="954"/>
      <c r="N983" s="954"/>
      <c r="O983" s="954"/>
      <c r="P983" s="954"/>
      <c r="Q983" s="954"/>
      <c r="R983" s="954"/>
      <c r="S983" s="954"/>
      <c r="T983" s="954"/>
      <c r="U983" s="954"/>
      <c r="V983" s="954"/>
      <c r="W983" s="954"/>
      <c r="X983" s="954"/>
      <c r="Y983" s="954"/>
      <c r="Z983" s="954"/>
      <c r="AA983" s="954"/>
      <c r="AB983" s="954"/>
      <c r="AC983" s="954"/>
      <c r="AD983" s="954"/>
      <c r="AE983" s="954"/>
      <c r="AF983" s="954"/>
      <c r="AG983" s="954"/>
      <c r="AH983" s="954"/>
      <c r="AI983" s="954"/>
      <c r="AJ983" s="954"/>
      <c r="AK983" s="954"/>
      <c r="AL983" s="954"/>
      <c r="AM983" s="954"/>
      <c r="AN983" s="954"/>
      <c r="AO983" s="954"/>
      <c r="AP983" s="954"/>
      <c r="AQ983" s="954"/>
      <c r="AR983" s="954"/>
      <c r="AS983" s="954"/>
      <c r="AT983" s="954"/>
      <c r="AU983" s="954"/>
      <c r="AV983" s="954"/>
      <c r="AW983" s="954"/>
      <c r="AX983" s="954"/>
      <c r="AY983" s="954"/>
      <c r="AZ983" s="954"/>
      <c r="BA983" s="954"/>
      <c r="BB983" s="954"/>
      <c r="BC983" s="954"/>
      <c r="BD983" s="954"/>
      <c r="BE983" s="954"/>
      <c r="BF983" s="954"/>
      <c r="BG983" s="954"/>
      <c r="BH983" s="954"/>
      <c r="BI983" s="954"/>
      <c r="BJ983" s="954"/>
      <c r="BK983" s="954"/>
      <c r="BL983" s="954"/>
      <c r="BM983" s="954"/>
      <c r="BN983" s="954"/>
      <c r="BO983" s="954"/>
      <c r="BP983" s="954"/>
      <c r="BQ983" s="954"/>
      <c r="BR983" s="954"/>
      <c r="BS983" s="954"/>
      <c r="BT983" s="954"/>
      <c r="BU983" s="954"/>
      <c r="BV983" s="954"/>
      <c r="BW983" s="954"/>
      <c r="BX983" s="954"/>
      <c r="BY983" s="954"/>
      <c r="BZ983" s="954"/>
      <c r="CA983" s="954"/>
      <c r="CB983" s="954"/>
      <c r="CC983" s="954"/>
      <c r="CD983" s="954"/>
      <c r="CE983" s="954"/>
      <c r="CF983" s="954"/>
      <c r="CG983" s="954"/>
      <c r="CH983" s="954"/>
      <c r="CI983" s="954"/>
      <c r="CJ983" s="954"/>
      <c r="CK983" s="954"/>
      <c r="CL983" s="954"/>
      <c r="CM983" s="954"/>
      <c r="CN983" s="954"/>
      <c r="CO983" s="954"/>
      <c r="CP983" s="954"/>
      <c r="CQ983" s="954"/>
      <c r="CR983" s="954"/>
      <c r="CS983" s="954"/>
      <c r="CT983" s="954"/>
      <c r="CU983" s="954"/>
      <c r="CV983" s="954"/>
      <c r="CW983" s="954"/>
      <c r="CX983" s="954"/>
      <c r="CY983" s="954"/>
      <c r="CZ983" s="954"/>
      <c r="DA983" s="954"/>
      <c r="DB983" s="954"/>
      <c r="DC983" s="954"/>
      <c r="DD983" s="954"/>
      <c r="DE983" s="954"/>
      <c r="DF983" s="954"/>
      <c r="DG983" s="954"/>
      <c r="DH983" s="954"/>
      <c r="DI983" s="954"/>
      <c r="DJ983" s="954"/>
      <c r="DK983" s="954"/>
      <c r="DL983" s="954"/>
      <c r="DM983" s="954"/>
      <c r="DN983" s="954"/>
      <c r="DO983" s="954"/>
      <c r="DP983" s="954"/>
      <c r="DQ983" s="954"/>
      <c r="DR983" s="954"/>
      <c r="DS983" s="954"/>
      <c r="DT983" s="954"/>
      <c r="DU983" s="954"/>
      <c r="DV983" s="954"/>
      <c r="DW983" s="954"/>
      <c r="DX983" s="954"/>
      <c r="DY983" s="954"/>
      <c r="DZ983" s="954"/>
      <c r="EA983" s="954"/>
      <c r="EB983" s="954"/>
      <c r="EC983" s="954"/>
      <c r="ED983" s="954"/>
      <c r="EE983" s="954"/>
      <c r="EF983" s="954"/>
      <c r="EG983" s="954"/>
      <c r="EH983" s="954"/>
      <c r="EI983" s="954"/>
      <c r="EJ983" s="954"/>
      <c r="EK983" s="954"/>
      <c r="EL983" s="954"/>
      <c r="EM983" s="954"/>
      <c r="EN983" s="954"/>
      <c r="EO983" s="954"/>
      <c r="EP983" s="954"/>
      <c r="EQ983" s="954"/>
      <c r="ER983" s="954"/>
      <c r="ES983" s="954"/>
      <c r="ET983" s="954"/>
      <c r="EU983" s="954"/>
      <c r="EV983" s="954"/>
      <c r="EW983" s="954"/>
      <c r="EX983" s="954"/>
      <c r="EY983" s="954"/>
      <c r="EZ983" s="954"/>
      <c r="FA983" s="954"/>
      <c r="FB983" s="954"/>
      <c r="FC983" s="954"/>
      <c r="FD983" s="954"/>
      <c r="FE983" s="954"/>
      <c r="FF983" s="954"/>
      <c r="FG983" s="954"/>
      <c r="FH983" s="954"/>
      <c r="FI983" s="954"/>
      <c r="FJ983" s="954"/>
      <c r="FK983" s="954"/>
      <c r="FL983" s="954"/>
      <c r="FM983" s="954"/>
      <c r="FN983" s="954"/>
      <c r="FO983" s="954"/>
      <c r="FP983" s="954"/>
      <c r="FQ983" s="954"/>
      <c r="FR983" s="954"/>
      <c r="FS983" s="954"/>
      <c r="FT983" s="954"/>
      <c r="FU983" s="954"/>
      <c r="FV983" s="954"/>
      <c r="FW983" s="954"/>
      <c r="FX983" s="954"/>
      <c r="FY983" s="954"/>
      <c r="FZ983" s="954"/>
      <c r="GA983" s="954"/>
      <c r="GB983" s="954"/>
      <c r="GC983" s="954"/>
      <c r="GD983" s="954"/>
      <c r="GE983" s="954"/>
      <c r="GF983" s="954"/>
      <c r="GG983" s="954"/>
      <c r="GH983" s="954"/>
      <c r="GI983" s="954"/>
      <c r="GJ983" s="954"/>
      <c r="GK983" s="954"/>
      <c r="GL983" s="954"/>
      <c r="GM983" s="954"/>
      <c r="GN983" s="954"/>
      <c r="GO983" s="954"/>
      <c r="GP983" s="954"/>
      <c r="GQ983" s="954"/>
      <c r="GR983" s="954"/>
      <c r="GS983" s="954"/>
      <c r="GT983" s="954"/>
      <c r="GU983" s="954"/>
      <c r="GV983" s="954"/>
      <c r="GW983" s="954"/>
      <c r="GX983" s="954"/>
      <c r="GY983" s="954"/>
      <c r="GZ983" s="954"/>
      <c r="HA983" s="954"/>
      <c r="HB983" s="954"/>
      <c r="HC983" s="954"/>
      <c r="HD983" s="954"/>
      <c r="HE983" s="954"/>
      <c r="HF983" s="954"/>
      <c r="HG983" s="954"/>
      <c r="HH983" s="954"/>
      <c r="HI983" s="954"/>
      <c r="HJ983" s="954"/>
      <c r="HK983" s="954"/>
      <c r="HL983" s="954"/>
      <c r="HM983" s="954"/>
      <c r="HN983" s="954"/>
      <c r="HO983" s="954"/>
      <c r="HP983" s="954"/>
      <c r="HQ983" s="954"/>
      <c r="HR983" s="954"/>
      <c r="HS983" s="954"/>
      <c r="HT983" s="954"/>
      <c r="HU983" s="954"/>
      <c r="HV983" s="954"/>
      <c r="HW983" s="954"/>
      <c r="HX983" s="954"/>
      <c r="HY983" s="954"/>
      <c r="HZ983" s="954"/>
      <c r="IA983" s="954"/>
      <c r="IB983" s="954"/>
      <c r="IC983" s="954"/>
      <c r="ID983" s="954"/>
      <c r="IE983" s="954"/>
      <c r="IF983" s="954"/>
      <c r="IG983" s="954"/>
      <c r="IH983" s="954"/>
      <c r="II983" s="954"/>
      <c r="IJ983" s="954"/>
      <c r="IK983" s="954"/>
      <c r="IL983" s="954"/>
      <c r="IM983" s="954"/>
      <c r="IN983" s="954"/>
      <c r="IO983" s="954"/>
      <c r="IP983" s="954"/>
      <c r="IQ983" s="954"/>
      <c r="IR983" s="954"/>
      <c r="IS983" s="954"/>
      <c r="IT983" s="954"/>
      <c r="IU983" s="954"/>
      <c r="IV983" s="954"/>
      <c r="IW983" s="954"/>
      <c r="IX983" s="954"/>
    </row>
    <row r="984" spans="1:258" x14ac:dyDescent="0.25">
      <c r="A984" s="125">
        <f t="shared" si="118"/>
        <v>944</v>
      </c>
      <c r="B984" s="804"/>
      <c r="C984" s="842" t="s">
        <v>10498</v>
      </c>
      <c r="D984" s="924">
        <v>4415.72</v>
      </c>
      <c r="E984" s="924">
        <f t="shared" si="120"/>
        <v>6623.58</v>
      </c>
      <c r="F984" s="136">
        <f>E984/12</f>
        <v>551.96500000000003</v>
      </c>
      <c r="G984" s="122" t="s">
        <v>1963</v>
      </c>
      <c r="H984" s="804"/>
      <c r="I984" s="920"/>
      <c r="J984" s="804"/>
      <c r="K984" s="1374"/>
      <c r="L984" s="1374"/>
      <c r="M984" s="1374"/>
      <c r="N984" s="1374"/>
      <c r="O984" s="1374"/>
      <c r="P984" s="1374"/>
      <c r="Q984" s="1374"/>
      <c r="R984" s="1374"/>
      <c r="S984" s="1374"/>
      <c r="T984" s="1374"/>
      <c r="U984" s="1374"/>
      <c r="V984" s="1374"/>
      <c r="W984" s="1374"/>
      <c r="X984" s="1374"/>
      <c r="Y984" s="1374"/>
      <c r="Z984" s="1374"/>
      <c r="AA984" s="1374"/>
      <c r="AB984" s="1374"/>
      <c r="AC984" s="1374"/>
      <c r="AD984" s="1374"/>
      <c r="AE984" s="1374"/>
      <c r="AF984" s="1374"/>
      <c r="AG984" s="1374"/>
      <c r="AH984" s="1374"/>
      <c r="AI984" s="1374"/>
      <c r="AJ984" s="1374"/>
      <c r="AK984" s="1374"/>
      <c r="AL984" s="1374"/>
      <c r="AM984" s="1374"/>
      <c r="AN984" s="1374"/>
      <c r="AO984" s="1374"/>
      <c r="AP984" s="1374"/>
      <c r="AQ984" s="1374"/>
      <c r="AR984" s="1374"/>
      <c r="AS984" s="1374"/>
      <c r="AT984" s="1374"/>
      <c r="AU984" s="1374"/>
      <c r="AV984" s="1374"/>
      <c r="AW984" s="1374"/>
      <c r="AX984" s="1374"/>
      <c r="AY984" s="1374"/>
      <c r="AZ984" s="1374"/>
      <c r="BA984" s="1374"/>
      <c r="BB984" s="1374"/>
      <c r="BC984" s="1374"/>
      <c r="BD984" s="1374"/>
      <c r="BE984" s="1374"/>
      <c r="BF984" s="1374"/>
      <c r="BG984" s="1374"/>
      <c r="BH984" s="1374"/>
      <c r="BI984" s="1374"/>
      <c r="BJ984" s="1374"/>
      <c r="BK984" s="1374"/>
      <c r="BL984" s="1374"/>
      <c r="BM984" s="1374"/>
      <c r="BN984" s="1374"/>
      <c r="BO984" s="1374"/>
      <c r="BP984" s="1374"/>
      <c r="BQ984" s="1374"/>
      <c r="BR984" s="1374"/>
      <c r="BS984" s="1374"/>
      <c r="BT984" s="1374"/>
      <c r="BU984" s="1374"/>
      <c r="BV984" s="1374"/>
      <c r="BW984" s="1374"/>
      <c r="BX984" s="1374"/>
      <c r="BY984" s="1374"/>
      <c r="BZ984" s="1374"/>
      <c r="CA984" s="1374"/>
      <c r="CB984" s="1374"/>
      <c r="CC984" s="1374"/>
      <c r="CD984" s="1374"/>
      <c r="CE984" s="1374"/>
      <c r="CF984" s="1374"/>
      <c r="CG984" s="1374"/>
      <c r="CH984" s="1374"/>
      <c r="CI984" s="1374"/>
      <c r="CJ984" s="1374"/>
      <c r="CK984" s="1374"/>
      <c r="CL984" s="1374"/>
      <c r="CM984" s="1374"/>
      <c r="CN984" s="1374"/>
      <c r="CO984" s="1374"/>
      <c r="CP984" s="1374"/>
      <c r="CQ984" s="1374"/>
      <c r="CR984" s="1374"/>
      <c r="CS984" s="1374"/>
      <c r="CT984" s="1374"/>
      <c r="CU984" s="1374"/>
      <c r="CV984" s="1374"/>
      <c r="CW984" s="1374"/>
      <c r="CX984" s="1374"/>
      <c r="CY984" s="1374"/>
      <c r="CZ984" s="1374"/>
      <c r="DA984" s="1374"/>
      <c r="DB984" s="1374"/>
      <c r="DC984" s="1374"/>
      <c r="DD984" s="1374"/>
      <c r="DE984" s="1374"/>
      <c r="DF984" s="1374"/>
      <c r="DG984" s="1374"/>
      <c r="DH984" s="1374"/>
      <c r="DI984" s="1374"/>
      <c r="DJ984" s="1374"/>
      <c r="DK984" s="1374"/>
      <c r="DL984" s="1374"/>
      <c r="DM984" s="1374"/>
      <c r="DN984" s="1374"/>
      <c r="DO984" s="1374"/>
      <c r="DP984" s="1374"/>
      <c r="DQ984" s="1374"/>
      <c r="DR984" s="1374"/>
      <c r="DS984" s="1374"/>
      <c r="DT984" s="1374"/>
      <c r="DU984" s="1374"/>
      <c r="DV984" s="1374"/>
      <c r="DW984" s="1374"/>
      <c r="DX984" s="1374"/>
      <c r="DY984" s="1374"/>
      <c r="DZ984" s="1374"/>
      <c r="EA984" s="1374"/>
      <c r="EB984" s="1374"/>
      <c r="EC984" s="1374"/>
      <c r="ED984" s="1374"/>
      <c r="EE984" s="1374"/>
      <c r="EF984" s="1374"/>
      <c r="EG984" s="1374"/>
      <c r="EH984" s="1374"/>
      <c r="EI984" s="1374"/>
      <c r="EJ984" s="1374"/>
      <c r="EK984" s="1374"/>
      <c r="EL984" s="1374"/>
      <c r="EM984" s="1374"/>
      <c r="EN984" s="1374"/>
      <c r="EO984" s="1374"/>
      <c r="EP984" s="1374"/>
      <c r="EQ984" s="1374"/>
      <c r="ER984" s="1374"/>
      <c r="ES984" s="1374"/>
      <c r="ET984" s="1374"/>
      <c r="EU984" s="1374"/>
      <c r="EV984" s="1374"/>
      <c r="EW984" s="1374"/>
      <c r="EX984" s="1374"/>
      <c r="EY984" s="1374"/>
      <c r="EZ984" s="1374"/>
      <c r="FA984" s="1374"/>
      <c r="FB984" s="1374"/>
      <c r="FC984" s="1374"/>
      <c r="FD984" s="1374"/>
      <c r="FE984" s="1374"/>
      <c r="FF984" s="1374"/>
      <c r="FG984" s="1374"/>
      <c r="FH984" s="1374"/>
      <c r="FI984" s="1374"/>
      <c r="FJ984" s="1374"/>
      <c r="FK984" s="1374"/>
      <c r="FL984" s="1374"/>
      <c r="FM984" s="1374"/>
      <c r="FN984" s="1374"/>
      <c r="FO984" s="1374"/>
      <c r="FP984" s="1374"/>
      <c r="FQ984" s="1374"/>
      <c r="FR984" s="1374"/>
      <c r="FS984" s="1374"/>
      <c r="FT984" s="1374"/>
      <c r="FU984" s="1374"/>
      <c r="FV984" s="1374"/>
      <c r="FW984" s="1374"/>
      <c r="FX984" s="1374"/>
      <c r="FY984" s="1374"/>
      <c r="FZ984" s="1374"/>
      <c r="GA984" s="1374"/>
      <c r="GB984" s="1374"/>
      <c r="GC984" s="1374"/>
      <c r="GD984" s="1374"/>
      <c r="GE984" s="1374"/>
      <c r="GF984" s="1374"/>
      <c r="GG984" s="1374"/>
      <c r="GH984" s="1374"/>
      <c r="GI984" s="1374"/>
      <c r="GJ984" s="1374"/>
      <c r="GK984" s="1374"/>
      <c r="GL984" s="1374"/>
      <c r="GM984" s="1374"/>
      <c r="GN984" s="1374"/>
      <c r="GO984" s="1374"/>
      <c r="GP984" s="1374"/>
      <c r="GQ984" s="1374"/>
      <c r="GR984" s="1374"/>
      <c r="GS984" s="1374"/>
      <c r="GT984" s="1374"/>
      <c r="GU984" s="1374"/>
      <c r="GV984" s="1374"/>
      <c r="GW984" s="1374"/>
      <c r="GX984" s="1374"/>
      <c r="GY984" s="1374"/>
      <c r="GZ984" s="1374"/>
      <c r="HA984" s="1374"/>
      <c r="HB984" s="1374"/>
      <c r="HC984" s="1374"/>
      <c r="HD984" s="1374"/>
      <c r="HE984" s="1374"/>
      <c r="HF984" s="1374"/>
      <c r="HG984" s="1374"/>
      <c r="HH984" s="1374"/>
      <c r="HI984" s="1374"/>
      <c r="HJ984" s="1374"/>
      <c r="HK984" s="1374"/>
      <c r="HL984" s="1374"/>
      <c r="HM984" s="1374"/>
      <c r="HN984" s="1374"/>
      <c r="HO984" s="1374"/>
      <c r="HP984" s="1374"/>
      <c r="HQ984" s="1374"/>
      <c r="HR984" s="1374"/>
      <c r="HS984" s="1374"/>
      <c r="HT984" s="1374"/>
      <c r="HU984" s="1374"/>
      <c r="HV984" s="1374"/>
      <c r="HW984" s="1374"/>
      <c r="HX984" s="1374"/>
      <c r="HY984" s="1374"/>
      <c r="HZ984" s="1374"/>
      <c r="IA984" s="1374"/>
      <c r="IB984" s="1374"/>
      <c r="IC984" s="1374"/>
      <c r="ID984" s="1374"/>
      <c r="IE984" s="1374"/>
      <c r="IF984" s="1374"/>
      <c r="IG984" s="1374"/>
      <c r="IH984" s="1374"/>
      <c r="II984" s="1374"/>
      <c r="IJ984" s="1374"/>
      <c r="IK984" s="1374"/>
      <c r="IL984" s="1374"/>
      <c r="IM984" s="1374"/>
      <c r="IN984" s="1374"/>
      <c r="IO984" s="1374"/>
      <c r="IP984" s="1374"/>
      <c r="IQ984" s="1374"/>
      <c r="IR984" s="1374"/>
      <c r="IS984" s="1374"/>
      <c r="IT984" s="1374"/>
      <c r="IU984" s="1374"/>
      <c r="IV984" s="1374"/>
      <c r="IW984" s="1374"/>
      <c r="IX984" s="1374"/>
    </row>
    <row r="985" spans="1:258" x14ac:dyDescent="0.25">
      <c r="A985" s="125">
        <f t="shared" si="118"/>
        <v>945</v>
      </c>
      <c r="B985" s="885"/>
      <c r="C985" s="842" t="s">
        <v>10497</v>
      </c>
      <c r="D985" s="924">
        <v>0</v>
      </c>
      <c r="E985" s="924">
        <f t="shared" si="120"/>
        <v>0</v>
      </c>
      <c r="F985" s="136">
        <v>0</v>
      </c>
      <c r="G985" s="122" t="s">
        <v>1963</v>
      </c>
      <c r="H985" s="885"/>
      <c r="I985" s="885"/>
      <c r="J985" s="885"/>
      <c r="K985" s="885"/>
      <c r="L985" s="885"/>
      <c r="M985" s="885"/>
      <c r="N985" s="885"/>
      <c r="O985" s="885"/>
      <c r="P985" s="885"/>
      <c r="Q985" s="885"/>
      <c r="R985" s="885"/>
      <c r="S985" s="885"/>
      <c r="T985" s="885"/>
      <c r="U985" s="885"/>
      <c r="V985" s="885"/>
      <c r="W985" s="885"/>
      <c r="X985" s="885"/>
      <c r="Y985" s="885"/>
      <c r="Z985" s="885"/>
      <c r="AA985" s="885"/>
      <c r="AB985" s="885"/>
      <c r="AC985" s="885"/>
      <c r="AD985" s="885"/>
      <c r="AE985" s="885"/>
      <c r="AF985" s="885"/>
      <c r="AG985" s="885"/>
      <c r="AH985" s="885"/>
      <c r="AI985" s="885"/>
      <c r="AJ985" s="885"/>
      <c r="AK985" s="885"/>
      <c r="AL985" s="885"/>
      <c r="AM985" s="885"/>
      <c r="AN985" s="885"/>
      <c r="AO985" s="885"/>
      <c r="AP985" s="885"/>
      <c r="AQ985" s="885"/>
      <c r="AR985" s="885"/>
      <c r="AS985" s="885"/>
      <c r="AT985" s="885"/>
      <c r="AU985" s="885"/>
      <c r="AV985" s="885"/>
      <c r="AW985" s="885"/>
      <c r="AX985" s="885"/>
      <c r="AY985" s="885"/>
      <c r="AZ985" s="885"/>
      <c r="BA985" s="885"/>
      <c r="BB985" s="885"/>
      <c r="BC985" s="885"/>
      <c r="BD985" s="885"/>
      <c r="BE985" s="885"/>
      <c r="BF985" s="885"/>
      <c r="BG985" s="885"/>
      <c r="BH985" s="885"/>
      <c r="BI985" s="885"/>
      <c r="BJ985" s="885"/>
      <c r="BK985" s="885"/>
      <c r="BL985" s="885"/>
      <c r="BM985" s="885"/>
      <c r="BN985" s="885"/>
      <c r="BO985" s="885"/>
      <c r="BP985" s="885"/>
      <c r="BQ985" s="885"/>
      <c r="BR985" s="885"/>
      <c r="BS985" s="885"/>
      <c r="BT985" s="885"/>
      <c r="BU985" s="885"/>
      <c r="BV985" s="885"/>
      <c r="BW985" s="885"/>
      <c r="BX985" s="885"/>
      <c r="BY985" s="885"/>
      <c r="BZ985" s="885"/>
      <c r="CA985" s="885"/>
      <c r="CB985" s="885"/>
      <c r="CC985" s="885"/>
      <c r="CD985" s="885"/>
      <c r="CE985" s="885"/>
      <c r="CF985" s="885"/>
      <c r="CG985" s="885"/>
      <c r="CH985" s="885"/>
      <c r="CI985" s="885"/>
      <c r="CJ985" s="885"/>
      <c r="CK985" s="885"/>
      <c r="CL985" s="885"/>
      <c r="CM985" s="885"/>
      <c r="CN985" s="885"/>
      <c r="CO985" s="885"/>
      <c r="CP985" s="885"/>
      <c r="CQ985" s="885"/>
      <c r="CR985" s="885"/>
      <c r="CS985" s="885"/>
      <c r="CT985" s="885"/>
      <c r="CU985" s="885"/>
      <c r="CV985" s="885"/>
      <c r="CW985" s="885"/>
      <c r="CX985" s="885"/>
      <c r="CY985" s="885"/>
      <c r="CZ985" s="885"/>
      <c r="DA985" s="885"/>
      <c r="DB985" s="885"/>
      <c r="DC985" s="885"/>
      <c r="DD985" s="885"/>
      <c r="DE985" s="885"/>
      <c r="DF985" s="885"/>
      <c r="DG985" s="885"/>
      <c r="DH985" s="885"/>
      <c r="DI985" s="885"/>
      <c r="DJ985" s="885"/>
      <c r="DK985" s="885"/>
      <c r="DL985" s="885"/>
      <c r="DM985" s="885"/>
      <c r="DN985" s="885"/>
      <c r="DO985" s="885"/>
      <c r="DP985" s="885"/>
      <c r="DQ985" s="885"/>
      <c r="DR985" s="885"/>
      <c r="DS985" s="885"/>
      <c r="DT985" s="885"/>
      <c r="DU985" s="885"/>
      <c r="DV985" s="885"/>
      <c r="DW985" s="885"/>
      <c r="DX985" s="885"/>
      <c r="DY985" s="885"/>
      <c r="DZ985" s="885"/>
      <c r="EA985" s="885"/>
      <c r="EB985" s="885"/>
      <c r="EC985" s="885"/>
      <c r="ED985" s="885"/>
      <c r="EE985" s="885"/>
      <c r="EF985" s="885"/>
      <c r="EG985" s="885"/>
      <c r="EH985" s="885"/>
      <c r="EI985" s="885"/>
      <c r="EJ985" s="885"/>
      <c r="EK985" s="885"/>
      <c r="EL985" s="885"/>
      <c r="EM985" s="885"/>
      <c r="EN985" s="885"/>
      <c r="EO985" s="885"/>
      <c r="EP985" s="885"/>
      <c r="EQ985" s="885"/>
      <c r="ER985" s="885"/>
      <c r="ES985" s="885"/>
      <c r="ET985" s="885"/>
      <c r="EU985" s="885"/>
      <c r="EV985" s="885"/>
      <c r="EW985" s="885"/>
      <c r="EX985" s="885"/>
      <c r="EY985" s="885"/>
      <c r="EZ985" s="885"/>
      <c r="FA985" s="885"/>
      <c r="FB985" s="885"/>
      <c r="FC985" s="885"/>
      <c r="FD985" s="885"/>
      <c r="FE985" s="885"/>
      <c r="FF985" s="885"/>
      <c r="FG985" s="885"/>
      <c r="FH985" s="885"/>
      <c r="FI985" s="885"/>
      <c r="FJ985" s="885"/>
      <c r="FK985" s="885"/>
      <c r="FL985" s="885"/>
      <c r="FM985" s="885"/>
      <c r="FN985" s="885"/>
      <c r="FO985" s="885"/>
      <c r="FP985" s="885"/>
      <c r="FQ985" s="885"/>
      <c r="FR985" s="885"/>
      <c r="FS985" s="885"/>
      <c r="FT985" s="885"/>
      <c r="FU985" s="885"/>
      <c r="FV985" s="885"/>
      <c r="FW985" s="885"/>
      <c r="FX985" s="885"/>
      <c r="FY985" s="885"/>
      <c r="FZ985" s="885"/>
      <c r="GA985" s="885"/>
      <c r="GB985" s="885"/>
      <c r="GC985" s="885"/>
      <c r="GD985" s="885"/>
      <c r="GE985" s="885"/>
      <c r="GF985" s="885"/>
      <c r="GG985" s="885"/>
      <c r="GH985" s="885"/>
      <c r="GI985" s="885"/>
      <c r="GJ985" s="885"/>
      <c r="GK985" s="885"/>
      <c r="GL985" s="885"/>
      <c r="GM985" s="885"/>
      <c r="GN985" s="885"/>
      <c r="GO985" s="885"/>
      <c r="GP985" s="885"/>
      <c r="GQ985" s="885"/>
      <c r="GR985" s="885"/>
      <c r="GS985" s="885"/>
      <c r="GT985" s="885"/>
      <c r="GU985" s="885"/>
      <c r="GV985" s="885"/>
      <c r="GW985" s="885"/>
      <c r="GX985" s="885"/>
      <c r="GY985" s="885"/>
      <c r="GZ985" s="885"/>
      <c r="HA985" s="885"/>
      <c r="HB985" s="885"/>
      <c r="HC985" s="885"/>
      <c r="HD985" s="885"/>
      <c r="HE985" s="885"/>
      <c r="HF985" s="885"/>
      <c r="HG985" s="885"/>
      <c r="HH985" s="885"/>
      <c r="HI985" s="885"/>
      <c r="HJ985" s="885"/>
      <c r="HK985" s="885"/>
      <c r="HL985" s="885"/>
      <c r="HM985" s="885"/>
      <c r="HN985" s="885"/>
      <c r="HO985" s="885"/>
      <c r="HP985" s="885"/>
      <c r="HQ985" s="885"/>
      <c r="HR985" s="885"/>
      <c r="HS985" s="885"/>
      <c r="HT985" s="885"/>
      <c r="HU985" s="885"/>
      <c r="HV985" s="885"/>
      <c r="HW985" s="885"/>
      <c r="HX985" s="885"/>
      <c r="HY985" s="885"/>
      <c r="HZ985" s="885"/>
      <c r="IA985" s="885"/>
      <c r="IB985" s="885"/>
      <c r="IC985" s="885"/>
      <c r="ID985" s="885"/>
      <c r="IE985" s="885"/>
      <c r="IF985" s="885"/>
      <c r="IG985" s="885"/>
      <c r="IH985" s="885"/>
      <c r="II985" s="885"/>
      <c r="IJ985" s="885"/>
      <c r="IK985" s="885"/>
      <c r="IL985" s="885"/>
      <c r="IM985" s="885"/>
      <c r="IN985" s="885"/>
      <c r="IO985" s="885"/>
      <c r="IP985" s="885"/>
      <c r="IQ985" s="885"/>
      <c r="IR985" s="885"/>
      <c r="IS985" s="885"/>
      <c r="IT985" s="885"/>
      <c r="IU985" s="885"/>
      <c r="IV985" s="885"/>
      <c r="IW985" s="885"/>
      <c r="IX985" s="885"/>
    </row>
    <row r="986" spans="1:258" x14ac:dyDescent="0.25">
      <c r="A986" s="125">
        <f t="shared" si="118"/>
        <v>946</v>
      </c>
      <c r="B986" s="885"/>
      <c r="C986" s="842" t="s">
        <v>10496</v>
      </c>
      <c r="D986" s="924">
        <v>0</v>
      </c>
      <c r="E986" s="924">
        <f t="shared" si="120"/>
        <v>0</v>
      </c>
      <c r="F986" s="136">
        <v>150</v>
      </c>
      <c r="G986" s="122" t="s">
        <v>1963</v>
      </c>
      <c r="I986" s="885"/>
      <c r="J986" s="885"/>
      <c r="K986" s="885"/>
      <c r="L986" s="885"/>
      <c r="M986" s="885"/>
      <c r="N986" s="885"/>
      <c r="O986" s="885"/>
      <c r="P986" s="885"/>
      <c r="Q986" s="885"/>
      <c r="R986" s="885"/>
      <c r="S986" s="885"/>
      <c r="T986" s="885"/>
      <c r="U986" s="885"/>
      <c r="V986" s="885"/>
      <c r="W986" s="885"/>
      <c r="X986" s="885"/>
      <c r="Y986" s="885"/>
      <c r="Z986" s="885"/>
      <c r="AA986" s="885"/>
      <c r="AB986" s="885"/>
      <c r="AC986" s="885"/>
      <c r="AD986" s="885"/>
      <c r="AE986" s="885"/>
      <c r="AF986" s="885"/>
      <c r="AG986" s="885"/>
      <c r="AH986" s="885"/>
      <c r="AI986" s="885"/>
      <c r="AJ986" s="885"/>
      <c r="AK986" s="885"/>
      <c r="AL986" s="885"/>
      <c r="AM986" s="885"/>
      <c r="AN986" s="885"/>
      <c r="AO986" s="885"/>
      <c r="AP986" s="885"/>
      <c r="AQ986" s="885"/>
      <c r="AR986" s="885"/>
      <c r="AS986" s="885"/>
      <c r="AT986" s="885"/>
      <c r="AU986" s="885"/>
      <c r="AV986" s="885"/>
      <c r="AW986" s="885"/>
      <c r="AX986" s="885"/>
      <c r="AY986" s="885"/>
      <c r="AZ986" s="885"/>
      <c r="BA986" s="885"/>
      <c r="BB986" s="885"/>
      <c r="BC986" s="885"/>
      <c r="BD986" s="885"/>
      <c r="BE986" s="885"/>
      <c r="BF986" s="885"/>
      <c r="BG986" s="885"/>
      <c r="BH986" s="885"/>
      <c r="BI986" s="885"/>
      <c r="BJ986" s="885"/>
      <c r="BK986" s="885"/>
      <c r="BL986" s="885"/>
      <c r="BM986" s="885"/>
      <c r="BN986" s="885"/>
      <c r="BO986" s="885"/>
      <c r="BP986" s="885"/>
      <c r="BQ986" s="885"/>
      <c r="BR986" s="885"/>
      <c r="BS986" s="885"/>
      <c r="BT986" s="885"/>
      <c r="BU986" s="885"/>
      <c r="BV986" s="885"/>
      <c r="BW986" s="885"/>
      <c r="BX986" s="885"/>
      <c r="BY986" s="885"/>
      <c r="BZ986" s="885"/>
      <c r="CA986" s="885"/>
      <c r="CB986" s="885"/>
      <c r="CC986" s="885"/>
      <c r="CD986" s="885"/>
      <c r="CE986" s="885"/>
      <c r="CF986" s="885"/>
      <c r="CG986" s="885"/>
      <c r="CH986" s="885"/>
      <c r="CI986" s="885"/>
      <c r="CJ986" s="885"/>
      <c r="CK986" s="885"/>
      <c r="CL986" s="885"/>
      <c r="CM986" s="885"/>
      <c r="CN986" s="885"/>
      <c r="CO986" s="885"/>
      <c r="CP986" s="885"/>
      <c r="CQ986" s="885"/>
      <c r="CR986" s="885"/>
      <c r="CS986" s="885"/>
      <c r="CT986" s="885"/>
      <c r="CU986" s="885"/>
      <c r="CV986" s="885"/>
      <c r="CW986" s="885"/>
      <c r="CX986" s="885"/>
      <c r="CY986" s="885"/>
      <c r="CZ986" s="885"/>
      <c r="DA986" s="885"/>
      <c r="DB986" s="885"/>
      <c r="DC986" s="885"/>
      <c r="DD986" s="885"/>
      <c r="DE986" s="885"/>
      <c r="DF986" s="885"/>
      <c r="DG986" s="885"/>
      <c r="DH986" s="885"/>
      <c r="DI986" s="885"/>
      <c r="DJ986" s="885"/>
      <c r="DK986" s="885"/>
      <c r="DL986" s="885"/>
      <c r="DM986" s="885"/>
      <c r="DN986" s="885"/>
      <c r="DO986" s="885"/>
      <c r="DP986" s="885"/>
      <c r="DQ986" s="885"/>
      <c r="DR986" s="885"/>
      <c r="DS986" s="885"/>
      <c r="DT986" s="885"/>
      <c r="DU986" s="885"/>
      <c r="DV986" s="885"/>
      <c r="DW986" s="885"/>
      <c r="DX986" s="885"/>
      <c r="DY986" s="885"/>
      <c r="DZ986" s="885"/>
      <c r="EA986" s="885"/>
      <c r="EB986" s="885"/>
      <c r="EC986" s="885"/>
      <c r="ED986" s="885"/>
      <c r="EE986" s="885"/>
      <c r="EF986" s="885"/>
      <c r="EG986" s="885"/>
      <c r="EH986" s="885"/>
      <c r="EI986" s="885"/>
      <c r="EJ986" s="885"/>
      <c r="EK986" s="885"/>
      <c r="EL986" s="885"/>
      <c r="EM986" s="885"/>
      <c r="EN986" s="885"/>
      <c r="EO986" s="885"/>
      <c r="EP986" s="885"/>
      <c r="EQ986" s="885"/>
      <c r="ER986" s="885"/>
      <c r="ES986" s="885"/>
      <c r="ET986" s="885"/>
      <c r="EU986" s="885"/>
      <c r="EV986" s="885"/>
      <c r="EW986" s="885"/>
      <c r="EX986" s="885"/>
      <c r="EY986" s="885"/>
      <c r="EZ986" s="885"/>
      <c r="FA986" s="885"/>
      <c r="FB986" s="885"/>
      <c r="FC986" s="885"/>
      <c r="FD986" s="885"/>
      <c r="FE986" s="885"/>
      <c r="FF986" s="885"/>
      <c r="FG986" s="885"/>
      <c r="FH986" s="885"/>
      <c r="FI986" s="885"/>
      <c r="FJ986" s="885"/>
      <c r="FK986" s="885"/>
      <c r="FL986" s="885"/>
      <c r="FM986" s="885"/>
      <c r="FN986" s="885"/>
      <c r="FO986" s="885"/>
      <c r="FP986" s="885"/>
      <c r="FQ986" s="885"/>
      <c r="FR986" s="885"/>
      <c r="FS986" s="885"/>
      <c r="FT986" s="885"/>
      <c r="FU986" s="885"/>
      <c r="FV986" s="885"/>
      <c r="FW986" s="885"/>
      <c r="FX986" s="885"/>
      <c r="FY986" s="885"/>
      <c r="FZ986" s="885"/>
      <c r="GA986" s="885"/>
      <c r="GB986" s="885"/>
      <c r="GC986" s="885"/>
      <c r="GD986" s="885"/>
      <c r="GE986" s="885"/>
      <c r="GF986" s="885"/>
      <c r="GG986" s="885"/>
      <c r="GH986" s="885"/>
      <c r="GI986" s="885"/>
      <c r="GJ986" s="885"/>
      <c r="GK986" s="885"/>
      <c r="GL986" s="885"/>
      <c r="GM986" s="885"/>
      <c r="GN986" s="885"/>
      <c r="GO986" s="885"/>
      <c r="GP986" s="885"/>
      <c r="GQ986" s="885"/>
      <c r="GR986" s="885"/>
      <c r="GS986" s="885"/>
      <c r="GT986" s="885"/>
      <c r="GU986" s="885"/>
      <c r="GV986" s="885"/>
      <c r="GW986" s="885"/>
      <c r="GX986" s="885"/>
      <c r="GY986" s="885"/>
      <c r="GZ986" s="885"/>
      <c r="HA986" s="885"/>
      <c r="HB986" s="885"/>
      <c r="HC986" s="885"/>
      <c r="HD986" s="885"/>
      <c r="HE986" s="885"/>
      <c r="HF986" s="885"/>
      <c r="HG986" s="885"/>
      <c r="HH986" s="885"/>
      <c r="HI986" s="885"/>
      <c r="HJ986" s="885"/>
      <c r="HK986" s="885"/>
      <c r="HL986" s="885"/>
      <c r="HM986" s="885"/>
      <c r="HN986" s="885"/>
      <c r="HO986" s="885"/>
      <c r="HP986" s="885"/>
      <c r="HQ986" s="885"/>
      <c r="HR986" s="885"/>
      <c r="HS986" s="885"/>
      <c r="HT986" s="885"/>
      <c r="HU986" s="885"/>
      <c r="HV986" s="885"/>
      <c r="HW986" s="885"/>
      <c r="HX986" s="885"/>
      <c r="HY986" s="885"/>
      <c r="HZ986" s="885"/>
      <c r="IA986" s="885"/>
      <c r="IB986" s="885"/>
      <c r="IC986" s="885"/>
      <c r="ID986" s="885"/>
      <c r="IE986" s="885"/>
      <c r="IF986" s="885"/>
      <c r="IG986" s="885"/>
      <c r="IH986" s="885"/>
      <c r="II986" s="885"/>
      <c r="IJ986" s="885"/>
      <c r="IK986" s="885"/>
      <c r="IL986" s="885"/>
      <c r="IM986" s="885"/>
      <c r="IN986" s="885"/>
      <c r="IO986" s="885"/>
      <c r="IP986" s="885"/>
      <c r="IQ986" s="885"/>
      <c r="IR986" s="885"/>
      <c r="IS986" s="885"/>
      <c r="IT986" s="885"/>
      <c r="IU986" s="885"/>
      <c r="IV986" s="885"/>
      <c r="IW986" s="885"/>
      <c r="IX986" s="885"/>
    </row>
    <row r="987" spans="1:258" x14ac:dyDescent="0.25">
      <c r="A987" s="125">
        <f t="shared" si="118"/>
        <v>947</v>
      </c>
      <c r="B987" s="885"/>
      <c r="C987" s="842" t="s">
        <v>10495</v>
      </c>
      <c r="D987" s="924">
        <v>0</v>
      </c>
      <c r="E987" s="924">
        <f t="shared" si="120"/>
        <v>0</v>
      </c>
      <c r="F987" s="136">
        <v>1000</v>
      </c>
      <c r="G987" s="122" t="s">
        <v>1963</v>
      </c>
      <c r="I987" s="885"/>
      <c r="J987" s="885"/>
      <c r="K987" s="885"/>
      <c r="L987" s="885"/>
      <c r="M987" s="885"/>
      <c r="N987" s="885"/>
      <c r="O987" s="885"/>
      <c r="P987" s="885"/>
      <c r="Q987" s="885"/>
      <c r="R987" s="885"/>
      <c r="S987" s="885"/>
      <c r="T987" s="885"/>
      <c r="U987" s="885"/>
      <c r="V987" s="885"/>
      <c r="W987" s="885"/>
      <c r="X987" s="885"/>
      <c r="Y987" s="885"/>
      <c r="Z987" s="885"/>
      <c r="AA987" s="885"/>
      <c r="AB987" s="885"/>
      <c r="AC987" s="885"/>
      <c r="AD987" s="885"/>
      <c r="AE987" s="885"/>
      <c r="AF987" s="885"/>
      <c r="AG987" s="885"/>
      <c r="AH987" s="885"/>
      <c r="AI987" s="885"/>
      <c r="AJ987" s="885"/>
      <c r="AK987" s="885"/>
      <c r="AL987" s="885"/>
      <c r="AM987" s="885"/>
      <c r="AN987" s="885"/>
      <c r="AO987" s="885"/>
      <c r="AP987" s="885"/>
      <c r="AQ987" s="885"/>
      <c r="AR987" s="885"/>
      <c r="AS987" s="885"/>
      <c r="AT987" s="885"/>
      <c r="AU987" s="885"/>
      <c r="AV987" s="885"/>
      <c r="AW987" s="885"/>
      <c r="AX987" s="885"/>
      <c r="AY987" s="885"/>
      <c r="AZ987" s="885"/>
      <c r="BA987" s="885"/>
      <c r="BB987" s="885"/>
      <c r="BC987" s="885"/>
      <c r="BD987" s="885"/>
      <c r="BE987" s="885"/>
      <c r="BF987" s="885"/>
      <c r="BG987" s="885"/>
      <c r="BH987" s="885"/>
      <c r="BI987" s="885"/>
      <c r="BJ987" s="885"/>
      <c r="BK987" s="885"/>
      <c r="BL987" s="885"/>
      <c r="BM987" s="885"/>
      <c r="BN987" s="885"/>
      <c r="BO987" s="885"/>
      <c r="BP987" s="885"/>
      <c r="BQ987" s="885"/>
      <c r="BR987" s="885"/>
      <c r="BS987" s="885"/>
      <c r="BT987" s="885"/>
      <c r="BU987" s="885"/>
      <c r="BV987" s="885"/>
      <c r="BW987" s="885"/>
      <c r="BX987" s="885"/>
      <c r="BY987" s="885"/>
      <c r="BZ987" s="885"/>
      <c r="CA987" s="885"/>
      <c r="CB987" s="885"/>
      <c r="CC987" s="885"/>
      <c r="CD987" s="885"/>
      <c r="CE987" s="885"/>
      <c r="CF987" s="885"/>
      <c r="CG987" s="885"/>
      <c r="CH987" s="885"/>
      <c r="CI987" s="885"/>
      <c r="CJ987" s="885"/>
      <c r="CK987" s="885"/>
      <c r="CL987" s="885"/>
      <c r="CM987" s="885"/>
      <c r="CN987" s="885"/>
      <c r="CO987" s="885"/>
      <c r="CP987" s="885"/>
      <c r="CQ987" s="885"/>
      <c r="CR987" s="885"/>
      <c r="CS987" s="885"/>
      <c r="CT987" s="885"/>
      <c r="CU987" s="885"/>
      <c r="CV987" s="885"/>
      <c r="CW987" s="885"/>
      <c r="CX987" s="885"/>
      <c r="CY987" s="885"/>
      <c r="CZ987" s="885"/>
      <c r="DA987" s="885"/>
      <c r="DB987" s="885"/>
      <c r="DC987" s="885"/>
      <c r="DD987" s="885"/>
      <c r="DE987" s="885"/>
      <c r="DF987" s="885"/>
      <c r="DG987" s="885"/>
      <c r="DH987" s="885"/>
      <c r="DI987" s="885"/>
      <c r="DJ987" s="885"/>
      <c r="DK987" s="885"/>
      <c r="DL987" s="885"/>
      <c r="DM987" s="885"/>
      <c r="DN987" s="885"/>
      <c r="DO987" s="885"/>
      <c r="DP987" s="885"/>
      <c r="DQ987" s="885"/>
      <c r="DR987" s="885"/>
      <c r="DS987" s="885"/>
      <c r="DT987" s="885"/>
      <c r="DU987" s="885"/>
      <c r="DV987" s="885"/>
      <c r="DW987" s="885"/>
      <c r="DX987" s="885"/>
      <c r="DY987" s="885"/>
      <c r="DZ987" s="885"/>
      <c r="EA987" s="885"/>
      <c r="EB987" s="885"/>
      <c r="EC987" s="885"/>
      <c r="ED987" s="885"/>
      <c r="EE987" s="885"/>
      <c r="EF987" s="885"/>
      <c r="EG987" s="885"/>
      <c r="EH987" s="885"/>
      <c r="EI987" s="885"/>
      <c r="EJ987" s="885"/>
      <c r="EK987" s="885"/>
      <c r="EL987" s="885"/>
      <c r="EM987" s="885"/>
      <c r="EN987" s="885"/>
      <c r="EO987" s="885"/>
      <c r="EP987" s="885"/>
      <c r="EQ987" s="885"/>
      <c r="ER987" s="885"/>
      <c r="ES987" s="885"/>
      <c r="ET987" s="885"/>
      <c r="EU987" s="885"/>
      <c r="EV987" s="885"/>
      <c r="EW987" s="885"/>
      <c r="EX987" s="885"/>
      <c r="EY987" s="885"/>
      <c r="EZ987" s="885"/>
      <c r="FA987" s="885"/>
      <c r="FB987" s="885"/>
      <c r="FC987" s="885"/>
      <c r="FD987" s="885"/>
      <c r="FE987" s="885"/>
      <c r="FF987" s="885"/>
      <c r="FG987" s="885"/>
      <c r="FH987" s="885"/>
      <c r="FI987" s="885"/>
      <c r="FJ987" s="885"/>
      <c r="FK987" s="885"/>
      <c r="FL987" s="885"/>
      <c r="FM987" s="885"/>
      <c r="FN987" s="885"/>
      <c r="FO987" s="885"/>
      <c r="FP987" s="885"/>
      <c r="FQ987" s="885"/>
      <c r="FR987" s="885"/>
      <c r="FS987" s="885"/>
      <c r="FT987" s="885"/>
      <c r="FU987" s="885"/>
      <c r="FV987" s="885"/>
      <c r="FW987" s="885"/>
      <c r="FX987" s="885"/>
      <c r="FY987" s="885"/>
      <c r="FZ987" s="885"/>
      <c r="GA987" s="885"/>
      <c r="GB987" s="885"/>
      <c r="GC987" s="885"/>
      <c r="GD987" s="885"/>
      <c r="GE987" s="885"/>
      <c r="GF987" s="885"/>
      <c r="GG987" s="885"/>
      <c r="GH987" s="885"/>
      <c r="GI987" s="885"/>
      <c r="GJ987" s="885"/>
      <c r="GK987" s="885"/>
      <c r="GL987" s="885"/>
      <c r="GM987" s="885"/>
      <c r="GN987" s="885"/>
      <c r="GO987" s="885"/>
      <c r="GP987" s="885"/>
      <c r="GQ987" s="885"/>
      <c r="GR987" s="885"/>
      <c r="GS987" s="885"/>
      <c r="GT987" s="885"/>
      <c r="GU987" s="885"/>
      <c r="GV987" s="885"/>
      <c r="GW987" s="885"/>
      <c r="GX987" s="885"/>
      <c r="GY987" s="885"/>
      <c r="GZ987" s="885"/>
      <c r="HA987" s="885"/>
      <c r="HB987" s="885"/>
      <c r="HC987" s="885"/>
      <c r="HD987" s="885"/>
      <c r="HE987" s="885"/>
      <c r="HF987" s="885"/>
      <c r="HG987" s="885"/>
      <c r="HH987" s="885"/>
      <c r="HI987" s="885"/>
      <c r="HJ987" s="885"/>
      <c r="HK987" s="885"/>
      <c r="HL987" s="885"/>
      <c r="HM987" s="885"/>
      <c r="HN987" s="885"/>
      <c r="HO987" s="885"/>
      <c r="HP987" s="885"/>
      <c r="HQ987" s="885"/>
      <c r="HR987" s="885"/>
      <c r="HS987" s="885"/>
      <c r="HT987" s="885"/>
      <c r="HU987" s="885"/>
      <c r="HV987" s="885"/>
      <c r="HW987" s="885"/>
      <c r="HX987" s="885"/>
      <c r="HY987" s="885"/>
      <c r="HZ987" s="885"/>
      <c r="IA987" s="885"/>
      <c r="IB987" s="885"/>
      <c r="IC987" s="885"/>
      <c r="ID987" s="885"/>
      <c r="IE987" s="885"/>
      <c r="IF987" s="885"/>
      <c r="IG987" s="885"/>
      <c r="IH987" s="885"/>
      <c r="II987" s="885"/>
      <c r="IJ987" s="885"/>
      <c r="IK987" s="885"/>
      <c r="IL987" s="885"/>
      <c r="IM987" s="885"/>
      <c r="IN987" s="885"/>
      <c r="IO987" s="885"/>
      <c r="IP987" s="885"/>
      <c r="IQ987" s="885"/>
      <c r="IR987" s="885"/>
      <c r="IS987" s="885"/>
      <c r="IT987" s="885"/>
      <c r="IU987" s="885"/>
      <c r="IV987" s="885"/>
      <c r="IW987" s="885"/>
      <c r="IX987" s="885"/>
    </row>
    <row r="988" spans="1:258" x14ac:dyDescent="0.25">
      <c r="A988" s="125">
        <f t="shared" si="118"/>
        <v>948</v>
      </c>
      <c r="B988" s="885"/>
      <c r="C988" s="134" t="s">
        <v>10506</v>
      </c>
      <c r="D988" s="924">
        <v>890</v>
      </c>
      <c r="E988" s="924">
        <f t="shared" si="120"/>
        <v>1335</v>
      </c>
      <c r="F988" s="136">
        <f>E988</f>
        <v>1335</v>
      </c>
      <c r="G988" s="122" t="s">
        <v>1963</v>
      </c>
      <c r="I988" s="885"/>
      <c r="J988" s="885"/>
      <c r="K988" s="885"/>
      <c r="L988" s="885"/>
      <c r="M988" s="885"/>
      <c r="N988" s="885"/>
      <c r="O988" s="885"/>
      <c r="P988" s="885"/>
      <c r="Q988" s="885"/>
      <c r="R988" s="885"/>
      <c r="S988" s="885"/>
      <c r="T988" s="885"/>
      <c r="U988" s="885"/>
      <c r="V988" s="885"/>
      <c r="W988" s="885"/>
      <c r="X988" s="885"/>
      <c r="Y988" s="885"/>
      <c r="Z988" s="885"/>
      <c r="AA988" s="885"/>
      <c r="AB988" s="885"/>
      <c r="AC988" s="885"/>
      <c r="AD988" s="885"/>
      <c r="AE988" s="885"/>
      <c r="AF988" s="885"/>
      <c r="AG988" s="885"/>
      <c r="AH988" s="885"/>
      <c r="AI988" s="885"/>
      <c r="AJ988" s="885"/>
      <c r="AK988" s="885"/>
      <c r="AL988" s="885"/>
      <c r="AM988" s="885"/>
      <c r="AN988" s="885"/>
      <c r="AO988" s="885"/>
      <c r="AP988" s="885"/>
      <c r="AQ988" s="885"/>
      <c r="AR988" s="885"/>
      <c r="AS988" s="885"/>
      <c r="AT988" s="885"/>
      <c r="AU988" s="885"/>
      <c r="AV988" s="885"/>
      <c r="AW988" s="885"/>
      <c r="AX988" s="885"/>
      <c r="AY988" s="885"/>
      <c r="AZ988" s="885"/>
      <c r="BA988" s="885"/>
      <c r="BB988" s="885"/>
      <c r="BC988" s="885"/>
      <c r="BD988" s="885"/>
      <c r="BE988" s="885"/>
      <c r="BF988" s="885"/>
      <c r="BG988" s="885"/>
      <c r="BH988" s="885"/>
      <c r="BI988" s="885"/>
      <c r="BJ988" s="885"/>
      <c r="BK988" s="885"/>
      <c r="BL988" s="885"/>
      <c r="BM988" s="885"/>
      <c r="BN988" s="885"/>
      <c r="BO988" s="885"/>
      <c r="BP988" s="885"/>
      <c r="BQ988" s="885"/>
      <c r="BR988" s="885"/>
      <c r="BS988" s="885"/>
      <c r="BT988" s="885"/>
      <c r="BU988" s="885"/>
      <c r="BV988" s="885"/>
      <c r="BW988" s="885"/>
      <c r="BX988" s="885"/>
      <c r="BY988" s="885"/>
      <c r="BZ988" s="885"/>
      <c r="CA988" s="885"/>
      <c r="CB988" s="885"/>
      <c r="CC988" s="885"/>
      <c r="CD988" s="885"/>
      <c r="CE988" s="885"/>
      <c r="CF988" s="885"/>
      <c r="CG988" s="885"/>
      <c r="CH988" s="885"/>
      <c r="CI988" s="885"/>
      <c r="CJ988" s="885"/>
      <c r="CK988" s="885"/>
      <c r="CL988" s="885"/>
      <c r="CM988" s="885"/>
      <c r="CN988" s="885"/>
      <c r="CO988" s="885"/>
      <c r="CP988" s="885"/>
      <c r="CQ988" s="885"/>
      <c r="CR988" s="885"/>
      <c r="CS988" s="885"/>
      <c r="CT988" s="885"/>
      <c r="CU988" s="885"/>
      <c r="CV988" s="885"/>
      <c r="CW988" s="885"/>
      <c r="CX988" s="885"/>
      <c r="CY988" s="885"/>
      <c r="CZ988" s="885"/>
      <c r="DA988" s="885"/>
      <c r="DB988" s="885"/>
      <c r="DC988" s="885"/>
      <c r="DD988" s="885"/>
      <c r="DE988" s="885"/>
      <c r="DF988" s="885"/>
      <c r="DG988" s="885"/>
      <c r="DH988" s="885"/>
      <c r="DI988" s="885"/>
      <c r="DJ988" s="885"/>
      <c r="DK988" s="885"/>
      <c r="DL988" s="885"/>
      <c r="DM988" s="885"/>
      <c r="DN988" s="885"/>
      <c r="DO988" s="885"/>
      <c r="DP988" s="885"/>
      <c r="DQ988" s="885"/>
      <c r="DR988" s="885"/>
      <c r="DS988" s="885"/>
      <c r="DT988" s="885"/>
      <c r="DU988" s="885"/>
      <c r="DV988" s="885"/>
      <c r="DW988" s="885"/>
      <c r="DX988" s="885"/>
      <c r="DY988" s="885"/>
      <c r="DZ988" s="885"/>
      <c r="EA988" s="885"/>
      <c r="EB988" s="885"/>
      <c r="EC988" s="885"/>
      <c r="ED988" s="885"/>
      <c r="EE988" s="885"/>
      <c r="EF988" s="885"/>
      <c r="EG988" s="885"/>
      <c r="EH988" s="885"/>
      <c r="EI988" s="885"/>
      <c r="EJ988" s="885"/>
      <c r="EK988" s="885"/>
      <c r="EL988" s="885"/>
      <c r="EM988" s="885"/>
      <c r="EN988" s="885"/>
      <c r="EO988" s="885"/>
      <c r="EP988" s="885"/>
      <c r="EQ988" s="885"/>
      <c r="ER988" s="885"/>
      <c r="ES988" s="885"/>
      <c r="ET988" s="885"/>
      <c r="EU988" s="885"/>
      <c r="EV988" s="885"/>
      <c r="EW988" s="885"/>
      <c r="EX988" s="885"/>
      <c r="EY988" s="885"/>
      <c r="EZ988" s="885"/>
      <c r="FA988" s="885"/>
      <c r="FB988" s="885"/>
      <c r="FC988" s="885"/>
      <c r="FD988" s="885"/>
      <c r="FE988" s="885"/>
      <c r="FF988" s="885"/>
      <c r="FG988" s="885"/>
      <c r="FH988" s="885"/>
      <c r="FI988" s="885"/>
      <c r="FJ988" s="885"/>
      <c r="FK988" s="885"/>
      <c r="FL988" s="885"/>
      <c r="FM988" s="885"/>
      <c r="FN988" s="885"/>
      <c r="FO988" s="885"/>
      <c r="FP988" s="885"/>
      <c r="FQ988" s="885"/>
      <c r="FR988" s="885"/>
      <c r="FS988" s="885"/>
      <c r="FT988" s="885"/>
      <c r="FU988" s="885"/>
      <c r="FV988" s="885"/>
      <c r="FW988" s="885"/>
      <c r="FX988" s="885"/>
      <c r="FY988" s="885"/>
      <c r="FZ988" s="885"/>
      <c r="GA988" s="885"/>
      <c r="GB988" s="885"/>
      <c r="GC988" s="885"/>
      <c r="GD988" s="885"/>
      <c r="GE988" s="885"/>
      <c r="GF988" s="885"/>
      <c r="GG988" s="885"/>
      <c r="GH988" s="885"/>
      <c r="GI988" s="885"/>
      <c r="GJ988" s="885"/>
      <c r="GK988" s="885"/>
      <c r="GL988" s="885"/>
      <c r="GM988" s="885"/>
      <c r="GN988" s="885"/>
      <c r="GO988" s="885"/>
      <c r="GP988" s="885"/>
      <c r="GQ988" s="885"/>
      <c r="GR988" s="885"/>
      <c r="GS988" s="885"/>
      <c r="GT988" s="885"/>
      <c r="GU988" s="885"/>
      <c r="GV988" s="885"/>
      <c r="GW988" s="885"/>
      <c r="GX988" s="885"/>
      <c r="GY988" s="885"/>
      <c r="GZ988" s="885"/>
      <c r="HA988" s="885"/>
      <c r="HB988" s="885"/>
      <c r="HC988" s="885"/>
      <c r="HD988" s="885"/>
      <c r="HE988" s="885"/>
      <c r="HF988" s="885"/>
      <c r="HG988" s="885"/>
      <c r="HH988" s="885"/>
      <c r="HI988" s="885"/>
      <c r="HJ988" s="885"/>
      <c r="HK988" s="885"/>
      <c r="HL988" s="885"/>
      <c r="HM988" s="885"/>
      <c r="HN988" s="885"/>
      <c r="HO988" s="885"/>
      <c r="HP988" s="885"/>
      <c r="HQ988" s="885"/>
      <c r="HR988" s="885"/>
      <c r="HS988" s="885"/>
      <c r="HT988" s="885"/>
      <c r="HU988" s="885"/>
      <c r="HV988" s="885"/>
      <c r="HW988" s="885"/>
      <c r="HX988" s="885"/>
      <c r="HY988" s="885"/>
      <c r="HZ988" s="885"/>
      <c r="IA988" s="885"/>
      <c r="IB988" s="885"/>
      <c r="IC988" s="885"/>
      <c r="ID988" s="885"/>
      <c r="IE988" s="885"/>
      <c r="IF988" s="885"/>
      <c r="IG988" s="885"/>
      <c r="IH988" s="885"/>
      <c r="II988" s="885"/>
      <c r="IJ988" s="885"/>
      <c r="IK988" s="885"/>
      <c r="IL988" s="885"/>
      <c r="IM988" s="885"/>
      <c r="IN988" s="885"/>
      <c r="IO988" s="885"/>
      <c r="IP988" s="885"/>
      <c r="IQ988" s="885"/>
      <c r="IR988" s="885"/>
      <c r="IS988" s="885"/>
      <c r="IT988" s="885"/>
      <c r="IU988" s="885"/>
      <c r="IV988" s="885"/>
      <c r="IW988" s="885"/>
      <c r="IX988" s="885"/>
    </row>
    <row r="989" spans="1:258" x14ac:dyDescent="0.25">
      <c r="A989" s="125">
        <f t="shared" si="118"/>
        <v>949</v>
      </c>
      <c r="B989" s="885"/>
      <c r="C989" s="232" t="s">
        <v>10571</v>
      </c>
      <c r="D989" s="915"/>
      <c r="E989" s="915"/>
      <c r="F989" s="129"/>
      <c r="I989" s="885"/>
      <c r="J989" s="885"/>
      <c r="K989" s="885"/>
      <c r="L989" s="885"/>
      <c r="M989" s="885"/>
      <c r="N989" s="885"/>
      <c r="O989" s="885"/>
      <c r="P989" s="885"/>
      <c r="Q989" s="885"/>
      <c r="R989" s="885"/>
      <c r="S989" s="885"/>
      <c r="T989" s="885"/>
      <c r="U989" s="885"/>
      <c r="V989" s="885"/>
      <c r="W989" s="885"/>
      <c r="X989" s="885"/>
      <c r="Y989" s="885"/>
      <c r="Z989" s="885"/>
      <c r="AA989" s="885"/>
      <c r="AB989" s="885"/>
      <c r="AC989" s="885"/>
      <c r="AD989" s="885"/>
      <c r="AE989" s="885"/>
      <c r="AF989" s="885"/>
      <c r="AG989" s="885"/>
      <c r="AH989" s="885"/>
      <c r="AI989" s="885"/>
      <c r="AJ989" s="885"/>
      <c r="AK989" s="885"/>
      <c r="AL989" s="885"/>
      <c r="AM989" s="885"/>
      <c r="AN989" s="885"/>
      <c r="AO989" s="885"/>
      <c r="AP989" s="885"/>
      <c r="AQ989" s="885"/>
      <c r="AR989" s="885"/>
      <c r="AS989" s="885"/>
      <c r="AT989" s="885"/>
      <c r="AU989" s="885"/>
      <c r="AV989" s="885"/>
      <c r="AW989" s="885"/>
      <c r="AX989" s="885"/>
      <c r="AY989" s="885"/>
      <c r="AZ989" s="885"/>
      <c r="BA989" s="885"/>
      <c r="BB989" s="885"/>
      <c r="BC989" s="885"/>
      <c r="BD989" s="885"/>
      <c r="BE989" s="885"/>
      <c r="BF989" s="885"/>
      <c r="BG989" s="885"/>
      <c r="BH989" s="885"/>
      <c r="BI989" s="885"/>
      <c r="BJ989" s="885"/>
      <c r="BK989" s="885"/>
      <c r="BL989" s="885"/>
      <c r="BM989" s="885"/>
      <c r="BN989" s="885"/>
      <c r="BO989" s="885"/>
      <c r="BP989" s="885"/>
      <c r="BQ989" s="885"/>
      <c r="BR989" s="885"/>
      <c r="BS989" s="885"/>
      <c r="BT989" s="885"/>
      <c r="BU989" s="885"/>
      <c r="BV989" s="885"/>
      <c r="BW989" s="885"/>
      <c r="BX989" s="885"/>
      <c r="BY989" s="885"/>
      <c r="BZ989" s="885"/>
      <c r="CA989" s="885"/>
      <c r="CB989" s="885"/>
      <c r="CC989" s="885"/>
      <c r="CD989" s="885"/>
      <c r="CE989" s="885"/>
      <c r="CF989" s="885"/>
      <c r="CG989" s="885"/>
      <c r="CH989" s="885"/>
      <c r="CI989" s="885"/>
      <c r="CJ989" s="885"/>
      <c r="CK989" s="885"/>
      <c r="CL989" s="885"/>
      <c r="CM989" s="885"/>
      <c r="CN989" s="885"/>
      <c r="CO989" s="885"/>
      <c r="CP989" s="885"/>
      <c r="CQ989" s="885"/>
      <c r="CR989" s="885"/>
      <c r="CS989" s="885"/>
      <c r="CT989" s="885"/>
      <c r="CU989" s="885"/>
      <c r="CV989" s="885"/>
      <c r="CW989" s="885"/>
      <c r="CX989" s="885"/>
      <c r="CY989" s="885"/>
      <c r="CZ989" s="885"/>
      <c r="DA989" s="885"/>
      <c r="DB989" s="885"/>
      <c r="DC989" s="885"/>
      <c r="DD989" s="885"/>
      <c r="DE989" s="885"/>
      <c r="DF989" s="885"/>
      <c r="DG989" s="885"/>
      <c r="DH989" s="885"/>
      <c r="DI989" s="885"/>
      <c r="DJ989" s="885"/>
      <c r="DK989" s="885"/>
      <c r="DL989" s="885"/>
      <c r="DM989" s="885"/>
      <c r="DN989" s="885"/>
      <c r="DO989" s="885"/>
      <c r="DP989" s="885"/>
      <c r="DQ989" s="885"/>
      <c r="DR989" s="885"/>
      <c r="DS989" s="885"/>
      <c r="DT989" s="885"/>
      <c r="DU989" s="885"/>
      <c r="DV989" s="885"/>
      <c r="DW989" s="885"/>
      <c r="DX989" s="885"/>
      <c r="DY989" s="885"/>
      <c r="DZ989" s="885"/>
      <c r="EA989" s="885"/>
      <c r="EB989" s="885"/>
      <c r="EC989" s="885"/>
      <c r="ED989" s="885"/>
      <c r="EE989" s="885"/>
      <c r="EF989" s="885"/>
      <c r="EG989" s="885"/>
      <c r="EH989" s="885"/>
      <c r="EI989" s="885"/>
      <c r="EJ989" s="885"/>
      <c r="EK989" s="885"/>
      <c r="EL989" s="885"/>
      <c r="EM989" s="885"/>
      <c r="EN989" s="885"/>
      <c r="EO989" s="885"/>
      <c r="EP989" s="885"/>
      <c r="EQ989" s="885"/>
      <c r="ER989" s="885"/>
      <c r="ES989" s="885"/>
      <c r="ET989" s="885"/>
      <c r="EU989" s="885"/>
      <c r="EV989" s="885"/>
      <c r="EW989" s="885"/>
      <c r="EX989" s="885"/>
      <c r="EY989" s="885"/>
      <c r="EZ989" s="885"/>
      <c r="FA989" s="885"/>
      <c r="FB989" s="885"/>
      <c r="FC989" s="885"/>
      <c r="FD989" s="885"/>
      <c r="FE989" s="885"/>
      <c r="FF989" s="885"/>
      <c r="FG989" s="885"/>
      <c r="FH989" s="885"/>
      <c r="FI989" s="885"/>
      <c r="FJ989" s="885"/>
      <c r="FK989" s="885"/>
      <c r="FL989" s="885"/>
      <c r="FM989" s="885"/>
      <c r="FN989" s="885"/>
      <c r="FO989" s="885"/>
      <c r="FP989" s="885"/>
      <c r="FQ989" s="885"/>
      <c r="FR989" s="885"/>
      <c r="FS989" s="885"/>
      <c r="FT989" s="885"/>
      <c r="FU989" s="885"/>
      <c r="FV989" s="885"/>
      <c r="FW989" s="885"/>
      <c r="FX989" s="885"/>
      <c r="FY989" s="885"/>
      <c r="FZ989" s="885"/>
      <c r="GA989" s="885"/>
      <c r="GB989" s="885"/>
      <c r="GC989" s="885"/>
      <c r="GD989" s="885"/>
      <c r="GE989" s="885"/>
      <c r="GF989" s="885"/>
      <c r="GG989" s="885"/>
      <c r="GH989" s="885"/>
      <c r="GI989" s="885"/>
      <c r="GJ989" s="885"/>
      <c r="GK989" s="885"/>
      <c r="GL989" s="885"/>
      <c r="GM989" s="885"/>
      <c r="GN989" s="885"/>
      <c r="GO989" s="885"/>
      <c r="GP989" s="885"/>
      <c r="GQ989" s="885"/>
      <c r="GR989" s="885"/>
      <c r="GS989" s="885"/>
      <c r="GT989" s="885"/>
      <c r="GU989" s="885"/>
      <c r="GV989" s="885"/>
      <c r="GW989" s="885"/>
      <c r="GX989" s="885"/>
      <c r="GY989" s="885"/>
      <c r="GZ989" s="885"/>
      <c r="HA989" s="885"/>
      <c r="HB989" s="885"/>
      <c r="HC989" s="885"/>
      <c r="HD989" s="885"/>
      <c r="HE989" s="885"/>
      <c r="HF989" s="885"/>
      <c r="HG989" s="885"/>
      <c r="HH989" s="885"/>
      <c r="HI989" s="885"/>
      <c r="HJ989" s="885"/>
      <c r="HK989" s="885"/>
      <c r="HL989" s="885"/>
      <c r="HM989" s="885"/>
      <c r="HN989" s="885"/>
      <c r="HO989" s="885"/>
      <c r="HP989" s="885"/>
      <c r="HQ989" s="885"/>
      <c r="HR989" s="885"/>
      <c r="HS989" s="885"/>
      <c r="HT989" s="885"/>
      <c r="HU989" s="885"/>
      <c r="HV989" s="885"/>
      <c r="HW989" s="885"/>
      <c r="HX989" s="885"/>
      <c r="HY989" s="885"/>
      <c r="HZ989" s="885"/>
      <c r="IA989" s="885"/>
      <c r="IB989" s="885"/>
      <c r="IC989" s="885"/>
      <c r="ID989" s="885"/>
      <c r="IE989" s="885"/>
      <c r="IF989" s="885"/>
      <c r="IG989" s="885"/>
      <c r="IH989" s="885"/>
      <c r="II989" s="885"/>
      <c r="IJ989" s="885"/>
      <c r="IK989" s="885"/>
      <c r="IL989" s="885"/>
      <c r="IM989" s="885"/>
      <c r="IN989" s="885"/>
      <c r="IO989" s="885"/>
      <c r="IP989" s="885"/>
      <c r="IQ989" s="885"/>
      <c r="IR989" s="885"/>
      <c r="IS989" s="885"/>
      <c r="IT989" s="885"/>
      <c r="IU989" s="885"/>
      <c r="IV989" s="885"/>
      <c r="IW989" s="885"/>
      <c r="IX989" s="885"/>
    </row>
    <row r="990" spans="1:258" x14ac:dyDescent="0.25">
      <c r="A990" s="125">
        <f t="shared" ref="A990:A1053" si="121">A989+1</f>
        <v>950</v>
      </c>
      <c r="B990" s="885"/>
      <c r="C990" s="842" t="s">
        <v>10505</v>
      </c>
      <c r="D990" s="924">
        <v>0</v>
      </c>
      <c r="E990" s="924">
        <f>D990/8*13.33</f>
        <v>0</v>
      </c>
      <c r="F990" s="136">
        <v>1</v>
      </c>
      <c r="G990" s="122" t="s">
        <v>1963</v>
      </c>
      <c r="I990" s="885"/>
      <c r="J990" s="885"/>
      <c r="K990" s="885"/>
      <c r="L990" s="885"/>
      <c r="M990" s="885"/>
      <c r="N990" s="885"/>
      <c r="O990" s="885"/>
      <c r="P990" s="885"/>
      <c r="Q990" s="885"/>
      <c r="R990" s="885"/>
      <c r="S990" s="885"/>
      <c r="T990" s="885"/>
      <c r="U990" s="885"/>
      <c r="V990" s="885"/>
      <c r="W990" s="885"/>
      <c r="X990" s="885"/>
      <c r="Y990" s="885"/>
      <c r="Z990" s="885"/>
      <c r="AA990" s="885"/>
      <c r="AB990" s="885"/>
      <c r="AC990" s="885"/>
      <c r="AD990" s="885"/>
      <c r="AE990" s="885"/>
      <c r="AF990" s="885"/>
      <c r="AG990" s="885"/>
      <c r="AH990" s="885"/>
      <c r="AI990" s="885"/>
      <c r="AJ990" s="885"/>
      <c r="AK990" s="885"/>
      <c r="AL990" s="885"/>
      <c r="AM990" s="885"/>
      <c r="AN990" s="885"/>
      <c r="AO990" s="885"/>
      <c r="AP990" s="885"/>
      <c r="AQ990" s="885"/>
      <c r="AR990" s="885"/>
      <c r="AS990" s="885"/>
      <c r="AT990" s="885"/>
      <c r="AU990" s="885"/>
      <c r="AV990" s="885"/>
      <c r="AW990" s="885"/>
      <c r="AX990" s="885"/>
      <c r="AY990" s="885"/>
      <c r="AZ990" s="885"/>
      <c r="BA990" s="885"/>
      <c r="BB990" s="885"/>
      <c r="BC990" s="885"/>
      <c r="BD990" s="885"/>
      <c r="BE990" s="885"/>
      <c r="BF990" s="885"/>
      <c r="BG990" s="885"/>
      <c r="BH990" s="885"/>
      <c r="BI990" s="885"/>
      <c r="BJ990" s="885"/>
      <c r="BK990" s="885"/>
      <c r="BL990" s="885"/>
      <c r="BM990" s="885"/>
      <c r="BN990" s="885"/>
      <c r="BO990" s="885"/>
      <c r="BP990" s="885"/>
      <c r="BQ990" s="885"/>
      <c r="BR990" s="885"/>
      <c r="BS990" s="885"/>
      <c r="BT990" s="885"/>
      <c r="BU990" s="885"/>
      <c r="BV990" s="885"/>
      <c r="BW990" s="885"/>
      <c r="BX990" s="885"/>
      <c r="BY990" s="885"/>
      <c r="BZ990" s="885"/>
      <c r="CA990" s="885"/>
      <c r="CB990" s="885"/>
      <c r="CC990" s="885"/>
      <c r="CD990" s="885"/>
      <c r="CE990" s="885"/>
      <c r="CF990" s="885"/>
      <c r="CG990" s="885"/>
      <c r="CH990" s="885"/>
      <c r="CI990" s="885"/>
      <c r="CJ990" s="885"/>
      <c r="CK990" s="885"/>
      <c r="CL990" s="885"/>
      <c r="CM990" s="885"/>
      <c r="CN990" s="885"/>
      <c r="CO990" s="885"/>
      <c r="CP990" s="885"/>
      <c r="CQ990" s="885"/>
      <c r="CR990" s="885"/>
      <c r="CS990" s="885"/>
      <c r="CT990" s="885"/>
      <c r="CU990" s="885"/>
      <c r="CV990" s="885"/>
      <c r="CW990" s="885"/>
      <c r="CX990" s="885"/>
      <c r="CY990" s="885"/>
      <c r="CZ990" s="885"/>
      <c r="DA990" s="885"/>
      <c r="DB990" s="885"/>
      <c r="DC990" s="885"/>
      <c r="DD990" s="885"/>
      <c r="DE990" s="885"/>
      <c r="DF990" s="885"/>
      <c r="DG990" s="885"/>
      <c r="DH990" s="885"/>
      <c r="DI990" s="885"/>
      <c r="DJ990" s="885"/>
      <c r="DK990" s="885"/>
      <c r="DL990" s="885"/>
      <c r="DM990" s="885"/>
      <c r="DN990" s="885"/>
      <c r="DO990" s="885"/>
      <c r="DP990" s="885"/>
      <c r="DQ990" s="885"/>
      <c r="DR990" s="885"/>
      <c r="DS990" s="885"/>
      <c r="DT990" s="885"/>
      <c r="DU990" s="885"/>
      <c r="DV990" s="885"/>
      <c r="DW990" s="885"/>
      <c r="DX990" s="885"/>
      <c r="DY990" s="885"/>
      <c r="DZ990" s="885"/>
      <c r="EA990" s="885"/>
      <c r="EB990" s="885"/>
      <c r="EC990" s="885"/>
      <c r="ED990" s="885"/>
      <c r="EE990" s="885"/>
      <c r="EF990" s="885"/>
      <c r="EG990" s="885"/>
      <c r="EH990" s="885"/>
      <c r="EI990" s="885"/>
      <c r="EJ990" s="885"/>
      <c r="EK990" s="885"/>
      <c r="EL990" s="885"/>
      <c r="EM990" s="885"/>
      <c r="EN990" s="885"/>
      <c r="EO990" s="885"/>
      <c r="EP990" s="885"/>
      <c r="EQ990" s="885"/>
      <c r="ER990" s="885"/>
      <c r="ES990" s="885"/>
      <c r="ET990" s="885"/>
      <c r="EU990" s="885"/>
      <c r="EV990" s="885"/>
      <c r="EW990" s="885"/>
      <c r="EX990" s="885"/>
      <c r="EY990" s="885"/>
      <c r="EZ990" s="885"/>
      <c r="FA990" s="885"/>
      <c r="FB990" s="885"/>
      <c r="FC990" s="885"/>
      <c r="FD990" s="885"/>
      <c r="FE990" s="885"/>
      <c r="FF990" s="885"/>
      <c r="FG990" s="885"/>
      <c r="FH990" s="885"/>
      <c r="FI990" s="885"/>
      <c r="FJ990" s="885"/>
      <c r="FK990" s="885"/>
      <c r="FL990" s="885"/>
      <c r="FM990" s="885"/>
      <c r="FN990" s="885"/>
      <c r="FO990" s="885"/>
      <c r="FP990" s="885"/>
      <c r="FQ990" s="885"/>
      <c r="FR990" s="885"/>
      <c r="FS990" s="885"/>
      <c r="FT990" s="885"/>
      <c r="FU990" s="885"/>
      <c r="FV990" s="885"/>
      <c r="FW990" s="885"/>
      <c r="FX990" s="885"/>
      <c r="FY990" s="885"/>
      <c r="FZ990" s="885"/>
      <c r="GA990" s="885"/>
      <c r="GB990" s="885"/>
      <c r="GC990" s="885"/>
      <c r="GD990" s="885"/>
      <c r="GE990" s="885"/>
      <c r="GF990" s="885"/>
      <c r="GG990" s="885"/>
      <c r="GH990" s="885"/>
      <c r="GI990" s="885"/>
      <c r="GJ990" s="885"/>
      <c r="GK990" s="885"/>
      <c r="GL990" s="885"/>
      <c r="GM990" s="885"/>
      <c r="GN990" s="885"/>
      <c r="GO990" s="885"/>
      <c r="GP990" s="885"/>
      <c r="GQ990" s="885"/>
      <c r="GR990" s="885"/>
      <c r="GS990" s="885"/>
      <c r="GT990" s="885"/>
      <c r="GU990" s="885"/>
      <c r="GV990" s="885"/>
      <c r="GW990" s="885"/>
      <c r="GX990" s="885"/>
      <c r="GY990" s="885"/>
      <c r="GZ990" s="885"/>
      <c r="HA990" s="885"/>
      <c r="HB990" s="885"/>
      <c r="HC990" s="885"/>
      <c r="HD990" s="885"/>
      <c r="HE990" s="885"/>
      <c r="HF990" s="885"/>
      <c r="HG990" s="885"/>
      <c r="HH990" s="885"/>
      <c r="HI990" s="885"/>
      <c r="HJ990" s="885"/>
      <c r="HK990" s="885"/>
      <c r="HL990" s="885"/>
      <c r="HM990" s="885"/>
      <c r="HN990" s="885"/>
      <c r="HO990" s="885"/>
      <c r="HP990" s="885"/>
      <c r="HQ990" s="885"/>
      <c r="HR990" s="885"/>
      <c r="HS990" s="885"/>
      <c r="HT990" s="885"/>
      <c r="HU990" s="885"/>
      <c r="HV990" s="885"/>
      <c r="HW990" s="885"/>
      <c r="HX990" s="885"/>
      <c r="HY990" s="885"/>
      <c r="HZ990" s="885"/>
      <c r="IA990" s="885"/>
      <c r="IB990" s="885"/>
      <c r="IC990" s="885"/>
      <c r="ID990" s="885"/>
      <c r="IE990" s="885"/>
      <c r="IF990" s="885"/>
      <c r="IG990" s="885"/>
      <c r="IH990" s="885"/>
      <c r="II990" s="885"/>
      <c r="IJ990" s="885"/>
      <c r="IK990" s="885"/>
      <c r="IL990" s="885"/>
      <c r="IM990" s="885"/>
      <c r="IN990" s="885"/>
      <c r="IO990" s="885"/>
      <c r="IP990" s="885"/>
      <c r="IQ990" s="885"/>
      <c r="IR990" s="885"/>
      <c r="IS990" s="885"/>
      <c r="IT990" s="885"/>
      <c r="IU990" s="885"/>
      <c r="IV990" s="885"/>
      <c r="IW990" s="885"/>
      <c r="IX990" s="885"/>
    </row>
    <row r="991" spans="1:258" x14ac:dyDescent="0.25">
      <c r="A991" s="125">
        <f t="shared" si="121"/>
        <v>951</v>
      </c>
      <c r="B991" s="981"/>
      <c r="C991" s="134" t="s">
        <v>11581</v>
      </c>
      <c r="D991" s="924">
        <v>0</v>
      </c>
      <c r="E991" s="924">
        <f>D991*13.33</f>
        <v>0</v>
      </c>
      <c r="F991" s="136">
        <v>1</v>
      </c>
      <c r="G991" s="122" t="s">
        <v>1963</v>
      </c>
      <c r="I991" s="981"/>
      <c r="J991" s="981"/>
      <c r="K991" s="981"/>
      <c r="L991" s="981"/>
      <c r="M991" s="981"/>
      <c r="N991" s="981"/>
      <c r="O991" s="981"/>
      <c r="P991" s="981"/>
      <c r="Q991" s="981"/>
      <c r="R991" s="981"/>
      <c r="S991" s="981"/>
      <c r="T991" s="981"/>
      <c r="U991" s="981"/>
      <c r="V991" s="981"/>
      <c r="W991" s="981"/>
      <c r="X991" s="981"/>
      <c r="Y991" s="981"/>
      <c r="Z991" s="981"/>
      <c r="AA991" s="981"/>
      <c r="AB991" s="981"/>
      <c r="AC991" s="981"/>
      <c r="AD991" s="981"/>
      <c r="AE991" s="981"/>
      <c r="AF991" s="981"/>
      <c r="AG991" s="981"/>
      <c r="AH991" s="981"/>
      <c r="AI991" s="981"/>
      <c r="AJ991" s="981"/>
      <c r="AK991" s="981"/>
      <c r="AL991" s="981"/>
      <c r="AM991" s="981"/>
      <c r="AN991" s="981"/>
      <c r="AO991" s="981"/>
      <c r="AP991" s="981"/>
      <c r="AQ991" s="981"/>
      <c r="AR991" s="981"/>
      <c r="AS991" s="981"/>
      <c r="AT991" s="981"/>
      <c r="AU991" s="981"/>
      <c r="AV991" s="981"/>
      <c r="AW991" s="981"/>
      <c r="AX991" s="981"/>
      <c r="AY991" s="981"/>
      <c r="AZ991" s="981"/>
      <c r="BA991" s="981"/>
      <c r="BB991" s="981"/>
      <c r="BC991" s="981"/>
      <c r="BD991" s="981"/>
      <c r="BE991" s="981"/>
      <c r="BF991" s="981"/>
      <c r="BG991" s="981"/>
      <c r="BH991" s="981"/>
      <c r="BI991" s="981"/>
      <c r="BJ991" s="981"/>
      <c r="BK991" s="981"/>
      <c r="BL991" s="981"/>
      <c r="BM991" s="981"/>
      <c r="BN991" s="981"/>
      <c r="BO991" s="981"/>
      <c r="BP991" s="981"/>
      <c r="BQ991" s="981"/>
      <c r="BR991" s="981"/>
      <c r="BS991" s="981"/>
      <c r="BT991" s="981"/>
      <c r="BU991" s="981"/>
      <c r="BV991" s="981"/>
      <c r="BW991" s="981"/>
      <c r="BX991" s="981"/>
      <c r="BY991" s="981"/>
      <c r="BZ991" s="981"/>
      <c r="CA991" s="981"/>
      <c r="CB991" s="981"/>
      <c r="CC991" s="981"/>
      <c r="CD991" s="981"/>
      <c r="CE991" s="981"/>
      <c r="CF991" s="981"/>
      <c r="CG991" s="981"/>
      <c r="CH991" s="981"/>
      <c r="CI991" s="981"/>
      <c r="CJ991" s="981"/>
      <c r="CK991" s="981"/>
      <c r="CL991" s="981"/>
      <c r="CM991" s="981"/>
      <c r="CN991" s="981"/>
      <c r="CO991" s="981"/>
      <c r="CP991" s="981"/>
      <c r="CQ991" s="981"/>
      <c r="CR991" s="981"/>
      <c r="CS991" s="981"/>
      <c r="CT991" s="981"/>
      <c r="CU991" s="981"/>
      <c r="CV991" s="981"/>
      <c r="CW991" s="981"/>
      <c r="CX991" s="981"/>
      <c r="CY991" s="981"/>
      <c r="CZ991" s="981"/>
      <c r="DA991" s="981"/>
      <c r="DB991" s="981"/>
      <c r="DC991" s="981"/>
      <c r="DD991" s="981"/>
      <c r="DE991" s="981"/>
      <c r="DF991" s="981"/>
      <c r="DG991" s="981"/>
      <c r="DH991" s="981"/>
      <c r="DI991" s="981"/>
      <c r="DJ991" s="981"/>
      <c r="DK991" s="981"/>
      <c r="DL991" s="981"/>
      <c r="DM991" s="981"/>
      <c r="DN991" s="981"/>
      <c r="DO991" s="981"/>
      <c r="DP991" s="981"/>
      <c r="DQ991" s="981"/>
      <c r="DR991" s="981"/>
      <c r="DS991" s="981"/>
      <c r="DT991" s="981"/>
      <c r="DU991" s="981"/>
      <c r="DV991" s="981"/>
      <c r="DW991" s="981"/>
      <c r="DX991" s="981"/>
      <c r="DY991" s="981"/>
      <c r="DZ991" s="981"/>
      <c r="EA991" s="981"/>
      <c r="EB991" s="981"/>
      <c r="EC991" s="981"/>
      <c r="ED991" s="981"/>
      <c r="EE991" s="981"/>
      <c r="EF991" s="981"/>
      <c r="EG991" s="981"/>
      <c r="EH991" s="981"/>
      <c r="EI991" s="981"/>
      <c r="EJ991" s="981"/>
      <c r="EK991" s="981"/>
      <c r="EL991" s="981"/>
      <c r="EM991" s="981"/>
      <c r="EN991" s="981"/>
      <c r="EO991" s="981"/>
      <c r="EP991" s="981"/>
      <c r="EQ991" s="981"/>
      <c r="ER991" s="981"/>
      <c r="ES991" s="981"/>
      <c r="ET991" s="981"/>
      <c r="EU991" s="981"/>
      <c r="EV991" s="981"/>
      <c r="EW991" s="981"/>
      <c r="EX991" s="981"/>
      <c r="EY991" s="981"/>
      <c r="EZ991" s="981"/>
      <c r="FA991" s="981"/>
      <c r="FB991" s="981"/>
      <c r="FC991" s="981"/>
      <c r="FD991" s="981"/>
      <c r="FE991" s="981"/>
      <c r="FF991" s="981"/>
      <c r="FG991" s="981"/>
      <c r="FH991" s="981"/>
      <c r="FI991" s="981"/>
      <c r="FJ991" s="981"/>
      <c r="FK991" s="981"/>
      <c r="FL991" s="981"/>
      <c r="FM991" s="981"/>
      <c r="FN991" s="981"/>
      <c r="FO991" s="981"/>
      <c r="FP991" s="981"/>
      <c r="FQ991" s="981"/>
      <c r="FR991" s="981"/>
      <c r="FS991" s="981"/>
      <c r="FT991" s="981"/>
      <c r="FU991" s="981"/>
      <c r="FV991" s="981"/>
      <c r="FW991" s="981"/>
      <c r="FX991" s="981"/>
      <c r="FY991" s="981"/>
      <c r="FZ991" s="981"/>
      <c r="GA991" s="981"/>
      <c r="GB991" s="981"/>
      <c r="GC991" s="981"/>
      <c r="GD991" s="981"/>
      <c r="GE991" s="981"/>
      <c r="GF991" s="981"/>
      <c r="GG991" s="981"/>
      <c r="GH991" s="981"/>
      <c r="GI991" s="981"/>
      <c r="GJ991" s="981"/>
      <c r="GK991" s="981"/>
      <c r="GL991" s="981"/>
      <c r="GM991" s="981"/>
      <c r="GN991" s="981"/>
      <c r="GO991" s="981"/>
      <c r="GP991" s="981"/>
      <c r="GQ991" s="981"/>
      <c r="GR991" s="981"/>
      <c r="GS991" s="981"/>
      <c r="GT991" s="981"/>
      <c r="GU991" s="981"/>
      <c r="GV991" s="981"/>
      <c r="GW991" s="981"/>
      <c r="GX991" s="981"/>
      <c r="GY991" s="981"/>
      <c r="GZ991" s="981"/>
      <c r="HA991" s="981"/>
      <c r="HB991" s="981"/>
      <c r="HC991" s="981"/>
      <c r="HD991" s="981"/>
      <c r="HE991" s="981"/>
      <c r="HF991" s="981"/>
      <c r="HG991" s="981"/>
      <c r="HH991" s="981"/>
      <c r="HI991" s="981"/>
      <c r="HJ991" s="981"/>
      <c r="HK991" s="981"/>
      <c r="HL991" s="981"/>
      <c r="HM991" s="981"/>
      <c r="HN991" s="981"/>
      <c r="HO991" s="981"/>
      <c r="HP991" s="981"/>
      <c r="HQ991" s="981"/>
      <c r="HR991" s="981"/>
      <c r="HS991" s="981"/>
      <c r="HT991" s="981"/>
      <c r="HU991" s="981"/>
      <c r="HV991" s="981"/>
      <c r="HW991" s="981"/>
      <c r="HX991" s="981"/>
      <c r="HY991" s="981"/>
      <c r="HZ991" s="981"/>
      <c r="IA991" s="981"/>
      <c r="IB991" s="981"/>
      <c r="IC991" s="981"/>
      <c r="ID991" s="981"/>
      <c r="IE991" s="981"/>
      <c r="IF991" s="981"/>
      <c r="IG991" s="981"/>
      <c r="IH991" s="981"/>
      <c r="II991" s="981"/>
      <c r="IJ991" s="981"/>
      <c r="IK991" s="981"/>
      <c r="IL991" s="981"/>
      <c r="IM991" s="981"/>
      <c r="IN991" s="981"/>
      <c r="IO991" s="981"/>
      <c r="IP991" s="981"/>
      <c r="IQ991" s="981"/>
      <c r="IR991" s="981"/>
      <c r="IS991" s="981"/>
      <c r="IT991" s="981"/>
      <c r="IU991" s="981"/>
      <c r="IV991" s="981"/>
      <c r="IW991" s="981"/>
      <c r="IX991" s="981"/>
    </row>
    <row r="992" spans="1:258" x14ac:dyDescent="0.25">
      <c r="A992" s="125">
        <f t="shared" si="121"/>
        <v>952</v>
      </c>
      <c r="B992" s="885"/>
      <c r="C992" s="842" t="s">
        <v>10516</v>
      </c>
      <c r="D992" s="924">
        <v>53250.35</v>
      </c>
      <c r="E992" s="924">
        <f>D992/8*13.33</f>
        <v>88728.3956875</v>
      </c>
      <c r="F992" s="136">
        <f>E992/13.33</f>
        <v>6656.2937499999998</v>
      </c>
      <c r="G992" s="122" t="s">
        <v>1963</v>
      </c>
      <c r="I992" s="885"/>
      <c r="J992" s="885"/>
      <c r="K992" s="885"/>
      <c r="L992" s="885"/>
      <c r="M992" s="885"/>
      <c r="N992" s="885"/>
      <c r="O992" s="885"/>
      <c r="P992" s="885"/>
      <c r="Q992" s="885"/>
      <c r="R992" s="885"/>
      <c r="S992" s="885"/>
      <c r="T992" s="885"/>
      <c r="U992" s="885"/>
      <c r="V992" s="885"/>
      <c r="W992" s="885"/>
      <c r="X992" s="885"/>
      <c r="Y992" s="885"/>
      <c r="Z992" s="885"/>
      <c r="AA992" s="885"/>
      <c r="AB992" s="885"/>
      <c r="AC992" s="885"/>
      <c r="AD992" s="885"/>
      <c r="AE992" s="885"/>
      <c r="AF992" s="885"/>
      <c r="AG992" s="885"/>
      <c r="AH992" s="885"/>
      <c r="AI992" s="885"/>
      <c r="AJ992" s="885"/>
      <c r="AK992" s="885"/>
      <c r="AL992" s="885"/>
      <c r="AM992" s="885"/>
      <c r="AN992" s="885"/>
      <c r="AO992" s="885"/>
      <c r="AP992" s="885"/>
      <c r="AQ992" s="885"/>
      <c r="AR992" s="885"/>
      <c r="AS992" s="885"/>
      <c r="AT992" s="885"/>
      <c r="AU992" s="885"/>
      <c r="AV992" s="885"/>
      <c r="AW992" s="885"/>
      <c r="AX992" s="885"/>
      <c r="AY992" s="885"/>
      <c r="AZ992" s="885"/>
      <c r="BA992" s="885"/>
      <c r="BB992" s="885"/>
      <c r="BC992" s="885"/>
      <c r="BD992" s="885"/>
      <c r="BE992" s="885"/>
      <c r="BF992" s="885"/>
      <c r="BG992" s="885"/>
      <c r="BH992" s="885"/>
      <c r="BI992" s="885"/>
      <c r="BJ992" s="885"/>
      <c r="BK992" s="885"/>
      <c r="BL992" s="885"/>
      <c r="BM992" s="885"/>
      <c r="BN992" s="885"/>
      <c r="BO992" s="885"/>
      <c r="BP992" s="885"/>
      <c r="BQ992" s="885"/>
      <c r="BR992" s="885"/>
      <c r="BS992" s="885"/>
      <c r="BT992" s="885"/>
      <c r="BU992" s="885"/>
      <c r="BV992" s="885"/>
      <c r="BW992" s="885"/>
      <c r="BX992" s="885"/>
      <c r="BY992" s="885"/>
      <c r="BZ992" s="885"/>
      <c r="CA992" s="885"/>
      <c r="CB992" s="885"/>
      <c r="CC992" s="885"/>
      <c r="CD992" s="885"/>
      <c r="CE992" s="885"/>
      <c r="CF992" s="885"/>
      <c r="CG992" s="885"/>
      <c r="CH992" s="885"/>
      <c r="CI992" s="885"/>
      <c r="CJ992" s="885"/>
      <c r="CK992" s="885"/>
      <c r="CL992" s="885"/>
      <c r="CM992" s="885"/>
      <c r="CN992" s="885"/>
      <c r="CO992" s="885"/>
      <c r="CP992" s="885"/>
      <c r="CQ992" s="885"/>
      <c r="CR992" s="885"/>
      <c r="CS992" s="885"/>
      <c r="CT992" s="885"/>
      <c r="CU992" s="885"/>
      <c r="CV992" s="885"/>
      <c r="CW992" s="885"/>
      <c r="CX992" s="885"/>
      <c r="CY992" s="885"/>
      <c r="CZ992" s="885"/>
      <c r="DA992" s="885"/>
      <c r="DB992" s="885"/>
      <c r="DC992" s="885"/>
      <c r="DD992" s="885"/>
      <c r="DE992" s="885"/>
      <c r="DF992" s="885"/>
      <c r="DG992" s="885"/>
      <c r="DH992" s="885"/>
      <c r="DI992" s="885"/>
      <c r="DJ992" s="885"/>
      <c r="DK992" s="885"/>
      <c r="DL992" s="885"/>
      <c r="DM992" s="885"/>
      <c r="DN992" s="885"/>
      <c r="DO992" s="885"/>
      <c r="DP992" s="885"/>
      <c r="DQ992" s="885"/>
      <c r="DR992" s="885"/>
      <c r="DS992" s="885"/>
      <c r="DT992" s="885"/>
      <c r="DU992" s="885"/>
      <c r="DV992" s="885"/>
      <c r="DW992" s="885"/>
      <c r="DX992" s="885"/>
      <c r="DY992" s="885"/>
      <c r="DZ992" s="885"/>
      <c r="EA992" s="885"/>
      <c r="EB992" s="885"/>
      <c r="EC992" s="885"/>
      <c r="ED992" s="885"/>
      <c r="EE992" s="885"/>
      <c r="EF992" s="885"/>
      <c r="EG992" s="885"/>
      <c r="EH992" s="885"/>
      <c r="EI992" s="885"/>
      <c r="EJ992" s="885"/>
      <c r="EK992" s="885"/>
      <c r="EL992" s="885"/>
      <c r="EM992" s="885"/>
      <c r="EN992" s="885"/>
      <c r="EO992" s="885"/>
      <c r="EP992" s="885"/>
      <c r="EQ992" s="885"/>
      <c r="ER992" s="885"/>
      <c r="ES992" s="885"/>
      <c r="ET992" s="885"/>
      <c r="EU992" s="885"/>
      <c r="EV992" s="885"/>
      <c r="EW992" s="885"/>
      <c r="EX992" s="885"/>
      <c r="EY992" s="885"/>
      <c r="EZ992" s="885"/>
      <c r="FA992" s="885"/>
      <c r="FB992" s="885"/>
      <c r="FC992" s="885"/>
      <c r="FD992" s="885"/>
      <c r="FE992" s="885"/>
      <c r="FF992" s="885"/>
      <c r="FG992" s="885"/>
      <c r="FH992" s="885"/>
      <c r="FI992" s="885"/>
      <c r="FJ992" s="885"/>
      <c r="FK992" s="885"/>
      <c r="FL992" s="885"/>
      <c r="FM992" s="885"/>
      <c r="FN992" s="885"/>
      <c r="FO992" s="885"/>
      <c r="FP992" s="885"/>
      <c r="FQ992" s="885"/>
      <c r="FR992" s="885"/>
      <c r="FS992" s="885"/>
      <c r="FT992" s="885"/>
      <c r="FU992" s="885"/>
      <c r="FV992" s="885"/>
      <c r="FW992" s="885"/>
      <c r="FX992" s="885"/>
      <c r="FY992" s="885"/>
      <c r="FZ992" s="885"/>
      <c r="GA992" s="885"/>
      <c r="GB992" s="885"/>
      <c r="GC992" s="885"/>
      <c r="GD992" s="885"/>
      <c r="GE992" s="885"/>
      <c r="GF992" s="885"/>
      <c r="GG992" s="885"/>
      <c r="GH992" s="885"/>
      <c r="GI992" s="885"/>
      <c r="GJ992" s="885"/>
      <c r="GK992" s="885"/>
      <c r="GL992" s="885"/>
      <c r="GM992" s="885"/>
      <c r="GN992" s="885"/>
      <c r="GO992" s="885"/>
      <c r="GP992" s="885"/>
      <c r="GQ992" s="885"/>
      <c r="GR992" s="885"/>
      <c r="GS992" s="885"/>
      <c r="GT992" s="885"/>
      <c r="GU992" s="885"/>
      <c r="GV992" s="885"/>
      <c r="GW992" s="885"/>
      <c r="GX992" s="885"/>
      <c r="GY992" s="885"/>
      <c r="GZ992" s="885"/>
      <c r="HA992" s="885"/>
      <c r="HB992" s="885"/>
      <c r="HC992" s="885"/>
      <c r="HD992" s="885"/>
      <c r="HE992" s="885"/>
      <c r="HF992" s="885"/>
      <c r="HG992" s="885"/>
      <c r="HH992" s="885"/>
      <c r="HI992" s="885"/>
      <c r="HJ992" s="885"/>
      <c r="HK992" s="885"/>
      <c r="HL992" s="885"/>
      <c r="HM992" s="885"/>
      <c r="HN992" s="885"/>
      <c r="HO992" s="885"/>
      <c r="HP992" s="885"/>
      <c r="HQ992" s="885"/>
      <c r="HR992" s="885"/>
      <c r="HS992" s="885"/>
      <c r="HT992" s="885"/>
      <c r="HU992" s="885"/>
      <c r="HV992" s="885"/>
      <c r="HW992" s="885"/>
      <c r="HX992" s="885"/>
      <c r="HY992" s="885"/>
      <c r="HZ992" s="885"/>
      <c r="IA992" s="885"/>
      <c r="IB992" s="885"/>
      <c r="IC992" s="885"/>
      <c r="ID992" s="885"/>
      <c r="IE992" s="885"/>
      <c r="IF992" s="885"/>
      <c r="IG992" s="885"/>
      <c r="IH992" s="885"/>
      <c r="II992" s="885"/>
      <c r="IJ992" s="885"/>
      <c r="IK992" s="885"/>
      <c r="IL992" s="885"/>
      <c r="IM992" s="885"/>
      <c r="IN992" s="885"/>
      <c r="IO992" s="885"/>
      <c r="IP992" s="885"/>
      <c r="IQ992" s="885"/>
      <c r="IR992" s="885"/>
      <c r="IS992" s="885"/>
      <c r="IT992" s="885"/>
      <c r="IU992" s="885"/>
      <c r="IV992" s="885"/>
      <c r="IW992" s="885"/>
      <c r="IX992" s="885"/>
    </row>
    <row r="993" spans="1:258" x14ac:dyDescent="0.25">
      <c r="A993" s="125">
        <f t="shared" si="121"/>
        <v>953</v>
      </c>
      <c r="B993" s="954"/>
      <c r="C993" s="842" t="s">
        <v>11532</v>
      </c>
      <c r="D993" s="924">
        <v>12350.71</v>
      </c>
      <c r="E993" s="924">
        <f t="shared" ref="E993" si="122">D993/8*12</f>
        <v>18526.064999999999</v>
      </c>
      <c r="F993" s="136">
        <v>0</v>
      </c>
      <c r="I993" s="954"/>
      <c r="J993" s="954"/>
      <c r="K993" s="954"/>
      <c r="L993" s="954"/>
      <c r="M993" s="954"/>
      <c r="N993" s="954"/>
      <c r="O993" s="954"/>
      <c r="P993" s="954"/>
      <c r="Q993" s="954"/>
      <c r="R993" s="954"/>
      <c r="S993" s="954"/>
      <c r="T993" s="954"/>
      <c r="U993" s="954"/>
      <c r="V993" s="954"/>
      <c r="W993" s="954"/>
      <c r="X993" s="954"/>
      <c r="Y993" s="954"/>
      <c r="Z993" s="954"/>
      <c r="AA993" s="954"/>
      <c r="AB993" s="954"/>
      <c r="AC993" s="954"/>
      <c r="AD993" s="954"/>
      <c r="AE993" s="954"/>
      <c r="AF993" s="954"/>
      <c r="AG993" s="954"/>
      <c r="AH993" s="954"/>
      <c r="AI993" s="954"/>
      <c r="AJ993" s="954"/>
      <c r="AK993" s="954"/>
      <c r="AL993" s="954"/>
      <c r="AM993" s="954"/>
      <c r="AN993" s="954"/>
      <c r="AO993" s="954"/>
      <c r="AP993" s="954"/>
      <c r="AQ993" s="954"/>
      <c r="AR993" s="954"/>
      <c r="AS993" s="954"/>
      <c r="AT993" s="954"/>
      <c r="AU993" s="954"/>
      <c r="AV993" s="954"/>
      <c r="AW993" s="954"/>
      <c r="AX993" s="954"/>
      <c r="AY993" s="954"/>
      <c r="AZ993" s="954"/>
      <c r="BA993" s="954"/>
      <c r="BB993" s="954"/>
      <c r="BC993" s="954"/>
      <c r="BD993" s="954"/>
      <c r="BE993" s="954"/>
      <c r="BF993" s="954"/>
      <c r="BG993" s="954"/>
      <c r="BH993" s="954"/>
      <c r="BI993" s="954"/>
      <c r="BJ993" s="954"/>
      <c r="BK993" s="954"/>
      <c r="BL993" s="954"/>
      <c r="BM993" s="954"/>
      <c r="BN993" s="954"/>
      <c r="BO993" s="954"/>
      <c r="BP993" s="954"/>
      <c r="BQ993" s="954"/>
      <c r="BR993" s="954"/>
      <c r="BS993" s="954"/>
      <c r="BT993" s="954"/>
      <c r="BU993" s="954"/>
      <c r="BV993" s="954"/>
      <c r="BW993" s="954"/>
      <c r="BX993" s="954"/>
      <c r="BY993" s="954"/>
      <c r="BZ993" s="954"/>
      <c r="CA993" s="954"/>
      <c r="CB993" s="954"/>
      <c r="CC993" s="954"/>
      <c r="CD993" s="954"/>
      <c r="CE993" s="954"/>
      <c r="CF993" s="954"/>
      <c r="CG993" s="954"/>
      <c r="CH993" s="954"/>
      <c r="CI993" s="954"/>
      <c r="CJ993" s="954"/>
      <c r="CK993" s="954"/>
      <c r="CL993" s="954"/>
      <c r="CM993" s="954"/>
      <c r="CN993" s="954"/>
      <c r="CO993" s="954"/>
      <c r="CP993" s="954"/>
      <c r="CQ993" s="954"/>
      <c r="CR993" s="954"/>
      <c r="CS993" s="954"/>
      <c r="CT993" s="954"/>
      <c r="CU993" s="954"/>
      <c r="CV993" s="954"/>
      <c r="CW993" s="954"/>
      <c r="CX993" s="954"/>
      <c r="CY993" s="954"/>
      <c r="CZ993" s="954"/>
      <c r="DA993" s="954"/>
      <c r="DB993" s="954"/>
      <c r="DC993" s="954"/>
      <c r="DD993" s="954"/>
      <c r="DE993" s="954"/>
      <c r="DF993" s="954"/>
      <c r="DG993" s="954"/>
      <c r="DH993" s="954"/>
      <c r="DI993" s="954"/>
      <c r="DJ993" s="954"/>
      <c r="DK993" s="954"/>
      <c r="DL993" s="954"/>
      <c r="DM993" s="954"/>
      <c r="DN993" s="954"/>
      <c r="DO993" s="954"/>
      <c r="DP993" s="954"/>
      <c r="DQ993" s="954"/>
      <c r="DR993" s="954"/>
      <c r="DS993" s="954"/>
      <c r="DT993" s="954"/>
      <c r="DU993" s="954"/>
      <c r="DV993" s="954"/>
      <c r="DW993" s="954"/>
      <c r="DX993" s="954"/>
      <c r="DY993" s="954"/>
      <c r="DZ993" s="954"/>
      <c r="EA993" s="954"/>
      <c r="EB993" s="954"/>
      <c r="EC993" s="954"/>
      <c r="ED993" s="954"/>
      <c r="EE993" s="954"/>
      <c r="EF993" s="954"/>
      <c r="EG993" s="954"/>
      <c r="EH993" s="954"/>
      <c r="EI993" s="954"/>
      <c r="EJ993" s="954"/>
      <c r="EK993" s="954"/>
      <c r="EL993" s="954"/>
      <c r="EM993" s="954"/>
      <c r="EN993" s="954"/>
      <c r="EO993" s="954"/>
      <c r="EP993" s="954"/>
      <c r="EQ993" s="954"/>
      <c r="ER993" s="954"/>
      <c r="ES993" s="954"/>
      <c r="ET993" s="954"/>
      <c r="EU993" s="954"/>
      <c r="EV993" s="954"/>
      <c r="EW993" s="954"/>
      <c r="EX993" s="954"/>
      <c r="EY993" s="954"/>
      <c r="EZ993" s="954"/>
      <c r="FA993" s="954"/>
      <c r="FB993" s="954"/>
      <c r="FC993" s="954"/>
      <c r="FD993" s="954"/>
      <c r="FE993" s="954"/>
      <c r="FF993" s="954"/>
      <c r="FG993" s="954"/>
      <c r="FH993" s="954"/>
      <c r="FI993" s="954"/>
      <c r="FJ993" s="954"/>
      <c r="FK993" s="954"/>
      <c r="FL993" s="954"/>
      <c r="FM993" s="954"/>
      <c r="FN993" s="954"/>
      <c r="FO993" s="954"/>
      <c r="FP993" s="954"/>
      <c r="FQ993" s="954"/>
      <c r="FR993" s="954"/>
      <c r="FS993" s="954"/>
      <c r="FT993" s="954"/>
      <c r="FU993" s="954"/>
      <c r="FV993" s="954"/>
      <c r="FW993" s="954"/>
      <c r="FX993" s="954"/>
      <c r="FY993" s="954"/>
      <c r="FZ993" s="954"/>
      <c r="GA993" s="954"/>
      <c r="GB993" s="954"/>
      <c r="GC993" s="954"/>
      <c r="GD993" s="954"/>
      <c r="GE993" s="954"/>
      <c r="GF993" s="954"/>
      <c r="GG993" s="954"/>
      <c r="GH993" s="954"/>
      <c r="GI993" s="954"/>
      <c r="GJ993" s="954"/>
      <c r="GK993" s="954"/>
      <c r="GL993" s="954"/>
      <c r="GM993" s="954"/>
      <c r="GN993" s="954"/>
      <c r="GO993" s="954"/>
      <c r="GP993" s="954"/>
      <c r="GQ993" s="954"/>
      <c r="GR993" s="954"/>
      <c r="GS993" s="954"/>
      <c r="GT993" s="954"/>
      <c r="GU993" s="954"/>
      <c r="GV993" s="954"/>
      <c r="GW993" s="954"/>
      <c r="GX993" s="954"/>
      <c r="GY993" s="954"/>
      <c r="GZ993" s="954"/>
      <c r="HA993" s="954"/>
      <c r="HB993" s="954"/>
      <c r="HC993" s="954"/>
      <c r="HD993" s="954"/>
      <c r="HE993" s="954"/>
      <c r="HF993" s="954"/>
      <c r="HG993" s="954"/>
      <c r="HH993" s="954"/>
      <c r="HI993" s="954"/>
      <c r="HJ993" s="954"/>
      <c r="HK993" s="954"/>
      <c r="HL993" s="954"/>
      <c r="HM993" s="954"/>
      <c r="HN993" s="954"/>
      <c r="HO993" s="954"/>
      <c r="HP993" s="954"/>
      <c r="HQ993" s="954"/>
      <c r="HR993" s="954"/>
      <c r="HS993" s="954"/>
      <c r="HT993" s="954"/>
      <c r="HU993" s="954"/>
      <c r="HV993" s="954"/>
      <c r="HW993" s="954"/>
      <c r="HX993" s="954"/>
      <c r="HY993" s="954"/>
      <c r="HZ993" s="954"/>
      <c r="IA993" s="954"/>
      <c r="IB993" s="954"/>
      <c r="IC993" s="954"/>
      <c r="ID993" s="954"/>
      <c r="IE993" s="954"/>
      <c r="IF993" s="954"/>
      <c r="IG993" s="954"/>
      <c r="IH993" s="954"/>
      <c r="II993" s="954"/>
      <c r="IJ993" s="954"/>
      <c r="IK993" s="954"/>
      <c r="IL993" s="954"/>
      <c r="IM993" s="954"/>
      <c r="IN993" s="954"/>
      <c r="IO993" s="954"/>
      <c r="IP993" s="954"/>
      <c r="IQ993" s="954"/>
      <c r="IR993" s="954"/>
      <c r="IS993" s="954"/>
      <c r="IT993" s="954"/>
      <c r="IU993" s="954"/>
      <c r="IV993" s="954"/>
      <c r="IW993" s="954"/>
      <c r="IX993" s="954"/>
    </row>
    <row r="994" spans="1:258" x14ac:dyDescent="0.25">
      <c r="A994" s="125">
        <f t="shared" si="121"/>
        <v>954</v>
      </c>
      <c r="B994" s="885"/>
      <c r="C994" s="842" t="s">
        <v>10503</v>
      </c>
      <c r="D994" s="924">
        <v>0</v>
      </c>
      <c r="E994" s="924">
        <v>0</v>
      </c>
      <c r="F994" s="136">
        <v>1</v>
      </c>
      <c r="G994" s="122" t="s">
        <v>1963</v>
      </c>
      <c r="H994" s="885"/>
      <c r="I994" s="885"/>
      <c r="J994" s="885"/>
      <c r="K994" s="885"/>
      <c r="L994" s="885"/>
      <c r="M994" s="885"/>
      <c r="N994" s="885"/>
      <c r="O994" s="885"/>
      <c r="P994" s="885"/>
      <c r="Q994" s="885"/>
      <c r="R994" s="885"/>
      <c r="S994" s="885"/>
      <c r="T994" s="885"/>
      <c r="U994" s="885"/>
      <c r="V994" s="885"/>
      <c r="W994" s="885"/>
      <c r="X994" s="885"/>
      <c r="Y994" s="885"/>
      <c r="Z994" s="885"/>
      <c r="AA994" s="885"/>
      <c r="AB994" s="885"/>
      <c r="AC994" s="885"/>
      <c r="AD994" s="885"/>
      <c r="AE994" s="885"/>
      <c r="AF994" s="885"/>
      <c r="AG994" s="885"/>
      <c r="AH994" s="885"/>
      <c r="AI994" s="885"/>
      <c r="AJ994" s="885"/>
      <c r="AK994" s="885"/>
      <c r="AL994" s="885"/>
      <c r="AM994" s="885"/>
      <c r="AN994" s="885"/>
      <c r="AO994" s="885"/>
      <c r="AP994" s="885"/>
      <c r="AQ994" s="885"/>
      <c r="AR994" s="885"/>
      <c r="AS994" s="885"/>
      <c r="AT994" s="885"/>
      <c r="AU994" s="885"/>
      <c r="AV994" s="885"/>
      <c r="AW994" s="885"/>
      <c r="AX994" s="885"/>
      <c r="AY994" s="885"/>
      <c r="AZ994" s="885"/>
      <c r="BA994" s="885"/>
      <c r="BB994" s="885"/>
      <c r="BC994" s="885"/>
      <c r="BD994" s="885"/>
      <c r="BE994" s="885"/>
      <c r="BF994" s="885"/>
      <c r="BG994" s="885"/>
      <c r="BH994" s="885"/>
      <c r="BI994" s="885"/>
      <c r="BJ994" s="885"/>
      <c r="BK994" s="885"/>
      <c r="BL994" s="885"/>
      <c r="BM994" s="885"/>
      <c r="BN994" s="885"/>
      <c r="BO994" s="885"/>
      <c r="BP994" s="885"/>
      <c r="BQ994" s="885"/>
      <c r="BR994" s="885"/>
      <c r="BS994" s="885"/>
      <c r="BT994" s="885"/>
      <c r="BU994" s="885"/>
      <c r="BV994" s="885"/>
      <c r="BW994" s="885"/>
      <c r="BX994" s="885"/>
      <c r="BY994" s="885"/>
      <c r="BZ994" s="885"/>
      <c r="CA994" s="885"/>
      <c r="CB994" s="885"/>
      <c r="CC994" s="885"/>
      <c r="CD994" s="885"/>
      <c r="CE994" s="885"/>
      <c r="CF994" s="885"/>
      <c r="CG994" s="885"/>
      <c r="CH994" s="885"/>
      <c r="CI994" s="885"/>
      <c r="CJ994" s="885"/>
      <c r="CK994" s="885"/>
      <c r="CL994" s="885"/>
      <c r="CM994" s="885"/>
      <c r="CN994" s="885"/>
      <c r="CO994" s="885"/>
      <c r="CP994" s="885"/>
      <c r="CQ994" s="885"/>
      <c r="CR994" s="885"/>
      <c r="CS994" s="885"/>
      <c r="CT994" s="885"/>
      <c r="CU994" s="885"/>
      <c r="CV994" s="885"/>
      <c r="CW994" s="885"/>
      <c r="CX994" s="885"/>
      <c r="CY994" s="885"/>
      <c r="CZ994" s="885"/>
      <c r="DA994" s="885"/>
      <c r="DB994" s="885"/>
      <c r="DC994" s="885"/>
      <c r="DD994" s="885"/>
      <c r="DE994" s="885"/>
      <c r="DF994" s="885"/>
      <c r="DG994" s="885"/>
      <c r="DH994" s="885"/>
      <c r="DI994" s="885"/>
      <c r="DJ994" s="885"/>
      <c r="DK994" s="885"/>
      <c r="DL994" s="885"/>
      <c r="DM994" s="885"/>
      <c r="DN994" s="885"/>
      <c r="DO994" s="885"/>
      <c r="DP994" s="885"/>
      <c r="DQ994" s="885"/>
      <c r="DR994" s="885"/>
      <c r="DS994" s="885"/>
      <c r="DT994" s="885"/>
      <c r="DU994" s="885"/>
      <c r="DV994" s="885"/>
      <c r="DW994" s="885"/>
      <c r="DX994" s="885"/>
      <c r="DY994" s="885"/>
      <c r="DZ994" s="885"/>
      <c r="EA994" s="885"/>
      <c r="EB994" s="885"/>
      <c r="EC994" s="885"/>
      <c r="ED994" s="885"/>
      <c r="EE994" s="885"/>
      <c r="EF994" s="885"/>
      <c r="EG994" s="885"/>
      <c r="EH994" s="885"/>
      <c r="EI994" s="885"/>
      <c r="EJ994" s="885"/>
      <c r="EK994" s="885"/>
      <c r="EL994" s="885"/>
      <c r="EM994" s="885"/>
      <c r="EN994" s="885"/>
      <c r="EO994" s="885"/>
      <c r="EP994" s="885"/>
      <c r="EQ994" s="885"/>
      <c r="ER994" s="885"/>
      <c r="ES994" s="885"/>
      <c r="ET994" s="885"/>
      <c r="EU994" s="885"/>
      <c r="EV994" s="885"/>
      <c r="EW994" s="885"/>
      <c r="EX994" s="885"/>
      <c r="EY994" s="885"/>
      <c r="EZ994" s="885"/>
      <c r="FA994" s="885"/>
      <c r="FB994" s="885"/>
      <c r="FC994" s="885"/>
      <c r="FD994" s="885"/>
      <c r="FE994" s="885"/>
      <c r="FF994" s="885"/>
      <c r="FG994" s="885"/>
      <c r="FH994" s="885"/>
      <c r="FI994" s="885"/>
      <c r="FJ994" s="885"/>
      <c r="FK994" s="885"/>
      <c r="FL994" s="885"/>
      <c r="FM994" s="885"/>
      <c r="FN994" s="885"/>
      <c r="FO994" s="885"/>
      <c r="FP994" s="885"/>
      <c r="FQ994" s="885"/>
      <c r="FR994" s="885"/>
      <c r="FS994" s="885"/>
      <c r="FT994" s="885"/>
      <c r="FU994" s="885"/>
      <c r="FV994" s="885"/>
      <c r="FW994" s="885"/>
      <c r="FX994" s="885"/>
      <c r="FY994" s="885"/>
      <c r="FZ994" s="885"/>
      <c r="GA994" s="885"/>
      <c r="GB994" s="885"/>
      <c r="GC994" s="885"/>
      <c r="GD994" s="885"/>
      <c r="GE994" s="885"/>
      <c r="GF994" s="885"/>
      <c r="GG994" s="885"/>
      <c r="GH994" s="885"/>
      <c r="GI994" s="885"/>
      <c r="GJ994" s="885"/>
      <c r="GK994" s="885"/>
      <c r="GL994" s="885"/>
      <c r="GM994" s="885"/>
      <c r="GN994" s="885"/>
      <c r="GO994" s="885"/>
      <c r="GP994" s="885"/>
      <c r="GQ994" s="885"/>
      <c r="GR994" s="885"/>
      <c r="GS994" s="885"/>
      <c r="GT994" s="885"/>
      <c r="GU994" s="885"/>
      <c r="GV994" s="885"/>
      <c r="GW994" s="885"/>
      <c r="GX994" s="885"/>
      <c r="GY994" s="885"/>
      <c r="GZ994" s="885"/>
      <c r="HA994" s="885"/>
      <c r="HB994" s="885"/>
      <c r="HC994" s="885"/>
      <c r="HD994" s="885"/>
      <c r="HE994" s="885"/>
      <c r="HF994" s="885"/>
      <c r="HG994" s="885"/>
      <c r="HH994" s="885"/>
      <c r="HI994" s="885"/>
      <c r="HJ994" s="885"/>
      <c r="HK994" s="885"/>
      <c r="HL994" s="885"/>
      <c r="HM994" s="885"/>
      <c r="HN994" s="885"/>
      <c r="HO994" s="885"/>
      <c r="HP994" s="885"/>
      <c r="HQ994" s="885"/>
      <c r="HR994" s="885"/>
      <c r="HS994" s="885"/>
      <c r="HT994" s="885"/>
      <c r="HU994" s="885"/>
      <c r="HV994" s="885"/>
      <c r="HW994" s="885"/>
      <c r="HX994" s="885"/>
      <c r="HY994" s="885"/>
      <c r="HZ994" s="885"/>
      <c r="IA994" s="885"/>
      <c r="IB994" s="885"/>
      <c r="IC994" s="885"/>
      <c r="ID994" s="885"/>
      <c r="IE994" s="885"/>
      <c r="IF994" s="885"/>
      <c r="IG994" s="885"/>
      <c r="IH994" s="885"/>
      <c r="II994" s="885"/>
      <c r="IJ994" s="885"/>
      <c r="IK994" s="885"/>
      <c r="IL994" s="885"/>
      <c r="IM994" s="885"/>
      <c r="IN994" s="885"/>
      <c r="IO994" s="885"/>
      <c r="IP994" s="885"/>
      <c r="IQ994" s="885"/>
      <c r="IR994" s="885"/>
      <c r="IS994" s="885"/>
      <c r="IT994" s="885"/>
      <c r="IU994" s="885"/>
      <c r="IV994" s="885"/>
      <c r="IW994" s="885"/>
      <c r="IX994" s="885"/>
    </row>
    <row r="995" spans="1:258" x14ac:dyDescent="0.25">
      <c r="A995" s="125">
        <f t="shared" si="121"/>
        <v>955</v>
      </c>
      <c r="B995" s="885"/>
      <c r="C995" s="842" t="s">
        <v>125</v>
      </c>
      <c r="D995" s="924">
        <v>0</v>
      </c>
      <c r="E995" s="924">
        <f t="shared" ref="E995:E1006" si="123">D995/8*12</f>
        <v>0</v>
      </c>
      <c r="F995" s="136">
        <v>72</v>
      </c>
      <c r="G995" s="122" t="s">
        <v>1963</v>
      </c>
      <c r="H995" s="885"/>
      <c r="I995" s="885"/>
      <c r="J995" s="885"/>
      <c r="K995" s="885"/>
      <c r="L995" s="885"/>
      <c r="M995" s="885"/>
      <c r="N995" s="885"/>
      <c r="O995" s="885"/>
      <c r="P995" s="885"/>
      <c r="Q995" s="885"/>
      <c r="R995" s="885"/>
      <c r="S995" s="885"/>
      <c r="T995" s="885"/>
      <c r="U995" s="885"/>
      <c r="V995" s="885"/>
      <c r="W995" s="885"/>
      <c r="X995" s="885"/>
      <c r="Y995" s="885"/>
      <c r="Z995" s="885"/>
      <c r="AA995" s="885"/>
      <c r="AB995" s="885"/>
      <c r="AC995" s="885"/>
      <c r="AD995" s="885"/>
      <c r="AE995" s="885"/>
      <c r="AF995" s="885"/>
      <c r="AG995" s="885"/>
      <c r="AH995" s="885"/>
      <c r="AI995" s="885"/>
      <c r="AJ995" s="885"/>
      <c r="AK995" s="885"/>
      <c r="AL995" s="885"/>
      <c r="AM995" s="885"/>
      <c r="AN995" s="885"/>
      <c r="AO995" s="885"/>
      <c r="AP995" s="885"/>
      <c r="AQ995" s="885"/>
      <c r="AR995" s="885"/>
      <c r="AS995" s="885"/>
      <c r="AT995" s="885"/>
      <c r="AU995" s="885"/>
      <c r="AV995" s="885"/>
      <c r="AW995" s="885"/>
      <c r="AX995" s="885"/>
      <c r="AY995" s="885"/>
      <c r="AZ995" s="885"/>
      <c r="BA995" s="885"/>
      <c r="BB995" s="885"/>
      <c r="BC995" s="885"/>
      <c r="BD995" s="885"/>
      <c r="BE995" s="885"/>
      <c r="BF995" s="885"/>
      <c r="BG995" s="885"/>
      <c r="BH995" s="885"/>
      <c r="BI995" s="885"/>
      <c r="BJ995" s="885"/>
      <c r="BK995" s="885"/>
      <c r="BL995" s="885"/>
      <c r="BM995" s="885"/>
      <c r="BN995" s="885"/>
      <c r="BO995" s="885"/>
      <c r="BP995" s="885"/>
      <c r="BQ995" s="885"/>
      <c r="BR995" s="885"/>
      <c r="BS995" s="885"/>
      <c r="BT995" s="885"/>
      <c r="BU995" s="885"/>
      <c r="BV995" s="885"/>
      <c r="BW995" s="885"/>
      <c r="BX995" s="885"/>
      <c r="BY995" s="885"/>
      <c r="BZ995" s="885"/>
      <c r="CA995" s="885"/>
      <c r="CB995" s="885"/>
      <c r="CC995" s="885"/>
      <c r="CD995" s="885"/>
      <c r="CE995" s="885"/>
      <c r="CF995" s="885"/>
      <c r="CG995" s="885"/>
      <c r="CH995" s="885"/>
      <c r="CI995" s="885"/>
      <c r="CJ995" s="885"/>
      <c r="CK995" s="885"/>
      <c r="CL995" s="885"/>
      <c r="CM995" s="885"/>
      <c r="CN995" s="885"/>
      <c r="CO995" s="885"/>
      <c r="CP995" s="885"/>
      <c r="CQ995" s="885"/>
      <c r="CR995" s="885"/>
      <c r="CS995" s="885"/>
      <c r="CT995" s="885"/>
      <c r="CU995" s="885"/>
      <c r="CV995" s="885"/>
      <c r="CW995" s="885"/>
      <c r="CX995" s="885"/>
      <c r="CY995" s="885"/>
      <c r="CZ995" s="885"/>
      <c r="DA995" s="885"/>
      <c r="DB995" s="885"/>
      <c r="DC995" s="885"/>
      <c r="DD995" s="885"/>
      <c r="DE995" s="885"/>
      <c r="DF995" s="885"/>
      <c r="DG995" s="885"/>
      <c r="DH995" s="885"/>
      <c r="DI995" s="885"/>
      <c r="DJ995" s="885"/>
      <c r="DK995" s="885"/>
      <c r="DL995" s="885"/>
      <c r="DM995" s="885"/>
      <c r="DN995" s="885"/>
      <c r="DO995" s="885"/>
      <c r="DP995" s="885"/>
      <c r="DQ995" s="885"/>
      <c r="DR995" s="885"/>
      <c r="DS995" s="885"/>
      <c r="DT995" s="885"/>
      <c r="DU995" s="885"/>
      <c r="DV995" s="885"/>
      <c r="DW995" s="885"/>
      <c r="DX995" s="885"/>
      <c r="DY995" s="885"/>
      <c r="DZ995" s="885"/>
      <c r="EA995" s="885"/>
      <c r="EB995" s="885"/>
      <c r="EC995" s="885"/>
      <c r="ED995" s="885"/>
      <c r="EE995" s="885"/>
      <c r="EF995" s="885"/>
      <c r="EG995" s="885"/>
      <c r="EH995" s="885"/>
      <c r="EI995" s="885"/>
      <c r="EJ995" s="885"/>
      <c r="EK995" s="885"/>
      <c r="EL995" s="885"/>
      <c r="EM995" s="885"/>
      <c r="EN995" s="885"/>
      <c r="EO995" s="885"/>
      <c r="EP995" s="885"/>
      <c r="EQ995" s="885"/>
      <c r="ER995" s="885"/>
      <c r="ES995" s="885"/>
      <c r="ET995" s="885"/>
      <c r="EU995" s="885"/>
      <c r="EV995" s="885"/>
      <c r="EW995" s="885"/>
      <c r="EX995" s="885"/>
      <c r="EY995" s="885"/>
      <c r="EZ995" s="885"/>
      <c r="FA995" s="885"/>
      <c r="FB995" s="885"/>
      <c r="FC995" s="885"/>
      <c r="FD995" s="885"/>
      <c r="FE995" s="885"/>
      <c r="FF995" s="885"/>
      <c r="FG995" s="885"/>
      <c r="FH995" s="885"/>
      <c r="FI995" s="885"/>
      <c r="FJ995" s="885"/>
      <c r="FK995" s="885"/>
      <c r="FL995" s="885"/>
      <c r="FM995" s="885"/>
      <c r="FN995" s="885"/>
      <c r="FO995" s="885"/>
      <c r="FP995" s="885"/>
      <c r="FQ995" s="885"/>
      <c r="FR995" s="885"/>
      <c r="FS995" s="885"/>
      <c r="FT995" s="885"/>
      <c r="FU995" s="885"/>
      <c r="FV995" s="885"/>
      <c r="FW995" s="885"/>
      <c r="FX995" s="885"/>
      <c r="FY995" s="885"/>
      <c r="FZ995" s="885"/>
      <c r="GA995" s="885"/>
      <c r="GB995" s="885"/>
      <c r="GC995" s="885"/>
      <c r="GD995" s="885"/>
      <c r="GE995" s="885"/>
      <c r="GF995" s="885"/>
      <c r="GG995" s="885"/>
      <c r="GH995" s="885"/>
      <c r="GI995" s="885"/>
      <c r="GJ995" s="885"/>
      <c r="GK995" s="885"/>
      <c r="GL995" s="885"/>
      <c r="GM995" s="885"/>
      <c r="GN995" s="885"/>
      <c r="GO995" s="885"/>
      <c r="GP995" s="885"/>
      <c r="GQ995" s="885"/>
      <c r="GR995" s="885"/>
      <c r="GS995" s="885"/>
      <c r="GT995" s="885"/>
      <c r="GU995" s="885"/>
      <c r="GV995" s="885"/>
      <c r="GW995" s="885"/>
      <c r="GX995" s="885"/>
      <c r="GY995" s="885"/>
      <c r="GZ995" s="885"/>
      <c r="HA995" s="885"/>
      <c r="HB995" s="885"/>
      <c r="HC995" s="885"/>
      <c r="HD995" s="885"/>
      <c r="HE995" s="885"/>
      <c r="HF995" s="885"/>
      <c r="HG995" s="885"/>
      <c r="HH995" s="885"/>
      <c r="HI995" s="885"/>
      <c r="HJ995" s="885"/>
      <c r="HK995" s="885"/>
      <c r="HL995" s="885"/>
      <c r="HM995" s="885"/>
      <c r="HN995" s="885"/>
      <c r="HO995" s="885"/>
      <c r="HP995" s="885"/>
      <c r="HQ995" s="885"/>
      <c r="HR995" s="885"/>
      <c r="HS995" s="885"/>
      <c r="HT995" s="885"/>
      <c r="HU995" s="885"/>
      <c r="HV995" s="885"/>
      <c r="HW995" s="885"/>
      <c r="HX995" s="885"/>
      <c r="HY995" s="885"/>
      <c r="HZ995" s="885"/>
      <c r="IA995" s="885"/>
      <c r="IB995" s="885"/>
      <c r="IC995" s="885"/>
      <c r="ID995" s="885"/>
      <c r="IE995" s="885"/>
      <c r="IF995" s="885"/>
      <c r="IG995" s="885"/>
      <c r="IH995" s="885"/>
      <c r="II995" s="885"/>
      <c r="IJ995" s="885"/>
      <c r="IK995" s="885"/>
      <c r="IL995" s="885"/>
      <c r="IM995" s="885"/>
      <c r="IN995" s="885"/>
      <c r="IO995" s="885"/>
      <c r="IP995" s="885"/>
      <c r="IQ995" s="885"/>
      <c r="IR995" s="885"/>
      <c r="IS995" s="885"/>
      <c r="IT995" s="885"/>
      <c r="IU995" s="885"/>
      <c r="IV995" s="885"/>
      <c r="IW995" s="885"/>
      <c r="IX995" s="885"/>
    </row>
    <row r="996" spans="1:258" x14ac:dyDescent="0.25">
      <c r="A996" s="125">
        <f t="shared" si="121"/>
        <v>956</v>
      </c>
      <c r="B996" s="885"/>
      <c r="C996" s="842" t="s">
        <v>10502</v>
      </c>
      <c r="D996" s="924">
        <v>69.63</v>
      </c>
      <c r="E996" s="924">
        <f t="shared" si="123"/>
        <v>104.44499999999999</v>
      </c>
      <c r="F996" s="136">
        <v>100</v>
      </c>
      <c r="G996" s="122" t="s">
        <v>1963</v>
      </c>
      <c r="H996" s="885"/>
      <c r="I996" s="885"/>
      <c r="J996" s="885"/>
      <c r="K996" s="885"/>
      <c r="L996" s="885"/>
      <c r="M996" s="885"/>
      <c r="N996" s="885"/>
      <c r="O996" s="885"/>
      <c r="P996" s="885"/>
      <c r="Q996" s="885"/>
      <c r="R996" s="885"/>
      <c r="S996" s="885"/>
      <c r="T996" s="885"/>
      <c r="U996" s="885"/>
      <c r="V996" s="885"/>
      <c r="W996" s="885"/>
      <c r="X996" s="885"/>
      <c r="Y996" s="885"/>
      <c r="Z996" s="885"/>
      <c r="AA996" s="885"/>
      <c r="AB996" s="885"/>
      <c r="AC996" s="885"/>
      <c r="AD996" s="885"/>
      <c r="AE996" s="885"/>
      <c r="AF996" s="885"/>
      <c r="AG996" s="885"/>
      <c r="AH996" s="885"/>
      <c r="AI996" s="885"/>
      <c r="AJ996" s="885"/>
      <c r="AK996" s="885"/>
      <c r="AL996" s="885"/>
      <c r="AM996" s="885"/>
      <c r="AN996" s="885"/>
      <c r="AO996" s="885"/>
      <c r="AP996" s="885"/>
      <c r="AQ996" s="885"/>
      <c r="AR996" s="885"/>
      <c r="AS996" s="885"/>
      <c r="AT996" s="885"/>
      <c r="AU996" s="885"/>
      <c r="AV996" s="885"/>
      <c r="AW996" s="885"/>
      <c r="AX996" s="885"/>
      <c r="AY996" s="885"/>
      <c r="AZ996" s="885"/>
      <c r="BA996" s="885"/>
      <c r="BB996" s="885"/>
      <c r="BC996" s="885"/>
      <c r="BD996" s="885"/>
      <c r="BE996" s="885"/>
      <c r="BF996" s="885"/>
      <c r="BG996" s="885"/>
      <c r="BH996" s="885"/>
      <c r="BI996" s="885"/>
      <c r="BJ996" s="885"/>
      <c r="BK996" s="885"/>
      <c r="BL996" s="885"/>
      <c r="BM996" s="885"/>
      <c r="BN996" s="885"/>
      <c r="BO996" s="885"/>
      <c r="BP996" s="885"/>
      <c r="BQ996" s="885"/>
      <c r="BR996" s="885"/>
      <c r="BS996" s="885"/>
      <c r="BT996" s="885"/>
      <c r="BU996" s="885"/>
      <c r="BV996" s="885"/>
      <c r="BW996" s="885"/>
      <c r="BX996" s="885"/>
      <c r="BY996" s="885"/>
      <c r="BZ996" s="885"/>
      <c r="CA996" s="885"/>
      <c r="CB996" s="885"/>
      <c r="CC996" s="885"/>
      <c r="CD996" s="885"/>
      <c r="CE996" s="885"/>
      <c r="CF996" s="885"/>
      <c r="CG996" s="885"/>
      <c r="CH996" s="885"/>
      <c r="CI996" s="885"/>
      <c r="CJ996" s="885"/>
      <c r="CK996" s="885"/>
      <c r="CL996" s="885"/>
      <c r="CM996" s="885"/>
      <c r="CN996" s="885"/>
      <c r="CO996" s="885"/>
      <c r="CP996" s="885"/>
      <c r="CQ996" s="885"/>
      <c r="CR996" s="885"/>
      <c r="CS996" s="885"/>
      <c r="CT996" s="885"/>
      <c r="CU996" s="885"/>
      <c r="CV996" s="885"/>
      <c r="CW996" s="885"/>
      <c r="CX996" s="885"/>
      <c r="CY996" s="885"/>
      <c r="CZ996" s="885"/>
      <c r="DA996" s="885"/>
      <c r="DB996" s="885"/>
      <c r="DC996" s="885"/>
      <c r="DD996" s="885"/>
      <c r="DE996" s="885"/>
      <c r="DF996" s="885"/>
      <c r="DG996" s="885"/>
      <c r="DH996" s="885"/>
      <c r="DI996" s="885"/>
      <c r="DJ996" s="885"/>
      <c r="DK996" s="885"/>
      <c r="DL996" s="885"/>
      <c r="DM996" s="885"/>
      <c r="DN996" s="885"/>
      <c r="DO996" s="885"/>
      <c r="DP996" s="885"/>
      <c r="DQ996" s="885"/>
      <c r="DR996" s="885"/>
      <c r="DS996" s="885"/>
      <c r="DT996" s="885"/>
      <c r="DU996" s="885"/>
      <c r="DV996" s="885"/>
      <c r="DW996" s="885"/>
      <c r="DX996" s="885"/>
      <c r="DY996" s="885"/>
      <c r="DZ996" s="885"/>
      <c r="EA996" s="885"/>
      <c r="EB996" s="885"/>
      <c r="EC996" s="885"/>
      <c r="ED996" s="885"/>
      <c r="EE996" s="885"/>
      <c r="EF996" s="885"/>
      <c r="EG996" s="885"/>
      <c r="EH996" s="885"/>
      <c r="EI996" s="885"/>
      <c r="EJ996" s="885"/>
      <c r="EK996" s="885"/>
      <c r="EL996" s="885"/>
      <c r="EM996" s="885"/>
      <c r="EN996" s="885"/>
      <c r="EO996" s="885"/>
      <c r="EP996" s="885"/>
      <c r="EQ996" s="885"/>
      <c r="ER996" s="885"/>
      <c r="ES996" s="885"/>
      <c r="ET996" s="885"/>
      <c r="EU996" s="885"/>
      <c r="EV996" s="885"/>
      <c r="EW996" s="885"/>
      <c r="EX996" s="885"/>
      <c r="EY996" s="885"/>
      <c r="EZ996" s="885"/>
      <c r="FA996" s="885"/>
      <c r="FB996" s="885"/>
      <c r="FC996" s="885"/>
      <c r="FD996" s="885"/>
      <c r="FE996" s="885"/>
      <c r="FF996" s="885"/>
      <c r="FG996" s="885"/>
      <c r="FH996" s="885"/>
      <c r="FI996" s="885"/>
      <c r="FJ996" s="885"/>
      <c r="FK996" s="885"/>
      <c r="FL996" s="885"/>
      <c r="FM996" s="885"/>
      <c r="FN996" s="885"/>
      <c r="FO996" s="885"/>
      <c r="FP996" s="885"/>
      <c r="FQ996" s="885"/>
      <c r="FR996" s="885"/>
      <c r="FS996" s="885"/>
      <c r="FT996" s="885"/>
      <c r="FU996" s="885"/>
      <c r="FV996" s="885"/>
      <c r="FW996" s="885"/>
      <c r="FX996" s="885"/>
      <c r="FY996" s="885"/>
      <c r="FZ996" s="885"/>
      <c r="GA996" s="885"/>
      <c r="GB996" s="885"/>
      <c r="GC996" s="885"/>
      <c r="GD996" s="885"/>
      <c r="GE996" s="885"/>
      <c r="GF996" s="885"/>
      <c r="GG996" s="885"/>
      <c r="GH996" s="885"/>
      <c r="GI996" s="885"/>
      <c r="GJ996" s="885"/>
      <c r="GK996" s="885"/>
      <c r="GL996" s="885"/>
      <c r="GM996" s="885"/>
      <c r="GN996" s="885"/>
      <c r="GO996" s="885"/>
      <c r="GP996" s="885"/>
      <c r="GQ996" s="885"/>
      <c r="GR996" s="885"/>
      <c r="GS996" s="885"/>
      <c r="GT996" s="885"/>
      <c r="GU996" s="885"/>
      <c r="GV996" s="885"/>
      <c r="GW996" s="885"/>
      <c r="GX996" s="885"/>
      <c r="GY996" s="885"/>
      <c r="GZ996" s="885"/>
      <c r="HA996" s="885"/>
      <c r="HB996" s="885"/>
      <c r="HC996" s="885"/>
      <c r="HD996" s="885"/>
      <c r="HE996" s="885"/>
      <c r="HF996" s="885"/>
      <c r="HG996" s="885"/>
      <c r="HH996" s="885"/>
      <c r="HI996" s="885"/>
      <c r="HJ996" s="885"/>
      <c r="HK996" s="885"/>
      <c r="HL996" s="885"/>
      <c r="HM996" s="885"/>
      <c r="HN996" s="885"/>
      <c r="HO996" s="885"/>
      <c r="HP996" s="885"/>
      <c r="HQ996" s="885"/>
      <c r="HR996" s="885"/>
      <c r="HS996" s="885"/>
      <c r="HT996" s="885"/>
      <c r="HU996" s="885"/>
      <c r="HV996" s="885"/>
      <c r="HW996" s="885"/>
      <c r="HX996" s="885"/>
      <c r="HY996" s="885"/>
      <c r="HZ996" s="885"/>
      <c r="IA996" s="885"/>
      <c r="IB996" s="885"/>
      <c r="IC996" s="885"/>
      <c r="ID996" s="885"/>
      <c r="IE996" s="885"/>
      <c r="IF996" s="885"/>
      <c r="IG996" s="885"/>
      <c r="IH996" s="885"/>
      <c r="II996" s="885"/>
      <c r="IJ996" s="885"/>
      <c r="IK996" s="885"/>
      <c r="IL996" s="885"/>
      <c r="IM996" s="885"/>
      <c r="IN996" s="885"/>
      <c r="IO996" s="885"/>
      <c r="IP996" s="885"/>
      <c r="IQ996" s="885"/>
      <c r="IR996" s="885"/>
      <c r="IS996" s="885"/>
      <c r="IT996" s="885"/>
      <c r="IU996" s="885"/>
      <c r="IV996" s="885"/>
      <c r="IW996" s="885"/>
      <c r="IX996" s="885"/>
    </row>
    <row r="997" spans="1:258" x14ac:dyDescent="0.25">
      <c r="A997" s="125">
        <f t="shared" si="121"/>
        <v>957</v>
      </c>
      <c r="B997" s="885"/>
      <c r="C997" s="842" t="s">
        <v>10519</v>
      </c>
      <c r="D997" s="924">
        <v>0</v>
      </c>
      <c r="E997" s="924">
        <f t="shared" si="123"/>
        <v>0</v>
      </c>
      <c r="F997" s="136">
        <v>1500</v>
      </c>
      <c r="G997" s="122" t="s">
        <v>1963</v>
      </c>
      <c r="H997" s="885"/>
      <c r="I997" s="885"/>
      <c r="J997" s="885"/>
      <c r="K997" s="885"/>
      <c r="L997" s="885"/>
      <c r="M997" s="885"/>
      <c r="N997" s="885"/>
      <c r="O997" s="885"/>
      <c r="P997" s="885"/>
      <c r="Q997" s="885"/>
      <c r="R997" s="885"/>
      <c r="S997" s="885"/>
      <c r="T997" s="885"/>
      <c r="U997" s="885"/>
      <c r="V997" s="885"/>
      <c r="W997" s="885"/>
      <c r="X997" s="885"/>
      <c r="Y997" s="885"/>
      <c r="Z997" s="885"/>
      <c r="AA997" s="885"/>
      <c r="AB997" s="885"/>
      <c r="AC997" s="885"/>
      <c r="AD997" s="885"/>
      <c r="AE997" s="885"/>
      <c r="AF997" s="885"/>
      <c r="AG997" s="885"/>
      <c r="AH997" s="885"/>
      <c r="AI997" s="885"/>
      <c r="AJ997" s="885"/>
      <c r="AK997" s="885"/>
      <c r="AL997" s="885"/>
      <c r="AM997" s="885"/>
      <c r="AN997" s="885"/>
      <c r="AO997" s="885"/>
      <c r="AP997" s="885"/>
      <c r="AQ997" s="885"/>
      <c r="AR997" s="885"/>
      <c r="AS997" s="885"/>
      <c r="AT997" s="885"/>
      <c r="AU997" s="885"/>
      <c r="AV997" s="885"/>
      <c r="AW997" s="885"/>
      <c r="AX997" s="885"/>
      <c r="AY997" s="885"/>
      <c r="AZ997" s="885"/>
      <c r="BA997" s="885"/>
      <c r="BB997" s="885"/>
      <c r="BC997" s="885"/>
      <c r="BD997" s="885"/>
      <c r="BE997" s="885"/>
      <c r="BF997" s="885"/>
      <c r="BG997" s="885"/>
      <c r="BH997" s="885"/>
      <c r="BI997" s="885"/>
      <c r="BJ997" s="885"/>
      <c r="BK997" s="885"/>
      <c r="BL997" s="885"/>
      <c r="BM997" s="885"/>
      <c r="BN997" s="885"/>
      <c r="BO997" s="885"/>
      <c r="BP997" s="885"/>
      <c r="BQ997" s="885"/>
      <c r="BR997" s="885"/>
      <c r="BS997" s="885"/>
      <c r="BT997" s="885"/>
      <c r="BU997" s="885"/>
      <c r="BV997" s="885"/>
      <c r="BW997" s="885"/>
      <c r="BX997" s="885"/>
      <c r="BY997" s="885"/>
      <c r="BZ997" s="885"/>
      <c r="CA997" s="885"/>
      <c r="CB997" s="885"/>
      <c r="CC997" s="885"/>
      <c r="CD997" s="885"/>
      <c r="CE997" s="885"/>
      <c r="CF997" s="885"/>
      <c r="CG997" s="885"/>
      <c r="CH997" s="885"/>
      <c r="CI997" s="885"/>
      <c r="CJ997" s="885"/>
      <c r="CK997" s="885"/>
      <c r="CL997" s="885"/>
      <c r="CM997" s="885"/>
      <c r="CN997" s="885"/>
      <c r="CO997" s="885"/>
      <c r="CP997" s="885"/>
      <c r="CQ997" s="885"/>
      <c r="CR997" s="885"/>
      <c r="CS997" s="885"/>
      <c r="CT997" s="885"/>
      <c r="CU997" s="885"/>
      <c r="CV997" s="885"/>
      <c r="CW997" s="885"/>
      <c r="CX997" s="885"/>
      <c r="CY997" s="885"/>
      <c r="CZ997" s="885"/>
      <c r="DA997" s="885"/>
      <c r="DB997" s="885"/>
      <c r="DC997" s="885"/>
      <c r="DD997" s="885"/>
      <c r="DE997" s="885"/>
      <c r="DF997" s="885"/>
      <c r="DG997" s="885"/>
      <c r="DH997" s="885"/>
      <c r="DI997" s="885"/>
      <c r="DJ997" s="885"/>
      <c r="DK997" s="885"/>
      <c r="DL997" s="885"/>
      <c r="DM997" s="885"/>
      <c r="DN997" s="885"/>
      <c r="DO997" s="885"/>
      <c r="DP997" s="885"/>
      <c r="DQ997" s="885"/>
      <c r="DR997" s="885"/>
      <c r="DS997" s="885"/>
      <c r="DT997" s="885"/>
      <c r="DU997" s="885"/>
      <c r="DV997" s="885"/>
      <c r="DW997" s="885"/>
      <c r="DX997" s="885"/>
      <c r="DY997" s="885"/>
      <c r="DZ997" s="885"/>
      <c r="EA997" s="885"/>
      <c r="EB997" s="885"/>
      <c r="EC997" s="885"/>
      <c r="ED997" s="885"/>
      <c r="EE997" s="885"/>
      <c r="EF997" s="885"/>
      <c r="EG997" s="885"/>
      <c r="EH997" s="885"/>
      <c r="EI997" s="885"/>
      <c r="EJ997" s="885"/>
      <c r="EK997" s="885"/>
      <c r="EL997" s="885"/>
      <c r="EM997" s="885"/>
      <c r="EN997" s="885"/>
      <c r="EO997" s="885"/>
      <c r="EP997" s="885"/>
      <c r="EQ997" s="885"/>
      <c r="ER997" s="885"/>
      <c r="ES997" s="885"/>
      <c r="ET997" s="885"/>
      <c r="EU997" s="885"/>
      <c r="EV997" s="885"/>
      <c r="EW997" s="885"/>
      <c r="EX997" s="885"/>
      <c r="EY997" s="885"/>
      <c r="EZ997" s="885"/>
      <c r="FA997" s="885"/>
      <c r="FB997" s="885"/>
      <c r="FC997" s="885"/>
      <c r="FD997" s="885"/>
      <c r="FE997" s="885"/>
      <c r="FF997" s="885"/>
      <c r="FG997" s="885"/>
      <c r="FH997" s="885"/>
      <c r="FI997" s="885"/>
      <c r="FJ997" s="885"/>
      <c r="FK997" s="885"/>
      <c r="FL997" s="885"/>
      <c r="FM997" s="885"/>
      <c r="FN997" s="885"/>
      <c r="FO997" s="885"/>
      <c r="FP997" s="885"/>
      <c r="FQ997" s="885"/>
      <c r="FR997" s="885"/>
      <c r="FS997" s="885"/>
      <c r="FT997" s="885"/>
      <c r="FU997" s="885"/>
      <c r="FV997" s="885"/>
      <c r="FW997" s="885"/>
      <c r="FX997" s="885"/>
      <c r="FY997" s="885"/>
      <c r="FZ997" s="885"/>
      <c r="GA997" s="885"/>
      <c r="GB997" s="885"/>
      <c r="GC997" s="885"/>
      <c r="GD997" s="885"/>
      <c r="GE997" s="885"/>
      <c r="GF997" s="885"/>
      <c r="GG997" s="885"/>
      <c r="GH997" s="885"/>
      <c r="GI997" s="885"/>
      <c r="GJ997" s="885"/>
      <c r="GK997" s="885"/>
      <c r="GL997" s="885"/>
      <c r="GM997" s="885"/>
      <c r="GN997" s="885"/>
      <c r="GO997" s="885"/>
      <c r="GP997" s="885"/>
      <c r="GQ997" s="885"/>
      <c r="GR997" s="885"/>
      <c r="GS997" s="885"/>
      <c r="GT997" s="885"/>
      <c r="GU997" s="885"/>
      <c r="GV997" s="885"/>
      <c r="GW997" s="885"/>
      <c r="GX997" s="885"/>
      <c r="GY997" s="885"/>
      <c r="GZ997" s="885"/>
      <c r="HA997" s="885"/>
      <c r="HB997" s="885"/>
      <c r="HC997" s="885"/>
      <c r="HD997" s="885"/>
      <c r="HE997" s="885"/>
      <c r="HF997" s="885"/>
      <c r="HG997" s="885"/>
      <c r="HH997" s="885"/>
      <c r="HI997" s="885"/>
      <c r="HJ997" s="885"/>
      <c r="HK997" s="885"/>
      <c r="HL997" s="885"/>
      <c r="HM997" s="885"/>
      <c r="HN997" s="885"/>
      <c r="HO997" s="885"/>
      <c r="HP997" s="885"/>
      <c r="HQ997" s="885"/>
      <c r="HR997" s="885"/>
      <c r="HS997" s="885"/>
      <c r="HT997" s="885"/>
      <c r="HU997" s="885"/>
      <c r="HV997" s="885"/>
      <c r="HW997" s="885"/>
      <c r="HX997" s="885"/>
      <c r="HY997" s="885"/>
      <c r="HZ997" s="885"/>
      <c r="IA997" s="885"/>
      <c r="IB997" s="885"/>
      <c r="IC997" s="885"/>
      <c r="ID997" s="885"/>
      <c r="IE997" s="885"/>
      <c r="IF997" s="885"/>
      <c r="IG997" s="885"/>
      <c r="IH997" s="885"/>
      <c r="II997" s="885"/>
      <c r="IJ997" s="885"/>
      <c r="IK997" s="885"/>
      <c r="IL997" s="885"/>
      <c r="IM997" s="885"/>
      <c r="IN997" s="885"/>
      <c r="IO997" s="885"/>
      <c r="IP997" s="885"/>
      <c r="IQ997" s="885"/>
      <c r="IR997" s="885"/>
      <c r="IS997" s="885"/>
      <c r="IT997" s="885"/>
      <c r="IU997" s="885"/>
      <c r="IV997" s="885"/>
      <c r="IW997" s="885"/>
      <c r="IX997" s="885"/>
    </row>
    <row r="998" spans="1:258" x14ac:dyDescent="0.25">
      <c r="A998" s="125">
        <f t="shared" si="121"/>
        <v>958</v>
      </c>
      <c r="B998" s="885"/>
      <c r="C998" s="842" t="s">
        <v>10501</v>
      </c>
      <c r="D998" s="924">
        <v>0</v>
      </c>
      <c r="E998" s="924">
        <f t="shared" si="123"/>
        <v>0</v>
      </c>
      <c r="F998" s="136">
        <v>300</v>
      </c>
      <c r="G998" s="122" t="s">
        <v>1963</v>
      </c>
      <c r="H998" s="885"/>
      <c r="I998" s="885"/>
      <c r="J998" s="885"/>
      <c r="K998" s="885"/>
      <c r="L998" s="885"/>
      <c r="M998" s="885"/>
      <c r="N998" s="885"/>
      <c r="O998" s="885"/>
      <c r="P998" s="885"/>
      <c r="Q998" s="885"/>
      <c r="R998" s="885"/>
      <c r="S998" s="885"/>
      <c r="T998" s="885"/>
      <c r="U998" s="885"/>
      <c r="V998" s="885"/>
      <c r="W998" s="885"/>
      <c r="X998" s="885"/>
      <c r="Y998" s="885"/>
      <c r="Z998" s="885"/>
      <c r="AA998" s="885"/>
      <c r="AB998" s="885"/>
      <c r="AC998" s="885"/>
      <c r="AD998" s="885"/>
      <c r="AE998" s="885"/>
      <c r="AF998" s="885"/>
      <c r="AG998" s="885"/>
      <c r="AH998" s="885"/>
      <c r="AI998" s="885"/>
      <c r="AJ998" s="885"/>
      <c r="AK998" s="885"/>
      <c r="AL998" s="885"/>
      <c r="AM998" s="885"/>
      <c r="AN998" s="885"/>
      <c r="AO998" s="885"/>
      <c r="AP998" s="885"/>
      <c r="AQ998" s="885"/>
      <c r="AR998" s="885"/>
      <c r="AS998" s="885"/>
      <c r="AT998" s="885"/>
      <c r="AU998" s="885"/>
      <c r="AV998" s="885"/>
      <c r="AW998" s="885"/>
      <c r="AX998" s="885"/>
      <c r="AY998" s="885"/>
      <c r="AZ998" s="885"/>
      <c r="BA998" s="885"/>
      <c r="BB998" s="885"/>
      <c r="BC998" s="885"/>
      <c r="BD998" s="885"/>
      <c r="BE998" s="885"/>
      <c r="BF998" s="885"/>
      <c r="BG998" s="885"/>
      <c r="BH998" s="885"/>
      <c r="BI998" s="885"/>
      <c r="BJ998" s="885"/>
      <c r="BK998" s="885"/>
      <c r="BL998" s="885"/>
      <c r="BM998" s="885"/>
      <c r="BN998" s="885"/>
      <c r="BO998" s="885"/>
      <c r="BP998" s="885"/>
      <c r="BQ998" s="885"/>
      <c r="BR998" s="885"/>
      <c r="BS998" s="885"/>
      <c r="BT998" s="885"/>
      <c r="BU998" s="885"/>
      <c r="BV998" s="885"/>
      <c r="BW998" s="885"/>
      <c r="BX998" s="885"/>
      <c r="BY998" s="885"/>
      <c r="BZ998" s="885"/>
      <c r="CA998" s="885"/>
      <c r="CB998" s="885"/>
      <c r="CC998" s="885"/>
      <c r="CD998" s="885"/>
      <c r="CE998" s="885"/>
      <c r="CF998" s="885"/>
      <c r="CG998" s="885"/>
      <c r="CH998" s="885"/>
      <c r="CI998" s="885"/>
      <c r="CJ998" s="885"/>
      <c r="CK998" s="885"/>
      <c r="CL998" s="885"/>
      <c r="CM998" s="885"/>
      <c r="CN998" s="885"/>
      <c r="CO998" s="885"/>
      <c r="CP998" s="885"/>
      <c r="CQ998" s="885"/>
      <c r="CR998" s="885"/>
      <c r="CS998" s="885"/>
      <c r="CT998" s="885"/>
      <c r="CU998" s="885"/>
      <c r="CV998" s="885"/>
      <c r="CW998" s="885"/>
      <c r="CX998" s="885"/>
      <c r="CY998" s="885"/>
      <c r="CZ998" s="885"/>
      <c r="DA998" s="885"/>
      <c r="DB998" s="885"/>
      <c r="DC998" s="885"/>
      <c r="DD998" s="885"/>
      <c r="DE998" s="885"/>
      <c r="DF998" s="885"/>
      <c r="DG998" s="885"/>
      <c r="DH998" s="885"/>
      <c r="DI998" s="885"/>
      <c r="DJ998" s="885"/>
      <c r="DK998" s="885"/>
      <c r="DL998" s="885"/>
      <c r="DM998" s="885"/>
      <c r="DN998" s="885"/>
      <c r="DO998" s="885"/>
      <c r="DP998" s="885"/>
      <c r="DQ998" s="885"/>
      <c r="DR998" s="885"/>
      <c r="DS998" s="885"/>
      <c r="DT998" s="885"/>
      <c r="DU998" s="885"/>
      <c r="DV998" s="885"/>
      <c r="DW998" s="885"/>
      <c r="DX998" s="885"/>
      <c r="DY998" s="885"/>
      <c r="DZ998" s="885"/>
      <c r="EA998" s="885"/>
      <c r="EB998" s="885"/>
      <c r="EC998" s="885"/>
      <c r="ED998" s="885"/>
      <c r="EE998" s="885"/>
      <c r="EF998" s="885"/>
      <c r="EG998" s="885"/>
      <c r="EH998" s="885"/>
      <c r="EI998" s="885"/>
      <c r="EJ998" s="885"/>
      <c r="EK998" s="885"/>
      <c r="EL998" s="885"/>
      <c r="EM998" s="885"/>
      <c r="EN998" s="885"/>
      <c r="EO998" s="885"/>
      <c r="EP998" s="885"/>
      <c r="EQ998" s="885"/>
      <c r="ER998" s="885"/>
      <c r="ES998" s="885"/>
      <c r="ET998" s="885"/>
      <c r="EU998" s="885"/>
      <c r="EV998" s="885"/>
      <c r="EW998" s="885"/>
      <c r="EX998" s="885"/>
      <c r="EY998" s="885"/>
      <c r="EZ998" s="885"/>
      <c r="FA998" s="885"/>
      <c r="FB998" s="885"/>
      <c r="FC998" s="885"/>
      <c r="FD998" s="885"/>
      <c r="FE998" s="885"/>
      <c r="FF998" s="885"/>
      <c r="FG998" s="885"/>
      <c r="FH998" s="885"/>
      <c r="FI998" s="885"/>
      <c r="FJ998" s="885"/>
      <c r="FK998" s="885"/>
      <c r="FL998" s="885"/>
      <c r="FM998" s="885"/>
      <c r="FN998" s="885"/>
      <c r="FO998" s="885"/>
      <c r="FP998" s="885"/>
      <c r="FQ998" s="885"/>
      <c r="FR998" s="885"/>
      <c r="FS998" s="885"/>
      <c r="FT998" s="885"/>
      <c r="FU998" s="885"/>
      <c r="FV998" s="885"/>
      <c r="FW998" s="885"/>
      <c r="FX998" s="885"/>
      <c r="FY998" s="885"/>
      <c r="FZ998" s="885"/>
      <c r="GA998" s="885"/>
      <c r="GB998" s="885"/>
      <c r="GC998" s="885"/>
      <c r="GD998" s="885"/>
      <c r="GE998" s="885"/>
      <c r="GF998" s="885"/>
      <c r="GG998" s="885"/>
      <c r="GH998" s="885"/>
      <c r="GI998" s="885"/>
      <c r="GJ998" s="885"/>
      <c r="GK998" s="885"/>
      <c r="GL998" s="885"/>
      <c r="GM998" s="885"/>
      <c r="GN998" s="885"/>
      <c r="GO998" s="885"/>
      <c r="GP998" s="885"/>
      <c r="GQ998" s="885"/>
      <c r="GR998" s="885"/>
      <c r="GS998" s="885"/>
      <c r="GT998" s="885"/>
      <c r="GU998" s="885"/>
      <c r="GV998" s="885"/>
      <c r="GW998" s="885"/>
      <c r="GX998" s="885"/>
      <c r="GY998" s="885"/>
      <c r="GZ998" s="885"/>
      <c r="HA998" s="885"/>
      <c r="HB998" s="885"/>
      <c r="HC998" s="885"/>
      <c r="HD998" s="885"/>
      <c r="HE998" s="885"/>
      <c r="HF998" s="885"/>
      <c r="HG998" s="885"/>
      <c r="HH998" s="885"/>
      <c r="HI998" s="885"/>
      <c r="HJ998" s="885"/>
      <c r="HK998" s="885"/>
      <c r="HL998" s="885"/>
      <c r="HM998" s="885"/>
      <c r="HN998" s="885"/>
      <c r="HO998" s="885"/>
      <c r="HP998" s="885"/>
      <c r="HQ998" s="885"/>
      <c r="HR998" s="885"/>
      <c r="HS998" s="885"/>
      <c r="HT998" s="885"/>
      <c r="HU998" s="885"/>
      <c r="HV998" s="885"/>
      <c r="HW998" s="885"/>
      <c r="HX998" s="885"/>
      <c r="HY998" s="885"/>
      <c r="HZ998" s="885"/>
      <c r="IA998" s="885"/>
      <c r="IB998" s="885"/>
      <c r="IC998" s="885"/>
      <c r="ID998" s="885"/>
      <c r="IE998" s="885"/>
      <c r="IF998" s="885"/>
      <c r="IG998" s="885"/>
      <c r="IH998" s="885"/>
      <c r="II998" s="885"/>
      <c r="IJ998" s="885"/>
      <c r="IK998" s="885"/>
      <c r="IL998" s="885"/>
      <c r="IM998" s="885"/>
      <c r="IN998" s="885"/>
      <c r="IO998" s="885"/>
      <c r="IP998" s="885"/>
      <c r="IQ998" s="885"/>
      <c r="IR998" s="885"/>
      <c r="IS998" s="885"/>
      <c r="IT998" s="885"/>
      <c r="IU998" s="885"/>
      <c r="IV998" s="885"/>
      <c r="IW998" s="885"/>
      <c r="IX998" s="885"/>
    </row>
    <row r="999" spans="1:258" x14ac:dyDescent="0.25">
      <c r="A999" s="125">
        <f t="shared" si="121"/>
        <v>959</v>
      </c>
      <c r="B999" s="885"/>
      <c r="C999" s="842" t="s">
        <v>10500</v>
      </c>
      <c r="D999" s="924">
        <v>0</v>
      </c>
      <c r="E999" s="924">
        <f t="shared" si="123"/>
        <v>0</v>
      </c>
      <c r="F999" s="136">
        <v>800</v>
      </c>
      <c r="G999" s="122" t="s">
        <v>1963</v>
      </c>
      <c r="H999" s="885"/>
      <c r="I999" s="885"/>
      <c r="J999" s="885"/>
      <c r="K999" s="885"/>
      <c r="L999" s="885"/>
      <c r="M999" s="885"/>
      <c r="N999" s="885"/>
      <c r="O999" s="885"/>
      <c r="P999" s="885"/>
      <c r="Q999" s="885"/>
      <c r="R999" s="885"/>
      <c r="S999" s="885"/>
      <c r="T999" s="885"/>
      <c r="U999" s="885"/>
      <c r="V999" s="885"/>
      <c r="W999" s="885"/>
      <c r="X999" s="885"/>
      <c r="Y999" s="885"/>
      <c r="Z999" s="885"/>
      <c r="AA999" s="885"/>
      <c r="AB999" s="885"/>
      <c r="AC999" s="885"/>
      <c r="AD999" s="885"/>
      <c r="AE999" s="885"/>
      <c r="AF999" s="885"/>
      <c r="AG999" s="885"/>
      <c r="AH999" s="885"/>
      <c r="AI999" s="885"/>
      <c r="AJ999" s="885"/>
      <c r="AK999" s="885"/>
      <c r="AL999" s="885"/>
      <c r="AM999" s="885"/>
      <c r="AN999" s="885"/>
      <c r="AO999" s="885"/>
      <c r="AP999" s="885"/>
      <c r="AQ999" s="885"/>
      <c r="AR999" s="885"/>
      <c r="AS999" s="885"/>
      <c r="AT999" s="885"/>
      <c r="AU999" s="885"/>
      <c r="AV999" s="885"/>
      <c r="AW999" s="885"/>
      <c r="AX999" s="885"/>
      <c r="AY999" s="885"/>
      <c r="AZ999" s="885"/>
      <c r="BA999" s="885"/>
      <c r="BB999" s="885"/>
      <c r="BC999" s="885"/>
      <c r="BD999" s="885"/>
      <c r="BE999" s="885"/>
      <c r="BF999" s="885"/>
      <c r="BG999" s="885"/>
      <c r="BH999" s="885"/>
      <c r="BI999" s="885"/>
      <c r="BJ999" s="885"/>
      <c r="BK999" s="885"/>
      <c r="BL999" s="885"/>
      <c r="BM999" s="885"/>
      <c r="BN999" s="885"/>
      <c r="BO999" s="885"/>
      <c r="BP999" s="885"/>
      <c r="BQ999" s="885"/>
      <c r="BR999" s="885"/>
      <c r="BS999" s="885"/>
      <c r="BT999" s="885"/>
      <c r="BU999" s="885"/>
      <c r="BV999" s="885"/>
      <c r="BW999" s="885"/>
      <c r="BX999" s="885"/>
      <c r="BY999" s="885"/>
      <c r="BZ999" s="885"/>
      <c r="CA999" s="885"/>
      <c r="CB999" s="885"/>
      <c r="CC999" s="885"/>
      <c r="CD999" s="885"/>
      <c r="CE999" s="885"/>
      <c r="CF999" s="885"/>
      <c r="CG999" s="885"/>
      <c r="CH999" s="885"/>
      <c r="CI999" s="885"/>
      <c r="CJ999" s="885"/>
      <c r="CK999" s="885"/>
      <c r="CL999" s="885"/>
      <c r="CM999" s="885"/>
      <c r="CN999" s="885"/>
      <c r="CO999" s="885"/>
      <c r="CP999" s="885"/>
      <c r="CQ999" s="885"/>
      <c r="CR999" s="885"/>
      <c r="CS999" s="885"/>
      <c r="CT999" s="885"/>
      <c r="CU999" s="885"/>
      <c r="CV999" s="885"/>
      <c r="CW999" s="885"/>
      <c r="CX999" s="885"/>
      <c r="CY999" s="885"/>
      <c r="CZ999" s="885"/>
      <c r="DA999" s="885"/>
      <c r="DB999" s="885"/>
      <c r="DC999" s="885"/>
      <c r="DD999" s="885"/>
      <c r="DE999" s="885"/>
      <c r="DF999" s="885"/>
      <c r="DG999" s="885"/>
      <c r="DH999" s="885"/>
      <c r="DI999" s="885"/>
      <c r="DJ999" s="885"/>
      <c r="DK999" s="885"/>
      <c r="DL999" s="885"/>
      <c r="DM999" s="885"/>
      <c r="DN999" s="885"/>
      <c r="DO999" s="885"/>
      <c r="DP999" s="885"/>
      <c r="DQ999" s="885"/>
      <c r="DR999" s="885"/>
      <c r="DS999" s="885"/>
      <c r="DT999" s="885"/>
      <c r="DU999" s="885"/>
      <c r="DV999" s="885"/>
      <c r="DW999" s="885"/>
      <c r="DX999" s="885"/>
      <c r="DY999" s="885"/>
      <c r="DZ999" s="885"/>
      <c r="EA999" s="885"/>
      <c r="EB999" s="885"/>
      <c r="EC999" s="885"/>
      <c r="ED999" s="885"/>
      <c r="EE999" s="885"/>
      <c r="EF999" s="885"/>
      <c r="EG999" s="885"/>
      <c r="EH999" s="885"/>
      <c r="EI999" s="885"/>
      <c r="EJ999" s="885"/>
      <c r="EK999" s="885"/>
      <c r="EL999" s="885"/>
      <c r="EM999" s="885"/>
      <c r="EN999" s="885"/>
      <c r="EO999" s="885"/>
      <c r="EP999" s="885"/>
      <c r="EQ999" s="885"/>
      <c r="ER999" s="885"/>
      <c r="ES999" s="885"/>
      <c r="ET999" s="885"/>
      <c r="EU999" s="885"/>
      <c r="EV999" s="885"/>
      <c r="EW999" s="885"/>
      <c r="EX999" s="885"/>
      <c r="EY999" s="885"/>
      <c r="EZ999" s="885"/>
      <c r="FA999" s="885"/>
      <c r="FB999" s="885"/>
      <c r="FC999" s="885"/>
      <c r="FD999" s="885"/>
      <c r="FE999" s="885"/>
      <c r="FF999" s="885"/>
      <c r="FG999" s="885"/>
      <c r="FH999" s="885"/>
      <c r="FI999" s="885"/>
      <c r="FJ999" s="885"/>
      <c r="FK999" s="885"/>
      <c r="FL999" s="885"/>
      <c r="FM999" s="885"/>
      <c r="FN999" s="885"/>
      <c r="FO999" s="885"/>
      <c r="FP999" s="885"/>
      <c r="FQ999" s="885"/>
      <c r="FR999" s="885"/>
      <c r="FS999" s="885"/>
      <c r="FT999" s="885"/>
      <c r="FU999" s="885"/>
      <c r="FV999" s="885"/>
      <c r="FW999" s="885"/>
      <c r="FX999" s="885"/>
      <c r="FY999" s="885"/>
      <c r="FZ999" s="885"/>
      <c r="GA999" s="885"/>
      <c r="GB999" s="885"/>
      <c r="GC999" s="885"/>
      <c r="GD999" s="885"/>
      <c r="GE999" s="885"/>
      <c r="GF999" s="885"/>
      <c r="GG999" s="885"/>
      <c r="GH999" s="885"/>
      <c r="GI999" s="885"/>
      <c r="GJ999" s="885"/>
      <c r="GK999" s="885"/>
      <c r="GL999" s="885"/>
      <c r="GM999" s="885"/>
      <c r="GN999" s="885"/>
      <c r="GO999" s="885"/>
      <c r="GP999" s="885"/>
      <c r="GQ999" s="885"/>
      <c r="GR999" s="885"/>
      <c r="GS999" s="885"/>
      <c r="GT999" s="885"/>
      <c r="GU999" s="885"/>
      <c r="GV999" s="885"/>
      <c r="GW999" s="885"/>
      <c r="GX999" s="885"/>
      <c r="GY999" s="885"/>
      <c r="GZ999" s="885"/>
      <c r="HA999" s="885"/>
      <c r="HB999" s="885"/>
      <c r="HC999" s="885"/>
      <c r="HD999" s="885"/>
      <c r="HE999" s="885"/>
      <c r="HF999" s="885"/>
      <c r="HG999" s="885"/>
      <c r="HH999" s="885"/>
      <c r="HI999" s="885"/>
      <c r="HJ999" s="885"/>
      <c r="HK999" s="885"/>
      <c r="HL999" s="885"/>
      <c r="HM999" s="885"/>
      <c r="HN999" s="885"/>
      <c r="HO999" s="885"/>
      <c r="HP999" s="885"/>
      <c r="HQ999" s="885"/>
      <c r="HR999" s="885"/>
      <c r="HS999" s="885"/>
      <c r="HT999" s="885"/>
      <c r="HU999" s="885"/>
      <c r="HV999" s="885"/>
      <c r="HW999" s="885"/>
      <c r="HX999" s="885"/>
      <c r="HY999" s="885"/>
      <c r="HZ999" s="885"/>
      <c r="IA999" s="885"/>
      <c r="IB999" s="885"/>
      <c r="IC999" s="885"/>
      <c r="ID999" s="885"/>
      <c r="IE999" s="885"/>
      <c r="IF999" s="885"/>
      <c r="IG999" s="885"/>
      <c r="IH999" s="885"/>
      <c r="II999" s="885"/>
      <c r="IJ999" s="885"/>
      <c r="IK999" s="885"/>
      <c r="IL999" s="885"/>
      <c r="IM999" s="885"/>
      <c r="IN999" s="885"/>
      <c r="IO999" s="885"/>
      <c r="IP999" s="885"/>
      <c r="IQ999" s="885"/>
      <c r="IR999" s="885"/>
      <c r="IS999" s="885"/>
      <c r="IT999" s="885"/>
      <c r="IU999" s="885"/>
      <c r="IV999" s="885"/>
      <c r="IW999" s="885"/>
      <c r="IX999" s="885"/>
    </row>
    <row r="1000" spans="1:258" x14ac:dyDescent="0.25">
      <c r="A1000" s="125">
        <f t="shared" si="121"/>
        <v>960</v>
      </c>
      <c r="B1000" s="804"/>
      <c r="C1000" s="842" t="s">
        <v>10520</v>
      </c>
      <c r="D1000" s="924">
        <v>0</v>
      </c>
      <c r="E1000" s="924">
        <f t="shared" si="123"/>
        <v>0</v>
      </c>
      <c r="F1000" s="136">
        <v>800</v>
      </c>
      <c r="G1000" s="122" t="s">
        <v>1963</v>
      </c>
      <c r="H1000" s="885"/>
      <c r="I1000" s="885"/>
      <c r="J1000" s="885"/>
      <c r="K1000" s="885"/>
      <c r="L1000" s="885"/>
      <c r="M1000" s="885"/>
      <c r="N1000" s="885"/>
      <c r="O1000" s="885"/>
      <c r="P1000" s="885"/>
      <c r="Q1000" s="885"/>
      <c r="R1000" s="885"/>
      <c r="S1000" s="885"/>
      <c r="T1000" s="885"/>
      <c r="U1000" s="885"/>
      <c r="V1000" s="885"/>
      <c r="W1000" s="885"/>
      <c r="X1000" s="885"/>
      <c r="Y1000" s="885"/>
      <c r="Z1000" s="885"/>
      <c r="AA1000" s="885"/>
      <c r="AB1000" s="885"/>
      <c r="AC1000" s="885"/>
      <c r="AD1000" s="885"/>
      <c r="AE1000" s="885"/>
      <c r="AF1000" s="885"/>
      <c r="AG1000" s="885"/>
      <c r="AH1000" s="885"/>
      <c r="AI1000" s="885"/>
      <c r="AJ1000" s="885"/>
      <c r="AK1000" s="885"/>
      <c r="AL1000" s="885"/>
      <c r="AM1000" s="885"/>
      <c r="AN1000" s="885"/>
      <c r="AO1000" s="885"/>
      <c r="AP1000" s="885"/>
      <c r="AQ1000" s="885"/>
      <c r="AR1000" s="885"/>
      <c r="AS1000" s="885"/>
      <c r="AT1000" s="885"/>
      <c r="AU1000" s="885"/>
      <c r="AV1000" s="885"/>
      <c r="AW1000" s="885"/>
      <c r="AX1000" s="885"/>
      <c r="AY1000" s="885"/>
      <c r="AZ1000" s="885"/>
      <c r="BA1000" s="885"/>
      <c r="BB1000" s="885"/>
      <c r="BC1000" s="885"/>
      <c r="BD1000" s="885"/>
      <c r="BE1000" s="885"/>
      <c r="BF1000" s="885"/>
      <c r="BG1000" s="885"/>
      <c r="BH1000" s="885"/>
      <c r="BI1000" s="885"/>
      <c r="BJ1000" s="885"/>
      <c r="BK1000" s="885"/>
      <c r="BL1000" s="885"/>
      <c r="BM1000" s="885"/>
      <c r="BN1000" s="885"/>
      <c r="BO1000" s="885"/>
      <c r="BP1000" s="885"/>
      <c r="BQ1000" s="885"/>
      <c r="BR1000" s="885"/>
      <c r="BS1000" s="885"/>
      <c r="BT1000" s="885"/>
      <c r="BU1000" s="885"/>
      <c r="BV1000" s="885"/>
      <c r="BW1000" s="885"/>
      <c r="BX1000" s="885"/>
      <c r="BY1000" s="885"/>
      <c r="BZ1000" s="885"/>
      <c r="CA1000" s="885"/>
      <c r="CB1000" s="885"/>
      <c r="CC1000" s="885"/>
      <c r="CD1000" s="885"/>
      <c r="CE1000" s="885"/>
      <c r="CF1000" s="885"/>
      <c r="CG1000" s="885"/>
      <c r="CH1000" s="885"/>
      <c r="CI1000" s="885"/>
      <c r="CJ1000" s="885"/>
      <c r="CK1000" s="885"/>
      <c r="CL1000" s="885"/>
      <c r="CM1000" s="885"/>
      <c r="CN1000" s="885"/>
      <c r="CO1000" s="885"/>
      <c r="CP1000" s="885"/>
      <c r="CQ1000" s="885"/>
      <c r="CR1000" s="885"/>
      <c r="CS1000" s="885"/>
      <c r="CT1000" s="885"/>
      <c r="CU1000" s="885"/>
      <c r="CV1000" s="885"/>
      <c r="CW1000" s="885"/>
      <c r="CX1000" s="885"/>
      <c r="CY1000" s="885"/>
      <c r="CZ1000" s="885"/>
      <c r="DA1000" s="885"/>
      <c r="DB1000" s="885"/>
      <c r="DC1000" s="885"/>
      <c r="DD1000" s="885"/>
      <c r="DE1000" s="885"/>
      <c r="DF1000" s="885"/>
      <c r="DG1000" s="885"/>
      <c r="DH1000" s="885"/>
      <c r="DI1000" s="885"/>
      <c r="DJ1000" s="885"/>
      <c r="DK1000" s="885"/>
      <c r="DL1000" s="885"/>
      <c r="DM1000" s="885"/>
      <c r="DN1000" s="885"/>
      <c r="DO1000" s="885"/>
      <c r="DP1000" s="885"/>
      <c r="DQ1000" s="885"/>
      <c r="DR1000" s="885"/>
      <c r="DS1000" s="885"/>
      <c r="DT1000" s="885"/>
      <c r="DU1000" s="885"/>
      <c r="DV1000" s="885"/>
      <c r="DW1000" s="885"/>
      <c r="DX1000" s="885"/>
      <c r="DY1000" s="885"/>
      <c r="DZ1000" s="885"/>
      <c r="EA1000" s="885"/>
      <c r="EB1000" s="885"/>
      <c r="EC1000" s="885"/>
      <c r="ED1000" s="885"/>
      <c r="EE1000" s="885"/>
      <c r="EF1000" s="885"/>
      <c r="EG1000" s="885"/>
      <c r="EH1000" s="885"/>
      <c r="EI1000" s="885"/>
      <c r="EJ1000" s="885"/>
      <c r="EK1000" s="885"/>
      <c r="EL1000" s="885"/>
      <c r="EM1000" s="885"/>
      <c r="EN1000" s="885"/>
      <c r="EO1000" s="885"/>
      <c r="EP1000" s="885"/>
      <c r="EQ1000" s="885"/>
      <c r="ER1000" s="885"/>
      <c r="ES1000" s="885"/>
      <c r="ET1000" s="885"/>
      <c r="EU1000" s="885"/>
      <c r="EV1000" s="885"/>
      <c r="EW1000" s="885"/>
      <c r="EX1000" s="885"/>
      <c r="EY1000" s="885"/>
      <c r="EZ1000" s="885"/>
      <c r="FA1000" s="885"/>
      <c r="FB1000" s="885"/>
      <c r="FC1000" s="885"/>
      <c r="FD1000" s="885"/>
      <c r="FE1000" s="885"/>
      <c r="FF1000" s="885"/>
      <c r="FG1000" s="885"/>
      <c r="FH1000" s="885"/>
      <c r="FI1000" s="885"/>
      <c r="FJ1000" s="885"/>
      <c r="FK1000" s="885"/>
      <c r="FL1000" s="885"/>
      <c r="FM1000" s="885"/>
      <c r="FN1000" s="885"/>
      <c r="FO1000" s="885"/>
      <c r="FP1000" s="885"/>
      <c r="FQ1000" s="885"/>
      <c r="FR1000" s="885"/>
      <c r="FS1000" s="885"/>
      <c r="FT1000" s="885"/>
      <c r="FU1000" s="885"/>
      <c r="FV1000" s="885"/>
      <c r="FW1000" s="885"/>
      <c r="FX1000" s="885"/>
      <c r="FY1000" s="885"/>
      <c r="FZ1000" s="885"/>
      <c r="GA1000" s="885"/>
      <c r="GB1000" s="885"/>
      <c r="GC1000" s="885"/>
      <c r="GD1000" s="885"/>
      <c r="GE1000" s="885"/>
      <c r="GF1000" s="885"/>
      <c r="GG1000" s="885"/>
      <c r="GH1000" s="885"/>
      <c r="GI1000" s="885"/>
      <c r="GJ1000" s="885"/>
      <c r="GK1000" s="885"/>
      <c r="GL1000" s="885"/>
      <c r="GM1000" s="885"/>
      <c r="GN1000" s="885"/>
      <c r="GO1000" s="885"/>
      <c r="GP1000" s="885"/>
      <c r="GQ1000" s="885"/>
      <c r="GR1000" s="885"/>
      <c r="GS1000" s="885"/>
      <c r="GT1000" s="885"/>
      <c r="GU1000" s="885"/>
      <c r="GV1000" s="885"/>
      <c r="GW1000" s="885"/>
      <c r="GX1000" s="885"/>
      <c r="GY1000" s="885"/>
      <c r="GZ1000" s="885"/>
      <c r="HA1000" s="885"/>
      <c r="HB1000" s="885"/>
      <c r="HC1000" s="885"/>
      <c r="HD1000" s="885"/>
      <c r="HE1000" s="885"/>
      <c r="HF1000" s="885"/>
      <c r="HG1000" s="885"/>
      <c r="HH1000" s="885"/>
      <c r="HI1000" s="885"/>
      <c r="HJ1000" s="885"/>
      <c r="HK1000" s="885"/>
      <c r="HL1000" s="885"/>
      <c r="HM1000" s="885"/>
      <c r="HN1000" s="885"/>
      <c r="HO1000" s="885"/>
      <c r="HP1000" s="885"/>
      <c r="HQ1000" s="885"/>
      <c r="HR1000" s="885"/>
      <c r="HS1000" s="885"/>
      <c r="HT1000" s="885"/>
      <c r="HU1000" s="885"/>
      <c r="HV1000" s="885"/>
      <c r="HW1000" s="885"/>
      <c r="HX1000" s="885"/>
      <c r="HY1000" s="885"/>
      <c r="HZ1000" s="885"/>
      <c r="IA1000" s="885"/>
      <c r="IB1000" s="885"/>
      <c r="IC1000" s="885"/>
      <c r="ID1000" s="885"/>
      <c r="IE1000" s="885"/>
      <c r="IF1000" s="885"/>
      <c r="IG1000" s="885"/>
      <c r="IH1000" s="885"/>
      <c r="II1000" s="885"/>
      <c r="IJ1000" s="885"/>
      <c r="IK1000" s="885"/>
      <c r="IL1000" s="885"/>
      <c r="IM1000" s="885"/>
      <c r="IN1000" s="885"/>
      <c r="IO1000" s="885"/>
      <c r="IP1000" s="885"/>
      <c r="IQ1000" s="885"/>
      <c r="IR1000" s="885"/>
      <c r="IS1000" s="885"/>
      <c r="IT1000" s="885"/>
      <c r="IU1000" s="885"/>
      <c r="IV1000" s="885"/>
      <c r="IW1000" s="885"/>
      <c r="IX1000" s="885"/>
    </row>
    <row r="1001" spans="1:258" x14ac:dyDescent="0.25">
      <c r="A1001" s="125">
        <f t="shared" si="121"/>
        <v>961</v>
      </c>
      <c r="B1001" s="804"/>
      <c r="C1001" s="842" t="s">
        <v>11532</v>
      </c>
      <c r="D1001" s="924">
        <v>0</v>
      </c>
      <c r="E1001" s="924">
        <f t="shared" si="123"/>
        <v>0</v>
      </c>
      <c r="F1001" s="136"/>
      <c r="H1001" s="954"/>
      <c r="I1001" s="954"/>
      <c r="J1001" s="954"/>
      <c r="K1001" s="954"/>
      <c r="L1001" s="954"/>
      <c r="M1001" s="954"/>
      <c r="N1001" s="954"/>
      <c r="O1001" s="954"/>
      <c r="P1001" s="954"/>
      <c r="Q1001" s="954"/>
      <c r="R1001" s="954"/>
      <c r="S1001" s="954"/>
      <c r="T1001" s="954"/>
      <c r="U1001" s="954"/>
      <c r="V1001" s="954"/>
      <c r="W1001" s="954"/>
      <c r="X1001" s="954"/>
      <c r="Y1001" s="954"/>
      <c r="Z1001" s="954"/>
      <c r="AA1001" s="954"/>
      <c r="AB1001" s="954"/>
      <c r="AC1001" s="954"/>
      <c r="AD1001" s="954"/>
      <c r="AE1001" s="954"/>
      <c r="AF1001" s="954"/>
      <c r="AG1001" s="954"/>
      <c r="AH1001" s="954"/>
      <c r="AI1001" s="954"/>
      <c r="AJ1001" s="954"/>
      <c r="AK1001" s="954"/>
      <c r="AL1001" s="954"/>
      <c r="AM1001" s="954"/>
      <c r="AN1001" s="954"/>
      <c r="AO1001" s="954"/>
      <c r="AP1001" s="954"/>
      <c r="AQ1001" s="954"/>
      <c r="AR1001" s="954"/>
      <c r="AS1001" s="954"/>
      <c r="AT1001" s="954"/>
      <c r="AU1001" s="954"/>
      <c r="AV1001" s="954"/>
      <c r="AW1001" s="954"/>
      <c r="AX1001" s="954"/>
      <c r="AY1001" s="954"/>
      <c r="AZ1001" s="954"/>
      <c r="BA1001" s="954"/>
      <c r="BB1001" s="954"/>
      <c r="BC1001" s="954"/>
      <c r="BD1001" s="954"/>
      <c r="BE1001" s="954"/>
      <c r="BF1001" s="954"/>
      <c r="BG1001" s="954"/>
      <c r="BH1001" s="954"/>
      <c r="BI1001" s="954"/>
      <c r="BJ1001" s="954"/>
      <c r="BK1001" s="954"/>
      <c r="BL1001" s="954"/>
      <c r="BM1001" s="954"/>
      <c r="BN1001" s="954"/>
      <c r="BO1001" s="954"/>
      <c r="BP1001" s="954"/>
      <c r="BQ1001" s="954"/>
      <c r="BR1001" s="954"/>
      <c r="BS1001" s="954"/>
      <c r="BT1001" s="954"/>
      <c r="BU1001" s="954"/>
      <c r="BV1001" s="954"/>
      <c r="BW1001" s="954"/>
      <c r="BX1001" s="954"/>
      <c r="BY1001" s="954"/>
      <c r="BZ1001" s="954"/>
      <c r="CA1001" s="954"/>
      <c r="CB1001" s="954"/>
      <c r="CC1001" s="954"/>
      <c r="CD1001" s="954"/>
      <c r="CE1001" s="954"/>
      <c r="CF1001" s="954"/>
      <c r="CG1001" s="954"/>
      <c r="CH1001" s="954"/>
      <c r="CI1001" s="954"/>
      <c r="CJ1001" s="954"/>
      <c r="CK1001" s="954"/>
      <c r="CL1001" s="954"/>
      <c r="CM1001" s="954"/>
      <c r="CN1001" s="954"/>
      <c r="CO1001" s="954"/>
      <c r="CP1001" s="954"/>
      <c r="CQ1001" s="954"/>
      <c r="CR1001" s="954"/>
      <c r="CS1001" s="954"/>
      <c r="CT1001" s="954"/>
      <c r="CU1001" s="954"/>
      <c r="CV1001" s="954"/>
      <c r="CW1001" s="954"/>
      <c r="CX1001" s="954"/>
      <c r="CY1001" s="954"/>
      <c r="CZ1001" s="954"/>
      <c r="DA1001" s="954"/>
      <c r="DB1001" s="954"/>
      <c r="DC1001" s="954"/>
      <c r="DD1001" s="954"/>
      <c r="DE1001" s="954"/>
      <c r="DF1001" s="954"/>
      <c r="DG1001" s="954"/>
      <c r="DH1001" s="954"/>
      <c r="DI1001" s="954"/>
      <c r="DJ1001" s="954"/>
      <c r="DK1001" s="954"/>
      <c r="DL1001" s="954"/>
      <c r="DM1001" s="954"/>
      <c r="DN1001" s="954"/>
      <c r="DO1001" s="954"/>
      <c r="DP1001" s="954"/>
      <c r="DQ1001" s="954"/>
      <c r="DR1001" s="954"/>
      <c r="DS1001" s="954"/>
      <c r="DT1001" s="954"/>
      <c r="DU1001" s="954"/>
      <c r="DV1001" s="954"/>
      <c r="DW1001" s="954"/>
      <c r="DX1001" s="954"/>
      <c r="DY1001" s="954"/>
      <c r="DZ1001" s="954"/>
      <c r="EA1001" s="954"/>
      <c r="EB1001" s="954"/>
      <c r="EC1001" s="954"/>
      <c r="ED1001" s="954"/>
      <c r="EE1001" s="954"/>
      <c r="EF1001" s="954"/>
      <c r="EG1001" s="954"/>
      <c r="EH1001" s="954"/>
      <c r="EI1001" s="954"/>
      <c r="EJ1001" s="954"/>
      <c r="EK1001" s="954"/>
      <c r="EL1001" s="954"/>
      <c r="EM1001" s="954"/>
      <c r="EN1001" s="954"/>
      <c r="EO1001" s="954"/>
      <c r="EP1001" s="954"/>
      <c r="EQ1001" s="954"/>
      <c r="ER1001" s="954"/>
      <c r="ES1001" s="954"/>
      <c r="ET1001" s="954"/>
      <c r="EU1001" s="954"/>
      <c r="EV1001" s="954"/>
      <c r="EW1001" s="954"/>
      <c r="EX1001" s="954"/>
      <c r="EY1001" s="954"/>
      <c r="EZ1001" s="954"/>
      <c r="FA1001" s="954"/>
      <c r="FB1001" s="954"/>
      <c r="FC1001" s="954"/>
      <c r="FD1001" s="954"/>
      <c r="FE1001" s="954"/>
      <c r="FF1001" s="954"/>
      <c r="FG1001" s="954"/>
      <c r="FH1001" s="954"/>
      <c r="FI1001" s="954"/>
      <c r="FJ1001" s="954"/>
      <c r="FK1001" s="954"/>
      <c r="FL1001" s="954"/>
      <c r="FM1001" s="954"/>
      <c r="FN1001" s="954"/>
      <c r="FO1001" s="954"/>
      <c r="FP1001" s="954"/>
      <c r="FQ1001" s="954"/>
      <c r="FR1001" s="954"/>
      <c r="FS1001" s="954"/>
      <c r="FT1001" s="954"/>
      <c r="FU1001" s="954"/>
      <c r="FV1001" s="954"/>
      <c r="FW1001" s="954"/>
      <c r="FX1001" s="954"/>
      <c r="FY1001" s="954"/>
      <c r="FZ1001" s="954"/>
      <c r="GA1001" s="954"/>
      <c r="GB1001" s="954"/>
      <c r="GC1001" s="954"/>
      <c r="GD1001" s="954"/>
      <c r="GE1001" s="954"/>
      <c r="GF1001" s="954"/>
      <c r="GG1001" s="954"/>
      <c r="GH1001" s="954"/>
      <c r="GI1001" s="954"/>
      <c r="GJ1001" s="954"/>
      <c r="GK1001" s="954"/>
      <c r="GL1001" s="954"/>
      <c r="GM1001" s="954"/>
      <c r="GN1001" s="954"/>
      <c r="GO1001" s="954"/>
      <c r="GP1001" s="954"/>
      <c r="GQ1001" s="954"/>
      <c r="GR1001" s="954"/>
      <c r="GS1001" s="954"/>
      <c r="GT1001" s="954"/>
      <c r="GU1001" s="954"/>
      <c r="GV1001" s="954"/>
      <c r="GW1001" s="954"/>
      <c r="GX1001" s="954"/>
      <c r="GY1001" s="954"/>
      <c r="GZ1001" s="954"/>
      <c r="HA1001" s="954"/>
      <c r="HB1001" s="954"/>
      <c r="HC1001" s="954"/>
      <c r="HD1001" s="954"/>
      <c r="HE1001" s="954"/>
      <c r="HF1001" s="954"/>
      <c r="HG1001" s="954"/>
      <c r="HH1001" s="954"/>
      <c r="HI1001" s="954"/>
      <c r="HJ1001" s="954"/>
      <c r="HK1001" s="954"/>
      <c r="HL1001" s="954"/>
      <c r="HM1001" s="954"/>
      <c r="HN1001" s="954"/>
      <c r="HO1001" s="954"/>
      <c r="HP1001" s="954"/>
      <c r="HQ1001" s="954"/>
      <c r="HR1001" s="954"/>
      <c r="HS1001" s="954"/>
      <c r="HT1001" s="954"/>
      <c r="HU1001" s="954"/>
      <c r="HV1001" s="954"/>
      <c r="HW1001" s="954"/>
      <c r="HX1001" s="954"/>
      <c r="HY1001" s="954"/>
      <c r="HZ1001" s="954"/>
      <c r="IA1001" s="954"/>
      <c r="IB1001" s="954"/>
      <c r="IC1001" s="954"/>
      <c r="ID1001" s="954"/>
      <c r="IE1001" s="954"/>
      <c r="IF1001" s="954"/>
      <c r="IG1001" s="954"/>
      <c r="IH1001" s="954"/>
      <c r="II1001" s="954"/>
      <c r="IJ1001" s="954"/>
      <c r="IK1001" s="954"/>
      <c r="IL1001" s="954"/>
      <c r="IM1001" s="954"/>
      <c r="IN1001" s="954"/>
      <c r="IO1001" s="954"/>
      <c r="IP1001" s="954"/>
      <c r="IQ1001" s="954"/>
      <c r="IR1001" s="954"/>
      <c r="IS1001" s="954"/>
      <c r="IT1001" s="954"/>
      <c r="IU1001" s="954"/>
      <c r="IV1001" s="954"/>
      <c r="IW1001" s="954"/>
      <c r="IX1001" s="954"/>
    </row>
    <row r="1002" spans="1:258" x14ac:dyDescent="0.25">
      <c r="A1002" s="125">
        <f t="shared" si="121"/>
        <v>962</v>
      </c>
      <c r="B1002" s="885"/>
      <c r="C1002" s="842" t="s">
        <v>10498</v>
      </c>
      <c r="D1002" s="924">
        <v>1709.97</v>
      </c>
      <c r="E1002" s="924">
        <f t="shared" si="123"/>
        <v>2564.9549999999999</v>
      </c>
      <c r="F1002" s="136">
        <f>(1709.97)/12</f>
        <v>142.4975</v>
      </c>
      <c r="G1002" s="122" t="s">
        <v>1963</v>
      </c>
      <c r="H1002" s="885"/>
      <c r="I1002" s="885"/>
      <c r="J1002" s="885"/>
      <c r="K1002" s="885"/>
      <c r="L1002" s="885"/>
      <c r="M1002" s="885"/>
      <c r="N1002" s="885"/>
      <c r="O1002" s="885"/>
      <c r="P1002" s="885"/>
      <c r="Q1002" s="885"/>
      <c r="R1002" s="885"/>
      <c r="S1002" s="885"/>
      <c r="T1002" s="885"/>
      <c r="U1002" s="885"/>
      <c r="V1002" s="885"/>
      <c r="W1002" s="885"/>
      <c r="X1002" s="885"/>
      <c r="Y1002" s="885"/>
      <c r="Z1002" s="885"/>
      <c r="AA1002" s="885"/>
      <c r="AB1002" s="885"/>
      <c r="AC1002" s="885"/>
      <c r="AD1002" s="885"/>
      <c r="AE1002" s="885"/>
      <c r="AF1002" s="885"/>
      <c r="AG1002" s="885"/>
      <c r="AH1002" s="885"/>
      <c r="AI1002" s="885"/>
      <c r="AJ1002" s="885"/>
      <c r="AK1002" s="885"/>
      <c r="AL1002" s="885"/>
      <c r="AM1002" s="885"/>
      <c r="AN1002" s="885"/>
      <c r="AO1002" s="885"/>
      <c r="AP1002" s="885"/>
      <c r="AQ1002" s="885"/>
      <c r="AR1002" s="885"/>
      <c r="AS1002" s="885"/>
      <c r="AT1002" s="885"/>
      <c r="AU1002" s="885"/>
      <c r="AV1002" s="885"/>
      <c r="AW1002" s="885"/>
      <c r="AX1002" s="885"/>
      <c r="AY1002" s="885"/>
      <c r="AZ1002" s="885"/>
      <c r="BA1002" s="885"/>
      <c r="BB1002" s="885"/>
      <c r="BC1002" s="885"/>
      <c r="BD1002" s="885"/>
      <c r="BE1002" s="885"/>
      <c r="BF1002" s="885"/>
      <c r="BG1002" s="885"/>
      <c r="BH1002" s="885"/>
      <c r="BI1002" s="885"/>
      <c r="BJ1002" s="885"/>
      <c r="BK1002" s="885"/>
      <c r="BL1002" s="885"/>
      <c r="BM1002" s="885"/>
      <c r="BN1002" s="885"/>
      <c r="BO1002" s="885"/>
      <c r="BP1002" s="885"/>
      <c r="BQ1002" s="885"/>
      <c r="BR1002" s="885"/>
      <c r="BS1002" s="885"/>
      <c r="BT1002" s="885"/>
      <c r="BU1002" s="885"/>
      <c r="BV1002" s="885"/>
      <c r="BW1002" s="885"/>
      <c r="BX1002" s="885"/>
      <c r="BY1002" s="885"/>
      <c r="BZ1002" s="885"/>
      <c r="CA1002" s="885"/>
      <c r="CB1002" s="885"/>
      <c r="CC1002" s="885"/>
      <c r="CD1002" s="885"/>
      <c r="CE1002" s="885"/>
      <c r="CF1002" s="885"/>
      <c r="CG1002" s="885"/>
      <c r="CH1002" s="885"/>
      <c r="CI1002" s="885"/>
      <c r="CJ1002" s="885"/>
      <c r="CK1002" s="885"/>
      <c r="CL1002" s="885"/>
      <c r="CM1002" s="885"/>
      <c r="CN1002" s="885"/>
      <c r="CO1002" s="885"/>
      <c r="CP1002" s="885"/>
      <c r="CQ1002" s="885"/>
      <c r="CR1002" s="885"/>
      <c r="CS1002" s="885"/>
      <c r="CT1002" s="885"/>
      <c r="CU1002" s="885"/>
      <c r="CV1002" s="885"/>
      <c r="CW1002" s="885"/>
      <c r="CX1002" s="885"/>
      <c r="CY1002" s="885"/>
      <c r="CZ1002" s="885"/>
      <c r="DA1002" s="885"/>
      <c r="DB1002" s="885"/>
      <c r="DC1002" s="885"/>
      <c r="DD1002" s="885"/>
      <c r="DE1002" s="885"/>
      <c r="DF1002" s="885"/>
      <c r="DG1002" s="885"/>
      <c r="DH1002" s="885"/>
      <c r="DI1002" s="885"/>
      <c r="DJ1002" s="885"/>
      <c r="DK1002" s="885"/>
      <c r="DL1002" s="885"/>
      <c r="DM1002" s="885"/>
      <c r="DN1002" s="885"/>
      <c r="DO1002" s="885"/>
      <c r="DP1002" s="885"/>
      <c r="DQ1002" s="885"/>
      <c r="DR1002" s="885"/>
      <c r="DS1002" s="885"/>
      <c r="DT1002" s="885"/>
      <c r="DU1002" s="885"/>
      <c r="DV1002" s="885"/>
      <c r="DW1002" s="885"/>
      <c r="DX1002" s="885"/>
      <c r="DY1002" s="885"/>
      <c r="DZ1002" s="885"/>
      <c r="EA1002" s="885"/>
      <c r="EB1002" s="885"/>
      <c r="EC1002" s="885"/>
      <c r="ED1002" s="885"/>
      <c r="EE1002" s="885"/>
      <c r="EF1002" s="885"/>
      <c r="EG1002" s="885"/>
      <c r="EH1002" s="885"/>
      <c r="EI1002" s="885"/>
      <c r="EJ1002" s="885"/>
      <c r="EK1002" s="885"/>
      <c r="EL1002" s="885"/>
      <c r="EM1002" s="885"/>
      <c r="EN1002" s="885"/>
      <c r="EO1002" s="885"/>
      <c r="EP1002" s="885"/>
      <c r="EQ1002" s="885"/>
      <c r="ER1002" s="885"/>
      <c r="ES1002" s="885"/>
      <c r="ET1002" s="885"/>
      <c r="EU1002" s="885"/>
      <c r="EV1002" s="885"/>
      <c r="EW1002" s="885"/>
      <c r="EX1002" s="885"/>
      <c r="EY1002" s="885"/>
      <c r="EZ1002" s="885"/>
      <c r="FA1002" s="885"/>
      <c r="FB1002" s="885"/>
      <c r="FC1002" s="885"/>
      <c r="FD1002" s="885"/>
      <c r="FE1002" s="885"/>
      <c r="FF1002" s="885"/>
      <c r="FG1002" s="885"/>
      <c r="FH1002" s="885"/>
      <c r="FI1002" s="885"/>
      <c r="FJ1002" s="885"/>
      <c r="FK1002" s="885"/>
      <c r="FL1002" s="885"/>
      <c r="FM1002" s="885"/>
      <c r="FN1002" s="885"/>
      <c r="FO1002" s="885"/>
      <c r="FP1002" s="885"/>
      <c r="FQ1002" s="885"/>
      <c r="FR1002" s="885"/>
      <c r="FS1002" s="885"/>
      <c r="FT1002" s="885"/>
      <c r="FU1002" s="885"/>
      <c r="FV1002" s="885"/>
      <c r="FW1002" s="885"/>
      <c r="FX1002" s="885"/>
      <c r="FY1002" s="885"/>
      <c r="FZ1002" s="885"/>
      <c r="GA1002" s="885"/>
      <c r="GB1002" s="885"/>
      <c r="GC1002" s="885"/>
      <c r="GD1002" s="885"/>
      <c r="GE1002" s="885"/>
      <c r="GF1002" s="885"/>
      <c r="GG1002" s="885"/>
      <c r="GH1002" s="885"/>
      <c r="GI1002" s="885"/>
      <c r="GJ1002" s="885"/>
      <c r="GK1002" s="885"/>
      <c r="GL1002" s="885"/>
      <c r="GM1002" s="885"/>
      <c r="GN1002" s="885"/>
      <c r="GO1002" s="885"/>
      <c r="GP1002" s="885"/>
      <c r="GQ1002" s="885"/>
      <c r="GR1002" s="885"/>
      <c r="GS1002" s="885"/>
      <c r="GT1002" s="885"/>
      <c r="GU1002" s="885"/>
      <c r="GV1002" s="885"/>
      <c r="GW1002" s="885"/>
      <c r="GX1002" s="885"/>
      <c r="GY1002" s="885"/>
      <c r="GZ1002" s="885"/>
      <c r="HA1002" s="885"/>
      <c r="HB1002" s="885"/>
      <c r="HC1002" s="885"/>
      <c r="HD1002" s="885"/>
      <c r="HE1002" s="885"/>
      <c r="HF1002" s="885"/>
      <c r="HG1002" s="885"/>
      <c r="HH1002" s="885"/>
      <c r="HI1002" s="885"/>
      <c r="HJ1002" s="885"/>
      <c r="HK1002" s="885"/>
      <c r="HL1002" s="885"/>
      <c r="HM1002" s="885"/>
      <c r="HN1002" s="885"/>
      <c r="HO1002" s="885"/>
      <c r="HP1002" s="885"/>
      <c r="HQ1002" s="885"/>
      <c r="HR1002" s="885"/>
      <c r="HS1002" s="885"/>
      <c r="HT1002" s="885"/>
      <c r="HU1002" s="885"/>
      <c r="HV1002" s="885"/>
      <c r="HW1002" s="885"/>
      <c r="HX1002" s="885"/>
      <c r="HY1002" s="885"/>
      <c r="HZ1002" s="885"/>
      <c r="IA1002" s="885"/>
      <c r="IB1002" s="885"/>
      <c r="IC1002" s="885"/>
      <c r="ID1002" s="885"/>
      <c r="IE1002" s="885"/>
      <c r="IF1002" s="885"/>
      <c r="IG1002" s="885"/>
      <c r="IH1002" s="885"/>
      <c r="II1002" s="885"/>
      <c r="IJ1002" s="885"/>
      <c r="IK1002" s="885"/>
      <c r="IL1002" s="885"/>
      <c r="IM1002" s="885"/>
      <c r="IN1002" s="885"/>
      <c r="IO1002" s="885"/>
      <c r="IP1002" s="885"/>
      <c r="IQ1002" s="885"/>
      <c r="IR1002" s="885"/>
      <c r="IS1002" s="885"/>
      <c r="IT1002" s="885"/>
      <c r="IU1002" s="885"/>
      <c r="IV1002" s="885"/>
      <c r="IW1002" s="885"/>
      <c r="IX1002" s="885"/>
    </row>
    <row r="1003" spans="1:258" x14ac:dyDescent="0.25">
      <c r="A1003" s="125">
        <f t="shared" si="121"/>
        <v>963</v>
      </c>
      <c r="B1003" s="885"/>
      <c r="C1003" s="842" t="s">
        <v>10497</v>
      </c>
      <c r="D1003" s="924">
        <v>0</v>
      </c>
      <c r="E1003" s="924">
        <f t="shared" si="123"/>
        <v>0</v>
      </c>
      <c r="F1003" s="136">
        <v>0</v>
      </c>
      <c r="G1003" s="122" t="s">
        <v>1963</v>
      </c>
      <c r="H1003" s="885"/>
      <c r="I1003" s="885"/>
      <c r="J1003" s="885"/>
      <c r="K1003" s="885"/>
      <c r="L1003" s="885"/>
      <c r="M1003" s="885"/>
      <c r="N1003" s="885"/>
      <c r="O1003" s="885"/>
      <c r="P1003" s="885"/>
      <c r="Q1003" s="885"/>
      <c r="R1003" s="885"/>
      <c r="S1003" s="885"/>
      <c r="T1003" s="885"/>
      <c r="U1003" s="885"/>
      <c r="V1003" s="885"/>
      <c r="W1003" s="885"/>
      <c r="X1003" s="885"/>
      <c r="Y1003" s="885"/>
      <c r="Z1003" s="885"/>
      <c r="AA1003" s="885"/>
      <c r="AB1003" s="885"/>
      <c r="AC1003" s="885"/>
      <c r="AD1003" s="885"/>
      <c r="AE1003" s="885"/>
      <c r="AF1003" s="885"/>
      <c r="AG1003" s="885"/>
      <c r="AH1003" s="885"/>
      <c r="AI1003" s="885"/>
      <c r="AJ1003" s="885"/>
      <c r="AK1003" s="885"/>
      <c r="AL1003" s="885"/>
      <c r="AM1003" s="885"/>
      <c r="AN1003" s="885"/>
      <c r="AO1003" s="885"/>
      <c r="AP1003" s="885"/>
      <c r="AQ1003" s="885"/>
      <c r="AR1003" s="885"/>
      <c r="AS1003" s="885"/>
      <c r="AT1003" s="885"/>
      <c r="AU1003" s="885"/>
      <c r="AV1003" s="885"/>
      <c r="AW1003" s="885"/>
      <c r="AX1003" s="885"/>
      <c r="AY1003" s="885"/>
      <c r="AZ1003" s="885"/>
      <c r="BA1003" s="885"/>
      <c r="BB1003" s="885"/>
      <c r="BC1003" s="885"/>
      <c r="BD1003" s="885"/>
      <c r="BE1003" s="885"/>
      <c r="BF1003" s="885"/>
      <c r="BG1003" s="885"/>
      <c r="BH1003" s="885"/>
      <c r="BI1003" s="885"/>
      <c r="BJ1003" s="885"/>
      <c r="BK1003" s="885"/>
      <c r="BL1003" s="885"/>
      <c r="BM1003" s="885"/>
      <c r="BN1003" s="885"/>
      <c r="BO1003" s="885"/>
      <c r="BP1003" s="885"/>
      <c r="BQ1003" s="885"/>
      <c r="BR1003" s="885"/>
      <c r="BS1003" s="885"/>
      <c r="BT1003" s="885"/>
      <c r="BU1003" s="885"/>
      <c r="BV1003" s="885"/>
      <c r="BW1003" s="885"/>
      <c r="BX1003" s="885"/>
      <c r="BY1003" s="885"/>
      <c r="BZ1003" s="885"/>
      <c r="CA1003" s="885"/>
      <c r="CB1003" s="885"/>
      <c r="CC1003" s="885"/>
      <c r="CD1003" s="885"/>
      <c r="CE1003" s="885"/>
      <c r="CF1003" s="885"/>
      <c r="CG1003" s="885"/>
      <c r="CH1003" s="885"/>
      <c r="CI1003" s="885"/>
      <c r="CJ1003" s="885"/>
      <c r="CK1003" s="885"/>
      <c r="CL1003" s="885"/>
      <c r="CM1003" s="885"/>
      <c r="CN1003" s="885"/>
      <c r="CO1003" s="885"/>
      <c r="CP1003" s="885"/>
      <c r="CQ1003" s="885"/>
      <c r="CR1003" s="885"/>
      <c r="CS1003" s="885"/>
      <c r="CT1003" s="885"/>
      <c r="CU1003" s="885"/>
      <c r="CV1003" s="885"/>
      <c r="CW1003" s="885"/>
      <c r="CX1003" s="885"/>
      <c r="CY1003" s="885"/>
      <c r="CZ1003" s="885"/>
      <c r="DA1003" s="885"/>
      <c r="DB1003" s="885"/>
      <c r="DC1003" s="885"/>
      <c r="DD1003" s="885"/>
      <c r="DE1003" s="885"/>
      <c r="DF1003" s="885"/>
      <c r="DG1003" s="885"/>
      <c r="DH1003" s="885"/>
      <c r="DI1003" s="885"/>
      <c r="DJ1003" s="885"/>
      <c r="DK1003" s="885"/>
      <c r="DL1003" s="885"/>
      <c r="DM1003" s="885"/>
      <c r="DN1003" s="885"/>
      <c r="DO1003" s="885"/>
      <c r="DP1003" s="885"/>
      <c r="DQ1003" s="885"/>
      <c r="DR1003" s="885"/>
      <c r="DS1003" s="885"/>
      <c r="DT1003" s="885"/>
      <c r="DU1003" s="885"/>
      <c r="DV1003" s="885"/>
      <c r="DW1003" s="885"/>
      <c r="DX1003" s="885"/>
      <c r="DY1003" s="885"/>
      <c r="DZ1003" s="885"/>
      <c r="EA1003" s="885"/>
      <c r="EB1003" s="885"/>
      <c r="EC1003" s="885"/>
      <c r="ED1003" s="885"/>
      <c r="EE1003" s="885"/>
      <c r="EF1003" s="885"/>
      <c r="EG1003" s="885"/>
      <c r="EH1003" s="885"/>
      <c r="EI1003" s="885"/>
      <c r="EJ1003" s="885"/>
      <c r="EK1003" s="885"/>
      <c r="EL1003" s="885"/>
      <c r="EM1003" s="885"/>
      <c r="EN1003" s="885"/>
      <c r="EO1003" s="885"/>
      <c r="EP1003" s="885"/>
      <c r="EQ1003" s="885"/>
      <c r="ER1003" s="885"/>
      <c r="ES1003" s="885"/>
      <c r="ET1003" s="885"/>
      <c r="EU1003" s="885"/>
      <c r="EV1003" s="885"/>
      <c r="EW1003" s="885"/>
      <c r="EX1003" s="885"/>
      <c r="EY1003" s="885"/>
      <c r="EZ1003" s="885"/>
      <c r="FA1003" s="885"/>
      <c r="FB1003" s="885"/>
      <c r="FC1003" s="885"/>
      <c r="FD1003" s="885"/>
      <c r="FE1003" s="885"/>
      <c r="FF1003" s="885"/>
      <c r="FG1003" s="885"/>
      <c r="FH1003" s="885"/>
      <c r="FI1003" s="885"/>
      <c r="FJ1003" s="885"/>
      <c r="FK1003" s="885"/>
      <c r="FL1003" s="885"/>
      <c r="FM1003" s="885"/>
      <c r="FN1003" s="885"/>
      <c r="FO1003" s="885"/>
      <c r="FP1003" s="885"/>
      <c r="FQ1003" s="885"/>
      <c r="FR1003" s="885"/>
      <c r="FS1003" s="885"/>
      <c r="FT1003" s="885"/>
      <c r="FU1003" s="885"/>
      <c r="FV1003" s="885"/>
      <c r="FW1003" s="885"/>
      <c r="FX1003" s="885"/>
      <c r="FY1003" s="885"/>
      <c r="FZ1003" s="885"/>
      <c r="GA1003" s="885"/>
      <c r="GB1003" s="885"/>
      <c r="GC1003" s="885"/>
      <c r="GD1003" s="885"/>
      <c r="GE1003" s="885"/>
      <c r="GF1003" s="885"/>
      <c r="GG1003" s="885"/>
      <c r="GH1003" s="885"/>
      <c r="GI1003" s="885"/>
      <c r="GJ1003" s="885"/>
      <c r="GK1003" s="885"/>
      <c r="GL1003" s="885"/>
      <c r="GM1003" s="885"/>
      <c r="GN1003" s="885"/>
      <c r="GO1003" s="885"/>
      <c r="GP1003" s="885"/>
      <c r="GQ1003" s="885"/>
      <c r="GR1003" s="885"/>
      <c r="GS1003" s="885"/>
      <c r="GT1003" s="885"/>
      <c r="GU1003" s="885"/>
      <c r="GV1003" s="885"/>
      <c r="GW1003" s="885"/>
      <c r="GX1003" s="885"/>
      <c r="GY1003" s="885"/>
      <c r="GZ1003" s="885"/>
      <c r="HA1003" s="885"/>
      <c r="HB1003" s="885"/>
      <c r="HC1003" s="885"/>
      <c r="HD1003" s="885"/>
      <c r="HE1003" s="885"/>
      <c r="HF1003" s="885"/>
      <c r="HG1003" s="885"/>
      <c r="HH1003" s="885"/>
      <c r="HI1003" s="885"/>
      <c r="HJ1003" s="885"/>
      <c r="HK1003" s="885"/>
      <c r="HL1003" s="885"/>
      <c r="HM1003" s="885"/>
      <c r="HN1003" s="885"/>
      <c r="HO1003" s="885"/>
      <c r="HP1003" s="885"/>
      <c r="HQ1003" s="885"/>
      <c r="HR1003" s="885"/>
      <c r="HS1003" s="885"/>
      <c r="HT1003" s="885"/>
      <c r="HU1003" s="885"/>
      <c r="HV1003" s="885"/>
      <c r="HW1003" s="885"/>
      <c r="HX1003" s="885"/>
      <c r="HY1003" s="885"/>
      <c r="HZ1003" s="885"/>
      <c r="IA1003" s="885"/>
      <c r="IB1003" s="885"/>
      <c r="IC1003" s="885"/>
      <c r="ID1003" s="885"/>
      <c r="IE1003" s="885"/>
      <c r="IF1003" s="885"/>
      <c r="IG1003" s="885"/>
      <c r="IH1003" s="885"/>
      <c r="II1003" s="885"/>
      <c r="IJ1003" s="885"/>
      <c r="IK1003" s="885"/>
      <c r="IL1003" s="885"/>
      <c r="IM1003" s="885"/>
      <c r="IN1003" s="885"/>
      <c r="IO1003" s="885"/>
      <c r="IP1003" s="885"/>
      <c r="IQ1003" s="885"/>
      <c r="IR1003" s="885"/>
      <c r="IS1003" s="885"/>
      <c r="IT1003" s="885"/>
      <c r="IU1003" s="885"/>
      <c r="IV1003" s="885"/>
      <c r="IW1003" s="885"/>
      <c r="IX1003" s="885"/>
    </row>
    <row r="1004" spans="1:258" x14ac:dyDescent="0.25">
      <c r="A1004" s="125">
        <f t="shared" si="121"/>
        <v>964</v>
      </c>
      <c r="B1004" s="885"/>
      <c r="C1004" s="842" t="s">
        <v>10496</v>
      </c>
      <c r="D1004" s="924">
        <v>0</v>
      </c>
      <c r="E1004" s="924">
        <f t="shared" si="123"/>
        <v>0</v>
      </c>
      <c r="F1004" s="136">
        <v>200</v>
      </c>
      <c r="G1004" s="122" t="s">
        <v>1963</v>
      </c>
      <c r="H1004" s="885"/>
      <c r="I1004" s="885"/>
      <c r="J1004" s="885"/>
      <c r="K1004" s="885"/>
      <c r="L1004" s="885"/>
      <c r="M1004" s="885"/>
      <c r="N1004" s="885"/>
      <c r="O1004" s="885"/>
      <c r="P1004" s="885"/>
      <c r="Q1004" s="885"/>
      <c r="R1004" s="885"/>
      <c r="S1004" s="885"/>
      <c r="T1004" s="885"/>
      <c r="U1004" s="885"/>
      <c r="V1004" s="885"/>
      <c r="W1004" s="885"/>
      <c r="X1004" s="885"/>
      <c r="Y1004" s="885"/>
      <c r="Z1004" s="885"/>
      <c r="AA1004" s="885"/>
      <c r="AB1004" s="885"/>
      <c r="AC1004" s="885"/>
      <c r="AD1004" s="885"/>
      <c r="AE1004" s="885"/>
      <c r="AF1004" s="885"/>
      <c r="AG1004" s="885"/>
      <c r="AH1004" s="885"/>
      <c r="AI1004" s="885"/>
      <c r="AJ1004" s="885"/>
      <c r="AK1004" s="885"/>
      <c r="AL1004" s="885"/>
      <c r="AM1004" s="885"/>
      <c r="AN1004" s="885"/>
      <c r="AO1004" s="885"/>
      <c r="AP1004" s="885"/>
      <c r="AQ1004" s="885"/>
      <c r="AR1004" s="885"/>
      <c r="AS1004" s="885"/>
      <c r="AT1004" s="885"/>
      <c r="AU1004" s="885"/>
      <c r="AV1004" s="885"/>
      <c r="AW1004" s="885"/>
      <c r="AX1004" s="885"/>
      <c r="AY1004" s="885"/>
      <c r="AZ1004" s="885"/>
      <c r="BA1004" s="885"/>
      <c r="BB1004" s="885"/>
      <c r="BC1004" s="885"/>
      <c r="BD1004" s="885"/>
      <c r="BE1004" s="885"/>
      <c r="BF1004" s="885"/>
      <c r="BG1004" s="885"/>
      <c r="BH1004" s="885"/>
      <c r="BI1004" s="885"/>
      <c r="BJ1004" s="885"/>
      <c r="BK1004" s="885"/>
      <c r="BL1004" s="885"/>
      <c r="BM1004" s="885"/>
      <c r="BN1004" s="885"/>
      <c r="BO1004" s="885"/>
      <c r="BP1004" s="885"/>
      <c r="BQ1004" s="885"/>
      <c r="BR1004" s="885"/>
      <c r="BS1004" s="885"/>
      <c r="BT1004" s="885"/>
      <c r="BU1004" s="885"/>
      <c r="BV1004" s="885"/>
      <c r="BW1004" s="885"/>
      <c r="BX1004" s="885"/>
      <c r="BY1004" s="885"/>
      <c r="BZ1004" s="885"/>
      <c r="CA1004" s="885"/>
      <c r="CB1004" s="885"/>
      <c r="CC1004" s="885"/>
      <c r="CD1004" s="885"/>
      <c r="CE1004" s="885"/>
      <c r="CF1004" s="885"/>
      <c r="CG1004" s="885"/>
      <c r="CH1004" s="885"/>
      <c r="CI1004" s="885"/>
      <c r="CJ1004" s="885"/>
      <c r="CK1004" s="885"/>
      <c r="CL1004" s="885"/>
      <c r="CM1004" s="885"/>
      <c r="CN1004" s="885"/>
      <c r="CO1004" s="885"/>
      <c r="CP1004" s="885"/>
      <c r="CQ1004" s="885"/>
      <c r="CR1004" s="885"/>
      <c r="CS1004" s="885"/>
      <c r="CT1004" s="885"/>
      <c r="CU1004" s="885"/>
      <c r="CV1004" s="885"/>
      <c r="CW1004" s="885"/>
      <c r="CX1004" s="885"/>
      <c r="CY1004" s="885"/>
      <c r="CZ1004" s="885"/>
      <c r="DA1004" s="885"/>
      <c r="DB1004" s="885"/>
      <c r="DC1004" s="885"/>
      <c r="DD1004" s="885"/>
      <c r="DE1004" s="885"/>
      <c r="DF1004" s="885"/>
      <c r="DG1004" s="885"/>
      <c r="DH1004" s="885"/>
      <c r="DI1004" s="885"/>
      <c r="DJ1004" s="885"/>
      <c r="DK1004" s="885"/>
      <c r="DL1004" s="885"/>
      <c r="DM1004" s="885"/>
      <c r="DN1004" s="885"/>
      <c r="DO1004" s="885"/>
      <c r="DP1004" s="885"/>
      <c r="DQ1004" s="885"/>
      <c r="DR1004" s="885"/>
      <c r="DS1004" s="885"/>
      <c r="DT1004" s="885"/>
      <c r="DU1004" s="885"/>
      <c r="DV1004" s="885"/>
      <c r="DW1004" s="885"/>
      <c r="DX1004" s="885"/>
      <c r="DY1004" s="885"/>
      <c r="DZ1004" s="885"/>
      <c r="EA1004" s="885"/>
      <c r="EB1004" s="885"/>
      <c r="EC1004" s="885"/>
      <c r="ED1004" s="885"/>
      <c r="EE1004" s="885"/>
      <c r="EF1004" s="885"/>
      <c r="EG1004" s="885"/>
      <c r="EH1004" s="885"/>
      <c r="EI1004" s="885"/>
      <c r="EJ1004" s="885"/>
      <c r="EK1004" s="885"/>
      <c r="EL1004" s="885"/>
      <c r="EM1004" s="885"/>
      <c r="EN1004" s="885"/>
      <c r="EO1004" s="885"/>
      <c r="EP1004" s="885"/>
      <c r="EQ1004" s="885"/>
      <c r="ER1004" s="885"/>
      <c r="ES1004" s="885"/>
      <c r="ET1004" s="885"/>
      <c r="EU1004" s="885"/>
      <c r="EV1004" s="885"/>
      <c r="EW1004" s="885"/>
      <c r="EX1004" s="885"/>
      <c r="EY1004" s="885"/>
      <c r="EZ1004" s="885"/>
      <c r="FA1004" s="885"/>
      <c r="FB1004" s="885"/>
      <c r="FC1004" s="885"/>
      <c r="FD1004" s="885"/>
      <c r="FE1004" s="885"/>
      <c r="FF1004" s="885"/>
      <c r="FG1004" s="885"/>
      <c r="FH1004" s="885"/>
      <c r="FI1004" s="885"/>
      <c r="FJ1004" s="885"/>
      <c r="FK1004" s="885"/>
      <c r="FL1004" s="885"/>
      <c r="FM1004" s="885"/>
      <c r="FN1004" s="885"/>
      <c r="FO1004" s="885"/>
      <c r="FP1004" s="885"/>
      <c r="FQ1004" s="885"/>
      <c r="FR1004" s="885"/>
      <c r="FS1004" s="885"/>
      <c r="FT1004" s="885"/>
      <c r="FU1004" s="885"/>
      <c r="FV1004" s="885"/>
      <c r="FW1004" s="885"/>
      <c r="FX1004" s="885"/>
      <c r="FY1004" s="885"/>
      <c r="FZ1004" s="885"/>
      <c r="GA1004" s="885"/>
      <c r="GB1004" s="885"/>
      <c r="GC1004" s="885"/>
      <c r="GD1004" s="885"/>
      <c r="GE1004" s="885"/>
      <c r="GF1004" s="885"/>
      <c r="GG1004" s="885"/>
      <c r="GH1004" s="885"/>
      <c r="GI1004" s="885"/>
      <c r="GJ1004" s="885"/>
      <c r="GK1004" s="885"/>
      <c r="GL1004" s="885"/>
      <c r="GM1004" s="885"/>
      <c r="GN1004" s="885"/>
      <c r="GO1004" s="885"/>
      <c r="GP1004" s="885"/>
      <c r="GQ1004" s="885"/>
      <c r="GR1004" s="885"/>
      <c r="GS1004" s="885"/>
      <c r="GT1004" s="885"/>
      <c r="GU1004" s="885"/>
      <c r="GV1004" s="885"/>
      <c r="GW1004" s="885"/>
      <c r="GX1004" s="885"/>
      <c r="GY1004" s="885"/>
      <c r="GZ1004" s="885"/>
      <c r="HA1004" s="885"/>
      <c r="HB1004" s="885"/>
      <c r="HC1004" s="885"/>
      <c r="HD1004" s="885"/>
      <c r="HE1004" s="885"/>
      <c r="HF1004" s="885"/>
      <c r="HG1004" s="885"/>
      <c r="HH1004" s="885"/>
      <c r="HI1004" s="885"/>
      <c r="HJ1004" s="885"/>
      <c r="HK1004" s="885"/>
      <c r="HL1004" s="885"/>
      <c r="HM1004" s="885"/>
      <c r="HN1004" s="885"/>
      <c r="HO1004" s="885"/>
      <c r="HP1004" s="885"/>
      <c r="HQ1004" s="885"/>
      <c r="HR1004" s="885"/>
      <c r="HS1004" s="885"/>
      <c r="HT1004" s="885"/>
      <c r="HU1004" s="885"/>
      <c r="HV1004" s="885"/>
      <c r="HW1004" s="885"/>
      <c r="HX1004" s="885"/>
      <c r="HY1004" s="885"/>
      <c r="HZ1004" s="885"/>
      <c r="IA1004" s="885"/>
      <c r="IB1004" s="885"/>
      <c r="IC1004" s="885"/>
      <c r="ID1004" s="885"/>
      <c r="IE1004" s="885"/>
      <c r="IF1004" s="885"/>
      <c r="IG1004" s="885"/>
      <c r="IH1004" s="885"/>
      <c r="II1004" s="885"/>
      <c r="IJ1004" s="885"/>
      <c r="IK1004" s="885"/>
      <c r="IL1004" s="885"/>
      <c r="IM1004" s="885"/>
      <c r="IN1004" s="885"/>
      <c r="IO1004" s="885"/>
      <c r="IP1004" s="885"/>
      <c r="IQ1004" s="885"/>
      <c r="IR1004" s="885"/>
      <c r="IS1004" s="885"/>
      <c r="IT1004" s="885"/>
      <c r="IU1004" s="885"/>
      <c r="IV1004" s="885"/>
      <c r="IW1004" s="885"/>
      <c r="IX1004" s="885"/>
    </row>
    <row r="1005" spans="1:258" x14ac:dyDescent="0.25">
      <c r="A1005" s="125">
        <f t="shared" si="121"/>
        <v>965</v>
      </c>
      <c r="B1005" s="885"/>
      <c r="C1005" s="842" t="s">
        <v>10495</v>
      </c>
      <c r="D1005" s="924">
        <v>0</v>
      </c>
      <c r="E1005" s="924">
        <f t="shared" si="123"/>
        <v>0</v>
      </c>
      <c r="F1005" s="136">
        <v>1000</v>
      </c>
      <c r="G1005" s="122" t="s">
        <v>1963</v>
      </c>
      <c r="H1005" s="885"/>
      <c r="I1005" s="885"/>
      <c r="J1005" s="885"/>
      <c r="K1005" s="885"/>
      <c r="L1005" s="885"/>
      <c r="M1005" s="885"/>
      <c r="N1005" s="885"/>
      <c r="O1005" s="885"/>
      <c r="P1005" s="885"/>
      <c r="Q1005" s="885"/>
      <c r="R1005" s="885"/>
      <c r="S1005" s="885"/>
      <c r="T1005" s="885"/>
      <c r="U1005" s="885"/>
      <c r="V1005" s="885"/>
      <c r="W1005" s="885"/>
      <c r="X1005" s="885"/>
      <c r="Y1005" s="885"/>
      <c r="Z1005" s="885"/>
      <c r="AA1005" s="885"/>
      <c r="AB1005" s="885"/>
      <c r="AC1005" s="885"/>
      <c r="AD1005" s="885"/>
      <c r="AE1005" s="885"/>
      <c r="AF1005" s="885"/>
      <c r="AG1005" s="885"/>
      <c r="AH1005" s="885"/>
      <c r="AI1005" s="885"/>
      <c r="AJ1005" s="885"/>
      <c r="AK1005" s="885"/>
      <c r="AL1005" s="885"/>
      <c r="AM1005" s="885"/>
      <c r="AN1005" s="885"/>
      <c r="AO1005" s="885"/>
      <c r="AP1005" s="885"/>
      <c r="AQ1005" s="885"/>
      <c r="AR1005" s="885"/>
      <c r="AS1005" s="885"/>
      <c r="AT1005" s="885"/>
      <c r="AU1005" s="885"/>
      <c r="AV1005" s="885"/>
      <c r="AW1005" s="885"/>
      <c r="AX1005" s="885"/>
      <c r="AY1005" s="885"/>
      <c r="AZ1005" s="885"/>
      <c r="BA1005" s="885"/>
      <c r="BB1005" s="885"/>
      <c r="BC1005" s="885"/>
      <c r="BD1005" s="885"/>
      <c r="BE1005" s="885"/>
      <c r="BF1005" s="885"/>
      <c r="BG1005" s="885"/>
      <c r="BH1005" s="885"/>
      <c r="BI1005" s="885"/>
      <c r="BJ1005" s="885"/>
      <c r="BK1005" s="885"/>
      <c r="BL1005" s="885"/>
      <c r="BM1005" s="885"/>
      <c r="BN1005" s="885"/>
      <c r="BO1005" s="885"/>
      <c r="BP1005" s="885"/>
      <c r="BQ1005" s="885"/>
      <c r="BR1005" s="885"/>
      <c r="BS1005" s="885"/>
      <c r="BT1005" s="885"/>
      <c r="BU1005" s="885"/>
      <c r="BV1005" s="885"/>
      <c r="BW1005" s="885"/>
      <c r="BX1005" s="885"/>
      <c r="BY1005" s="885"/>
      <c r="BZ1005" s="885"/>
      <c r="CA1005" s="885"/>
      <c r="CB1005" s="885"/>
      <c r="CC1005" s="885"/>
      <c r="CD1005" s="885"/>
      <c r="CE1005" s="885"/>
      <c r="CF1005" s="885"/>
      <c r="CG1005" s="885"/>
      <c r="CH1005" s="885"/>
      <c r="CI1005" s="885"/>
      <c r="CJ1005" s="885"/>
      <c r="CK1005" s="885"/>
      <c r="CL1005" s="885"/>
      <c r="CM1005" s="885"/>
      <c r="CN1005" s="885"/>
      <c r="CO1005" s="885"/>
      <c r="CP1005" s="885"/>
      <c r="CQ1005" s="885"/>
      <c r="CR1005" s="885"/>
      <c r="CS1005" s="885"/>
      <c r="CT1005" s="885"/>
      <c r="CU1005" s="885"/>
      <c r="CV1005" s="885"/>
      <c r="CW1005" s="885"/>
      <c r="CX1005" s="885"/>
      <c r="CY1005" s="885"/>
      <c r="CZ1005" s="885"/>
      <c r="DA1005" s="885"/>
      <c r="DB1005" s="885"/>
      <c r="DC1005" s="885"/>
      <c r="DD1005" s="885"/>
      <c r="DE1005" s="885"/>
      <c r="DF1005" s="885"/>
      <c r="DG1005" s="885"/>
      <c r="DH1005" s="885"/>
      <c r="DI1005" s="885"/>
      <c r="DJ1005" s="885"/>
      <c r="DK1005" s="885"/>
      <c r="DL1005" s="885"/>
      <c r="DM1005" s="885"/>
      <c r="DN1005" s="885"/>
      <c r="DO1005" s="885"/>
      <c r="DP1005" s="885"/>
      <c r="DQ1005" s="885"/>
      <c r="DR1005" s="885"/>
      <c r="DS1005" s="885"/>
      <c r="DT1005" s="885"/>
      <c r="DU1005" s="885"/>
      <c r="DV1005" s="885"/>
      <c r="DW1005" s="885"/>
      <c r="DX1005" s="885"/>
      <c r="DY1005" s="885"/>
      <c r="DZ1005" s="885"/>
      <c r="EA1005" s="885"/>
      <c r="EB1005" s="885"/>
      <c r="EC1005" s="885"/>
      <c r="ED1005" s="885"/>
      <c r="EE1005" s="885"/>
      <c r="EF1005" s="885"/>
      <c r="EG1005" s="885"/>
      <c r="EH1005" s="885"/>
      <c r="EI1005" s="885"/>
      <c r="EJ1005" s="885"/>
      <c r="EK1005" s="885"/>
      <c r="EL1005" s="885"/>
      <c r="EM1005" s="885"/>
      <c r="EN1005" s="885"/>
      <c r="EO1005" s="885"/>
      <c r="EP1005" s="885"/>
      <c r="EQ1005" s="885"/>
      <c r="ER1005" s="885"/>
      <c r="ES1005" s="885"/>
      <c r="ET1005" s="885"/>
      <c r="EU1005" s="885"/>
      <c r="EV1005" s="885"/>
      <c r="EW1005" s="885"/>
      <c r="EX1005" s="885"/>
      <c r="EY1005" s="885"/>
      <c r="EZ1005" s="885"/>
      <c r="FA1005" s="885"/>
      <c r="FB1005" s="885"/>
      <c r="FC1005" s="885"/>
      <c r="FD1005" s="885"/>
      <c r="FE1005" s="885"/>
      <c r="FF1005" s="885"/>
      <c r="FG1005" s="885"/>
      <c r="FH1005" s="885"/>
      <c r="FI1005" s="885"/>
      <c r="FJ1005" s="885"/>
      <c r="FK1005" s="885"/>
      <c r="FL1005" s="885"/>
      <c r="FM1005" s="885"/>
      <c r="FN1005" s="885"/>
      <c r="FO1005" s="885"/>
      <c r="FP1005" s="885"/>
      <c r="FQ1005" s="885"/>
      <c r="FR1005" s="885"/>
      <c r="FS1005" s="885"/>
      <c r="FT1005" s="885"/>
      <c r="FU1005" s="885"/>
      <c r="FV1005" s="885"/>
      <c r="FW1005" s="885"/>
      <c r="FX1005" s="885"/>
      <c r="FY1005" s="885"/>
      <c r="FZ1005" s="885"/>
      <c r="GA1005" s="885"/>
      <c r="GB1005" s="885"/>
      <c r="GC1005" s="885"/>
      <c r="GD1005" s="885"/>
      <c r="GE1005" s="885"/>
      <c r="GF1005" s="885"/>
      <c r="GG1005" s="885"/>
      <c r="GH1005" s="885"/>
      <c r="GI1005" s="885"/>
      <c r="GJ1005" s="885"/>
      <c r="GK1005" s="885"/>
      <c r="GL1005" s="885"/>
      <c r="GM1005" s="885"/>
      <c r="GN1005" s="885"/>
      <c r="GO1005" s="885"/>
      <c r="GP1005" s="885"/>
      <c r="GQ1005" s="885"/>
      <c r="GR1005" s="885"/>
      <c r="GS1005" s="885"/>
      <c r="GT1005" s="885"/>
      <c r="GU1005" s="885"/>
      <c r="GV1005" s="885"/>
      <c r="GW1005" s="885"/>
      <c r="GX1005" s="885"/>
      <c r="GY1005" s="885"/>
      <c r="GZ1005" s="885"/>
      <c r="HA1005" s="885"/>
      <c r="HB1005" s="885"/>
      <c r="HC1005" s="885"/>
      <c r="HD1005" s="885"/>
      <c r="HE1005" s="885"/>
      <c r="HF1005" s="885"/>
      <c r="HG1005" s="885"/>
      <c r="HH1005" s="885"/>
      <c r="HI1005" s="885"/>
      <c r="HJ1005" s="885"/>
      <c r="HK1005" s="885"/>
      <c r="HL1005" s="885"/>
      <c r="HM1005" s="885"/>
      <c r="HN1005" s="885"/>
      <c r="HO1005" s="885"/>
      <c r="HP1005" s="885"/>
      <c r="HQ1005" s="885"/>
      <c r="HR1005" s="885"/>
      <c r="HS1005" s="885"/>
      <c r="HT1005" s="885"/>
      <c r="HU1005" s="885"/>
      <c r="HV1005" s="885"/>
      <c r="HW1005" s="885"/>
      <c r="HX1005" s="885"/>
      <c r="HY1005" s="885"/>
      <c r="HZ1005" s="885"/>
      <c r="IA1005" s="885"/>
      <c r="IB1005" s="885"/>
      <c r="IC1005" s="885"/>
      <c r="ID1005" s="885"/>
      <c r="IE1005" s="885"/>
      <c r="IF1005" s="885"/>
      <c r="IG1005" s="885"/>
      <c r="IH1005" s="885"/>
      <c r="II1005" s="885"/>
      <c r="IJ1005" s="885"/>
      <c r="IK1005" s="885"/>
      <c r="IL1005" s="885"/>
      <c r="IM1005" s="885"/>
      <c r="IN1005" s="885"/>
      <c r="IO1005" s="885"/>
      <c r="IP1005" s="885"/>
      <c r="IQ1005" s="885"/>
      <c r="IR1005" s="885"/>
      <c r="IS1005" s="885"/>
      <c r="IT1005" s="885"/>
      <c r="IU1005" s="885"/>
      <c r="IV1005" s="885"/>
      <c r="IW1005" s="885"/>
      <c r="IX1005" s="885"/>
    </row>
    <row r="1006" spans="1:258" x14ac:dyDescent="0.25">
      <c r="A1006" s="125">
        <f t="shared" si="121"/>
        <v>966</v>
      </c>
      <c r="B1006" s="885"/>
      <c r="C1006" s="134" t="s">
        <v>10506</v>
      </c>
      <c r="D1006" s="924">
        <v>0</v>
      </c>
      <c r="E1006" s="924">
        <f t="shared" si="123"/>
        <v>0</v>
      </c>
      <c r="F1006" s="136">
        <v>2500</v>
      </c>
      <c r="G1006" s="122" t="s">
        <v>1963</v>
      </c>
      <c r="H1006" s="885"/>
      <c r="I1006" s="885"/>
      <c r="J1006" s="885"/>
      <c r="K1006" s="885"/>
      <c r="L1006" s="885"/>
      <c r="M1006" s="885"/>
      <c r="N1006" s="885"/>
      <c r="O1006" s="885"/>
      <c r="P1006" s="885"/>
      <c r="Q1006" s="885"/>
      <c r="R1006" s="885"/>
      <c r="S1006" s="885"/>
      <c r="T1006" s="885"/>
      <c r="U1006" s="885"/>
      <c r="V1006" s="885"/>
      <c r="W1006" s="885"/>
      <c r="X1006" s="885"/>
      <c r="Y1006" s="885"/>
      <c r="Z1006" s="885"/>
      <c r="AA1006" s="885"/>
      <c r="AB1006" s="885"/>
      <c r="AC1006" s="885"/>
      <c r="AD1006" s="885"/>
      <c r="AE1006" s="885"/>
      <c r="AF1006" s="885"/>
      <c r="AG1006" s="885"/>
      <c r="AH1006" s="885"/>
      <c r="AI1006" s="885"/>
      <c r="AJ1006" s="885"/>
      <c r="AK1006" s="885"/>
      <c r="AL1006" s="885"/>
      <c r="AM1006" s="885"/>
      <c r="AN1006" s="885"/>
      <c r="AO1006" s="885"/>
      <c r="AP1006" s="885"/>
      <c r="AQ1006" s="885"/>
      <c r="AR1006" s="885"/>
      <c r="AS1006" s="885"/>
      <c r="AT1006" s="885"/>
      <c r="AU1006" s="885"/>
      <c r="AV1006" s="885"/>
      <c r="AW1006" s="885"/>
      <c r="AX1006" s="885"/>
      <c r="AY1006" s="885"/>
      <c r="AZ1006" s="885"/>
      <c r="BA1006" s="885"/>
      <c r="BB1006" s="885"/>
      <c r="BC1006" s="885"/>
      <c r="BD1006" s="885"/>
      <c r="BE1006" s="885"/>
      <c r="BF1006" s="885"/>
      <c r="BG1006" s="885"/>
      <c r="BH1006" s="885"/>
      <c r="BI1006" s="885"/>
      <c r="BJ1006" s="885"/>
      <c r="BK1006" s="885"/>
      <c r="BL1006" s="885"/>
      <c r="BM1006" s="885"/>
      <c r="BN1006" s="885"/>
      <c r="BO1006" s="885"/>
      <c r="BP1006" s="885"/>
      <c r="BQ1006" s="885"/>
      <c r="BR1006" s="885"/>
      <c r="BS1006" s="885"/>
      <c r="BT1006" s="885"/>
      <c r="BU1006" s="885"/>
      <c r="BV1006" s="885"/>
      <c r="BW1006" s="885"/>
      <c r="BX1006" s="885"/>
      <c r="BY1006" s="885"/>
      <c r="BZ1006" s="885"/>
      <c r="CA1006" s="885"/>
      <c r="CB1006" s="885"/>
      <c r="CC1006" s="885"/>
      <c r="CD1006" s="885"/>
      <c r="CE1006" s="885"/>
      <c r="CF1006" s="885"/>
      <c r="CG1006" s="885"/>
      <c r="CH1006" s="885"/>
      <c r="CI1006" s="885"/>
      <c r="CJ1006" s="885"/>
      <c r="CK1006" s="885"/>
      <c r="CL1006" s="885"/>
      <c r="CM1006" s="885"/>
      <c r="CN1006" s="885"/>
      <c r="CO1006" s="885"/>
      <c r="CP1006" s="885"/>
      <c r="CQ1006" s="885"/>
      <c r="CR1006" s="885"/>
      <c r="CS1006" s="885"/>
      <c r="CT1006" s="885"/>
      <c r="CU1006" s="885"/>
      <c r="CV1006" s="885"/>
      <c r="CW1006" s="885"/>
      <c r="CX1006" s="885"/>
      <c r="CY1006" s="885"/>
      <c r="CZ1006" s="885"/>
      <c r="DA1006" s="885"/>
      <c r="DB1006" s="885"/>
      <c r="DC1006" s="885"/>
      <c r="DD1006" s="885"/>
      <c r="DE1006" s="885"/>
      <c r="DF1006" s="885"/>
      <c r="DG1006" s="885"/>
      <c r="DH1006" s="885"/>
      <c r="DI1006" s="885"/>
      <c r="DJ1006" s="885"/>
      <c r="DK1006" s="885"/>
      <c r="DL1006" s="885"/>
      <c r="DM1006" s="885"/>
      <c r="DN1006" s="885"/>
      <c r="DO1006" s="885"/>
      <c r="DP1006" s="885"/>
      <c r="DQ1006" s="885"/>
      <c r="DR1006" s="885"/>
      <c r="DS1006" s="885"/>
      <c r="DT1006" s="885"/>
      <c r="DU1006" s="885"/>
      <c r="DV1006" s="885"/>
      <c r="DW1006" s="885"/>
      <c r="DX1006" s="885"/>
      <c r="DY1006" s="885"/>
      <c r="DZ1006" s="885"/>
      <c r="EA1006" s="885"/>
      <c r="EB1006" s="885"/>
      <c r="EC1006" s="885"/>
      <c r="ED1006" s="885"/>
      <c r="EE1006" s="885"/>
      <c r="EF1006" s="885"/>
      <c r="EG1006" s="885"/>
      <c r="EH1006" s="885"/>
      <c r="EI1006" s="885"/>
      <c r="EJ1006" s="885"/>
      <c r="EK1006" s="885"/>
      <c r="EL1006" s="885"/>
      <c r="EM1006" s="885"/>
      <c r="EN1006" s="885"/>
      <c r="EO1006" s="885"/>
      <c r="EP1006" s="885"/>
      <c r="EQ1006" s="885"/>
      <c r="ER1006" s="885"/>
      <c r="ES1006" s="885"/>
      <c r="ET1006" s="885"/>
      <c r="EU1006" s="885"/>
      <c r="EV1006" s="885"/>
      <c r="EW1006" s="885"/>
      <c r="EX1006" s="885"/>
      <c r="EY1006" s="885"/>
      <c r="EZ1006" s="885"/>
      <c r="FA1006" s="885"/>
      <c r="FB1006" s="885"/>
      <c r="FC1006" s="885"/>
      <c r="FD1006" s="885"/>
      <c r="FE1006" s="885"/>
      <c r="FF1006" s="885"/>
      <c r="FG1006" s="885"/>
      <c r="FH1006" s="885"/>
      <c r="FI1006" s="885"/>
      <c r="FJ1006" s="885"/>
      <c r="FK1006" s="885"/>
      <c r="FL1006" s="885"/>
      <c r="FM1006" s="885"/>
      <c r="FN1006" s="885"/>
      <c r="FO1006" s="885"/>
      <c r="FP1006" s="885"/>
      <c r="FQ1006" s="885"/>
      <c r="FR1006" s="885"/>
      <c r="FS1006" s="885"/>
      <c r="FT1006" s="885"/>
      <c r="FU1006" s="885"/>
      <c r="FV1006" s="885"/>
      <c r="FW1006" s="885"/>
      <c r="FX1006" s="885"/>
      <c r="FY1006" s="885"/>
      <c r="FZ1006" s="885"/>
      <c r="GA1006" s="885"/>
      <c r="GB1006" s="885"/>
      <c r="GC1006" s="885"/>
      <c r="GD1006" s="885"/>
      <c r="GE1006" s="885"/>
      <c r="GF1006" s="885"/>
      <c r="GG1006" s="885"/>
      <c r="GH1006" s="885"/>
      <c r="GI1006" s="885"/>
      <c r="GJ1006" s="885"/>
      <c r="GK1006" s="885"/>
      <c r="GL1006" s="885"/>
      <c r="GM1006" s="885"/>
      <c r="GN1006" s="885"/>
      <c r="GO1006" s="885"/>
      <c r="GP1006" s="885"/>
      <c r="GQ1006" s="885"/>
      <c r="GR1006" s="885"/>
      <c r="GS1006" s="885"/>
      <c r="GT1006" s="885"/>
      <c r="GU1006" s="885"/>
      <c r="GV1006" s="885"/>
      <c r="GW1006" s="885"/>
      <c r="GX1006" s="885"/>
      <c r="GY1006" s="885"/>
      <c r="GZ1006" s="885"/>
      <c r="HA1006" s="885"/>
      <c r="HB1006" s="885"/>
      <c r="HC1006" s="885"/>
      <c r="HD1006" s="885"/>
      <c r="HE1006" s="885"/>
      <c r="HF1006" s="885"/>
      <c r="HG1006" s="885"/>
      <c r="HH1006" s="885"/>
      <c r="HI1006" s="885"/>
      <c r="HJ1006" s="885"/>
      <c r="HK1006" s="885"/>
      <c r="HL1006" s="885"/>
      <c r="HM1006" s="885"/>
      <c r="HN1006" s="885"/>
      <c r="HO1006" s="885"/>
      <c r="HP1006" s="885"/>
      <c r="HQ1006" s="885"/>
      <c r="HR1006" s="885"/>
      <c r="HS1006" s="885"/>
      <c r="HT1006" s="885"/>
      <c r="HU1006" s="885"/>
      <c r="HV1006" s="885"/>
      <c r="HW1006" s="885"/>
      <c r="HX1006" s="885"/>
      <c r="HY1006" s="885"/>
      <c r="HZ1006" s="885"/>
      <c r="IA1006" s="885"/>
      <c r="IB1006" s="885"/>
      <c r="IC1006" s="885"/>
      <c r="ID1006" s="885"/>
      <c r="IE1006" s="885"/>
      <c r="IF1006" s="885"/>
      <c r="IG1006" s="885"/>
      <c r="IH1006" s="885"/>
      <c r="II1006" s="885"/>
      <c r="IJ1006" s="885"/>
      <c r="IK1006" s="885"/>
      <c r="IL1006" s="885"/>
      <c r="IM1006" s="885"/>
      <c r="IN1006" s="885"/>
      <c r="IO1006" s="885"/>
      <c r="IP1006" s="885"/>
      <c r="IQ1006" s="885"/>
      <c r="IR1006" s="885"/>
      <c r="IS1006" s="885"/>
      <c r="IT1006" s="885"/>
      <c r="IU1006" s="885"/>
      <c r="IV1006" s="885"/>
      <c r="IW1006" s="885"/>
      <c r="IX1006" s="885"/>
    </row>
    <row r="1007" spans="1:258" x14ac:dyDescent="0.25">
      <c r="A1007" s="125">
        <f t="shared" si="121"/>
        <v>967</v>
      </c>
      <c r="B1007" s="885"/>
      <c r="C1007" s="232" t="s">
        <v>10588</v>
      </c>
      <c r="D1007" s="915"/>
      <c r="E1007" s="915"/>
      <c r="F1007" s="129"/>
      <c r="H1007" s="885"/>
      <c r="I1007" s="885"/>
      <c r="J1007" s="885"/>
      <c r="K1007" s="885"/>
      <c r="L1007" s="885"/>
      <c r="M1007" s="885"/>
      <c r="N1007" s="885"/>
      <c r="O1007" s="885"/>
      <c r="P1007" s="885"/>
      <c r="Q1007" s="885"/>
      <c r="R1007" s="885"/>
      <c r="S1007" s="885"/>
      <c r="T1007" s="885"/>
      <c r="U1007" s="885"/>
      <c r="V1007" s="885"/>
      <c r="W1007" s="885"/>
      <c r="X1007" s="885"/>
      <c r="Y1007" s="885"/>
      <c r="Z1007" s="885"/>
      <c r="AA1007" s="885"/>
      <c r="AB1007" s="885"/>
      <c r="AC1007" s="885"/>
      <c r="AD1007" s="885"/>
      <c r="AE1007" s="885"/>
      <c r="AF1007" s="885"/>
      <c r="AG1007" s="885"/>
      <c r="AH1007" s="885"/>
      <c r="AI1007" s="885"/>
      <c r="AJ1007" s="885"/>
      <c r="AK1007" s="885"/>
      <c r="AL1007" s="885"/>
      <c r="AM1007" s="885"/>
      <c r="AN1007" s="885"/>
      <c r="AO1007" s="885"/>
      <c r="AP1007" s="885"/>
      <c r="AQ1007" s="885"/>
      <c r="AR1007" s="885"/>
      <c r="AS1007" s="885"/>
      <c r="AT1007" s="885"/>
      <c r="AU1007" s="885"/>
      <c r="AV1007" s="885"/>
      <c r="AW1007" s="885"/>
      <c r="AX1007" s="885"/>
      <c r="AY1007" s="885"/>
      <c r="AZ1007" s="885"/>
      <c r="BA1007" s="885"/>
      <c r="BB1007" s="885"/>
      <c r="BC1007" s="885"/>
      <c r="BD1007" s="885"/>
      <c r="BE1007" s="885"/>
      <c r="BF1007" s="885"/>
      <c r="BG1007" s="885"/>
      <c r="BH1007" s="885"/>
      <c r="BI1007" s="885"/>
      <c r="BJ1007" s="885"/>
      <c r="BK1007" s="885"/>
      <c r="BL1007" s="885"/>
      <c r="BM1007" s="885"/>
      <c r="BN1007" s="885"/>
      <c r="BO1007" s="885"/>
      <c r="BP1007" s="885"/>
      <c r="BQ1007" s="885"/>
      <c r="BR1007" s="885"/>
      <c r="BS1007" s="885"/>
      <c r="BT1007" s="885"/>
      <c r="BU1007" s="885"/>
      <c r="BV1007" s="885"/>
      <c r="BW1007" s="885"/>
      <c r="BX1007" s="885"/>
      <c r="BY1007" s="885"/>
      <c r="BZ1007" s="885"/>
      <c r="CA1007" s="885"/>
      <c r="CB1007" s="885"/>
      <c r="CC1007" s="885"/>
      <c r="CD1007" s="885"/>
      <c r="CE1007" s="885"/>
      <c r="CF1007" s="885"/>
      <c r="CG1007" s="885"/>
      <c r="CH1007" s="885"/>
      <c r="CI1007" s="885"/>
      <c r="CJ1007" s="885"/>
      <c r="CK1007" s="885"/>
      <c r="CL1007" s="885"/>
      <c r="CM1007" s="885"/>
      <c r="CN1007" s="885"/>
      <c r="CO1007" s="885"/>
      <c r="CP1007" s="885"/>
      <c r="CQ1007" s="885"/>
      <c r="CR1007" s="885"/>
      <c r="CS1007" s="885"/>
      <c r="CT1007" s="885"/>
      <c r="CU1007" s="885"/>
      <c r="CV1007" s="885"/>
      <c r="CW1007" s="885"/>
      <c r="CX1007" s="885"/>
      <c r="CY1007" s="885"/>
      <c r="CZ1007" s="885"/>
      <c r="DA1007" s="885"/>
      <c r="DB1007" s="885"/>
      <c r="DC1007" s="885"/>
      <c r="DD1007" s="885"/>
      <c r="DE1007" s="885"/>
      <c r="DF1007" s="885"/>
      <c r="DG1007" s="885"/>
      <c r="DH1007" s="885"/>
      <c r="DI1007" s="885"/>
      <c r="DJ1007" s="885"/>
      <c r="DK1007" s="885"/>
      <c r="DL1007" s="885"/>
      <c r="DM1007" s="885"/>
      <c r="DN1007" s="885"/>
      <c r="DO1007" s="885"/>
      <c r="DP1007" s="885"/>
      <c r="DQ1007" s="885"/>
      <c r="DR1007" s="885"/>
      <c r="DS1007" s="885"/>
      <c r="DT1007" s="885"/>
      <c r="DU1007" s="885"/>
      <c r="DV1007" s="885"/>
      <c r="DW1007" s="885"/>
      <c r="DX1007" s="885"/>
      <c r="DY1007" s="885"/>
      <c r="DZ1007" s="885"/>
      <c r="EA1007" s="885"/>
      <c r="EB1007" s="885"/>
      <c r="EC1007" s="885"/>
      <c r="ED1007" s="885"/>
      <c r="EE1007" s="885"/>
      <c r="EF1007" s="885"/>
      <c r="EG1007" s="885"/>
      <c r="EH1007" s="885"/>
      <c r="EI1007" s="885"/>
      <c r="EJ1007" s="885"/>
      <c r="EK1007" s="885"/>
      <c r="EL1007" s="885"/>
      <c r="EM1007" s="885"/>
      <c r="EN1007" s="885"/>
      <c r="EO1007" s="885"/>
      <c r="EP1007" s="885"/>
      <c r="EQ1007" s="885"/>
      <c r="ER1007" s="885"/>
      <c r="ES1007" s="885"/>
      <c r="ET1007" s="885"/>
      <c r="EU1007" s="885"/>
      <c r="EV1007" s="885"/>
      <c r="EW1007" s="885"/>
      <c r="EX1007" s="885"/>
      <c r="EY1007" s="885"/>
      <c r="EZ1007" s="885"/>
      <c r="FA1007" s="885"/>
      <c r="FB1007" s="885"/>
      <c r="FC1007" s="885"/>
      <c r="FD1007" s="885"/>
      <c r="FE1007" s="885"/>
      <c r="FF1007" s="885"/>
      <c r="FG1007" s="885"/>
      <c r="FH1007" s="885"/>
      <c r="FI1007" s="885"/>
      <c r="FJ1007" s="885"/>
      <c r="FK1007" s="885"/>
      <c r="FL1007" s="885"/>
      <c r="FM1007" s="885"/>
      <c r="FN1007" s="885"/>
      <c r="FO1007" s="885"/>
      <c r="FP1007" s="885"/>
      <c r="FQ1007" s="885"/>
      <c r="FR1007" s="885"/>
      <c r="FS1007" s="885"/>
      <c r="FT1007" s="885"/>
      <c r="FU1007" s="885"/>
      <c r="FV1007" s="885"/>
      <c r="FW1007" s="885"/>
      <c r="FX1007" s="885"/>
      <c r="FY1007" s="885"/>
      <c r="FZ1007" s="885"/>
      <c r="GA1007" s="885"/>
      <c r="GB1007" s="885"/>
      <c r="GC1007" s="885"/>
      <c r="GD1007" s="885"/>
      <c r="GE1007" s="885"/>
      <c r="GF1007" s="885"/>
      <c r="GG1007" s="885"/>
      <c r="GH1007" s="885"/>
      <c r="GI1007" s="885"/>
      <c r="GJ1007" s="885"/>
      <c r="GK1007" s="885"/>
      <c r="GL1007" s="885"/>
      <c r="GM1007" s="885"/>
      <c r="GN1007" s="885"/>
      <c r="GO1007" s="885"/>
      <c r="GP1007" s="885"/>
      <c r="GQ1007" s="885"/>
      <c r="GR1007" s="885"/>
      <c r="GS1007" s="885"/>
      <c r="GT1007" s="885"/>
      <c r="GU1007" s="885"/>
      <c r="GV1007" s="885"/>
      <c r="GW1007" s="885"/>
      <c r="GX1007" s="885"/>
      <c r="GY1007" s="885"/>
      <c r="GZ1007" s="885"/>
      <c r="HA1007" s="885"/>
      <c r="HB1007" s="885"/>
      <c r="HC1007" s="885"/>
      <c r="HD1007" s="885"/>
      <c r="HE1007" s="885"/>
      <c r="HF1007" s="885"/>
      <c r="HG1007" s="885"/>
      <c r="HH1007" s="885"/>
      <c r="HI1007" s="885"/>
      <c r="HJ1007" s="885"/>
      <c r="HK1007" s="885"/>
      <c r="HL1007" s="885"/>
      <c r="HM1007" s="885"/>
      <c r="HN1007" s="885"/>
      <c r="HO1007" s="885"/>
      <c r="HP1007" s="885"/>
      <c r="HQ1007" s="885"/>
      <c r="HR1007" s="885"/>
      <c r="HS1007" s="885"/>
      <c r="HT1007" s="885"/>
      <c r="HU1007" s="885"/>
      <c r="HV1007" s="885"/>
      <c r="HW1007" s="885"/>
      <c r="HX1007" s="885"/>
      <c r="HY1007" s="885"/>
      <c r="HZ1007" s="885"/>
      <c r="IA1007" s="885"/>
      <c r="IB1007" s="885"/>
      <c r="IC1007" s="885"/>
      <c r="ID1007" s="885"/>
      <c r="IE1007" s="885"/>
      <c r="IF1007" s="885"/>
      <c r="IG1007" s="885"/>
      <c r="IH1007" s="885"/>
      <c r="II1007" s="885"/>
      <c r="IJ1007" s="885"/>
      <c r="IK1007" s="885"/>
      <c r="IL1007" s="885"/>
      <c r="IM1007" s="885"/>
      <c r="IN1007" s="885"/>
      <c r="IO1007" s="885"/>
      <c r="IP1007" s="885"/>
      <c r="IQ1007" s="885"/>
      <c r="IR1007" s="885"/>
      <c r="IS1007" s="885"/>
      <c r="IT1007" s="885"/>
      <c r="IU1007" s="885"/>
      <c r="IV1007" s="885"/>
      <c r="IW1007" s="885"/>
      <c r="IX1007" s="885"/>
    </row>
    <row r="1008" spans="1:258" x14ac:dyDescent="0.25">
      <c r="A1008" s="125">
        <f t="shared" si="121"/>
        <v>968</v>
      </c>
      <c r="B1008" s="885"/>
      <c r="C1008" s="842" t="s">
        <v>10505</v>
      </c>
      <c r="D1008" s="924">
        <v>1077.3</v>
      </c>
      <c r="E1008" s="924">
        <f>D1008/6*13.33</f>
        <v>2393.4014999999999</v>
      </c>
      <c r="F1008" s="136">
        <f>E1008/6</f>
        <v>398.90024999999997</v>
      </c>
      <c r="G1008" s="122" t="s">
        <v>1963</v>
      </c>
      <c r="H1008" s="885"/>
      <c r="I1008" s="885"/>
      <c r="J1008" s="885"/>
      <c r="K1008" s="885"/>
      <c r="L1008" s="885"/>
      <c r="M1008" s="885"/>
      <c r="N1008" s="885"/>
      <c r="O1008" s="885"/>
      <c r="P1008" s="885"/>
      <c r="Q1008" s="885"/>
      <c r="R1008" s="885"/>
      <c r="S1008" s="885"/>
      <c r="T1008" s="885"/>
      <c r="U1008" s="885"/>
      <c r="V1008" s="885"/>
      <c r="W1008" s="885"/>
      <c r="X1008" s="885"/>
      <c r="Y1008" s="885"/>
      <c r="Z1008" s="885"/>
      <c r="AA1008" s="885"/>
      <c r="AB1008" s="885"/>
      <c r="AC1008" s="885"/>
      <c r="AD1008" s="885"/>
      <c r="AE1008" s="885"/>
      <c r="AF1008" s="885"/>
      <c r="AG1008" s="885"/>
      <c r="AH1008" s="885"/>
      <c r="AI1008" s="885"/>
      <c r="AJ1008" s="885"/>
      <c r="AK1008" s="885"/>
      <c r="AL1008" s="885"/>
      <c r="AM1008" s="885"/>
      <c r="AN1008" s="885"/>
      <c r="AO1008" s="885"/>
      <c r="AP1008" s="885"/>
      <c r="AQ1008" s="885"/>
      <c r="AR1008" s="885"/>
      <c r="AS1008" s="885"/>
      <c r="AT1008" s="885"/>
      <c r="AU1008" s="885"/>
      <c r="AV1008" s="885"/>
      <c r="AW1008" s="885"/>
      <c r="AX1008" s="885"/>
      <c r="AY1008" s="885"/>
      <c r="AZ1008" s="885"/>
      <c r="BA1008" s="885"/>
      <c r="BB1008" s="885"/>
      <c r="BC1008" s="885"/>
      <c r="BD1008" s="885"/>
      <c r="BE1008" s="885"/>
      <c r="BF1008" s="885"/>
      <c r="BG1008" s="885"/>
      <c r="BH1008" s="885"/>
      <c r="BI1008" s="885"/>
      <c r="BJ1008" s="885"/>
      <c r="BK1008" s="885"/>
      <c r="BL1008" s="885"/>
      <c r="BM1008" s="885"/>
      <c r="BN1008" s="885"/>
      <c r="BO1008" s="885"/>
      <c r="BP1008" s="885"/>
      <c r="BQ1008" s="885"/>
      <c r="BR1008" s="885"/>
      <c r="BS1008" s="885"/>
      <c r="BT1008" s="885"/>
      <c r="BU1008" s="885"/>
      <c r="BV1008" s="885"/>
      <c r="BW1008" s="885"/>
      <c r="BX1008" s="885"/>
      <c r="BY1008" s="885"/>
      <c r="BZ1008" s="885"/>
      <c r="CA1008" s="885"/>
      <c r="CB1008" s="885"/>
      <c r="CC1008" s="885"/>
      <c r="CD1008" s="885"/>
      <c r="CE1008" s="885"/>
      <c r="CF1008" s="885"/>
      <c r="CG1008" s="885"/>
      <c r="CH1008" s="885"/>
      <c r="CI1008" s="885"/>
      <c r="CJ1008" s="885"/>
      <c r="CK1008" s="885"/>
      <c r="CL1008" s="885"/>
      <c r="CM1008" s="885"/>
      <c r="CN1008" s="885"/>
      <c r="CO1008" s="885"/>
      <c r="CP1008" s="885"/>
      <c r="CQ1008" s="885"/>
      <c r="CR1008" s="885"/>
      <c r="CS1008" s="885"/>
      <c r="CT1008" s="885"/>
      <c r="CU1008" s="885"/>
      <c r="CV1008" s="885"/>
      <c r="CW1008" s="885"/>
      <c r="CX1008" s="885"/>
      <c r="CY1008" s="885"/>
      <c r="CZ1008" s="885"/>
      <c r="DA1008" s="885"/>
      <c r="DB1008" s="885"/>
      <c r="DC1008" s="885"/>
      <c r="DD1008" s="885"/>
      <c r="DE1008" s="885"/>
      <c r="DF1008" s="885"/>
      <c r="DG1008" s="885"/>
      <c r="DH1008" s="885"/>
      <c r="DI1008" s="885"/>
      <c r="DJ1008" s="885"/>
      <c r="DK1008" s="885"/>
      <c r="DL1008" s="885"/>
      <c r="DM1008" s="885"/>
      <c r="DN1008" s="885"/>
      <c r="DO1008" s="885"/>
      <c r="DP1008" s="885"/>
      <c r="DQ1008" s="885"/>
      <c r="DR1008" s="885"/>
      <c r="DS1008" s="885"/>
      <c r="DT1008" s="885"/>
      <c r="DU1008" s="885"/>
      <c r="DV1008" s="885"/>
      <c r="DW1008" s="885"/>
      <c r="DX1008" s="885"/>
      <c r="DY1008" s="885"/>
      <c r="DZ1008" s="885"/>
      <c r="EA1008" s="885"/>
      <c r="EB1008" s="885"/>
      <c r="EC1008" s="885"/>
      <c r="ED1008" s="885"/>
      <c r="EE1008" s="885"/>
      <c r="EF1008" s="885"/>
      <c r="EG1008" s="885"/>
      <c r="EH1008" s="885"/>
      <c r="EI1008" s="885"/>
      <c r="EJ1008" s="885"/>
      <c r="EK1008" s="885"/>
      <c r="EL1008" s="885"/>
      <c r="EM1008" s="885"/>
      <c r="EN1008" s="885"/>
      <c r="EO1008" s="885"/>
      <c r="EP1008" s="885"/>
      <c r="EQ1008" s="885"/>
      <c r="ER1008" s="885"/>
      <c r="ES1008" s="885"/>
      <c r="ET1008" s="885"/>
      <c r="EU1008" s="885"/>
      <c r="EV1008" s="885"/>
      <c r="EW1008" s="885"/>
      <c r="EX1008" s="885"/>
      <c r="EY1008" s="885"/>
      <c r="EZ1008" s="885"/>
      <c r="FA1008" s="885"/>
      <c r="FB1008" s="885"/>
      <c r="FC1008" s="885"/>
      <c r="FD1008" s="885"/>
      <c r="FE1008" s="885"/>
      <c r="FF1008" s="885"/>
      <c r="FG1008" s="885"/>
      <c r="FH1008" s="885"/>
      <c r="FI1008" s="885"/>
      <c r="FJ1008" s="885"/>
      <c r="FK1008" s="885"/>
      <c r="FL1008" s="885"/>
      <c r="FM1008" s="885"/>
      <c r="FN1008" s="885"/>
      <c r="FO1008" s="885"/>
      <c r="FP1008" s="885"/>
      <c r="FQ1008" s="885"/>
      <c r="FR1008" s="885"/>
      <c r="FS1008" s="885"/>
      <c r="FT1008" s="885"/>
      <c r="FU1008" s="885"/>
      <c r="FV1008" s="885"/>
      <c r="FW1008" s="885"/>
      <c r="FX1008" s="885"/>
      <c r="FY1008" s="885"/>
      <c r="FZ1008" s="885"/>
      <c r="GA1008" s="885"/>
      <c r="GB1008" s="885"/>
      <c r="GC1008" s="885"/>
      <c r="GD1008" s="885"/>
      <c r="GE1008" s="885"/>
      <c r="GF1008" s="885"/>
      <c r="GG1008" s="885"/>
      <c r="GH1008" s="885"/>
      <c r="GI1008" s="885"/>
      <c r="GJ1008" s="885"/>
      <c r="GK1008" s="885"/>
      <c r="GL1008" s="885"/>
      <c r="GM1008" s="885"/>
      <c r="GN1008" s="885"/>
      <c r="GO1008" s="885"/>
      <c r="GP1008" s="885"/>
      <c r="GQ1008" s="885"/>
      <c r="GR1008" s="885"/>
      <c r="GS1008" s="885"/>
      <c r="GT1008" s="885"/>
      <c r="GU1008" s="885"/>
      <c r="GV1008" s="885"/>
      <c r="GW1008" s="885"/>
      <c r="GX1008" s="885"/>
      <c r="GY1008" s="885"/>
      <c r="GZ1008" s="885"/>
      <c r="HA1008" s="885"/>
      <c r="HB1008" s="885"/>
      <c r="HC1008" s="885"/>
      <c r="HD1008" s="885"/>
      <c r="HE1008" s="885"/>
      <c r="HF1008" s="885"/>
      <c r="HG1008" s="885"/>
      <c r="HH1008" s="885"/>
      <c r="HI1008" s="885"/>
      <c r="HJ1008" s="885"/>
      <c r="HK1008" s="885"/>
      <c r="HL1008" s="885"/>
      <c r="HM1008" s="885"/>
      <c r="HN1008" s="885"/>
      <c r="HO1008" s="885"/>
      <c r="HP1008" s="885"/>
      <c r="HQ1008" s="885"/>
      <c r="HR1008" s="885"/>
      <c r="HS1008" s="885"/>
      <c r="HT1008" s="885"/>
      <c r="HU1008" s="885"/>
      <c r="HV1008" s="885"/>
      <c r="HW1008" s="885"/>
      <c r="HX1008" s="885"/>
      <c r="HY1008" s="885"/>
      <c r="HZ1008" s="885"/>
      <c r="IA1008" s="885"/>
      <c r="IB1008" s="885"/>
      <c r="IC1008" s="885"/>
      <c r="ID1008" s="885"/>
      <c r="IE1008" s="885"/>
      <c r="IF1008" s="885"/>
      <c r="IG1008" s="885"/>
      <c r="IH1008" s="885"/>
      <c r="II1008" s="885"/>
      <c r="IJ1008" s="885"/>
      <c r="IK1008" s="885"/>
      <c r="IL1008" s="885"/>
      <c r="IM1008" s="885"/>
      <c r="IN1008" s="885"/>
      <c r="IO1008" s="885"/>
      <c r="IP1008" s="885"/>
      <c r="IQ1008" s="885"/>
      <c r="IR1008" s="885"/>
      <c r="IS1008" s="885"/>
      <c r="IT1008" s="885"/>
      <c r="IU1008" s="885"/>
      <c r="IV1008" s="885"/>
      <c r="IW1008" s="885"/>
      <c r="IX1008" s="885"/>
    </row>
    <row r="1009" spans="1:258" x14ac:dyDescent="0.25">
      <c r="A1009" s="125">
        <f t="shared" si="121"/>
        <v>969</v>
      </c>
      <c r="B1009" s="981"/>
      <c r="C1009" s="134" t="s">
        <v>11582</v>
      </c>
      <c r="D1009" s="924">
        <v>81.17</v>
      </c>
      <c r="E1009" s="924">
        <f>D1009*13.33</f>
        <v>1081.9961000000001</v>
      </c>
      <c r="F1009" s="136">
        <f>E1009/13.33</f>
        <v>81.17</v>
      </c>
      <c r="G1009" s="122" t="s">
        <v>1963</v>
      </c>
      <c r="I1009" s="981"/>
      <c r="J1009" s="981"/>
      <c r="K1009" s="981"/>
      <c r="L1009" s="981"/>
      <c r="M1009" s="981"/>
      <c r="N1009" s="981"/>
      <c r="O1009" s="981"/>
      <c r="P1009" s="981"/>
      <c r="Q1009" s="981"/>
      <c r="R1009" s="981"/>
      <c r="S1009" s="981"/>
      <c r="T1009" s="981"/>
      <c r="U1009" s="981"/>
      <c r="V1009" s="981"/>
      <c r="W1009" s="981"/>
      <c r="X1009" s="981"/>
      <c r="Y1009" s="981"/>
      <c r="Z1009" s="981"/>
      <c r="AA1009" s="981"/>
      <c r="AB1009" s="981"/>
      <c r="AC1009" s="981"/>
      <c r="AD1009" s="981"/>
      <c r="AE1009" s="981"/>
      <c r="AF1009" s="981"/>
      <c r="AG1009" s="981"/>
      <c r="AH1009" s="981"/>
      <c r="AI1009" s="981"/>
      <c r="AJ1009" s="981"/>
      <c r="AK1009" s="981"/>
      <c r="AL1009" s="981"/>
      <c r="AM1009" s="981"/>
      <c r="AN1009" s="981"/>
      <c r="AO1009" s="981"/>
      <c r="AP1009" s="981"/>
      <c r="AQ1009" s="981"/>
      <c r="AR1009" s="981"/>
      <c r="AS1009" s="981"/>
      <c r="AT1009" s="981"/>
      <c r="AU1009" s="981"/>
      <c r="AV1009" s="981"/>
      <c r="AW1009" s="981"/>
      <c r="AX1009" s="981"/>
      <c r="AY1009" s="981"/>
      <c r="AZ1009" s="981"/>
      <c r="BA1009" s="981"/>
      <c r="BB1009" s="981"/>
      <c r="BC1009" s="981"/>
      <c r="BD1009" s="981"/>
      <c r="BE1009" s="981"/>
      <c r="BF1009" s="981"/>
      <c r="BG1009" s="981"/>
      <c r="BH1009" s="981"/>
      <c r="BI1009" s="981"/>
      <c r="BJ1009" s="981"/>
      <c r="BK1009" s="981"/>
      <c r="BL1009" s="981"/>
      <c r="BM1009" s="981"/>
      <c r="BN1009" s="981"/>
      <c r="BO1009" s="981"/>
      <c r="BP1009" s="981"/>
      <c r="BQ1009" s="981"/>
      <c r="BR1009" s="981"/>
      <c r="BS1009" s="981"/>
      <c r="BT1009" s="981"/>
      <c r="BU1009" s="981"/>
      <c r="BV1009" s="981"/>
      <c r="BW1009" s="981"/>
      <c r="BX1009" s="981"/>
      <c r="BY1009" s="981"/>
      <c r="BZ1009" s="981"/>
      <c r="CA1009" s="981"/>
      <c r="CB1009" s="981"/>
      <c r="CC1009" s="981"/>
      <c r="CD1009" s="981"/>
      <c r="CE1009" s="981"/>
      <c r="CF1009" s="981"/>
      <c r="CG1009" s="981"/>
      <c r="CH1009" s="981"/>
      <c r="CI1009" s="981"/>
      <c r="CJ1009" s="981"/>
      <c r="CK1009" s="981"/>
      <c r="CL1009" s="981"/>
      <c r="CM1009" s="981"/>
      <c r="CN1009" s="981"/>
      <c r="CO1009" s="981"/>
      <c r="CP1009" s="981"/>
      <c r="CQ1009" s="981"/>
      <c r="CR1009" s="981"/>
      <c r="CS1009" s="981"/>
      <c r="CT1009" s="981"/>
      <c r="CU1009" s="981"/>
      <c r="CV1009" s="981"/>
      <c r="CW1009" s="981"/>
      <c r="CX1009" s="981"/>
      <c r="CY1009" s="981"/>
      <c r="CZ1009" s="981"/>
      <c r="DA1009" s="981"/>
      <c r="DB1009" s="981"/>
      <c r="DC1009" s="981"/>
      <c r="DD1009" s="981"/>
      <c r="DE1009" s="981"/>
      <c r="DF1009" s="981"/>
      <c r="DG1009" s="981"/>
      <c r="DH1009" s="981"/>
      <c r="DI1009" s="981"/>
      <c r="DJ1009" s="981"/>
      <c r="DK1009" s="981"/>
      <c r="DL1009" s="981"/>
      <c r="DM1009" s="981"/>
      <c r="DN1009" s="981"/>
      <c r="DO1009" s="981"/>
      <c r="DP1009" s="981"/>
      <c r="DQ1009" s="981"/>
      <c r="DR1009" s="981"/>
      <c r="DS1009" s="981"/>
      <c r="DT1009" s="981"/>
      <c r="DU1009" s="981"/>
      <c r="DV1009" s="981"/>
      <c r="DW1009" s="981"/>
      <c r="DX1009" s="981"/>
      <c r="DY1009" s="981"/>
      <c r="DZ1009" s="981"/>
      <c r="EA1009" s="981"/>
      <c r="EB1009" s="981"/>
      <c r="EC1009" s="981"/>
      <c r="ED1009" s="981"/>
      <c r="EE1009" s="981"/>
      <c r="EF1009" s="981"/>
      <c r="EG1009" s="981"/>
      <c r="EH1009" s="981"/>
      <c r="EI1009" s="981"/>
      <c r="EJ1009" s="981"/>
      <c r="EK1009" s="981"/>
      <c r="EL1009" s="981"/>
      <c r="EM1009" s="981"/>
      <c r="EN1009" s="981"/>
      <c r="EO1009" s="981"/>
      <c r="EP1009" s="981"/>
      <c r="EQ1009" s="981"/>
      <c r="ER1009" s="981"/>
      <c r="ES1009" s="981"/>
      <c r="ET1009" s="981"/>
      <c r="EU1009" s="981"/>
      <c r="EV1009" s="981"/>
      <c r="EW1009" s="981"/>
      <c r="EX1009" s="981"/>
      <c r="EY1009" s="981"/>
      <c r="EZ1009" s="981"/>
      <c r="FA1009" s="981"/>
      <c r="FB1009" s="981"/>
      <c r="FC1009" s="981"/>
      <c r="FD1009" s="981"/>
      <c r="FE1009" s="981"/>
      <c r="FF1009" s="981"/>
      <c r="FG1009" s="981"/>
      <c r="FH1009" s="981"/>
      <c r="FI1009" s="981"/>
      <c r="FJ1009" s="981"/>
      <c r="FK1009" s="981"/>
      <c r="FL1009" s="981"/>
      <c r="FM1009" s="981"/>
      <c r="FN1009" s="981"/>
      <c r="FO1009" s="981"/>
      <c r="FP1009" s="981"/>
      <c r="FQ1009" s="981"/>
      <c r="FR1009" s="981"/>
      <c r="FS1009" s="981"/>
      <c r="FT1009" s="981"/>
      <c r="FU1009" s="981"/>
      <c r="FV1009" s="981"/>
      <c r="FW1009" s="981"/>
      <c r="FX1009" s="981"/>
      <c r="FY1009" s="981"/>
      <c r="FZ1009" s="981"/>
      <c r="GA1009" s="981"/>
      <c r="GB1009" s="981"/>
      <c r="GC1009" s="981"/>
      <c r="GD1009" s="981"/>
      <c r="GE1009" s="981"/>
      <c r="GF1009" s="981"/>
      <c r="GG1009" s="981"/>
      <c r="GH1009" s="981"/>
      <c r="GI1009" s="981"/>
      <c r="GJ1009" s="981"/>
      <c r="GK1009" s="981"/>
      <c r="GL1009" s="981"/>
      <c r="GM1009" s="981"/>
      <c r="GN1009" s="981"/>
      <c r="GO1009" s="981"/>
      <c r="GP1009" s="981"/>
      <c r="GQ1009" s="981"/>
      <c r="GR1009" s="981"/>
      <c r="GS1009" s="981"/>
      <c r="GT1009" s="981"/>
      <c r="GU1009" s="981"/>
      <c r="GV1009" s="981"/>
      <c r="GW1009" s="981"/>
      <c r="GX1009" s="981"/>
      <c r="GY1009" s="981"/>
      <c r="GZ1009" s="981"/>
      <c r="HA1009" s="981"/>
      <c r="HB1009" s="981"/>
      <c r="HC1009" s="981"/>
      <c r="HD1009" s="981"/>
      <c r="HE1009" s="981"/>
      <c r="HF1009" s="981"/>
      <c r="HG1009" s="981"/>
      <c r="HH1009" s="981"/>
      <c r="HI1009" s="981"/>
      <c r="HJ1009" s="981"/>
      <c r="HK1009" s="981"/>
      <c r="HL1009" s="981"/>
      <c r="HM1009" s="981"/>
      <c r="HN1009" s="981"/>
      <c r="HO1009" s="981"/>
      <c r="HP1009" s="981"/>
      <c r="HQ1009" s="981"/>
      <c r="HR1009" s="981"/>
      <c r="HS1009" s="981"/>
      <c r="HT1009" s="981"/>
      <c r="HU1009" s="981"/>
      <c r="HV1009" s="981"/>
      <c r="HW1009" s="981"/>
      <c r="HX1009" s="981"/>
      <c r="HY1009" s="981"/>
      <c r="HZ1009" s="981"/>
      <c r="IA1009" s="981"/>
      <c r="IB1009" s="981"/>
      <c r="IC1009" s="981"/>
      <c r="ID1009" s="981"/>
      <c r="IE1009" s="981"/>
      <c r="IF1009" s="981"/>
      <c r="IG1009" s="981"/>
      <c r="IH1009" s="981"/>
      <c r="II1009" s="981"/>
      <c r="IJ1009" s="981"/>
      <c r="IK1009" s="981"/>
      <c r="IL1009" s="981"/>
      <c r="IM1009" s="981"/>
      <c r="IN1009" s="981"/>
      <c r="IO1009" s="981"/>
      <c r="IP1009" s="981"/>
      <c r="IQ1009" s="981"/>
      <c r="IR1009" s="981"/>
      <c r="IS1009" s="981"/>
      <c r="IT1009" s="981"/>
      <c r="IU1009" s="981"/>
      <c r="IV1009" s="981"/>
      <c r="IW1009" s="981"/>
      <c r="IX1009" s="981"/>
    </row>
    <row r="1010" spans="1:258" x14ac:dyDescent="0.25">
      <c r="A1010" s="125">
        <f t="shared" si="121"/>
        <v>970</v>
      </c>
      <c r="B1010" s="885"/>
      <c r="C1010" s="842" t="s">
        <v>10516</v>
      </c>
      <c r="D1010" s="924">
        <v>17931.55</v>
      </c>
      <c r="E1010" s="924">
        <f>D1010/6*13.33</f>
        <v>39837.926916666671</v>
      </c>
      <c r="F1010" s="136">
        <f>E1010/6</f>
        <v>6639.6544861111115</v>
      </c>
      <c r="G1010" s="122" t="s">
        <v>1963</v>
      </c>
      <c r="H1010" s="885"/>
      <c r="I1010" s="885"/>
      <c r="J1010" s="885"/>
      <c r="K1010" s="885"/>
      <c r="L1010" s="885"/>
      <c r="M1010" s="885"/>
      <c r="N1010" s="885"/>
      <c r="O1010" s="885"/>
      <c r="P1010" s="885"/>
      <c r="Q1010" s="885"/>
      <c r="R1010" s="885"/>
      <c r="S1010" s="885"/>
      <c r="T1010" s="885"/>
      <c r="U1010" s="885"/>
      <c r="V1010" s="885"/>
      <c r="W1010" s="885"/>
      <c r="X1010" s="885"/>
      <c r="Y1010" s="885"/>
      <c r="Z1010" s="885"/>
      <c r="AA1010" s="885"/>
      <c r="AB1010" s="885"/>
      <c r="AC1010" s="885"/>
      <c r="AD1010" s="885"/>
      <c r="AE1010" s="885"/>
      <c r="AF1010" s="885"/>
      <c r="AG1010" s="885"/>
      <c r="AH1010" s="885"/>
      <c r="AI1010" s="885"/>
      <c r="AJ1010" s="885"/>
      <c r="AK1010" s="885"/>
      <c r="AL1010" s="885"/>
      <c r="AM1010" s="885"/>
      <c r="AN1010" s="885"/>
      <c r="AO1010" s="885"/>
      <c r="AP1010" s="885"/>
      <c r="AQ1010" s="885"/>
      <c r="AR1010" s="885"/>
      <c r="AS1010" s="885"/>
      <c r="AT1010" s="885"/>
      <c r="AU1010" s="885"/>
      <c r="AV1010" s="885"/>
      <c r="AW1010" s="885"/>
      <c r="AX1010" s="885"/>
      <c r="AY1010" s="885"/>
      <c r="AZ1010" s="885"/>
      <c r="BA1010" s="885"/>
      <c r="BB1010" s="885"/>
      <c r="BC1010" s="885"/>
      <c r="BD1010" s="885"/>
      <c r="BE1010" s="885"/>
      <c r="BF1010" s="885"/>
      <c r="BG1010" s="885"/>
      <c r="BH1010" s="885"/>
      <c r="BI1010" s="885"/>
      <c r="BJ1010" s="885"/>
      <c r="BK1010" s="885"/>
      <c r="BL1010" s="885"/>
      <c r="BM1010" s="885"/>
      <c r="BN1010" s="885"/>
      <c r="BO1010" s="885"/>
      <c r="BP1010" s="885"/>
      <c r="BQ1010" s="885"/>
      <c r="BR1010" s="885"/>
      <c r="BS1010" s="885"/>
      <c r="BT1010" s="885"/>
      <c r="BU1010" s="885"/>
      <c r="BV1010" s="885"/>
      <c r="BW1010" s="885"/>
      <c r="BX1010" s="885"/>
      <c r="BY1010" s="885"/>
      <c r="BZ1010" s="885"/>
      <c r="CA1010" s="885"/>
      <c r="CB1010" s="885"/>
      <c r="CC1010" s="885"/>
      <c r="CD1010" s="885"/>
      <c r="CE1010" s="885"/>
      <c r="CF1010" s="885"/>
      <c r="CG1010" s="885"/>
      <c r="CH1010" s="885"/>
      <c r="CI1010" s="885"/>
      <c r="CJ1010" s="885"/>
      <c r="CK1010" s="885"/>
      <c r="CL1010" s="885"/>
      <c r="CM1010" s="885"/>
      <c r="CN1010" s="885"/>
      <c r="CO1010" s="885"/>
      <c r="CP1010" s="885"/>
      <c r="CQ1010" s="885"/>
      <c r="CR1010" s="885"/>
      <c r="CS1010" s="885"/>
      <c r="CT1010" s="885"/>
      <c r="CU1010" s="885"/>
      <c r="CV1010" s="885"/>
      <c r="CW1010" s="885"/>
      <c r="CX1010" s="885"/>
      <c r="CY1010" s="885"/>
      <c r="CZ1010" s="885"/>
      <c r="DA1010" s="885"/>
      <c r="DB1010" s="885"/>
      <c r="DC1010" s="885"/>
      <c r="DD1010" s="885"/>
      <c r="DE1010" s="885"/>
      <c r="DF1010" s="885"/>
      <c r="DG1010" s="885"/>
      <c r="DH1010" s="885"/>
      <c r="DI1010" s="885"/>
      <c r="DJ1010" s="885"/>
      <c r="DK1010" s="885"/>
      <c r="DL1010" s="885"/>
      <c r="DM1010" s="885"/>
      <c r="DN1010" s="885"/>
      <c r="DO1010" s="885"/>
      <c r="DP1010" s="885"/>
      <c r="DQ1010" s="885"/>
      <c r="DR1010" s="885"/>
      <c r="DS1010" s="885"/>
      <c r="DT1010" s="885"/>
      <c r="DU1010" s="885"/>
      <c r="DV1010" s="885"/>
      <c r="DW1010" s="885"/>
      <c r="DX1010" s="885"/>
      <c r="DY1010" s="885"/>
      <c r="DZ1010" s="885"/>
      <c r="EA1010" s="885"/>
      <c r="EB1010" s="885"/>
      <c r="EC1010" s="885"/>
      <c r="ED1010" s="885"/>
      <c r="EE1010" s="885"/>
      <c r="EF1010" s="885"/>
      <c r="EG1010" s="885"/>
      <c r="EH1010" s="885"/>
      <c r="EI1010" s="885"/>
      <c r="EJ1010" s="885"/>
      <c r="EK1010" s="885"/>
      <c r="EL1010" s="885"/>
      <c r="EM1010" s="885"/>
      <c r="EN1010" s="885"/>
      <c r="EO1010" s="885"/>
      <c r="EP1010" s="885"/>
      <c r="EQ1010" s="885"/>
      <c r="ER1010" s="885"/>
      <c r="ES1010" s="885"/>
      <c r="ET1010" s="885"/>
      <c r="EU1010" s="885"/>
      <c r="EV1010" s="885"/>
      <c r="EW1010" s="885"/>
      <c r="EX1010" s="885"/>
      <c r="EY1010" s="885"/>
      <c r="EZ1010" s="885"/>
      <c r="FA1010" s="885"/>
      <c r="FB1010" s="885"/>
      <c r="FC1010" s="885"/>
      <c r="FD1010" s="885"/>
      <c r="FE1010" s="885"/>
      <c r="FF1010" s="885"/>
      <c r="FG1010" s="885"/>
      <c r="FH1010" s="885"/>
      <c r="FI1010" s="885"/>
      <c r="FJ1010" s="885"/>
      <c r="FK1010" s="885"/>
      <c r="FL1010" s="885"/>
      <c r="FM1010" s="885"/>
      <c r="FN1010" s="885"/>
      <c r="FO1010" s="885"/>
      <c r="FP1010" s="885"/>
      <c r="FQ1010" s="885"/>
      <c r="FR1010" s="885"/>
      <c r="FS1010" s="885"/>
      <c r="FT1010" s="885"/>
      <c r="FU1010" s="885"/>
      <c r="FV1010" s="885"/>
      <c r="FW1010" s="885"/>
      <c r="FX1010" s="885"/>
      <c r="FY1010" s="885"/>
      <c r="FZ1010" s="885"/>
      <c r="GA1010" s="885"/>
      <c r="GB1010" s="885"/>
      <c r="GC1010" s="885"/>
      <c r="GD1010" s="885"/>
      <c r="GE1010" s="885"/>
      <c r="GF1010" s="885"/>
      <c r="GG1010" s="885"/>
      <c r="GH1010" s="885"/>
      <c r="GI1010" s="885"/>
      <c r="GJ1010" s="885"/>
      <c r="GK1010" s="885"/>
      <c r="GL1010" s="885"/>
      <c r="GM1010" s="885"/>
      <c r="GN1010" s="885"/>
      <c r="GO1010" s="885"/>
      <c r="GP1010" s="885"/>
      <c r="GQ1010" s="885"/>
      <c r="GR1010" s="885"/>
      <c r="GS1010" s="885"/>
      <c r="GT1010" s="885"/>
      <c r="GU1010" s="885"/>
      <c r="GV1010" s="885"/>
      <c r="GW1010" s="885"/>
      <c r="GX1010" s="885"/>
      <c r="GY1010" s="885"/>
      <c r="GZ1010" s="885"/>
      <c r="HA1010" s="885"/>
      <c r="HB1010" s="885"/>
      <c r="HC1010" s="885"/>
      <c r="HD1010" s="885"/>
      <c r="HE1010" s="885"/>
      <c r="HF1010" s="885"/>
      <c r="HG1010" s="885"/>
      <c r="HH1010" s="885"/>
      <c r="HI1010" s="885"/>
      <c r="HJ1010" s="885"/>
      <c r="HK1010" s="885"/>
      <c r="HL1010" s="885"/>
      <c r="HM1010" s="885"/>
      <c r="HN1010" s="885"/>
      <c r="HO1010" s="885"/>
      <c r="HP1010" s="885"/>
      <c r="HQ1010" s="885"/>
      <c r="HR1010" s="885"/>
      <c r="HS1010" s="885"/>
      <c r="HT1010" s="885"/>
      <c r="HU1010" s="885"/>
      <c r="HV1010" s="885"/>
      <c r="HW1010" s="885"/>
      <c r="HX1010" s="885"/>
      <c r="HY1010" s="885"/>
      <c r="HZ1010" s="885"/>
      <c r="IA1010" s="885"/>
      <c r="IB1010" s="885"/>
      <c r="IC1010" s="885"/>
      <c r="ID1010" s="885"/>
      <c r="IE1010" s="885"/>
      <c r="IF1010" s="885"/>
      <c r="IG1010" s="885"/>
      <c r="IH1010" s="885"/>
      <c r="II1010" s="885"/>
      <c r="IJ1010" s="885"/>
      <c r="IK1010" s="885"/>
      <c r="IL1010" s="885"/>
      <c r="IM1010" s="885"/>
      <c r="IN1010" s="885"/>
      <c r="IO1010" s="885"/>
      <c r="IP1010" s="885"/>
      <c r="IQ1010" s="885"/>
      <c r="IR1010" s="885"/>
      <c r="IS1010" s="885"/>
      <c r="IT1010" s="885"/>
      <c r="IU1010" s="885"/>
      <c r="IV1010" s="885"/>
      <c r="IW1010" s="885"/>
      <c r="IX1010" s="885"/>
    </row>
    <row r="1011" spans="1:258" x14ac:dyDescent="0.25">
      <c r="A1011" s="125">
        <f t="shared" si="121"/>
        <v>971</v>
      </c>
      <c r="B1011" s="954"/>
      <c r="C1011" s="842" t="s">
        <v>11532</v>
      </c>
      <c r="D1011" s="924">
        <v>3560.25</v>
      </c>
      <c r="E1011" s="924">
        <f>D1011/6*12</f>
        <v>7120.5</v>
      </c>
      <c r="F1011" s="136"/>
      <c r="G1011" s="122" t="s">
        <v>1963</v>
      </c>
      <c r="H1011" s="954"/>
      <c r="I1011" s="954"/>
      <c r="J1011" s="954"/>
      <c r="K1011" s="954"/>
      <c r="L1011" s="954"/>
      <c r="M1011" s="954"/>
      <c r="N1011" s="954"/>
      <c r="O1011" s="954"/>
      <c r="P1011" s="954"/>
      <c r="Q1011" s="954"/>
      <c r="R1011" s="954"/>
      <c r="S1011" s="954"/>
      <c r="T1011" s="954"/>
      <c r="U1011" s="954"/>
      <c r="V1011" s="954"/>
      <c r="W1011" s="954"/>
      <c r="X1011" s="954"/>
      <c r="Y1011" s="954"/>
      <c r="Z1011" s="954"/>
      <c r="AA1011" s="954"/>
      <c r="AB1011" s="954"/>
      <c r="AC1011" s="954"/>
      <c r="AD1011" s="954"/>
      <c r="AE1011" s="954"/>
      <c r="AF1011" s="954"/>
      <c r="AG1011" s="954"/>
      <c r="AH1011" s="954"/>
      <c r="AI1011" s="954"/>
      <c r="AJ1011" s="954"/>
      <c r="AK1011" s="954"/>
      <c r="AL1011" s="954"/>
      <c r="AM1011" s="954"/>
      <c r="AN1011" s="954"/>
      <c r="AO1011" s="954"/>
      <c r="AP1011" s="954"/>
      <c r="AQ1011" s="954"/>
      <c r="AR1011" s="954"/>
      <c r="AS1011" s="954"/>
      <c r="AT1011" s="954"/>
      <c r="AU1011" s="954"/>
      <c r="AV1011" s="954"/>
      <c r="AW1011" s="954"/>
      <c r="AX1011" s="954"/>
      <c r="AY1011" s="954"/>
      <c r="AZ1011" s="954"/>
      <c r="BA1011" s="954"/>
      <c r="BB1011" s="954"/>
      <c r="BC1011" s="954"/>
      <c r="BD1011" s="954"/>
      <c r="BE1011" s="954"/>
      <c r="BF1011" s="954"/>
      <c r="BG1011" s="954"/>
      <c r="BH1011" s="954"/>
      <c r="BI1011" s="954"/>
      <c r="BJ1011" s="954"/>
      <c r="BK1011" s="954"/>
      <c r="BL1011" s="954"/>
      <c r="BM1011" s="954"/>
      <c r="BN1011" s="954"/>
      <c r="BO1011" s="954"/>
      <c r="BP1011" s="954"/>
      <c r="BQ1011" s="954"/>
      <c r="BR1011" s="954"/>
      <c r="BS1011" s="954"/>
      <c r="BT1011" s="954"/>
      <c r="BU1011" s="954"/>
      <c r="BV1011" s="954"/>
      <c r="BW1011" s="954"/>
      <c r="BX1011" s="954"/>
      <c r="BY1011" s="954"/>
      <c r="BZ1011" s="954"/>
      <c r="CA1011" s="954"/>
      <c r="CB1011" s="954"/>
      <c r="CC1011" s="954"/>
      <c r="CD1011" s="954"/>
      <c r="CE1011" s="954"/>
      <c r="CF1011" s="954"/>
      <c r="CG1011" s="954"/>
      <c r="CH1011" s="954"/>
      <c r="CI1011" s="954"/>
      <c r="CJ1011" s="954"/>
      <c r="CK1011" s="954"/>
      <c r="CL1011" s="954"/>
      <c r="CM1011" s="954"/>
      <c r="CN1011" s="954"/>
      <c r="CO1011" s="954"/>
      <c r="CP1011" s="954"/>
      <c r="CQ1011" s="954"/>
      <c r="CR1011" s="954"/>
      <c r="CS1011" s="954"/>
      <c r="CT1011" s="954"/>
      <c r="CU1011" s="954"/>
      <c r="CV1011" s="954"/>
      <c r="CW1011" s="954"/>
      <c r="CX1011" s="954"/>
      <c r="CY1011" s="954"/>
      <c r="CZ1011" s="954"/>
      <c r="DA1011" s="954"/>
      <c r="DB1011" s="954"/>
      <c r="DC1011" s="954"/>
      <c r="DD1011" s="954"/>
      <c r="DE1011" s="954"/>
      <c r="DF1011" s="954"/>
      <c r="DG1011" s="954"/>
      <c r="DH1011" s="954"/>
      <c r="DI1011" s="954"/>
      <c r="DJ1011" s="954"/>
      <c r="DK1011" s="954"/>
      <c r="DL1011" s="954"/>
      <c r="DM1011" s="954"/>
      <c r="DN1011" s="954"/>
      <c r="DO1011" s="954"/>
      <c r="DP1011" s="954"/>
      <c r="DQ1011" s="954"/>
      <c r="DR1011" s="954"/>
      <c r="DS1011" s="954"/>
      <c r="DT1011" s="954"/>
      <c r="DU1011" s="954"/>
      <c r="DV1011" s="954"/>
      <c r="DW1011" s="954"/>
      <c r="DX1011" s="954"/>
      <c r="DY1011" s="954"/>
      <c r="DZ1011" s="954"/>
      <c r="EA1011" s="954"/>
      <c r="EB1011" s="954"/>
      <c r="EC1011" s="954"/>
      <c r="ED1011" s="954"/>
      <c r="EE1011" s="954"/>
      <c r="EF1011" s="954"/>
      <c r="EG1011" s="954"/>
      <c r="EH1011" s="954"/>
      <c r="EI1011" s="954"/>
      <c r="EJ1011" s="954"/>
      <c r="EK1011" s="954"/>
      <c r="EL1011" s="954"/>
      <c r="EM1011" s="954"/>
      <c r="EN1011" s="954"/>
      <c r="EO1011" s="954"/>
      <c r="EP1011" s="954"/>
      <c r="EQ1011" s="954"/>
      <c r="ER1011" s="954"/>
      <c r="ES1011" s="954"/>
      <c r="ET1011" s="954"/>
      <c r="EU1011" s="954"/>
      <c r="EV1011" s="954"/>
      <c r="EW1011" s="954"/>
      <c r="EX1011" s="954"/>
      <c r="EY1011" s="954"/>
      <c r="EZ1011" s="954"/>
      <c r="FA1011" s="954"/>
      <c r="FB1011" s="954"/>
      <c r="FC1011" s="954"/>
      <c r="FD1011" s="954"/>
      <c r="FE1011" s="954"/>
      <c r="FF1011" s="954"/>
      <c r="FG1011" s="954"/>
      <c r="FH1011" s="954"/>
      <c r="FI1011" s="954"/>
      <c r="FJ1011" s="954"/>
      <c r="FK1011" s="954"/>
      <c r="FL1011" s="954"/>
      <c r="FM1011" s="954"/>
      <c r="FN1011" s="954"/>
      <c r="FO1011" s="954"/>
      <c r="FP1011" s="954"/>
      <c r="FQ1011" s="954"/>
      <c r="FR1011" s="954"/>
      <c r="FS1011" s="954"/>
      <c r="FT1011" s="954"/>
      <c r="FU1011" s="954"/>
      <c r="FV1011" s="954"/>
      <c r="FW1011" s="954"/>
      <c r="FX1011" s="954"/>
      <c r="FY1011" s="954"/>
      <c r="FZ1011" s="954"/>
      <c r="GA1011" s="954"/>
      <c r="GB1011" s="954"/>
      <c r="GC1011" s="954"/>
      <c r="GD1011" s="954"/>
      <c r="GE1011" s="954"/>
      <c r="GF1011" s="954"/>
      <c r="GG1011" s="954"/>
      <c r="GH1011" s="954"/>
      <c r="GI1011" s="954"/>
      <c r="GJ1011" s="954"/>
      <c r="GK1011" s="954"/>
      <c r="GL1011" s="954"/>
      <c r="GM1011" s="954"/>
      <c r="GN1011" s="954"/>
      <c r="GO1011" s="954"/>
      <c r="GP1011" s="954"/>
      <c r="GQ1011" s="954"/>
      <c r="GR1011" s="954"/>
      <c r="GS1011" s="954"/>
      <c r="GT1011" s="954"/>
      <c r="GU1011" s="954"/>
      <c r="GV1011" s="954"/>
      <c r="GW1011" s="954"/>
      <c r="GX1011" s="954"/>
      <c r="GY1011" s="954"/>
      <c r="GZ1011" s="954"/>
      <c r="HA1011" s="954"/>
      <c r="HB1011" s="954"/>
      <c r="HC1011" s="954"/>
      <c r="HD1011" s="954"/>
      <c r="HE1011" s="954"/>
      <c r="HF1011" s="954"/>
      <c r="HG1011" s="954"/>
      <c r="HH1011" s="954"/>
      <c r="HI1011" s="954"/>
      <c r="HJ1011" s="954"/>
      <c r="HK1011" s="954"/>
      <c r="HL1011" s="954"/>
      <c r="HM1011" s="954"/>
      <c r="HN1011" s="954"/>
      <c r="HO1011" s="954"/>
      <c r="HP1011" s="954"/>
      <c r="HQ1011" s="954"/>
      <c r="HR1011" s="954"/>
      <c r="HS1011" s="954"/>
      <c r="HT1011" s="954"/>
      <c r="HU1011" s="954"/>
      <c r="HV1011" s="954"/>
      <c r="HW1011" s="954"/>
      <c r="HX1011" s="954"/>
      <c r="HY1011" s="954"/>
      <c r="HZ1011" s="954"/>
      <c r="IA1011" s="954"/>
      <c r="IB1011" s="954"/>
      <c r="IC1011" s="954"/>
      <c r="ID1011" s="954"/>
      <c r="IE1011" s="954"/>
      <c r="IF1011" s="954"/>
      <c r="IG1011" s="954"/>
      <c r="IH1011" s="954"/>
      <c r="II1011" s="954"/>
      <c r="IJ1011" s="954"/>
      <c r="IK1011" s="954"/>
      <c r="IL1011" s="954"/>
      <c r="IM1011" s="954"/>
      <c r="IN1011" s="954"/>
      <c r="IO1011" s="954"/>
      <c r="IP1011" s="954"/>
      <c r="IQ1011" s="954"/>
      <c r="IR1011" s="954"/>
      <c r="IS1011" s="954"/>
      <c r="IT1011" s="954"/>
      <c r="IU1011" s="954"/>
      <c r="IV1011" s="954"/>
      <c r="IW1011" s="954"/>
      <c r="IX1011" s="954"/>
    </row>
    <row r="1012" spans="1:258" x14ac:dyDescent="0.25">
      <c r="A1012" s="125">
        <f t="shared" si="121"/>
        <v>972</v>
      </c>
      <c r="B1012" s="885"/>
      <c r="C1012" s="842" t="s">
        <v>10503</v>
      </c>
      <c r="D1012" s="924">
        <v>0</v>
      </c>
      <c r="E1012" s="924">
        <v>0</v>
      </c>
      <c r="F1012" s="136">
        <v>1</v>
      </c>
      <c r="G1012" s="122" t="s">
        <v>1963</v>
      </c>
      <c r="H1012" s="885"/>
      <c r="I1012" s="885"/>
      <c r="J1012" s="885"/>
      <c r="K1012" s="885"/>
      <c r="L1012" s="885"/>
      <c r="M1012" s="885"/>
      <c r="N1012" s="885"/>
      <c r="O1012" s="885"/>
      <c r="P1012" s="885"/>
      <c r="Q1012" s="885"/>
      <c r="R1012" s="885"/>
      <c r="S1012" s="885"/>
      <c r="T1012" s="885"/>
      <c r="U1012" s="885"/>
      <c r="V1012" s="885"/>
      <c r="W1012" s="885"/>
      <c r="X1012" s="885"/>
      <c r="Y1012" s="885"/>
      <c r="Z1012" s="885"/>
      <c r="AA1012" s="885"/>
      <c r="AB1012" s="885"/>
      <c r="AC1012" s="885"/>
      <c r="AD1012" s="885"/>
      <c r="AE1012" s="885"/>
      <c r="AF1012" s="885"/>
      <c r="AG1012" s="885"/>
      <c r="AH1012" s="885"/>
      <c r="AI1012" s="885"/>
      <c r="AJ1012" s="885"/>
      <c r="AK1012" s="885"/>
      <c r="AL1012" s="885"/>
      <c r="AM1012" s="885"/>
      <c r="AN1012" s="885"/>
      <c r="AO1012" s="885"/>
      <c r="AP1012" s="885"/>
      <c r="AQ1012" s="885"/>
      <c r="AR1012" s="885"/>
      <c r="AS1012" s="885"/>
      <c r="AT1012" s="885"/>
      <c r="AU1012" s="885"/>
      <c r="AV1012" s="885"/>
      <c r="AW1012" s="885"/>
      <c r="AX1012" s="885"/>
      <c r="AY1012" s="885"/>
      <c r="AZ1012" s="885"/>
      <c r="BA1012" s="885"/>
      <c r="BB1012" s="885"/>
      <c r="BC1012" s="885"/>
      <c r="BD1012" s="885"/>
      <c r="BE1012" s="885"/>
      <c r="BF1012" s="885"/>
      <c r="BG1012" s="885"/>
      <c r="BH1012" s="885"/>
      <c r="BI1012" s="885"/>
      <c r="BJ1012" s="885"/>
      <c r="BK1012" s="885"/>
      <c r="BL1012" s="885"/>
      <c r="BM1012" s="885"/>
      <c r="BN1012" s="885"/>
      <c r="BO1012" s="885"/>
      <c r="BP1012" s="885"/>
      <c r="BQ1012" s="885"/>
      <c r="BR1012" s="885"/>
      <c r="BS1012" s="885"/>
      <c r="BT1012" s="885"/>
      <c r="BU1012" s="885"/>
      <c r="BV1012" s="885"/>
      <c r="BW1012" s="885"/>
      <c r="BX1012" s="885"/>
      <c r="BY1012" s="885"/>
      <c r="BZ1012" s="885"/>
      <c r="CA1012" s="885"/>
      <c r="CB1012" s="885"/>
      <c r="CC1012" s="885"/>
      <c r="CD1012" s="885"/>
      <c r="CE1012" s="885"/>
      <c r="CF1012" s="885"/>
      <c r="CG1012" s="885"/>
      <c r="CH1012" s="885"/>
      <c r="CI1012" s="885"/>
      <c r="CJ1012" s="885"/>
      <c r="CK1012" s="885"/>
      <c r="CL1012" s="885"/>
      <c r="CM1012" s="885"/>
      <c r="CN1012" s="885"/>
      <c r="CO1012" s="885"/>
      <c r="CP1012" s="885"/>
      <c r="CQ1012" s="885"/>
      <c r="CR1012" s="885"/>
      <c r="CS1012" s="885"/>
      <c r="CT1012" s="885"/>
      <c r="CU1012" s="885"/>
      <c r="CV1012" s="885"/>
      <c r="CW1012" s="885"/>
      <c r="CX1012" s="885"/>
      <c r="CY1012" s="885"/>
      <c r="CZ1012" s="885"/>
      <c r="DA1012" s="885"/>
      <c r="DB1012" s="885"/>
      <c r="DC1012" s="885"/>
      <c r="DD1012" s="885"/>
      <c r="DE1012" s="885"/>
      <c r="DF1012" s="885"/>
      <c r="DG1012" s="885"/>
      <c r="DH1012" s="885"/>
      <c r="DI1012" s="885"/>
      <c r="DJ1012" s="885"/>
      <c r="DK1012" s="885"/>
      <c r="DL1012" s="885"/>
      <c r="DM1012" s="885"/>
      <c r="DN1012" s="885"/>
      <c r="DO1012" s="885"/>
      <c r="DP1012" s="885"/>
      <c r="DQ1012" s="885"/>
      <c r="DR1012" s="885"/>
      <c r="DS1012" s="885"/>
      <c r="DT1012" s="885"/>
      <c r="DU1012" s="885"/>
      <c r="DV1012" s="885"/>
      <c r="DW1012" s="885"/>
      <c r="DX1012" s="885"/>
      <c r="DY1012" s="885"/>
      <c r="DZ1012" s="885"/>
      <c r="EA1012" s="885"/>
      <c r="EB1012" s="885"/>
      <c r="EC1012" s="885"/>
      <c r="ED1012" s="885"/>
      <c r="EE1012" s="885"/>
      <c r="EF1012" s="885"/>
      <c r="EG1012" s="885"/>
      <c r="EH1012" s="885"/>
      <c r="EI1012" s="885"/>
      <c r="EJ1012" s="885"/>
      <c r="EK1012" s="885"/>
      <c r="EL1012" s="885"/>
      <c r="EM1012" s="885"/>
      <c r="EN1012" s="885"/>
      <c r="EO1012" s="885"/>
      <c r="EP1012" s="885"/>
      <c r="EQ1012" s="885"/>
      <c r="ER1012" s="885"/>
      <c r="ES1012" s="885"/>
      <c r="ET1012" s="885"/>
      <c r="EU1012" s="885"/>
      <c r="EV1012" s="885"/>
      <c r="EW1012" s="885"/>
      <c r="EX1012" s="885"/>
      <c r="EY1012" s="885"/>
      <c r="EZ1012" s="885"/>
      <c r="FA1012" s="885"/>
      <c r="FB1012" s="885"/>
      <c r="FC1012" s="885"/>
      <c r="FD1012" s="885"/>
      <c r="FE1012" s="885"/>
      <c r="FF1012" s="885"/>
      <c r="FG1012" s="885"/>
      <c r="FH1012" s="885"/>
      <c r="FI1012" s="885"/>
      <c r="FJ1012" s="885"/>
      <c r="FK1012" s="885"/>
      <c r="FL1012" s="885"/>
      <c r="FM1012" s="885"/>
      <c r="FN1012" s="885"/>
      <c r="FO1012" s="885"/>
      <c r="FP1012" s="885"/>
      <c r="FQ1012" s="885"/>
      <c r="FR1012" s="885"/>
      <c r="FS1012" s="885"/>
      <c r="FT1012" s="885"/>
      <c r="FU1012" s="885"/>
      <c r="FV1012" s="885"/>
      <c r="FW1012" s="885"/>
      <c r="FX1012" s="885"/>
      <c r="FY1012" s="885"/>
      <c r="FZ1012" s="885"/>
      <c r="GA1012" s="885"/>
      <c r="GB1012" s="885"/>
      <c r="GC1012" s="885"/>
      <c r="GD1012" s="885"/>
      <c r="GE1012" s="885"/>
      <c r="GF1012" s="885"/>
      <c r="GG1012" s="885"/>
      <c r="GH1012" s="885"/>
      <c r="GI1012" s="885"/>
      <c r="GJ1012" s="885"/>
      <c r="GK1012" s="885"/>
      <c r="GL1012" s="885"/>
      <c r="GM1012" s="885"/>
      <c r="GN1012" s="885"/>
      <c r="GO1012" s="885"/>
      <c r="GP1012" s="885"/>
      <c r="GQ1012" s="885"/>
      <c r="GR1012" s="885"/>
      <c r="GS1012" s="885"/>
      <c r="GT1012" s="885"/>
      <c r="GU1012" s="885"/>
      <c r="GV1012" s="885"/>
      <c r="GW1012" s="885"/>
      <c r="GX1012" s="885"/>
      <c r="GY1012" s="885"/>
      <c r="GZ1012" s="885"/>
      <c r="HA1012" s="885"/>
      <c r="HB1012" s="885"/>
      <c r="HC1012" s="885"/>
      <c r="HD1012" s="885"/>
      <c r="HE1012" s="885"/>
      <c r="HF1012" s="885"/>
      <c r="HG1012" s="885"/>
      <c r="HH1012" s="885"/>
      <c r="HI1012" s="885"/>
      <c r="HJ1012" s="885"/>
      <c r="HK1012" s="885"/>
      <c r="HL1012" s="885"/>
      <c r="HM1012" s="885"/>
      <c r="HN1012" s="885"/>
      <c r="HO1012" s="885"/>
      <c r="HP1012" s="885"/>
      <c r="HQ1012" s="885"/>
      <c r="HR1012" s="885"/>
      <c r="HS1012" s="885"/>
      <c r="HT1012" s="885"/>
      <c r="HU1012" s="885"/>
      <c r="HV1012" s="885"/>
      <c r="HW1012" s="885"/>
      <c r="HX1012" s="885"/>
      <c r="HY1012" s="885"/>
      <c r="HZ1012" s="885"/>
      <c r="IA1012" s="885"/>
      <c r="IB1012" s="885"/>
      <c r="IC1012" s="885"/>
      <c r="ID1012" s="885"/>
      <c r="IE1012" s="885"/>
      <c r="IF1012" s="885"/>
      <c r="IG1012" s="885"/>
      <c r="IH1012" s="885"/>
      <c r="II1012" s="885"/>
      <c r="IJ1012" s="885"/>
      <c r="IK1012" s="885"/>
      <c r="IL1012" s="885"/>
      <c r="IM1012" s="885"/>
      <c r="IN1012" s="885"/>
      <c r="IO1012" s="885"/>
      <c r="IP1012" s="885"/>
      <c r="IQ1012" s="885"/>
      <c r="IR1012" s="885"/>
      <c r="IS1012" s="885"/>
      <c r="IT1012" s="885"/>
      <c r="IU1012" s="885"/>
      <c r="IV1012" s="885"/>
      <c r="IW1012" s="885"/>
      <c r="IX1012" s="885"/>
    </row>
    <row r="1013" spans="1:258" x14ac:dyDescent="0.25">
      <c r="A1013" s="125">
        <f t="shared" si="121"/>
        <v>973</v>
      </c>
      <c r="B1013" s="885"/>
      <c r="C1013" s="842" t="s">
        <v>125</v>
      </c>
      <c r="D1013" s="924">
        <v>0</v>
      </c>
      <c r="E1013" s="924">
        <f t="shared" ref="E1013:E1024" si="124">D1013/8*12</f>
        <v>0</v>
      </c>
      <c r="F1013" s="136">
        <v>72</v>
      </c>
      <c r="G1013" s="122" t="s">
        <v>1963</v>
      </c>
      <c r="H1013" s="885"/>
      <c r="I1013" s="885"/>
      <c r="J1013" s="885"/>
      <c r="K1013" s="885"/>
      <c r="L1013" s="885"/>
      <c r="M1013" s="885"/>
      <c r="N1013" s="885"/>
      <c r="O1013" s="885"/>
      <c r="P1013" s="885"/>
      <c r="Q1013" s="885"/>
      <c r="R1013" s="885"/>
      <c r="S1013" s="885"/>
      <c r="T1013" s="885"/>
      <c r="U1013" s="885"/>
      <c r="V1013" s="885"/>
      <c r="W1013" s="885"/>
      <c r="X1013" s="885"/>
      <c r="Y1013" s="885"/>
      <c r="Z1013" s="885"/>
      <c r="AA1013" s="885"/>
      <c r="AB1013" s="885"/>
      <c r="AC1013" s="885"/>
      <c r="AD1013" s="885"/>
      <c r="AE1013" s="885"/>
      <c r="AF1013" s="885"/>
      <c r="AG1013" s="885"/>
      <c r="AH1013" s="885"/>
      <c r="AI1013" s="885"/>
      <c r="AJ1013" s="885"/>
      <c r="AK1013" s="885"/>
      <c r="AL1013" s="885"/>
      <c r="AM1013" s="885"/>
      <c r="AN1013" s="885"/>
      <c r="AO1013" s="885"/>
      <c r="AP1013" s="885"/>
      <c r="AQ1013" s="885"/>
      <c r="AR1013" s="885"/>
      <c r="AS1013" s="885"/>
      <c r="AT1013" s="885"/>
      <c r="AU1013" s="885"/>
      <c r="AV1013" s="885"/>
      <c r="AW1013" s="885"/>
      <c r="AX1013" s="885"/>
      <c r="AY1013" s="885"/>
      <c r="AZ1013" s="885"/>
      <c r="BA1013" s="885"/>
      <c r="BB1013" s="885"/>
      <c r="BC1013" s="885"/>
      <c r="BD1013" s="885"/>
      <c r="BE1013" s="885"/>
      <c r="BF1013" s="885"/>
      <c r="BG1013" s="885"/>
      <c r="BH1013" s="885"/>
      <c r="BI1013" s="885"/>
      <c r="BJ1013" s="885"/>
      <c r="BK1013" s="885"/>
      <c r="BL1013" s="885"/>
      <c r="BM1013" s="885"/>
      <c r="BN1013" s="885"/>
      <c r="BO1013" s="885"/>
      <c r="BP1013" s="885"/>
      <c r="BQ1013" s="885"/>
      <c r="BR1013" s="885"/>
      <c r="BS1013" s="885"/>
      <c r="BT1013" s="885"/>
      <c r="BU1013" s="885"/>
      <c r="BV1013" s="885"/>
      <c r="BW1013" s="885"/>
      <c r="BX1013" s="885"/>
      <c r="BY1013" s="885"/>
      <c r="BZ1013" s="885"/>
      <c r="CA1013" s="885"/>
      <c r="CB1013" s="885"/>
      <c r="CC1013" s="885"/>
      <c r="CD1013" s="885"/>
      <c r="CE1013" s="885"/>
      <c r="CF1013" s="885"/>
      <c r="CG1013" s="885"/>
      <c r="CH1013" s="885"/>
      <c r="CI1013" s="885"/>
      <c r="CJ1013" s="885"/>
      <c r="CK1013" s="885"/>
      <c r="CL1013" s="885"/>
      <c r="CM1013" s="885"/>
      <c r="CN1013" s="885"/>
      <c r="CO1013" s="885"/>
      <c r="CP1013" s="885"/>
      <c r="CQ1013" s="885"/>
      <c r="CR1013" s="885"/>
      <c r="CS1013" s="885"/>
      <c r="CT1013" s="885"/>
      <c r="CU1013" s="885"/>
      <c r="CV1013" s="885"/>
      <c r="CW1013" s="885"/>
      <c r="CX1013" s="885"/>
      <c r="CY1013" s="885"/>
      <c r="CZ1013" s="885"/>
      <c r="DA1013" s="885"/>
      <c r="DB1013" s="885"/>
      <c r="DC1013" s="885"/>
      <c r="DD1013" s="885"/>
      <c r="DE1013" s="885"/>
      <c r="DF1013" s="885"/>
      <c r="DG1013" s="885"/>
      <c r="DH1013" s="885"/>
      <c r="DI1013" s="885"/>
      <c r="DJ1013" s="885"/>
      <c r="DK1013" s="885"/>
      <c r="DL1013" s="885"/>
      <c r="DM1013" s="885"/>
      <c r="DN1013" s="885"/>
      <c r="DO1013" s="885"/>
      <c r="DP1013" s="885"/>
      <c r="DQ1013" s="885"/>
      <c r="DR1013" s="885"/>
      <c r="DS1013" s="885"/>
      <c r="DT1013" s="885"/>
      <c r="DU1013" s="885"/>
      <c r="DV1013" s="885"/>
      <c r="DW1013" s="885"/>
      <c r="DX1013" s="885"/>
      <c r="DY1013" s="885"/>
      <c r="DZ1013" s="885"/>
      <c r="EA1013" s="885"/>
      <c r="EB1013" s="885"/>
      <c r="EC1013" s="885"/>
      <c r="ED1013" s="885"/>
      <c r="EE1013" s="885"/>
      <c r="EF1013" s="885"/>
      <c r="EG1013" s="885"/>
      <c r="EH1013" s="885"/>
      <c r="EI1013" s="885"/>
      <c r="EJ1013" s="885"/>
      <c r="EK1013" s="885"/>
      <c r="EL1013" s="885"/>
      <c r="EM1013" s="885"/>
      <c r="EN1013" s="885"/>
      <c r="EO1013" s="885"/>
      <c r="EP1013" s="885"/>
      <c r="EQ1013" s="885"/>
      <c r="ER1013" s="885"/>
      <c r="ES1013" s="885"/>
      <c r="ET1013" s="885"/>
      <c r="EU1013" s="885"/>
      <c r="EV1013" s="885"/>
      <c r="EW1013" s="885"/>
      <c r="EX1013" s="885"/>
      <c r="EY1013" s="885"/>
      <c r="EZ1013" s="885"/>
      <c r="FA1013" s="885"/>
      <c r="FB1013" s="885"/>
      <c r="FC1013" s="885"/>
      <c r="FD1013" s="885"/>
      <c r="FE1013" s="885"/>
      <c r="FF1013" s="885"/>
      <c r="FG1013" s="885"/>
      <c r="FH1013" s="885"/>
      <c r="FI1013" s="885"/>
      <c r="FJ1013" s="885"/>
      <c r="FK1013" s="885"/>
      <c r="FL1013" s="885"/>
      <c r="FM1013" s="885"/>
      <c r="FN1013" s="885"/>
      <c r="FO1013" s="885"/>
      <c r="FP1013" s="885"/>
      <c r="FQ1013" s="885"/>
      <c r="FR1013" s="885"/>
      <c r="FS1013" s="885"/>
      <c r="FT1013" s="885"/>
      <c r="FU1013" s="885"/>
      <c r="FV1013" s="885"/>
      <c r="FW1013" s="885"/>
      <c r="FX1013" s="885"/>
      <c r="FY1013" s="885"/>
      <c r="FZ1013" s="885"/>
      <c r="GA1013" s="885"/>
      <c r="GB1013" s="885"/>
      <c r="GC1013" s="885"/>
      <c r="GD1013" s="885"/>
      <c r="GE1013" s="885"/>
      <c r="GF1013" s="885"/>
      <c r="GG1013" s="885"/>
      <c r="GH1013" s="885"/>
      <c r="GI1013" s="885"/>
      <c r="GJ1013" s="885"/>
      <c r="GK1013" s="885"/>
      <c r="GL1013" s="885"/>
      <c r="GM1013" s="885"/>
      <c r="GN1013" s="885"/>
      <c r="GO1013" s="885"/>
      <c r="GP1013" s="885"/>
      <c r="GQ1013" s="885"/>
      <c r="GR1013" s="885"/>
      <c r="GS1013" s="885"/>
      <c r="GT1013" s="885"/>
      <c r="GU1013" s="885"/>
      <c r="GV1013" s="885"/>
      <c r="GW1013" s="885"/>
      <c r="GX1013" s="885"/>
      <c r="GY1013" s="885"/>
      <c r="GZ1013" s="885"/>
      <c r="HA1013" s="885"/>
      <c r="HB1013" s="885"/>
      <c r="HC1013" s="885"/>
      <c r="HD1013" s="885"/>
      <c r="HE1013" s="885"/>
      <c r="HF1013" s="885"/>
      <c r="HG1013" s="885"/>
      <c r="HH1013" s="885"/>
      <c r="HI1013" s="885"/>
      <c r="HJ1013" s="885"/>
      <c r="HK1013" s="885"/>
      <c r="HL1013" s="885"/>
      <c r="HM1013" s="885"/>
      <c r="HN1013" s="885"/>
      <c r="HO1013" s="885"/>
      <c r="HP1013" s="885"/>
      <c r="HQ1013" s="885"/>
      <c r="HR1013" s="885"/>
      <c r="HS1013" s="885"/>
      <c r="HT1013" s="885"/>
      <c r="HU1013" s="885"/>
      <c r="HV1013" s="885"/>
      <c r="HW1013" s="885"/>
      <c r="HX1013" s="885"/>
      <c r="HY1013" s="885"/>
      <c r="HZ1013" s="885"/>
      <c r="IA1013" s="885"/>
      <c r="IB1013" s="885"/>
      <c r="IC1013" s="885"/>
      <c r="ID1013" s="885"/>
      <c r="IE1013" s="885"/>
      <c r="IF1013" s="885"/>
      <c r="IG1013" s="885"/>
      <c r="IH1013" s="885"/>
      <c r="II1013" s="885"/>
      <c r="IJ1013" s="885"/>
      <c r="IK1013" s="885"/>
      <c r="IL1013" s="885"/>
      <c r="IM1013" s="885"/>
      <c r="IN1013" s="885"/>
      <c r="IO1013" s="885"/>
      <c r="IP1013" s="885"/>
      <c r="IQ1013" s="885"/>
      <c r="IR1013" s="885"/>
      <c r="IS1013" s="885"/>
      <c r="IT1013" s="885"/>
      <c r="IU1013" s="885"/>
      <c r="IV1013" s="885"/>
      <c r="IW1013" s="885"/>
      <c r="IX1013" s="885"/>
    </row>
    <row r="1014" spans="1:258" x14ac:dyDescent="0.25">
      <c r="A1014" s="125">
        <f t="shared" si="121"/>
        <v>974</v>
      </c>
      <c r="B1014" s="885"/>
      <c r="C1014" s="842" t="s">
        <v>10502</v>
      </c>
      <c r="D1014" s="924">
        <v>69.63</v>
      </c>
      <c r="E1014" s="924">
        <f t="shared" si="124"/>
        <v>104.44499999999999</v>
      </c>
      <c r="F1014" s="136">
        <v>500</v>
      </c>
      <c r="G1014" s="122" t="s">
        <v>1963</v>
      </c>
      <c r="H1014" s="885"/>
      <c r="I1014" s="885"/>
      <c r="J1014" s="885"/>
      <c r="K1014" s="885"/>
      <c r="L1014" s="885"/>
      <c r="M1014" s="885"/>
      <c r="N1014" s="885"/>
      <c r="O1014" s="885"/>
      <c r="P1014" s="885"/>
      <c r="Q1014" s="885"/>
      <c r="R1014" s="885"/>
      <c r="S1014" s="885"/>
      <c r="T1014" s="885"/>
      <c r="U1014" s="885"/>
      <c r="V1014" s="885"/>
      <c r="W1014" s="885"/>
      <c r="X1014" s="885"/>
      <c r="Y1014" s="885"/>
      <c r="Z1014" s="885"/>
      <c r="AA1014" s="885"/>
      <c r="AB1014" s="885"/>
      <c r="AC1014" s="885"/>
      <c r="AD1014" s="885"/>
      <c r="AE1014" s="885"/>
      <c r="AF1014" s="885"/>
      <c r="AG1014" s="885"/>
      <c r="AH1014" s="885"/>
      <c r="AI1014" s="885"/>
      <c r="AJ1014" s="885"/>
      <c r="AK1014" s="885"/>
      <c r="AL1014" s="885"/>
      <c r="AM1014" s="885"/>
      <c r="AN1014" s="885"/>
      <c r="AO1014" s="885"/>
      <c r="AP1014" s="885"/>
      <c r="AQ1014" s="885"/>
      <c r="AR1014" s="885"/>
      <c r="AS1014" s="885"/>
      <c r="AT1014" s="885"/>
      <c r="AU1014" s="885"/>
      <c r="AV1014" s="885"/>
      <c r="AW1014" s="885"/>
      <c r="AX1014" s="885"/>
      <c r="AY1014" s="885"/>
      <c r="AZ1014" s="885"/>
      <c r="BA1014" s="885"/>
      <c r="BB1014" s="885"/>
      <c r="BC1014" s="885"/>
      <c r="BD1014" s="885"/>
      <c r="BE1014" s="885"/>
      <c r="BF1014" s="885"/>
      <c r="BG1014" s="885"/>
      <c r="BH1014" s="885"/>
      <c r="BI1014" s="885"/>
      <c r="BJ1014" s="885"/>
      <c r="BK1014" s="885"/>
      <c r="BL1014" s="885"/>
      <c r="BM1014" s="885"/>
      <c r="BN1014" s="885"/>
      <c r="BO1014" s="885"/>
      <c r="BP1014" s="885"/>
      <c r="BQ1014" s="885"/>
      <c r="BR1014" s="885"/>
      <c r="BS1014" s="885"/>
      <c r="BT1014" s="885"/>
      <c r="BU1014" s="885"/>
      <c r="BV1014" s="885"/>
      <c r="BW1014" s="885"/>
      <c r="BX1014" s="885"/>
      <c r="BY1014" s="885"/>
      <c r="BZ1014" s="885"/>
      <c r="CA1014" s="885"/>
      <c r="CB1014" s="885"/>
      <c r="CC1014" s="885"/>
      <c r="CD1014" s="885"/>
      <c r="CE1014" s="885"/>
      <c r="CF1014" s="885"/>
      <c r="CG1014" s="885"/>
      <c r="CH1014" s="885"/>
      <c r="CI1014" s="885"/>
      <c r="CJ1014" s="885"/>
      <c r="CK1014" s="885"/>
      <c r="CL1014" s="885"/>
      <c r="CM1014" s="885"/>
      <c r="CN1014" s="885"/>
      <c r="CO1014" s="885"/>
      <c r="CP1014" s="885"/>
      <c r="CQ1014" s="885"/>
      <c r="CR1014" s="885"/>
      <c r="CS1014" s="885"/>
      <c r="CT1014" s="885"/>
      <c r="CU1014" s="885"/>
      <c r="CV1014" s="885"/>
      <c r="CW1014" s="885"/>
      <c r="CX1014" s="885"/>
      <c r="CY1014" s="885"/>
      <c r="CZ1014" s="885"/>
      <c r="DA1014" s="885"/>
      <c r="DB1014" s="885"/>
      <c r="DC1014" s="885"/>
      <c r="DD1014" s="885"/>
      <c r="DE1014" s="885"/>
      <c r="DF1014" s="885"/>
      <c r="DG1014" s="885"/>
      <c r="DH1014" s="885"/>
      <c r="DI1014" s="885"/>
      <c r="DJ1014" s="885"/>
      <c r="DK1014" s="885"/>
      <c r="DL1014" s="885"/>
      <c r="DM1014" s="885"/>
      <c r="DN1014" s="885"/>
      <c r="DO1014" s="885"/>
      <c r="DP1014" s="885"/>
      <c r="DQ1014" s="885"/>
      <c r="DR1014" s="885"/>
      <c r="DS1014" s="885"/>
      <c r="DT1014" s="885"/>
      <c r="DU1014" s="885"/>
      <c r="DV1014" s="885"/>
      <c r="DW1014" s="885"/>
      <c r="DX1014" s="885"/>
      <c r="DY1014" s="885"/>
      <c r="DZ1014" s="885"/>
      <c r="EA1014" s="885"/>
      <c r="EB1014" s="885"/>
      <c r="EC1014" s="885"/>
      <c r="ED1014" s="885"/>
      <c r="EE1014" s="885"/>
      <c r="EF1014" s="885"/>
      <c r="EG1014" s="885"/>
      <c r="EH1014" s="885"/>
      <c r="EI1014" s="885"/>
      <c r="EJ1014" s="885"/>
      <c r="EK1014" s="885"/>
      <c r="EL1014" s="885"/>
      <c r="EM1014" s="885"/>
      <c r="EN1014" s="885"/>
      <c r="EO1014" s="885"/>
      <c r="EP1014" s="885"/>
      <c r="EQ1014" s="885"/>
      <c r="ER1014" s="885"/>
      <c r="ES1014" s="885"/>
      <c r="ET1014" s="885"/>
      <c r="EU1014" s="885"/>
      <c r="EV1014" s="885"/>
      <c r="EW1014" s="885"/>
      <c r="EX1014" s="885"/>
      <c r="EY1014" s="885"/>
      <c r="EZ1014" s="885"/>
      <c r="FA1014" s="885"/>
      <c r="FB1014" s="885"/>
      <c r="FC1014" s="885"/>
      <c r="FD1014" s="885"/>
      <c r="FE1014" s="885"/>
      <c r="FF1014" s="885"/>
      <c r="FG1014" s="885"/>
      <c r="FH1014" s="885"/>
      <c r="FI1014" s="885"/>
      <c r="FJ1014" s="885"/>
      <c r="FK1014" s="885"/>
      <c r="FL1014" s="885"/>
      <c r="FM1014" s="885"/>
      <c r="FN1014" s="885"/>
      <c r="FO1014" s="885"/>
      <c r="FP1014" s="885"/>
      <c r="FQ1014" s="885"/>
      <c r="FR1014" s="885"/>
      <c r="FS1014" s="885"/>
      <c r="FT1014" s="885"/>
      <c r="FU1014" s="885"/>
      <c r="FV1014" s="885"/>
      <c r="FW1014" s="885"/>
      <c r="FX1014" s="885"/>
      <c r="FY1014" s="885"/>
      <c r="FZ1014" s="885"/>
      <c r="GA1014" s="885"/>
      <c r="GB1014" s="885"/>
      <c r="GC1014" s="885"/>
      <c r="GD1014" s="885"/>
      <c r="GE1014" s="885"/>
      <c r="GF1014" s="885"/>
      <c r="GG1014" s="885"/>
      <c r="GH1014" s="885"/>
      <c r="GI1014" s="885"/>
      <c r="GJ1014" s="885"/>
      <c r="GK1014" s="885"/>
      <c r="GL1014" s="885"/>
      <c r="GM1014" s="885"/>
      <c r="GN1014" s="885"/>
      <c r="GO1014" s="885"/>
      <c r="GP1014" s="885"/>
      <c r="GQ1014" s="885"/>
      <c r="GR1014" s="885"/>
      <c r="GS1014" s="885"/>
      <c r="GT1014" s="885"/>
      <c r="GU1014" s="885"/>
      <c r="GV1014" s="885"/>
      <c r="GW1014" s="885"/>
      <c r="GX1014" s="885"/>
      <c r="GY1014" s="885"/>
      <c r="GZ1014" s="885"/>
      <c r="HA1014" s="885"/>
      <c r="HB1014" s="885"/>
      <c r="HC1014" s="885"/>
      <c r="HD1014" s="885"/>
      <c r="HE1014" s="885"/>
      <c r="HF1014" s="885"/>
      <c r="HG1014" s="885"/>
      <c r="HH1014" s="885"/>
      <c r="HI1014" s="885"/>
      <c r="HJ1014" s="885"/>
      <c r="HK1014" s="885"/>
      <c r="HL1014" s="885"/>
      <c r="HM1014" s="885"/>
      <c r="HN1014" s="885"/>
      <c r="HO1014" s="885"/>
      <c r="HP1014" s="885"/>
      <c r="HQ1014" s="885"/>
      <c r="HR1014" s="885"/>
      <c r="HS1014" s="885"/>
      <c r="HT1014" s="885"/>
      <c r="HU1014" s="885"/>
      <c r="HV1014" s="885"/>
      <c r="HW1014" s="885"/>
      <c r="HX1014" s="885"/>
      <c r="HY1014" s="885"/>
      <c r="HZ1014" s="885"/>
      <c r="IA1014" s="885"/>
      <c r="IB1014" s="885"/>
      <c r="IC1014" s="885"/>
      <c r="ID1014" s="885"/>
      <c r="IE1014" s="885"/>
      <c r="IF1014" s="885"/>
      <c r="IG1014" s="885"/>
      <c r="IH1014" s="885"/>
      <c r="II1014" s="885"/>
      <c r="IJ1014" s="885"/>
      <c r="IK1014" s="885"/>
      <c r="IL1014" s="885"/>
      <c r="IM1014" s="885"/>
      <c r="IN1014" s="885"/>
      <c r="IO1014" s="885"/>
      <c r="IP1014" s="885"/>
      <c r="IQ1014" s="885"/>
      <c r="IR1014" s="885"/>
      <c r="IS1014" s="885"/>
      <c r="IT1014" s="885"/>
      <c r="IU1014" s="885"/>
      <c r="IV1014" s="885"/>
      <c r="IW1014" s="885"/>
      <c r="IX1014" s="885"/>
    </row>
    <row r="1015" spans="1:258" x14ac:dyDescent="0.25">
      <c r="A1015" s="125">
        <f t="shared" si="121"/>
        <v>975</v>
      </c>
      <c r="B1015" s="885"/>
      <c r="C1015" s="842" t="s">
        <v>10519</v>
      </c>
      <c r="D1015" s="924">
        <v>0</v>
      </c>
      <c r="E1015" s="924">
        <f t="shared" si="124"/>
        <v>0</v>
      </c>
      <c r="F1015" s="136">
        <v>500</v>
      </c>
      <c r="G1015" s="122" t="s">
        <v>1963</v>
      </c>
      <c r="H1015" s="885"/>
      <c r="I1015" s="885"/>
      <c r="J1015" s="885"/>
      <c r="K1015" s="885"/>
      <c r="L1015" s="885"/>
      <c r="M1015" s="885"/>
      <c r="N1015" s="885"/>
      <c r="O1015" s="885"/>
      <c r="P1015" s="885"/>
      <c r="Q1015" s="885"/>
      <c r="R1015" s="885"/>
      <c r="S1015" s="885"/>
      <c r="T1015" s="885"/>
      <c r="U1015" s="885"/>
      <c r="V1015" s="885"/>
      <c r="W1015" s="885"/>
      <c r="X1015" s="885"/>
      <c r="Y1015" s="885"/>
      <c r="Z1015" s="885"/>
      <c r="AA1015" s="885"/>
      <c r="AB1015" s="885"/>
      <c r="AC1015" s="885"/>
      <c r="AD1015" s="885"/>
      <c r="AE1015" s="885"/>
      <c r="AF1015" s="885"/>
      <c r="AG1015" s="885"/>
      <c r="AH1015" s="885"/>
      <c r="AI1015" s="885"/>
      <c r="AJ1015" s="885"/>
      <c r="AK1015" s="885"/>
      <c r="AL1015" s="885"/>
      <c r="AM1015" s="885"/>
      <c r="AN1015" s="885"/>
      <c r="AO1015" s="885"/>
      <c r="AP1015" s="885"/>
      <c r="AQ1015" s="885"/>
      <c r="AR1015" s="885"/>
      <c r="AS1015" s="885"/>
      <c r="AT1015" s="885"/>
      <c r="AU1015" s="885"/>
      <c r="AV1015" s="885"/>
      <c r="AW1015" s="885"/>
      <c r="AX1015" s="885"/>
      <c r="AY1015" s="885"/>
      <c r="AZ1015" s="885"/>
      <c r="BA1015" s="885"/>
      <c r="BB1015" s="885"/>
      <c r="BC1015" s="885"/>
      <c r="BD1015" s="885"/>
      <c r="BE1015" s="885"/>
      <c r="BF1015" s="885"/>
      <c r="BG1015" s="885"/>
      <c r="BH1015" s="885"/>
      <c r="BI1015" s="885"/>
      <c r="BJ1015" s="885"/>
      <c r="BK1015" s="885"/>
      <c r="BL1015" s="885"/>
      <c r="BM1015" s="885"/>
      <c r="BN1015" s="885"/>
      <c r="BO1015" s="885"/>
      <c r="BP1015" s="885"/>
      <c r="BQ1015" s="885"/>
      <c r="BR1015" s="885"/>
      <c r="BS1015" s="885"/>
      <c r="BT1015" s="885"/>
      <c r="BU1015" s="885"/>
      <c r="BV1015" s="885"/>
      <c r="BW1015" s="885"/>
      <c r="BX1015" s="885"/>
      <c r="BY1015" s="885"/>
      <c r="BZ1015" s="885"/>
      <c r="CA1015" s="885"/>
      <c r="CB1015" s="885"/>
      <c r="CC1015" s="885"/>
      <c r="CD1015" s="885"/>
      <c r="CE1015" s="885"/>
      <c r="CF1015" s="885"/>
      <c r="CG1015" s="885"/>
      <c r="CH1015" s="885"/>
      <c r="CI1015" s="885"/>
      <c r="CJ1015" s="885"/>
      <c r="CK1015" s="885"/>
      <c r="CL1015" s="885"/>
      <c r="CM1015" s="885"/>
      <c r="CN1015" s="885"/>
      <c r="CO1015" s="885"/>
      <c r="CP1015" s="885"/>
      <c r="CQ1015" s="885"/>
      <c r="CR1015" s="885"/>
      <c r="CS1015" s="885"/>
      <c r="CT1015" s="885"/>
      <c r="CU1015" s="885"/>
      <c r="CV1015" s="885"/>
      <c r="CW1015" s="885"/>
      <c r="CX1015" s="885"/>
      <c r="CY1015" s="885"/>
      <c r="CZ1015" s="885"/>
      <c r="DA1015" s="885"/>
      <c r="DB1015" s="885"/>
      <c r="DC1015" s="885"/>
      <c r="DD1015" s="885"/>
      <c r="DE1015" s="885"/>
      <c r="DF1015" s="885"/>
      <c r="DG1015" s="885"/>
      <c r="DH1015" s="885"/>
      <c r="DI1015" s="885"/>
      <c r="DJ1015" s="885"/>
      <c r="DK1015" s="885"/>
      <c r="DL1015" s="885"/>
      <c r="DM1015" s="885"/>
      <c r="DN1015" s="885"/>
      <c r="DO1015" s="885"/>
      <c r="DP1015" s="885"/>
      <c r="DQ1015" s="885"/>
      <c r="DR1015" s="885"/>
      <c r="DS1015" s="885"/>
      <c r="DT1015" s="885"/>
      <c r="DU1015" s="885"/>
      <c r="DV1015" s="885"/>
      <c r="DW1015" s="885"/>
      <c r="DX1015" s="885"/>
      <c r="DY1015" s="885"/>
      <c r="DZ1015" s="885"/>
      <c r="EA1015" s="885"/>
      <c r="EB1015" s="885"/>
      <c r="EC1015" s="885"/>
      <c r="ED1015" s="885"/>
      <c r="EE1015" s="885"/>
      <c r="EF1015" s="885"/>
      <c r="EG1015" s="885"/>
      <c r="EH1015" s="885"/>
      <c r="EI1015" s="885"/>
      <c r="EJ1015" s="885"/>
      <c r="EK1015" s="885"/>
      <c r="EL1015" s="885"/>
      <c r="EM1015" s="885"/>
      <c r="EN1015" s="885"/>
      <c r="EO1015" s="885"/>
      <c r="EP1015" s="885"/>
      <c r="EQ1015" s="885"/>
      <c r="ER1015" s="885"/>
      <c r="ES1015" s="885"/>
      <c r="ET1015" s="885"/>
      <c r="EU1015" s="885"/>
      <c r="EV1015" s="885"/>
      <c r="EW1015" s="885"/>
      <c r="EX1015" s="885"/>
      <c r="EY1015" s="885"/>
      <c r="EZ1015" s="885"/>
      <c r="FA1015" s="885"/>
      <c r="FB1015" s="885"/>
      <c r="FC1015" s="885"/>
      <c r="FD1015" s="885"/>
      <c r="FE1015" s="885"/>
      <c r="FF1015" s="885"/>
      <c r="FG1015" s="885"/>
      <c r="FH1015" s="885"/>
      <c r="FI1015" s="885"/>
      <c r="FJ1015" s="885"/>
      <c r="FK1015" s="885"/>
      <c r="FL1015" s="885"/>
      <c r="FM1015" s="885"/>
      <c r="FN1015" s="885"/>
      <c r="FO1015" s="885"/>
      <c r="FP1015" s="885"/>
      <c r="FQ1015" s="885"/>
      <c r="FR1015" s="885"/>
      <c r="FS1015" s="885"/>
      <c r="FT1015" s="885"/>
      <c r="FU1015" s="885"/>
      <c r="FV1015" s="885"/>
      <c r="FW1015" s="885"/>
      <c r="FX1015" s="885"/>
      <c r="FY1015" s="885"/>
      <c r="FZ1015" s="885"/>
      <c r="GA1015" s="885"/>
      <c r="GB1015" s="885"/>
      <c r="GC1015" s="885"/>
      <c r="GD1015" s="885"/>
      <c r="GE1015" s="885"/>
      <c r="GF1015" s="885"/>
      <c r="GG1015" s="885"/>
      <c r="GH1015" s="885"/>
      <c r="GI1015" s="885"/>
      <c r="GJ1015" s="885"/>
      <c r="GK1015" s="885"/>
      <c r="GL1015" s="885"/>
      <c r="GM1015" s="885"/>
      <c r="GN1015" s="885"/>
      <c r="GO1015" s="885"/>
      <c r="GP1015" s="885"/>
      <c r="GQ1015" s="885"/>
      <c r="GR1015" s="885"/>
      <c r="GS1015" s="885"/>
      <c r="GT1015" s="885"/>
      <c r="GU1015" s="885"/>
      <c r="GV1015" s="885"/>
      <c r="GW1015" s="885"/>
      <c r="GX1015" s="885"/>
      <c r="GY1015" s="885"/>
      <c r="GZ1015" s="885"/>
      <c r="HA1015" s="885"/>
      <c r="HB1015" s="885"/>
      <c r="HC1015" s="885"/>
      <c r="HD1015" s="885"/>
      <c r="HE1015" s="885"/>
      <c r="HF1015" s="885"/>
      <c r="HG1015" s="885"/>
      <c r="HH1015" s="885"/>
      <c r="HI1015" s="885"/>
      <c r="HJ1015" s="885"/>
      <c r="HK1015" s="885"/>
      <c r="HL1015" s="885"/>
      <c r="HM1015" s="885"/>
      <c r="HN1015" s="885"/>
      <c r="HO1015" s="885"/>
      <c r="HP1015" s="885"/>
      <c r="HQ1015" s="885"/>
      <c r="HR1015" s="885"/>
      <c r="HS1015" s="885"/>
      <c r="HT1015" s="885"/>
      <c r="HU1015" s="885"/>
      <c r="HV1015" s="885"/>
      <c r="HW1015" s="885"/>
      <c r="HX1015" s="885"/>
      <c r="HY1015" s="885"/>
      <c r="HZ1015" s="885"/>
      <c r="IA1015" s="885"/>
      <c r="IB1015" s="885"/>
      <c r="IC1015" s="885"/>
      <c r="ID1015" s="885"/>
      <c r="IE1015" s="885"/>
      <c r="IF1015" s="885"/>
      <c r="IG1015" s="885"/>
      <c r="IH1015" s="885"/>
      <c r="II1015" s="885"/>
      <c r="IJ1015" s="885"/>
      <c r="IK1015" s="885"/>
      <c r="IL1015" s="885"/>
      <c r="IM1015" s="885"/>
      <c r="IN1015" s="885"/>
      <c r="IO1015" s="885"/>
      <c r="IP1015" s="885"/>
      <c r="IQ1015" s="885"/>
      <c r="IR1015" s="885"/>
      <c r="IS1015" s="885"/>
      <c r="IT1015" s="885"/>
      <c r="IU1015" s="885"/>
      <c r="IV1015" s="885"/>
      <c r="IW1015" s="885"/>
      <c r="IX1015" s="885"/>
    </row>
    <row r="1016" spans="1:258" x14ac:dyDescent="0.25">
      <c r="A1016" s="125">
        <f t="shared" si="121"/>
        <v>976</v>
      </c>
      <c r="B1016" s="885"/>
      <c r="C1016" s="842" t="s">
        <v>10501</v>
      </c>
      <c r="D1016" s="924">
        <v>0</v>
      </c>
      <c r="E1016" s="924">
        <f t="shared" si="124"/>
        <v>0</v>
      </c>
      <c r="F1016" s="136">
        <v>500</v>
      </c>
      <c r="G1016" s="122" t="s">
        <v>1963</v>
      </c>
      <c r="H1016" s="885"/>
      <c r="I1016" s="885"/>
      <c r="J1016" s="885"/>
      <c r="K1016" s="885"/>
      <c r="L1016" s="885"/>
      <c r="M1016" s="885"/>
      <c r="N1016" s="885"/>
      <c r="O1016" s="885"/>
      <c r="P1016" s="885"/>
      <c r="Q1016" s="885"/>
      <c r="R1016" s="885"/>
      <c r="S1016" s="885"/>
      <c r="T1016" s="885"/>
      <c r="U1016" s="885"/>
      <c r="V1016" s="885"/>
      <c r="W1016" s="885"/>
      <c r="X1016" s="885"/>
      <c r="Y1016" s="885"/>
      <c r="Z1016" s="885"/>
      <c r="AA1016" s="885"/>
      <c r="AB1016" s="885"/>
      <c r="AC1016" s="885"/>
      <c r="AD1016" s="885"/>
      <c r="AE1016" s="885"/>
      <c r="AF1016" s="885"/>
      <c r="AG1016" s="885"/>
      <c r="AH1016" s="885"/>
      <c r="AI1016" s="885"/>
      <c r="AJ1016" s="885"/>
      <c r="AK1016" s="885"/>
      <c r="AL1016" s="885"/>
      <c r="AM1016" s="885"/>
      <c r="AN1016" s="885"/>
      <c r="AO1016" s="885"/>
      <c r="AP1016" s="885"/>
      <c r="AQ1016" s="885"/>
      <c r="AR1016" s="885"/>
      <c r="AS1016" s="885"/>
      <c r="AT1016" s="885"/>
      <c r="AU1016" s="885"/>
      <c r="AV1016" s="885"/>
      <c r="AW1016" s="885"/>
      <c r="AX1016" s="885"/>
      <c r="AY1016" s="885"/>
      <c r="AZ1016" s="885"/>
      <c r="BA1016" s="885"/>
      <c r="BB1016" s="885"/>
      <c r="BC1016" s="885"/>
      <c r="BD1016" s="885"/>
      <c r="BE1016" s="885"/>
      <c r="BF1016" s="885"/>
      <c r="BG1016" s="885"/>
      <c r="BH1016" s="885"/>
      <c r="BI1016" s="885"/>
      <c r="BJ1016" s="885"/>
      <c r="BK1016" s="885"/>
      <c r="BL1016" s="885"/>
      <c r="BM1016" s="885"/>
      <c r="BN1016" s="885"/>
      <c r="BO1016" s="885"/>
      <c r="BP1016" s="885"/>
      <c r="BQ1016" s="885"/>
      <c r="BR1016" s="885"/>
      <c r="BS1016" s="885"/>
      <c r="BT1016" s="885"/>
      <c r="BU1016" s="885"/>
      <c r="BV1016" s="885"/>
      <c r="BW1016" s="885"/>
      <c r="BX1016" s="885"/>
      <c r="BY1016" s="885"/>
      <c r="BZ1016" s="885"/>
      <c r="CA1016" s="885"/>
      <c r="CB1016" s="885"/>
      <c r="CC1016" s="885"/>
      <c r="CD1016" s="885"/>
      <c r="CE1016" s="885"/>
      <c r="CF1016" s="885"/>
      <c r="CG1016" s="885"/>
      <c r="CH1016" s="885"/>
      <c r="CI1016" s="885"/>
      <c r="CJ1016" s="885"/>
      <c r="CK1016" s="885"/>
      <c r="CL1016" s="885"/>
      <c r="CM1016" s="885"/>
      <c r="CN1016" s="885"/>
      <c r="CO1016" s="885"/>
      <c r="CP1016" s="885"/>
      <c r="CQ1016" s="885"/>
      <c r="CR1016" s="885"/>
      <c r="CS1016" s="885"/>
      <c r="CT1016" s="885"/>
      <c r="CU1016" s="885"/>
      <c r="CV1016" s="885"/>
      <c r="CW1016" s="885"/>
      <c r="CX1016" s="885"/>
      <c r="CY1016" s="885"/>
      <c r="CZ1016" s="885"/>
      <c r="DA1016" s="885"/>
      <c r="DB1016" s="885"/>
      <c r="DC1016" s="885"/>
      <c r="DD1016" s="885"/>
      <c r="DE1016" s="885"/>
      <c r="DF1016" s="885"/>
      <c r="DG1016" s="885"/>
      <c r="DH1016" s="885"/>
      <c r="DI1016" s="885"/>
      <c r="DJ1016" s="885"/>
      <c r="DK1016" s="885"/>
      <c r="DL1016" s="885"/>
      <c r="DM1016" s="885"/>
      <c r="DN1016" s="885"/>
      <c r="DO1016" s="885"/>
      <c r="DP1016" s="885"/>
      <c r="DQ1016" s="885"/>
      <c r="DR1016" s="885"/>
      <c r="DS1016" s="885"/>
      <c r="DT1016" s="885"/>
      <c r="DU1016" s="885"/>
      <c r="DV1016" s="885"/>
      <c r="DW1016" s="885"/>
      <c r="DX1016" s="885"/>
      <c r="DY1016" s="885"/>
      <c r="DZ1016" s="885"/>
      <c r="EA1016" s="885"/>
      <c r="EB1016" s="885"/>
      <c r="EC1016" s="885"/>
      <c r="ED1016" s="885"/>
      <c r="EE1016" s="885"/>
      <c r="EF1016" s="885"/>
      <c r="EG1016" s="885"/>
      <c r="EH1016" s="885"/>
      <c r="EI1016" s="885"/>
      <c r="EJ1016" s="885"/>
      <c r="EK1016" s="885"/>
      <c r="EL1016" s="885"/>
      <c r="EM1016" s="885"/>
      <c r="EN1016" s="885"/>
      <c r="EO1016" s="885"/>
      <c r="EP1016" s="885"/>
      <c r="EQ1016" s="885"/>
      <c r="ER1016" s="885"/>
      <c r="ES1016" s="885"/>
      <c r="ET1016" s="885"/>
      <c r="EU1016" s="885"/>
      <c r="EV1016" s="885"/>
      <c r="EW1016" s="885"/>
      <c r="EX1016" s="885"/>
      <c r="EY1016" s="885"/>
      <c r="EZ1016" s="885"/>
      <c r="FA1016" s="885"/>
      <c r="FB1016" s="885"/>
      <c r="FC1016" s="885"/>
      <c r="FD1016" s="885"/>
      <c r="FE1016" s="885"/>
      <c r="FF1016" s="885"/>
      <c r="FG1016" s="885"/>
      <c r="FH1016" s="885"/>
      <c r="FI1016" s="885"/>
      <c r="FJ1016" s="885"/>
      <c r="FK1016" s="885"/>
      <c r="FL1016" s="885"/>
      <c r="FM1016" s="885"/>
      <c r="FN1016" s="885"/>
      <c r="FO1016" s="885"/>
      <c r="FP1016" s="885"/>
      <c r="FQ1016" s="885"/>
      <c r="FR1016" s="885"/>
      <c r="FS1016" s="885"/>
      <c r="FT1016" s="885"/>
      <c r="FU1016" s="885"/>
      <c r="FV1016" s="885"/>
      <c r="FW1016" s="885"/>
      <c r="FX1016" s="885"/>
      <c r="FY1016" s="885"/>
      <c r="FZ1016" s="885"/>
      <c r="GA1016" s="885"/>
      <c r="GB1016" s="885"/>
      <c r="GC1016" s="885"/>
      <c r="GD1016" s="885"/>
      <c r="GE1016" s="885"/>
      <c r="GF1016" s="885"/>
      <c r="GG1016" s="885"/>
      <c r="GH1016" s="885"/>
      <c r="GI1016" s="885"/>
      <c r="GJ1016" s="885"/>
      <c r="GK1016" s="885"/>
      <c r="GL1016" s="885"/>
      <c r="GM1016" s="885"/>
      <c r="GN1016" s="885"/>
      <c r="GO1016" s="885"/>
      <c r="GP1016" s="885"/>
      <c r="GQ1016" s="885"/>
      <c r="GR1016" s="885"/>
      <c r="GS1016" s="885"/>
      <c r="GT1016" s="885"/>
      <c r="GU1016" s="885"/>
      <c r="GV1016" s="885"/>
      <c r="GW1016" s="885"/>
      <c r="GX1016" s="885"/>
      <c r="GY1016" s="885"/>
      <c r="GZ1016" s="885"/>
      <c r="HA1016" s="885"/>
      <c r="HB1016" s="885"/>
      <c r="HC1016" s="885"/>
      <c r="HD1016" s="885"/>
      <c r="HE1016" s="885"/>
      <c r="HF1016" s="885"/>
      <c r="HG1016" s="885"/>
      <c r="HH1016" s="885"/>
      <c r="HI1016" s="885"/>
      <c r="HJ1016" s="885"/>
      <c r="HK1016" s="885"/>
      <c r="HL1016" s="885"/>
      <c r="HM1016" s="885"/>
      <c r="HN1016" s="885"/>
      <c r="HO1016" s="885"/>
      <c r="HP1016" s="885"/>
      <c r="HQ1016" s="885"/>
      <c r="HR1016" s="885"/>
      <c r="HS1016" s="885"/>
      <c r="HT1016" s="885"/>
      <c r="HU1016" s="885"/>
      <c r="HV1016" s="885"/>
      <c r="HW1016" s="885"/>
      <c r="HX1016" s="885"/>
      <c r="HY1016" s="885"/>
      <c r="HZ1016" s="885"/>
      <c r="IA1016" s="885"/>
      <c r="IB1016" s="885"/>
      <c r="IC1016" s="885"/>
      <c r="ID1016" s="885"/>
      <c r="IE1016" s="885"/>
      <c r="IF1016" s="885"/>
      <c r="IG1016" s="885"/>
      <c r="IH1016" s="885"/>
      <c r="II1016" s="885"/>
      <c r="IJ1016" s="885"/>
      <c r="IK1016" s="885"/>
      <c r="IL1016" s="885"/>
      <c r="IM1016" s="885"/>
      <c r="IN1016" s="885"/>
      <c r="IO1016" s="885"/>
      <c r="IP1016" s="885"/>
      <c r="IQ1016" s="885"/>
      <c r="IR1016" s="885"/>
      <c r="IS1016" s="885"/>
      <c r="IT1016" s="885"/>
      <c r="IU1016" s="885"/>
      <c r="IV1016" s="885"/>
      <c r="IW1016" s="885"/>
      <c r="IX1016" s="885"/>
    </row>
    <row r="1017" spans="1:258" x14ac:dyDescent="0.25">
      <c r="A1017" s="125">
        <f t="shared" si="121"/>
        <v>977</v>
      </c>
      <c r="B1017" s="885"/>
      <c r="C1017" s="842" t="s">
        <v>10500</v>
      </c>
      <c r="D1017" s="924">
        <v>0</v>
      </c>
      <c r="E1017" s="924">
        <f t="shared" si="124"/>
        <v>0</v>
      </c>
      <c r="F1017" s="136">
        <v>800</v>
      </c>
      <c r="G1017" s="122" t="s">
        <v>1963</v>
      </c>
      <c r="H1017" s="885"/>
      <c r="I1017" s="885"/>
      <c r="J1017" s="885"/>
      <c r="K1017" s="885"/>
      <c r="L1017" s="885"/>
      <c r="M1017" s="885"/>
      <c r="N1017" s="885"/>
      <c r="O1017" s="885"/>
      <c r="P1017" s="885"/>
      <c r="Q1017" s="885"/>
      <c r="R1017" s="885"/>
      <c r="S1017" s="885"/>
      <c r="T1017" s="885"/>
      <c r="U1017" s="885"/>
      <c r="V1017" s="885"/>
      <c r="W1017" s="885"/>
      <c r="X1017" s="885"/>
      <c r="Y1017" s="885"/>
      <c r="Z1017" s="885"/>
      <c r="AA1017" s="885"/>
      <c r="AB1017" s="885"/>
      <c r="AC1017" s="885"/>
      <c r="AD1017" s="885"/>
      <c r="AE1017" s="885"/>
      <c r="AF1017" s="885"/>
      <c r="AG1017" s="885"/>
      <c r="AH1017" s="885"/>
      <c r="AI1017" s="885"/>
      <c r="AJ1017" s="885"/>
      <c r="AK1017" s="885"/>
      <c r="AL1017" s="885"/>
      <c r="AM1017" s="885"/>
      <c r="AN1017" s="885"/>
      <c r="AO1017" s="885"/>
      <c r="AP1017" s="885"/>
      <c r="AQ1017" s="885"/>
      <c r="AR1017" s="885"/>
      <c r="AS1017" s="885"/>
      <c r="AT1017" s="885"/>
      <c r="AU1017" s="885"/>
      <c r="AV1017" s="885"/>
      <c r="AW1017" s="885"/>
      <c r="AX1017" s="885"/>
      <c r="AY1017" s="885"/>
      <c r="AZ1017" s="885"/>
      <c r="BA1017" s="885"/>
      <c r="BB1017" s="885"/>
      <c r="BC1017" s="885"/>
      <c r="BD1017" s="885"/>
      <c r="BE1017" s="885"/>
      <c r="BF1017" s="885"/>
      <c r="BG1017" s="885"/>
      <c r="BH1017" s="885"/>
      <c r="BI1017" s="885"/>
      <c r="BJ1017" s="885"/>
      <c r="BK1017" s="885"/>
      <c r="BL1017" s="885"/>
      <c r="BM1017" s="885"/>
      <c r="BN1017" s="885"/>
      <c r="BO1017" s="885"/>
      <c r="BP1017" s="885"/>
      <c r="BQ1017" s="885"/>
      <c r="BR1017" s="885"/>
      <c r="BS1017" s="885"/>
      <c r="BT1017" s="885"/>
      <c r="BU1017" s="885"/>
      <c r="BV1017" s="885"/>
      <c r="BW1017" s="885"/>
      <c r="BX1017" s="885"/>
      <c r="BY1017" s="885"/>
      <c r="BZ1017" s="885"/>
      <c r="CA1017" s="885"/>
      <c r="CB1017" s="885"/>
      <c r="CC1017" s="885"/>
      <c r="CD1017" s="885"/>
      <c r="CE1017" s="885"/>
      <c r="CF1017" s="885"/>
      <c r="CG1017" s="885"/>
      <c r="CH1017" s="885"/>
      <c r="CI1017" s="885"/>
      <c r="CJ1017" s="885"/>
      <c r="CK1017" s="885"/>
      <c r="CL1017" s="885"/>
      <c r="CM1017" s="885"/>
      <c r="CN1017" s="885"/>
      <c r="CO1017" s="885"/>
      <c r="CP1017" s="885"/>
      <c r="CQ1017" s="885"/>
      <c r="CR1017" s="885"/>
      <c r="CS1017" s="885"/>
      <c r="CT1017" s="885"/>
      <c r="CU1017" s="885"/>
      <c r="CV1017" s="885"/>
      <c r="CW1017" s="885"/>
      <c r="CX1017" s="885"/>
      <c r="CY1017" s="885"/>
      <c r="CZ1017" s="885"/>
      <c r="DA1017" s="885"/>
      <c r="DB1017" s="885"/>
      <c r="DC1017" s="885"/>
      <c r="DD1017" s="885"/>
      <c r="DE1017" s="885"/>
      <c r="DF1017" s="885"/>
      <c r="DG1017" s="885"/>
      <c r="DH1017" s="885"/>
      <c r="DI1017" s="885"/>
      <c r="DJ1017" s="885"/>
      <c r="DK1017" s="885"/>
      <c r="DL1017" s="885"/>
      <c r="DM1017" s="885"/>
      <c r="DN1017" s="885"/>
      <c r="DO1017" s="885"/>
      <c r="DP1017" s="885"/>
      <c r="DQ1017" s="885"/>
      <c r="DR1017" s="885"/>
      <c r="DS1017" s="885"/>
      <c r="DT1017" s="885"/>
      <c r="DU1017" s="885"/>
      <c r="DV1017" s="885"/>
      <c r="DW1017" s="885"/>
      <c r="DX1017" s="885"/>
      <c r="DY1017" s="885"/>
      <c r="DZ1017" s="885"/>
      <c r="EA1017" s="885"/>
      <c r="EB1017" s="885"/>
      <c r="EC1017" s="885"/>
      <c r="ED1017" s="885"/>
      <c r="EE1017" s="885"/>
      <c r="EF1017" s="885"/>
      <c r="EG1017" s="885"/>
      <c r="EH1017" s="885"/>
      <c r="EI1017" s="885"/>
      <c r="EJ1017" s="885"/>
      <c r="EK1017" s="885"/>
      <c r="EL1017" s="885"/>
      <c r="EM1017" s="885"/>
      <c r="EN1017" s="885"/>
      <c r="EO1017" s="885"/>
      <c r="EP1017" s="885"/>
      <c r="EQ1017" s="885"/>
      <c r="ER1017" s="885"/>
      <c r="ES1017" s="885"/>
      <c r="ET1017" s="885"/>
      <c r="EU1017" s="885"/>
      <c r="EV1017" s="885"/>
      <c r="EW1017" s="885"/>
      <c r="EX1017" s="885"/>
      <c r="EY1017" s="885"/>
      <c r="EZ1017" s="885"/>
      <c r="FA1017" s="885"/>
      <c r="FB1017" s="885"/>
      <c r="FC1017" s="885"/>
      <c r="FD1017" s="885"/>
      <c r="FE1017" s="885"/>
      <c r="FF1017" s="885"/>
      <c r="FG1017" s="885"/>
      <c r="FH1017" s="885"/>
      <c r="FI1017" s="885"/>
      <c r="FJ1017" s="885"/>
      <c r="FK1017" s="885"/>
      <c r="FL1017" s="885"/>
      <c r="FM1017" s="885"/>
      <c r="FN1017" s="885"/>
      <c r="FO1017" s="885"/>
      <c r="FP1017" s="885"/>
      <c r="FQ1017" s="885"/>
      <c r="FR1017" s="885"/>
      <c r="FS1017" s="885"/>
      <c r="FT1017" s="885"/>
      <c r="FU1017" s="885"/>
      <c r="FV1017" s="885"/>
      <c r="FW1017" s="885"/>
      <c r="FX1017" s="885"/>
      <c r="FY1017" s="885"/>
      <c r="FZ1017" s="885"/>
      <c r="GA1017" s="885"/>
      <c r="GB1017" s="885"/>
      <c r="GC1017" s="885"/>
      <c r="GD1017" s="885"/>
      <c r="GE1017" s="885"/>
      <c r="GF1017" s="885"/>
      <c r="GG1017" s="885"/>
      <c r="GH1017" s="885"/>
      <c r="GI1017" s="885"/>
      <c r="GJ1017" s="885"/>
      <c r="GK1017" s="885"/>
      <c r="GL1017" s="885"/>
      <c r="GM1017" s="885"/>
      <c r="GN1017" s="885"/>
      <c r="GO1017" s="885"/>
      <c r="GP1017" s="885"/>
      <c r="GQ1017" s="885"/>
      <c r="GR1017" s="885"/>
      <c r="GS1017" s="885"/>
      <c r="GT1017" s="885"/>
      <c r="GU1017" s="885"/>
      <c r="GV1017" s="885"/>
      <c r="GW1017" s="885"/>
      <c r="GX1017" s="885"/>
      <c r="GY1017" s="885"/>
      <c r="GZ1017" s="885"/>
      <c r="HA1017" s="885"/>
      <c r="HB1017" s="885"/>
      <c r="HC1017" s="885"/>
      <c r="HD1017" s="885"/>
      <c r="HE1017" s="885"/>
      <c r="HF1017" s="885"/>
      <c r="HG1017" s="885"/>
      <c r="HH1017" s="885"/>
      <c r="HI1017" s="885"/>
      <c r="HJ1017" s="885"/>
      <c r="HK1017" s="885"/>
      <c r="HL1017" s="885"/>
      <c r="HM1017" s="885"/>
      <c r="HN1017" s="885"/>
      <c r="HO1017" s="885"/>
      <c r="HP1017" s="885"/>
      <c r="HQ1017" s="885"/>
      <c r="HR1017" s="885"/>
      <c r="HS1017" s="885"/>
      <c r="HT1017" s="885"/>
      <c r="HU1017" s="885"/>
      <c r="HV1017" s="885"/>
      <c r="HW1017" s="885"/>
      <c r="HX1017" s="885"/>
      <c r="HY1017" s="885"/>
      <c r="HZ1017" s="885"/>
      <c r="IA1017" s="885"/>
      <c r="IB1017" s="885"/>
      <c r="IC1017" s="885"/>
      <c r="ID1017" s="885"/>
      <c r="IE1017" s="885"/>
      <c r="IF1017" s="885"/>
      <c r="IG1017" s="885"/>
      <c r="IH1017" s="885"/>
      <c r="II1017" s="885"/>
      <c r="IJ1017" s="885"/>
      <c r="IK1017" s="885"/>
      <c r="IL1017" s="885"/>
      <c r="IM1017" s="885"/>
      <c r="IN1017" s="885"/>
      <c r="IO1017" s="885"/>
      <c r="IP1017" s="885"/>
      <c r="IQ1017" s="885"/>
      <c r="IR1017" s="885"/>
      <c r="IS1017" s="885"/>
      <c r="IT1017" s="885"/>
      <c r="IU1017" s="885"/>
      <c r="IV1017" s="885"/>
      <c r="IW1017" s="885"/>
      <c r="IX1017" s="885"/>
    </row>
    <row r="1018" spans="1:258" x14ac:dyDescent="0.25">
      <c r="A1018" s="125">
        <f t="shared" si="121"/>
        <v>978</v>
      </c>
      <c r="B1018" s="885"/>
      <c r="C1018" s="842" t="s">
        <v>10520</v>
      </c>
      <c r="D1018" s="924">
        <v>0</v>
      </c>
      <c r="E1018" s="924">
        <f t="shared" si="124"/>
        <v>0</v>
      </c>
      <c r="F1018" s="136">
        <v>800</v>
      </c>
      <c r="G1018" s="122" t="s">
        <v>1963</v>
      </c>
      <c r="H1018" s="885"/>
      <c r="I1018" s="885"/>
      <c r="J1018" s="885"/>
      <c r="K1018" s="885"/>
      <c r="L1018" s="885"/>
      <c r="M1018" s="885"/>
      <c r="N1018" s="885"/>
      <c r="O1018" s="885"/>
      <c r="P1018" s="885"/>
      <c r="Q1018" s="885"/>
      <c r="R1018" s="885"/>
      <c r="S1018" s="885"/>
      <c r="T1018" s="885"/>
      <c r="U1018" s="885"/>
      <c r="V1018" s="885"/>
      <c r="W1018" s="885"/>
      <c r="X1018" s="885"/>
      <c r="Y1018" s="885"/>
      <c r="Z1018" s="885"/>
      <c r="AA1018" s="885"/>
      <c r="AB1018" s="885"/>
      <c r="AC1018" s="885"/>
      <c r="AD1018" s="885"/>
      <c r="AE1018" s="885"/>
      <c r="AF1018" s="885"/>
      <c r="AG1018" s="885"/>
      <c r="AH1018" s="885"/>
      <c r="AI1018" s="885"/>
      <c r="AJ1018" s="885"/>
      <c r="AK1018" s="885"/>
      <c r="AL1018" s="885"/>
      <c r="AM1018" s="885"/>
      <c r="AN1018" s="885"/>
      <c r="AO1018" s="885"/>
      <c r="AP1018" s="885"/>
      <c r="AQ1018" s="885"/>
      <c r="AR1018" s="885"/>
      <c r="AS1018" s="885"/>
      <c r="AT1018" s="885"/>
      <c r="AU1018" s="885"/>
      <c r="AV1018" s="885"/>
      <c r="AW1018" s="885"/>
      <c r="AX1018" s="885"/>
      <c r="AY1018" s="885"/>
      <c r="AZ1018" s="885"/>
      <c r="BA1018" s="885"/>
      <c r="BB1018" s="885"/>
      <c r="BC1018" s="885"/>
      <c r="BD1018" s="885"/>
      <c r="BE1018" s="885"/>
      <c r="BF1018" s="885"/>
      <c r="BG1018" s="885"/>
      <c r="BH1018" s="885"/>
      <c r="BI1018" s="885"/>
      <c r="BJ1018" s="885"/>
      <c r="BK1018" s="885"/>
      <c r="BL1018" s="885"/>
      <c r="BM1018" s="885"/>
      <c r="BN1018" s="885"/>
      <c r="BO1018" s="885"/>
      <c r="BP1018" s="885"/>
      <c r="BQ1018" s="885"/>
      <c r="BR1018" s="885"/>
      <c r="BS1018" s="885"/>
      <c r="BT1018" s="885"/>
      <c r="BU1018" s="885"/>
      <c r="BV1018" s="885"/>
      <c r="BW1018" s="885"/>
      <c r="BX1018" s="885"/>
      <c r="BY1018" s="885"/>
      <c r="BZ1018" s="885"/>
      <c r="CA1018" s="885"/>
      <c r="CB1018" s="885"/>
      <c r="CC1018" s="885"/>
      <c r="CD1018" s="885"/>
      <c r="CE1018" s="885"/>
      <c r="CF1018" s="885"/>
      <c r="CG1018" s="885"/>
      <c r="CH1018" s="885"/>
      <c r="CI1018" s="885"/>
      <c r="CJ1018" s="885"/>
      <c r="CK1018" s="885"/>
      <c r="CL1018" s="885"/>
      <c r="CM1018" s="885"/>
      <c r="CN1018" s="885"/>
      <c r="CO1018" s="885"/>
      <c r="CP1018" s="885"/>
      <c r="CQ1018" s="885"/>
      <c r="CR1018" s="885"/>
      <c r="CS1018" s="885"/>
      <c r="CT1018" s="885"/>
      <c r="CU1018" s="885"/>
      <c r="CV1018" s="885"/>
      <c r="CW1018" s="885"/>
      <c r="CX1018" s="885"/>
      <c r="CY1018" s="885"/>
      <c r="CZ1018" s="885"/>
      <c r="DA1018" s="885"/>
      <c r="DB1018" s="885"/>
      <c r="DC1018" s="885"/>
      <c r="DD1018" s="885"/>
      <c r="DE1018" s="885"/>
      <c r="DF1018" s="885"/>
      <c r="DG1018" s="885"/>
      <c r="DH1018" s="885"/>
      <c r="DI1018" s="885"/>
      <c r="DJ1018" s="885"/>
      <c r="DK1018" s="885"/>
      <c r="DL1018" s="885"/>
      <c r="DM1018" s="885"/>
      <c r="DN1018" s="885"/>
      <c r="DO1018" s="885"/>
      <c r="DP1018" s="885"/>
      <c r="DQ1018" s="885"/>
      <c r="DR1018" s="885"/>
      <c r="DS1018" s="885"/>
      <c r="DT1018" s="885"/>
      <c r="DU1018" s="885"/>
      <c r="DV1018" s="885"/>
      <c r="DW1018" s="885"/>
      <c r="DX1018" s="885"/>
      <c r="DY1018" s="885"/>
      <c r="DZ1018" s="885"/>
      <c r="EA1018" s="885"/>
      <c r="EB1018" s="885"/>
      <c r="EC1018" s="885"/>
      <c r="ED1018" s="885"/>
      <c r="EE1018" s="885"/>
      <c r="EF1018" s="885"/>
      <c r="EG1018" s="885"/>
      <c r="EH1018" s="885"/>
      <c r="EI1018" s="885"/>
      <c r="EJ1018" s="885"/>
      <c r="EK1018" s="885"/>
      <c r="EL1018" s="885"/>
      <c r="EM1018" s="885"/>
      <c r="EN1018" s="885"/>
      <c r="EO1018" s="885"/>
      <c r="EP1018" s="885"/>
      <c r="EQ1018" s="885"/>
      <c r="ER1018" s="885"/>
      <c r="ES1018" s="885"/>
      <c r="ET1018" s="885"/>
      <c r="EU1018" s="885"/>
      <c r="EV1018" s="885"/>
      <c r="EW1018" s="885"/>
      <c r="EX1018" s="885"/>
      <c r="EY1018" s="885"/>
      <c r="EZ1018" s="885"/>
      <c r="FA1018" s="885"/>
      <c r="FB1018" s="885"/>
      <c r="FC1018" s="885"/>
      <c r="FD1018" s="885"/>
      <c r="FE1018" s="885"/>
      <c r="FF1018" s="885"/>
      <c r="FG1018" s="885"/>
      <c r="FH1018" s="885"/>
      <c r="FI1018" s="885"/>
      <c r="FJ1018" s="885"/>
      <c r="FK1018" s="885"/>
      <c r="FL1018" s="885"/>
      <c r="FM1018" s="885"/>
      <c r="FN1018" s="885"/>
      <c r="FO1018" s="885"/>
      <c r="FP1018" s="885"/>
      <c r="FQ1018" s="885"/>
      <c r="FR1018" s="885"/>
      <c r="FS1018" s="885"/>
      <c r="FT1018" s="885"/>
      <c r="FU1018" s="885"/>
      <c r="FV1018" s="885"/>
      <c r="FW1018" s="885"/>
      <c r="FX1018" s="885"/>
      <c r="FY1018" s="885"/>
      <c r="FZ1018" s="885"/>
      <c r="GA1018" s="885"/>
      <c r="GB1018" s="885"/>
      <c r="GC1018" s="885"/>
      <c r="GD1018" s="885"/>
      <c r="GE1018" s="885"/>
      <c r="GF1018" s="885"/>
      <c r="GG1018" s="885"/>
      <c r="GH1018" s="885"/>
      <c r="GI1018" s="885"/>
      <c r="GJ1018" s="885"/>
      <c r="GK1018" s="885"/>
      <c r="GL1018" s="885"/>
      <c r="GM1018" s="885"/>
      <c r="GN1018" s="885"/>
      <c r="GO1018" s="885"/>
      <c r="GP1018" s="885"/>
      <c r="GQ1018" s="885"/>
      <c r="GR1018" s="885"/>
      <c r="GS1018" s="885"/>
      <c r="GT1018" s="885"/>
      <c r="GU1018" s="885"/>
      <c r="GV1018" s="885"/>
      <c r="GW1018" s="885"/>
      <c r="GX1018" s="885"/>
      <c r="GY1018" s="885"/>
      <c r="GZ1018" s="885"/>
      <c r="HA1018" s="885"/>
      <c r="HB1018" s="885"/>
      <c r="HC1018" s="885"/>
      <c r="HD1018" s="885"/>
      <c r="HE1018" s="885"/>
      <c r="HF1018" s="885"/>
      <c r="HG1018" s="885"/>
      <c r="HH1018" s="885"/>
      <c r="HI1018" s="885"/>
      <c r="HJ1018" s="885"/>
      <c r="HK1018" s="885"/>
      <c r="HL1018" s="885"/>
      <c r="HM1018" s="885"/>
      <c r="HN1018" s="885"/>
      <c r="HO1018" s="885"/>
      <c r="HP1018" s="885"/>
      <c r="HQ1018" s="885"/>
      <c r="HR1018" s="885"/>
      <c r="HS1018" s="885"/>
      <c r="HT1018" s="885"/>
      <c r="HU1018" s="885"/>
      <c r="HV1018" s="885"/>
      <c r="HW1018" s="885"/>
      <c r="HX1018" s="885"/>
      <c r="HY1018" s="885"/>
      <c r="HZ1018" s="885"/>
      <c r="IA1018" s="885"/>
      <c r="IB1018" s="885"/>
      <c r="IC1018" s="885"/>
      <c r="ID1018" s="885"/>
      <c r="IE1018" s="885"/>
      <c r="IF1018" s="885"/>
      <c r="IG1018" s="885"/>
      <c r="IH1018" s="885"/>
      <c r="II1018" s="885"/>
      <c r="IJ1018" s="885"/>
      <c r="IK1018" s="885"/>
      <c r="IL1018" s="885"/>
      <c r="IM1018" s="885"/>
      <c r="IN1018" s="885"/>
      <c r="IO1018" s="885"/>
      <c r="IP1018" s="885"/>
      <c r="IQ1018" s="885"/>
      <c r="IR1018" s="885"/>
      <c r="IS1018" s="885"/>
      <c r="IT1018" s="885"/>
      <c r="IU1018" s="885"/>
      <c r="IV1018" s="885"/>
      <c r="IW1018" s="885"/>
      <c r="IX1018" s="885"/>
    </row>
    <row r="1019" spans="1:258" x14ac:dyDescent="0.25">
      <c r="A1019" s="125">
        <f t="shared" si="121"/>
        <v>979</v>
      </c>
      <c r="B1019" s="954"/>
      <c r="C1019" s="842" t="s">
        <v>11532</v>
      </c>
      <c r="D1019" s="924">
        <v>0</v>
      </c>
      <c r="E1019" s="924">
        <f t="shared" si="124"/>
        <v>0</v>
      </c>
      <c r="F1019" s="136"/>
      <c r="G1019" s="122" t="s">
        <v>1963</v>
      </c>
      <c r="H1019" s="954"/>
      <c r="I1019" s="954"/>
      <c r="J1019" s="954"/>
      <c r="K1019" s="954"/>
      <c r="L1019" s="954"/>
      <c r="M1019" s="954"/>
      <c r="N1019" s="954"/>
      <c r="O1019" s="954"/>
      <c r="P1019" s="954"/>
      <c r="Q1019" s="954"/>
      <c r="R1019" s="954"/>
      <c r="S1019" s="954"/>
      <c r="T1019" s="954"/>
      <c r="U1019" s="954"/>
      <c r="V1019" s="954"/>
      <c r="W1019" s="954"/>
      <c r="X1019" s="954"/>
      <c r="Y1019" s="954"/>
      <c r="Z1019" s="954"/>
      <c r="AA1019" s="954"/>
      <c r="AB1019" s="954"/>
      <c r="AC1019" s="954"/>
      <c r="AD1019" s="954"/>
      <c r="AE1019" s="954"/>
      <c r="AF1019" s="954"/>
      <c r="AG1019" s="954"/>
      <c r="AH1019" s="954"/>
      <c r="AI1019" s="954"/>
      <c r="AJ1019" s="954"/>
      <c r="AK1019" s="954"/>
      <c r="AL1019" s="954"/>
      <c r="AM1019" s="954"/>
      <c r="AN1019" s="954"/>
      <c r="AO1019" s="954"/>
      <c r="AP1019" s="954"/>
      <c r="AQ1019" s="954"/>
      <c r="AR1019" s="954"/>
      <c r="AS1019" s="954"/>
      <c r="AT1019" s="954"/>
      <c r="AU1019" s="954"/>
      <c r="AV1019" s="954"/>
      <c r="AW1019" s="954"/>
      <c r="AX1019" s="954"/>
      <c r="AY1019" s="954"/>
      <c r="AZ1019" s="954"/>
      <c r="BA1019" s="954"/>
      <c r="BB1019" s="954"/>
      <c r="BC1019" s="954"/>
      <c r="BD1019" s="954"/>
      <c r="BE1019" s="954"/>
      <c r="BF1019" s="954"/>
      <c r="BG1019" s="954"/>
      <c r="BH1019" s="954"/>
      <c r="BI1019" s="954"/>
      <c r="BJ1019" s="954"/>
      <c r="BK1019" s="954"/>
      <c r="BL1019" s="954"/>
      <c r="BM1019" s="954"/>
      <c r="BN1019" s="954"/>
      <c r="BO1019" s="954"/>
      <c r="BP1019" s="954"/>
      <c r="BQ1019" s="954"/>
      <c r="BR1019" s="954"/>
      <c r="BS1019" s="954"/>
      <c r="BT1019" s="954"/>
      <c r="BU1019" s="954"/>
      <c r="BV1019" s="954"/>
      <c r="BW1019" s="954"/>
      <c r="BX1019" s="954"/>
      <c r="BY1019" s="954"/>
      <c r="BZ1019" s="954"/>
      <c r="CA1019" s="954"/>
      <c r="CB1019" s="954"/>
      <c r="CC1019" s="954"/>
      <c r="CD1019" s="954"/>
      <c r="CE1019" s="954"/>
      <c r="CF1019" s="954"/>
      <c r="CG1019" s="954"/>
      <c r="CH1019" s="954"/>
      <c r="CI1019" s="954"/>
      <c r="CJ1019" s="954"/>
      <c r="CK1019" s="954"/>
      <c r="CL1019" s="954"/>
      <c r="CM1019" s="954"/>
      <c r="CN1019" s="954"/>
      <c r="CO1019" s="954"/>
      <c r="CP1019" s="954"/>
      <c r="CQ1019" s="954"/>
      <c r="CR1019" s="954"/>
      <c r="CS1019" s="954"/>
      <c r="CT1019" s="954"/>
      <c r="CU1019" s="954"/>
      <c r="CV1019" s="954"/>
      <c r="CW1019" s="954"/>
      <c r="CX1019" s="954"/>
      <c r="CY1019" s="954"/>
      <c r="CZ1019" s="954"/>
      <c r="DA1019" s="954"/>
      <c r="DB1019" s="954"/>
      <c r="DC1019" s="954"/>
      <c r="DD1019" s="954"/>
      <c r="DE1019" s="954"/>
      <c r="DF1019" s="954"/>
      <c r="DG1019" s="954"/>
      <c r="DH1019" s="954"/>
      <c r="DI1019" s="954"/>
      <c r="DJ1019" s="954"/>
      <c r="DK1019" s="954"/>
      <c r="DL1019" s="954"/>
      <c r="DM1019" s="954"/>
      <c r="DN1019" s="954"/>
      <c r="DO1019" s="954"/>
      <c r="DP1019" s="954"/>
      <c r="DQ1019" s="954"/>
      <c r="DR1019" s="954"/>
      <c r="DS1019" s="954"/>
      <c r="DT1019" s="954"/>
      <c r="DU1019" s="954"/>
      <c r="DV1019" s="954"/>
      <c r="DW1019" s="954"/>
      <c r="DX1019" s="954"/>
      <c r="DY1019" s="954"/>
      <c r="DZ1019" s="954"/>
      <c r="EA1019" s="954"/>
      <c r="EB1019" s="954"/>
      <c r="EC1019" s="954"/>
      <c r="ED1019" s="954"/>
      <c r="EE1019" s="954"/>
      <c r="EF1019" s="954"/>
      <c r="EG1019" s="954"/>
      <c r="EH1019" s="954"/>
      <c r="EI1019" s="954"/>
      <c r="EJ1019" s="954"/>
      <c r="EK1019" s="954"/>
      <c r="EL1019" s="954"/>
      <c r="EM1019" s="954"/>
      <c r="EN1019" s="954"/>
      <c r="EO1019" s="954"/>
      <c r="EP1019" s="954"/>
      <c r="EQ1019" s="954"/>
      <c r="ER1019" s="954"/>
      <c r="ES1019" s="954"/>
      <c r="ET1019" s="954"/>
      <c r="EU1019" s="954"/>
      <c r="EV1019" s="954"/>
      <c r="EW1019" s="954"/>
      <c r="EX1019" s="954"/>
      <c r="EY1019" s="954"/>
      <c r="EZ1019" s="954"/>
      <c r="FA1019" s="954"/>
      <c r="FB1019" s="954"/>
      <c r="FC1019" s="954"/>
      <c r="FD1019" s="954"/>
      <c r="FE1019" s="954"/>
      <c r="FF1019" s="954"/>
      <c r="FG1019" s="954"/>
      <c r="FH1019" s="954"/>
      <c r="FI1019" s="954"/>
      <c r="FJ1019" s="954"/>
      <c r="FK1019" s="954"/>
      <c r="FL1019" s="954"/>
      <c r="FM1019" s="954"/>
      <c r="FN1019" s="954"/>
      <c r="FO1019" s="954"/>
      <c r="FP1019" s="954"/>
      <c r="FQ1019" s="954"/>
      <c r="FR1019" s="954"/>
      <c r="FS1019" s="954"/>
      <c r="FT1019" s="954"/>
      <c r="FU1019" s="954"/>
      <c r="FV1019" s="954"/>
      <c r="FW1019" s="954"/>
      <c r="FX1019" s="954"/>
      <c r="FY1019" s="954"/>
      <c r="FZ1019" s="954"/>
      <c r="GA1019" s="954"/>
      <c r="GB1019" s="954"/>
      <c r="GC1019" s="954"/>
      <c r="GD1019" s="954"/>
      <c r="GE1019" s="954"/>
      <c r="GF1019" s="954"/>
      <c r="GG1019" s="954"/>
      <c r="GH1019" s="954"/>
      <c r="GI1019" s="954"/>
      <c r="GJ1019" s="954"/>
      <c r="GK1019" s="954"/>
      <c r="GL1019" s="954"/>
      <c r="GM1019" s="954"/>
      <c r="GN1019" s="954"/>
      <c r="GO1019" s="954"/>
      <c r="GP1019" s="954"/>
      <c r="GQ1019" s="954"/>
      <c r="GR1019" s="954"/>
      <c r="GS1019" s="954"/>
      <c r="GT1019" s="954"/>
      <c r="GU1019" s="954"/>
      <c r="GV1019" s="954"/>
      <c r="GW1019" s="954"/>
      <c r="GX1019" s="954"/>
      <c r="GY1019" s="954"/>
      <c r="GZ1019" s="954"/>
      <c r="HA1019" s="954"/>
      <c r="HB1019" s="954"/>
      <c r="HC1019" s="954"/>
      <c r="HD1019" s="954"/>
      <c r="HE1019" s="954"/>
      <c r="HF1019" s="954"/>
      <c r="HG1019" s="954"/>
      <c r="HH1019" s="954"/>
      <c r="HI1019" s="954"/>
      <c r="HJ1019" s="954"/>
      <c r="HK1019" s="954"/>
      <c r="HL1019" s="954"/>
      <c r="HM1019" s="954"/>
      <c r="HN1019" s="954"/>
      <c r="HO1019" s="954"/>
      <c r="HP1019" s="954"/>
      <c r="HQ1019" s="954"/>
      <c r="HR1019" s="954"/>
      <c r="HS1019" s="954"/>
      <c r="HT1019" s="954"/>
      <c r="HU1019" s="954"/>
      <c r="HV1019" s="954"/>
      <c r="HW1019" s="954"/>
      <c r="HX1019" s="954"/>
      <c r="HY1019" s="954"/>
      <c r="HZ1019" s="954"/>
      <c r="IA1019" s="954"/>
      <c r="IB1019" s="954"/>
      <c r="IC1019" s="954"/>
      <c r="ID1019" s="954"/>
      <c r="IE1019" s="954"/>
      <c r="IF1019" s="954"/>
      <c r="IG1019" s="954"/>
      <c r="IH1019" s="954"/>
      <c r="II1019" s="954"/>
      <c r="IJ1019" s="954"/>
      <c r="IK1019" s="954"/>
      <c r="IL1019" s="954"/>
      <c r="IM1019" s="954"/>
      <c r="IN1019" s="954"/>
      <c r="IO1019" s="954"/>
      <c r="IP1019" s="954"/>
      <c r="IQ1019" s="954"/>
      <c r="IR1019" s="954"/>
      <c r="IS1019" s="954"/>
      <c r="IT1019" s="954"/>
      <c r="IU1019" s="954"/>
      <c r="IV1019" s="954"/>
      <c r="IW1019" s="954"/>
      <c r="IX1019" s="954"/>
    </row>
    <row r="1020" spans="1:258" x14ac:dyDescent="0.25">
      <c r="A1020" s="125">
        <f t="shared" si="121"/>
        <v>980</v>
      </c>
      <c r="B1020" s="885"/>
      <c r="C1020" s="842" t="s">
        <v>10498</v>
      </c>
      <c r="D1020" s="924">
        <v>1997.79</v>
      </c>
      <c r="E1020" s="924">
        <f>D1020/8*12</f>
        <v>2996.6849999999999</v>
      </c>
      <c r="F1020" s="136">
        <f>E1020/6</f>
        <v>499.44749999999999</v>
      </c>
      <c r="G1020" s="122" t="s">
        <v>1963</v>
      </c>
      <c r="H1020" s="885"/>
      <c r="I1020" s="885"/>
      <c r="J1020" s="885"/>
      <c r="K1020" s="885"/>
      <c r="L1020" s="885"/>
      <c r="M1020" s="885"/>
      <c r="N1020" s="885"/>
      <c r="O1020" s="885"/>
      <c r="P1020" s="885"/>
      <c r="Q1020" s="885"/>
      <c r="R1020" s="885"/>
      <c r="S1020" s="885"/>
      <c r="T1020" s="885"/>
      <c r="U1020" s="885"/>
      <c r="V1020" s="885"/>
      <c r="W1020" s="885"/>
      <c r="X1020" s="885"/>
      <c r="Y1020" s="885"/>
      <c r="Z1020" s="885"/>
      <c r="AA1020" s="885"/>
      <c r="AB1020" s="885"/>
      <c r="AC1020" s="885"/>
      <c r="AD1020" s="885"/>
      <c r="AE1020" s="885"/>
      <c r="AF1020" s="885"/>
      <c r="AG1020" s="885"/>
      <c r="AH1020" s="885"/>
      <c r="AI1020" s="885"/>
      <c r="AJ1020" s="885"/>
      <c r="AK1020" s="885"/>
      <c r="AL1020" s="885"/>
      <c r="AM1020" s="885"/>
      <c r="AN1020" s="885"/>
      <c r="AO1020" s="885"/>
      <c r="AP1020" s="885"/>
      <c r="AQ1020" s="885"/>
      <c r="AR1020" s="885"/>
      <c r="AS1020" s="885"/>
      <c r="AT1020" s="885"/>
      <c r="AU1020" s="885"/>
      <c r="AV1020" s="885"/>
      <c r="AW1020" s="885"/>
      <c r="AX1020" s="885"/>
      <c r="AY1020" s="885"/>
      <c r="AZ1020" s="885"/>
      <c r="BA1020" s="885"/>
      <c r="BB1020" s="885"/>
      <c r="BC1020" s="885"/>
      <c r="BD1020" s="885"/>
      <c r="BE1020" s="885"/>
      <c r="BF1020" s="885"/>
      <c r="BG1020" s="885"/>
      <c r="BH1020" s="885"/>
      <c r="BI1020" s="885"/>
      <c r="BJ1020" s="885"/>
      <c r="BK1020" s="885"/>
      <c r="BL1020" s="885"/>
      <c r="BM1020" s="885"/>
      <c r="BN1020" s="885"/>
      <c r="BO1020" s="885"/>
      <c r="BP1020" s="885"/>
      <c r="BQ1020" s="885"/>
      <c r="BR1020" s="885"/>
      <c r="BS1020" s="885"/>
      <c r="BT1020" s="885"/>
      <c r="BU1020" s="885"/>
      <c r="BV1020" s="885"/>
      <c r="BW1020" s="885"/>
      <c r="BX1020" s="885"/>
      <c r="BY1020" s="885"/>
      <c r="BZ1020" s="885"/>
      <c r="CA1020" s="885"/>
      <c r="CB1020" s="885"/>
      <c r="CC1020" s="885"/>
      <c r="CD1020" s="885"/>
      <c r="CE1020" s="885"/>
      <c r="CF1020" s="885"/>
      <c r="CG1020" s="885"/>
      <c r="CH1020" s="885"/>
      <c r="CI1020" s="885"/>
      <c r="CJ1020" s="885"/>
      <c r="CK1020" s="885"/>
      <c r="CL1020" s="885"/>
      <c r="CM1020" s="885"/>
      <c r="CN1020" s="885"/>
      <c r="CO1020" s="885"/>
      <c r="CP1020" s="885"/>
      <c r="CQ1020" s="885"/>
      <c r="CR1020" s="885"/>
      <c r="CS1020" s="885"/>
      <c r="CT1020" s="885"/>
      <c r="CU1020" s="885"/>
      <c r="CV1020" s="885"/>
      <c r="CW1020" s="885"/>
      <c r="CX1020" s="885"/>
      <c r="CY1020" s="885"/>
      <c r="CZ1020" s="885"/>
      <c r="DA1020" s="885"/>
      <c r="DB1020" s="885"/>
      <c r="DC1020" s="885"/>
      <c r="DD1020" s="885"/>
      <c r="DE1020" s="885"/>
      <c r="DF1020" s="885"/>
      <c r="DG1020" s="885"/>
      <c r="DH1020" s="885"/>
      <c r="DI1020" s="885"/>
      <c r="DJ1020" s="885"/>
      <c r="DK1020" s="885"/>
      <c r="DL1020" s="885"/>
      <c r="DM1020" s="885"/>
      <c r="DN1020" s="885"/>
      <c r="DO1020" s="885"/>
      <c r="DP1020" s="885"/>
      <c r="DQ1020" s="885"/>
      <c r="DR1020" s="885"/>
      <c r="DS1020" s="885"/>
      <c r="DT1020" s="885"/>
      <c r="DU1020" s="885"/>
      <c r="DV1020" s="885"/>
      <c r="DW1020" s="885"/>
      <c r="DX1020" s="885"/>
      <c r="DY1020" s="885"/>
      <c r="DZ1020" s="885"/>
      <c r="EA1020" s="885"/>
      <c r="EB1020" s="885"/>
      <c r="EC1020" s="885"/>
      <c r="ED1020" s="885"/>
      <c r="EE1020" s="885"/>
      <c r="EF1020" s="885"/>
      <c r="EG1020" s="885"/>
      <c r="EH1020" s="885"/>
      <c r="EI1020" s="885"/>
      <c r="EJ1020" s="885"/>
      <c r="EK1020" s="885"/>
      <c r="EL1020" s="885"/>
      <c r="EM1020" s="885"/>
      <c r="EN1020" s="885"/>
      <c r="EO1020" s="885"/>
      <c r="EP1020" s="885"/>
      <c r="EQ1020" s="885"/>
      <c r="ER1020" s="885"/>
      <c r="ES1020" s="885"/>
      <c r="ET1020" s="885"/>
      <c r="EU1020" s="885"/>
      <c r="EV1020" s="885"/>
      <c r="EW1020" s="885"/>
      <c r="EX1020" s="885"/>
      <c r="EY1020" s="885"/>
      <c r="EZ1020" s="885"/>
      <c r="FA1020" s="885"/>
      <c r="FB1020" s="885"/>
      <c r="FC1020" s="885"/>
      <c r="FD1020" s="885"/>
      <c r="FE1020" s="885"/>
      <c r="FF1020" s="885"/>
      <c r="FG1020" s="885"/>
      <c r="FH1020" s="885"/>
      <c r="FI1020" s="885"/>
      <c r="FJ1020" s="885"/>
      <c r="FK1020" s="885"/>
      <c r="FL1020" s="885"/>
      <c r="FM1020" s="885"/>
      <c r="FN1020" s="885"/>
      <c r="FO1020" s="885"/>
      <c r="FP1020" s="885"/>
      <c r="FQ1020" s="885"/>
      <c r="FR1020" s="885"/>
      <c r="FS1020" s="885"/>
      <c r="FT1020" s="885"/>
      <c r="FU1020" s="885"/>
      <c r="FV1020" s="885"/>
      <c r="FW1020" s="885"/>
      <c r="FX1020" s="885"/>
      <c r="FY1020" s="885"/>
      <c r="FZ1020" s="885"/>
      <c r="GA1020" s="885"/>
      <c r="GB1020" s="885"/>
      <c r="GC1020" s="885"/>
      <c r="GD1020" s="885"/>
      <c r="GE1020" s="885"/>
      <c r="GF1020" s="885"/>
      <c r="GG1020" s="885"/>
      <c r="GH1020" s="885"/>
      <c r="GI1020" s="885"/>
      <c r="GJ1020" s="885"/>
      <c r="GK1020" s="885"/>
      <c r="GL1020" s="885"/>
      <c r="GM1020" s="885"/>
      <c r="GN1020" s="885"/>
      <c r="GO1020" s="885"/>
      <c r="GP1020" s="885"/>
      <c r="GQ1020" s="885"/>
      <c r="GR1020" s="885"/>
      <c r="GS1020" s="885"/>
      <c r="GT1020" s="885"/>
      <c r="GU1020" s="885"/>
      <c r="GV1020" s="885"/>
      <c r="GW1020" s="885"/>
      <c r="GX1020" s="885"/>
      <c r="GY1020" s="885"/>
      <c r="GZ1020" s="885"/>
      <c r="HA1020" s="885"/>
      <c r="HB1020" s="885"/>
      <c r="HC1020" s="885"/>
      <c r="HD1020" s="885"/>
      <c r="HE1020" s="885"/>
      <c r="HF1020" s="885"/>
      <c r="HG1020" s="885"/>
      <c r="HH1020" s="885"/>
      <c r="HI1020" s="885"/>
      <c r="HJ1020" s="885"/>
      <c r="HK1020" s="885"/>
      <c r="HL1020" s="885"/>
      <c r="HM1020" s="885"/>
      <c r="HN1020" s="885"/>
      <c r="HO1020" s="885"/>
      <c r="HP1020" s="885"/>
      <c r="HQ1020" s="885"/>
      <c r="HR1020" s="885"/>
      <c r="HS1020" s="885"/>
      <c r="HT1020" s="885"/>
      <c r="HU1020" s="885"/>
      <c r="HV1020" s="885"/>
      <c r="HW1020" s="885"/>
      <c r="HX1020" s="885"/>
      <c r="HY1020" s="885"/>
      <c r="HZ1020" s="885"/>
      <c r="IA1020" s="885"/>
      <c r="IB1020" s="885"/>
      <c r="IC1020" s="885"/>
      <c r="ID1020" s="885"/>
      <c r="IE1020" s="885"/>
      <c r="IF1020" s="885"/>
      <c r="IG1020" s="885"/>
      <c r="IH1020" s="885"/>
      <c r="II1020" s="885"/>
      <c r="IJ1020" s="885"/>
      <c r="IK1020" s="885"/>
      <c r="IL1020" s="885"/>
      <c r="IM1020" s="885"/>
      <c r="IN1020" s="885"/>
      <c r="IO1020" s="885"/>
      <c r="IP1020" s="885"/>
      <c r="IQ1020" s="885"/>
      <c r="IR1020" s="885"/>
      <c r="IS1020" s="885"/>
      <c r="IT1020" s="885"/>
      <c r="IU1020" s="885"/>
      <c r="IV1020" s="885"/>
      <c r="IW1020" s="885"/>
      <c r="IX1020" s="885"/>
    </row>
    <row r="1021" spans="1:258" x14ac:dyDescent="0.25">
      <c r="A1021" s="125">
        <f t="shared" si="121"/>
        <v>981</v>
      </c>
      <c r="B1021" s="885"/>
      <c r="C1021" s="842" t="s">
        <v>10497</v>
      </c>
      <c r="D1021" s="924">
        <v>0</v>
      </c>
      <c r="E1021" s="924">
        <f t="shared" si="124"/>
        <v>0</v>
      </c>
      <c r="F1021" s="136">
        <v>0</v>
      </c>
      <c r="G1021" s="122" t="s">
        <v>1963</v>
      </c>
      <c r="H1021" s="885"/>
      <c r="I1021" s="885"/>
      <c r="J1021" s="885"/>
      <c r="K1021" s="885"/>
      <c r="L1021" s="885"/>
      <c r="M1021" s="885"/>
      <c r="N1021" s="885"/>
      <c r="O1021" s="885"/>
      <c r="P1021" s="885"/>
      <c r="Q1021" s="885"/>
      <c r="R1021" s="885"/>
      <c r="S1021" s="885"/>
      <c r="T1021" s="885"/>
      <c r="U1021" s="885"/>
      <c r="V1021" s="885"/>
      <c r="W1021" s="885"/>
      <c r="X1021" s="885"/>
      <c r="Y1021" s="885"/>
      <c r="Z1021" s="885"/>
      <c r="AA1021" s="885"/>
      <c r="AB1021" s="885"/>
      <c r="AC1021" s="885"/>
      <c r="AD1021" s="885"/>
      <c r="AE1021" s="885"/>
      <c r="AF1021" s="885"/>
      <c r="AG1021" s="885"/>
      <c r="AH1021" s="885"/>
      <c r="AI1021" s="885"/>
      <c r="AJ1021" s="885"/>
      <c r="AK1021" s="885"/>
      <c r="AL1021" s="885"/>
      <c r="AM1021" s="885"/>
      <c r="AN1021" s="885"/>
      <c r="AO1021" s="885"/>
      <c r="AP1021" s="885"/>
      <c r="AQ1021" s="885"/>
      <c r="AR1021" s="885"/>
      <c r="AS1021" s="885"/>
      <c r="AT1021" s="885"/>
      <c r="AU1021" s="885"/>
      <c r="AV1021" s="885"/>
      <c r="AW1021" s="885"/>
      <c r="AX1021" s="885"/>
      <c r="AY1021" s="885"/>
      <c r="AZ1021" s="885"/>
      <c r="BA1021" s="885"/>
      <c r="BB1021" s="885"/>
      <c r="BC1021" s="885"/>
      <c r="BD1021" s="885"/>
      <c r="BE1021" s="885"/>
      <c r="BF1021" s="885"/>
      <c r="BG1021" s="885"/>
      <c r="BH1021" s="885"/>
      <c r="BI1021" s="885"/>
      <c r="BJ1021" s="885"/>
      <c r="BK1021" s="885"/>
      <c r="BL1021" s="885"/>
      <c r="BM1021" s="885"/>
      <c r="BN1021" s="885"/>
      <c r="BO1021" s="885"/>
      <c r="BP1021" s="885"/>
      <c r="BQ1021" s="885"/>
      <c r="BR1021" s="885"/>
      <c r="BS1021" s="885"/>
      <c r="BT1021" s="885"/>
      <c r="BU1021" s="885"/>
      <c r="BV1021" s="885"/>
      <c r="BW1021" s="885"/>
      <c r="BX1021" s="885"/>
      <c r="BY1021" s="885"/>
      <c r="BZ1021" s="885"/>
      <c r="CA1021" s="885"/>
      <c r="CB1021" s="885"/>
      <c r="CC1021" s="885"/>
      <c r="CD1021" s="885"/>
      <c r="CE1021" s="885"/>
      <c r="CF1021" s="885"/>
      <c r="CG1021" s="885"/>
      <c r="CH1021" s="885"/>
      <c r="CI1021" s="885"/>
      <c r="CJ1021" s="885"/>
      <c r="CK1021" s="885"/>
      <c r="CL1021" s="885"/>
      <c r="CM1021" s="885"/>
      <c r="CN1021" s="885"/>
      <c r="CO1021" s="885"/>
      <c r="CP1021" s="885"/>
      <c r="CQ1021" s="885"/>
      <c r="CR1021" s="885"/>
      <c r="CS1021" s="885"/>
      <c r="CT1021" s="885"/>
      <c r="CU1021" s="885"/>
      <c r="CV1021" s="885"/>
      <c r="CW1021" s="885"/>
      <c r="CX1021" s="885"/>
      <c r="CY1021" s="885"/>
      <c r="CZ1021" s="885"/>
      <c r="DA1021" s="885"/>
      <c r="DB1021" s="885"/>
      <c r="DC1021" s="885"/>
      <c r="DD1021" s="885"/>
      <c r="DE1021" s="885"/>
      <c r="DF1021" s="885"/>
      <c r="DG1021" s="885"/>
      <c r="DH1021" s="885"/>
      <c r="DI1021" s="885"/>
      <c r="DJ1021" s="885"/>
      <c r="DK1021" s="885"/>
      <c r="DL1021" s="885"/>
      <c r="DM1021" s="885"/>
      <c r="DN1021" s="885"/>
      <c r="DO1021" s="885"/>
      <c r="DP1021" s="885"/>
      <c r="DQ1021" s="885"/>
      <c r="DR1021" s="885"/>
      <c r="DS1021" s="885"/>
      <c r="DT1021" s="885"/>
      <c r="DU1021" s="885"/>
      <c r="DV1021" s="885"/>
      <c r="DW1021" s="885"/>
      <c r="DX1021" s="885"/>
      <c r="DY1021" s="885"/>
      <c r="DZ1021" s="885"/>
      <c r="EA1021" s="885"/>
      <c r="EB1021" s="885"/>
      <c r="EC1021" s="885"/>
      <c r="ED1021" s="885"/>
      <c r="EE1021" s="885"/>
      <c r="EF1021" s="885"/>
      <c r="EG1021" s="885"/>
      <c r="EH1021" s="885"/>
      <c r="EI1021" s="885"/>
      <c r="EJ1021" s="885"/>
      <c r="EK1021" s="885"/>
      <c r="EL1021" s="885"/>
      <c r="EM1021" s="885"/>
      <c r="EN1021" s="885"/>
      <c r="EO1021" s="885"/>
      <c r="EP1021" s="885"/>
      <c r="EQ1021" s="885"/>
      <c r="ER1021" s="885"/>
      <c r="ES1021" s="885"/>
      <c r="ET1021" s="885"/>
      <c r="EU1021" s="885"/>
      <c r="EV1021" s="885"/>
      <c r="EW1021" s="885"/>
      <c r="EX1021" s="885"/>
      <c r="EY1021" s="885"/>
      <c r="EZ1021" s="885"/>
      <c r="FA1021" s="885"/>
      <c r="FB1021" s="885"/>
      <c r="FC1021" s="885"/>
      <c r="FD1021" s="885"/>
      <c r="FE1021" s="885"/>
      <c r="FF1021" s="885"/>
      <c r="FG1021" s="885"/>
      <c r="FH1021" s="885"/>
      <c r="FI1021" s="885"/>
      <c r="FJ1021" s="885"/>
      <c r="FK1021" s="885"/>
      <c r="FL1021" s="885"/>
      <c r="FM1021" s="885"/>
      <c r="FN1021" s="885"/>
      <c r="FO1021" s="885"/>
      <c r="FP1021" s="885"/>
      <c r="FQ1021" s="885"/>
      <c r="FR1021" s="885"/>
      <c r="FS1021" s="885"/>
      <c r="FT1021" s="885"/>
      <c r="FU1021" s="885"/>
      <c r="FV1021" s="885"/>
      <c r="FW1021" s="885"/>
      <c r="FX1021" s="885"/>
      <c r="FY1021" s="885"/>
      <c r="FZ1021" s="885"/>
      <c r="GA1021" s="885"/>
      <c r="GB1021" s="885"/>
      <c r="GC1021" s="885"/>
      <c r="GD1021" s="885"/>
      <c r="GE1021" s="885"/>
      <c r="GF1021" s="885"/>
      <c r="GG1021" s="885"/>
      <c r="GH1021" s="885"/>
      <c r="GI1021" s="885"/>
      <c r="GJ1021" s="885"/>
      <c r="GK1021" s="885"/>
      <c r="GL1021" s="885"/>
      <c r="GM1021" s="885"/>
      <c r="GN1021" s="885"/>
      <c r="GO1021" s="885"/>
      <c r="GP1021" s="885"/>
      <c r="GQ1021" s="885"/>
      <c r="GR1021" s="885"/>
      <c r="GS1021" s="885"/>
      <c r="GT1021" s="885"/>
      <c r="GU1021" s="885"/>
      <c r="GV1021" s="885"/>
      <c r="GW1021" s="885"/>
      <c r="GX1021" s="885"/>
      <c r="GY1021" s="885"/>
      <c r="GZ1021" s="885"/>
      <c r="HA1021" s="885"/>
      <c r="HB1021" s="885"/>
      <c r="HC1021" s="885"/>
      <c r="HD1021" s="885"/>
      <c r="HE1021" s="885"/>
      <c r="HF1021" s="885"/>
      <c r="HG1021" s="885"/>
      <c r="HH1021" s="885"/>
      <c r="HI1021" s="885"/>
      <c r="HJ1021" s="885"/>
      <c r="HK1021" s="885"/>
      <c r="HL1021" s="885"/>
      <c r="HM1021" s="885"/>
      <c r="HN1021" s="885"/>
      <c r="HO1021" s="885"/>
      <c r="HP1021" s="885"/>
      <c r="HQ1021" s="885"/>
      <c r="HR1021" s="885"/>
      <c r="HS1021" s="885"/>
      <c r="HT1021" s="885"/>
      <c r="HU1021" s="885"/>
      <c r="HV1021" s="885"/>
      <c r="HW1021" s="885"/>
      <c r="HX1021" s="885"/>
      <c r="HY1021" s="885"/>
      <c r="HZ1021" s="885"/>
      <c r="IA1021" s="885"/>
      <c r="IB1021" s="885"/>
      <c r="IC1021" s="885"/>
      <c r="ID1021" s="885"/>
      <c r="IE1021" s="885"/>
      <c r="IF1021" s="885"/>
      <c r="IG1021" s="885"/>
      <c r="IH1021" s="885"/>
      <c r="II1021" s="885"/>
      <c r="IJ1021" s="885"/>
      <c r="IK1021" s="885"/>
      <c r="IL1021" s="885"/>
      <c r="IM1021" s="885"/>
      <c r="IN1021" s="885"/>
      <c r="IO1021" s="885"/>
      <c r="IP1021" s="885"/>
      <c r="IQ1021" s="885"/>
      <c r="IR1021" s="885"/>
      <c r="IS1021" s="885"/>
      <c r="IT1021" s="885"/>
      <c r="IU1021" s="885"/>
      <c r="IV1021" s="885"/>
      <c r="IW1021" s="885"/>
      <c r="IX1021" s="885"/>
    </row>
    <row r="1022" spans="1:258" x14ac:dyDescent="0.25">
      <c r="A1022" s="125">
        <f t="shared" si="121"/>
        <v>982</v>
      </c>
      <c r="B1022" s="885"/>
      <c r="C1022" s="842" t="s">
        <v>10496</v>
      </c>
      <c r="D1022" s="924">
        <v>0</v>
      </c>
      <c r="E1022" s="924">
        <f t="shared" si="124"/>
        <v>0</v>
      </c>
      <c r="F1022" s="136">
        <v>500</v>
      </c>
      <c r="G1022" s="122" t="s">
        <v>1963</v>
      </c>
      <c r="H1022" s="885"/>
      <c r="I1022" s="885"/>
      <c r="J1022" s="885"/>
      <c r="K1022" s="885"/>
      <c r="L1022" s="885"/>
      <c r="M1022" s="885"/>
      <c r="N1022" s="885"/>
      <c r="O1022" s="885"/>
      <c r="P1022" s="885"/>
      <c r="Q1022" s="885"/>
      <c r="R1022" s="885"/>
      <c r="S1022" s="885"/>
      <c r="T1022" s="885"/>
      <c r="U1022" s="885"/>
      <c r="V1022" s="885"/>
      <c r="W1022" s="885"/>
      <c r="X1022" s="885"/>
      <c r="Y1022" s="885"/>
      <c r="Z1022" s="885"/>
      <c r="AA1022" s="885"/>
      <c r="AB1022" s="885"/>
      <c r="AC1022" s="885"/>
      <c r="AD1022" s="885"/>
      <c r="AE1022" s="885"/>
      <c r="AF1022" s="885"/>
      <c r="AG1022" s="885"/>
      <c r="AH1022" s="885"/>
      <c r="AI1022" s="885"/>
      <c r="AJ1022" s="885"/>
      <c r="AK1022" s="885"/>
      <c r="AL1022" s="885"/>
      <c r="AM1022" s="885"/>
      <c r="AN1022" s="885"/>
      <c r="AO1022" s="885"/>
      <c r="AP1022" s="885"/>
      <c r="AQ1022" s="885"/>
      <c r="AR1022" s="885"/>
      <c r="AS1022" s="885"/>
      <c r="AT1022" s="885"/>
      <c r="AU1022" s="885"/>
      <c r="AV1022" s="885"/>
      <c r="AW1022" s="885"/>
      <c r="AX1022" s="885"/>
      <c r="AY1022" s="885"/>
      <c r="AZ1022" s="885"/>
      <c r="BA1022" s="885"/>
      <c r="BB1022" s="885"/>
      <c r="BC1022" s="885"/>
      <c r="BD1022" s="885"/>
      <c r="BE1022" s="885"/>
      <c r="BF1022" s="885"/>
      <c r="BG1022" s="885"/>
      <c r="BH1022" s="885"/>
      <c r="BI1022" s="885"/>
      <c r="BJ1022" s="885"/>
      <c r="BK1022" s="885"/>
      <c r="BL1022" s="885"/>
      <c r="BM1022" s="885"/>
      <c r="BN1022" s="885"/>
      <c r="BO1022" s="885"/>
      <c r="BP1022" s="885"/>
      <c r="BQ1022" s="885"/>
      <c r="BR1022" s="885"/>
      <c r="BS1022" s="885"/>
      <c r="BT1022" s="885"/>
      <c r="BU1022" s="885"/>
      <c r="BV1022" s="885"/>
      <c r="BW1022" s="885"/>
      <c r="BX1022" s="885"/>
      <c r="BY1022" s="885"/>
      <c r="BZ1022" s="885"/>
      <c r="CA1022" s="885"/>
      <c r="CB1022" s="885"/>
      <c r="CC1022" s="885"/>
      <c r="CD1022" s="885"/>
      <c r="CE1022" s="885"/>
      <c r="CF1022" s="885"/>
      <c r="CG1022" s="885"/>
      <c r="CH1022" s="885"/>
      <c r="CI1022" s="885"/>
      <c r="CJ1022" s="885"/>
      <c r="CK1022" s="885"/>
      <c r="CL1022" s="885"/>
      <c r="CM1022" s="885"/>
      <c r="CN1022" s="885"/>
      <c r="CO1022" s="885"/>
      <c r="CP1022" s="885"/>
      <c r="CQ1022" s="885"/>
      <c r="CR1022" s="885"/>
      <c r="CS1022" s="885"/>
      <c r="CT1022" s="885"/>
      <c r="CU1022" s="885"/>
      <c r="CV1022" s="885"/>
      <c r="CW1022" s="885"/>
      <c r="CX1022" s="885"/>
      <c r="CY1022" s="885"/>
      <c r="CZ1022" s="885"/>
      <c r="DA1022" s="885"/>
      <c r="DB1022" s="885"/>
      <c r="DC1022" s="885"/>
      <c r="DD1022" s="885"/>
      <c r="DE1022" s="885"/>
      <c r="DF1022" s="885"/>
      <c r="DG1022" s="885"/>
      <c r="DH1022" s="885"/>
      <c r="DI1022" s="885"/>
      <c r="DJ1022" s="885"/>
      <c r="DK1022" s="885"/>
      <c r="DL1022" s="885"/>
      <c r="DM1022" s="885"/>
      <c r="DN1022" s="885"/>
      <c r="DO1022" s="885"/>
      <c r="DP1022" s="885"/>
      <c r="DQ1022" s="885"/>
      <c r="DR1022" s="885"/>
      <c r="DS1022" s="885"/>
      <c r="DT1022" s="885"/>
      <c r="DU1022" s="885"/>
      <c r="DV1022" s="885"/>
      <c r="DW1022" s="885"/>
      <c r="DX1022" s="885"/>
      <c r="DY1022" s="885"/>
      <c r="DZ1022" s="885"/>
      <c r="EA1022" s="885"/>
      <c r="EB1022" s="885"/>
      <c r="EC1022" s="885"/>
      <c r="ED1022" s="885"/>
      <c r="EE1022" s="885"/>
      <c r="EF1022" s="885"/>
      <c r="EG1022" s="885"/>
      <c r="EH1022" s="885"/>
      <c r="EI1022" s="885"/>
      <c r="EJ1022" s="885"/>
      <c r="EK1022" s="885"/>
      <c r="EL1022" s="885"/>
      <c r="EM1022" s="885"/>
      <c r="EN1022" s="885"/>
      <c r="EO1022" s="885"/>
      <c r="EP1022" s="885"/>
      <c r="EQ1022" s="885"/>
      <c r="ER1022" s="885"/>
      <c r="ES1022" s="885"/>
      <c r="ET1022" s="885"/>
      <c r="EU1022" s="885"/>
      <c r="EV1022" s="885"/>
      <c r="EW1022" s="885"/>
      <c r="EX1022" s="885"/>
      <c r="EY1022" s="885"/>
      <c r="EZ1022" s="885"/>
      <c r="FA1022" s="885"/>
      <c r="FB1022" s="885"/>
      <c r="FC1022" s="885"/>
      <c r="FD1022" s="885"/>
      <c r="FE1022" s="885"/>
      <c r="FF1022" s="885"/>
      <c r="FG1022" s="885"/>
      <c r="FH1022" s="885"/>
      <c r="FI1022" s="885"/>
      <c r="FJ1022" s="885"/>
      <c r="FK1022" s="885"/>
      <c r="FL1022" s="885"/>
      <c r="FM1022" s="885"/>
      <c r="FN1022" s="885"/>
      <c r="FO1022" s="885"/>
      <c r="FP1022" s="885"/>
      <c r="FQ1022" s="885"/>
      <c r="FR1022" s="885"/>
      <c r="FS1022" s="885"/>
      <c r="FT1022" s="885"/>
      <c r="FU1022" s="885"/>
      <c r="FV1022" s="885"/>
      <c r="FW1022" s="885"/>
      <c r="FX1022" s="885"/>
      <c r="FY1022" s="885"/>
      <c r="FZ1022" s="885"/>
      <c r="GA1022" s="885"/>
      <c r="GB1022" s="885"/>
      <c r="GC1022" s="885"/>
      <c r="GD1022" s="885"/>
      <c r="GE1022" s="885"/>
      <c r="GF1022" s="885"/>
      <c r="GG1022" s="885"/>
      <c r="GH1022" s="885"/>
      <c r="GI1022" s="885"/>
      <c r="GJ1022" s="885"/>
      <c r="GK1022" s="885"/>
      <c r="GL1022" s="885"/>
      <c r="GM1022" s="885"/>
      <c r="GN1022" s="885"/>
      <c r="GO1022" s="885"/>
      <c r="GP1022" s="885"/>
      <c r="GQ1022" s="885"/>
      <c r="GR1022" s="885"/>
      <c r="GS1022" s="885"/>
      <c r="GT1022" s="885"/>
      <c r="GU1022" s="885"/>
      <c r="GV1022" s="885"/>
      <c r="GW1022" s="885"/>
      <c r="GX1022" s="885"/>
      <c r="GY1022" s="885"/>
      <c r="GZ1022" s="885"/>
      <c r="HA1022" s="885"/>
      <c r="HB1022" s="885"/>
      <c r="HC1022" s="885"/>
      <c r="HD1022" s="885"/>
      <c r="HE1022" s="885"/>
      <c r="HF1022" s="885"/>
      <c r="HG1022" s="885"/>
      <c r="HH1022" s="885"/>
      <c r="HI1022" s="885"/>
      <c r="HJ1022" s="885"/>
      <c r="HK1022" s="885"/>
      <c r="HL1022" s="885"/>
      <c r="HM1022" s="885"/>
      <c r="HN1022" s="885"/>
      <c r="HO1022" s="885"/>
      <c r="HP1022" s="885"/>
      <c r="HQ1022" s="885"/>
      <c r="HR1022" s="885"/>
      <c r="HS1022" s="885"/>
      <c r="HT1022" s="885"/>
      <c r="HU1022" s="885"/>
      <c r="HV1022" s="885"/>
      <c r="HW1022" s="885"/>
      <c r="HX1022" s="885"/>
      <c r="HY1022" s="885"/>
      <c r="HZ1022" s="885"/>
      <c r="IA1022" s="885"/>
      <c r="IB1022" s="885"/>
      <c r="IC1022" s="885"/>
      <c r="ID1022" s="885"/>
      <c r="IE1022" s="885"/>
      <c r="IF1022" s="885"/>
      <c r="IG1022" s="885"/>
      <c r="IH1022" s="885"/>
      <c r="II1022" s="885"/>
      <c r="IJ1022" s="885"/>
      <c r="IK1022" s="885"/>
      <c r="IL1022" s="885"/>
      <c r="IM1022" s="885"/>
      <c r="IN1022" s="885"/>
      <c r="IO1022" s="885"/>
      <c r="IP1022" s="885"/>
      <c r="IQ1022" s="885"/>
      <c r="IR1022" s="885"/>
      <c r="IS1022" s="885"/>
      <c r="IT1022" s="885"/>
      <c r="IU1022" s="885"/>
      <c r="IV1022" s="885"/>
      <c r="IW1022" s="885"/>
      <c r="IX1022" s="885"/>
    </row>
    <row r="1023" spans="1:258" x14ac:dyDescent="0.25">
      <c r="A1023" s="125">
        <f t="shared" si="121"/>
        <v>983</v>
      </c>
      <c r="B1023" s="885"/>
      <c r="C1023" s="842" t="s">
        <v>10495</v>
      </c>
      <c r="D1023" s="924">
        <v>0</v>
      </c>
      <c r="E1023" s="924">
        <f t="shared" si="124"/>
        <v>0</v>
      </c>
      <c r="F1023" s="136">
        <v>1000</v>
      </c>
      <c r="G1023" s="122" t="s">
        <v>1963</v>
      </c>
      <c r="H1023" s="885"/>
      <c r="I1023" s="885"/>
      <c r="J1023" s="885"/>
      <c r="K1023" s="885"/>
      <c r="L1023" s="885"/>
      <c r="M1023" s="885"/>
      <c r="N1023" s="885"/>
      <c r="O1023" s="885"/>
      <c r="P1023" s="885"/>
      <c r="Q1023" s="885"/>
      <c r="R1023" s="885"/>
      <c r="S1023" s="885"/>
      <c r="T1023" s="885"/>
      <c r="U1023" s="885"/>
      <c r="V1023" s="885"/>
      <c r="W1023" s="885"/>
      <c r="X1023" s="885"/>
      <c r="Y1023" s="885"/>
      <c r="Z1023" s="885"/>
      <c r="AA1023" s="885"/>
      <c r="AB1023" s="885"/>
      <c r="AC1023" s="885"/>
      <c r="AD1023" s="885"/>
      <c r="AE1023" s="885"/>
      <c r="AF1023" s="885"/>
      <c r="AG1023" s="885"/>
      <c r="AH1023" s="885"/>
      <c r="AI1023" s="885"/>
      <c r="AJ1023" s="885"/>
      <c r="AK1023" s="885"/>
      <c r="AL1023" s="885"/>
      <c r="AM1023" s="885"/>
      <c r="AN1023" s="885"/>
      <c r="AO1023" s="885"/>
      <c r="AP1023" s="885"/>
      <c r="AQ1023" s="885"/>
      <c r="AR1023" s="885"/>
      <c r="AS1023" s="885"/>
      <c r="AT1023" s="885"/>
      <c r="AU1023" s="885"/>
      <c r="AV1023" s="885"/>
      <c r="AW1023" s="885"/>
      <c r="AX1023" s="885"/>
      <c r="AY1023" s="885"/>
      <c r="AZ1023" s="885"/>
      <c r="BA1023" s="885"/>
      <c r="BB1023" s="885"/>
      <c r="BC1023" s="885"/>
      <c r="BD1023" s="885"/>
      <c r="BE1023" s="885"/>
      <c r="BF1023" s="885"/>
      <c r="BG1023" s="885"/>
      <c r="BH1023" s="885"/>
      <c r="BI1023" s="885"/>
      <c r="BJ1023" s="885"/>
      <c r="BK1023" s="885"/>
      <c r="BL1023" s="885"/>
      <c r="BM1023" s="885"/>
      <c r="BN1023" s="885"/>
      <c r="BO1023" s="885"/>
      <c r="BP1023" s="885"/>
      <c r="BQ1023" s="885"/>
      <c r="BR1023" s="885"/>
      <c r="BS1023" s="885"/>
      <c r="BT1023" s="885"/>
      <c r="BU1023" s="885"/>
      <c r="BV1023" s="885"/>
      <c r="BW1023" s="885"/>
      <c r="BX1023" s="885"/>
      <c r="BY1023" s="885"/>
      <c r="BZ1023" s="885"/>
      <c r="CA1023" s="885"/>
      <c r="CB1023" s="885"/>
      <c r="CC1023" s="885"/>
      <c r="CD1023" s="885"/>
      <c r="CE1023" s="885"/>
      <c r="CF1023" s="885"/>
      <c r="CG1023" s="885"/>
      <c r="CH1023" s="885"/>
      <c r="CI1023" s="885"/>
      <c r="CJ1023" s="885"/>
      <c r="CK1023" s="885"/>
      <c r="CL1023" s="885"/>
      <c r="CM1023" s="885"/>
      <c r="CN1023" s="885"/>
      <c r="CO1023" s="885"/>
      <c r="CP1023" s="885"/>
      <c r="CQ1023" s="885"/>
      <c r="CR1023" s="885"/>
      <c r="CS1023" s="885"/>
      <c r="CT1023" s="885"/>
      <c r="CU1023" s="885"/>
      <c r="CV1023" s="885"/>
      <c r="CW1023" s="885"/>
      <c r="CX1023" s="885"/>
      <c r="CY1023" s="885"/>
      <c r="CZ1023" s="885"/>
      <c r="DA1023" s="885"/>
      <c r="DB1023" s="885"/>
      <c r="DC1023" s="885"/>
      <c r="DD1023" s="885"/>
      <c r="DE1023" s="885"/>
      <c r="DF1023" s="885"/>
      <c r="DG1023" s="885"/>
      <c r="DH1023" s="885"/>
      <c r="DI1023" s="885"/>
      <c r="DJ1023" s="885"/>
      <c r="DK1023" s="885"/>
      <c r="DL1023" s="885"/>
      <c r="DM1023" s="885"/>
      <c r="DN1023" s="885"/>
      <c r="DO1023" s="885"/>
      <c r="DP1023" s="885"/>
      <c r="DQ1023" s="885"/>
      <c r="DR1023" s="885"/>
      <c r="DS1023" s="885"/>
      <c r="DT1023" s="885"/>
      <c r="DU1023" s="885"/>
      <c r="DV1023" s="885"/>
      <c r="DW1023" s="885"/>
      <c r="DX1023" s="885"/>
      <c r="DY1023" s="885"/>
      <c r="DZ1023" s="885"/>
      <c r="EA1023" s="885"/>
      <c r="EB1023" s="885"/>
      <c r="EC1023" s="885"/>
      <c r="ED1023" s="885"/>
      <c r="EE1023" s="885"/>
      <c r="EF1023" s="885"/>
      <c r="EG1023" s="885"/>
      <c r="EH1023" s="885"/>
      <c r="EI1023" s="885"/>
      <c r="EJ1023" s="885"/>
      <c r="EK1023" s="885"/>
      <c r="EL1023" s="885"/>
      <c r="EM1023" s="885"/>
      <c r="EN1023" s="885"/>
      <c r="EO1023" s="885"/>
      <c r="EP1023" s="885"/>
      <c r="EQ1023" s="885"/>
      <c r="ER1023" s="885"/>
      <c r="ES1023" s="885"/>
      <c r="ET1023" s="885"/>
      <c r="EU1023" s="885"/>
      <c r="EV1023" s="885"/>
      <c r="EW1023" s="885"/>
      <c r="EX1023" s="885"/>
      <c r="EY1023" s="885"/>
      <c r="EZ1023" s="885"/>
      <c r="FA1023" s="885"/>
      <c r="FB1023" s="885"/>
      <c r="FC1023" s="885"/>
      <c r="FD1023" s="885"/>
      <c r="FE1023" s="885"/>
      <c r="FF1023" s="885"/>
      <c r="FG1023" s="885"/>
      <c r="FH1023" s="885"/>
      <c r="FI1023" s="885"/>
      <c r="FJ1023" s="885"/>
      <c r="FK1023" s="885"/>
      <c r="FL1023" s="885"/>
      <c r="FM1023" s="885"/>
      <c r="FN1023" s="885"/>
      <c r="FO1023" s="885"/>
      <c r="FP1023" s="885"/>
      <c r="FQ1023" s="885"/>
      <c r="FR1023" s="885"/>
      <c r="FS1023" s="885"/>
      <c r="FT1023" s="885"/>
      <c r="FU1023" s="885"/>
      <c r="FV1023" s="885"/>
      <c r="FW1023" s="885"/>
      <c r="FX1023" s="885"/>
      <c r="FY1023" s="885"/>
      <c r="FZ1023" s="885"/>
      <c r="GA1023" s="885"/>
      <c r="GB1023" s="885"/>
      <c r="GC1023" s="885"/>
      <c r="GD1023" s="885"/>
      <c r="GE1023" s="885"/>
      <c r="GF1023" s="885"/>
      <c r="GG1023" s="885"/>
      <c r="GH1023" s="885"/>
      <c r="GI1023" s="885"/>
      <c r="GJ1023" s="885"/>
      <c r="GK1023" s="885"/>
      <c r="GL1023" s="885"/>
      <c r="GM1023" s="885"/>
      <c r="GN1023" s="885"/>
      <c r="GO1023" s="885"/>
      <c r="GP1023" s="885"/>
      <c r="GQ1023" s="885"/>
      <c r="GR1023" s="885"/>
      <c r="GS1023" s="885"/>
      <c r="GT1023" s="885"/>
      <c r="GU1023" s="885"/>
      <c r="GV1023" s="885"/>
      <c r="GW1023" s="885"/>
      <c r="GX1023" s="885"/>
      <c r="GY1023" s="885"/>
      <c r="GZ1023" s="885"/>
      <c r="HA1023" s="885"/>
      <c r="HB1023" s="885"/>
      <c r="HC1023" s="885"/>
      <c r="HD1023" s="885"/>
      <c r="HE1023" s="885"/>
      <c r="HF1023" s="885"/>
      <c r="HG1023" s="885"/>
      <c r="HH1023" s="885"/>
      <c r="HI1023" s="885"/>
      <c r="HJ1023" s="885"/>
      <c r="HK1023" s="885"/>
      <c r="HL1023" s="885"/>
      <c r="HM1023" s="885"/>
      <c r="HN1023" s="885"/>
      <c r="HO1023" s="885"/>
      <c r="HP1023" s="885"/>
      <c r="HQ1023" s="885"/>
      <c r="HR1023" s="885"/>
      <c r="HS1023" s="885"/>
      <c r="HT1023" s="885"/>
      <c r="HU1023" s="885"/>
      <c r="HV1023" s="885"/>
      <c r="HW1023" s="885"/>
      <c r="HX1023" s="885"/>
      <c r="HY1023" s="885"/>
      <c r="HZ1023" s="885"/>
      <c r="IA1023" s="885"/>
      <c r="IB1023" s="885"/>
      <c r="IC1023" s="885"/>
      <c r="ID1023" s="885"/>
      <c r="IE1023" s="885"/>
      <c r="IF1023" s="885"/>
      <c r="IG1023" s="885"/>
      <c r="IH1023" s="885"/>
      <c r="II1023" s="885"/>
      <c r="IJ1023" s="885"/>
      <c r="IK1023" s="885"/>
      <c r="IL1023" s="885"/>
      <c r="IM1023" s="885"/>
      <c r="IN1023" s="885"/>
      <c r="IO1023" s="885"/>
      <c r="IP1023" s="885"/>
      <c r="IQ1023" s="885"/>
      <c r="IR1023" s="885"/>
      <c r="IS1023" s="885"/>
      <c r="IT1023" s="885"/>
      <c r="IU1023" s="885"/>
      <c r="IV1023" s="885"/>
      <c r="IW1023" s="885"/>
      <c r="IX1023" s="885"/>
    </row>
    <row r="1024" spans="1:258" x14ac:dyDescent="0.25">
      <c r="A1024" s="125">
        <f t="shared" si="121"/>
        <v>984</v>
      </c>
      <c r="B1024" s="885"/>
      <c r="C1024" s="134" t="s">
        <v>10506</v>
      </c>
      <c r="D1024" s="924">
        <v>0</v>
      </c>
      <c r="E1024" s="924">
        <f t="shared" si="124"/>
        <v>0</v>
      </c>
      <c r="F1024" s="136">
        <v>1500</v>
      </c>
      <c r="G1024" s="122" t="s">
        <v>1963</v>
      </c>
      <c r="H1024" s="885"/>
      <c r="I1024" s="885"/>
      <c r="J1024" s="885"/>
      <c r="K1024" s="885"/>
      <c r="L1024" s="885"/>
      <c r="M1024" s="885"/>
      <c r="N1024" s="885"/>
      <c r="O1024" s="885"/>
      <c r="P1024" s="885"/>
      <c r="Q1024" s="885"/>
      <c r="R1024" s="885"/>
      <c r="S1024" s="885"/>
      <c r="T1024" s="885"/>
      <c r="U1024" s="885"/>
      <c r="V1024" s="885"/>
      <c r="W1024" s="885"/>
      <c r="X1024" s="885"/>
      <c r="Y1024" s="885"/>
      <c r="Z1024" s="885"/>
      <c r="AA1024" s="885"/>
      <c r="AB1024" s="885"/>
      <c r="AC1024" s="885"/>
      <c r="AD1024" s="885"/>
      <c r="AE1024" s="885"/>
      <c r="AF1024" s="885"/>
      <c r="AG1024" s="885"/>
      <c r="AH1024" s="885"/>
      <c r="AI1024" s="885"/>
      <c r="AJ1024" s="885"/>
      <c r="AK1024" s="885"/>
      <c r="AL1024" s="885"/>
      <c r="AM1024" s="885"/>
      <c r="AN1024" s="885"/>
      <c r="AO1024" s="885"/>
      <c r="AP1024" s="885"/>
      <c r="AQ1024" s="885"/>
      <c r="AR1024" s="885"/>
      <c r="AS1024" s="885"/>
      <c r="AT1024" s="885"/>
      <c r="AU1024" s="885"/>
      <c r="AV1024" s="885"/>
      <c r="AW1024" s="885"/>
      <c r="AX1024" s="885"/>
      <c r="AY1024" s="885"/>
      <c r="AZ1024" s="885"/>
      <c r="BA1024" s="885"/>
      <c r="BB1024" s="885"/>
      <c r="BC1024" s="885"/>
      <c r="BD1024" s="885"/>
      <c r="BE1024" s="885"/>
      <c r="BF1024" s="885"/>
      <c r="BG1024" s="885"/>
      <c r="BH1024" s="885"/>
      <c r="BI1024" s="885"/>
      <c r="BJ1024" s="885"/>
      <c r="BK1024" s="885"/>
      <c r="BL1024" s="885"/>
      <c r="BM1024" s="885"/>
      <c r="BN1024" s="885"/>
      <c r="BO1024" s="885"/>
      <c r="BP1024" s="885"/>
      <c r="BQ1024" s="885"/>
      <c r="BR1024" s="885"/>
      <c r="BS1024" s="885"/>
      <c r="BT1024" s="885"/>
      <c r="BU1024" s="885"/>
      <c r="BV1024" s="885"/>
      <c r="BW1024" s="885"/>
      <c r="BX1024" s="885"/>
      <c r="BY1024" s="885"/>
      <c r="BZ1024" s="885"/>
      <c r="CA1024" s="885"/>
      <c r="CB1024" s="885"/>
      <c r="CC1024" s="885"/>
      <c r="CD1024" s="885"/>
      <c r="CE1024" s="885"/>
      <c r="CF1024" s="885"/>
      <c r="CG1024" s="885"/>
      <c r="CH1024" s="885"/>
      <c r="CI1024" s="885"/>
      <c r="CJ1024" s="885"/>
      <c r="CK1024" s="885"/>
      <c r="CL1024" s="885"/>
      <c r="CM1024" s="885"/>
      <c r="CN1024" s="885"/>
      <c r="CO1024" s="885"/>
      <c r="CP1024" s="885"/>
      <c r="CQ1024" s="885"/>
      <c r="CR1024" s="885"/>
      <c r="CS1024" s="885"/>
      <c r="CT1024" s="885"/>
      <c r="CU1024" s="885"/>
      <c r="CV1024" s="885"/>
      <c r="CW1024" s="885"/>
      <c r="CX1024" s="885"/>
      <c r="CY1024" s="885"/>
      <c r="CZ1024" s="885"/>
      <c r="DA1024" s="885"/>
      <c r="DB1024" s="885"/>
      <c r="DC1024" s="885"/>
      <c r="DD1024" s="885"/>
      <c r="DE1024" s="885"/>
      <c r="DF1024" s="885"/>
      <c r="DG1024" s="885"/>
      <c r="DH1024" s="885"/>
      <c r="DI1024" s="885"/>
      <c r="DJ1024" s="885"/>
      <c r="DK1024" s="885"/>
      <c r="DL1024" s="885"/>
      <c r="DM1024" s="885"/>
      <c r="DN1024" s="885"/>
      <c r="DO1024" s="885"/>
      <c r="DP1024" s="885"/>
      <c r="DQ1024" s="885"/>
      <c r="DR1024" s="885"/>
      <c r="DS1024" s="885"/>
      <c r="DT1024" s="885"/>
      <c r="DU1024" s="885"/>
      <c r="DV1024" s="885"/>
      <c r="DW1024" s="885"/>
      <c r="DX1024" s="885"/>
      <c r="DY1024" s="885"/>
      <c r="DZ1024" s="885"/>
      <c r="EA1024" s="885"/>
      <c r="EB1024" s="885"/>
      <c r="EC1024" s="885"/>
      <c r="ED1024" s="885"/>
      <c r="EE1024" s="885"/>
      <c r="EF1024" s="885"/>
      <c r="EG1024" s="885"/>
      <c r="EH1024" s="885"/>
      <c r="EI1024" s="885"/>
      <c r="EJ1024" s="885"/>
      <c r="EK1024" s="885"/>
      <c r="EL1024" s="885"/>
      <c r="EM1024" s="885"/>
      <c r="EN1024" s="885"/>
      <c r="EO1024" s="885"/>
      <c r="EP1024" s="885"/>
      <c r="EQ1024" s="885"/>
      <c r="ER1024" s="885"/>
      <c r="ES1024" s="885"/>
      <c r="ET1024" s="885"/>
      <c r="EU1024" s="885"/>
      <c r="EV1024" s="885"/>
      <c r="EW1024" s="885"/>
      <c r="EX1024" s="885"/>
      <c r="EY1024" s="885"/>
      <c r="EZ1024" s="885"/>
      <c r="FA1024" s="885"/>
      <c r="FB1024" s="885"/>
      <c r="FC1024" s="885"/>
      <c r="FD1024" s="885"/>
      <c r="FE1024" s="885"/>
      <c r="FF1024" s="885"/>
      <c r="FG1024" s="885"/>
      <c r="FH1024" s="885"/>
      <c r="FI1024" s="885"/>
      <c r="FJ1024" s="885"/>
      <c r="FK1024" s="885"/>
      <c r="FL1024" s="885"/>
      <c r="FM1024" s="885"/>
      <c r="FN1024" s="885"/>
      <c r="FO1024" s="885"/>
      <c r="FP1024" s="885"/>
      <c r="FQ1024" s="885"/>
      <c r="FR1024" s="885"/>
      <c r="FS1024" s="885"/>
      <c r="FT1024" s="885"/>
      <c r="FU1024" s="885"/>
      <c r="FV1024" s="885"/>
      <c r="FW1024" s="885"/>
      <c r="FX1024" s="885"/>
      <c r="FY1024" s="885"/>
      <c r="FZ1024" s="885"/>
      <c r="GA1024" s="885"/>
      <c r="GB1024" s="885"/>
      <c r="GC1024" s="885"/>
      <c r="GD1024" s="885"/>
      <c r="GE1024" s="885"/>
      <c r="GF1024" s="885"/>
      <c r="GG1024" s="885"/>
      <c r="GH1024" s="885"/>
      <c r="GI1024" s="885"/>
      <c r="GJ1024" s="885"/>
      <c r="GK1024" s="885"/>
      <c r="GL1024" s="885"/>
      <c r="GM1024" s="885"/>
      <c r="GN1024" s="885"/>
      <c r="GO1024" s="885"/>
      <c r="GP1024" s="885"/>
      <c r="GQ1024" s="885"/>
      <c r="GR1024" s="885"/>
      <c r="GS1024" s="885"/>
      <c r="GT1024" s="885"/>
      <c r="GU1024" s="885"/>
      <c r="GV1024" s="885"/>
      <c r="GW1024" s="885"/>
      <c r="GX1024" s="885"/>
      <c r="GY1024" s="885"/>
      <c r="GZ1024" s="885"/>
      <c r="HA1024" s="885"/>
      <c r="HB1024" s="885"/>
      <c r="HC1024" s="885"/>
      <c r="HD1024" s="885"/>
      <c r="HE1024" s="885"/>
      <c r="HF1024" s="885"/>
      <c r="HG1024" s="885"/>
      <c r="HH1024" s="885"/>
      <c r="HI1024" s="885"/>
      <c r="HJ1024" s="885"/>
      <c r="HK1024" s="885"/>
      <c r="HL1024" s="885"/>
      <c r="HM1024" s="885"/>
      <c r="HN1024" s="885"/>
      <c r="HO1024" s="885"/>
      <c r="HP1024" s="885"/>
      <c r="HQ1024" s="885"/>
      <c r="HR1024" s="885"/>
      <c r="HS1024" s="885"/>
      <c r="HT1024" s="885"/>
      <c r="HU1024" s="885"/>
      <c r="HV1024" s="885"/>
      <c r="HW1024" s="885"/>
      <c r="HX1024" s="885"/>
      <c r="HY1024" s="885"/>
      <c r="HZ1024" s="885"/>
      <c r="IA1024" s="885"/>
      <c r="IB1024" s="885"/>
      <c r="IC1024" s="885"/>
      <c r="ID1024" s="885"/>
      <c r="IE1024" s="885"/>
      <c r="IF1024" s="885"/>
      <c r="IG1024" s="885"/>
      <c r="IH1024" s="885"/>
      <c r="II1024" s="885"/>
      <c r="IJ1024" s="885"/>
      <c r="IK1024" s="885"/>
      <c r="IL1024" s="885"/>
      <c r="IM1024" s="885"/>
      <c r="IN1024" s="885"/>
      <c r="IO1024" s="885"/>
      <c r="IP1024" s="885"/>
      <c r="IQ1024" s="885"/>
      <c r="IR1024" s="885"/>
      <c r="IS1024" s="885"/>
      <c r="IT1024" s="885"/>
      <c r="IU1024" s="885"/>
      <c r="IV1024" s="885"/>
      <c r="IW1024" s="885"/>
      <c r="IX1024" s="885"/>
    </row>
    <row r="1025" spans="1:258" x14ac:dyDescent="0.25">
      <c r="A1025" s="125">
        <f t="shared" si="121"/>
        <v>985</v>
      </c>
      <c r="B1025" s="885"/>
      <c r="C1025" s="232" t="s">
        <v>10605</v>
      </c>
      <c r="D1025" s="915"/>
      <c r="E1025" s="915"/>
      <c r="F1025" s="136"/>
      <c r="H1025" s="885"/>
      <c r="I1025" s="885"/>
      <c r="J1025" s="885"/>
      <c r="K1025" s="885"/>
      <c r="L1025" s="885"/>
      <c r="M1025" s="885"/>
      <c r="N1025" s="885"/>
      <c r="O1025" s="885"/>
      <c r="P1025" s="885"/>
      <c r="Q1025" s="885"/>
      <c r="R1025" s="885"/>
      <c r="S1025" s="885"/>
      <c r="T1025" s="885"/>
      <c r="U1025" s="885"/>
      <c r="V1025" s="885"/>
      <c r="W1025" s="885"/>
      <c r="X1025" s="885"/>
      <c r="Y1025" s="885"/>
      <c r="Z1025" s="885"/>
      <c r="AA1025" s="885"/>
      <c r="AB1025" s="885"/>
      <c r="AC1025" s="885"/>
      <c r="AD1025" s="885"/>
      <c r="AE1025" s="885"/>
      <c r="AF1025" s="885"/>
      <c r="AG1025" s="885"/>
      <c r="AH1025" s="885"/>
      <c r="AI1025" s="885"/>
      <c r="AJ1025" s="885"/>
      <c r="AK1025" s="885"/>
      <c r="AL1025" s="885"/>
      <c r="AM1025" s="885"/>
      <c r="AN1025" s="885"/>
      <c r="AO1025" s="885"/>
      <c r="AP1025" s="885"/>
      <c r="AQ1025" s="885"/>
      <c r="AR1025" s="885"/>
      <c r="AS1025" s="885"/>
      <c r="AT1025" s="885"/>
      <c r="AU1025" s="885"/>
      <c r="AV1025" s="885"/>
      <c r="AW1025" s="885"/>
      <c r="AX1025" s="885"/>
      <c r="AY1025" s="885"/>
      <c r="AZ1025" s="885"/>
      <c r="BA1025" s="885"/>
      <c r="BB1025" s="885"/>
      <c r="BC1025" s="885"/>
      <c r="BD1025" s="885"/>
      <c r="BE1025" s="885"/>
      <c r="BF1025" s="885"/>
      <c r="BG1025" s="885"/>
      <c r="BH1025" s="885"/>
      <c r="BI1025" s="885"/>
      <c r="BJ1025" s="885"/>
      <c r="BK1025" s="885"/>
      <c r="BL1025" s="885"/>
      <c r="BM1025" s="885"/>
      <c r="BN1025" s="885"/>
      <c r="BO1025" s="885"/>
      <c r="BP1025" s="885"/>
      <c r="BQ1025" s="885"/>
      <c r="BR1025" s="885"/>
      <c r="BS1025" s="885"/>
      <c r="BT1025" s="885"/>
      <c r="BU1025" s="885"/>
      <c r="BV1025" s="885"/>
      <c r="BW1025" s="885"/>
      <c r="BX1025" s="885"/>
      <c r="BY1025" s="885"/>
      <c r="BZ1025" s="885"/>
      <c r="CA1025" s="885"/>
      <c r="CB1025" s="885"/>
      <c r="CC1025" s="885"/>
      <c r="CD1025" s="885"/>
      <c r="CE1025" s="885"/>
      <c r="CF1025" s="885"/>
      <c r="CG1025" s="885"/>
      <c r="CH1025" s="885"/>
      <c r="CI1025" s="885"/>
      <c r="CJ1025" s="885"/>
      <c r="CK1025" s="885"/>
      <c r="CL1025" s="885"/>
      <c r="CM1025" s="885"/>
      <c r="CN1025" s="885"/>
      <c r="CO1025" s="885"/>
      <c r="CP1025" s="885"/>
      <c r="CQ1025" s="885"/>
      <c r="CR1025" s="885"/>
      <c r="CS1025" s="885"/>
      <c r="CT1025" s="885"/>
      <c r="CU1025" s="885"/>
      <c r="CV1025" s="885"/>
      <c r="CW1025" s="885"/>
      <c r="CX1025" s="885"/>
      <c r="CY1025" s="885"/>
      <c r="CZ1025" s="885"/>
      <c r="DA1025" s="885"/>
      <c r="DB1025" s="885"/>
      <c r="DC1025" s="885"/>
      <c r="DD1025" s="885"/>
      <c r="DE1025" s="885"/>
      <c r="DF1025" s="885"/>
      <c r="DG1025" s="885"/>
      <c r="DH1025" s="885"/>
      <c r="DI1025" s="885"/>
      <c r="DJ1025" s="885"/>
      <c r="DK1025" s="885"/>
      <c r="DL1025" s="885"/>
      <c r="DM1025" s="885"/>
      <c r="DN1025" s="885"/>
      <c r="DO1025" s="885"/>
      <c r="DP1025" s="885"/>
      <c r="DQ1025" s="885"/>
      <c r="DR1025" s="885"/>
      <c r="DS1025" s="885"/>
      <c r="DT1025" s="885"/>
      <c r="DU1025" s="885"/>
      <c r="DV1025" s="885"/>
      <c r="DW1025" s="885"/>
      <c r="DX1025" s="885"/>
      <c r="DY1025" s="885"/>
      <c r="DZ1025" s="885"/>
      <c r="EA1025" s="885"/>
      <c r="EB1025" s="885"/>
      <c r="EC1025" s="885"/>
      <c r="ED1025" s="885"/>
      <c r="EE1025" s="885"/>
      <c r="EF1025" s="885"/>
      <c r="EG1025" s="885"/>
      <c r="EH1025" s="885"/>
      <c r="EI1025" s="885"/>
      <c r="EJ1025" s="885"/>
      <c r="EK1025" s="885"/>
      <c r="EL1025" s="885"/>
      <c r="EM1025" s="885"/>
      <c r="EN1025" s="885"/>
      <c r="EO1025" s="885"/>
      <c r="EP1025" s="885"/>
      <c r="EQ1025" s="885"/>
      <c r="ER1025" s="885"/>
      <c r="ES1025" s="885"/>
      <c r="ET1025" s="885"/>
      <c r="EU1025" s="885"/>
      <c r="EV1025" s="885"/>
      <c r="EW1025" s="885"/>
      <c r="EX1025" s="885"/>
      <c r="EY1025" s="885"/>
      <c r="EZ1025" s="885"/>
      <c r="FA1025" s="885"/>
      <c r="FB1025" s="885"/>
      <c r="FC1025" s="885"/>
      <c r="FD1025" s="885"/>
      <c r="FE1025" s="885"/>
      <c r="FF1025" s="885"/>
      <c r="FG1025" s="885"/>
      <c r="FH1025" s="885"/>
      <c r="FI1025" s="885"/>
      <c r="FJ1025" s="885"/>
      <c r="FK1025" s="885"/>
      <c r="FL1025" s="885"/>
      <c r="FM1025" s="885"/>
      <c r="FN1025" s="885"/>
      <c r="FO1025" s="885"/>
      <c r="FP1025" s="885"/>
      <c r="FQ1025" s="885"/>
      <c r="FR1025" s="885"/>
      <c r="FS1025" s="885"/>
      <c r="FT1025" s="885"/>
      <c r="FU1025" s="885"/>
      <c r="FV1025" s="885"/>
      <c r="FW1025" s="885"/>
      <c r="FX1025" s="885"/>
      <c r="FY1025" s="885"/>
      <c r="FZ1025" s="885"/>
      <c r="GA1025" s="885"/>
      <c r="GB1025" s="885"/>
      <c r="GC1025" s="885"/>
      <c r="GD1025" s="885"/>
      <c r="GE1025" s="885"/>
      <c r="GF1025" s="885"/>
      <c r="GG1025" s="885"/>
      <c r="GH1025" s="885"/>
      <c r="GI1025" s="885"/>
      <c r="GJ1025" s="885"/>
      <c r="GK1025" s="885"/>
      <c r="GL1025" s="885"/>
      <c r="GM1025" s="885"/>
      <c r="GN1025" s="885"/>
      <c r="GO1025" s="885"/>
      <c r="GP1025" s="885"/>
      <c r="GQ1025" s="885"/>
      <c r="GR1025" s="885"/>
      <c r="GS1025" s="885"/>
      <c r="GT1025" s="885"/>
      <c r="GU1025" s="885"/>
      <c r="GV1025" s="885"/>
      <c r="GW1025" s="885"/>
      <c r="GX1025" s="885"/>
      <c r="GY1025" s="885"/>
      <c r="GZ1025" s="885"/>
      <c r="HA1025" s="885"/>
      <c r="HB1025" s="885"/>
      <c r="HC1025" s="885"/>
      <c r="HD1025" s="885"/>
      <c r="HE1025" s="885"/>
      <c r="HF1025" s="885"/>
      <c r="HG1025" s="885"/>
      <c r="HH1025" s="885"/>
      <c r="HI1025" s="885"/>
      <c r="HJ1025" s="885"/>
      <c r="HK1025" s="885"/>
      <c r="HL1025" s="885"/>
      <c r="HM1025" s="885"/>
      <c r="HN1025" s="885"/>
      <c r="HO1025" s="885"/>
      <c r="HP1025" s="885"/>
      <c r="HQ1025" s="885"/>
      <c r="HR1025" s="885"/>
      <c r="HS1025" s="885"/>
      <c r="HT1025" s="885"/>
      <c r="HU1025" s="885"/>
      <c r="HV1025" s="885"/>
      <c r="HW1025" s="885"/>
      <c r="HX1025" s="885"/>
      <c r="HY1025" s="885"/>
      <c r="HZ1025" s="885"/>
      <c r="IA1025" s="885"/>
      <c r="IB1025" s="885"/>
      <c r="IC1025" s="885"/>
      <c r="ID1025" s="885"/>
      <c r="IE1025" s="885"/>
      <c r="IF1025" s="885"/>
      <c r="IG1025" s="885"/>
      <c r="IH1025" s="885"/>
      <c r="II1025" s="885"/>
      <c r="IJ1025" s="885"/>
      <c r="IK1025" s="885"/>
      <c r="IL1025" s="885"/>
      <c r="IM1025" s="885"/>
      <c r="IN1025" s="885"/>
      <c r="IO1025" s="885"/>
      <c r="IP1025" s="885"/>
      <c r="IQ1025" s="885"/>
      <c r="IR1025" s="885"/>
      <c r="IS1025" s="885"/>
      <c r="IT1025" s="885"/>
      <c r="IU1025" s="885"/>
      <c r="IV1025" s="885"/>
      <c r="IW1025" s="885"/>
      <c r="IX1025" s="885"/>
    </row>
    <row r="1026" spans="1:258" x14ac:dyDescent="0.25">
      <c r="A1026" s="125">
        <f t="shared" si="121"/>
        <v>986</v>
      </c>
      <c r="B1026" s="885"/>
      <c r="C1026" s="842" t="s">
        <v>10505</v>
      </c>
      <c r="D1026" s="924">
        <v>2868.05</v>
      </c>
      <c r="E1026" s="906">
        <f>D1026/6*13.33</f>
        <v>6371.8510833333339</v>
      </c>
      <c r="F1026" s="136">
        <f>E1026/13.33</f>
        <v>478.00833333333338</v>
      </c>
      <c r="G1026" s="122" t="s">
        <v>1963</v>
      </c>
      <c r="H1026" s="885"/>
      <c r="I1026" s="885"/>
      <c r="J1026" s="885"/>
      <c r="K1026" s="885"/>
      <c r="L1026" s="885"/>
      <c r="M1026" s="885"/>
      <c r="N1026" s="885"/>
      <c r="O1026" s="885"/>
      <c r="P1026" s="885"/>
      <c r="Q1026" s="885"/>
      <c r="R1026" s="885"/>
      <c r="S1026" s="885"/>
      <c r="T1026" s="885"/>
      <c r="U1026" s="885"/>
      <c r="V1026" s="885"/>
      <c r="W1026" s="885"/>
      <c r="X1026" s="885"/>
      <c r="Y1026" s="885"/>
      <c r="Z1026" s="885"/>
      <c r="AA1026" s="885"/>
      <c r="AB1026" s="885"/>
      <c r="AC1026" s="885"/>
      <c r="AD1026" s="885"/>
      <c r="AE1026" s="885"/>
      <c r="AF1026" s="885"/>
      <c r="AG1026" s="885"/>
      <c r="AH1026" s="885"/>
      <c r="AI1026" s="885"/>
      <c r="AJ1026" s="885"/>
      <c r="AK1026" s="885"/>
      <c r="AL1026" s="885"/>
      <c r="AM1026" s="885"/>
      <c r="AN1026" s="885"/>
      <c r="AO1026" s="885"/>
      <c r="AP1026" s="885"/>
      <c r="AQ1026" s="885"/>
      <c r="AR1026" s="885"/>
      <c r="AS1026" s="885"/>
      <c r="AT1026" s="885"/>
      <c r="AU1026" s="885"/>
      <c r="AV1026" s="885"/>
      <c r="AW1026" s="885"/>
      <c r="AX1026" s="885"/>
      <c r="AY1026" s="885"/>
      <c r="AZ1026" s="885"/>
      <c r="BA1026" s="885"/>
      <c r="BB1026" s="885"/>
      <c r="BC1026" s="885"/>
      <c r="BD1026" s="885"/>
      <c r="BE1026" s="885"/>
      <c r="BF1026" s="885"/>
      <c r="BG1026" s="885"/>
      <c r="BH1026" s="885"/>
      <c r="BI1026" s="885"/>
      <c r="BJ1026" s="885"/>
      <c r="BK1026" s="885"/>
      <c r="BL1026" s="885"/>
      <c r="BM1026" s="885"/>
      <c r="BN1026" s="885"/>
      <c r="BO1026" s="885"/>
      <c r="BP1026" s="885"/>
      <c r="BQ1026" s="885"/>
      <c r="BR1026" s="885"/>
      <c r="BS1026" s="885"/>
      <c r="BT1026" s="885"/>
      <c r="BU1026" s="885"/>
      <c r="BV1026" s="885"/>
      <c r="BW1026" s="885"/>
      <c r="BX1026" s="885"/>
      <c r="BY1026" s="885"/>
      <c r="BZ1026" s="885"/>
      <c r="CA1026" s="885"/>
      <c r="CB1026" s="885"/>
      <c r="CC1026" s="885"/>
      <c r="CD1026" s="885"/>
      <c r="CE1026" s="885"/>
      <c r="CF1026" s="885"/>
      <c r="CG1026" s="885"/>
      <c r="CH1026" s="885"/>
      <c r="CI1026" s="885"/>
      <c r="CJ1026" s="885"/>
      <c r="CK1026" s="885"/>
      <c r="CL1026" s="885"/>
      <c r="CM1026" s="885"/>
      <c r="CN1026" s="885"/>
      <c r="CO1026" s="885"/>
      <c r="CP1026" s="885"/>
      <c r="CQ1026" s="885"/>
      <c r="CR1026" s="885"/>
      <c r="CS1026" s="885"/>
      <c r="CT1026" s="885"/>
      <c r="CU1026" s="885"/>
      <c r="CV1026" s="885"/>
      <c r="CW1026" s="885"/>
      <c r="CX1026" s="885"/>
      <c r="CY1026" s="885"/>
      <c r="CZ1026" s="885"/>
      <c r="DA1026" s="885"/>
      <c r="DB1026" s="885"/>
      <c r="DC1026" s="885"/>
      <c r="DD1026" s="885"/>
      <c r="DE1026" s="885"/>
      <c r="DF1026" s="885"/>
      <c r="DG1026" s="885"/>
      <c r="DH1026" s="885"/>
      <c r="DI1026" s="885"/>
      <c r="DJ1026" s="885"/>
      <c r="DK1026" s="885"/>
      <c r="DL1026" s="885"/>
      <c r="DM1026" s="885"/>
      <c r="DN1026" s="885"/>
      <c r="DO1026" s="885"/>
      <c r="DP1026" s="885"/>
      <c r="DQ1026" s="885"/>
      <c r="DR1026" s="885"/>
      <c r="DS1026" s="885"/>
      <c r="DT1026" s="885"/>
      <c r="DU1026" s="885"/>
      <c r="DV1026" s="885"/>
      <c r="DW1026" s="885"/>
      <c r="DX1026" s="885"/>
      <c r="DY1026" s="885"/>
      <c r="DZ1026" s="885"/>
      <c r="EA1026" s="885"/>
      <c r="EB1026" s="885"/>
      <c r="EC1026" s="885"/>
      <c r="ED1026" s="885"/>
      <c r="EE1026" s="885"/>
      <c r="EF1026" s="885"/>
      <c r="EG1026" s="885"/>
      <c r="EH1026" s="885"/>
      <c r="EI1026" s="885"/>
      <c r="EJ1026" s="885"/>
      <c r="EK1026" s="885"/>
      <c r="EL1026" s="885"/>
      <c r="EM1026" s="885"/>
      <c r="EN1026" s="885"/>
      <c r="EO1026" s="885"/>
      <c r="EP1026" s="885"/>
      <c r="EQ1026" s="885"/>
      <c r="ER1026" s="885"/>
      <c r="ES1026" s="885"/>
      <c r="ET1026" s="885"/>
      <c r="EU1026" s="885"/>
      <c r="EV1026" s="885"/>
      <c r="EW1026" s="885"/>
      <c r="EX1026" s="885"/>
      <c r="EY1026" s="885"/>
      <c r="EZ1026" s="885"/>
      <c r="FA1026" s="885"/>
      <c r="FB1026" s="885"/>
      <c r="FC1026" s="885"/>
      <c r="FD1026" s="885"/>
      <c r="FE1026" s="885"/>
      <c r="FF1026" s="885"/>
      <c r="FG1026" s="885"/>
      <c r="FH1026" s="885"/>
      <c r="FI1026" s="885"/>
      <c r="FJ1026" s="885"/>
      <c r="FK1026" s="885"/>
      <c r="FL1026" s="885"/>
      <c r="FM1026" s="885"/>
      <c r="FN1026" s="885"/>
      <c r="FO1026" s="885"/>
      <c r="FP1026" s="885"/>
      <c r="FQ1026" s="885"/>
      <c r="FR1026" s="885"/>
      <c r="FS1026" s="885"/>
      <c r="FT1026" s="885"/>
      <c r="FU1026" s="885"/>
      <c r="FV1026" s="885"/>
      <c r="FW1026" s="885"/>
      <c r="FX1026" s="885"/>
      <c r="FY1026" s="885"/>
      <c r="FZ1026" s="885"/>
      <c r="GA1026" s="885"/>
      <c r="GB1026" s="885"/>
      <c r="GC1026" s="885"/>
      <c r="GD1026" s="885"/>
      <c r="GE1026" s="885"/>
      <c r="GF1026" s="885"/>
      <c r="GG1026" s="885"/>
      <c r="GH1026" s="885"/>
      <c r="GI1026" s="885"/>
      <c r="GJ1026" s="885"/>
      <c r="GK1026" s="885"/>
      <c r="GL1026" s="885"/>
      <c r="GM1026" s="885"/>
      <c r="GN1026" s="885"/>
      <c r="GO1026" s="885"/>
      <c r="GP1026" s="885"/>
      <c r="GQ1026" s="885"/>
      <c r="GR1026" s="885"/>
      <c r="GS1026" s="885"/>
      <c r="GT1026" s="885"/>
      <c r="GU1026" s="885"/>
      <c r="GV1026" s="885"/>
      <c r="GW1026" s="885"/>
      <c r="GX1026" s="885"/>
      <c r="GY1026" s="885"/>
      <c r="GZ1026" s="885"/>
      <c r="HA1026" s="885"/>
      <c r="HB1026" s="885"/>
      <c r="HC1026" s="885"/>
      <c r="HD1026" s="885"/>
      <c r="HE1026" s="885"/>
      <c r="HF1026" s="885"/>
      <c r="HG1026" s="885"/>
      <c r="HH1026" s="885"/>
      <c r="HI1026" s="885"/>
      <c r="HJ1026" s="885"/>
      <c r="HK1026" s="885"/>
      <c r="HL1026" s="885"/>
      <c r="HM1026" s="885"/>
      <c r="HN1026" s="885"/>
      <c r="HO1026" s="885"/>
      <c r="HP1026" s="885"/>
      <c r="HQ1026" s="885"/>
      <c r="HR1026" s="885"/>
      <c r="HS1026" s="885"/>
      <c r="HT1026" s="885"/>
      <c r="HU1026" s="885"/>
      <c r="HV1026" s="885"/>
      <c r="HW1026" s="885"/>
      <c r="HX1026" s="885"/>
      <c r="HY1026" s="885"/>
      <c r="HZ1026" s="885"/>
      <c r="IA1026" s="885"/>
      <c r="IB1026" s="885"/>
      <c r="IC1026" s="885"/>
      <c r="ID1026" s="885"/>
      <c r="IE1026" s="885"/>
      <c r="IF1026" s="885"/>
      <c r="IG1026" s="885"/>
      <c r="IH1026" s="885"/>
      <c r="II1026" s="885"/>
      <c r="IJ1026" s="885"/>
      <c r="IK1026" s="885"/>
      <c r="IL1026" s="885"/>
      <c r="IM1026" s="885"/>
      <c r="IN1026" s="885"/>
      <c r="IO1026" s="885"/>
      <c r="IP1026" s="885"/>
      <c r="IQ1026" s="885"/>
      <c r="IR1026" s="885"/>
      <c r="IS1026" s="885"/>
      <c r="IT1026" s="885"/>
      <c r="IU1026" s="885"/>
      <c r="IV1026" s="885"/>
      <c r="IW1026" s="885"/>
      <c r="IX1026" s="885"/>
    </row>
    <row r="1027" spans="1:258" x14ac:dyDescent="0.25">
      <c r="A1027" s="125">
        <f t="shared" si="121"/>
        <v>987</v>
      </c>
      <c r="B1027" s="885"/>
      <c r="C1027" s="842" t="s">
        <v>10504</v>
      </c>
      <c r="D1027" s="924">
        <v>324.72000000000003</v>
      </c>
      <c r="E1027" s="906">
        <f>D1027/6*13.33</f>
        <v>721.41960000000006</v>
      </c>
      <c r="F1027" s="136">
        <f>E1027/13.33</f>
        <v>54.120000000000005</v>
      </c>
      <c r="G1027" s="122" t="s">
        <v>1963</v>
      </c>
      <c r="H1027" s="885"/>
      <c r="I1027" s="885"/>
      <c r="J1027" s="885"/>
      <c r="K1027" s="885"/>
      <c r="L1027" s="885"/>
      <c r="M1027" s="885"/>
      <c r="N1027" s="885"/>
      <c r="O1027" s="885"/>
      <c r="P1027" s="885"/>
      <c r="Q1027" s="885"/>
      <c r="R1027" s="885"/>
      <c r="S1027" s="885"/>
      <c r="T1027" s="885"/>
      <c r="U1027" s="885"/>
      <c r="V1027" s="885"/>
      <c r="W1027" s="885"/>
      <c r="X1027" s="885"/>
      <c r="Y1027" s="885"/>
      <c r="Z1027" s="885"/>
      <c r="AA1027" s="885"/>
      <c r="AB1027" s="885"/>
      <c r="AC1027" s="885"/>
      <c r="AD1027" s="885"/>
      <c r="AE1027" s="885"/>
      <c r="AF1027" s="885"/>
      <c r="AG1027" s="885"/>
      <c r="AH1027" s="885"/>
      <c r="AI1027" s="885"/>
      <c r="AJ1027" s="885"/>
      <c r="AK1027" s="885"/>
      <c r="AL1027" s="885"/>
      <c r="AM1027" s="885"/>
      <c r="AN1027" s="885"/>
      <c r="AO1027" s="885"/>
      <c r="AP1027" s="885"/>
      <c r="AQ1027" s="885"/>
      <c r="AR1027" s="885"/>
      <c r="AS1027" s="885"/>
      <c r="AT1027" s="885"/>
      <c r="AU1027" s="885"/>
      <c r="AV1027" s="885"/>
      <c r="AW1027" s="885"/>
      <c r="AX1027" s="885"/>
      <c r="AY1027" s="885"/>
      <c r="AZ1027" s="885"/>
      <c r="BA1027" s="885"/>
      <c r="BB1027" s="885"/>
      <c r="BC1027" s="885"/>
      <c r="BD1027" s="885"/>
      <c r="BE1027" s="885"/>
      <c r="BF1027" s="885"/>
      <c r="BG1027" s="885"/>
      <c r="BH1027" s="885"/>
      <c r="BI1027" s="885"/>
      <c r="BJ1027" s="885"/>
      <c r="BK1027" s="885"/>
      <c r="BL1027" s="885"/>
      <c r="BM1027" s="885"/>
      <c r="BN1027" s="885"/>
      <c r="BO1027" s="885"/>
      <c r="BP1027" s="885"/>
      <c r="BQ1027" s="885"/>
      <c r="BR1027" s="885"/>
      <c r="BS1027" s="885"/>
      <c r="BT1027" s="885"/>
      <c r="BU1027" s="885"/>
      <c r="BV1027" s="885"/>
      <c r="BW1027" s="885"/>
      <c r="BX1027" s="885"/>
      <c r="BY1027" s="885"/>
      <c r="BZ1027" s="885"/>
      <c r="CA1027" s="885"/>
      <c r="CB1027" s="885"/>
      <c r="CC1027" s="885"/>
      <c r="CD1027" s="885"/>
      <c r="CE1027" s="885"/>
      <c r="CF1027" s="885"/>
      <c r="CG1027" s="885"/>
      <c r="CH1027" s="885"/>
      <c r="CI1027" s="885"/>
      <c r="CJ1027" s="885"/>
      <c r="CK1027" s="885"/>
      <c r="CL1027" s="885"/>
      <c r="CM1027" s="885"/>
      <c r="CN1027" s="885"/>
      <c r="CO1027" s="885"/>
      <c r="CP1027" s="885"/>
      <c r="CQ1027" s="885"/>
      <c r="CR1027" s="885"/>
      <c r="CS1027" s="885"/>
      <c r="CT1027" s="885"/>
      <c r="CU1027" s="885"/>
      <c r="CV1027" s="885"/>
      <c r="CW1027" s="885"/>
      <c r="CX1027" s="885"/>
      <c r="CY1027" s="885"/>
      <c r="CZ1027" s="885"/>
      <c r="DA1027" s="885"/>
      <c r="DB1027" s="885"/>
      <c r="DC1027" s="885"/>
      <c r="DD1027" s="885"/>
      <c r="DE1027" s="885"/>
      <c r="DF1027" s="885"/>
      <c r="DG1027" s="885"/>
      <c r="DH1027" s="885"/>
      <c r="DI1027" s="885"/>
      <c r="DJ1027" s="885"/>
      <c r="DK1027" s="885"/>
      <c r="DL1027" s="885"/>
      <c r="DM1027" s="885"/>
      <c r="DN1027" s="885"/>
      <c r="DO1027" s="885"/>
      <c r="DP1027" s="885"/>
      <c r="DQ1027" s="885"/>
      <c r="DR1027" s="885"/>
      <c r="DS1027" s="885"/>
      <c r="DT1027" s="885"/>
      <c r="DU1027" s="885"/>
      <c r="DV1027" s="885"/>
      <c r="DW1027" s="885"/>
      <c r="DX1027" s="885"/>
      <c r="DY1027" s="885"/>
      <c r="DZ1027" s="885"/>
      <c r="EA1027" s="885"/>
      <c r="EB1027" s="885"/>
      <c r="EC1027" s="885"/>
      <c r="ED1027" s="885"/>
      <c r="EE1027" s="885"/>
      <c r="EF1027" s="885"/>
      <c r="EG1027" s="885"/>
      <c r="EH1027" s="885"/>
      <c r="EI1027" s="885"/>
      <c r="EJ1027" s="885"/>
      <c r="EK1027" s="885"/>
      <c r="EL1027" s="885"/>
      <c r="EM1027" s="885"/>
      <c r="EN1027" s="885"/>
      <c r="EO1027" s="885"/>
      <c r="EP1027" s="885"/>
      <c r="EQ1027" s="885"/>
      <c r="ER1027" s="885"/>
      <c r="ES1027" s="885"/>
      <c r="ET1027" s="885"/>
      <c r="EU1027" s="885"/>
      <c r="EV1027" s="885"/>
      <c r="EW1027" s="885"/>
      <c r="EX1027" s="885"/>
      <c r="EY1027" s="885"/>
      <c r="EZ1027" s="885"/>
      <c r="FA1027" s="885"/>
      <c r="FB1027" s="885"/>
      <c r="FC1027" s="885"/>
      <c r="FD1027" s="885"/>
      <c r="FE1027" s="885"/>
      <c r="FF1027" s="885"/>
      <c r="FG1027" s="885"/>
      <c r="FH1027" s="885"/>
      <c r="FI1027" s="885"/>
      <c r="FJ1027" s="885"/>
      <c r="FK1027" s="885"/>
      <c r="FL1027" s="885"/>
      <c r="FM1027" s="885"/>
      <c r="FN1027" s="885"/>
      <c r="FO1027" s="885"/>
      <c r="FP1027" s="885"/>
      <c r="FQ1027" s="885"/>
      <c r="FR1027" s="885"/>
      <c r="FS1027" s="885"/>
      <c r="FT1027" s="885"/>
      <c r="FU1027" s="885"/>
      <c r="FV1027" s="885"/>
      <c r="FW1027" s="885"/>
      <c r="FX1027" s="885"/>
      <c r="FY1027" s="885"/>
      <c r="FZ1027" s="885"/>
      <c r="GA1027" s="885"/>
      <c r="GB1027" s="885"/>
      <c r="GC1027" s="885"/>
      <c r="GD1027" s="885"/>
      <c r="GE1027" s="885"/>
      <c r="GF1027" s="885"/>
      <c r="GG1027" s="885"/>
      <c r="GH1027" s="885"/>
      <c r="GI1027" s="885"/>
      <c r="GJ1027" s="885"/>
      <c r="GK1027" s="885"/>
      <c r="GL1027" s="885"/>
      <c r="GM1027" s="885"/>
      <c r="GN1027" s="885"/>
      <c r="GO1027" s="885"/>
      <c r="GP1027" s="885"/>
      <c r="GQ1027" s="885"/>
      <c r="GR1027" s="885"/>
      <c r="GS1027" s="885"/>
      <c r="GT1027" s="885"/>
      <c r="GU1027" s="885"/>
      <c r="GV1027" s="885"/>
      <c r="GW1027" s="885"/>
      <c r="GX1027" s="885"/>
      <c r="GY1027" s="885"/>
      <c r="GZ1027" s="885"/>
      <c r="HA1027" s="885"/>
      <c r="HB1027" s="885"/>
      <c r="HC1027" s="885"/>
      <c r="HD1027" s="885"/>
      <c r="HE1027" s="885"/>
      <c r="HF1027" s="885"/>
      <c r="HG1027" s="885"/>
      <c r="HH1027" s="885"/>
      <c r="HI1027" s="885"/>
      <c r="HJ1027" s="885"/>
      <c r="HK1027" s="885"/>
      <c r="HL1027" s="885"/>
      <c r="HM1027" s="885"/>
      <c r="HN1027" s="885"/>
      <c r="HO1027" s="885"/>
      <c r="HP1027" s="885"/>
      <c r="HQ1027" s="885"/>
      <c r="HR1027" s="885"/>
      <c r="HS1027" s="885"/>
      <c r="HT1027" s="885"/>
      <c r="HU1027" s="885"/>
      <c r="HV1027" s="885"/>
      <c r="HW1027" s="885"/>
      <c r="HX1027" s="885"/>
      <c r="HY1027" s="885"/>
      <c r="HZ1027" s="885"/>
      <c r="IA1027" s="885"/>
      <c r="IB1027" s="885"/>
      <c r="IC1027" s="885"/>
      <c r="ID1027" s="885"/>
      <c r="IE1027" s="885"/>
      <c r="IF1027" s="885"/>
      <c r="IG1027" s="885"/>
      <c r="IH1027" s="885"/>
      <c r="II1027" s="885"/>
      <c r="IJ1027" s="885"/>
      <c r="IK1027" s="885"/>
      <c r="IL1027" s="885"/>
      <c r="IM1027" s="885"/>
      <c r="IN1027" s="885"/>
      <c r="IO1027" s="885"/>
      <c r="IP1027" s="885"/>
      <c r="IQ1027" s="885"/>
      <c r="IR1027" s="885"/>
      <c r="IS1027" s="885"/>
      <c r="IT1027" s="885"/>
      <c r="IU1027" s="885"/>
      <c r="IV1027" s="885"/>
      <c r="IW1027" s="885"/>
      <c r="IX1027" s="885"/>
    </row>
    <row r="1028" spans="1:258" x14ac:dyDescent="0.25">
      <c r="A1028" s="125">
        <f t="shared" si="121"/>
        <v>988</v>
      </c>
      <c r="B1028" s="954"/>
      <c r="C1028" s="842" t="s">
        <v>11532</v>
      </c>
      <c r="D1028" s="924">
        <v>0</v>
      </c>
      <c r="E1028" s="906">
        <f t="shared" ref="E1028" si="125">D1028/8*12</f>
        <v>0</v>
      </c>
      <c r="F1028" s="136"/>
      <c r="H1028" s="954"/>
      <c r="I1028" s="954"/>
      <c r="J1028" s="954"/>
      <c r="K1028" s="954"/>
      <c r="L1028" s="954"/>
      <c r="M1028" s="954"/>
      <c r="N1028" s="954"/>
      <c r="O1028" s="954"/>
      <c r="P1028" s="954"/>
      <c r="Q1028" s="954"/>
      <c r="R1028" s="954"/>
      <c r="S1028" s="954"/>
      <c r="T1028" s="954"/>
      <c r="U1028" s="954"/>
      <c r="V1028" s="954"/>
      <c r="W1028" s="954"/>
      <c r="X1028" s="954"/>
      <c r="Y1028" s="954"/>
      <c r="Z1028" s="954"/>
      <c r="AA1028" s="954"/>
      <c r="AB1028" s="954"/>
      <c r="AC1028" s="954"/>
      <c r="AD1028" s="954"/>
      <c r="AE1028" s="954"/>
      <c r="AF1028" s="954"/>
      <c r="AG1028" s="954"/>
      <c r="AH1028" s="954"/>
      <c r="AI1028" s="954"/>
      <c r="AJ1028" s="954"/>
      <c r="AK1028" s="954"/>
      <c r="AL1028" s="954"/>
      <c r="AM1028" s="954"/>
      <c r="AN1028" s="954"/>
      <c r="AO1028" s="954"/>
      <c r="AP1028" s="954"/>
      <c r="AQ1028" s="954"/>
      <c r="AR1028" s="954"/>
      <c r="AS1028" s="954"/>
      <c r="AT1028" s="954"/>
      <c r="AU1028" s="954"/>
      <c r="AV1028" s="954"/>
      <c r="AW1028" s="954"/>
      <c r="AX1028" s="954"/>
      <c r="AY1028" s="954"/>
      <c r="AZ1028" s="954"/>
      <c r="BA1028" s="954"/>
      <c r="BB1028" s="954"/>
      <c r="BC1028" s="954"/>
      <c r="BD1028" s="954"/>
      <c r="BE1028" s="954"/>
      <c r="BF1028" s="954"/>
      <c r="BG1028" s="954"/>
      <c r="BH1028" s="954"/>
      <c r="BI1028" s="954"/>
      <c r="BJ1028" s="954"/>
      <c r="BK1028" s="954"/>
      <c r="BL1028" s="954"/>
      <c r="BM1028" s="954"/>
      <c r="BN1028" s="954"/>
      <c r="BO1028" s="954"/>
      <c r="BP1028" s="954"/>
      <c r="BQ1028" s="954"/>
      <c r="BR1028" s="954"/>
      <c r="BS1028" s="954"/>
      <c r="BT1028" s="954"/>
      <c r="BU1028" s="954"/>
      <c r="BV1028" s="954"/>
      <c r="BW1028" s="954"/>
      <c r="BX1028" s="954"/>
      <c r="BY1028" s="954"/>
      <c r="BZ1028" s="954"/>
      <c r="CA1028" s="954"/>
      <c r="CB1028" s="954"/>
      <c r="CC1028" s="954"/>
      <c r="CD1028" s="954"/>
      <c r="CE1028" s="954"/>
      <c r="CF1028" s="954"/>
      <c r="CG1028" s="954"/>
      <c r="CH1028" s="954"/>
      <c r="CI1028" s="954"/>
      <c r="CJ1028" s="954"/>
      <c r="CK1028" s="954"/>
      <c r="CL1028" s="954"/>
      <c r="CM1028" s="954"/>
      <c r="CN1028" s="954"/>
      <c r="CO1028" s="954"/>
      <c r="CP1028" s="954"/>
      <c r="CQ1028" s="954"/>
      <c r="CR1028" s="954"/>
      <c r="CS1028" s="954"/>
      <c r="CT1028" s="954"/>
      <c r="CU1028" s="954"/>
      <c r="CV1028" s="954"/>
      <c r="CW1028" s="954"/>
      <c r="CX1028" s="954"/>
      <c r="CY1028" s="954"/>
      <c r="CZ1028" s="954"/>
      <c r="DA1028" s="954"/>
      <c r="DB1028" s="954"/>
      <c r="DC1028" s="954"/>
      <c r="DD1028" s="954"/>
      <c r="DE1028" s="954"/>
      <c r="DF1028" s="954"/>
      <c r="DG1028" s="954"/>
      <c r="DH1028" s="954"/>
      <c r="DI1028" s="954"/>
      <c r="DJ1028" s="954"/>
      <c r="DK1028" s="954"/>
      <c r="DL1028" s="954"/>
      <c r="DM1028" s="954"/>
      <c r="DN1028" s="954"/>
      <c r="DO1028" s="954"/>
      <c r="DP1028" s="954"/>
      <c r="DQ1028" s="954"/>
      <c r="DR1028" s="954"/>
      <c r="DS1028" s="954"/>
      <c r="DT1028" s="954"/>
      <c r="DU1028" s="954"/>
      <c r="DV1028" s="954"/>
      <c r="DW1028" s="954"/>
      <c r="DX1028" s="954"/>
      <c r="DY1028" s="954"/>
      <c r="DZ1028" s="954"/>
      <c r="EA1028" s="954"/>
      <c r="EB1028" s="954"/>
      <c r="EC1028" s="954"/>
      <c r="ED1028" s="954"/>
      <c r="EE1028" s="954"/>
      <c r="EF1028" s="954"/>
      <c r="EG1028" s="954"/>
      <c r="EH1028" s="954"/>
      <c r="EI1028" s="954"/>
      <c r="EJ1028" s="954"/>
      <c r="EK1028" s="954"/>
      <c r="EL1028" s="954"/>
      <c r="EM1028" s="954"/>
      <c r="EN1028" s="954"/>
      <c r="EO1028" s="954"/>
      <c r="EP1028" s="954"/>
      <c r="EQ1028" s="954"/>
      <c r="ER1028" s="954"/>
      <c r="ES1028" s="954"/>
      <c r="ET1028" s="954"/>
      <c r="EU1028" s="954"/>
      <c r="EV1028" s="954"/>
      <c r="EW1028" s="954"/>
      <c r="EX1028" s="954"/>
      <c r="EY1028" s="954"/>
      <c r="EZ1028" s="954"/>
      <c r="FA1028" s="954"/>
      <c r="FB1028" s="954"/>
      <c r="FC1028" s="954"/>
      <c r="FD1028" s="954"/>
      <c r="FE1028" s="954"/>
      <c r="FF1028" s="954"/>
      <c r="FG1028" s="954"/>
      <c r="FH1028" s="954"/>
      <c r="FI1028" s="954"/>
      <c r="FJ1028" s="954"/>
      <c r="FK1028" s="954"/>
      <c r="FL1028" s="954"/>
      <c r="FM1028" s="954"/>
      <c r="FN1028" s="954"/>
      <c r="FO1028" s="954"/>
      <c r="FP1028" s="954"/>
      <c r="FQ1028" s="954"/>
      <c r="FR1028" s="954"/>
      <c r="FS1028" s="954"/>
      <c r="FT1028" s="954"/>
      <c r="FU1028" s="954"/>
      <c r="FV1028" s="954"/>
      <c r="FW1028" s="954"/>
      <c r="FX1028" s="954"/>
      <c r="FY1028" s="954"/>
      <c r="FZ1028" s="954"/>
      <c r="GA1028" s="954"/>
      <c r="GB1028" s="954"/>
      <c r="GC1028" s="954"/>
      <c r="GD1028" s="954"/>
      <c r="GE1028" s="954"/>
      <c r="GF1028" s="954"/>
      <c r="GG1028" s="954"/>
      <c r="GH1028" s="954"/>
      <c r="GI1028" s="954"/>
      <c r="GJ1028" s="954"/>
      <c r="GK1028" s="954"/>
      <c r="GL1028" s="954"/>
      <c r="GM1028" s="954"/>
      <c r="GN1028" s="954"/>
      <c r="GO1028" s="954"/>
      <c r="GP1028" s="954"/>
      <c r="GQ1028" s="954"/>
      <c r="GR1028" s="954"/>
      <c r="GS1028" s="954"/>
      <c r="GT1028" s="954"/>
      <c r="GU1028" s="954"/>
      <c r="GV1028" s="954"/>
      <c r="GW1028" s="954"/>
      <c r="GX1028" s="954"/>
      <c r="GY1028" s="954"/>
      <c r="GZ1028" s="954"/>
      <c r="HA1028" s="954"/>
      <c r="HB1028" s="954"/>
      <c r="HC1028" s="954"/>
      <c r="HD1028" s="954"/>
      <c r="HE1028" s="954"/>
      <c r="HF1028" s="954"/>
      <c r="HG1028" s="954"/>
      <c r="HH1028" s="954"/>
      <c r="HI1028" s="954"/>
      <c r="HJ1028" s="954"/>
      <c r="HK1028" s="954"/>
      <c r="HL1028" s="954"/>
      <c r="HM1028" s="954"/>
      <c r="HN1028" s="954"/>
      <c r="HO1028" s="954"/>
      <c r="HP1028" s="954"/>
      <c r="HQ1028" s="954"/>
      <c r="HR1028" s="954"/>
      <c r="HS1028" s="954"/>
      <c r="HT1028" s="954"/>
      <c r="HU1028" s="954"/>
      <c r="HV1028" s="954"/>
      <c r="HW1028" s="954"/>
      <c r="HX1028" s="954"/>
      <c r="HY1028" s="954"/>
      <c r="HZ1028" s="954"/>
      <c r="IA1028" s="954"/>
      <c r="IB1028" s="954"/>
      <c r="IC1028" s="954"/>
      <c r="ID1028" s="954"/>
      <c r="IE1028" s="954"/>
      <c r="IF1028" s="954"/>
      <c r="IG1028" s="954"/>
      <c r="IH1028" s="954"/>
      <c r="II1028" s="954"/>
      <c r="IJ1028" s="954"/>
      <c r="IK1028" s="954"/>
      <c r="IL1028" s="954"/>
      <c r="IM1028" s="954"/>
      <c r="IN1028" s="954"/>
      <c r="IO1028" s="954"/>
      <c r="IP1028" s="954"/>
      <c r="IQ1028" s="954"/>
      <c r="IR1028" s="954"/>
      <c r="IS1028" s="954"/>
      <c r="IT1028" s="954"/>
      <c r="IU1028" s="954"/>
      <c r="IV1028" s="954"/>
      <c r="IW1028" s="954"/>
      <c r="IX1028" s="954"/>
    </row>
    <row r="1029" spans="1:258" x14ac:dyDescent="0.25">
      <c r="A1029" s="125">
        <f t="shared" si="121"/>
        <v>989</v>
      </c>
      <c r="B1029" s="885"/>
      <c r="C1029" s="842" t="s">
        <v>10503</v>
      </c>
      <c r="D1029" s="924">
        <v>1154.24</v>
      </c>
      <c r="E1029" s="906">
        <f>D1029/6*12</f>
        <v>2308.48</v>
      </c>
      <c r="F1029" s="136">
        <f>E1029/6</f>
        <v>384.74666666666667</v>
      </c>
      <c r="G1029" s="122" t="s">
        <v>1963</v>
      </c>
      <c r="H1029" s="885"/>
      <c r="I1029" s="885"/>
      <c r="J1029" s="885"/>
      <c r="K1029" s="885"/>
      <c r="L1029" s="885"/>
      <c r="M1029" s="885"/>
      <c r="N1029" s="885"/>
      <c r="O1029" s="885"/>
      <c r="P1029" s="885"/>
      <c r="Q1029" s="885"/>
      <c r="R1029" s="885"/>
      <c r="S1029" s="885"/>
      <c r="T1029" s="885"/>
      <c r="U1029" s="885"/>
      <c r="V1029" s="885"/>
      <c r="W1029" s="885"/>
      <c r="X1029" s="885"/>
      <c r="Y1029" s="885"/>
      <c r="Z1029" s="885"/>
      <c r="AA1029" s="885"/>
      <c r="AB1029" s="885"/>
      <c r="AC1029" s="885"/>
      <c r="AD1029" s="885"/>
      <c r="AE1029" s="885"/>
      <c r="AF1029" s="885"/>
      <c r="AG1029" s="885"/>
      <c r="AH1029" s="885"/>
      <c r="AI1029" s="885"/>
      <c r="AJ1029" s="885"/>
      <c r="AK1029" s="885"/>
      <c r="AL1029" s="885"/>
      <c r="AM1029" s="885"/>
      <c r="AN1029" s="885"/>
      <c r="AO1029" s="885"/>
      <c r="AP1029" s="885"/>
      <c r="AQ1029" s="885"/>
      <c r="AR1029" s="885"/>
      <c r="AS1029" s="885"/>
      <c r="AT1029" s="885"/>
      <c r="AU1029" s="885"/>
      <c r="AV1029" s="885"/>
      <c r="AW1029" s="885"/>
      <c r="AX1029" s="885"/>
      <c r="AY1029" s="885"/>
      <c r="AZ1029" s="885"/>
      <c r="BA1029" s="885"/>
      <c r="BB1029" s="885"/>
      <c r="BC1029" s="885"/>
      <c r="BD1029" s="885"/>
      <c r="BE1029" s="885"/>
      <c r="BF1029" s="885"/>
      <c r="BG1029" s="885"/>
      <c r="BH1029" s="885"/>
      <c r="BI1029" s="885"/>
      <c r="BJ1029" s="885"/>
      <c r="BK1029" s="885"/>
      <c r="BL1029" s="885"/>
      <c r="BM1029" s="885"/>
      <c r="BN1029" s="885"/>
      <c r="BO1029" s="885"/>
      <c r="BP1029" s="885"/>
      <c r="BQ1029" s="885"/>
      <c r="BR1029" s="885"/>
      <c r="BS1029" s="885"/>
      <c r="BT1029" s="885"/>
      <c r="BU1029" s="885"/>
      <c r="BV1029" s="885"/>
      <c r="BW1029" s="885"/>
      <c r="BX1029" s="885"/>
      <c r="BY1029" s="885"/>
      <c r="BZ1029" s="885"/>
      <c r="CA1029" s="885"/>
      <c r="CB1029" s="885"/>
      <c r="CC1029" s="885"/>
      <c r="CD1029" s="885"/>
      <c r="CE1029" s="885"/>
      <c r="CF1029" s="885"/>
      <c r="CG1029" s="885"/>
      <c r="CH1029" s="885"/>
      <c r="CI1029" s="885"/>
      <c r="CJ1029" s="885"/>
      <c r="CK1029" s="885"/>
      <c r="CL1029" s="885"/>
      <c r="CM1029" s="885"/>
      <c r="CN1029" s="885"/>
      <c r="CO1029" s="885"/>
      <c r="CP1029" s="885"/>
      <c r="CQ1029" s="885"/>
      <c r="CR1029" s="885"/>
      <c r="CS1029" s="885"/>
      <c r="CT1029" s="885"/>
      <c r="CU1029" s="885"/>
      <c r="CV1029" s="885"/>
      <c r="CW1029" s="885"/>
      <c r="CX1029" s="885"/>
      <c r="CY1029" s="885"/>
      <c r="CZ1029" s="885"/>
      <c r="DA1029" s="885"/>
      <c r="DB1029" s="885"/>
      <c r="DC1029" s="885"/>
      <c r="DD1029" s="885"/>
      <c r="DE1029" s="885"/>
      <c r="DF1029" s="885"/>
      <c r="DG1029" s="885"/>
      <c r="DH1029" s="885"/>
      <c r="DI1029" s="885"/>
      <c r="DJ1029" s="885"/>
      <c r="DK1029" s="885"/>
      <c r="DL1029" s="885"/>
      <c r="DM1029" s="885"/>
      <c r="DN1029" s="885"/>
      <c r="DO1029" s="885"/>
      <c r="DP1029" s="885"/>
      <c r="DQ1029" s="885"/>
      <c r="DR1029" s="885"/>
      <c r="DS1029" s="885"/>
      <c r="DT1029" s="885"/>
      <c r="DU1029" s="885"/>
      <c r="DV1029" s="885"/>
      <c r="DW1029" s="885"/>
      <c r="DX1029" s="885"/>
      <c r="DY1029" s="885"/>
      <c r="DZ1029" s="885"/>
      <c r="EA1029" s="885"/>
      <c r="EB1029" s="885"/>
      <c r="EC1029" s="885"/>
      <c r="ED1029" s="885"/>
      <c r="EE1029" s="885"/>
      <c r="EF1029" s="885"/>
      <c r="EG1029" s="885"/>
      <c r="EH1029" s="885"/>
      <c r="EI1029" s="885"/>
      <c r="EJ1029" s="885"/>
      <c r="EK1029" s="885"/>
      <c r="EL1029" s="885"/>
      <c r="EM1029" s="885"/>
      <c r="EN1029" s="885"/>
      <c r="EO1029" s="885"/>
      <c r="EP1029" s="885"/>
      <c r="EQ1029" s="885"/>
      <c r="ER1029" s="885"/>
      <c r="ES1029" s="885"/>
      <c r="ET1029" s="885"/>
      <c r="EU1029" s="885"/>
      <c r="EV1029" s="885"/>
      <c r="EW1029" s="885"/>
      <c r="EX1029" s="885"/>
      <c r="EY1029" s="885"/>
      <c r="EZ1029" s="885"/>
      <c r="FA1029" s="885"/>
      <c r="FB1029" s="885"/>
      <c r="FC1029" s="885"/>
      <c r="FD1029" s="885"/>
      <c r="FE1029" s="885"/>
      <c r="FF1029" s="885"/>
      <c r="FG1029" s="885"/>
      <c r="FH1029" s="885"/>
      <c r="FI1029" s="885"/>
      <c r="FJ1029" s="885"/>
      <c r="FK1029" s="885"/>
      <c r="FL1029" s="885"/>
      <c r="FM1029" s="885"/>
      <c r="FN1029" s="885"/>
      <c r="FO1029" s="885"/>
      <c r="FP1029" s="885"/>
      <c r="FQ1029" s="885"/>
      <c r="FR1029" s="885"/>
      <c r="FS1029" s="885"/>
      <c r="FT1029" s="885"/>
      <c r="FU1029" s="885"/>
      <c r="FV1029" s="885"/>
      <c r="FW1029" s="885"/>
      <c r="FX1029" s="885"/>
      <c r="FY1029" s="885"/>
      <c r="FZ1029" s="885"/>
      <c r="GA1029" s="885"/>
      <c r="GB1029" s="885"/>
      <c r="GC1029" s="885"/>
      <c r="GD1029" s="885"/>
      <c r="GE1029" s="885"/>
      <c r="GF1029" s="885"/>
      <c r="GG1029" s="885"/>
      <c r="GH1029" s="885"/>
      <c r="GI1029" s="885"/>
      <c r="GJ1029" s="885"/>
      <c r="GK1029" s="885"/>
      <c r="GL1029" s="885"/>
      <c r="GM1029" s="885"/>
      <c r="GN1029" s="885"/>
      <c r="GO1029" s="885"/>
      <c r="GP1029" s="885"/>
      <c r="GQ1029" s="885"/>
      <c r="GR1029" s="885"/>
      <c r="GS1029" s="885"/>
      <c r="GT1029" s="885"/>
      <c r="GU1029" s="885"/>
      <c r="GV1029" s="885"/>
      <c r="GW1029" s="885"/>
      <c r="GX1029" s="885"/>
      <c r="GY1029" s="885"/>
      <c r="GZ1029" s="885"/>
      <c r="HA1029" s="885"/>
      <c r="HB1029" s="885"/>
      <c r="HC1029" s="885"/>
      <c r="HD1029" s="885"/>
      <c r="HE1029" s="885"/>
      <c r="HF1029" s="885"/>
      <c r="HG1029" s="885"/>
      <c r="HH1029" s="885"/>
      <c r="HI1029" s="885"/>
      <c r="HJ1029" s="885"/>
      <c r="HK1029" s="885"/>
      <c r="HL1029" s="885"/>
      <c r="HM1029" s="885"/>
      <c r="HN1029" s="885"/>
      <c r="HO1029" s="885"/>
      <c r="HP1029" s="885"/>
      <c r="HQ1029" s="885"/>
      <c r="HR1029" s="885"/>
      <c r="HS1029" s="885"/>
      <c r="HT1029" s="885"/>
      <c r="HU1029" s="885"/>
      <c r="HV1029" s="885"/>
      <c r="HW1029" s="885"/>
      <c r="HX1029" s="885"/>
      <c r="HY1029" s="885"/>
      <c r="HZ1029" s="885"/>
      <c r="IA1029" s="885"/>
      <c r="IB1029" s="885"/>
      <c r="IC1029" s="885"/>
      <c r="ID1029" s="885"/>
      <c r="IE1029" s="885"/>
      <c r="IF1029" s="885"/>
      <c r="IG1029" s="885"/>
      <c r="IH1029" s="885"/>
      <c r="II1029" s="885"/>
      <c r="IJ1029" s="885"/>
      <c r="IK1029" s="885"/>
      <c r="IL1029" s="885"/>
      <c r="IM1029" s="885"/>
      <c r="IN1029" s="885"/>
      <c r="IO1029" s="885"/>
      <c r="IP1029" s="885"/>
      <c r="IQ1029" s="885"/>
      <c r="IR1029" s="885"/>
      <c r="IS1029" s="885"/>
      <c r="IT1029" s="885"/>
      <c r="IU1029" s="885"/>
      <c r="IV1029" s="885"/>
      <c r="IW1029" s="885"/>
      <c r="IX1029" s="885"/>
    </row>
    <row r="1030" spans="1:258" x14ac:dyDescent="0.25">
      <c r="A1030" s="125">
        <f t="shared" si="121"/>
        <v>990</v>
      </c>
      <c r="B1030" s="885"/>
      <c r="C1030" s="842" t="s">
        <v>125</v>
      </c>
      <c r="D1030" s="924">
        <v>0</v>
      </c>
      <c r="E1030" s="906">
        <f>D1030/8*12</f>
        <v>0</v>
      </c>
      <c r="F1030" s="136">
        <f>144+72</f>
        <v>216</v>
      </c>
      <c r="G1030" s="122" t="s">
        <v>1963</v>
      </c>
      <c r="H1030" s="885"/>
      <c r="I1030" s="885"/>
      <c r="J1030" s="885"/>
      <c r="K1030" s="885"/>
      <c r="L1030" s="885"/>
      <c r="M1030" s="885"/>
      <c r="N1030" s="885"/>
      <c r="O1030" s="885"/>
      <c r="P1030" s="885"/>
      <c r="Q1030" s="885"/>
      <c r="R1030" s="885"/>
      <c r="S1030" s="885"/>
      <c r="T1030" s="885"/>
      <c r="U1030" s="885"/>
      <c r="V1030" s="885"/>
      <c r="W1030" s="885"/>
      <c r="X1030" s="885"/>
      <c r="Y1030" s="885"/>
      <c r="Z1030" s="885"/>
      <c r="AA1030" s="885"/>
      <c r="AB1030" s="885"/>
      <c r="AC1030" s="885"/>
      <c r="AD1030" s="885"/>
      <c r="AE1030" s="885"/>
      <c r="AF1030" s="885"/>
      <c r="AG1030" s="885"/>
      <c r="AH1030" s="885"/>
      <c r="AI1030" s="885"/>
      <c r="AJ1030" s="885"/>
      <c r="AK1030" s="885"/>
      <c r="AL1030" s="885"/>
      <c r="AM1030" s="885"/>
      <c r="AN1030" s="885"/>
      <c r="AO1030" s="885"/>
      <c r="AP1030" s="885"/>
      <c r="AQ1030" s="885"/>
      <c r="AR1030" s="885"/>
      <c r="AS1030" s="885"/>
      <c r="AT1030" s="885"/>
      <c r="AU1030" s="885"/>
      <c r="AV1030" s="885"/>
      <c r="AW1030" s="885"/>
      <c r="AX1030" s="885"/>
      <c r="AY1030" s="885"/>
      <c r="AZ1030" s="885"/>
      <c r="BA1030" s="885"/>
      <c r="BB1030" s="885"/>
      <c r="BC1030" s="885"/>
      <c r="BD1030" s="885"/>
      <c r="BE1030" s="885"/>
      <c r="BF1030" s="885"/>
      <c r="BG1030" s="885"/>
      <c r="BH1030" s="885"/>
      <c r="BI1030" s="885"/>
      <c r="BJ1030" s="885"/>
      <c r="BK1030" s="885"/>
      <c r="BL1030" s="885"/>
      <c r="BM1030" s="885"/>
      <c r="BN1030" s="885"/>
      <c r="BO1030" s="885"/>
      <c r="BP1030" s="885"/>
      <c r="BQ1030" s="885"/>
      <c r="BR1030" s="885"/>
      <c r="BS1030" s="885"/>
      <c r="BT1030" s="885"/>
      <c r="BU1030" s="885"/>
      <c r="BV1030" s="885"/>
      <c r="BW1030" s="885"/>
      <c r="BX1030" s="885"/>
      <c r="BY1030" s="885"/>
      <c r="BZ1030" s="885"/>
      <c r="CA1030" s="885"/>
      <c r="CB1030" s="885"/>
      <c r="CC1030" s="885"/>
      <c r="CD1030" s="885"/>
      <c r="CE1030" s="885"/>
      <c r="CF1030" s="885"/>
      <c r="CG1030" s="885"/>
      <c r="CH1030" s="885"/>
      <c r="CI1030" s="885"/>
      <c r="CJ1030" s="885"/>
      <c r="CK1030" s="885"/>
      <c r="CL1030" s="885"/>
      <c r="CM1030" s="885"/>
      <c r="CN1030" s="885"/>
      <c r="CO1030" s="885"/>
      <c r="CP1030" s="885"/>
      <c r="CQ1030" s="885"/>
      <c r="CR1030" s="885"/>
      <c r="CS1030" s="885"/>
      <c r="CT1030" s="885"/>
      <c r="CU1030" s="885"/>
      <c r="CV1030" s="885"/>
      <c r="CW1030" s="885"/>
      <c r="CX1030" s="885"/>
      <c r="CY1030" s="885"/>
      <c r="CZ1030" s="885"/>
      <c r="DA1030" s="885"/>
      <c r="DB1030" s="885"/>
      <c r="DC1030" s="885"/>
      <c r="DD1030" s="885"/>
      <c r="DE1030" s="885"/>
      <c r="DF1030" s="885"/>
      <c r="DG1030" s="885"/>
      <c r="DH1030" s="885"/>
      <c r="DI1030" s="885"/>
      <c r="DJ1030" s="885"/>
      <c r="DK1030" s="885"/>
      <c r="DL1030" s="885"/>
      <c r="DM1030" s="885"/>
      <c r="DN1030" s="885"/>
      <c r="DO1030" s="885"/>
      <c r="DP1030" s="885"/>
      <c r="DQ1030" s="885"/>
      <c r="DR1030" s="885"/>
      <c r="DS1030" s="885"/>
      <c r="DT1030" s="885"/>
      <c r="DU1030" s="885"/>
      <c r="DV1030" s="885"/>
      <c r="DW1030" s="885"/>
      <c r="DX1030" s="885"/>
      <c r="DY1030" s="885"/>
      <c r="DZ1030" s="885"/>
      <c r="EA1030" s="885"/>
      <c r="EB1030" s="885"/>
      <c r="EC1030" s="885"/>
      <c r="ED1030" s="885"/>
      <c r="EE1030" s="885"/>
      <c r="EF1030" s="885"/>
      <c r="EG1030" s="885"/>
      <c r="EH1030" s="885"/>
      <c r="EI1030" s="885"/>
      <c r="EJ1030" s="885"/>
      <c r="EK1030" s="885"/>
      <c r="EL1030" s="885"/>
      <c r="EM1030" s="885"/>
      <c r="EN1030" s="885"/>
      <c r="EO1030" s="885"/>
      <c r="EP1030" s="885"/>
      <c r="EQ1030" s="885"/>
      <c r="ER1030" s="885"/>
      <c r="ES1030" s="885"/>
      <c r="ET1030" s="885"/>
      <c r="EU1030" s="885"/>
      <c r="EV1030" s="885"/>
      <c r="EW1030" s="885"/>
      <c r="EX1030" s="885"/>
      <c r="EY1030" s="885"/>
      <c r="EZ1030" s="885"/>
      <c r="FA1030" s="885"/>
      <c r="FB1030" s="885"/>
      <c r="FC1030" s="885"/>
      <c r="FD1030" s="885"/>
      <c r="FE1030" s="885"/>
      <c r="FF1030" s="885"/>
      <c r="FG1030" s="885"/>
      <c r="FH1030" s="885"/>
      <c r="FI1030" s="885"/>
      <c r="FJ1030" s="885"/>
      <c r="FK1030" s="885"/>
      <c r="FL1030" s="885"/>
      <c r="FM1030" s="885"/>
      <c r="FN1030" s="885"/>
      <c r="FO1030" s="885"/>
      <c r="FP1030" s="885"/>
      <c r="FQ1030" s="885"/>
      <c r="FR1030" s="885"/>
      <c r="FS1030" s="885"/>
      <c r="FT1030" s="885"/>
      <c r="FU1030" s="885"/>
      <c r="FV1030" s="885"/>
      <c r="FW1030" s="885"/>
      <c r="FX1030" s="885"/>
      <c r="FY1030" s="885"/>
      <c r="FZ1030" s="885"/>
      <c r="GA1030" s="885"/>
      <c r="GB1030" s="885"/>
      <c r="GC1030" s="885"/>
      <c r="GD1030" s="885"/>
      <c r="GE1030" s="885"/>
      <c r="GF1030" s="885"/>
      <c r="GG1030" s="885"/>
      <c r="GH1030" s="885"/>
      <c r="GI1030" s="885"/>
      <c r="GJ1030" s="885"/>
      <c r="GK1030" s="885"/>
      <c r="GL1030" s="885"/>
      <c r="GM1030" s="885"/>
      <c r="GN1030" s="885"/>
      <c r="GO1030" s="885"/>
      <c r="GP1030" s="885"/>
      <c r="GQ1030" s="885"/>
      <c r="GR1030" s="885"/>
      <c r="GS1030" s="885"/>
      <c r="GT1030" s="885"/>
      <c r="GU1030" s="885"/>
      <c r="GV1030" s="885"/>
      <c r="GW1030" s="885"/>
      <c r="GX1030" s="885"/>
      <c r="GY1030" s="885"/>
      <c r="GZ1030" s="885"/>
      <c r="HA1030" s="885"/>
      <c r="HB1030" s="885"/>
      <c r="HC1030" s="885"/>
      <c r="HD1030" s="885"/>
      <c r="HE1030" s="885"/>
      <c r="HF1030" s="885"/>
      <c r="HG1030" s="885"/>
      <c r="HH1030" s="885"/>
      <c r="HI1030" s="885"/>
      <c r="HJ1030" s="885"/>
      <c r="HK1030" s="885"/>
      <c r="HL1030" s="885"/>
      <c r="HM1030" s="885"/>
      <c r="HN1030" s="885"/>
      <c r="HO1030" s="885"/>
      <c r="HP1030" s="885"/>
      <c r="HQ1030" s="885"/>
      <c r="HR1030" s="885"/>
      <c r="HS1030" s="885"/>
      <c r="HT1030" s="885"/>
      <c r="HU1030" s="885"/>
      <c r="HV1030" s="885"/>
      <c r="HW1030" s="885"/>
      <c r="HX1030" s="885"/>
      <c r="HY1030" s="885"/>
      <c r="HZ1030" s="885"/>
      <c r="IA1030" s="885"/>
      <c r="IB1030" s="885"/>
      <c r="IC1030" s="885"/>
      <c r="ID1030" s="885"/>
      <c r="IE1030" s="885"/>
      <c r="IF1030" s="885"/>
      <c r="IG1030" s="885"/>
      <c r="IH1030" s="885"/>
      <c r="II1030" s="885"/>
      <c r="IJ1030" s="885"/>
      <c r="IK1030" s="885"/>
      <c r="IL1030" s="885"/>
      <c r="IM1030" s="885"/>
      <c r="IN1030" s="885"/>
      <c r="IO1030" s="885"/>
      <c r="IP1030" s="885"/>
      <c r="IQ1030" s="885"/>
      <c r="IR1030" s="885"/>
      <c r="IS1030" s="885"/>
      <c r="IT1030" s="885"/>
      <c r="IU1030" s="885"/>
      <c r="IV1030" s="885"/>
      <c r="IW1030" s="885"/>
      <c r="IX1030" s="885"/>
    </row>
    <row r="1031" spans="1:258" x14ac:dyDescent="0.25">
      <c r="A1031" s="125">
        <f t="shared" si="121"/>
        <v>991</v>
      </c>
      <c r="B1031" s="885"/>
      <c r="C1031" s="842" t="s">
        <v>10502</v>
      </c>
      <c r="D1031" s="924">
        <v>43885.35</v>
      </c>
      <c r="E1031" s="906">
        <f>D1031/8*12</f>
        <v>65828.024999999994</v>
      </c>
      <c r="F1031" s="136">
        <f>E1031</f>
        <v>65828.024999999994</v>
      </c>
      <c r="G1031" s="122" t="s">
        <v>1963</v>
      </c>
      <c r="H1031" s="885"/>
      <c r="I1031" s="885"/>
      <c r="J1031" s="885"/>
      <c r="K1031" s="885"/>
      <c r="L1031" s="885"/>
      <c r="M1031" s="885"/>
      <c r="N1031" s="885"/>
      <c r="O1031" s="885"/>
      <c r="P1031" s="885"/>
      <c r="Q1031" s="885"/>
      <c r="R1031" s="885"/>
      <c r="S1031" s="885"/>
      <c r="T1031" s="885"/>
      <c r="U1031" s="885"/>
      <c r="V1031" s="885"/>
      <c r="W1031" s="885"/>
      <c r="X1031" s="885"/>
      <c r="Y1031" s="885"/>
      <c r="Z1031" s="885"/>
      <c r="AA1031" s="885"/>
      <c r="AB1031" s="885"/>
      <c r="AC1031" s="885"/>
      <c r="AD1031" s="885"/>
      <c r="AE1031" s="885"/>
      <c r="AF1031" s="885"/>
      <c r="AG1031" s="885"/>
      <c r="AH1031" s="885"/>
      <c r="AI1031" s="885"/>
      <c r="AJ1031" s="885"/>
      <c r="AK1031" s="885"/>
      <c r="AL1031" s="885"/>
      <c r="AM1031" s="885"/>
      <c r="AN1031" s="885"/>
      <c r="AO1031" s="885"/>
      <c r="AP1031" s="885"/>
      <c r="AQ1031" s="885"/>
      <c r="AR1031" s="885"/>
      <c r="AS1031" s="885"/>
      <c r="AT1031" s="885"/>
      <c r="AU1031" s="885"/>
      <c r="AV1031" s="885"/>
      <c r="AW1031" s="885"/>
      <c r="AX1031" s="885"/>
      <c r="AY1031" s="885"/>
      <c r="AZ1031" s="885"/>
      <c r="BA1031" s="885"/>
      <c r="BB1031" s="885"/>
      <c r="BC1031" s="885"/>
      <c r="BD1031" s="885"/>
      <c r="BE1031" s="885"/>
      <c r="BF1031" s="885"/>
      <c r="BG1031" s="885"/>
      <c r="BH1031" s="885"/>
      <c r="BI1031" s="885"/>
      <c r="BJ1031" s="885"/>
      <c r="BK1031" s="885"/>
      <c r="BL1031" s="885"/>
      <c r="BM1031" s="885"/>
      <c r="BN1031" s="885"/>
      <c r="BO1031" s="885"/>
      <c r="BP1031" s="885"/>
      <c r="BQ1031" s="885"/>
      <c r="BR1031" s="885"/>
      <c r="BS1031" s="885"/>
      <c r="BT1031" s="885"/>
      <c r="BU1031" s="885"/>
      <c r="BV1031" s="885"/>
      <c r="BW1031" s="885"/>
      <c r="BX1031" s="885"/>
      <c r="BY1031" s="885"/>
      <c r="BZ1031" s="885"/>
      <c r="CA1031" s="885"/>
      <c r="CB1031" s="885"/>
      <c r="CC1031" s="885"/>
      <c r="CD1031" s="885"/>
      <c r="CE1031" s="885"/>
      <c r="CF1031" s="885"/>
      <c r="CG1031" s="885"/>
      <c r="CH1031" s="885"/>
      <c r="CI1031" s="885"/>
      <c r="CJ1031" s="885"/>
      <c r="CK1031" s="885"/>
      <c r="CL1031" s="885"/>
      <c r="CM1031" s="885"/>
      <c r="CN1031" s="885"/>
      <c r="CO1031" s="885"/>
      <c r="CP1031" s="885"/>
      <c r="CQ1031" s="885"/>
      <c r="CR1031" s="885"/>
      <c r="CS1031" s="885"/>
      <c r="CT1031" s="885"/>
      <c r="CU1031" s="885"/>
      <c r="CV1031" s="885"/>
      <c r="CW1031" s="885"/>
      <c r="CX1031" s="885"/>
      <c r="CY1031" s="885"/>
      <c r="CZ1031" s="885"/>
      <c r="DA1031" s="885"/>
      <c r="DB1031" s="885"/>
      <c r="DC1031" s="885"/>
      <c r="DD1031" s="885"/>
      <c r="DE1031" s="885"/>
      <c r="DF1031" s="885"/>
      <c r="DG1031" s="885"/>
      <c r="DH1031" s="885"/>
      <c r="DI1031" s="885"/>
      <c r="DJ1031" s="885"/>
      <c r="DK1031" s="885"/>
      <c r="DL1031" s="885"/>
      <c r="DM1031" s="885"/>
      <c r="DN1031" s="885"/>
      <c r="DO1031" s="885"/>
      <c r="DP1031" s="885"/>
      <c r="DQ1031" s="885"/>
      <c r="DR1031" s="885"/>
      <c r="DS1031" s="885"/>
      <c r="DT1031" s="885"/>
      <c r="DU1031" s="885"/>
      <c r="DV1031" s="885"/>
      <c r="DW1031" s="885"/>
      <c r="DX1031" s="885"/>
      <c r="DY1031" s="885"/>
      <c r="DZ1031" s="885"/>
      <c r="EA1031" s="885"/>
      <c r="EB1031" s="885"/>
      <c r="EC1031" s="885"/>
      <c r="ED1031" s="885"/>
      <c r="EE1031" s="885"/>
      <c r="EF1031" s="885"/>
      <c r="EG1031" s="885"/>
      <c r="EH1031" s="885"/>
      <c r="EI1031" s="885"/>
      <c r="EJ1031" s="885"/>
      <c r="EK1031" s="885"/>
      <c r="EL1031" s="885"/>
      <c r="EM1031" s="885"/>
      <c r="EN1031" s="885"/>
      <c r="EO1031" s="885"/>
      <c r="EP1031" s="885"/>
      <c r="EQ1031" s="885"/>
      <c r="ER1031" s="885"/>
      <c r="ES1031" s="885"/>
      <c r="ET1031" s="885"/>
      <c r="EU1031" s="885"/>
      <c r="EV1031" s="885"/>
      <c r="EW1031" s="885"/>
      <c r="EX1031" s="885"/>
      <c r="EY1031" s="885"/>
      <c r="EZ1031" s="885"/>
      <c r="FA1031" s="885"/>
      <c r="FB1031" s="885"/>
      <c r="FC1031" s="885"/>
      <c r="FD1031" s="885"/>
      <c r="FE1031" s="885"/>
      <c r="FF1031" s="885"/>
      <c r="FG1031" s="885"/>
      <c r="FH1031" s="885"/>
      <c r="FI1031" s="885"/>
      <c r="FJ1031" s="885"/>
      <c r="FK1031" s="885"/>
      <c r="FL1031" s="885"/>
      <c r="FM1031" s="885"/>
      <c r="FN1031" s="885"/>
      <c r="FO1031" s="885"/>
      <c r="FP1031" s="885"/>
      <c r="FQ1031" s="885"/>
      <c r="FR1031" s="885"/>
      <c r="FS1031" s="885"/>
      <c r="FT1031" s="885"/>
      <c r="FU1031" s="885"/>
      <c r="FV1031" s="885"/>
      <c r="FW1031" s="885"/>
      <c r="FX1031" s="885"/>
      <c r="FY1031" s="885"/>
      <c r="FZ1031" s="885"/>
      <c r="GA1031" s="885"/>
      <c r="GB1031" s="885"/>
      <c r="GC1031" s="885"/>
      <c r="GD1031" s="885"/>
      <c r="GE1031" s="885"/>
      <c r="GF1031" s="885"/>
      <c r="GG1031" s="885"/>
      <c r="GH1031" s="885"/>
      <c r="GI1031" s="885"/>
      <c r="GJ1031" s="885"/>
      <c r="GK1031" s="885"/>
      <c r="GL1031" s="885"/>
      <c r="GM1031" s="885"/>
      <c r="GN1031" s="885"/>
      <c r="GO1031" s="885"/>
      <c r="GP1031" s="885"/>
      <c r="GQ1031" s="885"/>
      <c r="GR1031" s="885"/>
      <c r="GS1031" s="885"/>
      <c r="GT1031" s="885"/>
      <c r="GU1031" s="885"/>
      <c r="GV1031" s="885"/>
      <c r="GW1031" s="885"/>
      <c r="GX1031" s="885"/>
      <c r="GY1031" s="885"/>
      <c r="GZ1031" s="885"/>
      <c r="HA1031" s="885"/>
      <c r="HB1031" s="885"/>
      <c r="HC1031" s="885"/>
      <c r="HD1031" s="885"/>
      <c r="HE1031" s="885"/>
      <c r="HF1031" s="885"/>
      <c r="HG1031" s="885"/>
      <c r="HH1031" s="885"/>
      <c r="HI1031" s="885"/>
      <c r="HJ1031" s="885"/>
      <c r="HK1031" s="885"/>
      <c r="HL1031" s="885"/>
      <c r="HM1031" s="885"/>
      <c r="HN1031" s="885"/>
      <c r="HO1031" s="885"/>
      <c r="HP1031" s="885"/>
      <c r="HQ1031" s="885"/>
      <c r="HR1031" s="885"/>
      <c r="HS1031" s="885"/>
      <c r="HT1031" s="885"/>
      <c r="HU1031" s="885"/>
      <c r="HV1031" s="885"/>
      <c r="HW1031" s="885"/>
      <c r="HX1031" s="885"/>
      <c r="HY1031" s="885"/>
      <c r="HZ1031" s="885"/>
      <c r="IA1031" s="885"/>
      <c r="IB1031" s="885"/>
      <c r="IC1031" s="885"/>
      <c r="ID1031" s="885"/>
      <c r="IE1031" s="885"/>
      <c r="IF1031" s="885"/>
      <c r="IG1031" s="885"/>
      <c r="IH1031" s="885"/>
      <c r="II1031" s="885"/>
      <c r="IJ1031" s="885"/>
      <c r="IK1031" s="885"/>
      <c r="IL1031" s="885"/>
      <c r="IM1031" s="885"/>
      <c r="IN1031" s="885"/>
      <c r="IO1031" s="885"/>
      <c r="IP1031" s="885"/>
      <c r="IQ1031" s="885"/>
      <c r="IR1031" s="885"/>
      <c r="IS1031" s="885"/>
      <c r="IT1031" s="885"/>
      <c r="IU1031" s="885"/>
      <c r="IV1031" s="885"/>
      <c r="IW1031" s="885"/>
      <c r="IX1031" s="885"/>
    </row>
    <row r="1032" spans="1:258" x14ac:dyDescent="0.25">
      <c r="A1032" s="125">
        <f t="shared" si="121"/>
        <v>992</v>
      </c>
      <c r="B1032" s="885"/>
      <c r="C1032" s="842" t="s">
        <v>10501</v>
      </c>
      <c r="D1032" s="924">
        <v>0</v>
      </c>
      <c r="E1032" s="906">
        <f>D1032/8*12</f>
        <v>0</v>
      </c>
      <c r="F1032" s="136">
        <v>500</v>
      </c>
      <c r="G1032" s="122" t="s">
        <v>1963</v>
      </c>
      <c r="H1032" s="885"/>
      <c r="I1032" s="885"/>
      <c r="J1032" s="885"/>
      <c r="K1032" s="885"/>
      <c r="L1032" s="885"/>
      <c r="M1032" s="885"/>
      <c r="N1032" s="885"/>
      <c r="O1032" s="885"/>
      <c r="P1032" s="885"/>
      <c r="Q1032" s="885"/>
      <c r="R1032" s="885"/>
      <c r="S1032" s="885"/>
      <c r="T1032" s="885"/>
      <c r="U1032" s="885"/>
      <c r="V1032" s="885"/>
      <c r="W1032" s="885"/>
      <c r="X1032" s="885"/>
      <c r="Y1032" s="885"/>
      <c r="Z1032" s="885"/>
      <c r="AA1032" s="885"/>
      <c r="AB1032" s="885"/>
      <c r="AC1032" s="885"/>
      <c r="AD1032" s="885"/>
      <c r="AE1032" s="885"/>
      <c r="AF1032" s="885"/>
      <c r="AG1032" s="885"/>
      <c r="AH1032" s="885"/>
      <c r="AI1032" s="885"/>
      <c r="AJ1032" s="885"/>
      <c r="AK1032" s="885"/>
      <c r="AL1032" s="885"/>
      <c r="AM1032" s="885"/>
      <c r="AN1032" s="885"/>
      <c r="AO1032" s="885"/>
      <c r="AP1032" s="885"/>
      <c r="AQ1032" s="885"/>
      <c r="AR1032" s="885"/>
      <c r="AS1032" s="885"/>
      <c r="AT1032" s="885"/>
      <c r="AU1032" s="885"/>
      <c r="AV1032" s="885"/>
      <c r="AW1032" s="885"/>
      <c r="AX1032" s="885"/>
      <c r="AY1032" s="885"/>
      <c r="AZ1032" s="885"/>
      <c r="BA1032" s="885"/>
      <c r="BB1032" s="885"/>
      <c r="BC1032" s="885"/>
      <c r="BD1032" s="885"/>
      <c r="BE1032" s="885"/>
      <c r="BF1032" s="885"/>
      <c r="BG1032" s="885"/>
      <c r="BH1032" s="885"/>
      <c r="BI1032" s="885"/>
      <c r="BJ1032" s="885"/>
      <c r="BK1032" s="885"/>
      <c r="BL1032" s="885"/>
      <c r="BM1032" s="885"/>
      <c r="BN1032" s="885"/>
      <c r="BO1032" s="885"/>
      <c r="BP1032" s="885"/>
      <c r="BQ1032" s="885"/>
      <c r="BR1032" s="885"/>
      <c r="BS1032" s="885"/>
      <c r="BT1032" s="885"/>
      <c r="BU1032" s="885"/>
      <c r="BV1032" s="885"/>
      <c r="BW1032" s="885"/>
      <c r="BX1032" s="885"/>
      <c r="BY1032" s="885"/>
      <c r="BZ1032" s="885"/>
      <c r="CA1032" s="885"/>
      <c r="CB1032" s="885"/>
      <c r="CC1032" s="885"/>
      <c r="CD1032" s="885"/>
      <c r="CE1032" s="885"/>
      <c r="CF1032" s="885"/>
      <c r="CG1032" s="885"/>
      <c r="CH1032" s="885"/>
      <c r="CI1032" s="885"/>
      <c r="CJ1032" s="885"/>
      <c r="CK1032" s="885"/>
      <c r="CL1032" s="885"/>
      <c r="CM1032" s="885"/>
      <c r="CN1032" s="885"/>
      <c r="CO1032" s="885"/>
      <c r="CP1032" s="885"/>
      <c r="CQ1032" s="885"/>
      <c r="CR1032" s="885"/>
      <c r="CS1032" s="885"/>
      <c r="CT1032" s="885"/>
      <c r="CU1032" s="885"/>
      <c r="CV1032" s="885"/>
      <c r="CW1032" s="885"/>
      <c r="CX1032" s="885"/>
      <c r="CY1032" s="885"/>
      <c r="CZ1032" s="885"/>
      <c r="DA1032" s="885"/>
      <c r="DB1032" s="885"/>
      <c r="DC1032" s="885"/>
      <c r="DD1032" s="885"/>
      <c r="DE1032" s="885"/>
      <c r="DF1032" s="885"/>
      <c r="DG1032" s="885"/>
      <c r="DH1032" s="885"/>
      <c r="DI1032" s="885"/>
      <c r="DJ1032" s="885"/>
      <c r="DK1032" s="885"/>
      <c r="DL1032" s="885"/>
      <c r="DM1032" s="885"/>
      <c r="DN1032" s="885"/>
      <c r="DO1032" s="885"/>
      <c r="DP1032" s="885"/>
      <c r="DQ1032" s="885"/>
      <c r="DR1032" s="885"/>
      <c r="DS1032" s="885"/>
      <c r="DT1032" s="885"/>
      <c r="DU1032" s="885"/>
      <c r="DV1032" s="885"/>
      <c r="DW1032" s="885"/>
      <c r="DX1032" s="885"/>
      <c r="DY1032" s="885"/>
      <c r="DZ1032" s="885"/>
      <c r="EA1032" s="885"/>
      <c r="EB1032" s="885"/>
      <c r="EC1032" s="885"/>
      <c r="ED1032" s="885"/>
      <c r="EE1032" s="885"/>
      <c r="EF1032" s="885"/>
      <c r="EG1032" s="885"/>
      <c r="EH1032" s="885"/>
      <c r="EI1032" s="885"/>
      <c r="EJ1032" s="885"/>
      <c r="EK1032" s="885"/>
      <c r="EL1032" s="885"/>
      <c r="EM1032" s="885"/>
      <c r="EN1032" s="885"/>
      <c r="EO1032" s="885"/>
      <c r="EP1032" s="885"/>
      <c r="EQ1032" s="885"/>
      <c r="ER1032" s="885"/>
      <c r="ES1032" s="885"/>
      <c r="ET1032" s="885"/>
      <c r="EU1032" s="885"/>
      <c r="EV1032" s="885"/>
      <c r="EW1032" s="885"/>
      <c r="EX1032" s="885"/>
      <c r="EY1032" s="885"/>
      <c r="EZ1032" s="885"/>
      <c r="FA1032" s="885"/>
      <c r="FB1032" s="885"/>
      <c r="FC1032" s="885"/>
      <c r="FD1032" s="885"/>
      <c r="FE1032" s="885"/>
      <c r="FF1032" s="885"/>
      <c r="FG1032" s="885"/>
      <c r="FH1032" s="885"/>
      <c r="FI1032" s="885"/>
      <c r="FJ1032" s="885"/>
      <c r="FK1032" s="885"/>
      <c r="FL1032" s="885"/>
      <c r="FM1032" s="885"/>
      <c r="FN1032" s="885"/>
      <c r="FO1032" s="885"/>
      <c r="FP1032" s="885"/>
      <c r="FQ1032" s="885"/>
      <c r="FR1032" s="885"/>
      <c r="FS1032" s="885"/>
      <c r="FT1032" s="885"/>
      <c r="FU1032" s="885"/>
      <c r="FV1032" s="885"/>
      <c r="FW1032" s="885"/>
      <c r="FX1032" s="885"/>
      <c r="FY1032" s="885"/>
      <c r="FZ1032" s="885"/>
      <c r="GA1032" s="885"/>
      <c r="GB1032" s="885"/>
      <c r="GC1032" s="885"/>
      <c r="GD1032" s="885"/>
      <c r="GE1032" s="885"/>
      <c r="GF1032" s="885"/>
      <c r="GG1032" s="885"/>
      <c r="GH1032" s="885"/>
      <c r="GI1032" s="885"/>
      <c r="GJ1032" s="885"/>
      <c r="GK1032" s="885"/>
      <c r="GL1032" s="885"/>
      <c r="GM1032" s="885"/>
      <c r="GN1032" s="885"/>
      <c r="GO1032" s="885"/>
      <c r="GP1032" s="885"/>
      <c r="GQ1032" s="885"/>
      <c r="GR1032" s="885"/>
      <c r="GS1032" s="885"/>
      <c r="GT1032" s="885"/>
      <c r="GU1032" s="885"/>
      <c r="GV1032" s="885"/>
      <c r="GW1032" s="885"/>
      <c r="GX1032" s="885"/>
      <c r="GY1032" s="885"/>
      <c r="GZ1032" s="885"/>
      <c r="HA1032" s="885"/>
      <c r="HB1032" s="885"/>
      <c r="HC1032" s="885"/>
      <c r="HD1032" s="885"/>
      <c r="HE1032" s="885"/>
      <c r="HF1032" s="885"/>
      <c r="HG1032" s="885"/>
      <c r="HH1032" s="885"/>
      <c r="HI1032" s="885"/>
      <c r="HJ1032" s="885"/>
      <c r="HK1032" s="885"/>
      <c r="HL1032" s="885"/>
      <c r="HM1032" s="885"/>
      <c r="HN1032" s="885"/>
      <c r="HO1032" s="885"/>
      <c r="HP1032" s="885"/>
      <c r="HQ1032" s="885"/>
      <c r="HR1032" s="885"/>
      <c r="HS1032" s="885"/>
      <c r="HT1032" s="885"/>
      <c r="HU1032" s="885"/>
      <c r="HV1032" s="885"/>
      <c r="HW1032" s="885"/>
      <c r="HX1032" s="885"/>
      <c r="HY1032" s="885"/>
      <c r="HZ1032" s="885"/>
      <c r="IA1032" s="885"/>
      <c r="IB1032" s="885"/>
      <c r="IC1032" s="885"/>
      <c r="ID1032" s="885"/>
      <c r="IE1032" s="885"/>
      <c r="IF1032" s="885"/>
      <c r="IG1032" s="885"/>
      <c r="IH1032" s="885"/>
      <c r="II1032" s="885"/>
      <c r="IJ1032" s="885"/>
      <c r="IK1032" s="885"/>
      <c r="IL1032" s="885"/>
      <c r="IM1032" s="885"/>
      <c r="IN1032" s="885"/>
      <c r="IO1032" s="885"/>
      <c r="IP1032" s="885"/>
      <c r="IQ1032" s="885"/>
      <c r="IR1032" s="885"/>
      <c r="IS1032" s="885"/>
      <c r="IT1032" s="885"/>
      <c r="IU1032" s="885"/>
      <c r="IV1032" s="885"/>
      <c r="IW1032" s="885"/>
      <c r="IX1032" s="885"/>
    </row>
    <row r="1033" spans="1:258" x14ac:dyDescent="0.25">
      <c r="A1033" s="125">
        <f t="shared" si="121"/>
        <v>993</v>
      </c>
      <c r="B1033" s="885"/>
      <c r="C1033" s="842" t="s">
        <v>10500</v>
      </c>
      <c r="D1033" s="924">
        <v>60</v>
      </c>
      <c r="E1033" s="906">
        <f t="shared" ref="E1033:E1034" si="126">D1033/8*12</f>
        <v>90</v>
      </c>
      <c r="F1033" s="136">
        <v>500</v>
      </c>
      <c r="G1033" s="122" t="s">
        <v>1963</v>
      </c>
      <c r="H1033" s="885"/>
      <c r="I1033" s="885"/>
      <c r="J1033" s="885"/>
      <c r="K1033" s="885"/>
      <c r="L1033" s="885"/>
      <c r="M1033" s="885"/>
      <c r="N1033" s="885"/>
      <c r="O1033" s="885"/>
      <c r="P1033" s="885"/>
      <c r="Q1033" s="885"/>
      <c r="R1033" s="885"/>
      <c r="S1033" s="885"/>
      <c r="T1033" s="885"/>
      <c r="U1033" s="885"/>
      <c r="V1033" s="885"/>
      <c r="W1033" s="885"/>
      <c r="X1033" s="885"/>
      <c r="Y1033" s="885"/>
      <c r="Z1033" s="885"/>
      <c r="AA1033" s="885"/>
      <c r="AB1033" s="885"/>
      <c r="AC1033" s="885"/>
      <c r="AD1033" s="885"/>
      <c r="AE1033" s="885"/>
      <c r="AF1033" s="885"/>
      <c r="AG1033" s="885"/>
      <c r="AH1033" s="885"/>
      <c r="AI1033" s="885"/>
      <c r="AJ1033" s="885"/>
      <c r="AK1033" s="885"/>
      <c r="AL1033" s="885"/>
      <c r="AM1033" s="885"/>
      <c r="AN1033" s="885"/>
      <c r="AO1033" s="885"/>
      <c r="AP1033" s="885"/>
      <c r="AQ1033" s="885"/>
      <c r="AR1033" s="885"/>
      <c r="AS1033" s="885"/>
      <c r="AT1033" s="885"/>
      <c r="AU1033" s="885"/>
      <c r="AV1033" s="885"/>
      <c r="AW1033" s="885"/>
      <c r="AX1033" s="885"/>
      <c r="AY1033" s="885"/>
      <c r="AZ1033" s="885"/>
      <c r="BA1033" s="885"/>
      <c r="BB1033" s="885"/>
      <c r="BC1033" s="885"/>
      <c r="BD1033" s="885"/>
      <c r="BE1033" s="885"/>
      <c r="BF1033" s="885"/>
      <c r="BG1033" s="885"/>
      <c r="BH1033" s="885"/>
      <c r="BI1033" s="885"/>
      <c r="BJ1033" s="885"/>
      <c r="BK1033" s="885"/>
      <c r="BL1033" s="885"/>
      <c r="BM1033" s="885"/>
      <c r="BN1033" s="885"/>
      <c r="BO1033" s="885"/>
      <c r="BP1033" s="885"/>
      <c r="BQ1033" s="885"/>
      <c r="BR1033" s="885"/>
      <c r="BS1033" s="885"/>
      <c r="BT1033" s="885"/>
      <c r="BU1033" s="885"/>
      <c r="BV1033" s="885"/>
      <c r="BW1033" s="885"/>
      <c r="BX1033" s="885"/>
      <c r="BY1033" s="885"/>
      <c r="BZ1033" s="885"/>
      <c r="CA1033" s="885"/>
      <c r="CB1033" s="885"/>
      <c r="CC1033" s="885"/>
      <c r="CD1033" s="885"/>
      <c r="CE1033" s="885"/>
      <c r="CF1033" s="885"/>
      <c r="CG1033" s="885"/>
      <c r="CH1033" s="885"/>
      <c r="CI1033" s="885"/>
      <c r="CJ1033" s="885"/>
      <c r="CK1033" s="885"/>
      <c r="CL1033" s="885"/>
      <c r="CM1033" s="885"/>
      <c r="CN1033" s="885"/>
      <c r="CO1033" s="885"/>
      <c r="CP1033" s="885"/>
      <c r="CQ1033" s="885"/>
      <c r="CR1033" s="885"/>
      <c r="CS1033" s="885"/>
      <c r="CT1033" s="885"/>
      <c r="CU1033" s="885"/>
      <c r="CV1033" s="885"/>
      <c r="CW1033" s="885"/>
      <c r="CX1033" s="885"/>
      <c r="CY1033" s="885"/>
      <c r="CZ1033" s="885"/>
      <c r="DA1033" s="885"/>
      <c r="DB1033" s="885"/>
      <c r="DC1033" s="885"/>
      <c r="DD1033" s="885"/>
      <c r="DE1033" s="885"/>
      <c r="DF1033" s="885"/>
      <c r="DG1033" s="885"/>
      <c r="DH1033" s="885"/>
      <c r="DI1033" s="885"/>
      <c r="DJ1033" s="885"/>
      <c r="DK1033" s="885"/>
      <c r="DL1033" s="885"/>
      <c r="DM1033" s="885"/>
      <c r="DN1033" s="885"/>
      <c r="DO1033" s="885"/>
      <c r="DP1033" s="885"/>
      <c r="DQ1033" s="885"/>
      <c r="DR1033" s="885"/>
      <c r="DS1033" s="885"/>
      <c r="DT1033" s="885"/>
      <c r="DU1033" s="885"/>
      <c r="DV1033" s="885"/>
      <c r="DW1033" s="885"/>
      <c r="DX1033" s="885"/>
      <c r="DY1033" s="885"/>
      <c r="DZ1033" s="885"/>
      <c r="EA1033" s="885"/>
      <c r="EB1033" s="885"/>
      <c r="EC1033" s="885"/>
      <c r="ED1033" s="885"/>
      <c r="EE1033" s="885"/>
      <c r="EF1033" s="885"/>
      <c r="EG1033" s="885"/>
      <c r="EH1033" s="885"/>
      <c r="EI1033" s="885"/>
      <c r="EJ1033" s="885"/>
      <c r="EK1033" s="885"/>
      <c r="EL1033" s="885"/>
      <c r="EM1033" s="885"/>
      <c r="EN1033" s="885"/>
      <c r="EO1033" s="885"/>
      <c r="EP1033" s="885"/>
      <c r="EQ1033" s="885"/>
      <c r="ER1033" s="885"/>
      <c r="ES1033" s="885"/>
      <c r="ET1033" s="885"/>
      <c r="EU1033" s="885"/>
      <c r="EV1033" s="885"/>
      <c r="EW1033" s="885"/>
      <c r="EX1033" s="885"/>
      <c r="EY1033" s="885"/>
      <c r="EZ1033" s="885"/>
      <c r="FA1033" s="885"/>
      <c r="FB1033" s="885"/>
      <c r="FC1033" s="885"/>
      <c r="FD1033" s="885"/>
      <c r="FE1033" s="885"/>
      <c r="FF1033" s="885"/>
      <c r="FG1033" s="885"/>
      <c r="FH1033" s="885"/>
      <c r="FI1033" s="885"/>
      <c r="FJ1033" s="885"/>
      <c r="FK1033" s="885"/>
      <c r="FL1033" s="885"/>
      <c r="FM1033" s="885"/>
      <c r="FN1033" s="885"/>
      <c r="FO1033" s="885"/>
      <c r="FP1033" s="885"/>
      <c r="FQ1033" s="885"/>
      <c r="FR1033" s="885"/>
      <c r="FS1033" s="885"/>
      <c r="FT1033" s="885"/>
      <c r="FU1033" s="885"/>
      <c r="FV1033" s="885"/>
      <c r="FW1033" s="885"/>
      <c r="FX1033" s="885"/>
      <c r="FY1033" s="885"/>
      <c r="FZ1033" s="885"/>
      <c r="GA1033" s="885"/>
      <c r="GB1033" s="885"/>
      <c r="GC1033" s="885"/>
      <c r="GD1033" s="885"/>
      <c r="GE1033" s="885"/>
      <c r="GF1033" s="885"/>
      <c r="GG1033" s="885"/>
      <c r="GH1033" s="885"/>
      <c r="GI1033" s="885"/>
      <c r="GJ1033" s="885"/>
      <c r="GK1033" s="885"/>
      <c r="GL1033" s="885"/>
      <c r="GM1033" s="885"/>
      <c r="GN1033" s="885"/>
      <c r="GO1033" s="885"/>
      <c r="GP1033" s="885"/>
      <c r="GQ1033" s="885"/>
      <c r="GR1033" s="885"/>
      <c r="GS1033" s="885"/>
      <c r="GT1033" s="885"/>
      <c r="GU1033" s="885"/>
      <c r="GV1033" s="885"/>
      <c r="GW1033" s="885"/>
      <c r="GX1033" s="885"/>
      <c r="GY1033" s="885"/>
      <c r="GZ1033" s="885"/>
      <c r="HA1033" s="885"/>
      <c r="HB1033" s="885"/>
      <c r="HC1033" s="885"/>
      <c r="HD1033" s="885"/>
      <c r="HE1033" s="885"/>
      <c r="HF1033" s="885"/>
      <c r="HG1033" s="885"/>
      <c r="HH1033" s="885"/>
      <c r="HI1033" s="885"/>
      <c r="HJ1033" s="885"/>
      <c r="HK1033" s="885"/>
      <c r="HL1033" s="885"/>
      <c r="HM1033" s="885"/>
      <c r="HN1033" s="885"/>
      <c r="HO1033" s="885"/>
      <c r="HP1033" s="885"/>
      <c r="HQ1033" s="885"/>
      <c r="HR1033" s="885"/>
      <c r="HS1033" s="885"/>
      <c r="HT1033" s="885"/>
      <c r="HU1033" s="885"/>
      <c r="HV1033" s="885"/>
      <c r="HW1033" s="885"/>
      <c r="HX1033" s="885"/>
      <c r="HY1033" s="885"/>
      <c r="HZ1033" s="885"/>
      <c r="IA1033" s="885"/>
      <c r="IB1033" s="885"/>
      <c r="IC1033" s="885"/>
      <c r="ID1033" s="885"/>
      <c r="IE1033" s="885"/>
      <c r="IF1033" s="885"/>
      <c r="IG1033" s="885"/>
      <c r="IH1033" s="885"/>
      <c r="II1033" s="885"/>
      <c r="IJ1033" s="885"/>
      <c r="IK1033" s="885"/>
      <c r="IL1033" s="885"/>
      <c r="IM1033" s="885"/>
      <c r="IN1033" s="885"/>
      <c r="IO1033" s="885"/>
      <c r="IP1033" s="885"/>
      <c r="IQ1033" s="885"/>
      <c r="IR1033" s="885"/>
      <c r="IS1033" s="885"/>
      <c r="IT1033" s="885"/>
      <c r="IU1033" s="885"/>
      <c r="IV1033" s="885"/>
      <c r="IW1033" s="885"/>
      <c r="IX1033" s="885"/>
    </row>
    <row r="1034" spans="1:258" x14ac:dyDescent="0.25">
      <c r="A1034" s="125">
        <f t="shared" si="121"/>
        <v>994</v>
      </c>
      <c r="B1034" s="885"/>
      <c r="C1034" s="842" t="s">
        <v>11550</v>
      </c>
      <c r="D1034" s="924">
        <v>18534.400000000001</v>
      </c>
      <c r="E1034" s="906">
        <f t="shared" si="126"/>
        <v>27801.600000000002</v>
      </c>
      <c r="F1034" s="136">
        <f>E1034</f>
        <v>27801.600000000002</v>
      </c>
      <c r="G1034" s="122" t="s">
        <v>1963</v>
      </c>
      <c r="H1034" s="885"/>
      <c r="I1034" s="885"/>
      <c r="J1034" s="885"/>
      <c r="K1034" s="885"/>
      <c r="L1034" s="885"/>
      <c r="M1034" s="885"/>
      <c r="N1034" s="885"/>
      <c r="O1034" s="885"/>
      <c r="P1034" s="885"/>
      <c r="Q1034" s="885"/>
      <c r="R1034" s="885"/>
      <c r="S1034" s="885"/>
      <c r="T1034" s="885"/>
      <c r="U1034" s="885"/>
      <c r="V1034" s="885"/>
      <c r="W1034" s="885"/>
      <c r="X1034" s="885"/>
      <c r="Y1034" s="885"/>
      <c r="Z1034" s="885"/>
      <c r="AA1034" s="885"/>
      <c r="AB1034" s="885"/>
      <c r="AC1034" s="885"/>
      <c r="AD1034" s="885"/>
      <c r="AE1034" s="885"/>
      <c r="AF1034" s="885"/>
      <c r="AG1034" s="885"/>
      <c r="AH1034" s="885"/>
      <c r="AI1034" s="885"/>
      <c r="AJ1034" s="885"/>
      <c r="AK1034" s="885"/>
      <c r="AL1034" s="885"/>
      <c r="AM1034" s="885"/>
      <c r="AN1034" s="885"/>
      <c r="AO1034" s="885"/>
      <c r="AP1034" s="885"/>
      <c r="AQ1034" s="885"/>
      <c r="AR1034" s="885"/>
      <c r="AS1034" s="885"/>
      <c r="AT1034" s="885"/>
      <c r="AU1034" s="885"/>
      <c r="AV1034" s="885"/>
      <c r="AW1034" s="885"/>
      <c r="AX1034" s="885"/>
      <c r="AY1034" s="885"/>
      <c r="AZ1034" s="885"/>
      <c r="BA1034" s="885"/>
      <c r="BB1034" s="885"/>
      <c r="BC1034" s="885"/>
      <c r="BD1034" s="885"/>
      <c r="BE1034" s="885"/>
      <c r="BF1034" s="885"/>
      <c r="BG1034" s="885"/>
      <c r="BH1034" s="885"/>
      <c r="BI1034" s="885"/>
      <c r="BJ1034" s="885"/>
      <c r="BK1034" s="885"/>
      <c r="BL1034" s="885"/>
      <c r="BM1034" s="885"/>
      <c r="BN1034" s="885"/>
      <c r="BO1034" s="885"/>
      <c r="BP1034" s="885"/>
      <c r="BQ1034" s="885"/>
      <c r="BR1034" s="885"/>
      <c r="BS1034" s="885"/>
      <c r="BT1034" s="885"/>
      <c r="BU1034" s="885"/>
      <c r="BV1034" s="885"/>
      <c r="BW1034" s="885"/>
      <c r="BX1034" s="885"/>
      <c r="BY1034" s="885"/>
      <c r="BZ1034" s="885"/>
      <c r="CA1034" s="885"/>
      <c r="CB1034" s="885"/>
      <c r="CC1034" s="885"/>
      <c r="CD1034" s="885"/>
      <c r="CE1034" s="885"/>
      <c r="CF1034" s="885"/>
      <c r="CG1034" s="885"/>
      <c r="CH1034" s="885"/>
      <c r="CI1034" s="885"/>
      <c r="CJ1034" s="885"/>
      <c r="CK1034" s="885"/>
      <c r="CL1034" s="885"/>
      <c r="CM1034" s="885"/>
      <c r="CN1034" s="885"/>
      <c r="CO1034" s="885"/>
      <c r="CP1034" s="885"/>
      <c r="CQ1034" s="885"/>
      <c r="CR1034" s="885"/>
      <c r="CS1034" s="885"/>
      <c r="CT1034" s="885"/>
      <c r="CU1034" s="885"/>
      <c r="CV1034" s="885"/>
      <c r="CW1034" s="885"/>
      <c r="CX1034" s="885"/>
      <c r="CY1034" s="885"/>
      <c r="CZ1034" s="885"/>
      <c r="DA1034" s="885"/>
      <c r="DB1034" s="885"/>
      <c r="DC1034" s="885"/>
      <c r="DD1034" s="885"/>
      <c r="DE1034" s="885"/>
      <c r="DF1034" s="885"/>
      <c r="DG1034" s="885"/>
      <c r="DH1034" s="885"/>
      <c r="DI1034" s="885"/>
      <c r="DJ1034" s="885"/>
      <c r="DK1034" s="885"/>
      <c r="DL1034" s="885"/>
      <c r="DM1034" s="885"/>
      <c r="DN1034" s="885"/>
      <c r="DO1034" s="885"/>
      <c r="DP1034" s="885"/>
      <c r="DQ1034" s="885"/>
      <c r="DR1034" s="885"/>
      <c r="DS1034" s="885"/>
      <c r="DT1034" s="885"/>
      <c r="DU1034" s="885"/>
      <c r="DV1034" s="885"/>
      <c r="DW1034" s="885"/>
      <c r="DX1034" s="885"/>
      <c r="DY1034" s="885"/>
      <c r="DZ1034" s="885"/>
      <c r="EA1034" s="885"/>
      <c r="EB1034" s="885"/>
      <c r="EC1034" s="885"/>
      <c r="ED1034" s="885"/>
      <c r="EE1034" s="885"/>
      <c r="EF1034" s="885"/>
      <c r="EG1034" s="885"/>
      <c r="EH1034" s="885"/>
      <c r="EI1034" s="885"/>
      <c r="EJ1034" s="885"/>
      <c r="EK1034" s="885"/>
      <c r="EL1034" s="885"/>
      <c r="EM1034" s="885"/>
      <c r="EN1034" s="885"/>
      <c r="EO1034" s="885"/>
      <c r="EP1034" s="885"/>
      <c r="EQ1034" s="885"/>
      <c r="ER1034" s="885"/>
      <c r="ES1034" s="885"/>
      <c r="ET1034" s="885"/>
      <c r="EU1034" s="885"/>
      <c r="EV1034" s="885"/>
      <c r="EW1034" s="885"/>
      <c r="EX1034" s="885"/>
      <c r="EY1034" s="885"/>
      <c r="EZ1034" s="885"/>
      <c r="FA1034" s="885"/>
      <c r="FB1034" s="885"/>
      <c r="FC1034" s="885"/>
      <c r="FD1034" s="885"/>
      <c r="FE1034" s="885"/>
      <c r="FF1034" s="885"/>
      <c r="FG1034" s="885"/>
      <c r="FH1034" s="885"/>
      <c r="FI1034" s="885"/>
      <c r="FJ1034" s="885"/>
      <c r="FK1034" s="885"/>
      <c r="FL1034" s="885"/>
      <c r="FM1034" s="885"/>
      <c r="FN1034" s="885"/>
      <c r="FO1034" s="885"/>
      <c r="FP1034" s="885"/>
      <c r="FQ1034" s="885"/>
      <c r="FR1034" s="885"/>
      <c r="FS1034" s="885"/>
      <c r="FT1034" s="885"/>
      <c r="FU1034" s="885"/>
      <c r="FV1034" s="885"/>
      <c r="FW1034" s="885"/>
      <c r="FX1034" s="885"/>
      <c r="FY1034" s="885"/>
      <c r="FZ1034" s="885"/>
      <c r="GA1034" s="885"/>
      <c r="GB1034" s="885"/>
      <c r="GC1034" s="885"/>
      <c r="GD1034" s="885"/>
      <c r="GE1034" s="885"/>
      <c r="GF1034" s="885"/>
      <c r="GG1034" s="885"/>
      <c r="GH1034" s="885"/>
      <c r="GI1034" s="885"/>
      <c r="GJ1034" s="885"/>
      <c r="GK1034" s="885"/>
      <c r="GL1034" s="885"/>
      <c r="GM1034" s="885"/>
      <c r="GN1034" s="885"/>
      <c r="GO1034" s="885"/>
      <c r="GP1034" s="885"/>
      <c r="GQ1034" s="885"/>
      <c r="GR1034" s="885"/>
      <c r="GS1034" s="885"/>
      <c r="GT1034" s="885"/>
      <c r="GU1034" s="885"/>
      <c r="GV1034" s="885"/>
      <c r="GW1034" s="885"/>
      <c r="GX1034" s="885"/>
      <c r="GY1034" s="885"/>
      <c r="GZ1034" s="885"/>
      <c r="HA1034" s="885"/>
      <c r="HB1034" s="885"/>
      <c r="HC1034" s="885"/>
      <c r="HD1034" s="885"/>
      <c r="HE1034" s="885"/>
      <c r="HF1034" s="885"/>
      <c r="HG1034" s="885"/>
      <c r="HH1034" s="885"/>
      <c r="HI1034" s="885"/>
      <c r="HJ1034" s="885"/>
      <c r="HK1034" s="885"/>
      <c r="HL1034" s="885"/>
      <c r="HM1034" s="885"/>
      <c r="HN1034" s="885"/>
      <c r="HO1034" s="885"/>
      <c r="HP1034" s="885"/>
      <c r="HQ1034" s="885"/>
      <c r="HR1034" s="885"/>
      <c r="HS1034" s="885"/>
      <c r="HT1034" s="885"/>
      <c r="HU1034" s="885"/>
      <c r="HV1034" s="885"/>
      <c r="HW1034" s="885"/>
      <c r="HX1034" s="885"/>
      <c r="HY1034" s="885"/>
      <c r="HZ1034" s="885"/>
      <c r="IA1034" s="885"/>
      <c r="IB1034" s="885"/>
      <c r="IC1034" s="885"/>
      <c r="ID1034" s="885"/>
      <c r="IE1034" s="885"/>
      <c r="IF1034" s="885"/>
      <c r="IG1034" s="885"/>
      <c r="IH1034" s="885"/>
      <c r="II1034" s="885"/>
      <c r="IJ1034" s="885"/>
      <c r="IK1034" s="885"/>
      <c r="IL1034" s="885"/>
      <c r="IM1034" s="885"/>
      <c r="IN1034" s="885"/>
      <c r="IO1034" s="885"/>
      <c r="IP1034" s="885"/>
      <c r="IQ1034" s="885"/>
      <c r="IR1034" s="885"/>
      <c r="IS1034" s="885"/>
      <c r="IT1034" s="885"/>
      <c r="IU1034" s="885"/>
      <c r="IV1034" s="885"/>
      <c r="IW1034" s="885"/>
      <c r="IX1034" s="885"/>
    </row>
    <row r="1035" spans="1:258" x14ac:dyDescent="0.25">
      <c r="A1035" s="125">
        <f t="shared" si="121"/>
        <v>995</v>
      </c>
      <c r="B1035" s="885"/>
      <c r="C1035" s="842" t="s">
        <v>11551</v>
      </c>
      <c r="D1035" s="924">
        <v>158162.41</v>
      </c>
      <c r="E1035" s="906">
        <f>D1035/6*10</f>
        <v>263604.01666666666</v>
      </c>
      <c r="F1035" s="136">
        <f>E1035</f>
        <v>263604.01666666666</v>
      </c>
      <c r="G1035" s="122" t="s">
        <v>1963</v>
      </c>
      <c r="H1035" s="885"/>
      <c r="I1035" s="980">
        <f>E1035+E1043+E1046+E1049</f>
        <v>366222.96666666667</v>
      </c>
      <c r="J1035" s="885"/>
      <c r="K1035" s="885"/>
      <c r="L1035" s="885"/>
      <c r="M1035" s="885"/>
      <c r="N1035" s="885"/>
      <c r="O1035" s="885"/>
      <c r="P1035" s="885"/>
      <c r="Q1035" s="885"/>
      <c r="R1035" s="885"/>
      <c r="S1035" s="885"/>
      <c r="T1035" s="885"/>
      <c r="U1035" s="885"/>
      <c r="V1035" s="885"/>
      <c r="W1035" s="885"/>
      <c r="X1035" s="885"/>
      <c r="Y1035" s="885"/>
      <c r="Z1035" s="885"/>
      <c r="AA1035" s="885"/>
      <c r="AB1035" s="885"/>
      <c r="AC1035" s="885"/>
      <c r="AD1035" s="885"/>
      <c r="AE1035" s="885"/>
      <c r="AF1035" s="885"/>
      <c r="AG1035" s="885"/>
      <c r="AH1035" s="885"/>
      <c r="AI1035" s="885"/>
      <c r="AJ1035" s="885"/>
      <c r="AK1035" s="885"/>
      <c r="AL1035" s="885"/>
      <c r="AM1035" s="885"/>
      <c r="AN1035" s="885"/>
      <c r="AO1035" s="885"/>
      <c r="AP1035" s="885"/>
      <c r="AQ1035" s="885"/>
      <c r="AR1035" s="885"/>
      <c r="AS1035" s="885"/>
      <c r="AT1035" s="885"/>
      <c r="AU1035" s="885"/>
      <c r="AV1035" s="885"/>
      <c r="AW1035" s="885"/>
      <c r="AX1035" s="885"/>
      <c r="AY1035" s="885"/>
      <c r="AZ1035" s="885"/>
      <c r="BA1035" s="885"/>
      <c r="BB1035" s="885"/>
      <c r="BC1035" s="885"/>
      <c r="BD1035" s="885"/>
      <c r="BE1035" s="885"/>
      <c r="BF1035" s="885"/>
      <c r="BG1035" s="885"/>
      <c r="BH1035" s="885"/>
      <c r="BI1035" s="885"/>
      <c r="BJ1035" s="885"/>
      <c r="BK1035" s="885"/>
      <c r="BL1035" s="885"/>
      <c r="BM1035" s="885"/>
      <c r="BN1035" s="885"/>
      <c r="BO1035" s="885"/>
      <c r="BP1035" s="885"/>
      <c r="BQ1035" s="885"/>
      <c r="BR1035" s="885"/>
      <c r="BS1035" s="885"/>
      <c r="BT1035" s="885"/>
      <c r="BU1035" s="885"/>
      <c r="BV1035" s="885"/>
      <c r="BW1035" s="885"/>
      <c r="BX1035" s="885"/>
      <c r="BY1035" s="885"/>
      <c r="BZ1035" s="885"/>
      <c r="CA1035" s="885"/>
      <c r="CB1035" s="885"/>
      <c r="CC1035" s="885"/>
      <c r="CD1035" s="885"/>
      <c r="CE1035" s="885"/>
      <c r="CF1035" s="885"/>
      <c r="CG1035" s="885"/>
      <c r="CH1035" s="885"/>
      <c r="CI1035" s="885"/>
      <c r="CJ1035" s="885"/>
      <c r="CK1035" s="885"/>
      <c r="CL1035" s="885"/>
      <c r="CM1035" s="885"/>
      <c r="CN1035" s="885"/>
      <c r="CO1035" s="885"/>
      <c r="CP1035" s="885"/>
      <c r="CQ1035" s="885"/>
      <c r="CR1035" s="885"/>
      <c r="CS1035" s="885"/>
      <c r="CT1035" s="885"/>
      <c r="CU1035" s="885"/>
      <c r="CV1035" s="885"/>
      <c r="CW1035" s="885"/>
      <c r="CX1035" s="885"/>
      <c r="CY1035" s="885"/>
      <c r="CZ1035" s="885"/>
      <c r="DA1035" s="885"/>
      <c r="DB1035" s="885"/>
      <c r="DC1035" s="885"/>
      <c r="DD1035" s="885"/>
      <c r="DE1035" s="885"/>
      <c r="DF1035" s="885"/>
      <c r="DG1035" s="885"/>
      <c r="DH1035" s="885"/>
      <c r="DI1035" s="885"/>
      <c r="DJ1035" s="885"/>
      <c r="DK1035" s="885"/>
      <c r="DL1035" s="885"/>
      <c r="DM1035" s="885"/>
      <c r="DN1035" s="885"/>
      <c r="DO1035" s="885"/>
      <c r="DP1035" s="885"/>
      <c r="DQ1035" s="885"/>
      <c r="DR1035" s="885"/>
      <c r="DS1035" s="885"/>
      <c r="DT1035" s="885"/>
      <c r="DU1035" s="885"/>
      <c r="DV1035" s="885"/>
      <c r="DW1035" s="885"/>
      <c r="DX1035" s="885"/>
      <c r="DY1035" s="885"/>
      <c r="DZ1035" s="885"/>
      <c r="EA1035" s="885"/>
      <c r="EB1035" s="885"/>
      <c r="EC1035" s="885"/>
      <c r="ED1035" s="885"/>
      <c r="EE1035" s="885"/>
      <c r="EF1035" s="885"/>
      <c r="EG1035" s="885"/>
      <c r="EH1035" s="885"/>
      <c r="EI1035" s="885"/>
      <c r="EJ1035" s="885"/>
      <c r="EK1035" s="885"/>
      <c r="EL1035" s="885"/>
      <c r="EM1035" s="885"/>
      <c r="EN1035" s="885"/>
      <c r="EO1035" s="885"/>
      <c r="EP1035" s="885"/>
      <c r="EQ1035" s="885"/>
      <c r="ER1035" s="885"/>
      <c r="ES1035" s="885"/>
      <c r="ET1035" s="885"/>
      <c r="EU1035" s="885"/>
      <c r="EV1035" s="885"/>
      <c r="EW1035" s="885"/>
      <c r="EX1035" s="885"/>
      <c r="EY1035" s="885"/>
      <c r="EZ1035" s="885"/>
      <c r="FA1035" s="885"/>
      <c r="FB1035" s="885"/>
      <c r="FC1035" s="885"/>
      <c r="FD1035" s="885"/>
      <c r="FE1035" s="885"/>
      <c r="FF1035" s="885"/>
      <c r="FG1035" s="885"/>
      <c r="FH1035" s="885"/>
      <c r="FI1035" s="885"/>
      <c r="FJ1035" s="885"/>
      <c r="FK1035" s="885"/>
      <c r="FL1035" s="885"/>
      <c r="FM1035" s="885"/>
      <c r="FN1035" s="885"/>
      <c r="FO1035" s="885"/>
      <c r="FP1035" s="885"/>
      <c r="FQ1035" s="885"/>
      <c r="FR1035" s="885"/>
      <c r="FS1035" s="885"/>
      <c r="FT1035" s="885"/>
      <c r="FU1035" s="885"/>
      <c r="FV1035" s="885"/>
      <c r="FW1035" s="885"/>
      <c r="FX1035" s="885"/>
      <c r="FY1035" s="885"/>
      <c r="FZ1035" s="885"/>
      <c r="GA1035" s="885"/>
      <c r="GB1035" s="885"/>
      <c r="GC1035" s="885"/>
      <c r="GD1035" s="885"/>
      <c r="GE1035" s="885"/>
      <c r="GF1035" s="885"/>
      <c r="GG1035" s="885"/>
      <c r="GH1035" s="885"/>
      <c r="GI1035" s="885"/>
      <c r="GJ1035" s="885"/>
      <c r="GK1035" s="885"/>
      <c r="GL1035" s="885"/>
      <c r="GM1035" s="885"/>
      <c r="GN1035" s="885"/>
      <c r="GO1035" s="885"/>
      <c r="GP1035" s="885"/>
      <c r="GQ1035" s="885"/>
      <c r="GR1035" s="885"/>
      <c r="GS1035" s="885"/>
      <c r="GT1035" s="885"/>
      <c r="GU1035" s="885"/>
      <c r="GV1035" s="885"/>
      <c r="GW1035" s="885"/>
      <c r="GX1035" s="885"/>
      <c r="GY1035" s="885"/>
      <c r="GZ1035" s="885"/>
      <c r="HA1035" s="885"/>
      <c r="HB1035" s="885"/>
      <c r="HC1035" s="885"/>
      <c r="HD1035" s="885"/>
      <c r="HE1035" s="885"/>
      <c r="HF1035" s="885"/>
      <c r="HG1035" s="885"/>
      <c r="HH1035" s="885"/>
      <c r="HI1035" s="885"/>
      <c r="HJ1035" s="885"/>
      <c r="HK1035" s="885"/>
      <c r="HL1035" s="885"/>
      <c r="HM1035" s="885"/>
      <c r="HN1035" s="885"/>
      <c r="HO1035" s="885"/>
      <c r="HP1035" s="885"/>
      <c r="HQ1035" s="885"/>
      <c r="HR1035" s="885"/>
      <c r="HS1035" s="885"/>
      <c r="HT1035" s="885"/>
      <c r="HU1035" s="885"/>
      <c r="HV1035" s="885"/>
      <c r="HW1035" s="885"/>
      <c r="HX1035" s="885"/>
      <c r="HY1035" s="885"/>
      <c r="HZ1035" s="885"/>
      <c r="IA1035" s="885"/>
      <c r="IB1035" s="885"/>
      <c r="IC1035" s="885"/>
      <c r="ID1035" s="885"/>
      <c r="IE1035" s="885"/>
      <c r="IF1035" s="885"/>
      <c r="IG1035" s="885"/>
      <c r="IH1035" s="885"/>
      <c r="II1035" s="885"/>
      <c r="IJ1035" s="885"/>
      <c r="IK1035" s="885"/>
      <c r="IL1035" s="885"/>
      <c r="IM1035" s="885"/>
      <c r="IN1035" s="885"/>
      <c r="IO1035" s="885"/>
      <c r="IP1035" s="885"/>
      <c r="IQ1035" s="885"/>
      <c r="IR1035" s="885"/>
      <c r="IS1035" s="885"/>
      <c r="IT1035" s="885"/>
      <c r="IU1035" s="885"/>
      <c r="IV1035" s="885"/>
      <c r="IW1035" s="885"/>
      <c r="IX1035" s="885"/>
    </row>
    <row r="1036" spans="1:258" x14ac:dyDescent="0.25">
      <c r="A1036" s="125">
        <f t="shared" si="121"/>
        <v>996</v>
      </c>
      <c r="B1036" s="954"/>
      <c r="C1036" s="842" t="s">
        <v>11532</v>
      </c>
      <c r="D1036" s="924">
        <v>765</v>
      </c>
      <c r="E1036" s="906">
        <f>D1036/6*10</f>
        <v>1275</v>
      </c>
      <c r="F1036" s="136">
        <v>0</v>
      </c>
      <c r="H1036" s="954"/>
      <c r="I1036" s="954"/>
      <c r="J1036" s="954"/>
      <c r="K1036" s="954"/>
      <c r="L1036" s="954"/>
      <c r="M1036" s="954"/>
      <c r="N1036" s="954"/>
      <c r="O1036" s="954"/>
      <c r="P1036" s="954"/>
      <c r="Q1036" s="954"/>
      <c r="R1036" s="954"/>
      <c r="S1036" s="954"/>
      <c r="T1036" s="954"/>
      <c r="U1036" s="954"/>
      <c r="V1036" s="954"/>
      <c r="W1036" s="954"/>
      <c r="X1036" s="954"/>
      <c r="Y1036" s="954"/>
      <c r="Z1036" s="954"/>
      <c r="AA1036" s="954"/>
      <c r="AB1036" s="954"/>
      <c r="AC1036" s="954"/>
      <c r="AD1036" s="954"/>
      <c r="AE1036" s="954"/>
      <c r="AF1036" s="954"/>
      <c r="AG1036" s="954"/>
      <c r="AH1036" s="954"/>
      <c r="AI1036" s="954"/>
      <c r="AJ1036" s="954"/>
      <c r="AK1036" s="954"/>
      <c r="AL1036" s="954"/>
      <c r="AM1036" s="954"/>
      <c r="AN1036" s="954"/>
      <c r="AO1036" s="954"/>
      <c r="AP1036" s="954"/>
      <c r="AQ1036" s="954"/>
      <c r="AR1036" s="954"/>
      <c r="AS1036" s="954"/>
      <c r="AT1036" s="954"/>
      <c r="AU1036" s="954"/>
      <c r="AV1036" s="954"/>
      <c r="AW1036" s="954"/>
      <c r="AX1036" s="954"/>
      <c r="AY1036" s="954"/>
      <c r="AZ1036" s="954"/>
      <c r="BA1036" s="954"/>
      <c r="BB1036" s="954"/>
      <c r="BC1036" s="954"/>
      <c r="BD1036" s="954"/>
      <c r="BE1036" s="954"/>
      <c r="BF1036" s="954"/>
      <c r="BG1036" s="954"/>
      <c r="BH1036" s="954"/>
      <c r="BI1036" s="954"/>
      <c r="BJ1036" s="954"/>
      <c r="BK1036" s="954"/>
      <c r="BL1036" s="954"/>
      <c r="BM1036" s="954"/>
      <c r="BN1036" s="954"/>
      <c r="BO1036" s="954"/>
      <c r="BP1036" s="954"/>
      <c r="BQ1036" s="954"/>
      <c r="BR1036" s="954"/>
      <c r="BS1036" s="954"/>
      <c r="BT1036" s="954"/>
      <c r="BU1036" s="954"/>
      <c r="BV1036" s="954"/>
      <c r="BW1036" s="954"/>
      <c r="BX1036" s="954"/>
      <c r="BY1036" s="954"/>
      <c r="BZ1036" s="954"/>
      <c r="CA1036" s="954"/>
      <c r="CB1036" s="954"/>
      <c r="CC1036" s="954"/>
      <c r="CD1036" s="954"/>
      <c r="CE1036" s="954"/>
      <c r="CF1036" s="954"/>
      <c r="CG1036" s="954"/>
      <c r="CH1036" s="954"/>
      <c r="CI1036" s="954"/>
      <c r="CJ1036" s="954"/>
      <c r="CK1036" s="954"/>
      <c r="CL1036" s="954"/>
      <c r="CM1036" s="954"/>
      <c r="CN1036" s="954"/>
      <c r="CO1036" s="954"/>
      <c r="CP1036" s="954"/>
      <c r="CQ1036" s="954"/>
      <c r="CR1036" s="954"/>
      <c r="CS1036" s="954"/>
      <c r="CT1036" s="954"/>
      <c r="CU1036" s="954"/>
      <c r="CV1036" s="954"/>
      <c r="CW1036" s="954"/>
      <c r="CX1036" s="954"/>
      <c r="CY1036" s="954"/>
      <c r="CZ1036" s="954"/>
      <c r="DA1036" s="954"/>
      <c r="DB1036" s="954"/>
      <c r="DC1036" s="954"/>
      <c r="DD1036" s="954"/>
      <c r="DE1036" s="954"/>
      <c r="DF1036" s="954"/>
      <c r="DG1036" s="954"/>
      <c r="DH1036" s="954"/>
      <c r="DI1036" s="954"/>
      <c r="DJ1036" s="954"/>
      <c r="DK1036" s="954"/>
      <c r="DL1036" s="954"/>
      <c r="DM1036" s="954"/>
      <c r="DN1036" s="954"/>
      <c r="DO1036" s="954"/>
      <c r="DP1036" s="954"/>
      <c r="DQ1036" s="954"/>
      <c r="DR1036" s="954"/>
      <c r="DS1036" s="954"/>
      <c r="DT1036" s="954"/>
      <c r="DU1036" s="954"/>
      <c r="DV1036" s="954"/>
      <c r="DW1036" s="954"/>
      <c r="DX1036" s="954"/>
      <c r="DY1036" s="954"/>
      <c r="DZ1036" s="954"/>
      <c r="EA1036" s="954"/>
      <c r="EB1036" s="954"/>
      <c r="EC1036" s="954"/>
      <c r="ED1036" s="954"/>
      <c r="EE1036" s="954"/>
      <c r="EF1036" s="954"/>
      <c r="EG1036" s="954"/>
      <c r="EH1036" s="954"/>
      <c r="EI1036" s="954"/>
      <c r="EJ1036" s="954"/>
      <c r="EK1036" s="954"/>
      <c r="EL1036" s="954"/>
      <c r="EM1036" s="954"/>
      <c r="EN1036" s="954"/>
      <c r="EO1036" s="954"/>
      <c r="EP1036" s="954"/>
      <c r="EQ1036" s="954"/>
      <c r="ER1036" s="954"/>
      <c r="ES1036" s="954"/>
      <c r="ET1036" s="954"/>
      <c r="EU1036" s="954"/>
      <c r="EV1036" s="954"/>
      <c r="EW1036" s="954"/>
      <c r="EX1036" s="954"/>
      <c r="EY1036" s="954"/>
      <c r="EZ1036" s="954"/>
      <c r="FA1036" s="954"/>
      <c r="FB1036" s="954"/>
      <c r="FC1036" s="954"/>
      <c r="FD1036" s="954"/>
      <c r="FE1036" s="954"/>
      <c r="FF1036" s="954"/>
      <c r="FG1036" s="954"/>
      <c r="FH1036" s="954"/>
      <c r="FI1036" s="954"/>
      <c r="FJ1036" s="954"/>
      <c r="FK1036" s="954"/>
      <c r="FL1036" s="954"/>
      <c r="FM1036" s="954"/>
      <c r="FN1036" s="954"/>
      <c r="FO1036" s="954"/>
      <c r="FP1036" s="954"/>
      <c r="FQ1036" s="954"/>
      <c r="FR1036" s="954"/>
      <c r="FS1036" s="954"/>
      <c r="FT1036" s="954"/>
      <c r="FU1036" s="954"/>
      <c r="FV1036" s="954"/>
      <c r="FW1036" s="954"/>
      <c r="FX1036" s="954"/>
      <c r="FY1036" s="954"/>
      <c r="FZ1036" s="954"/>
      <c r="GA1036" s="954"/>
      <c r="GB1036" s="954"/>
      <c r="GC1036" s="954"/>
      <c r="GD1036" s="954"/>
      <c r="GE1036" s="954"/>
      <c r="GF1036" s="954"/>
      <c r="GG1036" s="954"/>
      <c r="GH1036" s="954"/>
      <c r="GI1036" s="954"/>
      <c r="GJ1036" s="954"/>
      <c r="GK1036" s="954"/>
      <c r="GL1036" s="954"/>
      <c r="GM1036" s="954"/>
      <c r="GN1036" s="954"/>
      <c r="GO1036" s="954"/>
      <c r="GP1036" s="954"/>
      <c r="GQ1036" s="954"/>
      <c r="GR1036" s="954"/>
      <c r="GS1036" s="954"/>
      <c r="GT1036" s="954"/>
      <c r="GU1036" s="954"/>
      <c r="GV1036" s="954"/>
      <c r="GW1036" s="954"/>
      <c r="GX1036" s="954"/>
      <c r="GY1036" s="954"/>
      <c r="GZ1036" s="954"/>
      <c r="HA1036" s="954"/>
      <c r="HB1036" s="954"/>
      <c r="HC1036" s="954"/>
      <c r="HD1036" s="954"/>
      <c r="HE1036" s="954"/>
      <c r="HF1036" s="954"/>
      <c r="HG1036" s="954"/>
      <c r="HH1036" s="954"/>
      <c r="HI1036" s="954"/>
      <c r="HJ1036" s="954"/>
      <c r="HK1036" s="954"/>
      <c r="HL1036" s="954"/>
      <c r="HM1036" s="954"/>
      <c r="HN1036" s="954"/>
      <c r="HO1036" s="954"/>
      <c r="HP1036" s="954"/>
      <c r="HQ1036" s="954"/>
      <c r="HR1036" s="954"/>
      <c r="HS1036" s="954"/>
      <c r="HT1036" s="954"/>
      <c r="HU1036" s="954"/>
      <c r="HV1036" s="954"/>
      <c r="HW1036" s="954"/>
      <c r="HX1036" s="954"/>
      <c r="HY1036" s="954"/>
      <c r="HZ1036" s="954"/>
      <c r="IA1036" s="954"/>
      <c r="IB1036" s="954"/>
      <c r="IC1036" s="954"/>
      <c r="ID1036" s="954"/>
      <c r="IE1036" s="954"/>
      <c r="IF1036" s="954"/>
      <c r="IG1036" s="954"/>
      <c r="IH1036" s="954"/>
      <c r="II1036" s="954"/>
      <c r="IJ1036" s="954"/>
      <c r="IK1036" s="954"/>
      <c r="IL1036" s="954"/>
      <c r="IM1036" s="954"/>
      <c r="IN1036" s="954"/>
      <c r="IO1036" s="954"/>
      <c r="IP1036" s="954"/>
      <c r="IQ1036" s="954"/>
      <c r="IR1036" s="954"/>
      <c r="IS1036" s="954"/>
      <c r="IT1036" s="954"/>
      <c r="IU1036" s="954"/>
      <c r="IV1036" s="954"/>
      <c r="IW1036" s="954"/>
      <c r="IX1036" s="954"/>
    </row>
    <row r="1037" spans="1:258" x14ac:dyDescent="0.25">
      <c r="A1037" s="125">
        <f t="shared" si="121"/>
        <v>997</v>
      </c>
      <c r="B1037" s="954"/>
      <c r="C1037" s="842" t="s">
        <v>10498</v>
      </c>
      <c r="D1037" s="924">
        <v>0</v>
      </c>
      <c r="E1037" s="906">
        <f>D1037/8*12</f>
        <v>0</v>
      </c>
      <c r="F1037" s="136">
        <v>1</v>
      </c>
      <c r="H1037" s="954"/>
      <c r="I1037" s="954"/>
      <c r="J1037" s="954"/>
      <c r="K1037" s="954"/>
      <c r="L1037" s="954"/>
      <c r="M1037" s="954"/>
      <c r="N1037" s="954"/>
      <c r="O1037" s="954"/>
      <c r="P1037" s="954"/>
      <c r="Q1037" s="954"/>
      <c r="R1037" s="954"/>
      <c r="S1037" s="954"/>
      <c r="T1037" s="954"/>
      <c r="U1037" s="954"/>
      <c r="V1037" s="954"/>
      <c r="W1037" s="954"/>
      <c r="X1037" s="954"/>
      <c r="Y1037" s="954"/>
      <c r="Z1037" s="954"/>
      <c r="AA1037" s="954"/>
      <c r="AB1037" s="954"/>
      <c r="AC1037" s="954"/>
      <c r="AD1037" s="954"/>
      <c r="AE1037" s="954"/>
      <c r="AF1037" s="954"/>
      <c r="AG1037" s="954"/>
      <c r="AH1037" s="954"/>
      <c r="AI1037" s="954"/>
      <c r="AJ1037" s="954"/>
      <c r="AK1037" s="954"/>
      <c r="AL1037" s="954"/>
      <c r="AM1037" s="954"/>
      <c r="AN1037" s="954"/>
      <c r="AO1037" s="954"/>
      <c r="AP1037" s="954"/>
      <c r="AQ1037" s="954"/>
      <c r="AR1037" s="954"/>
      <c r="AS1037" s="954"/>
      <c r="AT1037" s="954"/>
      <c r="AU1037" s="954"/>
      <c r="AV1037" s="954"/>
      <c r="AW1037" s="954"/>
      <c r="AX1037" s="954"/>
      <c r="AY1037" s="954"/>
      <c r="AZ1037" s="954"/>
      <c r="BA1037" s="954"/>
      <c r="BB1037" s="954"/>
      <c r="BC1037" s="954"/>
      <c r="BD1037" s="954"/>
      <c r="BE1037" s="954"/>
      <c r="BF1037" s="954"/>
      <c r="BG1037" s="954"/>
      <c r="BH1037" s="954"/>
      <c r="BI1037" s="954"/>
      <c r="BJ1037" s="954"/>
      <c r="BK1037" s="954"/>
      <c r="BL1037" s="954"/>
      <c r="BM1037" s="954"/>
      <c r="BN1037" s="954"/>
      <c r="BO1037" s="954"/>
      <c r="BP1037" s="954"/>
      <c r="BQ1037" s="954"/>
      <c r="BR1037" s="954"/>
      <c r="BS1037" s="954"/>
      <c r="BT1037" s="954"/>
      <c r="BU1037" s="954"/>
      <c r="BV1037" s="954"/>
      <c r="BW1037" s="954"/>
      <c r="BX1037" s="954"/>
      <c r="BY1037" s="954"/>
      <c r="BZ1037" s="954"/>
      <c r="CA1037" s="954"/>
      <c r="CB1037" s="954"/>
      <c r="CC1037" s="954"/>
      <c r="CD1037" s="954"/>
      <c r="CE1037" s="954"/>
      <c r="CF1037" s="954"/>
      <c r="CG1037" s="954"/>
      <c r="CH1037" s="954"/>
      <c r="CI1037" s="954"/>
      <c r="CJ1037" s="954"/>
      <c r="CK1037" s="954"/>
      <c r="CL1037" s="954"/>
      <c r="CM1037" s="954"/>
      <c r="CN1037" s="954"/>
      <c r="CO1037" s="954"/>
      <c r="CP1037" s="954"/>
      <c r="CQ1037" s="954"/>
      <c r="CR1037" s="954"/>
      <c r="CS1037" s="954"/>
      <c r="CT1037" s="954"/>
      <c r="CU1037" s="954"/>
      <c r="CV1037" s="954"/>
      <c r="CW1037" s="954"/>
      <c r="CX1037" s="954"/>
      <c r="CY1037" s="954"/>
      <c r="CZ1037" s="954"/>
      <c r="DA1037" s="954"/>
      <c r="DB1037" s="954"/>
      <c r="DC1037" s="954"/>
      <c r="DD1037" s="954"/>
      <c r="DE1037" s="954"/>
      <c r="DF1037" s="954"/>
      <c r="DG1037" s="954"/>
      <c r="DH1037" s="954"/>
      <c r="DI1037" s="954"/>
      <c r="DJ1037" s="954"/>
      <c r="DK1037" s="954"/>
      <c r="DL1037" s="954"/>
      <c r="DM1037" s="954"/>
      <c r="DN1037" s="954"/>
      <c r="DO1037" s="954"/>
      <c r="DP1037" s="954"/>
      <c r="DQ1037" s="954"/>
      <c r="DR1037" s="954"/>
      <c r="DS1037" s="954"/>
      <c r="DT1037" s="954"/>
      <c r="DU1037" s="954"/>
      <c r="DV1037" s="954"/>
      <c r="DW1037" s="954"/>
      <c r="DX1037" s="954"/>
      <c r="DY1037" s="954"/>
      <c r="DZ1037" s="954"/>
      <c r="EA1037" s="954"/>
      <c r="EB1037" s="954"/>
      <c r="EC1037" s="954"/>
      <c r="ED1037" s="954"/>
      <c r="EE1037" s="954"/>
      <c r="EF1037" s="954"/>
      <c r="EG1037" s="954"/>
      <c r="EH1037" s="954"/>
      <c r="EI1037" s="954"/>
      <c r="EJ1037" s="954"/>
      <c r="EK1037" s="954"/>
      <c r="EL1037" s="954"/>
      <c r="EM1037" s="954"/>
      <c r="EN1037" s="954"/>
      <c r="EO1037" s="954"/>
      <c r="EP1037" s="954"/>
      <c r="EQ1037" s="954"/>
      <c r="ER1037" s="954"/>
      <c r="ES1037" s="954"/>
      <c r="ET1037" s="954"/>
      <c r="EU1037" s="954"/>
      <c r="EV1037" s="954"/>
      <c r="EW1037" s="954"/>
      <c r="EX1037" s="954"/>
      <c r="EY1037" s="954"/>
      <c r="EZ1037" s="954"/>
      <c r="FA1037" s="954"/>
      <c r="FB1037" s="954"/>
      <c r="FC1037" s="954"/>
      <c r="FD1037" s="954"/>
      <c r="FE1037" s="954"/>
      <c r="FF1037" s="954"/>
      <c r="FG1037" s="954"/>
      <c r="FH1037" s="954"/>
      <c r="FI1037" s="954"/>
      <c r="FJ1037" s="954"/>
      <c r="FK1037" s="954"/>
      <c r="FL1037" s="954"/>
      <c r="FM1037" s="954"/>
      <c r="FN1037" s="954"/>
      <c r="FO1037" s="954"/>
      <c r="FP1037" s="954"/>
      <c r="FQ1037" s="954"/>
      <c r="FR1037" s="954"/>
      <c r="FS1037" s="954"/>
      <c r="FT1037" s="954"/>
      <c r="FU1037" s="954"/>
      <c r="FV1037" s="954"/>
      <c r="FW1037" s="954"/>
      <c r="FX1037" s="954"/>
      <c r="FY1037" s="954"/>
      <c r="FZ1037" s="954"/>
      <c r="GA1037" s="954"/>
      <c r="GB1037" s="954"/>
      <c r="GC1037" s="954"/>
      <c r="GD1037" s="954"/>
      <c r="GE1037" s="954"/>
      <c r="GF1037" s="954"/>
      <c r="GG1037" s="954"/>
      <c r="GH1037" s="954"/>
      <c r="GI1037" s="954"/>
      <c r="GJ1037" s="954"/>
      <c r="GK1037" s="954"/>
      <c r="GL1037" s="954"/>
      <c r="GM1037" s="954"/>
      <c r="GN1037" s="954"/>
      <c r="GO1037" s="954"/>
      <c r="GP1037" s="954"/>
      <c r="GQ1037" s="954"/>
      <c r="GR1037" s="954"/>
      <c r="GS1037" s="954"/>
      <c r="GT1037" s="954"/>
      <c r="GU1037" s="954"/>
      <c r="GV1037" s="954"/>
      <c r="GW1037" s="954"/>
      <c r="GX1037" s="954"/>
      <c r="GY1037" s="954"/>
      <c r="GZ1037" s="954"/>
      <c r="HA1037" s="954"/>
      <c r="HB1037" s="954"/>
      <c r="HC1037" s="954"/>
      <c r="HD1037" s="954"/>
      <c r="HE1037" s="954"/>
      <c r="HF1037" s="954"/>
      <c r="HG1037" s="954"/>
      <c r="HH1037" s="954"/>
      <c r="HI1037" s="954"/>
      <c r="HJ1037" s="954"/>
      <c r="HK1037" s="954"/>
      <c r="HL1037" s="954"/>
      <c r="HM1037" s="954"/>
      <c r="HN1037" s="954"/>
      <c r="HO1037" s="954"/>
      <c r="HP1037" s="954"/>
      <c r="HQ1037" s="954"/>
      <c r="HR1037" s="954"/>
      <c r="HS1037" s="954"/>
      <c r="HT1037" s="954"/>
      <c r="HU1037" s="954"/>
      <c r="HV1037" s="954"/>
      <c r="HW1037" s="954"/>
      <c r="HX1037" s="954"/>
      <c r="HY1037" s="954"/>
      <c r="HZ1037" s="954"/>
      <c r="IA1037" s="954"/>
      <c r="IB1037" s="954"/>
      <c r="IC1037" s="954"/>
      <c r="ID1037" s="954"/>
      <c r="IE1037" s="954"/>
      <c r="IF1037" s="954"/>
      <c r="IG1037" s="954"/>
      <c r="IH1037" s="954"/>
      <c r="II1037" s="954"/>
      <c r="IJ1037" s="954"/>
      <c r="IK1037" s="954"/>
      <c r="IL1037" s="954"/>
      <c r="IM1037" s="954"/>
      <c r="IN1037" s="954"/>
      <c r="IO1037" s="954"/>
      <c r="IP1037" s="954"/>
      <c r="IQ1037" s="954"/>
      <c r="IR1037" s="954"/>
      <c r="IS1037" s="954"/>
      <c r="IT1037" s="954"/>
      <c r="IU1037" s="954"/>
      <c r="IV1037" s="954"/>
      <c r="IW1037" s="954"/>
      <c r="IX1037" s="954"/>
    </row>
    <row r="1038" spans="1:258" x14ac:dyDescent="0.25">
      <c r="A1038" s="125">
        <f t="shared" si="121"/>
        <v>998</v>
      </c>
      <c r="B1038" s="954"/>
      <c r="C1038" s="842" t="s">
        <v>10497</v>
      </c>
      <c r="D1038" s="924">
        <v>0</v>
      </c>
      <c r="E1038" s="924">
        <f>D1038/8*12</f>
        <v>0</v>
      </c>
      <c r="F1038" s="136">
        <v>1</v>
      </c>
      <c r="H1038" s="954"/>
      <c r="I1038" s="954"/>
      <c r="J1038" s="954"/>
      <c r="K1038" s="954"/>
      <c r="L1038" s="954"/>
      <c r="M1038" s="954"/>
      <c r="N1038" s="954"/>
      <c r="O1038" s="954"/>
      <c r="P1038" s="954"/>
      <c r="Q1038" s="954"/>
      <c r="R1038" s="954"/>
      <c r="S1038" s="954"/>
      <c r="T1038" s="954"/>
      <c r="U1038" s="954"/>
      <c r="V1038" s="954"/>
      <c r="W1038" s="954"/>
      <c r="X1038" s="954"/>
      <c r="Y1038" s="954"/>
      <c r="Z1038" s="954"/>
      <c r="AA1038" s="954"/>
      <c r="AB1038" s="954"/>
      <c r="AC1038" s="954"/>
      <c r="AD1038" s="954"/>
      <c r="AE1038" s="954"/>
      <c r="AF1038" s="954"/>
      <c r="AG1038" s="954"/>
      <c r="AH1038" s="954"/>
      <c r="AI1038" s="954"/>
      <c r="AJ1038" s="954"/>
      <c r="AK1038" s="954"/>
      <c r="AL1038" s="954"/>
      <c r="AM1038" s="954"/>
      <c r="AN1038" s="954"/>
      <c r="AO1038" s="954"/>
      <c r="AP1038" s="954"/>
      <c r="AQ1038" s="954"/>
      <c r="AR1038" s="954"/>
      <c r="AS1038" s="954"/>
      <c r="AT1038" s="954"/>
      <c r="AU1038" s="954"/>
      <c r="AV1038" s="954"/>
      <c r="AW1038" s="954"/>
      <c r="AX1038" s="954"/>
      <c r="AY1038" s="954"/>
      <c r="AZ1038" s="954"/>
      <c r="BA1038" s="954"/>
      <c r="BB1038" s="954"/>
      <c r="BC1038" s="954"/>
      <c r="BD1038" s="954"/>
      <c r="BE1038" s="954"/>
      <c r="BF1038" s="954"/>
      <c r="BG1038" s="954"/>
      <c r="BH1038" s="954"/>
      <c r="BI1038" s="954"/>
      <c r="BJ1038" s="954"/>
      <c r="BK1038" s="954"/>
      <c r="BL1038" s="954"/>
      <c r="BM1038" s="954"/>
      <c r="BN1038" s="954"/>
      <c r="BO1038" s="954"/>
      <c r="BP1038" s="954"/>
      <c r="BQ1038" s="954"/>
      <c r="BR1038" s="954"/>
      <c r="BS1038" s="954"/>
      <c r="BT1038" s="954"/>
      <c r="BU1038" s="954"/>
      <c r="BV1038" s="954"/>
      <c r="BW1038" s="954"/>
      <c r="BX1038" s="954"/>
      <c r="BY1038" s="954"/>
      <c r="BZ1038" s="954"/>
      <c r="CA1038" s="954"/>
      <c r="CB1038" s="954"/>
      <c r="CC1038" s="954"/>
      <c r="CD1038" s="954"/>
      <c r="CE1038" s="954"/>
      <c r="CF1038" s="954"/>
      <c r="CG1038" s="954"/>
      <c r="CH1038" s="954"/>
      <c r="CI1038" s="954"/>
      <c r="CJ1038" s="954"/>
      <c r="CK1038" s="954"/>
      <c r="CL1038" s="954"/>
      <c r="CM1038" s="954"/>
      <c r="CN1038" s="954"/>
      <c r="CO1038" s="954"/>
      <c r="CP1038" s="954"/>
      <c r="CQ1038" s="954"/>
      <c r="CR1038" s="954"/>
      <c r="CS1038" s="954"/>
      <c r="CT1038" s="954"/>
      <c r="CU1038" s="954"/>
      <c r="CV1038" s="954"/>
      <c r="CW1038" s="954"/>
      <c r="CX1038" s="954"/>
      <c r="CY1038" s="954"/>
      <c r="CZ1038" s="954"/>
      <c r="DA1038" s="954"/>
      <c r="DB1038" s="954"/>
      <c r="DC1038" s="954"/>
      <c r="DD1038" s="954"/>
      <c r="DE1038" s="954"/>
      <c r="DF1038" s="954"/>
      <c r="DG1038" s="954"/>
      <c r="DH1038" s="954"/>
      <c r="DI1038" s="954"/>
      <c r="DJ1038" s="954"/>
      <c r="DK1038" s="954"/>
      <c r="DL1038" s="954"/>
      <c r="DM1038" s="954"/>
      <c r="DN1038" s="954"/>
      <c r="DO1038" s="954"/>
      <c r="DP1038" s="954"/>
      <c r="DQ1038" s="954"/>
      <c r="DR1038" s="954"/>
      <c r="DS1038" s="954"/>
      <c r="DT1038" s="954"/>
      <c r="DU1038" s="954"/>
      <c r="DV1038" s="954"/>
      <c r="DW1038" s="954"/>
      <c r="DX1038" s="954"/>
      <c r="DY1038" s="954"/>
      <c r="DZ1038" s="954"/>
      <c r="EA1038" s="954"/>
      <c r="EB1038" s="954"/>
      <c r="EC1038" s="954"/>
      <c r="ED1038" s="954"/>
      <c r="EE1038" s="954"/>
      <c r="EF1038" s="954"/>
      <c r="EG1038" s="954"/>
      <c r="EH1038" s="954"/>
      <c r="EI1038" s="954"/>
      <c r="EJ1038" s="954"/>
      <c r="EK1038" s="954"/>
      <c r="EL1038" s="954"/>
      <c r="EM1038" s="954"/>
      <c r="EN1038" s="954"/>
      <c r="EO1038" s="954"/>
      <c r="EP1038" s="954"/>
      <c r="EQ1038" s="954"/>
      <c r="ER1038" s="954"/>
      <c r="ES1038" s="954"/>
      <c r="ET1038" s="954"/>
      <c r="EU1038" s="954"/>
      <c r="EV1038" s="954"/>
      <c r="EW1038" s="954"/>
      <c r="EX1038" s="954"/>
      <c r="EY1038" s="954"/>
      <c r="EZ1038" s="954"/>
      <c r="FA1038" s="954"/>
      <c r="FB1038" s="954"/>
      <c r="FC1038" s="954"/>
      <c r="FD1038" s="954"/>
      <c r="FE1038" s="954"/>
      <c r="FF1038" s="954"/>
      <c r="FG1038" s="954"/>
      <c r="FH1038" s="954"/>
      <c r="FI1038" s="954"/>
      <c r="FJ1038" s="954"/>
      <c r="FK1038" s="954"/>
      <c r="FL1038" s="954"/>
      <c r="FM1038" s="954"/>
      <c r="FN1038" s="954"/>
      <c r="FO1038" s="954"/>
      <c r="FP1038" s="954"/>
      <c r="FQ1038" s="954"/>
      <c r="FR1038" s="954"/>
      <c r="FS1038" s="954"/>
      <c r="FT1038" s="954"/>
      <c r="FU1038" s="954"/>
      <c r="FV1038" s="954"/>
      <c r="FW1038" s="954"/>
      <c r="FX1038" s="954"/>
      <c r="FY1038" s="954"/>
      <c r="FZ1038" s="954"/>
      <c r="GA1038" s="954"/>
      <c r="GB1038" s="954"/>
      <c r="GC1038" s="954"/>
      <c r="GD1038" s="954"/>
      <c r="GE1038" s="954"/>
      <c r="GF1038" s="954"/>
      <c r="GG1038" s="954"/>
      <c r="GH1038" s="954"/>
      <c r="GI1038" s="954"/>
      <c r="GJ1038" s="954"/>
      <c r="GK1038" s="954"/>
      <c r="GL1038" s="954"/>
      <c r="GM1038" s="954"/>
      <c r="GN1038" s="954"/>
      <c r="GO1038" s="954"/>
      <c r="GP1038" s="954"/>
      <c r="GQ1038" s="954"/>
      <c r="GR1038" s="954"/>
      <c r="GS1038" s="954"/>
      <c r="GT1038" s="954"/>
      <c r="GU1038" s="954"/>
      <c r="GV1038" s="954"/>
      <c r="GW1038" s="954"/>
      <c r="GX1038" s="954"/>
      <c r="GY1038" s="954"/>
      <c r="GZ1038" s="954"/>
      <c r="HA1038" s="954"/>
      <c r="HB1038" s="954"/>
      <c r="HC1038" s="954"/>
      <c r="HD1038" s="954"/>
      <c r="HE1038" s="954"/>
      <c r="HF1038" s="954"/>
      <c r="HG1038" s="954"/>
      <c r="HH1038" s="954"/>
      <c r="HI1038" s="954"/>
      <c r="HJ1038" s="954"/>
      <c r="HK1038" s="954"/>
      <c r="HL1038" s="954"/>
      <c r="HM1038" s="954"/>
      <c r="HN1038" s="954"/>
      <c r="HO1038" s="954"/>
      <c r="HP1038" s="954"/>
      <c r="HQ1038" s="954"/>
      <c r="HR1038" s="954"/>
      <c r="HS1038" s="954"/>
      <c r="HT1038" s="954"/>
      <c r="HU1038" s="954"/>
      <c r="HV1038" s="954"/>
      <c r="HW1038" s="954"/>
      <c r="HX1038" s="954"/>
      <c r="HY1038" s="954"/>
      <c r="HZ1038" s="954"/>
      <c r="IA1038" s="954"/>
      <c r="IB1038" s="954"/>
      <c r="IC1038" s="954"/>
      <c r="ID1038" s="954"/>
      <c r="IE1038" s="954"/>
      <c r="IF1038" s="954"/>
      <c r="IG1038" s="954"/>
      <c r="IH1038" s="954"/>
      <c r="II1038" s="954"/>
      <c r="IJ1038" s="954"/>
      <c r="IK1038" s="954"/>
      <c r="IL1038" s="954"/>
      <c r="IM1038" s="954"/>
      <c r="IN1038" s="954"/>
      <c r="IO1038" s="954"/>
      <c r="IP1038" s="954"/>
      <c r="IQ1038" s="954"/>
      <c r="IR1038" s="954"/>
      <c r="IS1038" s="954"/>
      <c r="IT1038" s="954"/>
      <c r="IU1038" s="954"/>
      <c r="IV1038" s="954"/>
      <c r="IW1038" s="954"/>
      <c r="IX1038" s="954"/>
    </row>
    <row r="1039" spans="1:258" x14ac:dyDescent="0.25">
      <c r="A1039" s="125">
        <f t="shared" si="121"/>
        <v>999</v>
      </c>
      <c r="B1039" s="885"/>
      <c r="C1039" s="842" t="s">
        <v>10496</v>
      </c>
      <c r="D1039" s="924">
        <v>0</v>
      </c>
      <c r="E1039" s="924">
        <f>D1039/8*12</f>
        <v>0</v>
      </c>
      <c r="F1039" s="136">
        <v>200</v>
      </c>
      <c r="G1039" s="122" t="s">
        <v>1963</v>
      </c>
      <c r="H1039" s="885"/>
      <c r="I1039" s="885"/>
      <c r="J1039" s="885"/>
      <c r="K1039" s="885"/>
      <c r="L1039" s="885"/>
      <c r="M1039" s="885"/>
      <c r="N1039" s="885"/>
      <c r="O1039" s="885"/>
      <c r="P1039" s="885"/>
      <c r="Q1039" s="885"/>
      <c r="R1039" s="885"/>
      <c r="S1039" s="885"/>
      <c r="T1039" s="885"/>
      <c r="U1039" s="885"/>
      <c r="V1039" s="885"/>
      <c r="W1039" s="885"/>
      <c r="X1039" s="885"/>
      <c r="Y1039" s="885"/>
      <c r="Z1039" s="885"/>
      <c r="AA1039" s="885"/>
      <c r="AB1039" s="885"/>
      <c r="AC1039" s="885"/>
      <c r="AD1039" s="885"/>
      <c r="AE1039" s="885"/>
      <c r="AF1039" s="885"/>
      <c r="AG1039" s="885"/>
      <c r="AH1039" s="885"/>
      <c r="AI1039" s="885"/>
      <c r="AJ1039" s="885"/>
      <c r="AK1039" s="885"/>
      <c r="AL1039" s="885"/>
      <c r="AM1039" s="885"/>
      <c r="AN1039" s="885"/>
      <c r="AO1039" s="885"/>
      <c r="AP1039" s="885"/>
      <c r="AQ1039" s="885"/>
      <c r="AR1039" s="885"/>
      <c r="AS1039" s="885"/>
      <c r="AT1039" s="885"/>
      <c r="AU1039" s="885"/>
      <c r="AV1039" s="885"/>
      <c r="AW1039" s="885"/>
      <c r="AX1039" s="885"/>
      <c r="AY1039" s="885"/>
      <c r="AZ1039" s="885"/>
      <c r="BA1039" s="885"/>
      <c r="BB1039" s="885"/>
      <c r="BC1039" s="885"/>
      <c r="BD1039" s="885"/>
      <c r="BE1039" s="885"/>
      <c r="BF1039" s="885"/>
      <c r="BG1039" s="885"/>
      <c r="BH1039" s="885"/>
      <c r="BI1039" s="885"/>
      <c r="BJ1039" s="885"/>
      <c r="BK1039" s="885"/>
      <c r="BL1039" s="885"/>
      <c r="BM1039" s="885"/>
      <c r="BN1039" s="885"/>
      <c r="BO1039" s="885"/>
      <c r="BP1039" s="885"/>
      <c r="BQ1039" s="885"/>
      <c r="BR1039" s="885"/>
      <c r="BS1039" s="885"/>
      <c r="BT1039" s="885"/>
      <c r="BU1039" s="885"/>
      <c r="BV1039" s="885"/>
      <c r="BW1039" s="885"/>
      <c r="BX1039" s="885"/>
      <c r="BY1039" s="885"/>
      <c r="BZ1039" s="885"/>
      <c r="CA1039" s="885"/>
      <c r="CB1039" s="885"/>
      <c r="CC1039" s="885"/>
      <c r="CD1039" s="885"/>
      <c r="CE1039" s="885"/>
      <c r="CF1039" s="885"/>
      <c r="CG1039" s="885"/>
      <c r="CH1039" s="885"/>
      <c r="CI1039" s="885"/>
      <c r="CJ1039" s="885"/>
      <c r="CK1039" s="885"/>
      <c r="CL1039" s="885"/>
      <c r="CM1039" s="885"/>
      <c r="CN1039" s="885"/>
      <c r="CO1039" s="885"/>
      <c r="CP1039" s="885"/>
      <c r="CQ1039" s="885"/>
      <c r="CR1039" s="885"/>
      <c r="CS1039" s="885"/>
      <c r="CT1039" s="885"/>
      <c r="CU1039" s="885"/>
      <c r="CV1039" s="885"/>
      <c r="CW1039" s="885"/>
      <c r="CX1039" s="885"/>
      <c r="CY1039" s="885"/>
      <c r="CZ1039" s="885"/>
      <c r="DA1039" s="885"/>
      <c r="DB1039" s="885"/>
      <c r="DC1039" s="885"/>
      <c r="DD1039" s="885"/>
      <c r="DE1039" s="885"/>
      <c r="DF1039" s="885"/>
      <c r="DG1039" s="885"/>
      <c r="DH1039" s="885"/>
      <c r="DI1039" s="885"/>
      <c r="DJ1039" s="885"/>
      <c r="DK1039" s="885"/>
      <c r="DL1039" s="885"/>
      <c r="DM1039" s="885"/>
      <c r="DN1039" s="885"/>
      <c r="DO1039" s="885"/>
      <c r="DP1039" s="885"/>
      <c r="DQ1039" s="885"/>
      <c r="DR1039" s="885"/>
      <c r="DS1039" s="885"/>
      <c r="DT1039" s="885"/>
      <c r="DU1039" s="885"/>
      <c r="DV1039" s="885"/>
      <c r="DW1039" s="885"/>
      <c r="DX1039" s="885"/>
      <c r="DY1039" s="885"/>
      <c r="DZ1039" s="885"/>
      <c r="EA1039" s="885"/>
      <c r="EB1039" s="885"/>
      <c r="EC1039" s="885"/>
      <c r="ED1039" s="885"/>
      <c r="EE1039" s="885"/>
      <c r="EF1039" s="885"/>
      <c r="EG1039" s="885"/>
      <c r="EH1039" s="885"/>
      <c r="EI1039" s="885"/>
      <c r="EJ1039" s="885"/>
      <c r="EK1039" s="885"/>
      <c r="EL1039" s="885"/>
      <c r="EM1039" s="885"/>
      <c r="EN1039" s="885"/>
      <c r="EO1039" s="885"/>
      <c r="EP1039" s="885"/>
      <c r="EQ1039" s="885"/>
      <c r="ER1039" s="885"/>
      <c r="ES1039" s="885"/>
      <c r="ET1039" s="885"/>
      <c r="EU1039" s="885"/>
      <c r="EV1039" s="885"/>
      <c r="EW1039" s="885"/>
      <c r="EX1039" s="885"/>
      <c r="EY1039" s="885"/>
      <c r="EZ1039" s="885"/>
      <c r="FA1039" s="885"/>
      <c r="FB1039" s="885"/>
      <c r="FC1039" s="885"/>
      <c r="FD1039" s="885"/>
      <c r="FE1039" s="885"/>
      <c r="FF1039" s="885"/>
      <c r="FG1039" s="885"/>
      <c r="FH1039" s="885"/>
      <c r="FI1039" s="885"/>
      <c r="FJ1039" s="885"/>
      <c r="FK1039" s="885"/>
      <c r="FL1039" s="885"/>
      <c r="FM1039" s="885"/>
      <c r="FN1039" s="885"/>
      <c r="FO1039" s="885"/>
      <c r="FP1039" s="885"/>
      <c r="FQ1039" s="885"/>
      <c r="FR1039" s="885"/>
      <c r="FS1039" s="885"/>
      <c r="FT1039" s="885"/>
      <c r="FU1039" s="885"/>
      <c r="FV1039" s="885"/>
      <c r="FW1039" s="885"/>
      <c r="FX1039" s="885"/>
      <c r="FY1039" s="885"/>
      <c r="FZ1039" s="885"/>
      <c r="GA1039" s="885"/>
      <c r="GB1039" s="885"/>
      <c r="GC1039" s="885"/>
      <c r="GD1039" s="885"/>
      <c r="GE1039" s="885"/>
      <c r="GF1039" s="885"/>
      <c r="GG1039" s="885"/>
      <c r="GH1039" s="885"/>
      <c r="GI1039" s="885"/>
      <c r="GJ1039" s="885"/>
      <c r="GK1039" s="885"/>
      <c r="GL1039" s="885"/>
      <c r="GM1039" s="885"/>
      <c r="GN1039" s="885"/>
      <c r="GO1039" s="885"/>
      <c r="GP1039" s="885"/>
      <c r="GQ1039" s="885"/>
      <c r="GR1039" s="885"/>
      <c r="GS1039" s="885"/>
      <c r="GT1039" s="885"/>
      <c r="GU1039" s="885"/>
      <c r="GV1039" s="885"/>
      <c r="GW1039" s="885"/>
      <c r="GX1039" s="885"/>
      <c r="GY1039" s="885"/>
      <c r="GZ1039" s="885"/>
      <c r="HA1039" s="885"/>
      <c r="HB1039" s="885"/>
      <c r="HC1039" s="885"/>
      <c r="HD1039" s="885"/>
      <c r="HE1039" s="885"/>
      <c r="HF1039" s="885"/>
      <c r="HG1039" s="885"/>
      <c r="HH1039" s="885"/>
      <c r="HI1039" s="885"/>
      <c r="HJ1039" s="885"/>
      <c r="HK1039" s="885"/>
      <c r="HL1039" s="885"/>
      <c r="HM1039" s="885"/>
      <c r="HN1039" s="885"/>
      <c r="HO1039" s="885"/>
      <c r="HP1039" s="885"/>
      <c r="HQ1039" s="885"/>
      <c r="HR1039" s="885"/>
      <c r="HS1039" s="885"/>
      <c r="HT1039" s="885"/>
      <c r="HU1039" s="885"/>
      <c r="HV1039" s="885"/>
      <c r="HW1039" s="885"/>
      <c r="HX1039" s="885"/>
      <c r="HY1039" s="885"/>
      <c r="HZ1039" s="885"/>
      <c r="IA1039" s="885"/>
      <c r="IB1039" s="885"/>
      <c r="IC1039" s="885"/>
      <c r="ID1039" s="885"/>
      <c r="IE1039" s="885"/>
      <c r="IF1039" s="885"/>
      <c r="IG1039" s="885"/>
      <c r="IH1039" s="885"/>
      <c r="II1039" s="885"/>
      <c r="IJ1039" s="885"/>
      <c r="IK1039" s="885"/>
      <c r="IL1039" s="885"/>
      <c r="IM1039" s="885"/>
      <c r="IN1039" s="885"/>
      <c r="IO1039" s="885"/>
      <c r="IP1039" s="885"/>
      <c r="IQ1039" s="885"/>
      <c r="IR1039" s="885"/>
      <c r="IS1039" s="885"/>
      <c r="IT1039" s="885"/>
      <c r="IU1039" s="885"/>
      <c r="IV1039" s="885"/>
      <c r="IW1039" s="885"/>
      <c r="IX1039" s="885"/>
    </row>
    <row r="1040" spans="1:258" x14ac:dyDescent="0.25">
      <c r="A1040" s="125">
        <f t="shared" si="121"/>
        <v>1000</v>
      </c>
      <c r="B1040" s="885"/>
      <c r="C1040" s="842" t="s">
        <v>10495</v>
      </c>
      <c r="D1040" s="924">
        <v>0</v>
      </c>
      <c r="E1040" s="924">
        <f>D1040/8*12</f>
        <v>0</v>
      </c>
      <c r="F1040" s="136">
        <v>3000</v>
      </c>
      <c r="G1040" s="122" t="s">
        <v>1963</v>
      </c>
      <c r="H1040" s="885"/>
      <c r="I1040" s="885"/>
      <c r="J1040" s="885"/>
      <c r="K1040" s="885"/>
      <c r="L1040" s="885"/>
      <c r="M1040" s="885"/>
      <c r="N1040" s="885"/>
      <c r="O1040" s="885"/>
      <c r="P1040" s="885"/>
      <c r="Q1040" s="885"/>
      <c r="R1040" s="885"/>
      <c r="S1040" s="885"/>
      <c r="T1040" s="885"/>
      <c r="U1040" s="885"/>
      <c r="V1040" s="885"/>
      <c r="W1040" s="885"/>
      <c r="X1040" s="885"/>
      <c r="Y1040" s="885"/>
      <c r="Z1040" s="885"/>
      <c r="AA1040" s="885"/>
      <c r="AB1040" s="885"/>
      <c r="AC1040" s="885"/>
      <c r="AD1040" s="885"/>
      <c r="AE1040" s="885"/>
      <c r="AF1040" s="885"/>
      <c r="AG1040" s="885"/>
      <c r="AH1040" s="885"/>
      <c r="AI1040" s="885"/>
      <c r="AJ1040" s="885"/>
      <c r="AK1040" s="885"/>
      <c r="AL1040" s="885"/>
      <c r="AM1040" s="885"/>
      <c r="AN1040" s="885"/>
      <c r="AO1040" s="885"/>
      <c r="AP1040" s="885"/>
      <c r="AQ1040" s="885"/>
      <c r="AR1040" s="885"/>
      <c r="AS1040" s="885"/>
      <c r="AT1040" s="885"/>
      <c r="AU1040" s="885"/>
      <c r="AV1040" s="885"/>
      <c r="AW1040" s="885"/>
      <c r="AX1040" s="885"/>
      <c r="AY1040" s="885"/>
      <c r="AZ1040" s="885"/>
      <c r="BA1040" s="885"/>
      <c r="BB1040" s="885"/>
      <c r="BC1040" s="885"/>
      <c r="BD1040" s="885"/>
      <c r="BE1040" s="885"/>
      <c r="BF1040" s="885"/>
      <c r="BG1040" s="885"/>
      <c r="BH1040" s="885"/>
      <c r="BI1040" s="885"/>
      <c r="BJ1040" s="885"/>
      <c r="BK1040" s="885"/>
      <c r="BL1040" s="885"/>
      <c r="BM1040" s="885"/>
      <c r="BN1040" s="885"/>
      <c r="BO1040" s="885"/>
      <c r="BP1040" s="885"/>
      <c r="BQ1040" s="885"/>
      <c r="BR1040" s="885"/>
      <c r="BS1040" s="885"/>
      <c r="BT1040" s="885"/>
      <c r="BU1040" s="885"/>
      <c r="BV1040" s="885"/>
      <c r="BW1040" s="885"/>
      <c r="BX1040" s="885"/>
      <c r="BY1040" s="885"/>
      <c r="BZ1040" s="885"/>
      <c r="CA1040" s="885"/>
      <c r="CB1040" s="885"/>
      <c r="CC1040" s="885"/>
      <c r="CD1040" s="885"/>
      <c r="CE1040" s="885"/>
      <c r="CF1040" s="885"/>
      <c r="CG1040" s="885"/>
      <c r="CH1040" s="885"/>
      <c r="CI1040" s="885"/>
      <c r="CJ1040" s="885"/>
      <c r="CK1040" s="885"/>
      <c r="CL1040" s="885"/>
      <c r="CM1040" s="885"/>
      <c r="CN1040" s="885"/>
      <c r="CO1040" s="885"/>
      <c r="CP1040" s="885"/>
      <c r="CQ1040" s="885"/>
      <c r="CR1040" s="885"/>
      <c r="CS1040" s="885"/>
      <c r="CT1040" s="885"/>
      <c r="CU1040" s="885"/>
      <c r="CV1040" s="885"/>
      <c r="CW1040" s="885"/>
      <c r="CX1040" s="885"/>
      <c r="CY1040" s="885"/>
      <c r="CZ1040" s="885"/>
      <c r="DA1040" s="885"/>
      <c r="DB1040" s="885"/>
      <c r="DC1040" s="885"/>
      <c r="DD1040" s="885"/>
      <c r="DE1040" s="885"/>
      <c r="DF1040" s="885"/>
      <c r="DG1040" s="885"/>
      <c r="DH1040" s="885"/>
      <c r="DI1040" s="885"/>
      <c r="DJ1040" s="885"/>
      <c r="DK1040" s="885"/>
      <c r="DL1040" s="885"/>
      <c r="DM1040" s="885"/>
      <c r="DN1040" s="885"/>
      <c r="DO1040" s="885"/>
      <c r="DP1040" s="885"/>
      <c r="DQ1040" s="885"/>
      <c r="DR1040" s="885"/>
      <c r="DS1040" s="885"/>
      <c r="DT1040" s="885"/>
      <c r="DU1040" s="885"/>
      <c r="DV1040" s="885"/>
      <c r="DW1040" s="885"/>
      <c r="DX1040" s="885"/>
      <c r="DY1040" s="885"/>
      <c r="DZ1040" s="885"/>
      <c r="EA1040" s="885"/>
      <c r="EB1040" s="885"/>
      <c r="EC1040" s="885"/>
      <c r="ED1040" s="885"/>
      <c r="EE1040" s="885"/>
      <c r="EF1040" s="885"/>
      <c r="EG1040" s="885"/>
      <c r="EH1040" s="885"/>
      <c r="EI1040" s="885"/>
      <c r="EJ1040" s="885"/>
      <c r="EK1040" s="885"/>
      <c r="EL1040" s="885"/>
      <c r="EM1040" s="885"/>
      <c r="EN1040" s="885"/>
      <c r="EO1040" s="885"/>
      <c r="EP1040" s="885"/>
      <c r="EQ1040" s="885"/>
      <c r="ER1040" s="885"/>
      <c r="ES1040" s="885"/>
      <c r="ET1040" s="885"/>
      <c r="EU1040" s="885"/>
      <c r="EV1040" s="885"/>
      <c r="EW1040" s="885"/>
      <c r="EX1040" s="885"/>
      <c r="EY1040" s="885"/>
      <c r="EZ1040" s="885"/>
      <c r="FA1040" s="885"/>
      <c r="FB1040" s="885"/>
      <c r="FC1040" s="885"/>
      <c r="FD1040" s="885"/>
      <c r="FE1040" s="885"/>
      <c r="FF1040" s="885"/>
      <c r="FG1040" s="885"/>
      <c r="FH1040" s="885"/>
      <c r="FI1040" s="885"/>
      <c r="FJ1040" s="885"/>
      <c r="FK1040" s="885"/>
      <c r="FL1040" s="885"/>
      <c r="FM1040" s="885"/>
      <c r="FN1040" s="885"/>
      <c r="FO1040" s="885"/>
      <c r="FP1040" s="885"/>
      <c r="FQ1040" s="885"/>
      <c r="FR1040" s="885"/>
      <c r="FS1040" s="885"/>
      <c r="FT1040" s="885"/>
      <c r="FU1040" s="885"/>
      <c r="FV1040" s="885"/>
      <c r="FW1040" s="885"/>
      <c r="FX1040" s="885"/>
      <c r="FY1040" s="885"/>
      <c r="FZ1040" s="885"/>
      <c r="GA1040" s="885"/>
      <c r="GB1040" s="885"/>
      <c r="GC1040" s="885"/>
      <c r="GD1040" s="885"/>
      <c r="GE1040" s="885"/>
      <c r="GF1040" s="885"/>
      <c r="GG1040" s="885"/>
      <c r="GH1040" s="885"/>
      <c r="GI1040" s="885"/>
      <c r="GJ1040" s="885"/>
      <c r="GK1040" s="885"/>
      <c r="GL1040" s="885"/>
      <c r="GM1040" s="885"/>
      <c r="GN1040" s="885"/>
      <c r="GO1040" s="885"/>
      <c r="GP1040" s="885"/>
      <c r="GQ1040" s="885"/>
      <c r="GR1040" s="885"/>
      <c r="GS1040" s="885"/>
      <c r="GT1040" s="885"/>
      <c r="GU1040" s="885"/>
      <c r="GV1040" s="885"/>
      <c r="GW1040" s="885"/>
      <c r="GX1040" s="885"/>
      <c r="GY1040" s="885"/>
      <c r="GZ1040" s="885"/>
      <c r="HA1040" s="885"/>
      <c r="HB1040" s="885"/>
      <c r="HC1040" s="885"/>
      <c r="HD1040" s="885"/>
      <c r="HE1040" s="885"/>
      <c r="HF1040" s="885"/>
      <c r="HG1040" s="885"/>
      <c r="HH1040" s="885"/>
      <c r="HI1040" s="885"/>
      <c r="HJ1040" s="885"/>
      <c r="HK1040" s="885"/>
      <c r="HL1040" s="885"/>
      <c r="HM1040" s="885"/>
      <c r="HN1040" s="885"/>
      <c r="HO1040" s="885"/>
      <c r="HP1040" s="885"/>
      <c r="HQ1040" s="885"/>
      <c r="HR1040" s="885"/>
      <c r="HS1040" s="885"/>
      <c r="HT1040" s="885"/>
      <c r="HU1040" s="885"/>
      <c r="HV1040" s="885"/>
      <c r="HW1040" s="885"/>
      <c r="HX1040" s="885"/>
      <c r="HY1040" s="885"/>
      <c r="HZ1040" s="885"/>
      <c r="IA1040" s="885"/>
      <c r="IB1040" s="885"/>
      <c r="IC1040" s="885"/>
      <c r="ID1040" s="885"/>
      <c r="IE1040" s="885"/>
      <c r="IF1040" s="885"/>
      <c r="IG1040" s="885"/>
      <c r="IH1040" s="885"/>
      <c r="II1040" s="885"/>
      <c r="IJ1040" s="885"/>
      <c r="IK1040" s="885"/>
      <c r="IL1040" s="885"/>
      <c r="IM1040" s="885"/>
      <c r="IN1040" s="885"/>
      <c r="IO1040" s="885"/>
      <c r="IP1040" s="885"/>
      <c r="IQ1040" s="885"/>
      <c r="IR1040" s="885"/>
      <c r="IS1040" s="885"/>
      <c r="IT1040" s="885"/>
      <c r="IU1040" s="885"/>
      <c r="IV1040" s="885"/>
      <c r="IW1040" s="885"/>
      <c r="IX1040" s="885"/>
    </row>
    <row r="1041" spans="1:258" x14ac:dyDescent="0.25">
      <c r="A1041" s="125">
        <f t="shared" si="121"/>
        <v>1001</v>
      </c>
      <c r="B1041" s="885"/>
      <c r="C1041" s="842" t="s">
        <v>10606</v>
      </c>
      <c r="D1041" s="924">
        <v>0</v>
      </c>
      <c r="E1041" s="924">
        <f>D1041/8*12</f>
        <v>0</v>
      </c>
      <c r="F1041" s="136">
        <v>2500</v>
      </c>
      <c r="G1041" s="122" t="s">
        <v>1963</v>
      </c>
      <c r="H1041" s="885"/>
      <c r="I1041" s="885"/>
      <c r="J1041" s="885"/>
      <c r="K1041" s="885"/>
      <c r="L1041" s="885"/>
      <c r="M1041" s="885"/>
      <c r="N1041" s="885"/>
      <c r="O1041" s="885"/>
      <c r="P1041" s="885"/>
      <c r="Q1041" s="885"/>
      <c r="R1041" s="885"/>
      <c r="S1041" s="885"/>
      <c r="T1041" s="885"/>
      <c r="U1041" s="885"/>
      <c r="V1041" s="885"/>
      <c r="W1041" s="885"/>
      <c r="X1041" s="885"/>
      <c r="Y1041" s="885"/>
      <c r="Z1041" s="885"/>
      <c r="AA1041" s="885"/>
      <c r="AB1041" s="885"/>
      <c r="AC1041" s="885"/>
      <c r="AD1041" s="885"/>
      <c r="AE1041" s="885"/>
      <c r="AF1041" s="885"/>
      <c r="AG1041" s="885"/>
      <c r="AH1041" s="885"/>
      <c r="AI1041" s="885"/>
      <c r="AJ1041" s="885"/>
      <c r="AK1041" s="885"/>
      <c r="AL1041" s="885"/>
      <c r="AM1041" s="885"/>
      <c r="AN1041" s="885"/>
      <c r="AO1041" s="885"/>
      <c r="AP1041" s="885"/>
      <c r="AQ1041" s="885"/>
      <c r="AR1041" s="885"/>
      <c r="AS1041" s="885"/>
      <c r="AT1041" s="885"/>
      <c r="AU1041" s="885"/>
      <c r="AV1041" s="885"/>
      <c r="AW1041" s="885"/>
      <c r="AX1041" s="885"/>
      <c r="AY1041" s="885"/>
      <c r="AZ1041" s="885"/>
      <c r="BA1041" s="885"/>
      <c r="BB1041" s="885"/>
      <c r="BC1041" s="885"/>
      <c r="BD1041" s="885"/>
      <c r="BE1041" s="885"/>
      <c r="BF1041" s="885"/>
      <c r="BG1041" s="885"/>
      <c r="BH1041" s="885"/>
      <c r="BI1041" s="885"/>
      <c r="BJ1041" s="885"/>
      <c r="BK1041" s="885"/>
      <c r="BL1041" s="885"/>
      <c r="BM1041" s="885"/>
      <c r="BN1041" s="885"/>
      <c r="BO1041" s="885"/>
      <c r="BP1041" s="885"/>
      <c r="BQ1041" s="885"/>
      <c r="BR1041" s="885"/>
      <c r="BS1041" s="885"/>
      <c r="BT1041" s="885"/>
      <c r="BU1041" s="885"/>
      <c r="BV1041" s="885"/>
      <c r="BW1041" s="885"/>
      <c r="BX1041" s="885"/>
      <c r="BY1041" s="885"/>
      <c r="BZ1041" s="885"/>
      <c r="CA1041" s="885"/>
      <c r="CB1041" s="885"/>
      <c r="CC1041" s="885"/>
      <c r="CD1041" s="885"/>
      <c r="CE1041" s="885"/>
      <c r="CF1041" s="885"/>
      <c r="CG1041" s="885"/>
      <c r="CH1041" s="885"/>
      <c r="CI1041" s="885"/>
      <c r="CJ1041" s="885"/>
      <c r="CK1041" s="885"/>
      <c r="CL1041" s="885"/>
      <c r="CM1041" s="885"/>
      <c r="CN1041" s="885"/>
      <c r="CO1041" s="885"/>
      <c r="CP1041" s="885"/>
      <c r="CQ1041" s="885"/>
      <c r="CR1041" s="885"/>
      <c r="CS1041" s="885"/>
      <c r="CT1041" s="885"/>
      <c r="CU1041" s="885"/>
      <c r="CV1041" s="885"/>
      <c r="CW1041" s="885"/>
      <c r="CX1041" s="885"/>
      <c r="CY1041" s="885"/>
      <c r="CZ1041" s="885"/>
      <c r="DA1041" s="885"/>
      <c r="DB1041" s="885"/>
      <c r="DC1041" s="885"/>
      <c r="DD1041" s="885"/>
      <c r="DE1041" s="885"/>
      <c r="DF1041" s="885"/>
      <c r="DG1041" s="885"/>
      <c r="DH1041" s="885"/>
      <c r="DI1041" s="885"/>
      <c r="DJ1041" s="885"/>
      <c r="DK1041" s="885"/>
      <c r="DL1041" s="885"/>
      <c r="DM1041" s="885"/>
      <c r="DN1041" s="885"/>
      <c r="DO1041" s="885"/>
      <c r="DP1041" s="885"/>
      <c r="DQ1041" s="885"/>
      <c r="DR1041" s="885"/>
      <c r="DS1041" s="885"/>
      <c r="DT1041" s="885"/>
      <c r="DU1041" s="885"/>
      <c r="DV1041" s="885"/>
      <c r="DW1041" s="885"/>
      <c r="DX1041" s="885"/>
      <c r="DY1041" s="885"/>
      <c r="DZ1041" s="885"/>
      <c r="EA1041" s="885"/>
      <c r="EB1041" s="885"/>
      <c r="EC1041" s="885"/>
      <c r="ED1041" s="885"/>
      <c r="EE1041" s="885"/>
      <c r="EF1041" s="885"/>
      <c r="EG1041" s="885"/>
      <c r="EH1041" s="885"/>
      <c r="EI1041" s="885"/>
      <c r="EJ1041" s="885"/>
      <c r="EK1041" s="885"/>
      <c r="EL1041" s="885"/>
      <c r="EM1041" s="885"/>
      <c r="EN1041" s="885"/>
      <c r="EO1041" s="885"/>
      <c r="EP1041" s="885"/>
      <c r="EQ1041" s="885"/>
      <c r="ER1041" s="885"/>
      <c r="ES1041" s="885"/>
      <c r="ET1041" s="885"/>
      <c r="EU1041" s="885"/>
      <c r="EV1041" s="885"/>
      <c r="EW1041" s="885"/>
      <c r="EX1041" s="885"/>
      <c r="EY1041" s="885"/>
      <c r="EZ1041" s="885"/>
      <c r="FA1041" s="885"/>
      <c r="FB1041" s="885"/>
      <c r="FC1041" s="885"/>
      <c r="FD1041" s="885"/>
      <c r="FE1041" s="885"/>
      <c r="FF1041" s="885"/>
      <c r="FG1041" s="885"/>
      <c r="FH1041" s="885"/>
      <c r="FI1041" s="885"/>
      <c r="FJ1041" s="885"/>
      <c r="FK1041" s="885"/>
      <c r="FL1041" s="885"/>
      <c r="FM1041" s="885"/>
      <c r="FN1041" s="885"/>
      <c r="FO1041" s="885"/>
      <c r="FP1041" s="885"/>
      <c r="FQ1041" s="885"/>
      <c r="FR1041" s="885"/>
      <c r="FS1041" s="885"/>
      <c r="FT1041" s="885"/>
      <c r="FU1041" s="885"/>
      <c r="FV1041" s="885"/>
      <c r="FW1041" s="885"/>
      <c r="FX1041" s="885"/>
      <c r="FY1041" s="885"/>
      <c r="FZ1041" s="885"/>
      <c r="GA1041" s="885"/>
      <c r="GB1041" s="885"/>
      <c r="GC1041" s="885"/>
      <c r="GD1041" s="885"/>
      <c r="GE1041" s="885"/>
      <c r="GF1041" s="885"/>
      <c r="GG1041" s="885"/>
      <c r="GH1041" s="885"/>
      <c r="GI1041" s="885"/>
      <c r="GJ1041" s="885"/>
      <c r="GK1041" s="885"/>
      <c r="GL1041" s="885"/>
      <c r="GM1041" s="885"/>
      <c r="GN1041" s="885"/>
      <c r="GO1041" s="885"/>
      <c r="GP1041" s="885"/>
      <c r="GQ1041" s="885"/>
      <c r="GR1041" s="885"/>
      <c r="GS1041" s="885"/>
      <c r="GT1041" s="885"/>
      <c r="GU1041" s="885"/>
      <c r="GV1041" s="885"/>
      <c r="GW1041" s="885"/>
      <c r="GX1041" s="885"/>
      <c r="GY1041" s="885"/>
      <c r="GZ1041" s="885"/>
      <c r="HA1041" s="885"/>
      <c r="HB1041" s="885"/>
      <c r="HC1041" s="885"/>
      <c r="HD1041" s="885"/>
      <c r="HE1041" s="885"/>
      <c r="HF1041" s="885"/>
      <c r="HG1041" s="885"/>
      <c r="HH1041" s="885"/>
      <c r="HI1041" s="885"/>
      <c r="HJ1041" s="885"/>
      <c r="HK1041" s="885"/>
      <c r="HL1041" s="885"/>
      <c r="HM1041" s="885"/>
      <c r="HN1041" s="885"/>
      <c r="HO1041" s="885"/>
      <c r="HP1041" s="885"/>
      <c r="HQ1041" s="885"/>
      <c r="HR1041" s="885"/>
      <c r="HS1041" s="885"/>
      <c r="HT1041" s="885"/>
      <c r="HU1041" s="885"/>
      <c r="HV1041" s="885"/>
      <c r="HW1041" s="885"/>
      <c r="HX1041" s="885"/>
      <c r="HY1041" s="885"/>
      <c r="HZ1041" s="885"/>
      <c r="IA1041" s="885"/>
      <c r="IB1041" s="885"/>
      <c r="IC1041" s="885"/>
      <c r="ID1041" s="885"/>
      <c r="IE1041" s="885"/>
      <c r="IF1041" s="885"/>
      <c r="IG1041" s="885"/>
      <c r="IH1041" s="885"/>
      <c r="II1041" s="885"/>
      <c r="IJ1041" s="885"/>
      <c r="IK1041" s="885"/>
      <c r="IL1041" s="885"/>
      <c r="IM1041" s="885"/>
      <c r="IN1041" s="885"/>
      <c r="IO1041" s="885"/>
      <c r="IP1041" s="885"/>
      <c r="IQ1041" s="885"/>
      <c r="IR1041" s="885"/>
      <c r="IS1041" s="885"/>
      <c r="IT1041" s="885"/>
      <c r="IU1041" s="885"/>
      <c r="IV1041" s="885"/>
      <c r="IW1041" s="885"/>
      <c r="IX1041" s="885"/>
    </row>
    <row r="1042" spans="1:258" x14ac:dyDescent="0.25">
      <c r="A1042" s="125">
        <f t="shared" si="121"/>
        <v>1002</v>
      </c>
      <c r="B1042" s="885"/>
      <c r="C1042" s="232" t="s">
        <v>11554</v>
      </c>
      <c r="D1042" s="924"/>
      <c r="E1042" s="924"/>
      <c r="F1042" s="136"/>
      <c r="H1042" s="885"/>
      <c r="I1042" s="885"/>
      <c r="J1042" s="885"/>
      <c r="K1042" s="885"/>
      <c r="L1042" s="885"/>
      <c r="M1042" s="885"/>
      <c r="N1042" s="885"/>
      <c r="O1042" s="885"/>
      <c r="P1042" s="885"/>
      <c r="Q1042" s="885"/>
      <c r="R1042" s="885"/>
      <c r="S1042" s="885"/>
      <c r="T1042" s="885"/>
      <c r="U1042" s="885"/>
      <c r="V1042" s="885"/>
      <c r="W1042" s="885"/>
      <c r="X1042" s="885"/>
      <c r="Y1042" s="885"/>
      <c r="Z1042" s="885"/>
      <c r="AA1042" s="885"/>
      <c r="AB1042" s="885"/>
      <c r="AC1042" s="885"/>
      <c r="AD1042" s="885"/>
      <c r="AE1042" s="885"/>
      <c r="AF1042" s="885"/>
      <c r="AG1042" s="885"/>
      <c r="AH1042" s="885"/>
      <c r="AI1042" s="885"/>
      <c r="AJ1042" s="885"/>
      <c r="AK1042" s="885"/>
      <c r="AL1042" s="885"/>
      <c r="AM1042" s="885"/>
      <c r="AN1042" s="885"/>
      <c r="AO1042" s="885"/>
      <c r="AP1042" s="885"/>
      <c r="AQ1042" s="885"/>
      <c r="AR1042" s="885"/>
      <c r="AS1042" s="885"/>
      <c r="AT1042" s="885"/>
      <c r="AU1042" s="885"/>
      <c r="AV1042" s="885"/>
      <c r="AW1042" s="885"/>
      <c r="AX1042" s="885"/>
      <c r="AY1042" s="885"/>
      <c r="AZ1042" s="885"/>
      <c r="BA1042" s="885"/>
      <c r="BB1042" s="885"/>
      <c r="BC1042" s="885"/>
      <c r="BD1042" s="885"/>
      <c r="BE1042" s="885"/>
      <c r="BF1042" s="885"/>
      <c r="BG1042" s="885"/>
      <c r="BH1042" s="885"/>
      <c r="BI1042" s="885"/>
      <c r="BJ1042" s="885"/>
      <c r="BK1042" s="885"/>
      <c r="BL1042" s="885"/>
      <c r="BM1042" s="885"/>
      <c r="BN1042" s="885"/>
      <c r="BO1042" s="885"/>
      <c r="BP1042" s="885"/>
      <c r="BQ1042" s="885"/>
      <c r="BR1042" s="885"/>
      <c r="BS1042" s="885"/>
      <c r="BT1042" s="885"/>
      <c r="BU1042" s="885"/>
      <c r="BV1042" s="885"/>
      <c r="BW1042" s="885"/>
      <c r="BX1042" s="885"/>
      <c r="BY1042" s="885"/>
      <c r="BZ1042" s="885"/>
      <c r="CA1042" s="885"/>
      <c r="CB1042" s="885"/>
      <c r="CC1042" s="885"/>
      <c r="CD1042" s="885"/>
      <c r="CE1042" s="885"/>
      <c r="CF1042" s="885"/>
      <c r="CG1042" s="885"/>
      <c r="CH1042" s="885"/>
      <c r="CI1042" s="885"/>
      <c r="CJ1042" s="885"/>
      <c r="CK1042" s="885"/>
      <c r="CL1042" s="885"/>
      <c r="CM1042" s="885"/>
      <c r="CN1042" s="885"/>
      <c r="CO1042" s="885"/>
      <c r="CP1042" s="885"/>
      <c r="CQ1042" s="885"/>
      <c r="CR1042" s="885"/>
      <c r="CS1042" s="885"/>
      <c r="CT1042" s="885"/>
      <c r="CU1042" s="885"/>
      <c r="CV1042" s="885"/>
      <c r="CW1042" s="885"/>
      <c r="CX1042" s="885"/>
      <c r="CY1042" s="885"/>
      <c r="CZ1042" s="885"/>
      <c r="DA1042" s="885"/>
      <c r="DB1042" s="885"/>
      <c r="DC1042" s="885"/>
      <c r="DD1042" s="885"/>
      <c r="DE1042" s="885"/>
      <c r="DF1042" s="885"/>
      <c r="DG1042" s="885"/>
      <c r="DH1042" s="885"/>
      <c r="DI1042" s="885"/>
      <c r="DJ1042" s="885"/>
      <c r="DK1042" s="885"/>
      <c r="DL1042" s="885"/>
      <c r="DM1042" s="885"/>
      <c r="DN1042" s="885"/>
      <c r="DO1042" s="885"/>
      <c r="DP1042" s="885"/>
      <c r="DQ1042" s="885"/>
      <c r="DR1042" s="885"/>
      <c r="DS1042" s="885"/>
      <c r="DT1042" s="885"/>
      <c r="DU1042" s="885"/>
      <c r="DV1042" s="885"/>
      <c r="DW1042" s="885"/>
      <c r="DX1042" s="885"/>
      <c r="DY1042" s="885"/>
      <c r="DZ1042" s="885"/>
      <c r="EA1042" s="885"/>
      <c r="EB1042" s="885"/>
      <c r="EC1042" s="885"/>
      <c r="ED1042" s="885"/>
      <c r="EE1042" s="885"/>
      <c r="EF1042" s="885"/>
      <c r="EG1042" s="885"/>
      <c r="EH1042" s="885"/>
      <c r="EI1042" s="885"/>
      <c r="EJ1042" s="885"/>
      <c r="EK1042" s="885"/>
      <c r="EL1042" s="885"/>
      <c r="EM1042" s="885"/>
      <c r="EN1042" s="885"/>
      <c r="EO1042" s="885"/>
      <c r="EP1042" s="885"/>
      <c r="EQ1042" s="885"/>
      <c r="ER1042" s="885"/>
      <c r="ES1042" s="885"/>
      <c r="ET1042" s="885"/>
      <c r="EU1042" s="885"/>
      <c r="EV1042" s="885"/>
      <c r="EW1042" s="885"/>
      <c r="EX1042" s="885"/>
      <c r="EY1042" s="885"/>
      <c r="EZ1042" s="885"/>
      <c r="FA1042" s="885"/>
      <c r="FB1042" s="885"/>
      <c r="FC1042" s="885"/>
      <c r="FD1042" s="885"/>
      <c r="FE1042" s="885"/>
      <c r="FF1042" s="885"/>
      <c r="FG1042" s="885"/>
      <c r="FH1042" s="885"/>
      <c r="FI1042" s="885"/>
      <c r="FJ1042" s="885"/>
      <c r="FK1042" s="885"/>
      <c r="FL1042" s="885"/>
      <c r="FM1042" s="885"/>
      <c r="FN1042" s="885"/>
      <c r="FO1042" s="885"/>
      <c r="FP1042" s="885"/>
      <c r="FQ1042" s="885"/>
      <c r="FR1042" s="885"/>
      <c r="FS1042" s="885"/>
      <c r="FT1042" s="885"/>
      <c r="FU1042" s="885"/>
      <c r="FV1042" s="885"/>
      <c r="FW1042" s="885"/>
      <c r="FX1042" s="885"/>
      <c r="FY1042" s="885"/>
      <c r="FZ1042" s="885"/>
      <c r="GA1042" s="885"/>
      <c r="GB1042" s="885"/>
      <c r="GC1042" s="885"/>
      <c r="GD1042" s="885"/>
      <c r="GE1042" s="885"/>
      <c r="GF1042" s="885"/>
      <c r="GG1042" s="885"/>
      <c r="GH1042" s="885"/>
      <c r="GI1042" s="885"/>
      <c r="GJ1042" s="885"/>
      <c r="GK1042" s="885"/>
      <c r="GL1042" s="885"/>
      <c r="GM1042" s="885"/>
      <c r="GN1042" s="885"/>
      <c r="GO1042" s="885"/>
      <c r="GP1042" s="885"/>
      <c r="GQ1042" s="885"/>
      <c r="GR1042" s="885"/>
      <c r="GS1042" s="885"/>
      <c r="GT1042" s="885"/>
      <c r="GU1042" s="885"/>
      <c r="GV1042" s="885"/>
      <c r="GW1042" s="885"/>
      <c r="GX1042" s="885"/>
      <c r="GY1042" s="885"/>
      <c r="GZ1042" s="885"/>
      <c r="HA1042" s="885"/>
      <c r="HB1042" s="885"/>
      <c r="HC1042" s="885"/>
      <c r="HD1042" s="885"/>
      <c r="HE1042" s="885"/>
      <c r="HF1042" s="885"/>
      <c r="HG1042" s="885"/>
      <c r="HH1042" s="885"/>
      <c r="HI1042" s="885"/>
      <c r="HJ1042" s="885"/>
      <c r="HK1042" s="885"/>
      <c r="HL1042" s="885"/>
      <c r="HM1042" s="885"/>
      <c r="HN1042" s="885"/>
      <c r="HO1042" s="885"/>
      <c r="HP1042" s="885"/>
      <c r="HQ1042" s="885"/>
      <c r="HR1042" s="885"/>
      <c r="HS1042" s="885"/>
      <c r="HT1042" s="885"/>
      <c r="HU1042" s="885"/>
      <c r="HV1042" s="885"/>
      <c r="HW1042" s="885"/>
      <c r="HX1042" s="885"/>
      <c r="HY1042" s="885"/>
      <c r="HZ1042" s="885"/>
      <c r="IA1042" s="885"/>
      <c r="IB1042" s="885"/>
      <c r="IC1042" s="885"/>
      <c r="ID1042" s="885"/>
      <c r="IE1042" s="885"/>
      <c r="IF1042" s="885"/>
      <c r="IG1042" s="885"/>
      <c r="IH1042" s="885"/>
      <c r="II1042" s="885"/>
      <c r="IJ1042" s="885"/>
      <c r="IK1042" s="885"/>
      <c r="IL1042" s="885"/>
      <c r="IM1042" s="885"/>
      <c r="IN1042" s="885"/>
      <c r="IO1042" s="885"/>
      <c r="IP1042" s="885"/>
      <c r="IQ1042" s="885"/>
      <c r="IR1042" s="885"/>
      <c r="IS1042" s="885"/>
      <c r="IT1042" s="885"/>
      <c r="IU1042" s="885"/>
      <c r="IV1042" s="885"/>
      <c r="IW1042" s="885"/>
      <c r="IX1042" s="885"/>
    </row>
    <row r="1043" spans="1:258" x14ac:dyDescent="0.25">
      <c r="A1043" s="125">
        <f t="shared" si="121"/>
        <v>1003</v>
      </c>
      <c r="B1043" s="885"/>
      <c r="C1043" s="842" t="s">
        <v>10610</v>
      </c>
      <c r="D1043" s="924">
        <v>48553.64</v>
      </c>
      <c r="E1043" s="906">
        <f>D1043/6*10</f>
        <v>80922.733333333337</v>
      </c>
      <c r="F1043" s="136">
        <f>E1043</f>
        <v>80922.733333333337</v>
      </c>
      <c r="G1043" s="122" t="s">
        <v>1963</v>
      </c>
      <c r="H1043" s="885"/>
      <c r="I1043" s="885"/>
      <c r="J1043" s="885"/>
      <c r="K1043" s="885"/>
      <c r="L1043" s="885"/>
      <c r="M1043" s="885"/>
      <c r="N1043" s="885"/>
      <c r="O1043" s="885"/>
      <c r="P1043" s="885"/>
      <c r="Q1043" s="885"/>
      <c r="R1043" s="885"/>
      <c r="S1043" s="885"/>
      <c r="T1043" s="885"/>
      <c r="U1043" s="885"/>
      <c r="V1043" s="885"/>
      <c r="W1043" s="885"/>
      <c r="X1043" s="885"/>
      <c r="Y1043" s="885"/>
      <c r="Z1043" s="885"/>
      <c r="AA1043" s="885"/>
      <c r="AB1043" s="885"/>
      <c r="AC1043" s="885"/>
      <c r="AD1043" s="885"/>
      <c r="AE1043" s="885"/>
      <c r="AF1043" s="885"/>
      <c r="AG1043" s="885"/>
      <c r="AH1043" s="885"/>
      <c r="AI1043" s="885"/>
      <c r="AJ1043" s="885"/>
      <c r="AK1043" s="885"/>
      <c r="AL1043" s="885"/>
      <c r="AM1043" s="885"/>
      <c r="AN1043" s="885"/>
      <c r="AO1043" s="885"/>
      <c r="AP1043" s="885"/>
      <c r="AQ1043" s="885"/>
      <c r="AR1043" s="885"/>
      <c r="AS1043" s="885"/>
      <c r="AT1043" s="885"/>
      <c r="AU1043" s="885"/>
      <c r="AV1043" s="885"/>
      <c r="AW1043" s="885"/>
      <c r="AX1043" s="885"/>
      <c r="AY1043" s="885"/>
      <c r="AZ1043" s="885"/>
      <c r="BA1043" s="885"/>
      <c r="BB1043" s="885"/>
      <c r="BC1043" s="885"/>
      <c r="BD1043" s="885"/>
      <c r="BE1043" s="885"/>
      <c r="BF1043" s="885"/>
      <c r="BG1043" s="885"/>
      <c r="BH1043" s="885"/>
      <c r="BI1043" s="885"/>
      <c r="BJ1043" s="885"/>
      <c r="BK1043" s="885"/>
      <c r="BL1043" s="885"/>
      <c r="BM1043" s="885"/>
      <c r="BN1043" s="885"/>
      <c r="BO1043" s="885"/>
      <c r="BP1043" s="885"/>
      <c r="BQ1043" s="885"/>
      <c r="BR1043" s="885"/>
      <c r="BS1043" s="885"/>
      <c r="BT1043" s="885"/>
      <c r="BU1043" s="885"/>
      <c r="BV1043" s="885"/>
      <c r="BW1043" s="885"/>
      <c r="BX1043" s="885"/>
      <c r="BY1043" s="885"/>
      <c r="BZ1043" s="885"/>
      <c r="CA1043" s="885"/>
      <c r="CB1043" s="885"/>
      <c r="CC1043" s="885"/>
      <c r="CD1043" s="885"/>
      <c r="CE1043" s="885"/>
      <c r="CF1043" s="885"/>
      <c r="CG1043" s="885"/>
      <c r="CH1043" s="885"/>
      <c r="CI1043" s="885"/>
      <c r="CJ1043" s="885"/>
      <c r="CK1043" s="885"/>
      <c r="CL1043" s="885"/>
      <c r="CM1043" s="885"/>
      <c r="CN1043" s="885"/>
      <c r="CO1043" s="885"/>
      <c r="CP1043" s="885"/>
      <c r="CQ1043" s="885"/>
      <c r="CR1043" s="885"/>
      <c r="CS1043" s="885"/>
      <c r="CT1043" s="885"/>
      <c r="CU1043" s="885"/>
      <c r="CV1043" s="885"/>
      <c r="CW1043" s="885"/>
      <c r="CX1043" s="885"/>
      <c r="CY1043" s="885"/>
      <c r="CZ1043" s="885"/>
      <c r="DA1043" s="885"/>
      <c r="DB1043" s="885"/>
      <c r="DC1043" s="885"/>
      <c r="DD1043" s="885"/>
      <c r="DE1043" s="885"/>
      <c r="DF1043" s="885"/>
      <c r="DG1043" s="885"/>
      <c r="DH1043" s="885"/>
      <c r="DI1043" s="885"/>
      <c r="DJ1043" s="885"/>
      <c r="DK1043" s="885"/>
      <c r="DL1043" s="885"/>
      <c r="DM1043" s="885"/>
      <c r="DN1043" s="885"/>
      <c r="DO1043" s="885"/>
      <c r="DP1043" s="885"/>
      <c r="DQ1043" s="885"/>
      <c r="DR1043" s="885"/>
      <c r="DS1043" s="885"/>
      <c r="DT1043" s="885"/>
      <c r="DU1043" s="885"/>
      <c r="DV1043" s="885"/>
      <c r="DW1043" s="885"/>
      <c r="DX1043" s="885"/>
      <c r="DY1043" s="885"/>
      <c r="DZ1043" s="885"/>
      <c r="EA1043" s="885"/>
      <c r="EB1043" s="885"/>
      <c r="EC1043" s="885"/>
      <c r="ED1043" s="885"/>
      <c r="EE1043" s="885"/>
      <c r="EF1043" s="885"/>
      <c r="EG1043" s="885"/>
      <c r="EH1043" s="885"/>
      <c r="EI1043" s="885"/>
      <c r="EJ1043" s="885"/>
      <c r="EK1043" s="885"/>
      <c r="EL1043" s="885"/>
      <c r="EM1043" s="885"/>
      <c r="EN1043" s="885"/>
      <c r="EO1043" s="885"/>
      <c r="EP1043" s="885"/>
      <c r="EQ1043" s="885"/>
      <c r="ER1043" s="885"/>
      <c r="ES1043" s="885"/>
      <c r="ET1043" s="885"/>
      <c r="EU1043" s="885"/>
      <c r="EV1043" s="885"/>
      <c r="EW1043" s="885"/>
      <c r="EX1043" s="885"/>
      <c r="EY1043" s="885"/>
      <c r="EZ1043" s="885"/>
      <c r="FA1043" s="885"/>
      <c r="FB1043" s="885"/>
      <c r="FC1043" s="885"/>
      <c r="FD1043" s="885"/>
      <c r="FE1043" s="885"/>
      <c r="FF1043" s="885"/>
      <c r="FG1043" s="885"/>
      <c r="FH1043" s="885"/>
      <c r="FI1043" s="885"/>
      <c r="FJ1043" s="885"/>
      <c r="FK1043" s="885"/>
      <c r="FL1043" s="885"/>
      <c r="FM1043" s="885"/>
      <c r="FN1043" s="885"/>
      <c r="FO1043" s="885"/>
      <c r="FP1043" s="885"/>
      <c r="FQ1043" s="885"/>
      <c r="FR1043" s="885"/>
      <c r="FS1043" s="885"/>
      <c r="FT1043" s="885"/>
      <c r="FU1043" s="885"/>
      <c r="FV1043" s="885"/>
      <c r="FW1043" s="885"/>
      <c r="FX1043" s="885"/>
      <c r="FY1043" s="885"/>
      <c r="FZ1043" s="885"/>
      <c r="GA1043" s="885"/>
      <c r="GB1043" s="885"/>
      <c r="GC1043" s="885"/>
      <c r="GD1043" s="885"/>
      <c r="GE1043" s="885"/>
      <c r="GF1043" s="885"/>
      <c r="GG1043" s="885"/>
      <c r="GH1043" s="885"/>
      <c r="GI1043" s="885"/>
      <c r="GJ1043" s="885"/>
      <c r="GK1043" s="885"/>
      <c r="GL1043" s="885"/>
      <c r="GM1043" s="885"/>
      <c r="GN1043" s="885"/>
      <c r="GO1043" s="885"/>
      <c r="GP1043" s="885"/>
      <c r="GQ1043" s="885"/>
      <c r="GR1043" s="885"/>
      <c r="GS1043" s="885"/>
      <c r="GT1043" s="885"/>
      <c r="GU1043" s="885"/>
      <c r="GV1043" s="885"/>
      <c r="GW1043" s="885"/>
      <c r="GX1043" s="885"/>
      <c r="GY1043" s="885"/>
      <c r="GZ1043" s="885"/>
      <c r="HA1043" s="885"/>
      <c r="HB1043" s="885"/>
      <c r="HC1043" s="885"/>
      <c r="HD1043" s="885"/>
      <c r="HE1043" s="885"/>
      <c r="HF1043" s="885"/>
      <c r="HG1043" s="885"/>
      <c r="HH1043" s="885"/>
      <c r="HI1043" s="885"/>
      <c r="HJ1043" s="885"/>
      <c r="HK1043" s="885"/>
      <c r="HL1043" s="885"/>
      <c r="HM1043" s="885"/>
      <c r="HN1043" s="885"/>
      <c r="HO1043" s="885"/>
      <c r="HP1043" s="885"/>
      <c r="HQ1043" s="885"/>
      <c r="HR1043" s="885"/>
      <c r="HS1043" s="885"/>
      <c r="HT1043" s="885"/>
      <c r="HU1043" s="885"/>
      <c r="HV1043" s="885"/>
      <c r="HW1043" s="885"/>
      <c r="HX1043" s="885"/>
      <c r="HY1043" s="885"/>
      <c r="HZ1043" s="885"/>
      <c r="IA1043" s="885"/>
      <c r="IB1043" s="885"/>
      <c r="IC1043" s="885"/>
      <c r="ID1043" s="885"/>
      <c r="IE1043" s="885"/>
      <c r="IF1043" s="885"/>
      <c r="IG1043" s="885"/>
      <c r="IH1043" s="885"/>
      <c r="II1043" s="885"/>
      <c r="IJ1043" s="885"/>
      <c r="IK1043" s="885"/>
      <c r="IL1043" s="885"/>
      <c r="IM1043" s="885"/>
      <c r="IN1043" s="885"/>
      <c r="IO1043" s="885"/>
      <c r="IP1043" s="885"/>
      <c r="IQ1043" s="885"/>
      <c r="IR1043" s="885"/>
      <c r="IS1043" s="885"/>
      <c r="IT1043" s="885"/>
      <c r="IU1043" s="885"/>
      <c r="IV1043" s="885"/>
      <c r="IW1043" s="885"/>
      <c r="IX1043" s="885"/>
    </row>
    <row r="1044" spans="1:258" x14ac:dyDescent="0.25">
      <c r="A1044" s="125">
        <f t="shared" si="121"/>
        <v>1004</v>
      </c>
      <c r="B1044" s="885"/>
      <c r="C1044" s="842" t="s">
        <v>10611</v>
      </c>
      <c r="D1044" s="924">
        <v>0</v>
      </c>
      <c r="E1044" s="924">
        <v>0</v>
      </c>
      <c r="F1044" s="136">
        <v>100</v>
      </c>
      <c r="G1044" s="122" t="s">
        <v>1963</v>
      </c>
      <c r="H1044" s="885"/>
      <c r="I1044" s="885"/>
      <c r="J1044" s="885"/>
      <c r="K1044" s="885"/>
      <c r="L1044" s="885"/>
      <c r="M1044" s="885"/>
      <c r="N1044" s="885"/>
      <c r="O1044" s="885"/>
      <c r="P1044" s="885"/>
      <c r="Q1044" s="885"/>
      <c r="R1044" s="885"/>
      <c r="S1044" s="885"/>
      <c r="T1044" s="885"/>
      <c r="U1044" s="885"/>
      <c r="V1044" s="885"/>
      <c r="W1044" s="885"/>
      <c r="X1044" s="885"/>
      <c r="Y1044" s="885"/>
      <c r="Z1044" s="885"/>
      <c r="AA1044" s="885"/>
      <c r="AB1044" s="885"/>
      <c r="AC1044" s="885"/>
      <c r="AD1044" s="885"/>
      <c r="AE1044" s="885"/>
      <c r="AF1044" s="885"/>
      <c r="AG1044" s="885"/>
      <c r="AH1044" s="885"/>
      <c r="AI1044" s="885"/>
      <c r="AJ1044" s="885"/>
      <c r="AK1044" s="885"/>
      <c r="AL1044" s="885"/>
      <c r="AM1044" s="885"/>
      <c r="AN1044" s="885"/>
      <c r="AO1044" s="885"/>
      <c r="AP1044" s="885"/>
      <c r="AQ1044" s="885"/>
      <c r="AR1044" s="885"/>
      <c r="AS1044" s="885"/>
      <c r="AT1044" s="885"/>
      <c r="AU1044" s="885"/>
      <c r="AV1044" s="885"/>
      <c r="AW1044" s="885"/>
      <c r="AX1044" s="885"/>
      <c r="AY1044" s="885"/>
      <c r="AZ1044" s="885"/>
      <c r="BA1044" s="885"/>
      <c r="BB1044" s="885"/>
      <c r="BC1044" s="885"/>
      <c r="BD1044" s="885"/>
      <c r="BE1044" s="885"/>
      <c r="BF1044" s="885"/>
      <c r="BG1044" s="885"/>
      <c r="BH1044" s="885"/>
      <c r="BI1044" s="885"/>
      <c r="BJ1044" s="885"/>
      <c r="BK1044" s="885"/>
      <c r="BL1044" s="885"/>
      <c r="BM1044" s="885"/>
      <c r="BN1044" s="885"/>
      <c r="BO1044" s="885"/>
      <c r="BP1044" s="885"/>
      <c r="BQ1044" s="885"/>
      <c r="BR1044" s="885"/>
      <c r="BS1044" s="885"/>
      <c r="BT1044" s="885"/>
      <c r="BU1044" s="885"/>
      <c r="BV1044" s="885"/>
      <c r="BW1044" s="885"/>
      <c r="BX1044" s="885"/>
      <c r="BY1044" s="885"/>
      <c r="BZ1044" s="885"/>
      <c r="CA1044" s="885"/>
      <c r="CB1044" s="885"/>
      <c r="CC1044" s="885"/>
      <c r="CD1044" s="885"/>
      <c r="CE1044" s="885"/>
      <c r="CF1044" s="885"/>
      <c r="CG1044" s="885"/>
      <c r="CH1044" s="885"/>
      <c r="CI1044" s="885"/>
      <c r="CJ1044" s="885"/>
      <c r="CK1044" s="885"/>
      <c r="CL1044" s="885"/>
      <c r="CM1044" s="885"/>
      <c r="CN1044" s="885"/>
      <c r="CO1044" s="885"/>
      <c r="CP1044" s="885"/>
      <c r="CQ1044" s="885"/>
      <c r="CR1044" s="885"/>
      <c r="CS1044" s="885"/>
      <c r="CT1044" s="885"/>
      <c r="CU1044" s="885"/>
      <c r="CV1044" s="885"/>
      <c r="CW1044" s="885"/>
      <c r="CX1044" s="885"/>
      <c r="CY1044" s="885"/>
      <c r="CZ1044" s="885"/>
      <c r="DA1044" s="885"/>
      <c r="DB1044" s="885"/>
      <c r="DC1044" s="885"/>
      <c r="DD1044" s="885"/>
      <c r="DE1044" s="885"/>
      <c r="DF1044" s="885"/>
      <c r="DG1044" s="885"/>
      <c r="DH1044" s="885"/>
      <c r="DI1044" s="885"/>
      <c r="DJ1044" s="885"/>
      <c r="DK1044" s="885"/>
      <c r="DL1044" s="885"/>
      <c r="DM1044" s="885"/>
      <c r="DN1044" s="885"/>
      <c r="DO1044" s="885"/>
      <c r="DP1044" s="885"/>
      <c r="DQ1044" s="885"/>
      <c r="DR1044" s="885"/>
      <c r="DS1044" s="885"/>
      <c r="DT1044" s="885"/>
      <c r="DU1044" s="885"/>
      <c r="DV1044" s="885"/>
      <c r="DW1044" s="885"/>
      <c r="DX1044" s="885"/>
      <c r="DY1044" s="885"/>
      <c r="DZ1044" s="885"/>
      <c r="EA1044" s="885"/>
      <c r="EB1044" s="885"/>
      <c r="EC1044" s="885"/>
      <c r="ED1044" s="885"/>
      <c r="EE1044" s="885"/>
      <c r="EF1044" s="885"/>
      <c r="EG1044" s="885"/>
      <c r="EH1044" s="885"/>
      <c r="EI1044" s="885"/>
      <c r="EJ1044" s="885"/>
      <c r="EK1044" s="885"/>
      <c r="EL1044" s="885"/>
      <c r="EM1044" s="885"/>
      <c r="EN1044" s="885"/>
      <c r="EO1044" s="885"/>
      <c r="EP1044" s="885"/>
      <c r="EQ1044" s="885"/>
      <c r="ER1044" s="885"/>
      <c r="ES1044" s="885"/>
      <c r="ET1044" s="885"/>
      <c r="EU1044" s="885"/>
      <c r="EV1044" s="885"/>
      <c r="EW1044" s="885"/>
      <c r="EX1044" s="885"/>
      <c r="EY1044" s="885"/>
      <c r="EZ1044" s="885"/>
      <c r="FA1044" s="885"/>
      <c r="FB1044" s="885"/>
      <c r="FC1044" s="885"/>
      <c r="FD1044" s="885"/>
      <c r="FE1044" s="885"/>
      <c r="FF1044" s="885"/>
      <c r="FG1044" s="885"/>
      <c r="FH1044" s="885"/>
      <c r="FI1044" s="885"/>
      <c r="FJ1044" s="885"/>
      <c r="FK1044" s="885"/>
      <c r="FL1044" s="885"/>
      <c r="FM1044" s="885"/>
      <c r="FN1044" s="885"/>
      <c r="FO1044" s="885"/>
      <c r="FP1044" s="885"/>
      <c r="FQ1044" s="885"/>
      <c r="FR1044" s="885"/>
      <c r="FS1044" s="885"/>
      <c r="FT1044" s="885"/>
      <c r="FU1044" s="885"/>
      <c r="FV1044" s="885"/>
      <c r="FW1044" s="885"/>
      <c r="FX1044" s="885"/>
      <c r="FY1044" s="885"/>
      <c r="FZ1044" s="885"/>
      <c r="GA1044" s="885"/>
      <c r="GB1044" s="885"/>
      <c r="GC1044" s="885"/>
      <c r="GD1044" s="885"/>
      <c r="GE1044" s="885"/>
      <c r="GF1044" s="885"/>
      <c r="GG1044" s="885"/>
      <c r="GH1044" s="885"/>
      <c r="GI1044" s="885"/>
      <c r="GJ1044" s="885"/>
      <c r="GK1044" s="885"/>
      <c r="GL1044" s="885"/>
      <c r="GM1044" s="885"/>
      <c r="GN1044" s="885"/>
      <c r="GO1044" s="885"/>
      <c r="GP1044" s="885"/>
      <c r="GQ1044" s="885"/>
      <c r="GR1044" s="885"/>
      <c r="GS1044" s="885"/>
      <c r="GT1044" s="885"/>
      <c r="GU1044" s="885"/>
      <c r="GV1044" s="885"/>
      <c r="GW1044" s="885"/>
      <c r="GX1044" s="885"/>
      <c r="GY1044" s="885"/>
      <c r="GZ1044" s="885"/>
      <c r="HA1044" s="885"/>
      <c r="HB1044" s="885"/>
      <c r="HC1044" s="885"/>
      <c r="HD1044" s="885"/>
      <c r="HE1044" s="885"/>
      <c r="HF1044" s="885"/>
      <c r="HG1044" s="885"/>
      <c r="HH1044" s="885"/>
      <c r="HI1044" s="885"/>
      <c r="HJ1044" s="885"/>
      <c r="HK1044" s="885"/>
      <c r="HL1044" s="885"/>
      <c r="HM1044" s="885"/>
      <c r="HN1044" s="885"/>
      <c r="HO1044" s="885"/>
      <c r="HP1044" s="885"/>
      <c r="HQ1044" s="885"/>
      <c r="HR1044" s="885"/>
      <c r="HS1044" s="885"/>
      <c r="HT1044" s="885"/>
      <c r="HU1044" s="885"/>
      <c r="HV1044" s="885"/>
      <c r="HW1044" s="885"/>
      <c r="HX1044" s="885"/>
      <c r="HY1044" s="885"/>
      <c r="HZ1044" s="885"/>
      <c r="IA1044" s="885"/>
      <c r="IB1044" s="885"/>
      <c r="IC1044" s="885"/>
      <c r="ID1044" s="885"/>
      <c r="IE1044" s="885"/>
      <c r="IF1044" s="885"/>
      <c r="IG1044" s="885"/>
      <c r="IH1044" s="885"/>
      <c r="II1044" s="885"/>
      <c r="IJ1044" s="885"/>
      <c r="IK1044" s="885"/>
      <c r="IL1044" s="885"/>
      <c r="IM1044" s="885"/>
      <c r="IN1044" s="885"/>
      <c r="IO1044" s="885"/>
      <c r="IP1044" s="885"/>
      <c r="IQ1044" s="885"/>
      <c r="IR1044" s="885"/>
      <c r="IS1044" s="885"/>
      <c r="IT1044" s="885"/>
      <c r="IU1044" s="885"/>
      <c r="IV1044" s="885"/>
      <c r="IW1044" s="885"/>
      <c r="IX1044" s="885"/>
    </row>
    <row r="1045" spans="1:258" x14ac:dyDescent="0.25">
      <c r="A1045" s="125">
        <f t="shared" si="121"/>
        <v>1005</v>
      </c>
      <c r="B1045" s="885"/>
      <c r="C1045" s="232" t="s">
        <v>10607</v>
      </c>
      <c r="D1045" s="915"/>
      <c r="E1045" s="915"/>
      <c r="F1045" s="136"/>
      <c r="H1045" s="885"/>
      <c r="I1045" s="885"/>
      <c r="J1045" s="885"/>
      <c r="K1045" s="885"/>
      <c r="L1045" s="885"/>
      <c r="M1045" s="885"/>
      <c r="N1045" s="885"/>
      <c r="O1045" s="885"/>
      <c r="P1045" s="885"/>
      <c r="Q1045" s="885"/>
      <c r="R1045" s="885"/>
      <c r="S1045" s="885"/>
      <c r="T1045" s="885"/>
      <c r="U1045" s="885"/>
      <c r="V1045" s="885"/>
      <c r="W1045" s="885"/>
      <c r="X1045" s="885"/>
      <c r="Y1045" s="885"/>
      <c r="Z1045" s="885"/>
      <c r="AA1045" s="885"/>
      <c r="AB1045" s="885"/>
      <c r="AC1045" s="885"/>
      <c r="AD1045" s="885"/>
      <c r="AE1045" s="885"/>
      <c r="AF1045" s="885"/>
      <c r="AG1045" s="885"/>
      <c r="AH1045" s="885"/>
      <c r="AI1045" s="885"/>
      <c r="AJ1045" s="885"/>
      <c r="AK1045" s="885"/>
      <c r="AL1045" s="885"/>
      <c r="AM1045" s="885"/>
      <c r="AN1045" s="885"/>
      <c r="AO1045" s="885"/>
      <c r="AP1045" s="885"/>
      <c r="AQ1045" s="885"/>
      <c r="AR1045" s="885"/>
      <c r="AS1045" s="885"/>
      <c r="AT1045" s="885"/>
      <c r="AU1045" s="885"/>
      <c r="AV1045" s="885"/>
      <c r="AW1045" s="885"/>
      <c r="AX1045" s="885"/>
      <c r="AY1045" s="885"/>
      <c r="AZ1045" s="885"/>
      <c r="BA1045" s="885"/>
      <c r="BB1045" s="885"/>
      <c r="BC1045" s="885"/>
      <c r="BD1045" s="885"/>
      <c r="BE1045" s="885"/>
      <c r="BF1045" s="885"/>
      <c r="BG1045" s="885"/>
      <c r="BH1045" s="885"/>
      <c r="BI1045" s="885"/>
      <c r="BJ1045" s="885"/>
      <c r="BK1045" s="885"/>
      <c r="BL1045" s="885"/>
      <c r="BM1045" s="885"/>
      <c r="BN1045" s="885"/>
      <c r="BO1045" s="885"/>
      <c r="BP1045" s="885"/>
      <c r="BQ1045" s="885"/>
      <c r="BR1045" s="885"/>
      <c r="BS1045" s="885"/>
      <c r="BT1045" s="885"/>
      <c r="BU1045" s="885"/>
      <c r="BV1045" s="885"/>
      <c r="BW1045" s="885"/>
      <c r="BX1045" s="885"/>
      <c r="BY1045" s="885"/>
      <c r="BZ1045" s="885"/>
      <c r="CA1045" s="885"/>
      <c r="CB1045" s="885"/>
      <c r="CC1045" s="885"/>
      <c r="CD1045" s="885"/>
      <c r="CE1045" s="885"/>
      <c r="CF1045" s="885"/>
      <c r="CG1045" s="885"/>
      <c r="CH1045" s="885"/>
      <c r="CI1045" s="885"/>
      <c r="CJ1045" s="885"/>
      <c r="CK1045" s="885"/>
      <c r="CL1045" s="885"/>
      <c r="CM1045" s="885"/>
      <c r="CN1045" s="885"/>
      <c r="CO1045" s="885"/>
      <c r="CP1045" s="885"/>
      <c r="CQ1045" s="885"/>
      <c r="CR1045" s="885"/>
      <c r="CS1045" s="885"/>
      <c r="CT1045" s="885"/>
      <c r="CU1045" s="885"/>
      <c r="CV1045" s="885"/>
      <c r="CW1045" s="885"/>
      <c r="CX1045" s="885"/>
      <c r="CY1045" s="885"/>
      <c r="CZ1045" s="885"/>
      <c r="DA1045" s="885"/>
      <c r="DB1045" s="885"/>
      <c r="DC1045" s="885"/>
      <c r="DD1045" s="885"/>
      <c r="DE1045" s="885"/>
      <c r="DF1045" s="885"/>
      <c r="DG1045" s="885"/>
      <c r="DH1045" s="885"/>
      <c r="DI1045" s="885"/>
      <c r="DJ1045" s="885"/>
      <c r="DK1045" s="885"/>
      <c r="DL1045" s="885"/>
      <c r="DM1045" s="885"/>
      <c r="DN1045" s="885"/>
      <c r="DO1045" s="885"/>
      <c r="DP1045" s="885"/>
      <c r="DQ1045" s="885"/>
      <c r="DR1045" s="885"/>
      <c r="DS1045" s="885"/>
      <c r="DT1045" s="885"/>
      <c r="DU1045" s="885"/>
      <c r="DV1045" s="885"/>
      <c r="DW1045" s="885"/>
      <c r="DX1045" s="885"/>
      <c r="DY1045" s="885"/>
      <c r="DZ1045" s="885"/>
      <c r="EA1045" s="885"/>
      <c r="EB1045" s="885"/>
      <c r="EC1045" s="885"/>
      <c r="ED1045" s="885"/>
      <c r="EE1045" s="885"/>
      <c r="EF1045" s="885"/>
      <c r="EG1045" s="885"/>
      <c r="EH1045" s="885"/>
      <c r="EI1045" s="885"/>
      <c r="EJ1045" s="885"/>
      <c r="EK1045" s="885"/>
      <c r="EL1045" s="885"/>
      <c r="EM1045" s="885"/>
      <c r="EN1045" s="885"/>
      <c r="EO1045" s="885"/>
      <c r="EP1045" s="885"/>
      <c r="EQ1045" s="885"/>
      <c r="ER1045" s="885"/>
      <c r="ES1045" s="885"/>
      <c r="ET1045" s="885"/>
      <c r="EU1045" s="885"/>
      <c r="EV1045" s="885"/>
      <c r="EW1045" s="885"/>
      <c r="EX1045" s="885"/>
      <c r="EY1045" s="885"/>
      <c r="EZ1045" s="885"/>
      <c r="FA1045" s="885"/>
      <c r="FB1045" s="885"/>
      <c r="FC1045" s="885"/>
      <c r="FD1045" s="885"/>
      <c r="FE1045" s="885"/>
      <c r="FF1045" s="885"/>
      <c r="FG1045" s="885"/>
      <c r="FH1045" s="885"/>
      <c r="FI1045" s="885"/>
      <c r="FJ1045" s="885"/>
      <c r="FK1045" s="885"/>
      <c r="FL1045" s="885"/>
      <c r="FM1045" s="885"/>
      <c r="FN1045" s="885"/>
      <c r="FO1045" s="885"/>
      <c r="FP1045" s="885"/>
      <c r="FQ1045" s="885"/>
      <c r="FR1045" s="885"/>
      <c r="FS1045" s="885"/>
      <c r="FT1045" s="885"/>
      <c r="FU1045" s="885"/>
      <c r="FV1045" s="885"/>
      <c r="FW1045" s="885"/>
      <c r="FX1045" s="885"/>
      <c r="FY1045" s="885"/>
      <c r="FZ1045" s="885"/>
      <c r="GA1045" s="885"/>
      <c r="GB1045" s="885"/>
      <c r="GC1045" s="885"/>
      <c r="GD1045" s="885"/>
      <c r="GE1045" s="885"/>
      <c r="GF1045" s="885"/>
      <c r="GG1045" s="885"/>
      <c r="GH1045" s="885"/>
      <c r="GI1045" s="885"/>
      <c r="GJ1045" s="885"/>
      <c r="GK1045" s="885"/>
      <c r="GL1045" s="885"/>
      <c r="GM1045" s="885"/>
      <c r="GN1045" s="885"/>
      <c r="GO1045" s="885"/>
      <c r="GP1045" s="885"/>
      <c r="GQ1045" s="885"/>
      <c r="GR1045" s="885"/>
      <c r="GS1045" s="885"/>
      <c r="GT1045" s="885"/>
      <c r="GU1045" s="885"/>
      <c r="GV1045" s="885"/>
      <c r="GW1045" s="885"/>
      <c r="GX1045" s="885"/>
      <c r="GY1045" s="885"/>
      <c r="GZ1045" s="885"/>
      <c r="HA1045" s="885"/>
      <c r="HB1045" s="885"/>
      <c r="HC1045" s="885"/>
      <c r="HD1045" s="885"/>
      <c r="HE1045" s="885"/>
      <c r="HF1045" s="885"/>
      <c r="HG1045" s="885"/>
      <c r="HH1045" s="885"/>
      <c r="HI1045" s="885"/>
      <c r="HJ1045" s="885"/>
      <c r="HK1045" s="885"/>
      <c r="HL1045" s="885"/>
      <c r="HM1045" s="885"/>
      <c r="HN1045" s="885"/>
      <c r="HO1045" s="885"/>
      <c r="HP1045" s="885"/>
      <c r="HQ1045" s="885"/>
      <c r="HR1045" s="885"/>
      <c r="HS1045" s="885"/>
      <c r="HT1045" s="885"/>
      <c r="HU1045" s="885"/>
      <c r="HV1045" s="885"/>
      <c r="HW1045" s="885"/>
      <c r="HX1045" s="885"/>
      <c r="HY1045" s="885"/>
      <c r="HZ1045" s="885"/>
      <c r="IA1045" s="885"/>
      <c r="IB1045" s="885"/>
      <c r="IC1045" s="885"/>
      <c r="ID1045" s="885"/>
      <c r="IE1045" s="885"/>
      <c r="IF1045" s="885"/>
      <c r="IG1045" s="885"/>
      <c r="IH1045" s="885"/>
      <c r="II1045" s="885"/>
      <c r="IJ1045" s="885"/>
      <c r="IK1045" s="885"/>
      <c r="IL1045" s="885"/>
      <c r="IM1045" s="885"/>
      <c r="IN1045" s="885"/>
      <c r="IO1045" s="885"/>
      <c r="IP1045" s="885"/>
      <c r="IQ1045" s="885"/>
      <c r="IR1045" s="885"/>
      <c r="IS1045" s="885"/>
      <c r="IT1045" s="885"/>
      <c r="IU1045" s="885"/>
      <c r="IV1045" s="885"/>
      <c r="IW1045" s="885"/>
      <c r="IX1045" s="885"/>
    </row>
    <row r="1046" spans="1:258" x14ac:dyDescent="0.25">
      <c r="A1046" s="125">
        <f t="shared" si="121"/>
        <v>1006</v>
      </c>
      <c r="B1046" s="885"/>
      <c r="C1046" s="842" t="s">
        <v>10612</v>
      </c>
      <c r="D1046" s="924">
        <v>7165.02</v>
      </c>
      <c r="E1046" s="906">
        <f>D1046/6*10</f>
        <v>11941.7</v>
      </c>
      <c r="F1046" s="136">
        <f>E1046</f>
        <v>11941.7</v>
      </c>
      <c r="G1046" s="122" t="s">
        <v>1963</v>
      </c>
      <c r="H1046" s="885"/>
      <c r="I1046" s="885"/>
      <c r="J1046" s="885"/>
      <c r="K1046" s="885"/>
      <c r="L1046" s="885"/>
      <c r="M1046" s="885"/>
      <c r="N1046" s="885"/>
      <c r="O1046" s="885"/>
      <c r="P1046" s="885"/>
      <c r="Q1046" s="885"/>
      <c r="R1046" s="885"/>
      <c r="S1046" s="885"/>
      <c r="T1046" s="885"/>
      <c r="U1046" s="885"/>
      <c r="V1046" s="885"/>
      <c r="W1046" s="885"/>
      <c r="X1046" s="885"/>
      <c r="Y1046" s="885"/>
      <c r="Z1046" s="885"/>
      <c r="AA1046" s="885"/>
      <c r="AB1046" s="885"/>
      <c r="AC1046" s="885"/>
      <c r="AD1046" s="885"/>
      <c r="AE1046" s="885"/>
      <c r="AF1046" s="885"/>
      <c r="AG1046" s="885"/>
      <c r="AH1046" s="885"/>
      <c r="AI1046" s="885"/>
      <c r="AJ1046" s="885"/>
      <c r="AK1046" s="885"/>
      <c r="AL1046" s="885"/>
      <c r="AM1046" s="885"/>
      <c r="AN1046" s="885"/>
      <c r="AO1046" s="885"/>
      <c r="AP1046" s="885"/>
      <c r="AQ1046" s="885"/>
      <c r="AR1046" s="885"/>
      <c r="AS1046" s="885"/>
      <c r="AT1046" s="885"/>
      <c r="AU1046" s="885"/>
      <c r="AV1046" s="885"/>
      <c r="AW1046" s="885"/>
      <c r="AX1046" s="885"/>
      <c r="AY1046" s="885"/>
      <c r="AZ1046" s="885"/>
      <c r="BA1046" s="885"/>
      <c r="BB1046" s="885"/>
      <c r="BC1046" s="885"/>
      <c r="BD1046" s="885"/>
      <c r="BE1046" s="885"/>
      <c r="BF1046" s="885"/>
      <c r="BG1046" s="885"/>
      <c r="BH1046" s="885"/>
      <c r="BI1046" s="885"/>
      <c r="BJ1046" s="885"/>
      <c r="BK1046" s="885"/>
      <c r="BL1046" s="885"/>
      <c r="BM1046" s="885"/>
      <c r="BN1046" s="885"/>
      <c r="BO1046" s="885"/>
      <c r="BP1046" s="885"/>
      <c r="BQ1046" s="885"/>
      <c r="BR1046" s="885"/>
      <c r="BS1046" s="885"/>
      <c r="BT1046" s="885"/>
      <c r="BU1046" s="885"/>
      <c r="BV1046" s="885"/>
      <c r="BW1046" s="885"/>
      <c r="BX1046" s="885"/>
      <c r="BY1046" s="885"/>
      <c r="BZ1046" s="885"/>
      <c r="CA1046" s="885"/>
      <c r="CB1046" s="885"/>
      <c r="CC1046" s="885"/>
      <c r="CD1046" s="885"/>
      <c r="CE1046" s="885"/>
      <c r="CF1046" s="885"/>
      <c r="CG1046" s="885"/>
      <c r="CH1046" s="885"/>
      <c r="CI1046" s="885"/>
      <c r="CJ1046" s="885"/>
      <c r="CK1046" s="885"/>
      <c r="CL1046" s="885"/>
      <c r="CM1046" s="885"/>
      <c r="CN1046" s="885"/>
      <c r="CO1046" s="885"/>
      <c r="CP1046" s="885"/>
      <c r="CQ1046" s="885"/>
      <c r="CR1046" s="885"/>
      <c r="CS1046" s="885"/>
      <c r="CT1046" s="885"/>
      <c r="CU1046" s="885"/>
      <c r="CV1046" s="885"/>
      <c r="CW1046" s="885"/>
      <c r="CX1046" s="885"/>
      <c r="CY1046" s="885"/>
      <c r="CZ1046" s="885"/>
      <c r="DA1046" s="885"/>
      <c r="DB1046" s="885"/>
      <c r="DC1046" s="885"/>
      <c r="DD1046" s="885"/>
      <c r="DE1046" s="885"/>
      <c r="DF1046" s="885"/>
      <c r="DG1046" s="885"/>
      <c r="DH1046" s="885"/>
      <c r="DI1046" s="885"/>
      <c r="DJ1046" s="885"/>
      <c r="DK1046" s="885"/>
      <c r="DL1046" s="885"/>
      <c r="DM1046" s="885"/>
      <c r="DN1046" s="885"/>
      <c r="DO1046" s="885"/>
      <c r="DP1046" s="885"/>
      <c r="DQ1046" s="885"/>
      <c r="DR1046" s="885"/>
      <c r="DS1046" s="885"/>
      <c r="DT1046" s="885"/>
      <c r="DU1046" s="885"/>
      <c r="DV1046" s="885"/>
      <c r="DW1046" s="885"/>
      <c r="DX1046" s="885"/>
      <c r="DY1046" s="885"/>
      <c r="DZ1046" s="885"/>
      <c r="EA1046" s="885"/>
      <c r="EB1046" s="885"/>
      <c r="EC1046" s="885"/>
      <c r="ED1046" s="885"/>
      <c r="EE1046" s="885"/>
      <c r="EF1046" s="885"/>
      <c r="EG1046" s="885"/>
      <c r="EH1046" s="885"/>
      <c r="EI1046" s="885"/>
      <c r="EJ1046" s="885"/>
      <c r="EK1046" s="885"/>
      <c r="EL1046" s="885"/>
      <c r="EM1046" s="885"/>
      <c r="EN1046" s="885"/>
      <c r="EO1046" s="885"/>
      <c r="EP1046" s="885"/>
      <c r="EQ1046" s="885"/>
      <c r="ER1046" s="885"/>
      <c r="ES1046" s="885"/>
      <c r="ET1046" s="885"/>
      <c r="EU1046" s="885"/>
      <c r="EV1046" s="885"/>
      <c r="EW1046" s="885"/>
      <c r="EX1046" s="885"/>
      <c r="EY1046" s="885"/>
      <c r="EZ1046" s="885"/>
      <c r="FA1046" s="885"/>
      <c r="FB1046" s="885"/>
      <c r="FC1046" s="885"/>
      <c r="FD1046" s="885"/>
      <c r="FE1046" s="885"/>
      <c r="FF1046" s="885"/>
      <c r="FG1046" s="885"/>
      <c r="FH1046" s="885"/>
      <c r="FI1046" s="885"/>
      <c r="FJ1046" s="885"/>
      <c r="FK1046" s="885"/>
      <c r="FL1046" s="885"/>
      <c r="FM1046" s="885"/>
      <c r="FN1046" s="885"/>
      <c r="FO1046" s="885"/>
      <c r="FP1046" s="885"/>
      <c r="FQ1046" s="885"/>
      <c r="FR1046" s="885"/>
      <c r="FS1046" s="885"/>
      <c r="FT1046" s="885"/>
      <c r="FU1046" s="885"/>
      <c r="FV1046" s="885"/>
      <c r="FW1046" s="885"/>
      <c r="FX1046" s="885"/>
      <c r="FY1046" s="885"/>
      <c r="FZ1046" s="885"/>
      <c r="GA1046" s="885"/>
      <c r="GB1046" s="885"/>
      <c r="GC1046" s="885"/>
      <c r="GD1046" s="885"/>
      <c r="GE1046" s="885"/>
      <c r="GF1046" s="885"/>
      <c r="GG1046" s="885"/>
      <c r="GH1046" s="885"/>
      <c r="GI1046" s="885"/>
      <c r="GJ1046" s="885"/>
      <c r="GK1046" s="885"/>
      <c r="GL1046" s="885"/>
      <c r="GM1046" s="885"/>
      <c r="GN1046" s="885"/>
      <c r="GO1046" s="885"/>
      <c r="GP1046" s="885"/>
      <c r="GQ1046" s="885"/>
      <c r="GR1046" s="885"/>
      <c r="GS1046" s="885"/>
      <c r="GT1046" s="885"/>
      <c r="GU1046" s="885"/>
      <c r="GV1046" s="885"/>
      <c r="GW1046" s="885"/>
      <c r="GX1046" s="885"/>
      <c r="GY1046" s="885"/>
      <c r="GZ1046" s="885"/>
      <c r="HA1046" s="885"/>
      <c r="HB1046" s="885"/>
      <c r="HC1046" s="885"/>
      <c r="HD1046" s="885"/>
      <c r="HE1046" s="885"/>
      <c r="HF1046" s="885"/>
      <c r="HG1046" s="885"/>
      <c r="HH1046" s="885"/>
      <c r="HI1046" s="885"/>
      <c r="HJ1046" s="885"/>
      <c r="HK1046" s="885"/>
      <c r="HL1046" s="885"/>
      <c r="HM1046" s="885"/>
      <c r="HN1046" s="885"/>
      <c r="HO1046" s="885"/>
      <c r="HP1046" s="885"/>
      <c r="HQ1046" s="885"/>
      <c r="HR1046" s="885"/>
      <c r="HS1046" s="885"/>
      <c r="HT1046" s="885"/>
      <c r="HU1046" s="885"/>
      <c r="HV1046" s="885"/>
      <c r="HW1046" s="885"/>
      <c r="HX1046" s="885"/>
      <c r="HY1046" s="885"/>
      <c r="HZ1046" s="885"/>
      <c r="IA1046" s="885"/>
      <c r="IB1046" s="885"/>
      <c r="IC1046" s="885"/>
      <c r="ID1046" s="885"/>
      <c r="IE1046" s="885"/>
      <c r="IF1046" s="885"/>
      <c r="IG1046" s="885"/>
      <c r="IH1046" s="885"/>
      <c r="II1046" s="885"/>
      <c r="IJ1046" s="885"/>
      <c r="IK1046" s="885"/>
      <c r="IL1046" s="885"/>
      <c r="IM1046" s="885"/>
      <c r="IN1046" s="885"/>
      <c r="IO1046" s="885"/>
      <c r="IP1046" s="885"/>
      <c r="IQ1046" s="885"/>
      <c r="IR1046" s="885"/>
      <c r="IS1046" s="885"/>
      <c r="IT1046" s="885"/>
      <c r="IU1046" s="885"/>
      <c r="IV1046" s="885"/>
      <c r="IW1046" s="885"/>
      <c r="IX1046" s="885"/>
    </row>
    <row r="1047" spans="1:258" x14ac:dyDescent="0.25">
      <c r="A1047" s="125">
        <f t="shared" si="121"/>
        <v>1007</v>
      </c>
      <c r="B1047" s="885"/>
      <c r="C1047" s="842" t="s">
        <v>10613</v>
      </c>
      <c r="D1047" s="924">
        <v>0</v>
      </c>
      <c r="E1047" s="924">
        <v>0</v>
      </c>
      <c r="F1047" s="136">
        <v>100</v>
      </c>
      <c r="G1047" s="122" t="s">
        <v>1963</v>
      </c>
      <c r="H1047" s="885"/>
      <c r="I1047" s="885"/>
      <c r="J1047" s="885"/>
      <c r="K1047" s="885"/>
      <c r="L1047" s="885"/>
      <c r="M1047" s="885"/>
      <c r="N1047" s="885"/>
      <c r="O1047" s="885"/>
      <c r="P1047" s="885"/>
      <c r="Q1047" s="885"/>
      <c r="R1047" s="885"/>
      <c r="S1047" s="885"/>
      <c r="T1047" s="885"/>
      <c r="U1047" s="885"/>
      <c r="V1047" s="885"/>
      <c r="W1047" s="885"/>
      <c r="X1047" s="885"/>
      <c r="Y1047" s="885"/>
      <c r="Z1047" s="885"/>
      <c r="AA1047" s="885"/>
      <c r="AB1047" s="885"/>
      <c r="AC1047" s="885"/>
      <c r="AD1047" s="885"/>
      <c r="AE1047" s="885"/>
      <c r="AF1047" s="885"/>
      <c r="AG1047" s="885"/>
      <c r="AH1047" s="885"/>
      <c r="AI1047" s="885"/>
      <c r="AJ1047" s="885"/>
      <c r="AK1047" s="885"/>
      <c r="AL1047" s="885"/>
      <c r="AM1047" s="885"/>
      <c r="AN1047" s="885"/>
      <c r="AO1047" s="885"/>
      <c r="AP1047" s="885"/>
      <c r="AQ1047" s="885"/>
      <c r="AR1047" s="885"/>
      <c r="AS1047" s="885"/>
      <c r="AT1047" s="885"/>
      <c r="AU1047" s="885"/>
      <c r="AV1047" s="885"/>
      <c r="AW1047" s="885"/>
      <c r="AX1047" s="885"/>
      <c r="AY1047" s="885"/>
      <c r="AZ1047" s="885"/>
      <c r="BA1047" s="885"/>
      <c r="BB1047" s="885"/>
      <c r="BC1047" s="885"/>
      <c r="BD1047" s="885"/>
      <c r="BE1047" s="885"/>
      <c r="BF1047" s="885"/>
      <c r="BG1047" s="885"/>
      <c r="BH1047" s="885"/>
      <c r="BI1047" s="885"/>
      <c r="BJ1047" s="885"/>
      <c r="BK1047" s="885"/>
      <c r="BL1047" s="885"/>
      <c r="BM1047" s="885"/>
      <c r="BN1047" s="885"/>
      <c r="BO1047" s="885"/>
      <c r="BP1047" s="885"/>
      <c r="BQ1047" s="885"/>
      <c r="BR1047" s="885"/>
      <c r="BS1047" s="885"/>
      <c r="BT1047" s="885"/>
      <c r="BU1047" s="885"/>
      <c r="BV1047" s="885"/>
      <c r="BW1047" s="885"/>
      <c r="BX1047" s="885"/>
      <c r="BY1047" s="885"/>
      <c r="BZ1047" s="885"/>
      <c r="CA1047" s="885"/>
      <c r="CB1047" s="885"/>
      <c r="CC1047" s="885"/>
      <c r="CD1047" s="885"/>
      <c r="CE1047" s="885"/>
      <c r="CF1047" s="885"/>
      <c r="CG1047" s="885"/>
      <c r="CH1047" s="885"/>
      <c r="CI1047" s="885"/>
      <c r="CJ1047" s="885"/>
      <c r="CK1047" s="885"/>
      <c r="CL1047" s="885"/>
      <c r="CM1047" s="885"/>
      <c r="CN1047" s="885"/>
      <c r="CO1047" s="885"/>
      <c r="CP1047" s="885"/>
      <c r="CQ1047" s="885"/>
      <c r="CR1047" s="885"/>
      <c r="CS1047" s="885"/>
      <c r="CT1047" s="885"/>
      <c r="CU1047" s="885"/>
      <c r="CV1047" s="885"/>
      <c r="CW1047" s="885"/>
      <c r="CX1047" s="885"/>
      <c r="CY1047" s="885"/>
      <c r="CZ1047" s="885"/>
      <c r="DA1047" s="885"/>
      <c r="DB1047" s="885"/>
      <c r="DC1047" s="885"/>
      <c r="DD1047" s="885"/>
      <c r="DE1047" s="885"/>
      <c r="DF1047" s="885"/>
      <c r="DG1047" s="885"/>
      <c r="DH1047" s="885"/>
      <c r="DI1047" s="885"/>
      <c r="DJ1047" s="885"/>
      <c r="DK1047" s="885"/>
      <c r="DL1047" s="885"/>
      <c r="DM1047" s="885"/>
      <c r="DN1047" s="885"/>
      <c r="DO1047" s="885"/>
      <c r="DP1047" s="885"/>
      <c r="DQ1047" s="885"/>
      <c r="DR1047" s="885"/>
      <c r="DS1047" s="885"/>
      <c r="DT1047" s="885"/>
      <c r="DU1047" s="885"/>
      <c r="DV1047" s="885"/>
      <c r="DW1047" s="885"/>
      <c r="DX1047" s="885"/>
      <c r="DY1047" s="885"/>
      <c r="DZ1047" s="885"/>
      <c r="EA1047" s="885"/>
      <c r="EB1047" s="885"/>
      <c r="EC1047" s="885"/>
      <c r="ED1047" s="885"/>
      <c r="EE1047" s="885"/>
      <c r="EF1047" s="885"/>
      <c r="EG1047" s="885"/>
      <c r="EH1047" s="885"/>
      <c r="EI1047" s="885"/>
      <c r="EJ1047" s="885"/>
      <c r="EK1047" s="885"/>
      <c r="EL1047" s="885"/>
      <c r="EM1047" s="885"/>
      <c r="EN1047" s="885"/>
      <c r="EO1047" s="885"/>
      <c r="EP1047" s="885"/>
      <c r="EQ1047" s="885"/>
      <c r="ER1047" s="885"/>
      <c r="ES1047" s="885"/>
      <c r="ET1047" s="885"/>
      <c r="EU1047" s="885"/>
      <c r="EV1047" s="885"/>
      <c r="EW1047" s="885"/>
      <c r="EX1047" s="885"/>
      <c r="EY1047" s="885"/>
      <c r="EZ1047" s="885"/>
      <c r="FA1047" s="885"/>
      <c r="FB1047" s="885"/>
      <c r="FC1047" s="885"/>
      <c r="FD1047" s="885"/>
      <c r="FE1047" s="885"/>
      <c r="FF1047" s="885"/>
      <c r="FG1047" s="885"/>
      <c r="FH1047" s="885"/>
      <c r="FI1047" s="885"/>
      <c r="FJ1047" s="885"/>
      <c r="FK1047" s="885"/>
      <c r="FL1047" s="885"/>
      <c r="FM1047" s="885"/>
      <c r="FN1047" s="885"/>
      <c r="FO1047" s="885"/>
      <c r="FP1047" s="885"/>
      <c r="FQ1047" s="885"/>
      <c r="FR1047" s="885"/>
      <c r="FS1047" s="885"/>
      <c r="FT1047" s="885"/>
      <c r="FU1047" s="885"/>
      <c r="FV1047" s="885"/>
      <c r="FW1047" s="885"/>
      <c r="FX1047" s="885"/>
      <c r="FY1047" s="885"/>
      <c r="FZ1047" s="885"/>
      <c r="GA1047" s="885"/>
      <c r="GB1047" s="885"/>
      <c r="GC1047" s="885"/>
      <c r="GD1047" s="885"/>
      <c r="GE1047" s="885"/>
      <c r="GF1047" s="885"/>
      <c r="GG1047" s="885"/>
      <c r="GH1047" s="885"/>
      <c r="GI1047" s="885"/>
      <c r="GJ1047" s="885"/>
      <c r="GK1047" s="885"/>
      <c r="GL1047" s="885"/>
      <c r="GM1047" s="885"/>
      <c r="GN1047" s="885"/>
      <c r="GO1047" s="885"/>
      <c r="GP1047" s="885"/>
      <c r="GQ1047" s="885"/>
      <c r="GR1047" s="885"/>
      <c r="GS1047" s="885"/>
      <c r="GT1047" s="885"/>
      <c r="GU1047" s="885"/>
      <c r="GV1047" s="885"/>
      <c r="GW1047" s="885"/>
      <c r="GX1047" s="885"/>
      <c r="GY1047" s="885"/>
      <c r="GZ1047" s="885"/>
      <c r="HA1047" s="885"/>
      <c r="HB1047" s="885"/>
      <c r="HC1047" s="885"/>
      <c r="HD1047" s="885"/>
      <c r="HE1047" s="885"/>
      <c r="HF1047" s="885"/>
      <c r="HG1047" s="885"/>
      <c r="HH1047" s="885"/>
      <c r="HI1047" s="885"/>
      <c r="HJ1047" s="885"/>
      <c r="HK1047" s="885"/>
      <c r="HL1047" s="885"/>
      <c r="HM1047" s="885"/>
      <c r="HN1047" s="885"/>
      <c r="HO1047" s="885"/>
      <c r="HP1047" s="885"/>
      <c r="HQ1047" s="885"/>
      <c r="HR1047" s="885"/>
      <c r="HS1047" s="885"/>
      <c r="HT1047" s="885"/>
      <c r="HU1047" s="885"/>
      <c r="HV1047" s="885"/>
      <c r="HW1047" s="885"/>
      <c r="HX1047" s="885"/>
      <c r="HY1047" s="885"/>
      <c r="HZ1047" s="885"/>
      <c r="IA1047" s="885"/>
      <c r="IB1047" s="885"/>
      <c r="IC1047" s="885"/>
      <c r="ID1047" s="885"/>
      <c r="IE1047" s="885"/>
      <c r="IF1047" s="885"/>
      <c r="IG1047" s="885"/>
      <c r="IH1047" s="885"/>
      <c r="II1047" s="885"/>
      <c r="IJ1047" s="885"/>
      <c r="IK1047" s="885"/>
      <c r="IL1047" s="885"/>
      <c r="IM1047" s="885"/>
      <c r="IN1047" s="885"/>
      <c r="IO1047" s="885"/>
      <c r="IP1047" s="885"/>
      <c r="IQ1047" s="885"/>
      <c r="IR1047" s="885"/>
      <c r="IS1047" s="885"/>
      <c r="IT1047" s="885"/>
      <c r="IU1047" s="885"/>
      <c r="IV1047" s="885"/>
      <c r="IW1047" s="885"/>
      <c r="IX1047" s="885"/>
    </row>
    <row r="1048" spans="1:258" x14ac:dyDescent="0.25">
      <c r="A1048" s="125">
        <f t="shared" si="121"/>
        <v>1008</v>
      </c>
      <c r="B1048" s="885"/>
      <c r="C1048" s="232" t="s">
        <v>10608</v>
      </c>
      <c r="D1048" s="915"/>
      <c r="E1048" s="915"/>
      <c r="F1048" s="129"/>
      <c r="H1048" s="885"/>
      <c r="I1048" s="885"/>
      <c r="J1048" s="885"/>
      <c r="K1048" s="885"/>
      <c r="L1048" s="885"/>
      <c r="M1048" s="885"/>
      <c r="N1048" s="885"/>
      <c r="O1048" s="885"/>
      <c r="P1048" s="885"/>
      <c r="Q1048" s="885"/>
      <c r="R1048" s="885"/>
      <c r="S1048" s="885"/>
      <c r="T1048" s="885"/>
      <c r="U1048" s="885"/>
      <c r="V1048" s="885"/>
      <c r="W1048" s="885"/>
      <c r="X1048" s="885"/>
      <c r="Y1048" s="885"/>
      <c r="Z1048" s="885"/>
      <c r="AA1048" s="885"/>
      <c r="AB1048" s="885"/>
      <c r="AC1048" s="885"/>
      <c r="AD1048" s="885"/>
      <c r="AE1048" s="885"/>
      <c r="AF1048" s="885"/>
      <c r="AG1048" s="885"/>
      <c r="AH1048" s="885"/>
      <c r="AI1048" s="885"/>
      <c r="AJ1048" s="885"/>
      <c r="AK1048" s="885"/>
      <c r="AL1048" s="885"/>
      <c r="AM1048" s="885"/>
      <c r="AN1048" s="885"/>
      <c r="AO1048" s="885"/>
      <c r="AP1048" s="885"/>
      <c r="AQ1048" s="885"/>
      <c r="AR1048" s="885"/>
      <c r="AS1048" s="885"/>
      <c r="AT1048" s="885"/>
      <c r="AU1048" s="885"/>
      <c r="AV1048" s="885"/>
      <c r="AW1048" s="885"/>
      <c r="AX1048" s="885"/>
      <c r="AY1048" s="885"/>
      <c r="AZ1048" s="885"/>
      <c r="BA1048" s="885"/>
      <c r="BB1048" s="885"/>
      <c r="BC1048" s="885"/>
      <c r="BD1048" s="885"/>
      <c r="BE1048" s="885"/>
      <c r="BF1048" s="885"/>
      <c r="BG1048" s="885"/>
      <c r="BH1048" s="885"/>
      <c r="BI1048" s="885"/>
      <c r="BJ1048" s="885"/>
      <c r="BK1048" s="885"/>
      <c r="BL1048" s="885"/>
      <c r="BM1048" s="885"/>
      <c r="BN1048" s="885"/>
      <c r="BO1048" s="885"/>
      <c r="BP1048" s="885"/>
      <c r="BQ1048" s="885"/>
      <c r="BR1048" s="885"/>
      <c r="BS1048" s="885"/>
      <c r="BT1048" s="885"/>
      <c r="BU1048" s="885"/>
      <c r="BV1048" s="885"/>
      <c r="BW1048" s="885"/>
      <c r="BX1048" s="885"/>
      <c r="BY1048" s="885"/>
      <c r="BZ1048" s="885"/>
      <c r="CA1048" s="885"/>
      <c r="CB1048" s="885"/>
      <c r="CC1048" s="885"/>
      <c r="CD1048" s="885"/>
      <c r="CE1048" s="885"/>
      <c r="CF1048" s="885"/>
      <c r="CG1048" s="885"/>
      <c r="CH1048" s="885"/>
      <c r="CI1048" s="885"/>
      <c r="CJ1048" s="885"/>
      <c r="CK1048" s="885"/>
      <c r="CL1048" s="885"/>
      <c r="CM1048" s="885"/>
      <c r="CN1048" s="885"/>
      <c r="CO1048" s="885"/>
      <c r="CP1048" s="885"/>
      <c r="CQ1048" s="885"/>
      <c r="CR1048" s="885"/>
      <c r="CS1048" s="885"/>
      <c r="CT1048" s="885"/>
      <c r="CU1048" s="885"/>
      <c r="CV1048" s="885"/>
      <c r="CW1048" s="885"/>
      <c r="CX1048" s="885"/>
      <c r="CY1048" s="885"/>
      <c r="CZ1048" s="885"/>
      <c r="DA1048" s="885"/>
      <c r="DB1048" s="885"/>
      <c r="DC1048" s="885"/>
      <c r="DD1048" s="885"/>
      <c r="DE1048" s="885"/>
      <c r="DF1048" s="885"/>
      <c r="DG1048" s="885"/>
      <c r="DH1048" s="885"/>
      <c r="DI1048" s="885"/>
      <c r="DJ1048" s="885"/>
      <c r="DK1048" s="885"/>
      <c r="DL1048" s="885"/>
      <c r="DM1048" s="885"/>
      <c r="DN1048" s="885"/>
      <c r="DO1048" s="885"/>
      <c r="DP1048" s="885"/>
      <c r="DQ1048" s="885"/>
      <c r="DR1048" s="885"/>
      <c r="DS1048" s="885"/>
      <c r="DT1048" s="885"/>
      <c r="DU1048" s="885"/>
      <c r="DV1048" s="885"/>
      <c r="DW1048" s="885"/>
      <c r="DX1048" s="885"/>
      <c r="DY1048" s="885"/>
      <c r="DZ1048" s="885"/>
      <c r="EA1048" s="885"/>
      <c r="EB1048" s="885"/>
      <c r="EC1048" s="885"/>
      <c r="ED1048" s="885"/>
      <c r="EE1048" s="885"/>
      <c r="EF1048" s="885"/>
      <c r="EG1048" s="885"/>
      <c r="EH1048" s="885"/>
      <c r="EI1048" s="885"/>
      <c r="EJ1048" s="885"/>
      <c r="EK1048" s="885"/>
      <c r="EL1048" s="885"/>
      <c r="EM1048" s="885"/>
      <c r="EN1048" s="885"/>
      <c r="EO1048" s="885"/>
      <c r="EP1048" s="885"/>
      <c r="EQ1048" s="885"/>
      <c r="ER1048" s="885"/>
      <c r="ES1048" s="885"/>
      <c r="ET1048" s="885"/>
      <c r="EU1048" s="885"/>
      <c r="EV1048" s="885"/>
      <c r="EW1048" s="885"/>
      <c r="EX1048" s="885"/>
      <c r="EY1048" s="885"/>
      <c r="EZ1048" s="885"/>
      <c r="FA1048" s="885"/>
      <c r="FB1048" s="885"/>
      <c r="FC1048" s="885"/>
      <c r="FD1048" s="885"/>
      <c r="FE1048" s="885"/>
      <c r="FF1048" s="885"/>
      <c r="FG1048" s="885"/>
      <c r="FH1048" s="885"/>
      <c r="FI1048" s="885"/>
      <c r="FJ1048" s="885"/>
      <c r="FK1048" s="885"/>
      <c r="FL1048" s="885"/>
      <c r="FM1048" s="885"/>
      <c r="FN1048" s="885"/>
      <c r="FO1048" s="885"/>
      <c r="FP1048" s="885"/>
      <c r="FQ1048" s="885"/>
      <c r="FR1048" s="885"/>
      <c r="FS1048" s="885"/>
      <c r="FT1048" s="885"/>
      <c r="FU1048" s="885"/>
      <c r="FV1048" s="885"/>
      <c r="FW1048" s="885"/>
      <c r="FX1048" s="885"/>
      <c r="FY1048" s="885"/>
      <c r="FZ1048" s="885"/>
      <c r="GA1048" s="885"/>
      <c r="GB1048" s="885"/>
      <c r="GC1048" s="885"/>
      <c r="GD1048" s="885"/>
      <c r="GE1048" s="885"/>
      <c r="GF1048" s="885"/>
      <c r="GG1048" s="885"/>
      <c r="GH1048" s="885"/>
      <c r="GI1048" s="885"/>
      <c r="GJ1048" s="885"/>
      <c r="GK1048" s="885"/>
      <c r="GL1048" s="885"/>
      <c r="GM1048" s="885"/>
      <c r="GN1048" s="885"/>
      <c r="GO1048" s="885"/>
      <c r="GP1048" s="885"/>
      <c r="GQ1048" s="885"/>
      <c r="GR1048" s="885"/>
      <c r="GS1048" s="885"/>
      <c r="GT1048" s="885"/>
      <c r="GU1048" s="885"/>
      <c r="GV1048" s="885"/>
      <c r="GW1048" s="885"/>
      <c r="GX1048" s="885"/>
      <c r="GY1048" s="885"/>
      <c r="GZ1048" s="885"/>
      <c r="HA1048" s="885"/>
      <c r="HB1048" s="885"/>
      <c r="HC1048" s="885"/>
      <c r="HD1048" s="885"/>
      <c r="HE1048" s="885"/>
      <c r="HF1048" s="885"/>
      <c r="HG1048" s="885"/>
      <c r="HH1048" s="885"/>
      <c r="HI1048" s="885"/>
      <c r="HJ1048" s="885"/>
      <c r="HK1048" s="885"/>
      <c r="HL1048" s="885"/>
      <c r="HM1048" s="885"/>
      <c r="HN1048" s="885"/>
      <c r="HO1048" s="885"/>
      <c r="HP1048" s="885"/>
      <c r="HQ1048" s="885"/>
      <c r="HR1048" s="885"/>
      <c r="HS1048" s="885"/>
      <c r="HT1048" s="885"/>
      <c r="HU1048" s="885"/>
      <c r="HV1048" s="885"/>
      <c r="HW1048" s="885"/>
      <c r="HX1048" s="885"/>
      <c r="HY1048" s="885"/>
      <c r="HZ1048" s="885"/>
      <c r="IA1048" s="885"/>
      <c r="IB1048" s="885"/>
      <c r="IC1048" s="885"/>
      <c r="ID1048" s="885"/>
      <c r="IE1048" s="885"/>
      <c r="IF1048" s="885"/>
      <c r="IG1048" s="885"/>
      <c r="IH1048" s="885"/>
      <c r="II1048" s="885"/>
      <c r="IJ1048" s="885"/>
      <c r="IK1048" s="885"/>
      <c r="IL1048" s="885"/>
      <c r="IM1048" s="885"/>
      <c r="IN1048" s="885"/>
      <c r="IO1048" s="885"/>
      <c r="IP1048" s="885"/>
      <c r="IQ1048" s="885"/>
      <c r="IR1048" s="885"/>
      <c r="IS1048" s="885"/>
      <c r="IT1048" s="885"/>
      <c r="IU1048" s="885"/>
      <c r="IV1048" s="885"/>
      <c r="IW1048" s="885"/>
      <c r="IX1048" s="885"/>
    </row>
    <row r="1049" spans="1:258" x14ac:dyDescent="0.25">
      <c r="A1049" s="125">
        <f t="shared" si="121"/>
        <v>1009</v>
      </c>
      <c r="B1049" s="885"/>
      <c r="C1049" s="842" t="s">
        <v>10614</v>
      </c>
      <c r="D1049" s="924">
        <v>5852.71</v>
      </c>
      <c r="E1049" s="906">
        <f>D1049/6*10</f>
        <v>9754.5166666666664</v>
      </c>
      <c r="F1049" s="136">
        <f>E1049</f>
        <v>9754.5166666666664</v>
      </c>
      <c r="G1049" s="122" t="s">
        <v>1963</v>
      </c>
      <c r="H1049" s="885"/>
      <c r="I1049" s="885"/>
      <c r="J1049" s="885"/>
      <c r="K1049" s="885"/>
      <c r="L1049" s="885"/>
      <c r="M1049" s="885"/>
      <c r="N1049" s="885"/>
      <c r="O1049" s="885"/>
      <c r="P1049" s="885"/>
      <c r="Q1049" s="885"/>
      <c r="R1049" s="885"/>
      <c r="S1049" s="885"/>
      <c r="T1049" s="885"/>
      <c r="U1049" s="885"/>
      <c r="V1049" s="885"/>
      <c r="W1049" s="885"/>
      <c r="X1049" s="885"/>
      <c r="Y1049" s="885"/>
      <c r="Z1049" s="885"/>
      <c r="AA1049" s="885"/>
      <c r="AB1049" s="885"/>
      <c r="AC1049" s="885"/>
      <c r="AD1049" s="885"/>
      <c r="AE1049" s="885"/>
      <c r="AF1049" s="885"/>
      <c r="AG1049" s="885"/>
      <c r="AH1049" s="885"/>
      <c r="AI1049" s="885"/>
      <c r="AJ1049" s="885"/>
      <c r="AK1049" s="885"/>
      <c r="AL1049" s="885"/>
      <c r="AM1049" s="885"/>
      <c r="AN1049" s="885"/>
      <c r="AO1049" s="885"/>
      <c r="AP1049" s="885"/>
      <c r="AQ1049" s="885"/>
      <c r="AR1049" s="885"/>
      <c r="AS1049" s="885"/>
      <c r="AT1049" s="885"/>
      <c r="AU1049" s="885"/>
      <c r="AV1049" s="885"/>
      <c r="AW1049" s="885"/>
      <c r="AX1049" s="885"/>
      <c r="AY1049" s="885"/>
      <c r="AZ1049" s="885"/>
      <c r="BA1049" s="885"/>
      <c r="BB1049" s="885"/>
      <c r="BC1049" s="885"/>
      <c r="BD1049" s="885"/>
      <c r="BE1049" s="885"/>
      <c r="BF1049" s="885"/>
      <c r="BG1049" s="885"/>
      <c r="BH1049" s="885"/>
      <c r="BI1049" s="885"/>
      <c r="BJ1049" s="885"/>
      <c r="BK1049" s="885"/>
      <c r="BL1049" s="885"/>
      <c r="BM1049" s="885"/>
      <c r="BN1049" s="885"/>
      <c r="BO1049" s="885"/>
      <c r="BP1049" s="885"/>
      <c r="BQ1049" s="885"/>
      <c r="BR1049" s="885"/>
      <c r="BS1049" s="885"/>
      <c r="BT1049" s="885"/>
      <c r="BU1049" s="885"/>
      <c r="BV1049" s="885"/>
      <c r="BW1049" s="885"/>
      <c r="BX1049" s="885"/>
      <c r="BY1049" s="885"/>
      <c r="BZ1049" s="885"/>
      <c r="CA1049" s="885"/>
      <c r="CB1049" s="885"/>
      <c r="CC1049" s="885"/>
      <c r="CD1049" s="885"/>
      <c r="CE1049" s="885"/>
      <c r="CF1049" s="885"/>
      <c r="CG1049" s="885"/>
      <c r="CH1049" s="885"/>
      <c r="CI1049" s="885"/>
      <c r="CJ1049" s="885"/>
      <c r="CK1049" s="885"/>
      <c r="CL1049" s="885"/>
      <c r="CM1049" s="885"/>
      <c r="CN1049" s="885"/>
      <c r="CO1049" s="885"/>
      <c r="CP1049" s="885"/>
      <c r="CQ1049" s="885"/>
      <c r="CR1049" s="885"/>
      <c r="CS1049" s="885"/>
      <c r="CT1049" s="885"/>
      <c r="CU1049" s="885"/>
      <c r="CV1049" s="885"/>
      <c r="CW1049" s="885"/>
      <c r="CX1049" s="885"/>
      <c r="CY1049" s="885"/>
      <c r="CZ1049" s="885"/>
      <c r="DA1049" s="885"/>
      <c r="DB1049" s="885"/>
      <c r="DC1049" s="885"/>
      <c r="DD1049" s="885"/>
      <c r="DE1049" s="885"/>
      <c r="DF1049" s="885"/>
      <c r="DG1049" s="885"/>
      <c r="DH1049" s="885"/>
      <c r="DI1049" s="885"/>
      <c r="DJ1049" s="885"/>
      <c r="DK1049" s="885"/>
      <c r="DL1049" s="885"/>
      <c r="DM1049" s="885"/>
      <c r="DN1049" s="885"/>
      <c r="DO1049" s="885"/>
      <c r="DP1049" s="885"/>
      <c r="DQ1049" s="885"/>
      <c r="DR1049" s="885"/>
      <c r="DS1049" s="885"/>
      <c r="DT1049" s="885"/>
      <c r="DU1049" s="885"/>
      <c r="DV1049" s="885"/>
      <c r="DW1049" s="885"/>
      <c r="DX1049" s="885"/>
      <c r="DY1049" s="885"/>
      <c r="DZ1049" s="885"/>
      <c r="EA1049" s="885"/>
      <c r="EB1049" s="885"/>
      <c r="EC1049" s="885"/>
      <c r="ED1049" s="885"/>
      <c r="EE1049" s="885"/>
      <c r="EF1049" s="885"/>
      <c r="EG1049" s="885"/>
      <c r="EH1049" s="885"/>
      <c r="EI1049" s="885"/>
      <c r="EJ1049" s="885"/>
      <c r="EK1049" s="885"/>
      <c r="EL1049" s="885"/>
      <c r="EM1049" s="885"/>
      <c r="EN1049" s="885"/>
      <c r="EO1049" s="885"/>
      <c r="EP1049" s="885"/>
      <c r="EQ1049" s="885"/>
      <c r="ER1049" s="885"/>
      <c r="ES1049" s="885"/>
      <c r="ET1049" s="885"/>
      <c r="EU1049" s="885"/>
      <c r="EV1049" s="885"/>
      <c r="EW1049" s="885"/>
      <c r="EX1049" s="885"/>
      <c r="EY1049" s="885"/>
      <c r="EZ1049" s="885"/>
      <c r="FA1049" s="885"/>
      <c r="FB1049" s="885"/>
      <c r="FC1049" s="885"/>
      <c r="FD1049" s="885"/>
      <c r="FE1049" s="885"/>
      <c r="FF1049" s="885"/>
      <c r="FG1049" s="885"/>
      <c r="FH1049" s="885"/>
      <c r="FI1049" s="885"/>
      <c r="FJ1049" s="885"/>
      <c r="FK1049" s="885"/>
      <c r="FL1049" s="885"/>
      <c r="FM1049" s="885"/>
      <c r="FN1049" s="885"/>
      <c r="FO1049" s="885"/>
      <c r="FP1049" s="885"/>
      <c r="FQ1049" s="885"/>
      <c r="FR1049" s="885"/>
      <c r="FS1049" s="885"/>
      <c r="FT1049" s="885"/>
      <c r="FU1049" s="885"/>
      <c r="FV1049" s="885"/>
      <c r="FW1049" s="885"/>
      <c r="FX1049" s="885"/>
      <c r="FY1049" s="885"/>
      <c r="FZ1049" s="885"/>
      <c r="GA1049" s="885"/>
      <c r="GB1049" s="885"/>
      <c r="GC1049" s="885"/>
      <c r="GD1049" s="885"/>
      <c r="GE1049" s="885"/>
      <c r="GF1049" s="885"/>
      <c r="GG1049" s="885"/>
      <c r="GH1049" s="885"/>
      <c r="GI1049" s="885"/>
      <c r="GJ1049" s="885"/>
      <c r="GK1049" s="885"/>
      <c r="GL1049" s="885"/>
      <c r="GM1049" s="885"/>
      <c r="GN1049" s="885"/>
      <c r="GO1049" s="885"/>
      <c r="GP1049" s="885"/>
      <c r="GQ1049" s="885"/>
      <c r="GR1049" s="885"/>
      <c r="GS1049" s="885"/>
      <c r="GT1049" s="885"/>
      <c r="GU1049" s="885"/>
      <c r="GV1049" s="885"/>
      <c r="GW1049" s="885"/>
      <c r="GX1049" s="885"/>
      <c r="GY1049" s="885"/>
      <c r="GZ1049" s="885"/>
      <c r="HA1049" s="885"/>
      <c r="HB1049" s="885"/>
      <c r="HC1049" s="885"/>
      <c r="HD1049" s="885"/>
      <c r="HE1049" s="885"/>
      <c r="HF1049" s="885"/>
      <c r="HG1049" s="885"/>
      <c r="HH1049" s="885"/>
      <c r="HI1049" s="885"/>
      <c r="HJ1049" s="885"/>
      <c r="HK1049" s="885"/>
      <c r="HL1049" s="885"/>
      <c r="HM1049" s="885"/>
      <c r="HN1049" s="885"/>
      <c r="HO1049" s="885"/>
      <c r="HP1049" s="885"/>
      <c r="HQ1049" s="885"/>
      <c r="HR1049" s="885"/>
      <c r="HS1049" s="885"/>
      <c r="HT1049" s="885"/>
      <c r="HU1049" s="885"/>
      <c r="HV1049" s="885"/>
      <c r="HW1049" s="885"/>
      <c r="HX1049" s="885"/>
      <c r="HY1049" s="885"/>
      <c r="HZ1049" s="885"/>
      <c r="IA1049" s="885"/>
      <c r="IB1049" s="885"/>
      <c r="IC1049" s="885"/>
      <c r="ID1049" s="885"/>
      <c r="IE1049" s="885"/>
      <c r="IF1049" s="885"/>
      <c r="IG1049" s="885"/>
      <c r="IH1049" s="885"/>
      <c r="II1049" s="885"/>
      <c r="IJ1049" s="885"/>
      <c r="IK1049" s="885"/>
      <c r="IL1049" s="885"/>
      <c r="IM1049" s="885"/>
      <c r="IN1049" s="885"/>
      <c r="IO1049" s="885"/>
      <c r="IP1049" s="885"/>
      <c r="IQ1049" s="885"/>
      <c r="IR1049" s="885"/>
      <c r="IS1049" s="885"/>
      <c r="IT1049" s="885"/>
      <c r="IU1049" s="885"/>
      <c r="IV1049" s="885"/>
      <c r="IW1049" s="885"/>
      <c r="IX1049" s="885"/>
    </row>
    <row r="1050" spans="1:258" x14ac:dyDescent="0.25">
      <c r="A1050" s="125">
        <f t="shared" si="121"/>
        <v>1010</v>
      </c>
      <c r="B1050" s="885"/>
      <c r="C1050" s="842" t="s">
        <v>10615</v>
      </c>
      <c r="D1050" s="924">
        <v>0</v>
      </c>
      <c r="E1050" s="924">
        <v>0</v>
      </c>
      <c r="F1050" s="136">
        <v>100</v>
      </c>
      <c r="G1050" s="122" t="s">
        <v>1963</v>
      </c>
      <c r="H1050" s="885"/>
      <c r="I1050" s="885"/>
      <c r="J1050" s="885"/>
      <c r="K1050" s="885"/>
      <c r="L1050" s="885"/>
      <c r="M1050" s="885"/>
      <c r="N1050" s="885"/>
      <c r="O1050" s="885"/>
      <c r="P1050" s="885"/>
      <c r="Q1050" s="885"/>
      <c r="R1050" s="885"/>
      <c r="S1050" s="885"/>
      <c r="T1050" s="885"/>
      <c r="U1050" s="885"/>
      <c r="V1050" s="885"/>
      <c r="W1050" s="885"/>
      <c r="X1050" s="885"/>
      <c r="Y1050" s="885"/>
      <c r="Z1050" s="885"/>
      <c r="AA1050" s="885"/>
      <c r="AB1050" s="885"/>
      <c r="AC1050" s="885"/>
      <c r="AD1050" s="885"/>
      <c r="AE1050" s="885"/>
      <c r="AF1050" s="885"/>
      <c r="AG1050" s="885"/>
      <c r="AH1050" s="885"/>
      <c r="AI1050" s="885"/>
      <c r="AJ1050" s="885"/>
      <c r="AK1050" s="885"/>
      <c r="AL1050" s="885"/>
      <c r="AM1050" s="885"/>
      <c r="AN1050" s="885"/>
      <c r="AO1050" s="885"/>
      <c r="AP1050" s="885"/>
      <c r="AQ1050" s="885"/>
      <c r="AR1050" s="885"/>
      <c r="AS1050" s="885"/>
      <c r="AT1050" s="885"/>
      <c r="AU1050" s="885"/>
      <c r="AV1050" s="885"/>
      <c r="AW1050" s="885"/>
      <c r="AX1050" s="885"/>
      <c r="AY1050" s="885"/>
      <c r="AZ1050" s="885"/>
      <c r="BA1050" s="885"/>
      <c r="BB1050" s="885"/>
      <c r="BC1050" s="885"/>
      <c r="BD1050" s="885"/>
      <c r="BE1050" s="885"/>
      <c r="BF1050" s="885"/>
      <c r="BG1050" s="885"/>
      <c r="BH1050" s="885"/>
      <c r="BI1050" s="885"/>
      <c r="BJ1050" s="885"/>
      <c r="BK1050" s="885"/>
      <c r="BL1050" s="885"/>
      <c r="BM1050" s="885"/>
      <c r="BN1050" s="885"/>
      <c r="BO1050" s="885"/>
      <c r="BP1050" s="885"/>
      <c r="BQ1050" s="885"/>
      <c r="BR1050" s="885"/>
      <c r="BS1050" s="885"/>
      <c r="BT1050" s="885"/>
      <c r="BU1050" s="885"/>
      <c r="BV1050" s="885"/>
      <c r="BW1050" s="885"/>
      <c r="BX1050" s="885"/>
      <c r="BY1050" s="885"/>
      <c r="BZ1050" s="885"/>
      <c r="CA1050" s="885"/>
      <c r="CB1050" s="885"/>
      <c r="CC1050" s="885"/>
      <c r="CD1050" s="885"/>
      <c r="CE1050" s="885"/>
      <c r="CF1050" s="885"/>
      <c r="CG1050" s="885"/>
      <c r="CH1050" s="885"/>
      <c r="CI1050" s="885"/>
      <c r="CJ1050" s="885"/>
      <c r="CK1050" s="885"/>
      <c r="CL1050" s="885"/>
      <c r="CM1050" s="885"/>
      <c r="CN1050" s="885"/>
      <c r="CO1050" s="885"/>
      <c r="CP1050" s="885"/>
      <c r="CQ1050" s="885"/>
      <c r="CR1050" s="885"/>
      <c r="CS1050" s="885"/>
      <c r="CT1050" s="885"/>
      <c r="CU1050" s="885"/>
      <c r="CV1050" s="885"/>
      <c r="CW1050" s="885"/>
      <c r="CX1050" s="885"/>
      <c r="CY1050" s="885"/>
      <c r="CZ1050" s="885"/>
      <c r="DA1050" s="885"/>
      <c r="DB1050" s="885"/>
      <c r="DC1050" s="885"/>
      <c r="DD1050" s="885"/>
      <c r="DE1050" s="885"/>
      <c r="DF1050" s="885"/>
      <c r="DG1050" s="885"/>
      <c r="DH1050" s="885"/>
      <c r="DI1050" s="885"/>
      <c r="DJ1050" s="885"/>
      <c r="DK1050" s="885"/>
      <c r="DL1050" s="885"/>
      <c r="DM1050" s="885"/>
      <c r="DN1050" s="885"/>
      <c r="DO1050" s="885"/>
      <c r="DP1050" s="885"/>
      <c r="DQ1050" s="885"/>
      <c r="DR1050" s="885"/>
      <c r="DS1050" s="885"/>
      <c r="DT1050" s="885"/>
      <c r="DU1050" s="885"/>
      <c r="DV1050" s="885"/>
      <c r="DW1050" s="885"/>
      <c r="DX1050" s="885"/>
      <c r="DY1050" s="885"/>
      <c r="DZ1050" s="885"/>
      <c r="EA1050" s="885"/>
      <c r="EB1050" s="885"/>
      <c r="EC1050" s="885"/>
      <c r="ED1050" s="885"/>
      <c r="EE1050" s="885"/>
      <c r="EF1050" s="885"/>
      <c r="EG1050" s="885"/>
      <c r="EH1050" s="885"/>
      <c r="EI1050" s="885"/>
      <c r="EJ1050" s="885"/>
      <c r="EK1050" s="885"/>
      <c r="EL1050" s="885"/>
      <c r="EM1050" s="885"/>
      <c r="EN1050" s="885"/>
      <c r="EO1050" s="885"/>
      <c r="EP1050" s="885"/>
      <c r="EQ1050" s="885"/>
      <c r="ER1050" s="885"/>
      <c r="ES1050" s="885"/>
      <c r="ET1050" s="885"/>
      <c r="EU1050" s="885"/>
      <c r="EV1050" s="885"/>
      <c r="EW1050" s="885"/>
      <c r="EX1050" s="885"/>
      <c r="EY1050" s="885"/>
      <c r="EZ1050" s="885"/>
      <c r="FA1050" s="885"/>
      <c r="FB1050" s="885"/>
      <c r="FC1050" s="885"/>
      <c r="FD1050" s="885"/>
      <c r="FE1050" s="885"/>
      <c r="FF1050" s="885"/>
      <c r="FG1050" s="885"/>
      <c r="FH1050" s="885"/>
      <c r="FI1050" s="885"/>
      <c r="FJ1050" s="885"/>
      <c r="FK1050" s="885"/>
      <c r="FL1050" s="885"/>
      <c r="FM1050" s="885"/>
      <c r="FN1050" s="885"/>
      <c r="FO1050" s="885"/>
      <c r="FP1050" s="885"/>
      <c r="FQ1050" s="885"/>
      <c r="FR1050" s="885"/>
      <c r="FS1050" s="885"/>
      <c r="FT1050" s="885"/>
      <c r="FU1050" s="885"/>
      <c r="FV1050" s="885"/>
      <c r="FW1050" s="885"/>
      <c r="FX1050" s="885"/>
      <c r="FY1050" s="885"/>
      <c r="FZ1050" s="885"/>
      <c r="GA1050" s="885"/>
      <c r="GB1050" s="885"/>
      <c r="GC1050" s="885"/>
      <c r="GD1050" s="885"/>
      <c r="GE1050" s="885"/>
      <c r="GF1050" s="885"/>
      <c r="GG1050" s="885"/>
      <c r="GH1050" s="885"/>
      <c r="GI1050" s="885"/>
      <c r="GJ1050" s="885"/>
      <c r="GK1050" s="885"/>
      <c r="GL1050" s="885"/>
      <c r="GM1050" s="885"/>
      <c r="GN1050" s="885"/>
      <c r="GO1050" s="885"/>
      <c r="GP1050" s="885"/>
      <c r="GQ1050" s="885"/>
      <c r="GR1050" s="885"/>
      <c r="GS1050" s="885"/>
      <c r="GT1050" s="885"/>
      <c r="GU1050" s="885"/>
      <c r="GV1050" s="885"/>
      <c r="GW1050" s="885"/>
      <c r="GX1050" s="885"/>
      <c r="GY1050" s="885"/>
      <c r="GZ1050" s="885"/>
      <c r="HA1050" s="885"/>
      <c r="HB1050" s="885"/>
      <c r="HC1050" s="885"/>
      <c r="HD1050" s="885"/>
      <c r="HE1050" s="885"/>
      <c r="HF1050" s="885"/>
      <c r="HG1050" s="885"/>
      <c r="HH1050" s="885"/>
      <c r="HI1050" s="885"/>
      <c r="HJ1050" s="885"/>
      <c r="HK1050" s="885"/>
      <c r="HL1050" s="885"/>
      <c r="HM1050" s="885"/>
      <c r="HN1050" s="885"/>
      <c r="HO1050" s="885"/>
      <c r="HP1050" s="885"/>
      <c r="HQ1050" s="885"/>
      <c r="HR1050" s="885"/>
      <c r="HS1050" s="885"/>
      <c r="HT1050" s="885"/>
      <c r="HU1050" s="885"/>
      <c r="HV1050" s="885"/>
      <c r="HW1050" s="885"/>
      <c r="HX1050" s="885"/>
      <c r="HY1050" s="885"/>
      <c r="HZ1050" s="885"/>
      <c r="IA1050" s="885"/>
      <c r="IB1050" s="885"/>
      <c r="IC1050" s="885"/>
      <c r="ID1050" s="885"/>
      <c r="IE1050" s="885"/>
      <c r="IF1050" s="885"/>
      <c r="IG1050" s="885"/>
      <c r="IH1050" s="885"/>
      <c r="II1050" s="885"/>
      <c r="IJ1050" s="885"/>
      <c r="IK1050" s="885"/>
      <c r="IL1050" s="885"/>
      <c r="IM1050" s="885"/>
      <c r="IN1050" s="885"/>
      <c r="IO1050" s="885"/>
      <c r="IP1050" s="885"/>
      <c r="IQ1050" s="885"/>
      <c r="IR1050" s="885"/>
      <c r="IS1050" s="885"/>
      <c r="IT1050" s="885"/>
      <c r="IU1050" s="885"/>
      <c r="IV1050" s="885"/>
      <c r="IW1050" s="885"/>
      <c r="IX1050" s="885"/>
    </row>
    <row r="1051" spans="1:258" x14ac:dyDescent="0.25">
      <c r="A1051" s="125">
        <f t="shared" si="121"/>
        <v>1011</v>
      </c>
      <c r="B1051" s="885"/>
      <c r="C1051" s="232" t="s">
        <v>10609</v>
      </c>
      <c r="D1051" s="915"/>
      <c r="E1051" s="915"/>
      <c r="F1051" s="129"/>
      <c r="H1051" s="885"/>
      <c r="I1051" s="885"/>
      <c r="J1051" s="885"/>
      <c r="K1051" s="885"/>
      <c r="L1051" s="885"/>
      <c r="M1051" s="885"/>
      <c r="N1051" s="885"/>
      <c r="O1051" s="885"/>
      <c r="P1051" s="885"/>
      <c r="Q1051" s="885"/>
      <c r="R1051" s="885"/>
      <c r="S1051" s="885"/>
      <c r="T1051" s="885"/>
      <c r="U1051" s="885"/>
      <c r="V1051" s="885"/>
      <c r="W1051" s="885"/>
      <c r="X1051" s="885"/>
      <c r="Y1051" s="885"/>
      <c r="Z1051" s="885"/>
      <c r="AA1051" s="885"/>
      <c r="AB1051" s="885"/>
      <c r="AC1051" s="885"/>
      <c r="AD1051" s="885"/>
      <c r="AE1051" s="885"/>
      <c r="AF1051" s="885"/>
      <c r="AG1051" s="885"/>
      <c r="AH1051" s="885"/>
      <c r="AI1051" s="885"/>
      <c r="AJ1051" s="885"/>
      <c r="AK1051" s="885"/>
      <c r="AL1051" s="885"/>
      <c r="AM1051" s="885"/>
      <c r="AN1051" s="885"/>
      <c r="AO1051" s="885"/>
      <c r="AP1051" s="885"/>
      <c r="AQ1051" s="885"/>
      <c r="AR1051" s="885"/>
      <c r="AS1051" s="885"/>
      <c r="AT1051" s="885"/>
      <c r="AU1051" s="885"/>
      <c r="AV1051" s="885"/>
      <c r="AW1051" s="885"/>
      <c r="AX1051" s="885"/>
      <c r="AY1051" s="885"/>
      <c r="AZ1051" s="885"/>
      <c r="BA1051" s="885"/>
      <c r="BB1051" s="885"/>
      <c r="BC1051" s="885"/>
      <c r="BD1051" s="885"/>
      <c r="BE1051" s="885"/>
      <c r="BF1051" s="885"/>
      <c r="BG1051" s="885"/>
      <c r="BH1051" s="885"/>
      <c r="BI1051" s="885"/>
      <c r="BJ1051" s="885"/>
      <c r="BK1051" s="885"/>
      <c r="BL1051" s="885"/>
      <c r="BM1051" s="885"/>
      <c r="BN1051" s="885"/>
      <c r="BO1051" s="885"/>
      <c r="BP1051" s="885"/>
      <c r="BQ1051" s="885"/>
      <c r="BR1051" s="885"/>
      <c r="BS1051" s="885"/>
      <c r="BT1051" s="885"/>
      <c r="BU1051" s="885"/>
      <c r="BV1051" s="885"/>
      <c r="BW1051" s="885"/>
      <c r="BX1051" s="885"/>
      <c r="BY1051" s="885"/>
      <c r="BZ1051" s="885"/>
      <c r="CA1051" s="885"/>
      <c r="CB1051" s="885"/>
      <c r="CC1051" s="885"/>
      <c r="CD1051" s="885"/>
      <c r="CE1051" s="885"/>
      <c r="CF1051" s="885"/>
      <c r="CG1051" s="885"/>
      <c r="CH1051" s="885"/>
      <c r="CI1051" s="885"/>
      <c r="CJ1051" s="885"/>
      <c r="CK1051" s="885"/>
      <c r="CL1051" s="885"/>
      <c r="CM1051" s="885"/>
      <c r="CN1051" s="885"/>
      <c r="CO1051" s="885"/>
      <c r="CP1051" s="885"/>
      <c r="CQ1051" s="885"/>
      <c r="CR1051" s="885"/>
      <c r="CS1051" s="885"/>
      <c r="CT1051" s="885"/>
      <c r="CU1051" s="885"/>
      <c r="CV1051" s="885"/>
      <c r="CW1051" s="885"/>
      <c r="CX1051" s="885"/>
      <c r="CY1051" s="885"/>
      <c r="CZ1051" s="885"/>
      <c r="DA1051" s="885"/>
      <c r="DB1051" s="885"/>
      <c r="DC1051" s="885"/>
      <c r="DD1051" s="885"/>
      <c r="DE1051" s="885"/>
      <c r="DF1051" s="885"/>
      <c r="DG1051" s="885"/>
      <c r="DH1051" s="885"/>
      <c r="DI1051" s="885"/>
      <c r="DJ1051" s="885"/>
      <c r="DK1051" s="885"/>
      <c r="DL1051" s="885"/>
      <c r="DM1051" s="885"/>
      <c r="DN1051" s="885"/>
      <c r="DO1051" s="885"/>
      <c r="DP1051" s="885"/>
      <c r="DQ1051" s="885"/>
      <c r="DR1051" s="885"/>
      <c r="DS1051" s="885"/>
      <c r="DT1051" s="885"/>
      <c r="DU1051" s="885"/>
      <c r="DV1051" s="885"/>
      <c r="DW1051" s="885"/>
      <c r="DX1051" s="885"/>
      <c r="DY1051" s="885"/>
      <c r="DZ1051" s="885"/>
      <c r="EA1051" s="885"/>
      <c r="EB1051" s="885"/>
      <c r="EC1051" s="885"/>
      <c r="ED1051" s="885"/>
      <c r="EE1051" s="885"/>
      <c r="EF1051" s="885"/>
      <c r="EG1051" s="885"/>
      <c r="EH1051" s="885"/>
      <c r="EI1051" s="885"/>
      <c r="EJ1051" s="885"/>
      <c r="EK1051" s="885"/>
      <c r="EL1051" s="885"/>
      <c r="EM1051" s="885"/>
      <c r="EN1051" s="885"/>
      <c r="EO1051" s="885"/>
      <c r="EP1051" s="885"/>
      <c r="EQ1051" s="885"/>
      <c r="ER1051" s="885"/>
      <c r="ES1051" s="885"/>
      <c r="ET1051" s="885"/>
      <c r="EU1051" s="885"/>
      <c r="EV1051" s="885"/>
      <c r="EW1051" s="885"/>
      <c r="EX1051" s="885"/>
      <c r="EY1051" s="885"/>
      <c r="EZ1051" s="885"/>
      <c r="FA1051" s="885"/>
      <c r="FB1051" s="885"/>
      <c r="FC1051" s="885"/>
      <c r="FD1051" s="885"/>
      <c r="FE1051" s="885"/>
      <c r="FF1051" s="885"/>
      <c r="FG1051" s="885"/>
      <c r="FH1051" s="885"/>
      <c r="FI1051" s="885"/>
      <c r="FJ1051" s="885"/>
      <c r="FK1051" s="885"/>
      <c r="FL1051" s="885"/>
      <c r="FM1051" s="885"/>
      <c r="FN1051" s="885"/>
      <c r="FO1051" s="885"/>
      <c r="FP1051" s="885"/>
      <c r="FQ1051" s="885"/>
      <c r="FR1051" s="885"/>
      <c r="FS1051" s="885"/>
      <c r="FT1051" s="885"/>
      <c r="FU1051" s="885"/>
      <c r="FV1051" s="885"/>
      <c r="FW1051" s="885"/>
      <c r="FX1051" s="885"/>
      <c r="FY1051" s="885"/>
      <c r="FZ1051" s="885"/>
      <c r="GA1051" s="885"/>
      <c r="GB1051" s="885"/>
      <c r="GC1051" s="885"/>
      <c r="GD1051" s="885"/>
      <c r="GE1051" s="885"/>
      <c r="GF1051" s="885"/>
      <c r="GG1051" s="885"/>
      <c r="GH1051" s="885"/>
      <c r="GI1051" s="885"/>
      <c r="GJ1051" s="885"/>
      <c r="GK1051" s="885"/>
      <c r="GL1051" s="885"/>
      <c r="GM1051" s="885"/>
      <c r="GN1051" s="885"/>
      <c r="GO1051" s="885"/>
      <c r="GP1051" s="885"/>
      <c r="GQ1051" s="885"/>
      <c r="GR1051" s="885"/>
      <c r="GS1051" s="885"/>
      <c r="GT1051" s="885"/>
      <c r="GU1051" s="885"/>
      <c r="GV1051" s="885"/>
      <c r="GW1051" s="885"/>
      <c r="GX1051" s="885"/>
      <c r="GY1051" s="885"/>
      <c r="GZ1051" s="885"/>
      <c r="HA1051" s="885"/>
      <c r="HB1051" s="885"/>
      <c r="HC1051" s="885"/>
      <c r="HD1051" s="885"/>
      <c r="HE1051" s="885"/>
      <c r="HF1051" s="885"/>
      <c r="HG1051" s="885"/>
      <c r="HH1051" s="885"/>
      <c r="HI1051" s="885"/>
      <c r="HJ1051" s="885"/>
      <c r="HK1051" s="885"/>
      <c r="HL1051" s="885"/>
      <c r="HM1051" s="885"/>
      <c r="HN1051" s="885"/>
      <c r="HO1051" s="885"/>
      <c r="HP1051" s="885"/>
      <c r="HQ1051" s="885"/>
      <c r="HR1051" s="885"/>
      <c r="HS1051" s="885"/>
      <c r="HT1051" s="885"/>
      <c r="HU1051" s="885"/>
      <c r="HV1051" s="885"/>
      <c r="HW1051" s="885"/>
      <c r="HX1051" s="885"/>
      <c r="HY1051" s="885"/>
      <c r="HZ1051" s="885"/>
      <c r="IA1051" s="885"/>
      <c r="IB1051" s="885"/>
      <c r="IC1051" s="885"/>
      <c r="ID1051" s="885"/>
      <c r="IE1051" s="885"/>
      <c r="IF1051" s="885"/>
      <c r="IG1051" s="885"/>
      <c r="IH1051" s="885"/>
      <c r="II1051" s="885"/>
      <c r="IJ1051" s="885"/>
      <c r="IK1051" s="885"/>
      <c r="IL1051" s="885"/>
      <c r="IM1051" s="885"/>
      <c r="IN1051" s="885"/>
      <c r="IO1051" s="885"/>
      <c r="IP1051" s="885"/>
      <c r="IQ1051" s="885"/>
      <c r="IR1051" s="885"/>
      <c r="IS1051" s="885"/>
      <c r="IT1051" s="885"/>
      <c r="IU1051" s="885"/>
      <c r="IV1051" s="885"/>
      <c r="IW1051" s="885"/>
      <c r="IX1051" s="885"/>
    </row>
    <row r="1052" spans="1:258" x14ac:dyDescent="0.25">
      <c r="A1052" s="125">
        <f t="shared" si="121"/>
        <v>1012</v>
      </c>
      <c r="B1052" s="885"/>
      <c r="C1052" s="842" t="s">
        <v>10616</v>
      </c>
      <c r="D1052" s="924">
        <v>0</v>
      </c>
      <c r="E1052" s="906">
        <f>D1052/6*10</f>
        <v>0</v>
      </c>
      <c r="F1052" s="136">
        <v>1000</v>
      </c>
      <c r="G1052" s="122" t="s">
        <v>1963</v>
      </c>
      <c r="H1052" s="885"/>
      <c r="I1052" s="885"/>
      <c r="J1052" s="885"/>
      <c r="K1052" s="885"/>
      <c r="L1052" s="885"/>
      <c r="M1052" s="885"/>
      <c r="N1052" s="885"/>
      <c r="O1052" s="885"/>
      <c r="P1052" s="885"/>
      <c r="Q1052" s="885"/>
      <c r="R1052" s="885"/>
      <c r="S1052" s="885"/>
      <c r="T1052" s="885"/>
      <c r="U1052" s="885"/>
      <c r="V1052" s="885"/>
      <c r="W1052" s="885"/>
      <c r="X1052" s="885"/>
      <c r="Y1052" s="885"/>
      <c r="Z1052" s="885"/>
      <c r="AA1052" s="885"/>
      <c r="AB1052" s="885"/>
      <c r="AC1052" s="885"/>
      <c r="AD1052" s="885"/>
      <c r="AE1052" s="885"/>
      <c r="AF1052" s="885"/>
      <c r="AG1052" s="885"/>
      <c r="AH1052" s="885"/>
      <c r="AI1052" s="885"/>
      <c r="AJ1052" s="885"/>
      <c r="AK1052" s="885"/>
      <c r="AL1052" s="885"/>
      <c r="AM1052" s="885"/>
      <c r="AN1052" s="885"/>
      <c r="AO1052" s="885"/>
      <c r="AP1052" s="885"/>
      <c r="AQ1052" s="885"/>
      <c r="AR1052" s="885"/>
      <c r="AS1052" s="885"/>
      <c r="AT1052" s="885"/>
      <c r="AU1052" s="885"/>
      <c r="AV1052" s="885"/>
      <c r="AW1052" s="885"/>
      <c r="AX1052" s="885"/>
      <c r="AY1052" s="885"/>
      <c r="AZ1052" s="885"/>
      <c r="BA1052" s="885"/>
      <c r="BB1052" s="885"/>
      <c r="BC1052" s="885"/>
      <c r="BD1052" s="885"/>
      <c r="BE1052" s="885"/>
      <c r="BF1052" s="885"/>
      <c r="BG1052" s="885"/>
      <c r="BH1052" s="885"/>
      <c r="BI1052" s="885"/>
      <c r="BJ1052" s="885"/>
      <c r="BK1052" s="885"/>
      <c r="BL1052" s="885"/>
      <c r="BM1052" s="885"/>
      <c r="BN1052" s="885"/>
      <c r="BO1052" s="885"/>
      <c r="BP1052" s="885"/>
      <c r="BQ1052" s="885"/>
      <c r="BR1052" s="885"/>
      <c r="BS1052" s="885"/>
      <c r="BT1052" s="885"/>
      <c r="BU1052" s="885"/>
      <c r="BV1052" s="885"/>
      <c r="BW1052" s="885"/>
      <c r="BX1052" s="885"/>
      <c r="BY1052" s="885"/>
      <c r="BZ1052" s="885"/>
      <c r="CA1052" s="885"/>
      <c r="CB1052" s="885"/>
      <c r="CC1052" s="885"/>
      <c r="CD1052" s="885"/>
      <c r="CE1052" s="885"/>
      <c r="CF1052" s="885"/>
      <c r="CG1052" s="885"/>
      <c r="CH1052" s="885"/>
      <c r="CI1052" s="885"/>
      <c r="CJ1052" s="885"/>
      <c r="CK1052" s="885"/>
      <c r="CL1052" s="885"/>
      <c r="CM1052" s="885"/>
      <c r="CN1052" s="885"/>
      <c r="CO1052" s="885"/>
      <c r="CP1052" s="885"/>
      <c r="CQ1052" s="885"/>
      <c r="CR1052" s="885"/>
      <c r="CS1052" s="885"/>
      <c r="CT1052" s="885"/>
      <c r="CU1052" s="885"/>
      <c r="CV1052" s="885"/>
      <c r="CW1052" s="885"/>
      <c r="CX1052" s="885"/>
      <c r="CY1052" s="885"/>
      <c r="CZ1052" s="885"/>
      <c r="DA1052" s="885"/>
      <c r="DB1052" s="885"/>
      <c r="DC1052" s="885"/>
      <c r="DD1052" s="885"/>
      <c r="DE1052" s="885"/>
      <c r="DF1052" s="885"/>
      <c r="DG1052" s="885"/>
      <c r="DH1052" s="885"/>
      <c r="DI1052" s="885"/>
      <c r="DJ1052" s="885"/>
      <c r="DK1052" s="885"/>
      <c r="DL1052" s="885"/>
      <c r="DM1052" s="885"/>
      <c r="DN1052" s="885"/>
      <c r="DO1052" s="885"/>
      <c r="DP1052" s="885"/>
      <c r="DQ1052" s="885"/>
      <c r="DR1052" s="885"/>
      <c r="DS1052" s="885"/>
      <c r="DT1052" s="885"/>
      <c r="DU1052" s="885"/>
      <c r="DV1052" s="885"/>
      <c r="DW1052" s="885"/>
      <c r="DX1052" s="885"/>
      <c r="DY1052" s="885"/>
      <c r="DZ1052" s="885"/>
      <c r="EA1052" s="885"/>
      <c r="EB1052" s="885"/>
      <c r="EC1052" s="885"/>
      <c r="ED1052" s="885"/>
      <c r="EE1052" s="885"/>
      <c r="EF1052" s="885"/>
      <c r="EG1052" s="885"/>
      <c r="EH1052" s="885"/>
      <c r="EI1052" s="885"/>
      <c r="EJ1052" s="885"/>
      <c r="EK1052" s="885"/>
      <c r="EL1052" s="885"/>
      <c r="EM1052" s="885"/>
      <c r="EN1052" s="885"/>
      <c r="EO1052" s="885"/>
      <c r="EP1052" s="885"/>
      <c r="EQ1052" s="885"/>
      <c r="ER1052" s="885"/>
      <c r="ES1052" s="885"/>
      <c r="ET1052" s="885"/>
      <c r="EU1052" s="885"/>
      <c r="EV1052" s="885"/>
      <c r="EW1052" s="885"/>
      <c r="EX1052" s="885"/>
      <c r="EY1052" s="885"/>
      <c r="EZ1052" s="885"/>
      <c r="FA1052" s="885"/>
      <c r="FB1052" s="885"/>
      <c r="FC1052" s="885"/>
      <c r="FD1052" s="885"/>
      <c r="FE1052" s="885"/>
      <c r="FF1052" s="885"/>
      <c r="FG1052" s="885"/>
      <c r="FH1052" s="885"/>
      <c r="FI1052" s="885"/>
      <c r="FJ1052" s="885"/>
      <c r="FK1052" s="885"/>
      <c r="FL1052" s="885"/>
      <c r="FM1052" s="885"/>
      <c r="FN1052" s="885"/>
      <c r="FO1052" s="885"/>
      <c r="FP1052" s="885"/>
      <c r="FQ1052" s="885"/>
      <c r="FR1052" s="885"/>
      <c r="FS1052" s="885"/>
      <c r="FT1052" s="885"/>
      <c r="FU1052" s="885"/>
      <c r="FV1052" s="885"/>
      <c r="FW1052" s="885"/>
      <c r="FX1052" s="885"/>
      <c r="FY1052" s="885"/>
      <c r="FZ1052" s="885"/>
      <c r="GA1052" s="885"/>
      <c r="GB1052" s="885"/>
      <c r="GC1052" s="885"/>
      <c r="GD1052" s="885"/>
      <c r="GE1052" s="885"/>
      <c r="GF1052" s="885"/>
      <c r="GG1052" s="885"/>
      <c r="GH1052" s="885"/>
      <c r="GI1052" s="885"/>
      <c r="GJ1052" s="885"/>
      <c r="GK1052" s="885"/>
      <c r="GL1052" s="885"/>
      <c r="GM1052" s="885"/>
      <c r="GN1052" s="885"/>
      <c r="GO1052" s="885"/>
      <c r="GP1052" s="885"/>
      <c r="GQ1052" s="885"/>
      <c r="GR1052" s="885"/>
      <c r="GS1052" s="885"/>
      <c r="GT1052" s="885"/>
      <c r="GU1052" s="885"/>
      <c r="GV1052" s="885"/>
      <c r="GW1052" s="885"/>
      <c r="GX1052" s="885"/>
      <c r="GY1052" s="885"/>
      <c r="GZ1052" s="885"/>
      <c r="HA1052" s="885"/>
      <c r="HB1052" s="885"/>
      <c r="HC1052" s="885"/>
      <c r="HD1052" s="885"/>
      <c r="HE1052" s="885"/>
      <c r="HF1052" s="885"/>
      <c r="HG1052" s="885"/>
      <c r="HH1052" s="885"/>
      <c r="HI1052" s="885"/>
      <c r="HJ1052" s="885"/>
      <c r="HK1052" s="885"/>
      <c r="HL1052" s="885"/>
      <c r="HM1052" s="885"/>
      <c r="HN1052" s="885"/>
      <c r="HO1052" s="885"/>
      <c r="HP1052" s="885"/>
      <c r="HQ1052" s="885"/>
      <c r="HR1052" s="885"/>
      <c r="HS1052" s="885"/>
      <c r="HT1052" s="885"/>
      <c r="HU1052" s="885"/>
      <c r="HV1052" s="885"/>
      <c r="HW1052" s="885"/>
      <c r="HX1052" s="885"/>
      <c r="HY1052" s="885"/>
      <c r="HZ1052" s="885"/>
      <c r="IA1052" s="885"/>
      <c r="IB1052" s="885"/>
      <c r="IC1052" s="885"/>
      <c r="ID1052" s="885"/>
      <c r="IE1052" s="885"/>
      <c r="IF1052" s="885"/>
      <c r="IG1052" s="885"/>
      <c r="IH1052" s="885"/>
      <c r="II1052" s="885"/>
      <c r="IJ1052" s="885"/>
      <c r="IK1052" s="885"/>
      <c r="IL1052" s="885"/>
      <c r="IM1052" s="885"/>
      <c r="IN1052" s="885"/>
      <c r="IO1052" s="885"/>
      <c r="IP1052" s="885"/>
      <c r="IQ1052" s="885"/>
      <c r="IR1052" s="885"/>
      <c r="IS1052" s="885"/>
      <c r="IT1052" s="885"/>
      <c r="IU1052" s="885"/>
      <c r="IV1052" s="885"/>
      <c r="IW1052" s="885"/>
      <c r="IX1052" s="885"/>
    </row>
    <row r="1053" spans="1:258" x14ac:dyDescent="0.25">
      <c r="A1053" s="125">
        <f t="shared" si="121"/>
        <v>1013</v>
      </c>
      <c r="B1053" s="885"/>
      <c r="C1053" s="842" t="s">
        <v>10617</v>
      </c>
      <c r="D1053" s="924">
        <v>0</v>
      </c>
      <c r="E1053" s="924">
        <v>0</v>
      </c>
      <c r="F1053" s="136">
        <v>100</v>
      </c>
      <c r="G1053" s="122" t="s">
        <v>1963</v>
      </c>
      <c r="H1053" s="885"/>
      <c r="I1053" s="885"/>
      <c r="J1053" s="885"/>
      <c r="K1053" s="885"/>
      <c r="L1053" s="885"/>
      <c r="M1053" s="885"/>
      <c r="N1053" s="885"/>
      <c r="O1053" s="885"/>
      <c r="P1053" s="885"/>
      <c r="Q1053" s="885"/>
      <c r="R1053" s="885"/>
      <c r="S1053" s="885"/>
      <c r="T1053" s="885"/>
      <c r="U1053" s="885"/>
      <c r="V1053" s="885"/>
      <c r="W1053" s="885"/>
      <c r="X1053" s="885"/>
      <c r="Y1053" s="885"/>
      <c r="Z1053" s="885"/>
      <c r="AA1053" s="885"/>
      <c r="AB1053" s="885"/>
      <c r="AC1053" s="885"/>
      <c r="AD1053" s="885"/>
      <c r="AE1053" s="885"/>
      <c r="AF1053" s="885"/>
      <c r="AG1053" s="885"/>
      <c r="AH1053" s="885"/>
      <c r="AI1053" s="885"/>
      <c r="AJ1053" s="885"/>
      <c r="AK1053" s="885"/>
      <c r="AL1053" s="885"/>
      <c r="AM1053" s="885"/>
      <c r="AN1053" s="885"/>
      <c r="AO1053" s="885"/>
      <c r="AP1053" s="885"/>
      <c r="AQ1053" s="885"/>
      <c r="AR1053" s="885"/>
      <c r="AS1053" s="885"/>
      <c r="AT1053" s="885"/>
      <c r="AU1053" s="885"/>
      <c r="AV1053" s="885"/>
      <c r="AW1053" s="885"/>
      <c r="AX1053" s="885"/>
      <c r="AY1053" s="885"/>
      <c r="AZ1053" s="885"/>
      <c r="BA1053" s="885"/>
      <c r="BB1053" s="885"/>
      <c r="BC1053" s="885"/>
      <c r="BD1053" s="885"/>
      <c r="BE1053" s="885"/>
      <c r="BF1053" s="885"/>
      <c r="BG1053" s="885"/>
      <c r="BH1053" s="885"/>
      <c r="BI1053" s="885"/>
      <c r="BJ1053" s="885"/>
      <c r="BK1053" s="885"/>
      <c r="BL1053" s="885"/>
      <c r="BM1053" s="885"/>
      <c r="BN1053" s="885"/>
      <c r="BO1053" s="885"/>
      <c r="BP1053" s="885"/>
      <c r="BQ1053" s="885"/>
      <c r="BR1053" s="885"/>
      <c r="BS1053" s="885"/>
      <c r="BT1053" s="885"/>
      <c r="BU1053" s="885"/>
      <c r="BV1053" s="885"/>
      <c r="BW1053" s="885"/>
      <c r="BX1053" s="885"/>
      <c r="BY1053" s="885"/>
      <c r="BZ1053" s="885"/>
      <c r="CA1053" s="885"/>
      <c r="CB1053" s="885"/>
      <c r="CC1053" s="885"/>
      <c r="CD1053" s="885"/>
      <c r="CE1053" s="885"/>
      <c r="CF1053" s="885"/>
      <c r="CG1053" s="885"/>
      <c r="CH1053" s="885"/>
      <c r="CI1053" s="885"/>
      <c r="CJ1053" s="885"/>
      <c r="CK1053" s="885"/>
      <c r="CL1053" s="885"/>
      <c r="CM1053" s="885"/>
      <c r="CN1053" s="885"/>
      <c r="CO1053" s="885"/>
      <c r="CP1053" s="885"/>
      <c r="CQ1053" s="885"/>
      <c r="CR1053" s="885"/>
      <c r="CS1053" s="885"/>
      <c r="CT1053" s="885"/>
      <c r="CU1053" s="885"/>
      <c r="CV1053" s="885"/>
      <c r="CW1053" s="885"/>
      <c r="CX1053" s="885"/>
      <c r="CY1053" s="885"/>
      <c r="CZ1053" s="885"/>
      <c r="DA1053" s="885"/>
      <c r="DB1053" s="885"/>
      <c r="DC1053" s="885"/>
      <c r="DD1053" s="885"/>
      <c r="DE1053" s="885"/>
      <c r="DF1053" s="885"/>
      <c r="DG1053" s="885"/>
      <c r="DH1053" s="885"/>
      <c r="DI1053" s="885"/>
      <c r="DJ1053" s="885"/>
      <c r="DK1053" s="885"/>
      <c r="DL1053" s="885"/>
      <c r="DM1053" s="885"/>
      <c r="DN1053" s="885"/>
      <c r="DO1053" s="885"/>
      <c r="DP1053" s="885"/>
      <c r="DQ1053" s="885"/>
      <c r="DR1053" s="885"/>
      <c r="DS1053" s="885"/>
      <c r="DT1053" s="885"/>
      <c r="DU1053" s="885"/>
      <c r="DV1053" s="885"/>
      <c r="DW1053" s="885"/>
      <c r="DX1053" s="885"/>
      <c r="DY1053" s="885"/>
      <c r="DZ1053" s="885"/>
      <c r="EA1053" s="885"/>
      <c r="EB1053" s="885"/>
      <c r="EC1053" s="885"/>
      <c r="ED1053" s="885"/>
      <c r="EE1053" s="885"/>
      <c r="EF1053" s="885"/>
      <c r="EG1053" s="885"/>
      <c r="EH1053" s="885"/>
      <c r="EI1053" s="885"/>
      <c r="EJ1053" s="885"/>
      <c r="EK1053" s="885"/>
      <c r="EL1053" s="885"/>
      <c r="EM1053" s="885"/>
      <c r="EN1053" s="885"/>
      <c r="EO1053" s="885"/>
      <c r="EP1053" s="885"/>
      <c r="EQ1053" s="885"/>
      <c r="ER1053" s="885"/>
      <c r="ES1053" s="885"/>
      <c r="ET1053" s="885"/>
      <c r="EU1053" s="885"/>
      <c r="EV1053" s="885"/>
      <c r="EW1053" s="885"/>
      <c r="EX1053" s="885"/>
      <c r="EY1053" s="885"/>
      <c r="EZ1053" s="885"/>
      <c r="FA1053" s="885"/>
      <c r="FB1053" s="885"/>
      <c r="FC1053" s="885"/>
      <c r="FD1053" s="885"/>
      <c r="FE1053" s="885"/>
      <c r="FF1053" s="885"/>
      <c r="FG1053" s="885"/>
      <c r="FH1053" s="885"/>
      <c r="FI1053" s="885"/>
      <c r="FJ1053" s="885"/>
      <c r="FK1053" s="885"/>
      <c r="FL1053" s="885"/>
      <c r="FM1053" s="885"/>
      <c r="FN1053" s="885"/>
      <c r="FO1053" s="885"/>
      <c r="FP1053" s="885"/>
      <c r="FQ1053" s="885"/>
      <c r="FR1053" s="885"/>
      <c r="FS1053" s="885"/>
      <c r="FT1053" s="885"/>
      <c r="FU1053" s="885"/>
      <c r="FV1053" s="885"/>
      <c r="FW1053" s="885"/>
      <c r="FX1053" s="885"/>
      <c r="FY1053" s="885"/>
      <c r="FZ1053" s="885"/>
      <c r="GA1053" s="885"/>
      <c r="GB1053" s="885"/>
      <c r="GC1053" s="885"/>
      <c r="GD1053" s="885"/>
      <c r="GE1053" s="885"/>
      <c r="GF1053" s="885"/>
      <c r="GG1053" s="885"/>
      <c r="GH1053" s="885"/>
      <c r="GI1053" s="885"/>
      <c r="GJ1053" s="885"/>
      <c r="GK1053" s="885"/>
      <c r="GL1053" s="885"/>
      <c r="GM1053" s="885"/>
      <c r="GN1053" s="885"/>
      <c r="GO1053" s="885"/>
      <c r="GP1053" s="885"/>
      <c r="GQ1053" s="885"/>
      <c r="GR1053" s="885"/>
      <c r="GS1053" s="885"/>
      <c r="GT1053" s="885"/>
      <c r="GU1053" s="885"/>
      <c r="GV1053" s="885"/>
      <c r="GW1053" s="885"/>
      <c r="GX1053" s="885"/>
      <c r="GY1053" s="885"/>
      <c r="GZ1053" s="885"/>
      <c r="HA1053" s="885"/>
      <c r="HB1053" s="885"/>
      <c r="HC1053" s="885"/>
      <c r="HD1053" s="885"/>
      <c r="HE1053" s="885"/>
      <c r="HF1053" s="885"/>
      <c r="HG1053" s="885"/>
      <c r="HH1053" s="885"/>
      <c r="HI1053" s="885"/>
      <c r="HJ1053" s="885"/>
      <c r="HK1053" s="885"/>
      <c r="HL1053" s="885"/>
      <c r="HM1053" s="885"/>
      <c r="HN1053" s="885"/>
      <c r="HO1053" s="885"/>
      <c r="HP1053" s="885"/>
      <c r="HQ1053" s="885"/>
      <c r="HR1053" s="885"/>
      <c r="HS1053" s="885"/>
      <c r="HT1053" s="885"/>
      <c r="HU1053" s="885"/>
      <c r="HV1053" s="885"/>
      <c r="HW1053" s="885"/>
      <c r="HX1053" s="885"/>
      <c r="HY1053" s="885"/>
      <c r="HZ1053" s="885"/>
      <c r="IA1053" s="885"/>
      <c r="IB1053" s="885"/>
      <c r="IC1053" s="885"/>
      <c r="ID1053" s="885"/>
      <c r="IE1053" s="885"/>
      <c r="IF1053" s="885"/>
      <c r="IG1053" s="885"/>
      <c r="IH1053" s="885"/>
      <c r="II1053" s="885"/>
      <c r="IJ1053" s="885"/>
      <c r="IK1053" s="885"/>
      <c r="IL1053" s="885"/>
      <c r="IM1053" s="885"/>
      <c r="IN1053" s="885"/>
      <c r="IO1053" s="885"/>
      <c r="IP1053" s="885"/>
      <c r="IQ1053" s="885"/>
      <c r="IR1053" s="885"/>
      <c r="IS1053" s="885"/>
      <c r="IT1053" s="885"/>
      <c r="IU1053" s="885"/>
      <c r="IV1053" s="885"/>
      <c r="IW1053" s="885"/>
      <c r="IX1053" s="885"/>
    </row>
    <row r="1054" spans="1:258" x14ac:dyDescent="0.25">
      <c r="A1054" s="125">
        <f t="shared" ref="A1054:A1117" si="127">A1053+1</f>
        <v>1014</v>
      </c>
      <c r="B1054" s="885"/>
      <c r="C1054" s="134" t="s">
        <v>10618</v>
      </c>
      <c r="D1054" s="914"/>
      <c r="E1054" s="914"/>
      <c r="F1054" s="136">
        <f>169628.83</f>
        <v>169628.83</v>
      </c>
      <c r="G1054" s="122" t="s">
        <v>1963</v>
      </c>
      <c r="H1054" s="885"/>
      <c r="I1054" s="885"/>
      <c r="J1054" s="885"/>
      <c r="K1054" s="885"/>
      <c r="L1054" s="885"/>
      <c r="M1054" s="885"/>
      <c r="N1054" s="885"/>
      <c r="O1054" s="885"/>
      <c r="P1054" s="885"/>
      <c r="Q1054" s="885"/>
      <c r="R1054" s="885"/>
      <c r="S1054" s="885"/>
      <c r="T1054" s="885"/>
      <c r="U1054" s="885"/>
      <c r="V1054" s="885"/>
      <c r="W1054" s="885"/>
      <c r="X1054" s="885"/>
      <c r="Y1054" s="885"/>
      <c r="Z1054" s="885"/>
      <c r="AA1054" s="885"/>
      <c r="AB1054" s="885"/>
      <c r="AC1054" s="885"/>
      <c r="AD1054" s="885"/>
      <c r="AE1054" s="885"/>
      <c r="AF1054" s="885"/>
      <c r="AG1054" s="885"/>
      <c r="AH1054" s="885"/>
      <c r="AI1054" s="885"/>
      <c r="AJ1054" s="885"/>
      <c r="AK1054" s="885"/>
      <c r="AL1054" s="885"/>
      <c r="AM1054" s="885"/>
      <c r="AN1054" s="885"/>
      <c r="AO1054" s="885"/>
      <c r="AP1054" s="885"/>
      <c r="AQ1054" s="885"/>
      <c r="AR1054" s="885"/>
      <c r="AS1054" s="885"/>
      <c r="AT1054" s="885"/>
      <c r="AU1054" s="885"/>
      <c r="AV1054" s="885"/>
      <c r="AW1054" s="885"/>
      <c r="AX1054" s="885"/>
      <c r="AY1054" s="885"/>
      <c r="AZ1054" s="885"/>
      <c r="BA1054" s="885"/>
      <c r="BB1054" s="885"/>
      <c r="BC1054" s="885"/>
      <c r="BD1054" s="885"/>
      <c r="BE1054" s="885"/>
      <c r="BF1054" s="885"/>
      <c r="BG1054" s="885"/>
      <c r="BH1054" s="885"/>
      <c r="BI1054" s="885"/>
      <c r="BJ1054" s="885"/>
      <c r="BK1054" s="885"/>
      <c r="BL1054" s="885"/>
      <c r="BM1054" s="885"/>
      <c r="BN1054" s="885"/>
      <c r="BO1054" s="885"/>
      <c r="BP1054" s="885"/>
      <c r="BQ1054" s="885"/>
      <c r="BR1054" s="885"/>
      <c r="BS1054" s="885"/>
      <c r="BT1054" s="885"/>
      <c r="BU1054" s="885"/>
      <c r="BV1054" s="885"/>
      <c r="BW1054" s="885"/>
      <c r="BX1054" s="885"/>
      <c r="BY1054" s="885"/>
      <c r="BZ1054" s="885"/>
      <c r="CA1054" s="885"/>
      <c r="CB1054" s="885"/>
      <c r="CC1054" s="885"/>
      <c r="CD1054" s="885"/>
      <c r="CE1054" s="885"/>
      <c r="CF1054" s="885"/>
      <c r="CG1054" s="885"/>
      <c r="CH1054" s="885"/>
      <c r="CI1054" s="885"/>
      <c r="CJ1054" s="885"/>
      <c r="CK1054" s="885"/>
      <c r="CL1054" s="885"/>
      <c r="CM1054" s="885"/>
      <c r="CN1054" s="885"/>
      <c r="CO1054" s="885"/>
      <c r="CP1054" s="885"/>
      <c r="CQ1054" s="885"/>
      <c r="CR1054" s="885"/>
      <c r="CS1054" s="885"/>
      <c r="CT1054" s="885"/>
      <c r="CU1054" s="885"/>
      <c r="CV1054" s="885"/>
      <c r="CW1054" s="885"/>
      <c r="CX1054" s="885"/>
      <c r="CY1054" s="885"/>
      <c r="CZ1054" s="885"/>
      <c r="DA1054" s="885"/>
      <c r="DB1054" s="885"/>
      <c r="DC1054" s="885"/>
      <c r="DD1054" s="885"/>
      <c r="DE1054" s="885"/>
      <c r="DF1054" s="885"/>
      <c r="DG1054" s="885"/>
      <c r="DH1054" s="885"/>
      <c r="DI1054" s="885"/>
      <c r="DJ1054" s="885"/>
      <c r="DK1054" s="885"/>
      <c r="DL1054" s="885"/>
      <c r="DM1054" s="885"/>
      <c r="DN1054" s="885"/>
      <c r="DO1054" s="885"/>
      <c r="DP1054" s="885"/>
      <c r="DQ1054" s="885"/>
      <c r="DR1054" s="885"/>
      <c r="DS1054" s="885"/>
      <c r="DT1054" s="885"/>
      <c r="DU1054" s="885"/>
      <c r="DV1054" s="885"/>
      <c r="DW1054" s="885"/>
      <c r="DX1054" s="885"/>
      <c r="DY1054" s="885"/>
      <c r="DZ1054" s="885"/>
      <c r="EA1054" s="885"/>
      <c r="EB1054" s="885"/>
      <c r="EC1054" s="885"/>
      <c r="ED1054" s="885"/>
      <c r="EE1054" s="885"/>
      <c r="EF1054" s="885"/>
      <c r="EG1054" s="885"/>
      <c r="EH1054" s="885"/>
      <c r="EI1054" s="885"/>
      <c r="EJ1054" s="885"/>
      <c r="EK1054" s="885"/>
      <c r="EL1054" s="885"/>
      <c r="EM1054" s="885"/>
      <c r="EN1054" s="885"/>
      <c r="EO1054" s="885"/>
      <c r="EP1054" s="885"/>
      <c r="EQ1054" s="885"/>
      <c r="ER1054" s="885"/>
      <c r="ES1054" s="885"/>
      <c r="ET1054" s="885"/>
      <c r="EU1054" s="885"/>
      <c r="EV1054" s="885"/>
      <c r="EW1054" s="885"/>
      <c r="EX1054" s="885"/>
      <c r="EY1054" s="885"/>
      <c r="EZ1054" s="885"/>
      <c r="FA1054" s="885"/>
      <c r="FB1054" s="885"/>
      <c r="FC1054" s="885"/>
      <c r="FD1054" s="885"/>
      <c r="FE1054" s="885"/>
      <c r="FF1054" s="885"/>
      <c r="FG1054" s="885"/>
      <c r="FH1054" s="885"/>
      <c r="FI1054" s="885"/>
      <c r="FJ1054" s="885"/>
      <c r="FK1054" s="885"/>
      <c r="FL1054" s="885"/>
      <c r="FM1054" s="885"/>
      <c r="FN1054" s="885"/>
      <c r="FO1054" s="885"/>
      <c r="FP1054" s="885"/>
      <c r="FQ1054" s="885"/>
      <c r="FR1054" s="885"/>
      <c r="FS1054" s="885"/>
      <c r="FT1054" s="885"/>
      <c r="FU1054" s="885"/>
      <c r="FV1054" s="885"/>
      <c r="FW1054" s="885"/>
      <c r="FX1054" s="885"/>
      <c r="FY1054" s="885"/>
      <c r="FZ1054" s="885"/>
      <c r="GA1054" s="885"/>
      <c r="GB1054" s="885"/>
      <c r="GC1054" s="885"/>
      <c r="GD1054" s="885"/>
      <c r="GE1054" s="885"/>
      <c r="GF1054" s="885"/>
      <c r="GG1054" s="885"/>
      <c r="GH1054" s="885"/>
      <c r="GI1054" s="885"/>
      <c r="GJ1054" s="885"/>
      <c r="GK1054" s="885"/>
      <c r="GL1054" s="885"/>
      <c r="GM1054" s="885"/>
      <c r="GN1054" s="885"/>
      <c r="GO1054" s="885"/>
      <c r="GP1054" s="885"/>
      <c r="GQ1054" s="885"/>
      <c r="GR1054" s="885"/>
      <c r="GS1054" s="885"/>
      <c r="GT1054" s="885"/>
      <c r="GU1054" s="885"/>
      <c r="GV1054" s="885"/>
      <c r="GW1054" s="885"/>
      <c r="GX1054" s="885"/>
      <c r="GY1054" s="885"/>
      <c r="GZ1054" s="885"/>
      <c r="HA1054" s="885"/>
      <c r="HB1054" s="885"/>
      <c r="HC1054" s="885"/>
      <c r="HD1054" s="885"/>
      <c r="HE1054" s="885"/>
      <c r="HF1054" s="885"/>
      <c r="HG1054" s="885"/>
      <c r="HH1054" s="885"/>
      <c r="HI1054" s="885"/>
      <c r="HJ1054" s="885"/>
      <c r="HK1054" s="885"/>
      <c r="HL1054" s="885"/>
      <c r="HM1054" s="885"/>
      <c r="HN1054" s="885"/>
      <c r="HO1054" s="885"/>
      <c r="HP1054" s="885"/>
      <c r="HQ1054" s="885"/>
      <c r="HR1054" s="885"/>
      <c r="HS1054" s="885"/>
      <c r="HT1054" s="885"/>
      <c r="HU1054" s="885"/>
      <c r="HV1054" s="885"/>
      <c r="HW1054" s="885"/>
      <c r="HX1054" s="885"/>
      <c r="HY1054" s="885"/>
      <c r="HZ1054" s="885"/>
      <c r="IA1054" s="885"/>
      <c r="IB1054" s="885"/>
      <c r="IC1054" s="885"/>
      <c r="ID1054" s="885"/>
      <c r="IE1054" s="885"/>
      <c r="IF1054" s="885"/>
      <c r="IG1054" s="885"/>
      <c r="IH1054" s="885"/>
      <c r="II1054" s="885"/>
      <c r="IJ1054" s="885"/>
      <c r="IK1054" s="885"/>
      <c r="IL1054" s="885"/>
      <c r="IM1054" s="885"/>
      <c r="IN1054" s="885"/>
      <c r="IO1054" s="885"/>
      <c r="IP1054" s="885"/>
      <c r="IQ1054" s="885"/>
      <c r="IR1054" s="885"/>
      <c r="IS1054" s="885"/>
      <c r="IT1054" s="885"/>
      <c r="IU1054" s="885"/>
      <c r="IV1054" s="885"/>
      <c r="IW1054" s="885"/>
      <c r="IX1054" s="885"/>
    </row>
    <row r="1055" spans="1:258" x14ac:dyDescent="0.25">
      <c r="A1055" s="125">
        <f t="shared" si="127"/>
        <v>1015</v>
      </c>
      <c r="B1055" s="885"/>
      <c r="C1055" s="134"/>
      <c r="D1055" s="914"/>
      <c r="E1055" s="914"/>
      <c r="F1055" s="136"/>
      <c r="H1055" s="885"/>
      <c r="I1055" s="885"/>
      <c r="J1055" s="885"/>
      <c r="K1055" s="885"/>
      <c r="L1055" s="885"/>
      <c r="M1055" s="885"/>
      <c r="N1055" s="885"/>
      <c r="O1055" s="885"/>
      <c r="P1055" s="885"/>
      <c r="Q1055" s="885"/>
      <c r="R1055" s="885"/>
      <c r="S1055" s="885"/>
      <c r="T1055" s="885"/>
      <c r="U1055" s="885"/>
      <c r="V1055" s="885"/>
      <c r="W1055" s="885"/>
      <c r="X1055" s="885"/>
      <c r="Y1055" s="885"/>
      <c r="Z1055" s="885"/>
      <c r="AA1055" s="885"/>
      <c r="AB1055" s="885"/>
      <c r="AC1055" s="885"/>
      <c r="AD1055" s="885"/>
      <c r="AE1055" s="885"/>
      <c r="AF1055" s="885"/>
      <c r="AG1055" s="885"/>
      <c r="AH1055" s="885"/>
      <c r="AI1055" s="885"/>
      <c r="AJ1055" s="885"/>
      <c r="AK1055" s="885"/>
      <c r="AL1055" s="885"/>
      <c r="AM1055" s="885"/>
      <c r="AN1055" s="885"/>
      <c r="AO1055" s="885"/>
      <c r="AP1055" s="885"/>
      <c r="AQ1055" s="885"/>
      <c r="AR1055" s="885"/>
      <c r="AS1055" s="885"/>
      <c r="AT1055" s="885"/>
      <c r="AU1055" s="885"/>
      <c r="AV1055" s="885"/>
      <c r="AW1055" s="885"/>
      <c r="AX1055" s="885"/>
      <c r="AY1055" s="885"/>
      <c r="AZ1055" s="885"/>
      <c r="BA1055" s="885"/>
      <c r="BB1055" s="885"/>
      <c r="BC1055" s="885"/>
      <c r="BD1055" s="885"/>
      <c r="BE1055" s="885"/>
      <c r="BF1055" s="885"/>
      <c r="BG1055" s="885"/>
      <c r="BH1055" s="885"/>
      <c r="BI1055" s="885"/>
      <c r="BJ1055" s="885"/>
      <c r="BK1055" s="885"/>
      <c r="BL1055" s="885"/>
      <c r="BM1055" s="885"/>
      <c r="BN1055" s="885"/>
      <c r="BO1055" s="885"/>
      <c r="BP1055" s="885"/>
      <c r="BQ1055" s="885"/>
      <c r="BR1055" s="885"/>
      <c r="BS1055" s="885"/>
      <c r="BT1055" s="885"/>
      <c r="BU1055" s="885"/>
      <c r="BV1055" s="885"/>
      <c r="BW1055" s="885"/>
      <c r="BX1055" s="885"/>
      <c r="BY1055" s="885"/>
      <c r="BZ1055" s="885"/>
      <c r="CA1055" s="885"/>
      <c r="CB1055" s="885"/>
      <c r="CC1055" s="885"/>
      <c r="CD1055" s="885"/>
      <c r="CE1055" s="885"/>
      <c r="CF1055" s="885"/>
      <c r="CG1055" s="885"/>
      <c r="CH1055" s="885"/>
      <c r="CI1055" s="885"/>
      <c r="CJ1055" s="885"/>
      <c r="CK1055" s="885"/>
      <c r="CL1055" s="885"/>
      <c r="CM1055" s="885"/>
      <c r="CN1055" s="885"/>
      <c r="CO1055" s="885"/>
      <c r="CP1055" s="885"/>
      <c r="CQ1055" s="885"/>
      <c r="CR1055" s="885"/>
      <c r="CS1055" s="885"/>
      <c r="CT1055" s="885"/>
      <c r="CU1055" s="885"/>
      <c r="CV1055" s="885"/>
      <c r="CW1055" s="885"/>
      <c r="CX1055" s="885"/>
      <c r="CY1055" s="885"/>
      <c r="CZ1055" s="885"/>
      <c r="DA1055" s="885"/>
      <c r="DB1055" s="885"/>
      <c r="DC1055" s="885"/>
      <c r="DD1055" s="885"/>
      <c r="DE1055" s="885"/>
      <c r="DF1055" s="885"/>
      <c r="DG1055" s="885"/>
      <c r="DH1055" s="885"/>
      <c r="DI1055" s="885"/>
      <c r="DJ1055" s="885"/>
      <c r="DK1055" s="885"/>
      <c r="DL1055" s="885"/>
      <c r="DM1055" s="885"/>
      <c r="DN1055" s="885"/>
      <c r="DO1055" s="885"/>
      <c r="DP1055" s="885"/>
      <c r="DQ1055" s="885"/>
      <c r="DR1055" s="885"/>
      <c r="DS1055" s="885"/>
      <c r="DT1055" s="885"/>
      <c r="DU1055" s="885"/>
      <c r="DV1055" s="885"/>
      <c r="DW1055" s="885"/>
      <c r="DX1055" s="885"/>
      <c r="DY1055" s="885"/>
      <c r="DZ1055" s="885"/>
      <c r="EA1055" s="885"/>
      <c r="EB1055" s="885"/>
      <c r="EC1055" s="885"/>
      <c r="ED1055" s="885"/>
      <c r="EE1055" s="885"/>
      <c r="EF1055" s="885"/>
      <c r="EG1055" s="885"/>
      <c r="EH1055" s="885"/>
      <c r="EI1055" s="885"/>
      <c r="EJ1055" s="885"/>
      <c r="EK1055" s="885"/>
      <c r="EL1055" s="885"/>
      <c r="EM1055" s="885"/>
      <c r="EN1055" s="885"/>
      <c r="EO1055" s="885"/>
      <c r="EP1055" s="885"/>
      <c r="EQ1055" s="885"/>
      <c r="ER1055" s="885"/>
      <c r="ES1055" s="885"/>
      <c r="ET1055" s="885"/>
      <c r="EU1055" s="885"/>
      <c r="EV1055" s="885"/>
      <c r="EW1055" s="885"/>
      <c r="EX1055" s="885"/>
      <c r="EY1055" s="885"/>
      <c r="EZ1055" s="885"/>
      <c r="FA1055" s="885"/>
      <c r="FB1055" s="885"/>
      <c r="FC1055" s="885"/>
      <c r="FD1055" s="885"/>
      <c r="FE1055" s="885"/>
      <c r="FF1055" s="885"/>
      <c r="FG1055" s="885"/>
      <c r="FH1055" s="885"/>
      <c r="FI1055" s="885"/>
      <c r="FJ1055" s="885"/>
      <c r="FK1055" s="885"/>
      <c r="FL1055" s="885"/>
      <c r="FM1055" s="885"/>
      <c r="FN1055" s="885"/>
      <c r="FO1055" s="885"/>
      <c r="FP1055" s="885"/>
      <c r="FQ1055" s="885"/>
      <c r="FR1055" s="885"/>
      <c r="FS1055" s="885"/>
      <c r="FT1055" s="885"/>
      <c r="FU1055" s="885"/>
      <c r="FV1055" s="885"/>
      <c r="FW1055" s="885"/>
      <c r="FX1055" s="885"/>
      <c r="FY1055" s="885"/>
      <c r="FZ1055" s="885"/>
      <c r="GA1055" s="885"/>
      <c r="GB1055" s="885"/>
      <c r="GC1055" s="885"/>
      <c r="GD1055" s="885"/>
      <c r="GE1055" s="885"/>
      <c r="GF1055" s="885"/>
      <c r="GG1055" s="885"/>
      <c r="GH1055" s="885"/>
      <c r="GI1055" s="885"/>
      <c r="GJ1055" s="885"/>
      <c r="GK1055" s="885"/>
      <c r="GL1055" s="885"/>
      <c r="GM1055" s="885"/>
      <c r="GN1055" s="885"/>
      <c r="GO1055" s="885"/>
      <c r="GP1055" s="885"/>
      <c r="GQ1055" s="885"/>
      <c r="GR1055" s="885"/>
      <c r="GS1055" s="885"/>
      <c r="GT1055" s="885"/>
      <c r="GU1055" s="885"/>
      <c r="GV1055" s="885"/>
      <c r="GW1055" s="885"/>
      <c r="GX1055" s="885"/>
      <c r="GY1055" s="885"/>
      <c r="GZ1055" s="885"/>
      <c r="HA1055" s="885"/>
      <c r="HB1055" s="885"/>
      <c r="HC1055" s="885"/>
      <c r="HD1055" s="885"/>
      <c r="HE1055" s="885"/>
      <c r="HF1055" s="885"/>
      <c r="HG1055" s="885"/>
      <c r="HH1055" s="885"/>
      <c r="HI1055" s="885"/>
      <c r="HJ1055" s="885"/>
      <c r="HK1055" s="885"/>
      <c r="HL1055" s="885"/>
      <c r="HM1055" s="885"/>
      <c r="HN1055" s="885"/>
      <c r="HO1055" s="885"/>
      <c r="HP1055" s="885"/>
      <c r="HQ1055" s="885"/>
      <c r="HR1055" s="885"/>
      <c r="HS1055" s="885"/>
      <c r="HT1055" s="885"/>
      <c r="HU1055" s="885"/>
      <c r="HV1055" s="885"/>
      <c r="HW1055" s="885"/>
      <c r="HX1055" s="885"/>
      <c r="HY1055" s="885"/>
      <c r="HZ1055" s="885"/>
      <c r="IA1055" s="885"/>
      <c r="IB1055" s="885"/>
      <c r="IC1055" s="885"/>
      <c r="ID1055" s="885"/>
      <c r="IE1055" s="885"/>
      <c r="IF1055" s="885"/>
      <c r="IG1055" s="885"/>
      <c r="IH1055" s="885"/>
      <c r="II1055" s="885"/>
      <c r="IJ1055" s="885"/>
      <c r="IK1055" s="885"/>
      <c r="IL1055" s="885"/>
      <c r="IM1055" s="885"/>
      <c r="IN1055" s="885"/>
      <c r="IO1055" s="885"/>
      <c r="IP1055" s="885"/>
      <c r="IQ1055" s="885"/>
      <c r="IR1055" s="885"/>
      <c r="IS1055" s="885"/>
      <c r="IT1055" s="885"/>
      <c r="IU1055" s="885"/>
      <c r="IV1055" s="885"/>
      <c r="IW1055" s="885"/>
      <c r="IX1055" s="885"/>
    </row>
    <row r="1056" spans="1:258" x14ac:dyDescent="0.25">
      <c r="A1056" s="125">
        <f t="shared" si="127"/>
        <v>1016</v>
      </c>
      <c r="B1056" s="885"/>
      <c r="C1056" s="793" t="s">
        <v>7911</v>
      </c>
      <c r="D1056" s="918"/>
      <c r="E1056" s="918"/>
      <c r="F1056" s="793"/>
      <c r="G1056" s="793"/>
      <c r="H1056" s="793"/>
      <c r="I1056" s="793"/>
      <c r="J1056" s="885"/>
      <c r="K1056" s="885"/>
      <c r="L1056" s="885"/>
      <c r="M1056" s="885"/>
      <c r="N1056" s="885"/>
      <c r="O1056" s="885"/>
      <c r="P1056" s="885"/>
      <c r="Q1056" s="885"/>
      <c r="R1056" s="885"/>
      <c r="S1056" s="885"/>
      <c r="T1056" s="885"/>
      <c r="U1056" s="885"/>
      <c r="V1056" s="885"/>
      <c r="W1056" s="885"/>
      <c r="X1056" s="885"/>
      <c r="Y1056" s="885"/>
      <c r="Z1056" s="885"/>
      <c r="AA1056" s="885"/>
      <c r="AB1056" s="885"/>
      <c r="AC1056" s="885"/>
      <c r="AD1056" s="885"/>
      <c r="AE1056" s="885"/>
      <c r="AF1056" s="885"/>
      <c r="AG1056" s="885"/>
      <c r="AH1056" s="885"/>
      <c r="AI1056" s="885"/>
      <c r="AJ1056" s="885"/>
      <c r="AK1056" s="885"/>
      <c r="AL1056" s="885"/>
      <c r="AM1056" s="885"/>
      <c r="AN1056" s="885"/>
      <c r="AO1056" s="885"/>
      <c r="AP1056" s="885"/>
      <c r="AQ1056" s="885"/>
      <c r="AR1056" s="885"/>
      <c r="AS1056" s="885"/>
      <c r="AT1056" s="885"/>
      <c r="AU1056" s="885"/>
      <c r="AV1056" s="885"/>
      <c r="AW1056" s="885"/>
      <c r="AX1056" s="885"/>
      <c r="AY1056" s="885"/>
      <c r="AZ1056" s="885"/>
      <c r="BA1056" s="885"/>
      <c r="BB1056" s="885"/>
      <c r="BC1056" s="885"/>
      <c r="BD1056" s="885"/>
      <c r="BE1056" s="885"/>
      <c r="BF1056" s="885"/>
      <c r="BG1056" s="885"/>
      <c r="BH1056" s="885"/>
      <c r="BI1056" s="885"/>
      <c r="BJ1056" s="885"/>
      <c r="BK1056" s="885"/>
      <c r="BL1056" s="885"/>
      <c r="BM1056" s="885"/>
      <c r="BN1056" s="885"/>
      <c r="BO1056" s="885"/>
      <c r="BP1056" s="885"/>
      <c r="BQ1056" s="885"/>
      <c r="BR1056" s="885"/>
      <c r="BS1056" s="885"/>
      <c r="BT1056" s="885"/>
      <c r="BU1056" s="885"/>
      <c r="BV1056" s="885"/>
      <c r="BW1056" s="885"/>
      <c r="BX1056" s="885"/>
      <c r="BY1056" s="885"/>
      <c r="BZ1056" s="885"/>
      <c r="CA1056" s="885"/>
      <c r="CB1056" s="885"/>
      <c r="CC1056" s="885"/>
      <c r="CD1056" s="885"/>
      <c r="CE1056" s="885"/>
      <c r="CF1056" s="885"/>
      <c r="CG1056" s="885"/>
      <c r="CH1056" s="885"/>
      <c r="CI1056" s="885"/>
      <c r="CJ1056" s="885"/>
      <c r="CK1056" s="885"/>
      <c r="CL1056" s="885"/>
      <c r="CM1056" s="885"/>
      <c r="CN1056" s="885"/>
      <c r="CO1056" s="885"/>
      <c r="CP1056" s="885"/>
      <c r="CQ1056" s="885"/>
      <c r="CR1056" s="885"/>
      <c r="CS1056" s="885"/>
      <c r="CT1056" s="885"/>
      <c r="CU1056" s="885"/>
      <c r="CV1056" s="885"/>
      <c r="CW1056" s="885"/>
      <c r="CX1056" s="885"/>
      <c r="CY1056" s="885"/>
      <c r="CZ1056" s="885"/>
      <c r="DA1056" s="885"/>
      <c r="DB1056" s="885"/>
      <c r="DC1056" s="885"/>
      <c r="DD1056" s="885"/>
      <c r="DE1056" s="885"/>
      <c r="DF1056" s="885"/>
      <c r="DG1056" s="885"/>
      <c r="DH1056" s="885"/>
      <c r="DI1056" s="885"/>
      <c r="DJ1056" s="885"/>
      <c r="DK1056" s="885"/>
      <c r="DL1056" s="885"/>
      <c r="DM1056" s="885"/>
      <c r="DN1056" s="885"/>
      <c r="DO1056" s="885"/>
      <c r="DP1056" s="885"/>
      <c r="DQ1056" s="885"/>
      <c r="DR1056" s="885"/>
      <c r="DS1056" s="885"/>
      <c r="DT1056" s="885"/>
      <c r="DU1056" s="885"/>
      <c r="DV1056" s="885"/>
      <c r="DW1056" s="885"/>
      <c r="DX1056" s="885"/>
      <c r="DY1056" s="885"/>
      <c r="DZ1056" s="885"/>
      <c r="EA1056" s="885"/>
      <c r="EB1056" s="885"/>
      <c r="EC1056" s="885"/>
      <c r="ED1056" s="885"/>
      <c r="EE1056" s="885"/>
      <c r="EF1056" s="885"/>
      <c r="EG1056" s="885"/>
      <c r="EH1056" s="885"/>
      <c r="EI1056" s="885"/>
      <c r="EJ1056" s="885"/>
      <c r="EK1056" s="885"/>
      <c r="EL1056" s="885"/>
      <c r="EM1056" s="885"/>
      <c r="EN1056" s="885"/>
      <c r="EO1056" s="885"/>
      <c r="EP1056" s="885"/>
      <c r="EQ1056" s="885"/>
      <c r="ER1056" s="885"/>
      <c r="ES1056" s="885"/>
      <c r="ET1056" s="885"/>
      <c r="EU1056" s="885"/>
      <c r="EV1056" s="885"/>
      <c r="EW1056" s="885"/>
      <c r="EX1056" s="885"/>
      <c r="EY1056" s="885"/>
      <c r="EZ1056" s="885"/>
      <c r="FA1056" s="885"/>
      <c r="FB1056" s="885"/>
      <c r="FC1056" s="885"/>
      <c r="FD1056" s="885"/>
      <c r="FE1056" s="885"/>
      <c r="FF1056" s="885"/>
      <c r="FG1056" s="885"/>
      <c r="FH1056" s="885"/>
      <c r="FI1056" s="885"/>
      <c r="FJ1056" s="885"/>
      <c r="FK1056" s="885"/>
      <c r="FL1056" s="885"/>
      <c r="FM1056" s="885"/>
      <c r="FN1056" s="885"/>
      <c r="FO1056" s="885"/>
      <c r="FP1056" s="885"/>
      <c r="FQ1056" s="885"/>
      <c r="FR1056" s="885"/>
      <c r="FS1056" s="885"/>
      <c r="FT1056" s="885"/>
      <c r="FU1056" s="885"/>
      <c r="FV1056" s="885"/>
      <c r="FW1056" s="885"/>
      <c r="FX1056" s="885"/>
      <c r="FY1056" s="885"/>
      <c r="FZ1056" s="885"/>
      <c r="GA1056" s="885"/>
      <c r="GB1056" s="885"/>
      <c r="GC1056" s="885"/>
      <c r="GD1056" s="885"/>
      <c r="GE1056" s="885"/>
      <c r="GF1056" s="885"/>
      <c r="GG1056" s="885"/>
      <c r="GH1056" s="885"/>
      <c r="GI1056" s="885"/>
      <c r="GJ1056" s="885"/>
      <c r="GK1056" s="885"/>
      <c r="GL1056" s="885"/>
      <c r="GM1056" s="885"/>
      <c r="GN1056" s="885"/>
      <c r="GO1056" s="885"/>
      <c r="GP1056" s="885"/>
      <c r="GQ1056" s="885"/>
      <c r="GR1056" s="885"/>
      <c r="GS1056" s="885"/>
      <c r="GT1056" s="885"/>
      <c r="GU1056" s="885"/>
      <c r="GV1056" s="885"/>
      <c r="GW1056" s="885"/>
      <c r="GX1056" s="885"/>
      <c r="GY1056" s="885"/>
      <c r="GZ1056" s="885"/>
      <c r="HA1056" s="885"/>
      <c r="HB1056" s="885"/>
      <c r="HC1056" s="885"/>
      <c r="HD1056" s="885"/>
      <c r="HE1056" s="885"/>
      <c r="HF1056" s="885"/>
      <c r="HG1056" s="885"/>
      <c r="HH1056" s="885"/>
      <c r="HI1056" s="885"/>
      <c r="HJ1056" s="885"/>
      <c r="HK1056" s="885"/>
      <c r="HL1056" s="885"/>
      <c r="HM1056" s="885"/>
      <c r="HN1056" s="885"/>
      <c r="HO1056" s="885"/>
      <c r="HP1056" s="885"/>
      <c r="HQ1056" s="885"/>
      <c r="HR1056" s="885"/>
      <c r="HS1056" s="885"/>
      <c r="HT1056" s="885"/>
      <c r="HU1056" s="885"/>
      <c r="HV1056" s="885"/>
      <c r="HW1056" s="885"/>
      <c r="HX1056" s="885"/>
      <c r="HY1056" s="885"/>
      <c r="HZ1056" s="885"/>
      <c r="IA1056" s="885"/>
      <c r="IB1056" s="885"/>
      <c r="IC1056" s="885"/>
      <c r="ID1056" s="885"/>
      <c r="IE1056" s="885"/>
      <c r="IF1056" s="885"/>
      <c r="IG1056" s="885"/>
      <c r="IH1056" s="885"/>
      <c r="II1056" s="885"/>
      <c r="IJ1056" s="885"/>
      <c r="IK1056" s="885"/>
      <c r="IL1056" s="885"/>
      <c r="IM1056" s="885"/>
      <c r="IN1056" s="885"/>
      <c r="IO1056" s="885"/>
      <c r="IP1056" s="885"/>
      <c r="IQ1056" s="885"/>
      <c r="IR1056" s="885"/>
      <c r="IS1056" s="885"/>
      <c r="IT1056" s="885"/>
      <c r="IU1056" s="885"/>
      <c r="IV1056" s="885"/>
      <c r="IW1056" s="885"/>
      <c r="IX1056" s="885"/>
    </row>
    <row r="1057" spans="1:258" x14ac:dyDescent="0.25">
      <c r="A1057" s="125">
        <f t="shared" si="127"/>
        <v>1017</v>
      </c>
      <c r="B1057" s="885"/>
      <c r="C1057" s="793" t="s">
        <v>8176</v>
      </c>
      <c r="D1057" s="918"/>
      <c r="E1057" s="918"/>
      <c r="F1057" s="793"/>
      <c r="G1057" s="793"/>
      <c r="H1057" s="793"/>
      <c r="I1057" s="793"/>
      <c r="J1057" s="885"/>
      <c r="K1057" s="885"/>
      <c r="L1057" s="885"/>
      <c r="M1057" s="885"/>
      <c r="N1057" s="885"/>
      <c r="O1057" s="885"/>
      <c r="P1057" s="885"/>
      <c r="Q1057" s="885"/>
      <c r="R1057" s="885"/>
      <c r="S1057" s="885"/>
      <c r="T1057" s="885"/>
      <c r="U1057" s="885"/>
      <c r="V1057" s="885"/>
      <c r="W1057" s="885"/>
      <c r="X1057" s="885"/>
      <c r="Y1057" s="885"/>
      <c r="Z1057" s="885"/>
      <c r="AA1057" s="885"/>
      <c r="AB1057" s="885"/>
      <c r="AC1057" s="885"/>
      <c r="AD1057" s="885"/>
      <c r="AE1057" s="885"/>
      <c r="AF1057" s="885"/>
      <c r="AG1057" s="885"/>
      <c r="AH1057" s="885"/>
      <c r="AI1057" s="885"/>
      <c r="AJ1057" s="885"/>
      <c r="AK1057" s="885"/>
      <c r="AL1057" s="885"/>
      <c r="AM1057" s="885"/>
      <c r="AN1057" s="885"/>
      <c r="AO1057" s="885"/>
      <c r="AP1057" s="885"/>
      <c r="AQ1057" s="885"/>
      <c r="AR1057" s="885"/>
      <c r="AS1057" s="885"/>
      <c r="AT1057" s="885"/>
      <c r="AU1057" s="885"/>
      <c r="AV1057" s="885"/>
      <c r="AW1057" s="885"/>
      <c r="AX1057" s="885"/>
      <c r="AY1057" s="885"/>
      <c r="AZ1057" s="885"/>
      <c r="BA1057" s="885"/>
      <c r="BB1057" s="885"/>
      <c r="BC1057" s="885"/>
      <c r="BD1057" s="885"/>
      <c r="BE1057" s="885"/>
      <c r="BF1057" s="885"/>
      <c r="BG1057" s="885"/>
      <c r="BH1057" s="885"/>
      <c r="BI1057" s="885"/>
      <c r="BJ1057" s="885"/>
      <c r="BK1057" s="885"/>
      <c r="BL1057" s="885"/>
      <c r="BM1057" s="885"/>
      <c r="BN1057" s="885"/>
      <c r="BO1057" s="885"/>
      <c r="BP1057" s="885"/>
      <c r="BQ1057" s="885"/>
      <c r="BR1057" s="885"/>
      <c r="BS1057" s="885"/>
      <c r="BT1057" s="885"/>
      <c r="BU1057" s="885"/>
      <c r="BV1057" s="885"/>
      <c r="BW1057" s="885"/>
      <c r="BX1057" s="885"/>
      <c r="BY1057" s="885"/>
      <c r="BZ1057" s="885"/>
      <c r="CA1057" s="885"/>
      <c r="CB1057" s="885"/>
      <c r="CC1057" s="885"/>
      <c r="CD1057" s="885"/>
      <c r="CE1057" s="885"/>
      <c r="CF1057" s="885"/>
      <c r="CG1057" s="885"/>
      <c r="CH1057" s="885"/>
      <c r="CI1057" s="885"/>
      <c r="CJ1057" s="885"/>
      <c r="CK1057" s="885"/>
      <c r="CL1057" s="885"/>
      <c r="CM1057" s="885"/>
      <c r="CN1057" s="885"/>
      <c r="CO1057" s="885"/>
      <c r="CP1057" s="885"/>
      <c r="CQ1057" s="885"/>
      <c r="CR1057" s="885"/>
      <c r="CS1057" s="885"/>
      <c r="CT1057" s="885"/>
      <c r="CU1057" s="885"/>
      <c r="CV1057" s="885"/>
      <c r="CW1057" s="885"/>
      <c r="CX1057" s="885"/>
      <c r="CY1057" s="885"/>
      <c r="CZ1057" s="885"/>
      <c r="DA1057" s="885"/>
      <c r="DB1057" s="885"/>
      <c r="DC1057" s="885"/>
      <c r="DD1057" s="885"/>
      <c r="DE1057" s="885"/>
      <c r="DF1057" s="885"/>
      <c r="DG1057" s="885"/>
      <c r="DH1057" s="885"/>
      <c r="DI1057" s="885"/>
      <c r="DJ1057" s="885"/>
      <c r="DK1057" s="885"/>
      <c r="DL1057" s="885"/>
      <c r="DM1057" s="885"/>
      <c r="DN1057" s="885"/>
      <c r="DO1057" s="885"/>
      <c r="DP1057" s="885"/>
      <c r="DQ1057" s="885"/>
      <c r="DR1057" s="885"/>
      <c r="DS1057" s="885"/>
      <c r="DT1057" s="885"/>
      <c r="DU1057" s="885"/>
      <c r="DV1057" s="885"/>
      <c r="DW1057" s="885"/>
      <c r="DX1057" s="885"/>
      <c r="DY1057" s="885"/>
      <c r="DZ1057" s="885"/>
      <c r="EA1057" s="885"/>
      <c r="EB1057" s="885"/>
      <c r="EC1057" s="885"/>
      <c r="ED1057" s="885"/>
      <c r="EE1057" s="885"/>
      <c r="EF1057" s="885"/>
      <c r="EG1057" s="885"/>
      <c r="EH1057" s="885"/>
      <c r="EI1057" s="885"/>
      <c r="EJ1057" s="885"/>
      <c r="EK1057" s="885"/>
      <c r="EL1057" s="885"/>
      <c r="EM1057" s="885"/>
      <c r="EN1057" s="885"/>
      <c r="EO1057" s="885"/>
      <c r="EP1057" s="885"/>
      <c r="EQ1057" s="885"/>
      <c r="ER1057" s="885"/>
      <c r="ES1057" s="885"/>
      <c r="ET1057" s="885"/>
      <c r="EU1057" s="885"/>
      <c r="EV1057" s="885"/>
      <c r="EW1057" s="885"/>
      <c r="EX1057" s="885"/>
      <c r="EY1057" s="885"/>
      <c r="EZ1057" s="885"/>
      <c r="FA1057" s="885"/>
      <c r="FB1057" s="885"/>
      <c r="FC1057" s="885"/>
      <c r="FD1057" s="885"/>
      <c r="FE1057" s="885"/>
      <c r="FF1057" s="885"/>
      <c r="FG1057" s="885"/>
      <c r="FH1057" s="885"/>
      <c r="FI1057" s="885"/>
      <c r="FJ1057" s="885"/>
      <c r="FK1057" s="885"/>
      <c r="FL1057" s="885"/>
      <c r="FM1057" s="885"/>
      <c r="FN1057" s="885"/>
      <c r="FO1057" s="885"/>
      <c r="FP1057" s="885"/>
      <c r="FQ1057" s="885"/>
      <c r="FR1057" s="885"/>
      <c r="FS1057" s="885"/>
      <c r="FT1057" s="885"/>
      <c r="FU1057" s="885"/>
      <c r="FV1057" s="885"/>
      <c r="FW1057" s="885"/>
      <c r="FX1057" s="885"/>
      <c r="FY1057" s="885"/>
      <c r="FZ1057" s="885"/>
      <c r="GA1057" s="885"/>
      <c r="GB1057" s="885"/>
      <c r="GC1057" s="885"/>
      <c r="GD1057" s="885"/>
      <c r="GE1057" s="885"/>
      <c r="GF1057" s="885"/>
      <c r="GG1057" s="885"/>
      <c r="GH1057" s="885"/>
      <c r="GI1057" s="885"/>
      <c r="GJ1057" s="885"/>
      <c r="GK1057" s="885"/>
      <c r="GL1057" s="885"/>
      <c r="GM1057" s="885"/>
      <c r="GN1057" s="885"/>
      <c r="GO1057" s="885"/>
      <c r="GP1057" s="885"/>
      <c r="GQ1057" s="885"/>
      <c r="GR1057" s="885"/>
      <c r="GS1057" s="885"/>
      <c r="GT1057" s="885"/>
      <c r="GU1057" s="885"/>
      <c r="GV1057" s="885"/>
      <c r="GW1057" s="885"/>
      <c r="GX1057" s="885"/>
      <c r="GY1057" s="885"/>
      <c r="GZ1057" s="885"/>
      <c r="HA1057" s="885"/>
      <c r="HB1057" s="885"/>
      <c r="HC1057" s="885"/>
      <c r="HD1057" s="885"/>
      <c r="HE1057" s="885"/>
      <c r="HF1057" s="885"/>
      <c r="HG1057" s="885"/>
      <c r="HH1057" s="885"/>
      <c r="HI1057" s="885"/>
      <c r="HJ1057" s="885"/>
      <c r="HK1057" s="885"/>
      <c r="HL1057" s="885"/>
      <c r="HM1057" s="885"/>
      <c r="HN1057" s="885"/>
      <c r="HO1057" s="885"/>
      <c r="HP1057" s="885"/>
      <c r="HQ1057" s="885"/>
      <c r="HR1057" s="885"/>
      <c r="HS1057" s="885"/>
      <c r="HT1057" s="885"/>
      <c r="HU1057" s="885"/>
      <c r="HV1057" s="885"/>
      <c r="HW1057" s="885"/>
      <c r="HX1057" s="885"/>
      <c r="HY1057" s="885"/>
      <c r="HZ1057" s="885"/>
      <c r="IA1057" s="885"/>
      <c r="IB1057" s="885"/>
      <c r="IC1057" s="885"/>
      <c r="ID1057" s="885"/>
      <c r="IE1057" s="885"/>
      <c r="IF1057" s="885"/>
      <c r="IG1057" s="885"/>
      <c r="IH1057" s="885"/>
      <c r="II1057" s="885"/>
      <c r="IJ1057" s="885"/>
      <c r="IK1057" s="885"/>
      <c r="IL1057" s="885"/>
      <c r="IM1057" s="885"/>
      <c r="IN1057" s="885"/>
      <c r="IO1057" s="885"/>
      <c r="IP1057" s="885"/>
      <c r="IQ1057" s="885"/>
      <c r="IR1057" s="885"/>
      <c r="IS1057" s="885"/>
      <c r="IT1057" s="885"/>
      <c r="IU1057" s="885"/>
      <c r="IV1057" s="885"/>
      <c r="IW1057" s="885"/>
      <c r="IX1057" s="885"/>
    </row>
    <row r="1058" spans="1:258" x14ac:dyDescent="0.25">
      <c r="A1058" s="125">
        <f t="shared" si="127"/>
        <v>1018</v>
      </c>
      <c r="B1058" s="885"/>
      <c r="C1058" s="232" t="s">
        <v>10619</v>
      </c>
      <c r="D1058" s="915"/>
      <c r="E1058" s="915"/>
      <c r="F1058" s="136"/>
      <c r="H1058" s="885"/>
      <c r="I1058" s="885"/>
      <c r="J1058" s="885"/>
      <c r="K1058" s="885"/>
      <c r="L1058" s="885"/>
      <c r="M1058" s="885"/>
      <c r="N1058" s="885"/>
      <c r="O1058" s="885"/>
      <c r="P1058" s="885"/>
      <c r="Q1058" s="885"/>
      <c r="R1058" s="885"/>
      <c r="S1058" s="885"/>
      <c r="T1058" s="885"/>
      <c r="U1058" s="885"/>
      <c r="V1058" s="885"/>
      <c r="W1058" s="885"/>
      <c r="X1058" s="885"/>
      <c r="Y1058" s="885"/>
      <c r="Z1058" s="885"/>
      <c r="AA1058" s="885"/>
      <c r="AB1058" s="885"/>
      <c r="AC1058" s="885"/>
      <c r="AD1058" s="885"/>
      <c r="AE1058" s="885"/>
      <c r="AF1058" s="885"/>
      <c r="AG1058" s="885"/>
      <c r="AH1058" s="885"/>
      <c r="AI1058" s="885"/>
      <c r="AJ1058" s="885"/>
      <c r="AK1058" s="885"/>
      <c r="AL1058" s="885"/>
      <c r="AM1058" s="885"/>
      <c r="AN1058" s="885"/>
      <c r="AO1058" s="885"/>
      <c r="AP1058" s="885"/>
      <c r="AQ1058" s="885"/>
      <c r="AR1058" s="885"/>
      <c r="AS1058" s="885"/>
      <c r="AT1058" s="885"/>
      <c r="AU1058" s="885"/>
      <c r="AV1058" s="885"/>
      <c r="AW1058" s="885"/>
      <c r="AX1058" s="885"/>
      <c r="AY1058" s="885"/>
      <c r="AZ1058" s="885"/>
      <c r="BA1058" s="885"/>
      <c r="BB1058" s="885"/>
      <c r="BC1058" s="885"/>
      <c r="BD1058" s="885"/>
      <c r="BE1058" s="885"/>
      <c r="BF1058" s="885"/>
      <c r="BG1058" s="885"/>
      <c r="BH1058" s="885"/>
      <c r="BI1058" s="885"/>
      <c r="BJ1058" s="885"/>
      <c r="BK1058" s="885"/>
      <c r="BL1058" s="885"/>
      <c r="BM1058" s="885"/>
      <c r="BN1058" s="885"/>
      <c r="BO1058" s="885"/>
      <c r="BP1058" s="885"/>
      <c r="BQ1058" s="885"/>
      <c r="BR1058" s="885"/>
      <c r="BS1058" s="885"/>
      <c r="BT1058" s="885"/>
      <c r="BU1058" s="885"/>
      <c r="BV1058" s="885"/>
      <c r="BW1058" s="885"/>
      <c r="BX1058" s="885"/>
      <c r="BY1058" s="885"/>
      <c r="BZ1058" s="885"/>
      <c r="CA1058" s="885"/>
      <c r="CB1058" s="885"/>
      <c r="CC1058" s="885"/>
      <c r="CD1058" s="885"/>
      <c r="CE1058" s="885"/>
      <c r="CF1058" s="885"/>
      <c r="CG1058" s="885"/>
      <c r="CH1058" s="885"/>
      <c r="CI1058" s="885"/>
      <c r="CJ1058" s="885"/>
      <c r="CK1058" s="885"/>
      <c r="CL1058" s="885"/>
      <c r="CM1058" s="885"/>
      <c r="CN1058" s="885"/>
      <c r="CO1058" s="885"/>
      <c r="CP1058" s="885"/>
      <c r="CQ1058" s="885"/>
      <c r="CR1058" s="885"/>
      <c r="CS1058" s="885"/>
      <c r="CT1058" s="885"/>
      <c r="CU1058" s="885"/>
      <c r="CV1058" s="885"/>
      <c r="CW1058" s="885"/>
      <c r="CX1058" s="885"/>
      <c r="CY1058" s="885"/>
      <c r="CZ1058" s="885"/>
      <c r="DA1058" s="885"/>
      <c r="DB1058" s="885"/>
      <c r="DC1058" s="885"/>
      <c r="DD1058" s="885"/>
      <c r="DE1058" s="885"/>
      <c r="DF1058" s="885"/>
      <c r="DG1058" s="885"/>
      <c r="DH1058" s="885"/>
      <c r="DI1058" s="885"/>
      <c r="DJ1058" s="885"/>
      <c r="DK1058" s="885"/>
      <c r="DL1058" s="885"/>
      <c r="DM1058" s="885"/>
      <c r="DN1058" s="885"/>
      <c r="DO1058" s="885"/>
      <c r="DP1058" s="885"/>
      <c r="DQ1058" s="885"/>
      <c r="DR1058" s="885"/>
      <c r="DS1058" s="885"/>
      <c r="DT1058" s="885"/>
      <c r="DU1058" s="885"/>
      <c r="DV1058" s="885"/>
      <c r="DW1058" s="885"/>
      <c r="DX1058" s="885"/>
      <c r="DY1058" s="885"/>
      <c r="DZ1058" s="885"/>
      <c r="EA1058" s="885"/>
      <c r="EB1058" s="885"/>
      <c r="EC1058" s="885"/>
      <c r="ED1058" s="885"/>
      <c r="EE1058" s="885"/>
      <c r="EF1058" s="885"/>
      <c r="EG1058" s="885"/>
      <c r="EH1058" s="885"/>
      <c r="EI1058" s="885"/>
      <c r="EJ1058" s="885"/>
      <c r="EK1058" s="885"/>
      <c r="EL1058" s="885"/>
      <c r="EM1058" s="885"/>
      <c r="EN1058" s="885"/>
      <c r="EO1058" s="885"/>
      <c r="EP1058" s="885"/>
      <c r="EQ1058" s="885"/>
      <c r="ER1058" s="885"/>
      <c r="ES1058" s="885"/>
      <c r="ET1058" s="885"/>
      <c r="EU1058" s="885"/>
      <c r="EV1058" s="885"/>
      <c r="EW1058" s="885"/>
      <c r="EX1058" s="885"/>
      <c r="EY1058" s="885"/>
      <c r="EZ1058" s="885"/>
      <c r="FA1058" s="885"/>
      <c r="FB1058" s="885"/>
      <c r="FC1058" s="885"/>
      <c r="FD1058" s="885"/>
      <c r="FE1058" s="885"/>
      <c r="FF1058" s="885"/>
      <c r="FG1058" s="885"/>
      <c r="FH1058" s="885"/>
      <c r="FI1058" s="885"/>
      <c r="FJ1058" s="885"/>
      <c r="FK1058" s="885"/>
      <c r="FL1058" s="885"/>
      <c r="FM1058" s="885"/>
      <c r="FN1058" s="885"/>
      <c r="FO1058" s="885"/>
      <c r="FP1058" s="885"/>
      <c r="FQ1058" s="885"/>
      <c r="FR1058" s="885"/>
      <c r="FS1058" s="885"/>
      <c r="FT1058" s="885"/>
      <c r="FU1058" s="885"/>
      <c r="FV1058" s="885"/>
      <c r="FW1058" s="885"/>
      <c r="FX1058" s="885"/>
      <c r="FY1058" s="885"/>
      <c r="FZ1058" s="885"/>
      <c r="GA1058" s="885"/>
      <c r="GB1058" s="885"/>
      <c r="GC1058" s="885"/>
      <c r="GD1058" s="885"/>
      <c r="GE1058" s="885"/>
      <c r="GF1058" s="885"/>
      <c r="GG1058" s="885"/>
      <c r="GH1058" s="885"/>
      <c r="GI1058" s="885"/>
      <c r="GJ1058" s="885"/>
      <c r="GK1058" s="885"/>
      <c r="GL1058" s="885"/>
      <c r="GM1058" s="885"/>
      <c r="GN1058" s="885"/>
      <c r="GO1058" s="885"/>
      <c r="GP1058" s="885"/>
      <c r="GQ1058" s="885"/>
      <c r="GR1058" s="885"/>
      <c r="GS1058" s="885"/>
      <c r="GT1058" s="885"/>
      <c r="GU1058" s="885"/>
      <c r="GV1058" s="885"/>
      <c r="GW1058" s="885"/>
      <c r="GX1058" s="885"/>
      <c r="GY1058" s="885"/>
      <c r="GZ1058" s="885"/>
      <c r="HA1058" s="885"/>
      <c r="HB1058" s="885"/>
      <c r="HC1058" s="885"/>
      <c r="HD1058" s="885"/>
      <c r="HE1058" s="885"/>
      <c r="HF1058" s="885"/>
      <c r="HG1058" s="885"/>
      <c r="HH1058" s="885"/>
      <c r="HI1058" s="885"/>
      <c r="HJ1058" s="885"/>
      <c r="HK1058" s="885"/>
      <c r="HL1058" s="885"/>
      <c r="HM1058" s="885"/>
      <c r="HN1058" s="885"/>
      <c r="HO1058" s="885"/>
      <c r="HP1058" s="885"/>
      <c r="HQ1058" s="885"/>
      <c r="HR1058" s="885"/>
      <c r="HS1058" s="885"/>
      <c r="HT1058" s="885"/>
      <c r="HU1058" s="885"/>
      <c r="HV1058" s="885"/>
      <c r="HW1058" s="885"/>
      <c r="HX1058" s="885"/>
      <c r="HY1058" s="885"/>
      <c r="HZ1058" s="885"/>
      <c r="IA1058" s="885"/>
      <c r="IB1058" s="885"/>
      <c r="IC1058" s="885"/>
      <c r="ID1058" s="885"/>
      <c r="IE1058" s="885"/>
      <c r="IF1058" s="885"/>
      <c r="IG1058" s="885"/>
      <c r="IH1058" s="885"/>
      <c r="II1058" s="885"/>
      <c r="IJ1058" s="885"/>
      <c r="IK1058" s="885"/>
      <c r="IL1058" s="885"/>
      <c r="IM1058" s="885"/>
      <c r="IN1058" s="885"/>
      <c r="IO1058" s="885"/>
      <c r="IP1058" s="885"/>
      <c r="IQ1058" s="885"/>
      <c r="IR1058" s="885"/>
      <c r="IS1058" s="885"/>
      <c r="IT1058" s="885"/>
      <c r="IU1058" s="885"/>
      <c r="IV1058" s="885"/>
      <c r="IW1058" s="885"/>
      <c r="IX1058" s="885"/>
    </row>
    <row r="1059" spans="1:258" x14ac:dyDescent="0.25">
      <c r="A1059" s="125">
        <f t="shared" si="127"/>
        <v>1019</v>
      </c>
      <c r="B1059" s="885"/>
      <c r="C1059" s="931" t="s">
        <v>10620</v>
      </c>
      <c r="D1059" s="924">
        <v>0</v>
      </c>
      <c r="E1059" s="924">
        <v>0</v>
      </c>
      <c r="F1059" s="136">
        <f>F1062*F83</f>
        <v>0.2</v>
      </c>
      <c r="G1059" s="122" t="s">
        <v>1963</v>
      </c>
      <c r="H1059" s="885"/>
      <c r="I1059" s="885"/>
      <c r="J1059" s="885"/>
      <c r="K1059" s="885"/>
      <c r="L1059" s="885"/>
      <c r="M1059" s="885"/>
      <c r="N1059" s="885"/>
      <c r="O1059" s="885"/>
      <c r="P1059" s="885"/>
      <c r="Q1059" s="885"/>
      <c r="R1059" s="885"/>
      <c r="S1059" s="885"/>
      <c r="T1059" s="885"/>
      <c r="U1059" s="885"/>
      <c r="V1059" s="885"/>
      <c r="W1059" s="885"/>
      <c r="X1059" s="885"/>
      <c r="Y1059" s="885"/>
      <c r="Z1059" s="885"/>
      <c r="AA1059" s="885"/>
      <c r="AB1059" s="885"/>
      <c r="AC1059" s="885"/>
      <c r="AD1059" s="885"/>
      <c r="AE1059" s="885"/>
      <c r="AF1059" s="885"/>
      <c r="AG1059" s="885"/>
      <c r="AH1059" s="885"/>
      <c r="AI1059" s="885"/>
      <c r="AJ1059" s="885"/>
      <c r="AK1059" s="885"/>
      <c r="AL1059" s="885"/>
      <c r="AM1059" s="885"/>
      <c r="AN1059" s="885"/>
      <c r="AO1059" s="885"/>
      <c r="AP1059" s="885"/>
      <c r="AQ1059" s="885"/>
      <c r="AR1059" s="885"/>
      <c r="AS1059" s="885"/>
      <c r="AT1059" s="885"/>
      <c r="AU1059" s="885"/>
      <c r="AV1059" s="885"/>
      <c r="AW1059" s="885"/>
      <c r="AX1059" s="885"/>
      <c r="AY1059" s="885"/>
      <c r="AZ1059" s="885"/>
      <c r="BA1059" s="885"/>
      <c r="BB1059" s="885"/>
      <c r="BC1059" s="885"/>
      <c r="BD1059" s="885"/>
      <c r="BE1059" s="885"/>
      <c r="BF1059" s="885"/>
      <c r="BG1059" s="885"/>
      <c r="BH1059" s="885"/>
      <c r="BI1059" s="885"/>
      <c r="BJ1059" s="885"/>
      <c r="BK1059" s="885"/>
      <c r="BL1059" s="885"/>
      <c r="BM1059" s="885"/>
      <c r="BN1059" s="885"/>
      <c r="BO1059" s="885"/>
      <c r="BP1059" s="885"/>
      <c r="BQ1059" s="885"/>
      <c r="BR1059" s="885"/>
      <c r="BS1059" s="885"/>
      <c r="BT1059" s="885"/>
      <c r="BU1059" s="885"/>
      <c r="BV1059" s="885"/>
      <c r="BW1059" s="885"/>
      <c r="BX1059" s="885"/>
      <c r="BY1059" s="885"/>
      <c r="BZ1059" s="885"/>
      <c r="CA1059" s="885"/>
      <c r="CB1059" s="885"/>
      <c r="CC1059" s="885"/>
      <c r="CD1059" s="885"/>
      <c r="CE1059" s="885"/>
      <c r="CF1059" s="885"/>
      <c r="CG1059" s="885"/>
      <c r="CH1059" s="885"/>
      <c r="CI1059" s="885"/>
      <c r="CJ1059" s="885"/>
      <c r="CK1059" s="885"/>
      <c r="CL1059" s="885"/>
      <c r="CM1059" s="885"/>
      <c r="CN1059" s="885"/>
      <c r="CO1059" s="885"/>
      <c r="CP1059" s="885"/>
      <c r="CQ1059" s="885"/>
      <c r="CR1059" s="885"/>
      <c r="CS1059" s="885"/>
      <c r="CT1059" s="885"/>
      <c r="CU1059" s="885"/>
      <c r="CV1059" s="885"/>
      <c r="CW1059" s="885"/>
      <c r="CX1059" s="885"/>
      <c r="CY1059" s="885"/>
      <c r="CZ1059" s="885"/>
      <c r="DA1059" s="885"/>
      <c r="DB1059" s="885"/>
      <c r="DC1059" s="885"/>
      <c r="DD1059" s="885"/>
      <c r="DE1059" s="885"/>
      <c r="DF1059" s="885"/>
      <c r="DG1059" s="885"/>
      <c r="DH1059" s="885"/>
      <c r="DI1059" s="885"/>
      <c r="DJ1059" s="885"/>
      <c r="DK1059" s="885"/>
      <c r="DL1059" s="885"/>
      <c r="DM1059" s="885"/>
      <c r="DN1059" s="885"/>
      <c r="DO1059" s="885"/>
      <c r="DP1059" s="885"/>
      <c r="DQ1059" s="885"/>
      <c r="DR1059" s="885"/>
      <c r="DS1059" s="885"/>
      <c r="DT1059" s="885"/>
      <c r="DU1059" s="885"/>
      <c r="DV1059" s="885"/>
      <c r="DW1059" s="885"/>
      <c r="DX1059" s="885"/>
      <c r="DY1059" s="885"/>
      <c r="DZ1059" s="885"/>
      <c r="EA1059" s="885"/>
      <c r="EB1059" s="885"/>
      <c r="EC1059" s="885"/>
      <c r="ED1059" s="885"/>
      <c r="EE1059" s="885"/>
      <c r="EF1059" s="885"/>
      <c r="EG1059" s="885"/>
      <c r="EH1059" s="885"/>
      <c r="EI1059" s="885"/>
      <c r="EJ1059" s="885"/>
      <c r="EK1059" s="885"/>
      <c r="EL1059" s="885"/>
      <c r="EM1059" s="885"/>
      <c r="EN1059" s="885"/>
      <c r="EO1059" s="885"/>
      <c r="EP1059" s="885"/>
      <c r="EQ1059" s="885"/>
      <c r="ER1059" s="885"/>
      <c r="ES1059" s="885"/>
      <c r="ET1059" s="885"/>
      <c r="EU1059" s="885"/>
      <c r="EV1059" s="885"/>
      <c r="EW1059" s="885"/>
      <c r="EX1059" s="885"/>
      <c r="EY1059" s="885"/>
      <c r="EZ1059" s="885"/>
      <c r="FA1059" s="885"/>
      <c r="FB1059" s="885"/>
      <c r="FC1059" s="885"/>
      <c r="FD1059" s="885"/>
      <c r="FE1059" s="885"/>
      <c r="FF1059" s="885"/>
      <c r="FG1059" s="885"/>
      <c r="FH1059" s="885"/>
      <c r="FI1059" s="885"/>
      <c r="FJ1059" s="885"/>
      <c r="FK1059" s="885"/>
      <c r="FL1059" s="885"/>
      <c r="FM1059" s="885"/>
      <c r="FN1059" s="885"/>
      <c r="FO1059" s="885"/>
      <c r="FP1059" s="885"/>
      <c r="FQ1059" s="885"/>
      <c r="FR1059" s="885"/>
      <c r="FS1059" s="885"/>
      <c r="FT1059" s="885"/>
      <c r="FU1059" s="885"/>
      <c r="FV1059" s="885"/>
      <c r="FW1059" s="885"/>
      <c r="FX1059" s="885"/>
      <c r="FY1059" s="885"/>
      <c r="FZ1059" s="885"/>
      <c r="GA1059" s="885"/>
      <c r="GB1059" s="885"/>
      <c r="GC1059" s="885"/>
      <c r="GD1059" s="885"/>
      <c r="GE1059" s="885"/>
      <c r="GF1059" s="885"/>
      <c r="GG1059" s="885"/>
      <c r="GH1059" s="885"/>
      <c r="GI1059" s="885"/>
      <c r="GJ1059" s="885"/>
      <c r="GK1059" s="885"/>
      <c r="GL1059" s="885"/>
      <c r="GM1059" s="885"/>
      <c r="GN1059" s="885"/>
      <c r="GO1059" s="885"/>
      <c r="GP1059" s="885"/>
      <c r="GQ1059" s="885"/>
      <c r="GR1059" s="885"/>
      <c r="GS1059" s="885"/>
      <c r="GT1059" s="885"/>
      <c r="GU1059" s="885"/>
      <c r="GV1059" s="885"/>
      <c r="GW1059" s="885"/>
      <c r="GX1059" s="885"/>
      <c r="GY1059" s="885"/>
      <c r="GZ1059" s="885"/>
      <c r="HA1059" s="885"/>
      <c r="HB1059" s="885"/>
      <c r="HC1059" s="885"/>
      <c r="HD1059" s="885"/>
      <c r="HE1059" s="885"/>
      <c r="HF1059" s="885"/>
      <c r="HG1059" s="885"/>
      <c r="HH1059" s="885"/>
      <c r="HI1059" s="885"/>
      <c r="HJ1059" s="885"/>
      <c r="HK1059" s="885"/>
      <c r="HL1059" s="885"/>
      <c r="HM1059" s="885"/>
      <c r="HN1059" s="885"/>
      <c r="HO1059" s="885"/>
      <c r="HP1059" s="885"/>
      <c r="HQ1059" s="885"/>
      <c r="HR1059" s="885"/>
      <c r="HS1059" s="885"/>
      <c r="HT1059" s="885"/>
      <c r="HU1059" s="885"/>
      <c r="HV1059" s="885"/>
      <c r="HW1059" s="885"/>
      <c r="HX1059" s="885"/>
      <c r="HY1059" s="885"/>
      <c r="HZ1059" s="885"/>
      <c r="IA1059" s="885"/>
      <c r="IB1059" s="885"/>
      <c r="IC1059" s="885"/>
      <c r="ID1059" s="885"/>
      <c r="IE1059" s="885"/>
      <c r="IF1059" s="885"/>
      <c r="IG1059" s="885"/>
      <c r="IH1059" s="885"/>
      <c r="II1059" s="885"/>
      <c r="IJ1059" s="885"/>
      <c r="IK1059" s="885"/>
      <c r="IL1059" s="885"/>
      <c r="IM1059" s="885"/>
      <c r="IN1059" s="885"/>
      <c r="IO1059" s="885"/>
      <c r="IP1059" s="885"/>
      <c r="IQ1059" s="885"/>
      <c r="IR1059" s="885"/>
      <c r="IS1059" s="885"/>
      <c r="IT1059" s="885"/>
      <c r="IU1059" s="885"/>
      <c r="IV1059" s="885"/>
      <c r="IW1059" s="885"/>
      <c r="IX1059" s="885"/>
    </row>
    <row r="1060" spans="1:258" x14ac:dyDescent="0.25">
      <c r="A1060" s="125">
        <f t="shared" si="127"/>
        <v>1020</v>
      </c>
      <c r="B1060" s="885"/>
      <c r="C1060" s="842" t="s">
        <v>10621</v>
      </c>
      <c r="D1060" s="924">
        <v>0</v>
      </c>
      <c r="E1060" s="924">
        <v>0</v>
      </c>
      <c r="F1060" s="136">
        <v>1</v>
      </c>
      <c r="G1060" s="122" t="s">
        <v>1963</v>
      </c>
      <c r="H1060" s="885"/>
      <c r="I1060" s="885"/>
      <c r="J1060" s="885"/>
      <c r="K1060" s="885"/>
      <c r="L1060" s="885"/>
      <c r="M1060" s="885"/>
      <c r="N1060" s="885"/>
      <c r="O1060" s="885"/>
      <c r="P1060" s="885"/>
      <c r="Q1060" s="885"/>
      <c r="R1060" s="885"/>
      <c r="S1060" s="885"/>
      <c r="T1060" s="885"/>
      <c r="U1060" s="885"/>
      <c r="V1060" s="885"/>
      <c r="W1060" s="885"/>
      <c r="X1060" s="885"/>
      <c r="Y1060" s="885"/>
      <c r="Z1060" s="885"/>
      <c r="AA1060" s="885"/>
      <c r="AB1060" s="885"/>
      <c r="AC1060" s="885"/>
      <c r="AD1060" s="885"/>
      <c r="AE1060" s="885"/>
      <c r="AF1060" s="885"/>
      <c r="AG1060" s="885"/>
      <c r="AH1060" s="885"/>
      <c r="AI1060" s="885"/>
      <c r="AJ1060" s="885"/>
      <c r="AK1060" s="885"/>
      <c r="AL1060" s="885"/>
      <c r="AM1060" s="885"/>
      <c r="AN1060" s="885"/>
      <c r="AO1060" s="885"/>
      <c r="AP1060" s="885"/>
      <c r="AQ1060" s="885"/>
      <c r="AR1060" s="885"/>
      <c r="AS1060" s="885"/>
      <c r="AT1060" s="885"/>
      <c r="AU1060" s="885"/>
      <c r="AV1060" s="885"/>
      <c r="AW1060" s="885"/>
      <c r="AX1060" s="885"/>
      <c r="AY1060" s="885"/>
      <c r="AZ1060" s="885"/>
      <c r="BA1060" s="885"/>
      <c r="BB1060" s="885"/>
      <c r="BC1060" s="885"/>
      <c r="BD1060" s="885"/>
      <c r="BE1060" s="885"/>
      <c r="BF1060" s="885"/>
      <c r="BG1060" s="885"/>
      <c r="BH1060" s="885"/>
      <c r="BI1060" s="885"/>
      <c r="BJ1060" s="885"/>
      <c r="BK1060" s="885"/>
      <c r="BL1060" s="885"/>
      <c r="BM1060" s="885"/>
      <c r="BN1060" s="885"/>
      <c r="BO1060" s="885"/>
      <c r="BP1060" s="885"/>
      <c r="BQ1060" s="885"/>
      <c r="BR1060" s="885"/>
      <c r="BS1060" s="885"/>
      <c r="BT1060" s="885"/>
      <c r="BU1060" s="885"/>
      <c r="BV1060" s="885"/>
      <c r="BW1060" s="885"/>
      <c r="BX1060" s="885"/>
      <c r="BY1060" s="885"/>
      <c r="BZ1060" s="885"/>
      <c r="CA1060" s="885"/>
      <c r="CB1060" s="885"/>
      <c r="CC1060" s="885"/>
      <c r="CD1060" s="885"/>
      <c r="CE1060" s="885"/>
      <c r="CF1060" s="885"/>
      <c r="CG1060" s="885"/>
      <c r="CH1060" s="885"/>
      <c r="CI1060" s="885"/>
      <c r="CJ1060" s="885"/>
      <c r="CK1060" s="885"/>
      <c r="CL1060" s="885"/>
      <c r="CM1060" s="885"/>
      <c r="CN1060" s="885"/>
      <c r="CO1060" s="885"/>
      <c r="CP1060" s="885"/>
      <c r="CQ1060" s="885"/>
      <c r="CR1060" s="885"/>
      <c r="CS1060" s="885"/>
      <c r="CT1060" s="885"/>
      <c r="CU1060" s="885"/>
      <c r="CV1060" s="885"/>
      <c r="CW1060" s="885"/>
      <c r="CX1060" s="885"/>
      <c r="CY1060" s="885"/>
      <c r="CZ1060" s="885"/>
      <c r="DA1060" s="885"/>
      <c r="DB1060" s="885"/>
      <c r="DC1060" s="885"/>
      <c r="DD1060" s="885"/>
      <c r="DE1060" s="885"/>
      <c r="DF1060" s="885"/>
      <c r="DG1060" s="885"/>
      <c r="DH1060" s="885"/>
      <c r="DI1060" s="885"/>
      <c r="DJ1060" s="885"/>
      <c r="DK1060" s="885"/>
      <c r="DL1060" s="885"/>
      <c r="DM1060" s="885"/>
      <c r="DN1060" s="885"/>
      <c r="DO1060" s="885"/>
      <c r="DP1060" s="885"/>
      <c r="DQ1060" s="885"/>
      <c r="DR1060" s="885"/>
      <c r="DS1060" s="885"/>
      <c r="DT1060" s="885"/>
      <c r="DU1060" s="885"/>
      <c r="DV1060" s="885"/>
      <c r="DW1060" s="885"/>
      <c r="DX1060" s="885"/>
      <c r="DY1060" s="885"/>
      <c r="DZ1060" s="885"/>
      <c r="EA1060" s="885"/>
      <c r="EB1060" s="885"/>
      <c r="EC1060" s="885"/>
      <c r="ED1060" s="885"/>
      <c r="EE1060" s="885"/>
      <c r="EF1060" s="885"/>
      <c r="EG1060" s="885"/>
      <c r="EH1060" s="885"/>
      <c r="EI1060" s="885"/>
      <c r="EJ1060" s="885"/>
      <c r="EK1060" s="885"/>
      <c r="EL1060" s="885"/>
      <c r="EM1060" s="885"/>
      <c r="EN1060" s="885"/>
      <c r="EO1060" s="885"/>
      <c r="EP1060" s="885"/>
      <c r="EQ1060" s="885"/>
      <c r="ER1060" s="885"/>
      <c r="ES1060" s="885"/>
      <c r="ET1060" s="885"/>
      <c r="EU1060" s="885"/>
      <c r="EV1060" s="885"/>
      <c r="EW1060" s="885"/>
      <c r="EX1060" s="885"/>
      <c r="EY1060" s="885"/>
      <c r="EZ1060" s="885"/>
      <c r="FA1060" s="885"/>
      <c r="FB1060" s="885"/>
      <c r="FC1060" s="885"/>
      <c r="FD1060" s="885"/>
      <c r="FE1060" s="885"/>
      <c r="FF1060" s="885"/>
      <c r="FG1060" s="885"/>
      <c r="FH1060" s="885"/>
      <c r="FI1060" s="885"/>
      <c r="FJ1060" s="885"/>
      <c r="FK1060" s="885"/>
      <c r="FL1060" s="885"/>
      <c r="FM1060" s="885"/>
      <c r="FN1060" s="885"/>
      <c r="FO1060" s="885"/>
      <c r="FP1060" s="885"/>
      <c r="FQ1060" s="885"/>
      <c r="FR1060" s="885"/>
      <c r="FS1060" s="885"/>
      <c r="FT1060" s="885"/>
      <c r="FU1060" s="885"/>
      <c r="FV1060" s="885"/>
      <c r="FW1060" s="885"/>
      <c r="FX1060" s="885"/>
      <c r="FY1060" s="885"/>
      <c r="FZ1060" s="885"/>
      <c r="GA1060" s="885"/>
      <c r="GB1060" s="885"/>
      <c r="GC1060" s="885"/>
      <c r="GD1060" s="885"/>
      <c r="GE1060" s="885"/>
      <c r="GF1060" s="885"/>
      <c r="GG1060" s="885"/>
      <c r="GH1060" s="885"/>
      <c r="GI1060" s="885"/>
      <c r="GJ1060" s="885"/>
      <c r="GK1060" s="885"/>
      <c r="GL1060" s="885"/>
      <c r="GM1060" s="885"/>
      <c r="GN1060" s="885"/>
      <c r="GO1060" s="885"/>
      <c r="GP1060" s="885"/>
      <c r="GQ1060" s="885"/>
      <c r="GR1060" s="885"/>
      <c r="GS1060" s="885"/>
      <c r="GT1060" s="885"/>
      <c r="GU1060" s="885"/>
      <c r="GV1060" s="885"/>
      <c r="GW1060" s="885"/>
      <c r="GX1060" s="885"/>
      <c r="GY1060" s="885"/>
      <c r="GZ1060" s="885"/>
      <c r="HA1060" s="885"/>
      <c r="HB1060" s="885"/>
      <c r="HC1060" s="885"/>
      <c r="HD1060" s="885"/>
      <c r="HE1060" s="885"/>
      <c r="HF1060" s="885"/>
      <c r="HG1060" s="885"/>
      <c r="HH1060" s="885"/>
      <c r="HI1060" s="885"/>
      <c r="HJ1060" s="885"/>
      <c r="HK1060" s="885"/>
      <c r="HL1060" s="885"/>
      <c r="HM1060" s="885"/>
      <c r="HN1060" s="885"/>
      <c r="HO1060" s="885"/>
      <c r="HP1060" s="885"/>
      <c r="HQ1060" s="885"/>
      <c r="HR1060" s="885"/>
      <c r="HS1060" s="885"/>
      <c r="HT1060" s="885"/>
      <c r="HU1060" s="885"/>
      <c r="HV1060" s="885"/>
      <c r="HW1060" s="885"/>
      <c r="HX1060" s="885"/>
      <c r="HY1060" s="885"/>
      <c r="HZ1060" s="885"/>
      <c r="IA1060" s="885"/>
      <c r="IB1060" s="885"/>
      <c r="IC1060" s="885"/>
      <c r="ID1060" s="885"/>
      <c r="IE1060" s="885"/>
      <c r="IF1060" s="885"/>
      <c r="IG1060" s="885"/>
      <c r="IH1060" s="885"/>
      <c r="II1060" s="885"/>
      <c r="IJ1060" s="885"/>
      <c r="IK1060" s="885"/>
      <c r="IL1060" s="885"/>
      <c r="IM1060" s="885"/>
      <c r="IN1060" s="885"/>
      <c r="IO1060" s="885"/>
      <c r="IP1060" s="885"/>
      <c r="IQ1060" s="885"/>
      <c r="IR1060" s="885"/>
      <c r="IS1060" s="885"/>
      <c r="IT1060" s="885"/>
      <c r="IU1060" s="885"/>
      <c r="IV1060" s="885"/>
      <c r="IW1060" s="885"/>
      <c r="IX1060" s="885"/>
    </row>
    <row r="1061" spans="1:258" x14ac:dyDescent="0.25">
      <c r="A1061" s="125">
        <f t="shared" si="127"/>
        <v>1021</v>
      </c>
      <c r="B1061" s="885"/>
      <c r="C1061" s="842" t="s">
        <v>10622</v>
      </c>
      <c r="D1061" s="924">
        <v>0</v>
      </c>
      <c r="E1061" s="924">
        <v>0</v>
      </c>
      <c r="F1061" s="136">
        <v>1</v>
      </c>
      <c r="G1061" s="122" t="s">
        <v>1963</v>
      </c>
      <c r="H1061" s="885"/>
      <c r="I1061" s="885"/>
      <c r="J1061" s="885"/>
      <c r="K1061" s="885"/>
      <c r="L1061" s="885"/>
      <c r="M1061" s="885"/>
      <c r="N1061" s="885"/>
      <c r="O1061" s="885"/>
      <c r="P1061" s="885"/>
      <c r="Q1061" s="885"/>
      <c r="R1061" s="885"/>
      <c r="S1061" s="885"/>
      <c r="T1061" s="885"/>
      <c r="U1061" s="885"/>
      <c r="V1061" s="885"/>
      <c r="W1061" s="885"/>
      <c r="X1061" s="885"/>
      <c r="Y1061" s="885"/>
      <c r="Z1061" s="885"/>
      <c r="AA1061" s="885"/>
      <c r="AB1061" s="885"/>
      <c r="AC1061" s="885"/>
      <c r="AD1061" s="885"/>
      <c r="AE1061" s="885"/>
      <c r="AF1061" s="885"/>
      <c r="AG1061" s="885"/>
      <c r="AH1061" s="885"/>
      <c r="AI1061" s="885"/>
      <c r="AJ1061" s="885"/>
      <c r="AK1061" s="885"/>
      <c r="AL1061" s="885"/>
      <c r="AM1061" s="885"/>
      <c r="AN1061" s="885"/>
      <c r="AO1061" s="885"/>
      <c r="AP1061" s="885"/>
      <c r="AQ1061" s="885"/>
      <c r="AR1061" s="885"/>
      <c r="AS1061" s="885"/>
      <c r="AT1061" s="885"/>
      <c r="AU1061" s="885"/>
      <c r="AV1061" s="885"/>
      <c r="AW1061" s="885"/>
      <c r="AX1061" s="885"/>
      <c r="AY1061" s="885"/>
      <c r="AZ1061" s="885"/>
      <c r="BA1061" s="885"/>
      <c r="BB1061" s="885"/>
      <c r="BC1061" s="885"/>
      <c r="BD1061" s="885"/>
      <c r="BE1061" s="885"/>
      <c r="BF1061" s="885"/>
      <c r="BG1061" s="885"/>
      <c r="BH1061" s="885"/>
      <c r="BI1061" s="885"/>
      <c r="BJ1061" s="885"/>
      <c r="BK1061" s="885"/>
      <c r="BL1061" s="885"/>
      <c r="BM1061" s="885"/>
      <c r="BN1061" s="885"/>
      <c r="BO1061" s="885"/>
      <c r="BP1061" s="885"/>
      <c r="BQ1061" s="885"/>
      <c r="BR1061" s="885"/>
      <c r="BS1061" s="885"/>
      <c r="BT1061" s="885"/>
      <c r="BU1061" s="885"/>
      <c r="BV1061" s="885"/>
      <c r="BW1061" s="885"/>
      <c r="BX1061" s="885"/>
      <c r="BY1061" s="885"/>
      <c r="BZ1061" s="885"/>
      <c r="CA1061" s="885"/>
      <c r="CB1061" s="885"/>
      <c r="CC1061" s="885"/>
      <c r="CD1061" s="885"/>
      <c r="CE1061" s="885"/>
      <c r="CF1061" s="885"/>
      <c r="CG1061" s="885"/>
      <c r="CH1061" s="885"/>
      <c r="CI1061" s="885"/>
      <c r="CJ1061" s="885"/>
      <c r="CK1061" s="885"/>
      <c r="CL1061" s="885"/>
      <c r="CM1061" s="885"/>
      <c r="CN1061" s="885"/>
      <c r="CO1061" s="885"/>
      <c r="CP1061" s="885"/>
      <c r="CQ1061" s="885"/>
      <c r="CR1061" s="885"/>
      <c r="CS1061" s="885"/>
      <c r="CT1061" s="885"/>
      <c r="CU1061" s="885"/>
      <c r="CV1061" s="885"/>
      <c r="CW1061" s="885"/>
      <c r="CX1061" s="885"/>
      <c r="CY1061" s="885"/>
      <c r="CZ1061" s="885"/>
      <c r="DA1061" s="885"/>
      <c r="DB1061" s="885"/>
      <c r="DC1061" s="885"/>
      <c r="DD1061" s="885"/>
      <c r="DE1061" s="885"/>
      <c r="DF1061" s="885"/>
      <c r="DG1061" s="885"/>
      <c r="DH1061" s="885"/>
      <c r="DI1061" s="885"/>
      <c r="DJ1061" s="885"/>
      <c r="DK1061" s="885"/>
      <c r="DL1061" s="885"/>
      <c r="DM1061" s="885"/>
      <c r="DN1061" s="885"/>
      <c r="DO1061" s="885"/>
      <c r="DP1061" s="885"/>
      <c r="DQ1061" s="885"/>
      <c r="DR1061" s="885"/>
      <c r="DS1061" s="885"/>
      <c r="DT1061" s="885"/>
      <c r="DU1061" s="885"/>
      <c r="DV1061" s="885"/>
      <c r="DW1061" s="885"/>
      <c r="DX1061" s="885"/>
      <c r="DY1061" s="885"/>
      <c r="DZ1061" s="885"/>
      <c r="EA1061" s="885"/>
      <c r="EB1061" s="885"/>
      <c r="EC1061" s="885"/>
      <c r="ED1061" s="885"/>
      <c r="EE1061" s="885"/>
      <c r="EF1061" s="885"/>
      <c r="EG1061" s="885"/>
      <c r="EH1061" s="885"/>
      <c r="EI1061" s="885"/>
      <c r="EJ1061" s="885"/>
      <c r="EK1061" s="885"/>
      <c r="EL1061" s="885"/>
      <c r="EM1061" s="885"/>
      <c r="EN1061" s="885"/>
      <c r="EO1061" s="885"/>
      <c r="EP1061" s="885"/>
      <c r="EQ1061" s="885"/>
      <c r="ER1061" s="885"/>
      <c r="ES1061" s="885"/>
      <c r="ET1061" s="885"/>
      <c r="EU1061" s="885"/>
      <c r="EV1061" s="885"/>
      <c r="EW1061" s="885"/>
      <c r="EX1061" s="885"/>
      <c r="EY1061" s="885"/>
      <c r="EZ1061" s="885"/>
      <c r="FA1061" s="885"/>
      <c r="FB1061" s="885"/>
      <c r="FC1061" s="885"/>
      <c r="FD1061" s="885"/>
      <c r="FE1061" s="885"/>
      <c r="FF1061" s="885"/>
      <c r="FG1061" s="885"/>
      <c r="FH1061" s="885"/>
      <c r="FI1061" s="885"/>
      <c r="FJ1061" s="885"/>
      <c r="FK1061" s="885"/>
      <c r="FL1061" s="885"/>
      <c r="FM1061" s="885"/>
      <c r="FN1061" s="885"/>
      <c r="FO1061" s="885"/>
      <c r="FP1061" s="885"/>
      <c r="FQ1061" s="885"/>
      <c r="FR1061" s="885"/>
      <c r="FS1061" s="885"/>
      <c r="FT1061" s="885"/>
      <c r="FU1061" s="885"/>
      <c r="FV1061" s="885"/>
      <c r="FW1061" s="885"/>
      <c r="FX1061" s="885"/>
      <c r="FY1061" s="885"/>
      <c r="FZ1061" s="885"/>
      <c r="GA1061" s="885"/>
      <c r="GB1061" s="885"/>
      <c r="GC1061" s="885"/>
      <c r="GD1061" s="885"/>
      <c r="GE1061" s="885"/>
      <c r="GF1061" s="885"/>
      <c r="GG1061" s="885"/>
      <c r="GH1061" s="885"/>
      <c r="GI1061" s="885"/>
      <c r="GJ1061" s="885"/>
      <c r="GK1061" s="885"/>
      <c r="GL1061" s="885"/>
      <c r="GM1061" s="885"/>
      <c r="GN1061" s="885"/>
      <c r="GO1061" s="885"/>
      <c r="GP1061" s="885"/>
      <c r="GQ1061" s="885"/>
      <c r="GR1061" s="885"/>
      <c r="GS1061" s="885"/>
      <c r="GT1061" s="885"/>
      <c r="GU1061" s="885"/>
      <c r="GV1061" s="885"/>
      <c r="GW1061" s="885"/>
      <c r="GX1061" s="885"/>
      <c r="GY1061" s="885"/>
      <c r="GZ1061" s="885"/>
      <c r="HA1061" s="885"/>
      <c r="HB1061" s="885"/>
      <c r="HC1061" s="885"/>
      <c r="HD1061" s="885"/>
      <c r="HE1061" s="885"/>
      <c r="HF1061" s="885"/>
      <c r="HG1061" s="885"/>
      <c r="HH1061" s="885"/>
      <c r="HI1061" s="885"/>
      <c r="HJ1061" s="885"/>
      <c r="HK1061" s="885"/>
      <c r="HL1061" s="885"/>
      <c r="HM1061" s="885"/>
      <c r="HN1061" s="885"/>
      <c r="HO1061" s="885"/>
      <c r="HP1061" s="885"/>
      <c r="HQ1061" s="885"/>
      <c r="HR1061" s="885"/>
      <c r="HS1061" s="885"/>
      <c r="HT1061" s="885"/>
      <c r="HU1061" s="885"/>
      <c r="HV1061" s="885"/>
      <c r="HW1061" s="885"/>
      <c r="HX1061" s="885"/>
      <c r="HY1061" s="885"/>
      <c r="HZ1061" s="885"/>
      <c r="IA1061" s="885"/>
      <c r="IB1061" s="885"/>
      <c r="IC1061" s="885"/>
      <c r="ID1061" s="885"/>
      <c r="IE1061" s="885"/>
      <c r="IF1061" s="885"/>
      <c r="IG1061" s="885"/>
      <c r="IH1061" s="885"/>
      <c r="II1061" s="885"/>
      <c r="IJ1061" s="885"/>
      <c r="IK1061" s="885"/>
      <c r="IL1061" s="885"/>
      <c r="IM1061" s="885"/>
      <c r="IN1061" s="885"/>
      <c r="IO1061" s="885"/>
      <c r="IP1061" s="885"/>
      <c r="IQ1061" s="885"/>
      <c r="IR1061" s="885"/>
      <c r="IS1061" s="885"/>
      <c r="IT1061" s="885"/>
      <c r="IU1061" s="885"/>
      <c r="IV1061" s="885"/>
      <c r="IW1061" s="885"/>
      <c r="IX1061" s="885"/>
    </row>
    <row r="1062" spans="1:258" x14ac:dyDescent="0.25">
      <c r="A1062" s="125">
        <f t="shared" si="127"/>
        <v>1022</v>
      </c>
      <c r="B1062" s="885"/>
      <c r="C1062" s="842" t="s">
        <v>10623</v>
      </c>
      <c r="D1062" s="924">
        <v>0</v>
      </c>
      <c r="E1062" s="924">
        <v>0</v>
      </c>
      <c r="F1062" s="136">
        <v>1</v>
      </c>
      <c r="G1062" s="122" t="s">
        <v>1963</v>
      </c>
      <c r="H1062" s="885"/>
      <c r="I1062" s="885"/>
      <c r="J1062" s="885"/>
      <c r="K1062" s="885"/>
      <c r="L1062" s="885"/>
      <c r="M1062" s="885"/>
      <c r="N1062" s="885"/>
      <c r="O1062" s="885"/>
      <c r="P1062" s="885"/>
      <c r="Q1062" s="885"/>
      <c r="R1062" s="885"/>
      <c r="S1062" s="885"/>
      <c r="T1062" s="885"/>
      <c r="U1062" s="885"/>
      <c r="V1062" s="885"/>
      <c r="W1062" s="885"/>
      <c r="X1062" s="885"/>
      <c r="Y1062" s="885"/>
      <c r="Z1062" s="885"/>
      <c r="AA1062" s="885"/>
      <c r="AB1062" s="885"/>
      <c r="AC1062" s="885"/>
      <c r="AD1062" s="885"/>
      <c r="AE1062" s="885"/>
      <c r="AF1062" s="885"/>
      <c r="AG1062" s="885"/>
      <c r="AH1062" s="885"/>
      <c r="AI1062" s="885"/>
      <c r="AJ1062" s="885"/>
      <c r="AK1062" s="885"/>
      <c r="AL1062" s="885"/>
      <c r="AM1062" s="885"/>
      <c r="AN1062" s="885"/>
      <c r="AO1062" s="885"/>
      <c r="AP1062" s="885"/>
      <c r="AQ1062" s="885"/>
      <c r="AR1062" s="885"/>
      <c r="AS1062" s="885"/>
      <c r="AT1062" s="885"/>
      <c r="AU1062" s="885"/>
      <c r="AV1062" s="885"/>
      <c r="AW1062" s="885"/>
      <c r="AX1062" s="885"/>
      <c r="AY1062" s="885"/>
      <c r="AZ1062" s="885"/>
      <c r="BA1062" s="885"/>
      <c r="BB1062" s="885"/>
      <c r="BC1062" s="885"/>
      <c r="BD1062" s="885"/>
      <c r="BE1062" s="885"/>
      <c r="BF1062" s="885"/>
      <c r="BG1062" s="885"/>
      <c r="BH1062" s="885"/>
      <c r="BI1062" s="885"/>
      <c r="BJ1062" s="885"/>
      <c r="BK1062" s="885"/>
      <c r="BL1062" s="885"/>
      <c r="BM1062" s="885"/>
      <c r="BN1062" s="885"/>
      <c r="BO1062" s="885"/>
      <c r="BP1062" s="885"/>
      <c r="BQ1062" s="885"/>
      <c r="BR1062" s="885"/>
      <c r="BS1062" s="885"/>
      <c r="BT1062" s="885"/>
      <c r="BU1062" s="885"/>
      <c r="BV1062" s="885"/>
      <c r="BW1062" s="885"/>
      <c r="BX1062" s="885"/>
      <c r="BY1062" s="885"/>
      <c r="BZ1062" s="885"/>
      <c r="CA1062" s="885"/>
      <c r="CB1062" s="885"/>
      <c r="CC1062" s="885"/>
      <c r="CD1062" s="885"/>
      <c r="CE1062" s="885"/>
      <c r="CF1062" s="885"/>
      <c r="CG1062" s="885"/>
      <c r="CH1062" s="885"/>
      <c r="CI1062" s="885"/>
      <c r="CJ1062" s="885"/>
      <c r="CK1062" s="885"/>
      <c r="CL1062" s="885"/>
      <c r="CM1062" s="885"/>
      <c r="CN1062" s="885"/>
      <c r="CO1062" s="885"/>
      <c r="CP1062" s="885"/>
      <c r="CQ1062" s="885"/>
      <c r="CR1062" s="885"/>
      <c r="CS1062" s="885"/>
      <c r="CT1062" s="885"/>
      <c r="CU1062" s="885"/>
      <c r="CV1062" s="885"/>
      <c r="CW1062" s="885"/>
      <c r="CX1062" s="885"/>
      <c r="CY1062" s="885"/>
      <c r="CZ1062" s="885"/>
      <c r="DA1062" s="885"/>
      <c r="DB1062" s="885"/>
      <c r="DC1062" s="885"/>
      <c r="DD1062" s="885"/>
      <c r="DE1062" s="885"/>
      <c r="DF1062" s="885"/>
      <c r="DG1062" s="885"/>
      <c r="DH1062" s="885"/>
      <c r="DI1062" s="885"/>
      <c r="DJ1062" s="885"/>
      <c r="DK1062" s="885"/>
      <c r="DL1062" s="885"/>
      <c r="DM1062" s="885"/>
      <c r="DN1062" s="885"/>
      <c r="DO1062" s="885"/>
      <c r="DP1062" s="885"/>
      <c r="DQ1062" s="885"/>
      <c r="DR1062" s="885"/>
      <c r="DS1062" s="885"/>
      <c r="DT1062" s="885"/>
      <c r="DU1062" s="885"/>
      <c r="DV1062" s="885"/>
      <c r="DW1062" s="885"/>
      <c r="DX1062" s="885"/>
      <c r="DY1062" s="885"/>
      <c r="DZ1062" s="885"/>
      <c r="EA1062" s="885"/>
      <c r="EB1062" s="885"/>
      <c r="EC1062" s="885"/>
      <c r="ED1062" s="885"/>
      <c r="EE1062" s="885"/>
      <c r="EF1062" s="885"/>
      <c r="EG1062" s="885"/>
      <c r="EH1062" s="885"/>
      <c r="EI1062" s="885"/>
      <c r="EJ1062" s="885"/>
      <c r="EK1062" s="885"/>
      <c r="EL1062" s="885"/>
      <c r="EM1062" s="885"/>
      <c r="EN1062" s="885"/>
      <c r="EO1062" s="885"/>
      <c r="EP1062" s="885"/>
      <c r="EQ1062" s="885"/>
      <c r="ER1062" s="885"/>
      <c r="ES1062" s="885"/>
      <c r="ET1062" s="885"/>
      <c r="EU1062" s="885"/>
      <c r="EV1062" s="885"/>
      <c r="EW1062" s="885"/>
      <c r="EX1062" s="885"/>
      <c r="EY1062" s="885"/>
      <c r="EZ1062" s="885"/>
      <c r="FA1062" s="885"/>
      <c r="FB1062" s="885"/>
      <c r="FC1062" s="885"/>
      <c r="FD1062" s="885"/>
      <c r="FE1062" s="885"/>
      <c r="FF1062" s="885"/>
      <c r="FG1062" s="885"/>
      <c r="FH1062" s="885"/>
      <c r="FI1062" s="885"/>
      <c r="FJ1062" s="885"/>
      <c r="FK1062" s="885"/>
      <c r="FL1062" s="885"/>
      <c r="FM1062" s="885"/>
      <c r="FN1062" s="885"/>
      <c r="FO1062" s="885"/>
      <c r="FP1062" s="885"/>
      <c r="FQ1062" s="885"/>
      <c r="FR1062" s="885"/>
      <c r="FS1062" s="885"/>
      <c r="FT1062" s="885"/>
      <c r="FU1062" s="885"/>
      <c r="FV1062" s="885"/>
      <c r="FW1062" s="885"/>
      <c r="FX1062" s="885"/>
      <c r="FY1062" s="885"/>
      <c r="FZ1062" s="885"/>
      <c r="GA1062" s="885"/>
      <c r="GB1062" s="885"/>
      <c r="GC1062" s="885"/>
      <c r="GD1062" s="885"/>
      <c r="GE1062" s="885"/>
      <c r="GF1062" s="885"/>
      <c r="GG1062" s="885"/>
      <c r="GH1062" s="885"/>
      <c r="GI1062" s="885"/>
      <c r="GJ1062" s="885"/>
      <c r="GK1062" s="885"/>
      <c r="GL1062" s="885"/>
      <c r="GM1062" s="885"/>
      <c r="GN1062" s="885"/>
      <c r="GO1062" s="885"/>
      <c r="GP1062" s="885"/>
      <c r="GQ1062" s="885"/>
      <c r="GR1062" s="885"/>
      <c r="GS1062" s="885"/>
      <c r="GT1062" s="885"/>
      <c r="GU1062" s="885"/>
      <c r="GV1062" s="885"/>
      <c r="GW1062" s="885"/>
      <c r="GX1062" s="885"/>
      <c r="GY1062" s="885"/>
      <c r="GZ1062" s="885"/>
      <c r="HA1062" s="885"/>
      <c r="HB1062" s="885"/>
      <c r="HC1062" s="885"/>
      <c r="HD1062" s="885"/>
      <c r="HE1062" s="885"/>
      <c r="HF1062" s="885"/>
      <c r="HG1062" s="885"/>
      <c r="HH1062" s="885"/>
      <c r="HI1062" s="885"/>
      <c r="HJ1062" s="885"/>
      <c r="HK1062" s="885"/>
      <c r="HL1062" s="885"/>
      <c r="HM1062" s="885"/>
      <c r="HN1062" s="885"/>
      <c r="HO1062" s="885"/>
      <c r="HP1062" s="885"/>
      <c r="HQ1062" s="885"/>
      <c r="HR1062" s="885"/>
      <c r="HS1062" s="885"/>
      <c r="HT1062" s="885"/>
      <c r="HU1062" s="885"/>
      <c r="HV1062" s="885"/>
      <c r="HW1062" s="885"/>
      <c r="HX1062" s="885"/>
      <c r="HY1062" s="885"/>
      <c r="HZ1062" s="885"/>
      <c r="IA1062" s="885"/>
      <c r="IB1062" s="885"/>
      <c r="IC1062" s="885"/>
      <c r="ID1062" s="885"/>
      <c r="IE1062" s="885"/>
      <c r="IF1062" s="885"/>
      <c r="IG1062" s="885"/>
      <c r="IH1062" s="885"/>
      <c r="II1062" s="885"/>
      <c r="IJ1062" s="885"/>
      <c r="IK1062" s="885"/>
      <c r="IL1062" s="885"/>
      <c r="IM1062" s="885"/>
      <c r="IN1062" s="885"/>
      <c r="IO1062" s="885"/>
      <c r="IP1062" s="885"/>
      <c r="IQ1062" s="885"/>
      <c r="IR1062" s="885"/>
      <c r="IS1062" s="885"/>
      <c r="IT1062" s="885"/>
      <c r="IU1062" s="885"/>
      <c r="IV1062" s="885"/>
      <c r="IW1062" s="885"/>
      <c r="IX1062" s="885"/>
    </row>
    <row r="1063" spans="1:258" x14ac:dyDescent="0.25">
      <c r="A1063" s="125">
        <f t="shared" si="127"/>
        <v>1023</v>
      </c>
      <c r="B1063" s="885"/>
      <c r="C1063" s="842" t="s">
        <v>10624</v>
      </c>
      <c r="D1063" s="924">
        <v>0</v>
      </c>
      <c r="E1063" s="924">
        <v>0</v>
      </c>
      <c r="F1063" s="136">
        <v>1</v>
      </c>
      <c r="G1063" s="122" t="s">
        <v>1963</v>
      </c>
      <c r="H1063" s="885"/>
      <c r="I1063" s="885"/>
      <c r="J1063" s="885"/>
      <c r="K1063" s="885"/>
      <c r="L1063" s="885"/>
      <c r="M1063" s="885"/>
      <c r="N1063" s="885"/>
      <c r="O1063" s="885"/>
      <c r="P1063" s="885"/>
      <c r="Q1063" s="885"/>
      <c r="R1063" s="885"/>
      <c r="S1063" s="885"/>
      <c r="T1063" s="885"/>
      <c r="U1063" s="885"/>
      <c r="V1063" s="885"/>
      <c r="W1063" s="885"/>
      <c r="X1063" s="885"/>
      <c r="Y1063" s="885"/>
      <c r="Z1063" s="885"/>
      <c r="AA1063" s="885"/>
      <c r="AB1063" s="885"/>
      <c r="AC1063" s="885"/>
      <c r="AD1063" s="885"/>
      <c r="AE1063" s="885"/>
      <c r="AF1063" s="885"/>
      <c r="AG1063" s="885"/>
      <c r="AH1063" s="885"/>
      <c r="AI1063" s="885"/>
      <c r="AJ1063" s="885"/>
      <c r="AK1063" s="885"/>
      <c r="AL1063" s="885"/>
      <c r="AM1063" s="885"/>
      <c r="AN1063" s="885"/>
      <c r="AO1063" s="885"/>
      <c r="AP1063" s="885"/>
      <c r="AQ1063" s="885"/>
      <c r="AR1063" s="885"/>
      <c r="AS1063" s="885"/>
      <c r="AT1063" s="885"/>
      <c r="AU1063" s="885"/>
      <c r="AV1063" s="885"/>
      <c r="AW1063" s="885"/>
      <c r="AX1063" s="885"/>
      <c r="AY1063" s="885"/>
      <c r="AZ1063" s="885"/>
      <c r="BA1063" s="885"/>
      <c r="BB1063" s="885"/>
      <c r="BC1063" s="885"/>
      <c r="BD1063" s="885"/>
      <c r="BE1063" s="885"/>
      <c r="BF1063" s="885"/>
      <c r="BG1063" s="885"/>
      <c r="BH1063" s="885"/>
      <c r="BI1063" s="885"/>
      <c r="BJ1063" s="885"/>
      <c r="BK1063" s="885"/>
      <c r="BL1063" s="885"/>
      <c r="BM1063" s="885"/>
      <c r="BN1063" s="885"/>
      <c r="BO1063" s="885"/>
      <c r="BP1063" s="885"/>
      <c r="BQ1063" s="885"/>
      <c r="BR1063" s="885"/>
      <c r="BS1063" s="885"/>
      <c r="BT1063" s="885"/>
      <c r="BU1063" s="885"/>
      <c r="BV1063" s="885"/>
      <c r="BW1063" s="885"/>
      <c r="BX1063" s="885"/>
      <c r="BY1063" s="885"/>
      <c r="BZ1063" s="885"/>
      <c r="CA1063" s="885"/>
      <c r="CB1063" s="885"/>
      <c r="CC1063" s="885"/>
      <c r="CD1063" s="885"/>
      <c r="CE1063" s="885"/>
      <c r="CF1063" s="885"/>
      <c r="CG1063" s="885"/>
      <c r="CH1063" s="885"/>
      <c r="CI1063" s="885"/>
      <c r="CJ1063" s="885"/>
      <c r="CK1063" s="885"/>
      <c r="CL1063" s="885"/>
      <c r="CM1063" s="885"/>
      <c r="CN1063" s="885"/>
      <c r="CO1063" s="885"/>
      <c r="CP1063" s="885"/>
      <c r="CQ1063" s="885"/>
      <c r="CR1063" s="885"/>
      <c r="CS1063" s="885"/>
      <c r="CT1063" s="885"/>
      <c r="CU1063" s="885"/>
      <c r="CV1063" s="885"/>
      <c r="CW1063" s="885"/>
      <c r="CX1063" s="885"/>
      <c r="CY1063" s="885"/>
      <c r="CZ1063" s="885"/>
      <c r="DA1063" s="885"/>
      <c r="DB1063" s="885"/>
      <c r="DC1063" s="885"/>
      <c r="DD1063" s="885"/>
      <c r="DE1063" s="885"/>
      <c r="DF1063" s="885"/>
      <c r="DG1063" s="885"/>
      <c r="DH1063" s="885"/>
      <c r="DI1063" s="885"/>
      <c r="DJ1063" s="885"/>
      <c r="DK1063" s="885"/>
      <c r="DL1063" s="885"/>
      <c r="DM1063" s="885"/>
      <c r="DN1063" s="885"/>
      <c r="DO1063" s="885"/>
      <c r="DP1063" s="885"/>
      <c r="DQ1063" s="885"/>
      <c r="DR1063" s="885"/>
      <c r="DS1063" s="885"/>
      <c r="DT1063" s="885"/>
      <c r="DU1063" s="885"/>
      <c r="DV1063" s="885"/>
      <c r="DW1063" s="885"/>
      <c r="DX1063" s="885"/>
      <c r="DY1063" s="885"/>
      <c r="DZ1063" s="885"/>
      <c r="EA1063" s="885"/>
      <c r="EB1063" s="885"/>
      <c r="EC1063" s="885"/>
      <c r="ED1063" s="885"/>
      <c r="EE1063" s="885"/>
      <c r="EF1063" s="885"/>
      <c r="EG1063" s="885"/>
      <c r="EH1063" s="885"/>
      <c r="EI1063" s="885"/>
      <c r="EJ1063" s="885"/>
      <c r="EK1063" s="885"/>
      <c r="EL1063" s="885"/>
      <c r="EM1063" s="885"/>
      <c r="EN1063" s="885"/>
      <c r="EO1063" s="885"/>
      <c r="EP1063" s="885"/>
      <c r="EQ1063" s="885"/>
      <c r="ER1063" s="885"/>
      <c r="ES1063" s="885"/>
      <c r="ET1063" s="885"/>
      <c r="EU1063" s="885"/>
      <c r="EV1063" s="885"/>
      <c r="EW1063" s="885"/>
      <c r="EX1063" s="885"/>
      <c r="EY1063" s="885"/>
      <c r="EZ1063" s="885"/>
      <c r="FA1063" s="885"/>
      <c r="FB1063" s="885"/>
      <c r="FC1063" s="885"/>
      <c r="FD1063" s="885"/>
      <c r="FE1063" s="885"/>
      <c r="FF1063" s="885"/>
      <c r="FG1063" s="885"/>
      <c r="FH1063" s="885"/>
      <c r="FI1063" s="885"/>
      <c r="FJ1063" s="885"/>
      <c r="FK1063" s="885"/>
      <c r="FL1063" s="885"/>
      <c r="FM1063" s="885"/>
      <c r="FN1063" s="885"/>
      <c r="FO1063" s="885"/>
      <c r="FP1063" s="885"/>
      <c r="FQ1063" s="885"/>
      <c r="FR1063" s="885"/>
      <c r="FS1063" s="885"/>
      <c r="FT1063" s="885"/>
      <c r="FU1063" s="885"/>
      <c r="FV1063" s="885"/>
      <c r="FW1063" s="885"/>
      <c r="FX1063" s="885"/>
      <c r="FY1063" s="885"/>
      <c r="FZ1063" s="885"/>
      <c r="GA1063" s="885"/>
      <c r="GB1063" s="885"/>
      <c r="GC1063" s="885"/>
      <c r="GD1063" s="885"/>
      <c r="GE1063" s="885"/>
      <c r="GF1063" s="885"/>
      <c r="GG1063" s="885"/>
      <c r="GH1063" s="885"/>
      <c r="GI1063" s="885"/>
      <c r="GJ1063" s="885"/>
      <c r="GK1063" s="885"/>
      <c r="GL1063" s="885"/>
      <c r="GM1063" s="885"/>
      <c r="GN1063" s="885"/>
      <c r="GO1063" s="885"/>
      <c r="GP1063" s="885"/>
      <c r="GQ1063" s="885"/>
      <c r="GR1063" s="885"/>
      <c r="GS1063" s="885"/>
      <c r="GT1063" s="885"/>
      <c r="GU1063" s="885"/>
      <c r="GV1063" s="885"/>
      <c r="GW1063" s="885"/>
      <c r="GX1063" s="885"/>
      <c r="GY1063" s="885"/>
      <c r="GZ1063" s="885"/>
      <c r="HA1063" s="885"/>
      <c r="HB1063" s="885"/>
      <c r="HC1063" s="885"/>
      <c r="HD1063" s="885"/>
      <c r="HE1063" s="885"/>
      <c r="HF1063" s="885"/>
      <c r="HG1063" s="885"/>
      <c r="HH1063" s="885"/>
      <c r="HI1063" s="885"/>
      <c r="HJ1063" s="885"/>
      <c r="HK1063" s="885"/>
      <c r="HL1063" s="885"/>
      <c r="HM1063" s="885"/>
      <c r="HN1063" s="885"/>
      <c r="HO1063" s="885"/>
      <c r="HP1063" s="885"/>
      <c r="HQ1063" s="885"/>
      <c r="HR1063" s="885"/>
      <c r="HS1063" s="885"/>
      <c r="HT1063" s="885"/>
      <c r="HU1063" s="885"/>
      <c r="HV1063" s="885"/>
      <c r="HW1063" s="885"/>
      <c r="HX1063" s="885"/>
      <c r="HY1063" s="885"/>
      <c r="HZ1063" s="885"/>
      <c r="IA1063" s="885"/>
      <c r="IB1063" s="885"/>
      <c r="IC1063" s="885"/>
      <c r="ID1063" s="885"/>
      <c r="IE1063" s="885"/>
      <c r="IF1063" s="885"/>
      <c r="IG1063" s="885"/>
      <c r="IH1063" s="885"/>
      <c r="II1063" s="885"/>
      <c r="IJ1063" s="885"/>
      <c r="IK1063" s="885"/>
      <c r="IL1063" s="885"/>
      <c r="IM1063" s="885"/>
      <c r="IN1063" s="885"/>
      <c r="IO1063" s="885"/>
      <c r="IP1063" s="885"/>
      <c r="IQ1063" s="885"/>
      <c r="IR1063" s="885"/>
      <c r="IS1063" s="885"/>
      <c r="IT1063" s="885"/>
      <c r="IU1063" s="885"/>
      <c r="IV1063" s="885"/>
      <c r="IW1063" s="885"/>
      <c r="IX1063" s="885"/>
    </row>
    <row r="1064" spans="1:258" x14ac:dyDescent="0.25">
      <c r="A1064" s="125">
        <f t="shared" si="127"/>
        <v>1024</v>
      </c>
      <c r="B1064" s="885"/>
      <c r="C1064" s="842" t="s">
        <v>10625</v>
      </c>
      <c r="D1064" s="924">
        <v>0</v>
      </c>
      <c r="E1064" s="924">
        <v>0</v>
      </c>
      <c r="F1064" s="136">
        <v>1</v>
      </c>
      <c r="G1064" s="122" t="s">
        <v>1963</v>
      </c>
      <c r="H1064" s="885"/>
      <c r="I1064" s="885"/>
      <c r="J1064" s="885"/>
      <c r="K1064" s="885"/>
      <c r="L1064" s="885"/>
      <c r="M1064" s="885"/>
      <c r="N1064" s="885"/>
      <c r="O1064" s="885"/>
      <c r="P1064" s="885"/>
      <c r="Q1064" s="885"/>
      <c r="R1064" s="885"/>
      <c r="S1064" s="885"/>
      <c r="T1064" s="885"/>
      <c r="U1064" s="885"/>
      <c r="V1064" s="885"/>
      <c r="W1064" s="885"/>
      <c r="X1064" s="885"/>
      <c r="Y1064" s="885"/>
      <c r="Z1064" s="885"/>
      <c r="AA1064" s="885"/>
      <c r="AB1064" s="885"/>
      <c r="AC1064" s="885"/>
      <c r="AD1064" s="885"/>
      <c r="AE1064" s="885"/>
      <c r="AF1064" s="885"/>
      <c r="AG1064" s="885"/>
      <c r="AH1064" s="885"/>
      <c r="AI1064" s="885"/>
      <c r="AJ1064" s="885"/>
      <c r="AK1064" s="885"/>
      <c r="AL1064" s="885"/>
      <c r="AM1064" s="885"/>
      <c r="AN1064" s="885"/>
      <c r="AO1064" s="885"/>
      <c r="AP1064" s="885"/>
      <c r="AQ1064" s="885"/>
      <c r="AR1064" s="885"/>
      <c r="AS1064" s="885"/>
      <c r="AT1064" s="885"/>
      <c r="AU1064" s="885"/>
      <c r="AV1064" s="885"/>
      <c r="AW1064" s="885"/>
      <c r="AX1064" s="885"/>
      <c r="AY1064" s="885"/>
      <c r="AZ1064" s="885"/>
      <c r="BA1064" s="885"/>
      <c r="BB1064" s="885"/>
      <c r="BC1064" s="885"/>
      <c r="BD1064" s="885"/>
      <c r="BE1064" s="885"/>
      <c r="BF1064" s="885"/>
      <c r="BG1064" s="885"/>
      <c r="BH1064" s="885"/>
      <c r="BI1064" s="885"/>
      <c r="BJ1064" s="885"/>
      <c r="BK1064" s="885"/>
      <c r="BL1064" s="885"/>
      <c r="BM1064" s="885"/>
      <c r="BN1064" s="885"/>
      <c r="BO1064" s="885"/>
      <c r="BP1064" s="885"/>
      <c r="BQ1064" s="885"/>
      <c r="BR1064" s="885"/>
      <c r="BS1064" s="885"/>
      <c r="BT1064" s="885"/>
      <c r="BU1064" s="885"/>
      <c r="BV1064" s="885"/>
      <c r="BW1064" s="885"/>
      <c r="BX1064" s="885"/>
      <c r="BY1064" s="885"/>
      <c r="BZ1064" s="885"/>
      <c r="CA1064" s="885"/>
      <c r="CB1064" s="885"/>
      <c r="CC1064" s="885"/>
      <c r="CD1064" s="885"/>
      <c r="CE1064" s="885"/>
      <c r="CF1064" s="885"/>
      <c r="CG1064" s="885"/>
      <c r="CH1064" s="885"/>
      <c r="CI1064" s="885"/>
      <c r="CJ1064" s="885"/>
      <c r="CK1064" s="885"/>
      <c r="CL1064" s="885"/>
      <c r="CM1064" s="885"/>
      <c r="CN1064" s="885"/>
      <c r="CO1064" s="885"/>
      <c r="CP1064" s="885"/>
      <c r="CQ1064" s="885"/>
      <c r="CR1064" s="885"/>
      <c r="CS1064" s="885"/>
      <c r="CT1064" s="885"/>
      <c r="CU1064" s="885"/>
      <c r="CV1064" s="885"/>
      <c r="CW1064" s="885"/>
      <c r="CX1064" s="885"/>
      <c r="CY1064" s="885"/>
      <c r="CZ1064" s="885"/>
      <c r="DA1064" s="885"/>
      <c r="DB1064" s="885"/>
      <c r="DC1064" s="885"/>
      <c r="DD1064" s="885"/>
      <c r="DE1064" s="885"/>
      <c r="DF1064" s="885"/>
      <c r="DG1064" s="885"/>
      <c r="DH1064" s="885"/>
      <c r="DI1064" s="885"/>
      <c r="DJ1064" s="885"/>
      <c r="DK1064" s="885"/>
      <c r="DL1064" s="885"/>
      <c r="DM1064" s="885"/>
      <c r="DN1064" s="885"/>
      <c r="DO1064" s="885"/>
      <c r="DP1064" s="885"/>
      <c r="DQ1064" s="885"/>
      <c r="DR1064" s="885"/>
      <c r="DS1064" s="885"/>
      <c r="DT1064" s="885"/>
      <c r="DU1064" s="885"/>
      <c r="DV1064" s="885"/>
      <c r="DW1064" s="885"/>
      <c r="DX1064" s="885"/>
      <c r="DY1064" s="885"/>
      <c r="DZ1064" s="885"/>
      <c r="EA1064" s="885"/>
      <c r="EB1064" s="885"/>
      <c r="EC1064" s="885"/>
      <c r="ED1064" s="885"/>
      <c r="EE1064" s="885"/>
      <c r="EF1064" s="885"/>
      <c r="EG1064" s="885"/>
      <c r="EH1064" s="885"/>
      <c r="EI1064" s="885"/>
      <c r="EJ1064" s="885"/>
      <c r="EK1064" s="885"/>
      <c r="EL1064" s="885"/>
      <c r="EM1064" s="885"/>
      <c r="EN1064" s="885"/>
      <c r="EO1064" s="885"/>
      <c r="EP1064" s="885"/>
      <c r="EQ1064" s="885"/>
      <c r="ER1064" s="885"/>
      <c r="ES1064" s="885"/>
      <c r="ET1064" s="885"/>
      <c r="EU1064" s="885"/>
      <c r="EV1064" s="885"/>
      <c r="EW1064" s="885"/>
      <c r="EX1064" s="885"/>
      <c r="EY1064" s="885"/>
      <c r="EZ1064" s="885"/>
      <c r="FA1064" s="885"/>
      <c r="FB1064" s="885"/>
      <c r="FC1064" s="885"/>
      <c r="FD1064" s="885"/>
      <c r="FE1064" s="885"/>
      <c r="FF1064" s="885"/>
      <c r="FG1064" s="885"/>
      <c r="FH1064" s="885"/>
      <c r="FI1064" s="885"/>
      <c r="FJ1064" s="885"/>
      <c r="FK1064" s="885"/>
      <c r="FL1064" s="885"/>
      <c r="FM1064" s="885"/>
      <c r="FN1064" s="885"/>
      <c r="FO1064" s="885"/>
      <c r="FP1064" s="885"/>
      <c r="FQ1064" s="885"/>
      <c r="FR1064" s="885"/>
      <c r="FS1064" s="885"/>
      <c r="FT1064" s="885"/>
      <c r="FU1064" s="885"/>
      <c r="FV1064" s="885"/>
      <c r="FW1064" s="885"/>
      <c r="FX1064" s="885"/>
      <c r="FY1064" s="885"/>
      <c r="FZ1064" s="885"/>
      <c r="GA1064" s="885"/>
      <c r="GB1064" s="885"/>
      <c r="GC1064" s="885"/>
      <c r="GD1064" s="885"/>
      <c r="GE1064" s="885"/>
      <c r="GF1064" s="885"/>
      <c r="GG1064" s="885"/>
      <c r="GH1064" s="885"/>
      <c r="GI1064" s="885"/>
      <c r="GJ1064" s="885"/>
      <c r="GK1064" s="885"/>
      <c r="GL1064" s="885"/>
      <c r="GM1064" s="885"/>
      <c r="GN1064" s="885"/>
      <c r="GO1064" s="885"/>
      <c r="GP1064" s="885"/>
      <c r="GQ1064" s="885"/>
      <c r="GR1064" s="885"/>
      <c r="GS1064" s="885"/>
      <c r="GT1064" s="885"/>
      <c r="GU1064" s="885"/>
      <c r="GV1064" s="885"/>
      <c r="GW1064" s="885"/>
      <c r="GX1064" s="885"/>
      <c r="GY1064" s="885"/>
      <c r="GZ1064" s="885"/>
      <c r="HA1064" s="885"/>
      <c r="HB1064" s="885"/>
      <c r="HC1064" s="885"/>
      <c r="HD1064" s="885"/>
      <c r="HE1064" s="885"/>
      <c r="HF1064" s="885"/>
      <c r="HG1064" s="885"/>
      <c r="HH1064" s="885"/>
      <c r="HI1064" s="885"/>
      <c r="HJ1064" s="885"/>
      <c r="HK1064" s="885"/>
      <c r="HL1064" s="885"/>
      <c r="HM1064" s="885"/>
      <c r="HN1064" s="885"/>
      <c r="HO1064" s="885"/>
      <c r="HP1064" s="885"/>
      <c r="HQ1064" s="885"/>
      <c r="HR1064" s="885"/>
      <c r="HS1064" s="885"/>
      <c r="HT1064" s="885"/>
      <c r="HU1064" s="885"/>
      <c r="HV1064" s="885"/>
      <c r="HW1064" s="885"/>
      <c r="HX1064" s="885"/>
      <c r="HY1064" s="885"/>
      <c r="HZ1064" s="885"/>
      <c r="IA1064" s="885"/>
      <c r="IB1064" s="885"/>
      <c r="IC1064" s="885"/>
      <c r="ID1064" s="885"/>
      <c r="IE1064" s="885"/>
      <c r="IF1064" s="885"/>
      <c r="IG1064" s="885"/>
      <c r="IH1064" s="885"/>
      <c r="II1064" s="885"/>
      <c r="IJ1064" s="885"/>
      <c r="IK1064" s="885"/>
      <c r="IL1064" s="885"/>
      <c r="IM1064" s="885"/>
      <c r="IN1064" s="885"/>
      <c r="IO1064" s="885"/>
      <c r="IP1064" s="885"/>
      <c r="IQ1064" s="885"/>
      <c r="IR1064" s="885"/>
      <c r="IS1064" s="885"/>
      <c r="IT1064" s="885"/>
      <c r="IU1064" s="885"/>
      <c r="IV1064" s="885"/>
      <c r="IW1064" s="885"/>
      <c r="IX1064" s="885"/>
    </row>
    <row r="1065" spans="1:258" x14ac:dyDescent="0.25">
      <c r="A1065" s="125">
        <f t="shared" si="127"/>
        <v>1025</v>
      </c>
      <c r="B1065" s="885"/>
      <c r="C1065" s="842" t="s">
        <v>10625</v>
      </c>
      <c r="D1065" s="924">
        <v>0</v>
      </c>
      <c r="E1065" s="924">
        <v>0</v>
      </c>
      <c r="F1065" s="136">
        <f>30100-F1059-F1060-F1061-F1062-F1064</f>
        <v>30095.8</v>
      </c>
      <c r="G1065" s="122" t="s">
        <v>1963</v>
      </c>
      <c r="H1065" s="885"/>
      <c r="I1065" s="885"/>
      <c r="J1065" s="885"/>
      <c r="K1065" s="885"/>
      <c r="L1065" s="885"/>
      <c r="M1065" s="885"/>
      <c r="N1065" s="885"/>
      <c r="O1065" s="885"/>
      <c r="P1065" s="885"/>
      <c r="Q1065" s="885"/>
      <c r="R1065" s="885"/>
      <c r="S1065" s="885"/>
      <c r="T1065" s="885"/>
      <c r="U1065" s="885"/>
      <c r="V1065" s="885"/>
      <c r="W1065" s="885"/>
      <c r="X1065" s="885"/>
      <c r="Y1065" s="885"/>
      <c r="Z1065" s="885"/>
      <c r="AA1065" s="885"/>
      <c r="AB1065" s="885"/>
      <c r="AC1065" s="885"/>
      <c r="AD1065" s="885"/>
      <c r="AE1065" s="885"/>
      <c r="AF1065" s="885"/>
      <c r="AG1065" s="885"/>
      <c r="AH1065" s="885"/>
      <c r="AI1065" s="885"/>
      <c r="AJ1065" s="885"/>
      <c r="AK1065" s="885"/>
      <c r="AL1065" s="885"/>
      <c r="AM1065" s="885"/>
      <c r="AN1065" s="885"/>
      <c r="AO1065" s="885"/>
      <c r="AP1065" s="885"/>
      <c r="AQ1065" s="885"/>
      <c r="AR1065" s="885"/>
      <c r="AS1065" s="885"/>
      <c r="AT1065" s="885"/>
      <c r="AU1065" s="885"/>
      <c r="AV1065" s="885"/>
      <c r="AW1065" s="885"/>
      <c r="AX1065" s="885"/>
      <c r="AY1065" s="885"/>
      <c r="AZ1065" s="885"/>
      <c r="BA1065" s="885"/>
      <c r="BB1065" s="885"/>
      <c r="BC1065" s="885"/>
      <c r="BD1065" s="885"/>
      <c r="BE1065" s="885"/>
      <c r="BF1065" s="885"/>
      <c r="BG1065" s="885"/>
      <c r="BH1065" s="885"/>
      <c r="BI1065" s="885"/>
      <c r="BJ1065" s="885"/>
      <c r="BK1065" s="885"/>
      <c r="BL1065" s="885"/>
      <c r="BM1065" s="885"/>
      <c r="BN1065" s="885"/>
      <c r="BO1065" s="885"/>
      <c r="BP1065" s="885"/>
      <c r="BQ1065" s="885"/>
      <c r="BR1065" s="885"/>
      <c r="BS1065" s="885"/>
      <c r="BT1065" s="885"/>
      <c r="BU1065" s="885"/>
      <c r="BV1065" s="885"/>
      <c r="BW1065" s="885"/>
      <c r="BX1065" s="885"/>
      <c r="BY1065" s="885"/>
      <c r="BZ1065" s="885"/>
      <c r="CA1065" s="885"/>
      <c r="CB1065" s="885"/>
      <c r="CC1065" s="885"/>
      <c r="CD1065" s="885"/>
      <c r="CE1065" s="885"/>
      <c r="CF1065" s="885"/>
      <c r="CG1065" s="885"/>
      <c r="CH1065" s="885"/>
      <c r="CI1065" s="885"/>
      <c r="CJ1065" s="885"/>
      <c r="CK1065" s="885"/>
      <c r="CL1065" s="885"/>
      <c r="CM1065" s="885"/>
      <c r="CN1065" s="885"/>
      <c r="CO1065" s="885"/>
      <c r="CP1065" s="885"/>
      <c r="CQ1065" s="885"/>
      <c r="CR1065" s="885"/>
      <c r="CS1065" s="885"/>
      <c r="CT1065" s="885"/>
      <c r="CU1065" s="885"/>
      <c r="CV1065" s="885"/>
      <c r="CW1065" s="885"/>
      <c r="CX1065" s="885"/>
      <c r="CY1065" s="885"/>
      <c r="CZ1065" s="885"/>
      <c r="DA1065" s="885"/>
      <c r="DB1065" s="885"/>
      <c r="DC1065" s="885"/>
      <c r="DD1065" s="885"/>
      <c r="DE1065" s="885"/>
      <c r="DF1065" s="885"/>
      <c r="DG1065" s="885"/>
      <c r="DH1065" s="885"/>
      <c r="DI1065" s="885"/>
      <c r="DJ1065" s="885"/>
      <c r="DK1065" s="885"/>
      <c r="DL1065" s="885"/>
      <c r="DM1065" s="885"/>
      <c r="DN1065" s="885"/>
      <c r="DO1065" s="885"/>
      <c r="DP1065" s="885"/>
      <c r="DQ1065" s="885"/>
      <c r="DR1065" s="885"/>
      <c r="DS1065" s="885"/>
      <c r="DT1065" s="885"/>
      <c r="DU1065" s="885"/>
      <c r="DV1065" s="885"/>
      <c r="DW1065" s="885"/>
      <c r="DX1065" s="885"/>
      <c r="DY1065" s="885"/>
      <c r="DZ1065" s="885"/>
      <c r="EA1065" s="885"/>
      <c r="EB1065" s="885"/>
      <c r="EC1065" s="885"/>
      <c r="ED1065" s="885"/>
      <c r="EE1065" s="885"/>
      <c r="EF1065" s="885"/>
      <c r="EG1065" s="885"/>
      <c r="EH1065" s="885"/>
      <c r="EI1065" s="885"/>
      <c r="EJ1065" s="885"/>
      <c r="EK1065" s="885"/>
      <c r="EL1065" s="885"/>
      <c r="EM1065" s="885"/>
      <c r="EN1065" s="885"/>
      <c r="EO1065" s="885"/>
      <c r="EP1065" s="885"/>
      <c r="EQ1065" s="885"/>
      <c r="ER1065" s="885"/>
      <c r="ES1065" s="885"/>
      <c r="ET1065" s="885"/>
      <c r="EU1065" s="885"/>
      <c r="EV1065" s="885"/>
      <c r="EW1065" s="885"/>
      <c r="EX1065" s="885"/>
      <c r="EY1065" s="885"/>
      <c r="EZ1065" s="885"/>
      <c r="FA1065" s="885"/>
      <c r="FB1065" s="885"/>
      <c r="FC1065" s="885"/>
      <c r="FD1065" s="885"/>
      <c r="FE1065" s="885"/>
      <c r="FF1065" s="885"/>
      <c r="FG1065" s="885"/>
      <c r="FH1065" s="885"/>
      <c r="FI1065" s="885"/>
      <c r="FJ1065" s="885"/>
      <c r="FK1065" s="885"/>
      <c r="FL1065" s="885"/>
      <c r="FM1065" s="885"/>
      <c r="FN1065" s="885"/>
      <c r="FO1065" s="885"/>
      <c r="FP1065" s="885"/>
      <c r="FQ1065" s="885"/>
      <c r="FR1065" s="885"/>
      <c r="FS1065" s="885"/>
      <c r="FT1065" s="885"/>
      <c r="FU1065" s="885"/>
      <c r="FV1065" s="885"/>
      <c r="FW1065" s="885"/>
      <c r="FX1065" s="885"/>
      <c r="FY1065" s="885"/>
      <c r="FZ1065" s="885"/>
      <c r="GA1065" s="885"/>
      <c r="GB1065" s="885"/>
      <c r="GC1065" s="885"/>
      <c r="GD1065" s="885"/>
      <c r="GE1065" s="885"/>
      <c r="GF1065" s="885"/>
      <c r="GG1065" s="885"/>
      <c r="GH1065" s="885"/>
      <c r="GI1065" s="885"/>
      <c r="GJ1065" s="885"/>
      <c r="GK1065" s="885"/>
      <c r="GL1065" s="885"/>
      <c r="GM1065" s="885"/>
      <c r="GN1065" s="885"/>
      <c r="GO1065" s="885"/>
      <c r="GP1065" s="885"/>
      <c r="GQ1065" s="885"/>
      <c r="GR1065" s="885"/>
      <c r="GS1065" s="885"/>
      <c r="GT1065" s="885"/>
      <c r="GU1065" s="885"/>
      <c r="GV1065" s="885"/>
      <c r="GW1065" s="885"/>
      <c r="GX1065" s="885"/>
      <c r="GY1065" s="885"/>
      <c r="GZ1065" s="885"/>
      <c r="HA1065" s="885"/>
      <c r="HB1065" s="885"/>
      <c r="HC1065" s="885"/>
      <c r="HD1065" s="885"/>
      <c r="HE1065" s="885"/>
      <c r="HF1065" s="885"/>
      <c r="HG1065" s="885"/>
      <c r="HH1065" s="885"/>
      <c r="HI1065" s="885"/>
      <c r="HJ1065" s="885"/>
      <c r="HK1065" s="885"/>
      <c r="HL1065" s="885"/>
      <c r="HM1065" s="885"/>
      <c r="HN1065" s="885"/>
      <c r="HO1065" s="885"/>
      <c r="HP1065" s="885"/>
      <c r="HQ1065" s="885"/>
      <c r="HR1065" s="885"/>
      <c r="HS1065" s="885"/>
      <c r="HT1065" s="885"/>
      <c r="HU1065" s="885"/>
      <c r="HV1065" s="885"/>
      <c r="HW1065" s="885"/>
      <c r="HX1065" s="885"/>
      <c r="HY1065" s="885"/>
      <c r="HZ1065" s="885"/>
      <c r="IA1065" s="885"/>
      <c r="IB1065" s="885"/>
      <c r="IC1065" s="885"/>
      <c r="ID1065" s="885"/>
      <c r="IE1065" s="885"/>
      <c r="IF1065" s="885"/>
      <c r="IG1065" s="885"/>
      <c r="IH1065" s="885"/>
      <c r="II1065" s="885"/>
      <c r="IJ1065" s="885"/>
      <c r="IK1065" s="885"/>
      <c r="IL1065" s="885"/>
      <c r="IM1065" s="885"/>
      <c r="IN1065" s="885"/>
      <c r="IO1065" s="885"/>
      <c r="IP1065" s="885"/>
      <c r="IQ1065" s="885"/>
      <c r="IR1065" s="885"/>
      <c r="IS1065" s="885"/>
      <c r="IT1065" s="885"/>
      <c r="IU1065" s="885"/>
      <c r="IV1065" s="885"/>
      <c r="IW1065" s="885"/>
      <c r="IX1065" s="885"/>
    </row>
    <row r="1066" spans="1:258" x14ac:dyDescent="0.25">
      <c r="A1066" s="125">
        <f t="shared" si="127"/>
        <v>1026</v>
      </c>
      <c r="B1066" s="885"/>
      <c r="C1066" s="232" t="s">
        <v>10626</v>
      </c>
      <c r="D1066" s="915"/>
      <c r="E1066" s="915"/>
      <c r="F1066" s="136"/>
      <c r="H1066" s="885"/>
      <c r="I1066" s="885"/>
      <c r="J1066" s="885"/>
      <c r="K1066" s="885"/>
      <c r="L1066" s="885"/>
      <c r="M1066" s="885"/>
      <c r="N1066" s="885"/>
      <c r="O1066" s="885"/>
      <c r="P1066" s="885"/>
      <c r="Q1066" s="885"/>
      <c r="R1066" s="885"/>
      <c r="S1066" s="885"/>
      <c r="T1066" s="885"/>
      <c r="U1066" s="885"/>
      <c r="V1066" s="885"/>
      <c r="W1066" s="885"/>
      <c r="X1066" s="885"/>
      <c r="Y1066" s="885"/>
      <c r="Z1066" s="885"/>
      <c r="AA1066" s="885"/>
      <c r="AB1066" s="885"/>
      <c r="AC1066" s="885"/>
      <c r="AD1066" s="885"/>
      <c r="AE1066" s="885"/>
      <c r="AF1066" s="885"/>
      <c r="AG1066" s="885"/>
      <c r="AH1066" s="885"/>
      <c r="AI1066" s="885"/>
      <c r="AJ1066" s="885"/>
      <c r="AK1066" s="885"/>
      <c r="AL1066" s="885"/>
      <c r="AM1066" s="885"/>
      <c r="AN1066" s="885"/>
      <c r="AO1066" s="885"/>
      <c r="AP1066" s="885"/>
      <c r="AQ1066" s="885"/>
      <c r="AR1066" s="885"/>
      <c r="AS1066" s="885"/>
      <c r="AT1066" s="885"/>
      <c r="AU1066" s="885"/>
      <c r="AV1066" s="885"/>
      <c r="AW1066" s="885"/>
      <c r="AX1066" s="885"/>
      <c r="AY1066" s="885"/>
      <c r="AZ1066" s="885"/>
      <c r="BA1066" s="885"/>
      <c r="BB1066" s="885"/>
      <c r="BC1066" s="885"/>
      <c r="BD1066" s="885"/>
      <c r="BE1066" s="885"/>
      <c r="BF1066" s="885"/>
      <c r="BG1066" s="885"/>
      <c r="BH1066" s="885"/>
      <c r="BI1066" s="885"/>
      <c r="BJ1066" s="885"/>
      <c r="BK1066" s="885"/>
      <c r="BL1066" s="885"/>
      <c r="BM1066" s="885"/>
      <c r="BN1066" s="885"/>
      <c r="BO1066" s="885"/>
      <c r="BP1066" s="885"/>
      <c r="BQ1066" s="885"/>
      <c r="BR1066" s="885"/>
      <c r="BS1066" s="885"/>
      <c r="BT1066" s="885"/>
      <c r="BU1066" s="885"/>
      <c r="BV1066" s="885"/>
      <c r="BW1066" s="885"/>
      <c r="BX1066" s="885"/>
      <c r="BY1066" s="885"/>
      <c r="BZ1066" s="885"/>
      <c r="CA1066" s="885"/>
      <c r="CB1066" s="885"/>
      <c r="CC1066" s="885"/>
      <c r="CD1066" s="885"/>
      <c r="CE1066" s="885"/>
      <c r="CF1066" s="885"/>
      <c r="CG1066" s="885"/>
      <c r="CH1066" s="885"/>
      <c r="CI1066" s="885"/>
      <c r="CJ1066" s="885"/>
      <c r="CK1066" s="885"/>
      <c r="CL1066" s="885"/>
      <c r="CM1066" s="885"/>
      <c r="CN1066" s="885"/>
      <c r="CO1066" s="885"/>
      <c r="CP1066" s="885"/>
      <c r="CQ1066" s="885"/>
      <c r="CR1066" s="885"/>
      <c r="CS1066" s="885"/>
      <c r="CT1066" s="885"/>
      <c r="CU1066" s="885"/>
      <c r="CV1066" s="885"/>
      <c r="CW1066" s="885"/>
      <c r="CX1066" s="885"/>
      <c r="CY1066" s="885"/>
      <c r="CZ1066" s="885"/>
      <c r="DA1066" s="885"/>
      <c r="DB1066" s="885"/>
      <c r="DC1066" s="885"/>
      <c r="DD1066" s="885"/>
      <c r="DE1066" s="885"/>
      <c r="DF1066" s="885"/>
      <c r="DG1066" s="885"/>
      <c r="DH1066" s="885"/>
      <c r="DI1066" s="885"/>
      <c r="DJ1066" s="885"/>
      <c r="DK1066" s="885"/>
      <c r="DL1066" s="885"/>
      <c r="DM1066" s="885"/>
      <c r="DN1066" s="885"/>
      <c r="DO1066" s="885"/>
      <c r="DP1066" s="885"/>
      <c r="DQ1066" s="885"/>
      <c r="DR1066" s="885"/>
      <c r="DS1066" s="885"/>
      <c r="DT1066" s="885"/>
      <c r="DU1066" s="885"/>
      <c r="DV1066" s="885"/>
      <c r="DW1066" s="885"/>
      <c r="DX1066" s="885"/>
      <c r="DY1066" s="885"/>
      <c r="DZ1066" s="885"/>
      <c r="EA1066" s="885"/>
      <c r="EB1066" s="885"/>
      <c r="EC1066" s="885"/>
      <c r="ED1066" s="885"/>
      <c r="EE1066" s="885"/>
      <c r="EF1066" s="885"/>
      <c r="EG1066" s="885"/>
      <c r="EH1066" s="885"/>
      <c r="EI1066" s="885"/>
      <c r="EJ1066" s="885"/>
      <c r="EK1066" s="885"/>
      <c r="EL1066" s="885"/>
      <c r="EM1066" s="885"/>
      <c r="EN1066" s="885"/>
      <c r="EO1066" s="885"/>
      <c r="EP1066" s="885"/>
      <c r="EQ1066" s="885"/>
      <c r="ER1066" s="885"/>
      <c r="ES1066" s="885"/>
      <c r="ET1066" s="885"/>
      <c r="EU1066" s="885"/>
      <c r="EV1066" s="885"/>
      <c r="EW1066" s="885"/>
      <c r="EX1066" s="885"/>
      <c r="EY1066" s="885"/>
      <c r="EZ1066" s="885"/>
      <c r="FA1066" s="885"/>
      <c r="FB1066" s="885"/>
      <c r="FC1066" s="885"/>
      <c r="FD1066" s="885"/>
      <c r="FE1066" s="885"/>
      <c r="FF1066" s="885"/>
      <c r="FG1066" s="885"/>
      <c r="FH1066" s="885"/>
      <c r="FI1066" s="885"/>
      <c r="FJ1066" s="885"/>
      <c r="FK1066" s="885"/>
      <c r="FL1066" s="885"/>
      <c r="FM1066" s="885"/>
      <c r="FN1066" s="885"/>
      <c r="FO1066" s="885"/>
      <c r="FP1066" s="885"/>
      <c r="FQ1066" s="885"/>
      <c r="FR1066" s="885"/>
      <c r="FS1066" s="885"/>
      <c r="FT1066" s="885"/>
      <c r="FU1066" s="885"/>
      <c r="FV1066" s="885"/>
      <c r="FW1066" s="885"/>
      <c r="FX1066" s="885"/>
      <c r="FY1066" s="885"/>
      <c r="FZ1066" s="885"/>
      <c r="GA1066" s="885"/>
      <c r="GB1066" s="885"/>
      <c r="GC1066" s="885"/>
      <c r="GD1066" s="885"/>
      <c r="GE1066" s="885"/>
      <c r="GF1066" s="885"/>
      <c r="GG1066" s="885"/>
      <c r="GH1066" s="885"/>
      <c r="GI1066" s="885"/>
      <c r="GJ1066" s="885"/>
      <c r="GK1066" s="885"/>
      <c r="GL1066" s="885"/>
      <c r="GM1066" s="885"/>
      <c r="GN1066" s="885"/>
      <c r="GO1066" s="885"/>
      <c r="GP1066" s="885"/>
      <c r="GQ1066" s="885"/>
      <c r="GR1066" s="885"/>
      <c r="GS1066" s="885"/>
      <c r="GT1066" s="885"/>
      <c r="GU1066" s="885"/>
      <c r="GV1066" s="885"/>
      <c r="GW1066" s="885"/>
      <c r="GX1066" s="885"/>
      <c r="GY1066" s="885"/>
      <c r="GZ1066" s="885"/>
      <c r="HA1066" s="885"/>
      <c r="HB1066" s="885"/>
      <c r="HC1066" s="885"/>
      <c r="HD1066" s="885"/>
      <c r="HE1066" s="885"/>
      <c r="HF1066" s="885"/>
      <c r="HG1066" s="885"/>
      <c r="HH1066" s="885"/>
      <c r="HI1066" s="885"/>
      <c r="HJ1066" s="885"/>
      <c r="HK1066" s="885"/>
      <c r="HL1066" s="885"/>
      <c r="HM1066" s="885"/>
      <c r="HN1066" s="885"/>
      <c r="HO1066" s="885"/>
      <c r="HP1066" s="885"/>
      <c r="HQ1066" s="885"/>
      <c r="HR1066" s="885"/>
      <c r="HS1066" s="885"/>
      <c r="HT1066" s="885"/>
      <c r="HU1066" s="885"/>
      <c r="HV1066" s="885"/>
      <c r="HW1066" s="885"/>
      <c r="HX1066" s="885"/>
      <c r="HY1066" s="885"/>
      <c r="HZ1066" s="885"/>
      <c r="IA1066" s="885"/>
      <c r="IB1066" s="885"/>
      <c r="IC1066" s="885"/>
      <c r="ID1066" s="885"/>
      <c r="IE1066" s="885"/>
      <c r="IF1066" s="885"/>
      <c r="IG1066" s="885"/>
      <c r="IH1066" s="885"/>
      <c r="II1066" s="885"/>
      <c r="IJ1066" s="885"/>
      <c r="IK1066" s="885"/>
      <c r="IL1066" s="885"/>
      <c r="IM1066" s="885"/>
      <c r="IN1066" s="885"/>
      <c r="IO1066" s="885"/>
      <c r="IP1066" s="885"/>
      <c r="IQ1066" s="885"/>
      <c r="IR1066" s="885"/>
      <c r="IS1066" s="885"/>
      <c r="IT1066" s="885"/>
      <c r="IU1066" s="885"/>
      <c r="IV1066" s="885"/>
      <c r="IW1066" s="885"/>
      <c r="IX1066" s="885"/>
    </row>
    <row r="1067" spans="1:258" x14ac:dyDescent="0.25">
      <c r="A1067" s="125">
        <f t="shared" si="127"/>
        <v>1027</v>
      </c>
      <c r="B1067" s="885"/>
      <c r="C1067" s="842" t="s">
        <v>10627</v>
      </c>
      <c r="D1067" s="924">
        <v>0</v>
      </c>
      <c r="E1067" s="924">
        <v>0</v>
      </c>
      <c r="F1067" s="136">
        <v>1</v>
      </c>
      <c r="G1067" s="122" t="s">
        <v>1963</v>
      </c>
      <c r="H1067" s="885"/>
      <c r="I1067" s="885"/>
      <c r="J1067" s="885"/>
      <c r="K1067" s="885"/>
      <c r="L1067" s="885"/>
      <c r="M1067" s="885"/>
      <c r="N1067" s="885"/>
      <c r="O1067" s="885"/>
      <c r="P1067" s="885"/>
      <c r="Q1067" s="885"/>
      <c r="R1067" s="885"/>
      <c r="S1067" s="885"/>
      <c r="T1067" s="885"/>
      <c r="U1067" s="885"/>
      <c r="V1067" s="885"/>
      <c r="W1067" s="885"/>
      <c r="X1067" s="885"/>
      <c r="Y1067" s="885"/>
      <c r="Z1067" s="885"/>
      <c r="AA1067" s="885"/>
      <c r="AB1067" s="885"/>
      <c r="AC1067" s="885"/>
      <c r="AD1067" s="885"/>
      <c r="AE1067" s="885"/>
      <c r="AF1067" s="885"/>
      <c r="AG1067" s="885"/>
      <c r="AH1067" s="885"/>
      <c r="AI1067" s="885"/>
      <c r="AJ1067" s="885"/>
      <c r="AK1067" s="885"/>
      <c r="AL1067" s="885"/>
      <c r="AM1067" s="885"/>
      <c r="AN1067" s="885"/>
      <c r="AO1067" s="885"/>
      <c r="AP1067" s="885"/>
      <c r="AQ1067" s="885"/>
      <c r="AR1067" s="885"/>
      <c r="AS1067" s="885"/>
      <c r="AT1067" s="885"/>
      <c r="AU1067" s="885"/>
      <c r="AV1067" s="885"/>
      <c r="AW1067" s="885"/>
      <c r="AX1067" s="885"/>
      <c r="AY1067" s="885"/>
      <c r="AZ1067" s="885"/>
      <c r="BA1067" s="885"/>
      <c r="BB1067" s="885"/>
      <c r="BC1067" s="885"/>
      <c r="BD1067" s="885"/>
      <c r="BE1067" s="885"/>
      <c r="BF1067" s="885"/>
      <c r="BG1067" s="885"/>
      <c r="BH1067" s="885"/>
      <c r="BI1067" s="885"/>
      <c r="BJ1067" s="885"/>
      <c r="BK1067" s="885"/>
      <c r="BL1067" s="885"/>
      <c r="BM1067" s="885"/>
      <c r="BN1067" s="885"/>
      <c r="BO1067" s="885"/>
      <c r="BP1067" s="885"/>
      <c r="BQ1067" s="885"/>
      <c r="BR1067" s="885"/>
      <c r="BS1067" s="885"/>
      <c r="BT1067" s="885"/>
      <c r="BU1067" s="885"/>
      <c r="BV1067" s="885"/>
      <c r="BW1067" s="885"/>
      <c r="BX1067" s="885"/>
      <c r="BY1067" s="885"/>
      <c r="BZ1067" s="885"/>
      <c r="CA1067" s="885"/>
      <c r="CB1067" s="885"/>
      <c r="CC1067" s="885"/>
      <c r="CD1067" s="885"/>
      <c r="CE1067" s="885"/>
      <c r="CF1067" s="885"/>
      <c r="CG1067" s="885"/>
      <c r="CH1067" s="885"/>
      <c r="CI1067" s="885"/>
      <c r="CJ1067" s="885"/>
      <c r="CK1067" s="885"/>
      <c r="CL1067" s="885"/>
      <c r="CM1067" s="885"/>
      <c r="CN1067" s="885"/>
      <c r="CO1067" s="885"/>
      <c r="CP1067" s="885"/>
      <c r="CQ1067" s="885"/>
      <c r="CR1067" s="885"/>
      <c r="CS1067" s="885"/>
      <c r="CT1067" s="885"/>
      <c r="CU1067" s="885"/>
      <c r="CV1067" s="885"/>
      <c r="CW1067" s="885"/>
      <c r="CX1067" s="885"/>
      <c r="CY1067" s="885"/>
      <c r="CZ1067" s="885"/>
      <c r="DA1067" s="885"/>
      <c r="DB1067" s="885"/>
      <c r="DC1067" s="885"/>
      <c r="DD1067" s="885"/>
      <c r="DE1067" s="885"/>
      <c r="DF1067" s="885"/>
      <c r="DG1067" s="885"/>
      <c r="DH1067" s="885"/>
      <c r="DI1067" s="885"/>
      <c r="DJ1067" s="885"/>
      <c r="DK1067" s="885"/>
      <c r="DL1067" s="885"/>
      <c r="DM1067" s="885"/>
      <c r="DN1067" s="885"/>
      <c r="DO1067" s="885"/>
      <c r="DP1067" s="885"/>
      <c r="DQ1067" s="885"/>
      <c r="DR1067" s="885"/>
      <c r="DS1067" s="885"/>
      <c r="DT1067" s="885"/>
      <c r="DU1067" s="885"/>
      <c r="DV1067" s="885"/>
      <c r="DW1067" s="885"/>
      <c r="DX1067" s="885"/>
      <c r="DY1067" s="885"/>
      <c r="DZ1067" s="885"/>
      <c r="EA1067" s="885"/>
      <c r="EB1067" s="885"/>
      <c r="EC1067" s="885"/>
      <c r="ED1067" s="885"/>
      <c r="EE1067" s="885"/>
      <c r="EF1067" s="885"/>
      <c r="EG1067" s="885"/>
      <c r="EH1067" s="885"/>
      <c r="EI1067" s="885"/>
      <c r="EJ1067" s="885"/>
      <c r="EK1067" s="885"/>
      <c r="EL1067" s="885"/>
      <c r="EM1067" s="885"/>
      <c r="EN1067" s="885"/>
      <c r="EO1067" s="885"/>
      <c r="EP1067" s="885"/>
      <c r="EQ1067" s="885"/>
      <c r="ER1067" s="885"/>
      <c r="ES1067" s="885"/>
      <c r="ET1067" s="885"/>
      <c r="EU1067" s="885"/>
      <c r="EV1067" s="885"/>
      <c r="EW1067" s="885"/>
      <c r="EX1067" s="885"/>
      <c r="EY1067" s="885"/>
      <c r="EZ1067" s="885"/>
      <c r="FA1067" s="885"/>
      <c r="FB1067" s="885"/>
      <c r="FC1067" s="885"/>
      <c r="FD1067" s="885"/>
      <c r="FE1067" s="885"/>
      <c r="FF1067" s="885"/>
      <c r="FG1067" s="885"/>
      <c r="FH1067" s="885"/>
      <c r="FI1067" s="885"/>
      <c r="FJ1067" s="885"/>
      <c r="FK1067" s="885"/>
      <c r="FL1067" s="885"/>
      <c r="FM1067" s="885"/>
      <c r="FN1067" s="885"/>
      <c r="FO1067" s="885"/>
      <c r="FP1067" s="885"/>
      <c r="FQ1067" s="885"/>
      <c r="FR1067" s="885"/>
      <c r="FS1067" s="885"/>
      <c r="FT1067" s="885"/>
      <c r="FU1067" s="885"/>
      <c r="FV1067" s="885"/>
      <c r="FW1067" s="885"/>
      <c r="FX1067" s="885"/>
      <c r="FY1067" s="885"/>
      <c r="FZ1067" s="885"/>
      <c r="GA1067" s="885"/>
      <c r="GB1067" s="885"/>
      <c r="GC1067" s="885"/>
      <c r="GD1067" s="885"/>
      <c r="GE1067" s="885"/>
      <c r="GF1067" s="885"/>
      <c r="GG1067" s="885"/>
      <c r="GH1067" s="885"/>
      <c r="GI1067" s="885"/>
      <c r="GJ1067" s="885"/>
      <c r="GK1067" s="885"/>
      <c r="GL1067" s="885"/>
      <c r="GM1067" s="885"/>
      <c r="GN1067" s="885"/>
      <c r="GO1067" s="885"/>
      <c r="GP1067" s="885"/>
      <c r="GQ1067" s="885"/>
      <c r="GR1067" s="885"/>
      <c r="GS1067" s="885"/>
      <c r="GT1067" s="885"/>
      <c r="GU1067" s="885"/>
      <c r="GV1067" s="885"/>
      <c r="GW1067" s="885"/>
      <c r="GX1067" s="885"/>
      <c r="GY1067" s="885"/>
      <c r="GZ1067" s="885"/>
      <c r="HA1067" s="885"/>
      <c r="HB1067" s="885"/>
      <c r="HC1067" s="885"/>
      <c r="HD1067" s="885"/>
      <c r="HE1067" s="885"/>
      <c r="HF1067" s="885"/>
      <c r="HG1067" s="885"/>
      <c r="HH1067" s="885"/>
      <c r="HI1067" s="885"/>
      <c r="HJ1067" s="885"/>
      <c r="HK1067" s="885"/>
      <c r="HL1067" s="885"/>
      <c r="HM1067" s="885"/>
      <c r="HN1067" s="885"/>
      <c r="HO1067" s="885"/>
      <c r="HP1067" s="885"/>
      <c r="HQ1067" s="885"/>
      <c r="HR1067" s="885"/>
      <c r="HS1067" s="885"/>
      <c r="HT1067" s="885"/>
      <c r="HU1067" s="885"/>
      <c r="HV1067" s="885"/>
      <c r="HW1067" s="885"/>
      <c r="HX1067" s="885"/>
      <c r="HY1067" s="885"/>
      <c r="HZ1067" s="885"/>
      <c r="IA1067" s="885"/>
      <c r="IB1067" s="885"/>
      <c r="IC1067" s="885"/>
      <c r="ID1067" s="885"/>
      <c r="IE1067" s="885"/>
      <c r="IF1067" s="885"/>
      <c r="IG1067" s="885"/>
      <c r="IH1067" s="885"/>
      <c r="II1067" s="885"/>
      <c r="IJ1067" s="885"/>
      <c r="IK1067" s="885"/>
      <c r="IL1067" s="885"/>
      <c r="IM1067" s="885"/>
      <c r="IN1067" s="885"/>
      <c r="IO1067" s="885"/>
      <c r="IP1067" s="885"/>
      <c r="IQ1067" s="885"/>
      <c r="IR1067" s="885"/>
      <c r="IS1067" s="885"/>
      <c r="IT1067" s="885"/>
      <c r="IU1067" s="885"/>
      <c r="IV1067" s="885"/>
      <c r="IW1067" s="885"/>
      <c r="IX1067" s="885"/>
    </row>
    <row r="1068" spans="1:258" x14ac:dyDescent="0.25">
      <c r="A1068" s="125">
        <f t="shared" si="127"/>
        <v>1028</v>
      </c>
      <c r="B1068" s="885"/>
      <c r="C1068" s="842" t="s">
        <v>10628</v>
      </c>
      <c r="D1068" s="924">
        <v>180204.23</v>
      </c>
      <c r="E1068" s="924">
        <f>D1068/8*10</f>
        <v>225255.28750000001</v>
      </c>
      <c r="F1068" s="136">
        <f>375635.28-2</f>
        <v>375633.28</v>
      </c>
      <c r="G1068" s="122" t="s">
        <v>1963</v>
      </c>
      <c r="H1068" s="885"/>
      <c r="I1068" s="885"/>
      <c r="J1068" s="885"/>
      <c r="K1068" s="885"/>
      <c r="L1068" s="885"/>
      <c r="M1068" s="885"/>
      <c r="N1068" s="885"/>
      <c r="O1068" s="885"/>
      <c r="P1068" s="885"/>
      <c r="Q1068" s="885"/>
      <c r="R1068" s="885"/>
      <c r="S1068" s="885"/>
      <c r="T1068" s="885"/>
      <c r="U1068" s="885"/>
      <c r="V1068" s="885"/>
      <c r="W1068" s="885"/>
      <c r="X1068" s="885"/>
      <c r="Y1068" s="885"/>
      <c r="Z1068" s="885"/>
      <c r="AA1068" s="885"/>
      <c r="AB1068" s="885"/>
      <c r="AC1068" s="885"/>
      <c r="AD1068" s="885"/>
      <c r="AE1068" s="885"/>
      <c r="AF1068" s="885"/>
      <c r="AG1068" s="885"/>
      <c r="AH1068" s="885"/>
      <c r="AI1068" s="885"/>
      <c r="AJ1068" s="885"/>
      <c r="AK1068" s="885"/>
      <c r="AL1068" s="885"/>
      <c r="AM1068" s="885"/>
      <c r="AN1068" s="885"/>
      <c r="AO1068" s="885"/>
      <c r="AP1068" s="885"/>
      <c r="AQ1068" s="885"/>
      <c r="AR1068" s="885"/>
      <c r="AS1068" s="885"/>
      <c r="AT1068" s="885"/>
      <c r="AU1068" s="885"/>
      <c r="AV1068" s="885"/>
      <c r="AW1068" s="885"/>
      <c r="AX1068" s="885"/>
      <c r="AY1068" s="885"/>
      <c r="AZ1068" s="885"/>
      <c r="BA1068" s="885"/>
      <c r="BB1068" s="885"/>
      <c r="BC1068" s="885"/>
      <c r="BD1068" s="885"/>
      <c r="BE1068" s="885"/>
      <c r="BF1068" s="885"/>
      <c r="BG1068" s="885"/>
      <c r="BH1068" s="885"/>
      <c r="BI1068" s="885"/>
      <c r="BJ1068" s="885"/>
      <c r="BK1068" s="885"/>
      <c r="BL1068" s="885"/>
      <c r="BM1068" s="885"/>
      <c r="BN1068" s="885"/>
      <c r="BO1068" s="885"/>
      <c r="BP1068" s="885"/>
      <c r="BQ1068" s="885"/>
      <c r="BR1068" s="885"/>
      <c r="BS1068" s="885"/>
      <c r="BT1068" s="885"/>
      <c r="BU1068" s="885"/>
      <c r="BV1068" s="885"/>
      <c r="BW1068" s="885"/>
      <c r="BX1068" s="885"/>
      <c r="BY1068" s="885"/>
      <c r="BZ1068" s="885"/>
      <c r="CA1068" s="885"/>
      <c r="CB1068" s="885"/>
      <c r="CC1068" s="885"/>
      <c r="CD1068" s="885"/>
      <c r="CE1068" s="885"/>
      <c r="CF1068" s="885"/>
      <c r="CG1068" s="885"/>
      <c r="CH1068" s="885"/>
      <c r="CI1068" s="885"/>
      <c r="CJ1068" s="885"/>
      <c r="CK1068" s="885"/>
      <c r="CL1068" s="885"/>
      <c r="CM1068" s="885"/>
      <c r="CN1068" s="885"/>
      <c r="CO1068" s="885"/>
      <c r="CP1068" s="885"/>
      <c r="CQ1068" s="885"/>
      <c r="CR1068" s="885"/>
      <c r="CS1068" s="885"/>
      <c r="CT1068" s="885"/>
      <c r="CU1068" s="885"/>
      <c r="CV1068" s="885"/>
      <c r="CW1068" s="885"/>
      <c r="CX1068" s="885"/>
      <c r="CY1068" s="885"/>
      <c r="CZ1068" s="885"/>
      <c r="DA1068" s="885"/>
      <c r="DB1068" s="885"/>
      <c r="DC1068" s="885"/>
      <c r="DD1068" s="885"/>
      <c r="DE1068" s="885"/>
      <c r="DF1068" s="885"/>
      <c r="DG1068" s="885"/>
      <c r="DH1068" s="885"/>
      <c r="DI1068" s="885"/>
      <c r="DJ1068" s="885"/>
      <c r="DK1068" s="885"/>
      <c r="DL1068" s="885"/>
      <c r="DM1068" s="885"/>
      <c r="DN1068" s="885"/>
      <c r="DO1068" s="885"/>
      <c r="DP1068" s="885"/>
      <c r="DQ1068" s="885"/>
      <c r="DR1068" s="885"/>
      <c r="DS1068" s="885"/>
      <c r="DT1068" s="885"/>
      <c r="DU1068" s="885"/>
      <c r="DV1068" s="885"/>
      <c r="DW1068" s="885"/>
      <c r="DX1068" s="885"/>
      <c r="DY1068" s="885"/>
      <c r="DZ1068" s="885"/>
      <c r="EA1068" s="885"/>
      <c r="EB1068" s="885"/>
      <c r="EC1068" s="885"/>
      <c r="ED1068" s="885"/>
      <c r="EE1068" s="885"/>
      <c r="EF1068" s="885"/>
      <c r="EG1068" s="885"/>
      <c r="EH1068" s="885"/>
      <c r="EI1068" s="885"/>
      <c r="EJ1068" s="885"/>
      <c r="EK1068" s="885"/>
      <c r="EL1068" s="885"/>
      <c r="EM1068" s="885"/>
      <c r="EN1068" s="885"/>
      <c r="EO1068" s="885"/>
      <c r="EP1068" s="885"/>
      <c r="EQ1068" s="885"/>
      <c r="ER1068" s="885"/>
      <c r="ES1068" s="885"/>
      <c r="ET1068" s="885"/>
      <c r="EU1068" s="885"/>
      <c r="EV1068" s="885"/>
      <c r="EW1068" s="885"/>
      <c r="EX1068" s="885"/>
      <c r="EY1068" s="885"/>
      <c r="EZ1068" s="885"/>
      <c r="FA1068" s="885"/>
      <c r="FB1068" s="885"/>
      <c r="FC1068" s="885"/>
      <c r="FD1068" s="885"/>
      <c r="FE1068" s="885"/>
      <c r="FF1068" s="885"/>
      <c r="FG1068" s="885"/>
      <c r="FH1068" s="885"/>
      <c r="FI1068" s="885"/>
      <c r="FJ1068" s="885"/>
      <c r="FK1068" s="885"/>
      <c r="FL1068" s="885"/>
      <c r="FM1068" s="885"/>
      <c r="FN1068" s="885"/>
      <c r="FO1068" s="885"/>
      <c r="FP1068" s="885"/>
      <c r="FQ1068" s="885"/>
      <c r="FR1068" s="885"/>
      <c r="FS1068" s="885"/>
      <c r="FT1068" s="885"/>
      <c r="FU1068" s="885"/>
      <c r="FV1068" s="885"/>
      <c r="FW1068" s="885"/>
      <c r="FX1068" s="885"/>
      <c r="FY1068" s="885"/>
      <c r="FZ1068" s="885"/>
      <c r="GA1068" s="885"/>
      <c r="GB1068" s="885"/>
      <c r="GC1068" s="885"/>
      <c r="GD1068" s="885"/>
      <c r="GE1068" s="885"/>
      <c r="GF1068" s="885"/>
      <c r="GG1068" s="885"/>
      <c r="GH1068" s="885"/>
      <c r="GI1068" s="885"/>
      <c r="GJ1068" s="885"/>
      <c r="GK1068" s="885"/>
      <c r="GL1068" s="885"/>
      <c r="GM1068" s="885"/>
      <c r="GN1068" s="885"/>
      <c r="GO1068" s="885"/>
      <c r="GP1068" s="885"/>
      <c r="GQ1068" s="885"/>
      <c r="GR1068" s="885"/>
      <c r="GS1068" s="885"/>
      <c r="GT1068" s="885"/>
      <c r="GU1068" s="885"/>
      <c r="GV1068" s="885"/>
      <c r="GW1068" s="885"/>
      <c r="GX1068" s="885"/>
      <c r="GY1068" s="885"/>
      <c r="GZ1068" s="885"/>
      <c r="HA1068" s="885"/>
      <c r="HB1068" s="885"/>
      <c r="HC1068" s="885"/>
      <c r="HD1068" s="885"/>
      <c r="HE1068" s="885"/>
      <c r="HF1068" s="885"/>
      <c r="HG1068" s="885"/>
      <c r="HH1068" s="885"/>
      <c r="HI1068" s="885"/>
      <c r="HJ1068" s="885"/>
      <c r="HK1068" s="885"/>
      <c r="HL1068" s="885"/>
      <c r="HM1068" s="885"/>
      <c r="HN1068" s="885"/>
      <c r="HO1068" s="885"/>
      <c r="HP1068" s="885"/>
      <c r="HQ1068" s="885"/>
      <c r="HR1068" s="885"/>
      <c r="HS1068" s="885"/>
      <c r="HT1068" s="885"/>
      <c r="HU1068" s="885"/>
      <c r="HV1068" s="885"/>
      <c r="HW1068" s="885"/>
      <c r="HX1068" s="885"/>
      <c r="HY1068" s="885"/>
      <c r="HZ1068" s="885"/>
      <c r="IA1068" s="885"/>
      <c r="IB1068" s="885"/>
      <c r="IC1068" s="885"/>
      <c r="ID1068" s="885"/>
      <c r="IE1068" s="885"/>
      <c r="IF1068" s="885"/>
      <c r="IG1068" s="885"/>
      <c r="IH1068" s="885"/>
      <c r="II1068" s="885"/>
      <c r="IJ1068" s="885"/>
      <c r="IK1068" s="885"/>
      <c r="IL1068" s="885"/>
      <c r="IM1068" s="885"/>
      <c r="IN1068" s="885"/>
      <c r="IO1068" s="885"/>
      <c r="IP1068" s="885"/>
      <c r="IQ1068" s="885"/>
      <c r="IR1068" s="885"/>
      <c r="IS1068" s="885"/>
      <c r="IT1068" s="885"/>
      <c r="IU1068" s="885"/>
      <c r="IV1068" s="885"/>
      <c r="IW1068" s="885"/>
      <c r="IX1068" s="885"/>
    </row>
    <row r="1069" spans="1:258" x14ac:dyDescent="0.25">
      <c r="A1069" s="125">
        <f t="shared" si="127"/>
        <v>1029</v>
      </c>
      <c r="B1069" s="885"/>
      <c r="C1069" s="842" t="s">
        <v>10629</v>
      </c>
      <c r="D1069" s="924">
        <v>0</v>
      </c>
      <c r="E1069" s="924">
        <v>0</v>
      </c>
      <c r="F1069" s="136">
        <v>1</v>
      </c>
      <c r="G1069" s="122" t="s">
        <v>1963</v>
      </c>
      <c r="H1069" s="885"/>
      <c r="I1069" s="885"/>
      <c r="J1069" s="885"/>
      <c r="K1069" s="885"/>
      <c r="L1069" s="885"/>
      <c r="M1069" s="885"/>
      <c r="N1069" s="885"/>
      <c r="O1069" s="885"/>
      <c r="P1069" s="885"/>
      <c r="Q1069" s="885"/>
      <c r="R1069" s="885"/>
      <c r="S1069" s="885"/>
      <c r="T1069" s="885"/>
      <c r="U1069" s="885"/>
      <c r="V1069" s="885"/>
      <c r="W1069" s="885"/>
      <c r="X1069" s="885"/>
      <c r="Y1069" s="885"/>
      <c r="Z1069" s="885"/>
      <c r="AA1069" s="885"/>
      <c r="AB1069" s="885"/>
      <c r="AC1069" s="885"/>
      <c r="AD1069" s="885"/>
      <c r="AE1069" s="885"/>
      <c r="AF1069" s="885"/>
      <c r="AG1069" s="885"/>
      <c r="AH1069" s="885"/>
      <c r="AI1069" s="885"/>
      <c r="AJ1069" s="885"/>
      <c r="AK1069" s="885"/>
      <c r="AL1069" s="885"/>
      <c r="AM1069" s="885"/>
      <c r="AN1069" s="885"/>
      <c r="AO1069" s="885"/>
      <c r="AP1069" s="885"/>
      <c r="AQ1069" s="885"/>
      <c r="AR1069" s="885"/>
      <c r="AS1069" s="885"/>
      <c r="AT1069" s="885"/>
      <c r="AU1069" s="885"/>
      <c r="AV1069" s="885"/>
      <c r="AW1069" s="885"/>
      <c r="AX1069" s="885"/>
      <c r="AY1069" s="885"/>
      <c r="AZ1069" s="885"/>
      <c r="BA1069" s="885"/>
      <c r="BB1069" s="885"/>
      <c r="BC1069" s="885"/>
      <c r="BD1069" s="885"/>
      <c r="BE1069" s="885"/>
      <c r="BF1069" s="885"/>
      <c r="BG1069" s="885"/>
      <c r="BH1069" s="885"/>
      <c r="BI1069" s="885"/>
      <c r="BJ1069" s="885"/>
      <c r="BK1069" s="885"/>
      <c r="BL1069" s="885"/>
      <c r="BM1069" s="885"/>
      <c r="BN1069" s="885"/>
      <c r="BO1069" s="885"/>
      <c r="BP1069" s="885"/>
      <c r="BQ1069" s="885"/>
      <c r="BR1069" s="885"/>
      <c r="BS1069" s="885"/>
      <c r="BT1069" s="885"/>
      <c r="BU1069" s="885"/>
      <c r="BV1069" s="885"/>
      <c r="BW1069" s="885"/>
      <c r="BX1069" s="885"/>
      <c r="BY1069" s="885"/>
      <c r="BZ1069" s="885"/>
      <c r="CA1069" s="885"/>
      <c r="CB1069" s="885"/>
      <c r="CC1069" s="885"/>
      <c r="CD1069" s="885"/>
      <c r="CE1069" s="885"/>
      <c r="CF1069" s="885"/>
      <c r="CG1069" s="885"/>
      <c r="CH1069" s="885"/>
      <c r="CI1069" s="885"/>
      <c r="CJ1069" s="885"/>
      <c r="CK1069" s="885"/>
      <c r="CL1069" s="885"/>
      <c r="CM1069" s="885"/>
      <c r="CN1069" s="885"/>
      <c r="CO1069" s="885"/>
      <c r="CP1069" s="885"/>
      <c r="CQ1069" s="885"/>
      <c r="CR1069" s="885"/>
      <c r="CS1069" s="885"/>
      <c r="CT1069" s="885"/>
      <c r="CU1069" s="885"/>
      <c r="CV1069" s="885"/>
      <c r="CW1069" s="885"/>
      <c r="CX1069" s="885"/>
      <c r="CY1069" s="885"/>
      <c r="CZ1069" s="885"/>
      <c r="DA1069" s="885"/>
      <c r="DB1069" s="885"/>
      <c r="DC1069" s="885"/>
      <c r="DD1069" s="885"/>
      <c r="DE1069" s="885"/>
      <c r="DF1069" s="885"/>
      <c r="DG1069" s="885"/>
      <c r="DH1069" s="885"/>
      <c r="DI1069" s="885"/>
      <c r="DJ1069" s="885"/>
      <c r="DK1069" s="885"/>
      <c r="DL1069" s="885"/>
      <c r="DM1069" s="885"/>
      <c r="DN1069" s="885"/>
      <c r="DO1069" s="885"/>
      <c r="DP1069" s="885"/>
      <c r="DQ1069" s="885"/>
      <c r="DR1069" s="885"/>
      <c r="DS1069" s="885"/>
      <c r="DT1069" s="885"/>
      <c r="DU1069" s="885"/>
      <c r="DV1069" s="885"/>
      <c r="DW1069" s="885"/>
      <c r="DX1069" s="885"/>
      <c r="DY1069" s="885"/>
      <c r="DZ1069" s="885"/>
      <c r="EA1069" s="885"/>
      <c r="EB1069" s="885"/>
      <c r="EC1069" s="885"/>
      <c r="ED1069" s="885"/>
      <c r="EE1069" s="885"/>
      <c r="EF1069" s="885"/>
      <c r="EG1069" s="885"/>
      <c r="EH1069" s="885"/>
      <c r="EI1069" s="885"/>
      <c r="EJ1069" s="885"/>
      <c r="EK1069" s="885"/>
      <c r="EL1069" s="885"/>
      <c r="EM1069" s="885"/>
      <c r="EN1069" s="885"/>
      <c r="EO1069" s="885"/>
      <c r="EP1069" s="885"/>
      <c r="EQ1069" s="885"/>
      <c r="ER1069" s="885"/>
      <c r="ES1069" s="885"/>
      <c r="ET1069" s="885"/>
      <c r="EU1069" s="885"/>
      <c r="EV1069" s="885"/>
      <c r="EW1069" s="885"/>
      <c r="EX1069" s="885"/>
      <c r="EY1069" s="885"/>
      <c r="EZ1069" s="885"/>
      <c r="FA1069" s="885"/>
      <c r="FB1069" s="885"/>
      <c r="FC1069" s="885"/>
      <c r="FD1069" s="885"/>
      <c r="FE1069" s="885"/>
      <c r="FF1069" s="885"/>
      <c r="FG1069" s="885"/>
      <c r="FH1069" s="885"/>
      <c r="FI1069" s="885"/>
      <c r="FJ1069" s="885"/>
      <c r="FK1069" s="885"/>
      <c r="FL1069" s="885"/>
      <c r="FM1069" s="885"/>
      <c r="FN1069" s="885"/>
      <c r="FO1069" s="885"/>
      <c r="FP1069" s="885"/>
      <c r="FQ1069" s="885"/>
      <c r="FR1069" s="885"/>
      <c r="FS1069" s="885"/>
      <c r="FT1069" s="885"/>
      <c r="FU1069" s="885"/>
      <c r="FV1069" s="885"/>
      <c r="FW1069" s="885"/>
      <c r="FX1069" s="885"/>
      <c r="FY1069" s="885"/>
      <c r="FZ1069" s="885"/>
      <c r="GA1069" s="885"/>
      <c r="GB1069" s="885"/>
      <c r="GC1069" s="885"/>
      <c r="GD1069" s="885"/>
      <c r="GE1069" s="885"/>
      <c r="GF1069" s="885"/>
      <c r="GG1069" s="885"/>
      <c r="GH1069" s="885"/>
      <c r="GI1069" s="885"/>
      <c r="GJ1069" s="885"/>
      <c r="GK1069" s="885"/>
      <c r="GL1069" s="885"/>
      <c r="GM1069" s="885"/>
      <c r="GN1069" s="885"/>
      <c r="GO1069" s="885"/>
      <c r="GP1069" s="885"/>
      <c r="GQ1069" s="885"/>
      <c r="GR1069" s="885"/>
      <c r="GS1069" s="885"/>
      <c r="GT1069" s="885"/>
      <c r="GU1069" s="885"/>
      <c r="GV1069" s="885"/>
      <c r="GW1069" s="885"/>
      <c r="GX1069" s="885"/>
      <c r="GY1069" s="885"/>
      <c r="GZ1069" s="885"/>
      <c r="HA1069" s="885"/>
      <c r="HB1069" s="885"/>
      <c r="HC1069" s="885"/>
      <c r="HD1069" s="885"/>
      <c r="HE1069" s="885"/>
      <c r="HF1069" s="885"/>
      <c r="HG1069" s="885"/>
      <c r="HH1069" s="885"/>
      <c r="HI1069" s="885"/>
      <c r="HJ1069" s="885"/>
      <c r="HK1069" s="885"/>
      <c r="HL1069" s="885"/>
      <c r="HM1069" s="885"/>
      <c r="HN1069" s="885"/>
      <c r="HO1069" s="885"/>
      <c r="HP1069" s="885"/>
      <c r="HQ1069" s="885"/>
      <c r="HR1069" s="885"/>
      <c r="HS1069" s="885"/>
      <c r="HT1069" s="885"/>
      <c r="HU1069" s="885"/>
      <c r="HV1069" s="885"/>
      <c r="HW1069" s="885"/>
      <c r="HX1069" s="885"/>
      <c r="HY1069" s="885"/>
      <c r="HZ1069" s="885"/>
      <c r="IA1069" s="885"/>
      <c r="IB1069" s="885"/>
      <c r="IC1069" s="885"/>
      <c r="ID1069" s="885"/>
      <c r="IE1069" s="885"/>
      <c r="IF1069" s="885"/>
      <c r="IG1069" s="885"/>
      <c r="IH1069" s="885"/>
      <c r="II1069" s="885"/>
      <c r="IJ1069" s="885"/>
      <c r="IK1069" s="885"/>
      <c r="IL1069" s="885"/>
      <c r="IM1069" s="885"/>
      <c r="IN1069" s="885"/>
      <c r="IO1069" s="885"/>
      <c r="IP1069" s="885"/>
      <c r="IQ1069" s="885"/>
      <c r="IR1069" s="885"/>
      <c r="IS1069" s="885"/>
      <c r="IT1069" s="885"/>
      <c r="IU1069" s="885"/>
      <c r="IV1069" s="885"/>
      <c r="IW1069" s="885"/>
      <c r="IX1069" s="885"/>
    </row>
    <row r="1070" spans="1:258" x14ac:dyDescent="0.25">
      <c r="A1070" s="125">
        <f t="shared" si="127"/>
        <v>1030</v>
      </c>
      <c r="B1070" s="885"/>
      <c r="C1070" s="134"/>
      <c r="D1070" s="914"/>
      <c r="E1070" s="914"/>
      <c r="F1070" s="136"/>
      <c r="H1070" s="885"/>
      <c r="I1070" s="885"/>
      <c r="J1070" s="885"/>
      <c r="K1070" s="885"/>
      <c r="L1070" s="885"/>
      <c r="M1070" s="885"/>
      <c r="N1070" s="885"/>
      <c r="O1070" s="885"/>
      <c r="P1070" s="885"/>
      <c r="Q1070" s="885"/>
      <c r="R1070" s="885"/>
      <c r="S1070" s="885"/>
      <c r="T1070" s="885"/>
      <c r="U1070" s="885"/>
      <c r="V1070" s="885"/>
      <c r="W1070" s="885"/>
      <c r="X1070" s="885"/>
      <c r="Y1070" s="885"/>
      <c r="Z1070" s="885"/>
      <c r="AA1070" s="885"/>
      <c r="AB1070" s="885"/>
      <c r="AC1070" s="885"/>
      <c r="AD1070" s="885"/>
      <c r="AE1070" s="885"/>
      <c r="AF1070" s="885"/>
      <c r="AG1070" s="885"/>
      <c r="AH1070" s="885"/>
      <c r="AI1070" s="885"/>
      <c r="AJ1070" s="885"/>
      <c r="AK1070" s="885"/>
      <c r="AL1070" s="885"/>
      <c r="AM1070" s="885"/>
      <c r="AN1070" s="885"/>
      <c r="AO1070" s="885"/>
      <c r="AP1070" s="885"/>
      <c r="AQ1070" s="885"/>
      <c r="AR1070" s="885"/>
      <c r="AS1070" s="885"/>
      <c r="AT1070" s="885"/>
      <c r="AU1070" s="885"/>
      <c r="AV1070" s="885"/>
      <c r="AW1070" s="885"/>
      <c r="AX1070" s="885"/>
      <c r="AY1070" s="885"/>
      <c r="AZ1070" s="885"/>
      <c r="BA1070" s="885"/>
      <c r="BB1070" s="885"/>
      <c r="BC1070" s="885"/>
      <c r="BD1070" s="885"/>
      <c r="BE1070" s="885"/>
      <c r="BF1070" s="885"/>
      <c r="BG1070" s="885"/>
      <c r="BH1070" s="885"/>
      <c r="BI1070" s="885"/>
      <c r="BJ1070" s="885"/>
      <c r="BK1070" s="885"/>
      <c r="BL1070" s="885"/>
      <c r="BM1070" s="885"/>
      <c r="BN1070" s="885"/>
      <c r="BO1070" s="885"/>
      <c r="BP1070" s="885"/>
      <c r="BQ1070" s="885"/>
      <c r="BR1070" s="885"/>
      <c r="BS1070" s="885"/>
      <c r="BT1070" s="885"/>
      <c r="BU1070" s="885"/>
      <c r="BV1070" s="885"/>
      <c r="BW1070" s="885"/>
      <c r="BX1070" s="885"/>
      <c r="BY1070" s="885"/>
      <c r="BZ1070" s="885"/>
      <c r="CA1070" s="885"/>
      <c r="CB1070" s="885"/>
      <c r="CC1070" s="885"/>
      <c r="CD1070" s="885"/>
      <c r="CE1070" s="885"/>
      <c r="CF1070" s="885"/>
      <c r="CG1070" s="885"/>
      <c r="CH1070" s="885"/>
      <c r="CI1070" s="885"/>
      <c r="CJ1070" s="885"/>
      <c r="CK1070" s="885"/>
      <c r="CL1070" s="885"/>
      <c r="CM1070" s="885"/>
      <c r="CN1070" s="885"/>
      <c r="CO1070" s="885"/>
      <c r="CP1070" s="885"/>
      <c r="CQ1070" s="885"/>
      <c r="CR1070" s="885"/>
      <c r="CS1070" s="885"/>
      <c r="CT1070" s="885"/>
      <c r="CU1070" s="885"/>
      <c r="CV1070" s="885"/>
      <c r="CW1070" s="885"/>
      <c r="CX1070" s="885"/>
      <c r="CY1070" s="885"/>
      <c r="CZ1070" s="885"/>
      <c r="DA1070" s="885"/>
      <c r="DB1070" s="885"/>
      <c r="DC1070" s="885"/>
      <c r="DD1070" s="885"/>
      <c r="DE1070" s="885"/>
      <c r="DF1070" s="885"/>
      <c r="DG1070" s="885"/>
      <c r="DH1070" s="885"/>
      <c r="DI1070" s="885"/>
      <c r="DJ1070" s="885"/>
      <c r="DK1070" s="885"/>
      <c r="DL1070" s="885"/>
      <c r="DM1070" s="885"/>
      <c r="DN1070" s="885"/>
      <c r="DO1070" s="885"/>
      <c r="DP1070" s="885"/>
      <c r="DQ1070" s="885"/>
      <c r="DR1070" s="885"/>
      <c r="DS1070" s="885"/>
      <c r="DT1070" s="885"/>
      <c r="DU1070" s="885"/>
      <c r="DV1070" s="885"/>
      <c r="DW1070" s="885"/>
      <c r="DX1070" s="885"/>
      <c r="DY1070" s="885"/>
      <c r="DZ1070" s="885"/>
      <c r="EA1070" s="885"/>
      <c r="EB1070" s="885"/>
      <c r="EC1070" s="885"/>
      <c r="ED1070" s="885"/>
      <c r="EE1070" s="885"/>
      <c r="EF1070" s="885"/>
      <c r="EG1070" s="885"/>
      <c r="EH1070" s="885"/>
      <c r="EI1070" s="885"/>
      <c r="EJ1070" s="885"/>
      <c r="EK1070" s="885"/>
      <c r="EL1070" s="885"/>
      <c r="EM1070" s="885"/>
      <c r="EN1070" s="885"/>
      <c r="EO1070" s="885"/>
      <c r="EP1070" s="885"/>
      <c r="EQ1070" s="885"/>
      <c r="ER1070" s="885"/>
      <c r="ES1070" s="885"/>
      <c r="ET1070" s="885"/>
      <c r="EU1070" s="885"/>
      <c r="EV1070" s="885"/>
      <c r="EW1070" s="885"/>
      <c r="EX1070" s="885"/>
      <c r="EY1070" s="885"/>
      <c r="EZ1070" s="885"/>
      <c r="FA1070" s="885"/>
      <c r="FB1070" s="885"/>
      <c r="FC1070" s="885"/>
      <c r="FD1070" s="885"/>
      <c r="FE1070" s="885"/>
      <c r="FF1070" s="885"/>
      <c r="FG1070" s="885"/>
      <c r="FH1070" s="885"/>
      <c r="FI1070" s="885"/>
      <c r="FJ1070" s="885"/>
      <c r="FK1070" s="885"/>
      <c r="FL1070" s="885"/>
      <c r="FM1070" s="885"/>
      <c r="FN1070" s="885"/>
      <c r="FO1070" s="885"/>
      <c r="FP1070" s="885"/>
      <c r="FQ1070" s="885"/>
      <c r="FR1070" s="885"/>
      <c r="FS1070" s="885"/>
      <c r="FT1070" s="885"/>
      <c r="FU1070" s="885"/>
      <c r="FV1070" s="885"/>
      <c r="FW1070" s="885"/>
      <c r="FX1070" s="885"/>
      <c r="FY1070" s="885"/>
      <c r="FZ1070" s="885"/>
      <c r="GA1070" s="885"/>
      <c r="GB1070" s="885"/>
      <c r="GC1070" s="885"/>
      <c r="GD1070" s="885"/>
      <c r="GE1070" s="885"/>
      <c r="GF1070" s="885"/>
      <c r="GG1070" s="885"/>
      <c r="GH1070" s="885"/>
      <c r="GI1070" s="885"/>
      <c r="GJ1070" s="885"/>
      <c r="GK1070" s="885"/>
      <c r="GL1070" s="885"/>
      <c r="GM1070" s="885"/>
      <c r="GN1070" s="885"/>
      <c r="GO1070" s="885"/>
      <c r="GP1070" s="885"/>
      <c r="GQ1070" s="885"/>
      <c r="GR1070" s="885"/>
      <c r="GS1070" s="885"/>
      <c r="GT1070" s="885"/>
      <c r="GU1070" s="885"/>
      <c r="GV1070" s="885"/>
      <c r="GW1070" s="885"/>
      <c r="GX1070" s="885"/>
      <c r="GY1070" s="885"/>
      <c r="GZ1070" s="885"/>
      <c r="HA1070" s="885"/>
      <c r="HB1070" s="885"/>
      <c r="HC1070" s="885"/>
      <c r="HD1070" s="885"/>
      <c r="HE1070" s="885"/>
      <c r="HF1070" s="885"/>
      <c r="HG1070" s="885"/>
      <c r="HH1070" s="885"/>
      <c r="HI1070" s="885"/>
      <c r="HJ1070" s="885"/>
      <c r="HK1070" s="885"/>
      <c r="HL1070" s="885"/>
      <c r="HM1070" s="885"/>
      <c r="HN1070" s="885"/>
      <c r="HO1070" s="885"/>
      <c r="HP1070" s="885"/>
      <c r="HQ1070" s="885"/>
      <c r="HR1070" s="885"/>
      <c r="HS1070" s="885"/>
      <c r="HT1070" s="885"/>
      <c r="HU1070" s="885"/>
      <c r="HV1070" s="885"/>
      <c r="HW1070" s="885"/>
      <c r="HX1070" s="885"/>
      <c r="HY1070" s="885"/>
      <c r="HZ1070" s="885"/>
      <c r="IA1070" s="885"/>
      <c r="IB1070" s="885"/>
      <c r="IC1070" s="885"/>
      <c r="ID1070" s="885"/>
      <c r="IE1070" s="885"/>
      <c r="IF1070" s="885"/>
      <c r="IG1070" s="885"/>
      <c r="IH1070" s="885"/>
      <c r="II1070" s="885"/>
      <c r="IJ1070" s="885"/>
      <c r="IK1070" s="885"/>
      <c r="IL1070" s="885"/>
      <c r="IM1070" s="885"/>
      <c r="IN1070" s="885"/>
      <c r="IO1070" s="885"/>
      <c r="IP1070" s="885"/>
      <c r="IQ1070" s="885"/>
      <c r="IR1070" s="885"/>
      <c r="IS1070" s="885"/>
      <c r="IT1070" s="885"/>
      <c r="IU1070" s="885"/>
      <c r="IV1070" s="885"/>
      <c r="IW1070" s="885"/>
      <c r="IX1070" s="885"/>
    </row>
    <row r="1071" spans="1:258" x14ac:dyDescent="0.25">
      <c r="A1071" s="125">
        <f t="shared" si="127"/>
        <v>1031</v>
      </c>
      <c r="B1071" s="885"/>
      <c r="C1071" s="793" t="s">
        <v>7911</v>
      </c>
      <c r="D1071" s="918"/>
      <c r="E1071" s="918"/>
      <c r="F1071" s="793"/>
      <c r="G1071" s="793"/>
      <c r="H1071" s="793"/>
      <c r="I1071" s="793"/>
      <c r="J1071" s="885"/>
      <c r="K1071" s="885"/>
      <c r="L1071" s="885"/>
      <c r="M1071" s="885"/>
      <c r="N1071" s="885"/>
      <c r="O1071" s="885"/>
      <c r="P1071" s="885"/>
      <c r="Q1071" s="885"/>
      <c r="R1071" s="885"/>
      <c r="S1071" s="885"/>
      <c r="T1071" s="885"/>
      <c r="U1071" s="885"/>
      <c r="V1071" s="885"/>
      <c r="W1071" s="885"/>
      <c r="X1071" s="885"/>
      <c r="Y1071" s="885"/>
      <c r="Z1071" s="885"/>
      <c r="AA1071" s="885"/>
      <c r="AB1071" s="885"/>
      <c r="AC1071" s="885"/>
      <c r="AD1071" s="885"/>
      <c r="AE1071" s="885"/>
      <c r="AF1071" s="885"/>
      <c r="AG1071" s="885"/>
      <c r="AH1071" s="885"/>
      <c r="AI1071" s="885"/>
      <c r="AJ1071" s="885"/>
      <c r="AK1071" s="885"/>
      <c r="AL1071" s="885"/>
      <c r="AM1071" s="885"/>
      <c r="AN1071" s="885"/>
      <c r="AO1071" s="885"/>
      <c r="AP1071" s="885"/>
      <c r="AQ1071" s="885"/>
      <c r="AR1071" s="885"/>
      <c r="AS1071" s="885"/>
      <c r="AT1071" s="885"/>
      <c r="AU1071" s="885"/>
      <c r="AV1071" s="885"/>
      <c r="AW1071" s="885"/>
      <c r="AX1071" s="885"/>
      <c r="AY1071" s="885"/>
      <c r="AZ1071" s="885"/>
      <c r="BA1071" s="885"/>
      <c r="BB1071" s="885"/>
      <c r="BC1071" s="885"/>
      <c r="BD1071" s="885"/>
      <c r="BE1071" s="885"/>
      <c r="BF1071" s="885"/>
      <c r="BG1071" s="885"/>
      <c r="BH1071" s="885"/>
      <c r="BI1071" s="885"/>
      <c r="BJ1071" s="885"/>
      <c r="BK1071" s="885"/>
      <c r="BL1071" s="885"/>
      <c r="BM1071" s="885"/>
      <c r="BN1071" s="885"/>
      <c r="BO1071" s="885"/>
      <c r="BP1071" s="885"/>
      <c r="BQ1071" s="885"/>
      <c r="BR1071" s="885"/>
      <c r="BS1071" s="885"/>
      <c r="BT1071" s="885"/>
      <c r="BU1071" s="885"/>
      <c r="BV1071" s="885"/>
      <c r="BW1071" s="885"/>
      <c r="BX1071" s="885"/>
      <c r="BY1071" s="885"/>
      <c r="BZ1071" s="885"/>
      <c r="CA1071" s="885"/>
      <c r="CB1071" s="885"/>
      <c r="CC1071" s="885"/>
      <c r="CD1071" s="885"/>
      <c r="CE1071" s="885"/>
      <c r="CF1071" s="885"/>
      <c r="CG1071" s="885"/>
      <c r="CH1071" s="885"/>
      <c r="CI1071" s="885"/>
      <c r="CJ1071" s="885"/>
      <c r="CK1071" s="885"/>
      <c r="CL1071" s="885"/>
      <c r="CM1071" s="885"/>
      <c r="CN1071" s="885"/>
      <c r="CO1071" s="885"/>
      <c r="CP1071" s="885"/>
      <c r="CQ1071" s="885"/>
      <c r="CR1071" s="885"/>
      <c r="CS1071" s="885"/>
      <c r="CT1071" s="885"/>
      <c r="CU1071" s="885"/>
      <c r="CV1071" s="885"/>
      <c r="CW1071" s="885"/>
      <c r="CX1071" s="885"/>
      <c r="CY1071" s="885"/>
      <c r="CZ1071" s="885"/>
      <c r="DA1071" s="885"/>
      <c r="DB1071" s="885"/>
      <c r="DC1071" s="885"/>
      <c r="DD1071" s="885"/>
      <c r="DE1071" s="885"/>
      <c r="DF1071" s="885"/>
      <c r="DG1071" s="885"/>
      <c r="DH1071" s="885"/>
      <c r="DI1071" s="885"/>
      <c r="DJ1071" s="885"/>
      <c r="DK1071" s="885"/>
      <c r="DL1071" s="885"/>
      <c r="DM1071" s="885"/>
      <c r="DN1071" s="885"/>
      <c r="DO1071" s="885"/>
      <c r="DP1071" s="885"/>
      <c r="DQ1071" s="885"/>
      <c r="DR1071" s="885"/>
      <c r="DS1071" s="885"/>
      <c r="DT1071" s="885"/>
      <c r="DU1071" s="885"/>
      <c r="DV1071" s="885"/>
      <c r="DW1071" s="885"/>
      <c r="DX1071" s="885"/>
      <c r="DY1071" s="885"/>
      <c r="DZ1071" s="885"/>
      <c r="EA1071" s="885"/>
      <c r="EB1071" s="885"/>
      <c r="EC1071" s="885"/>
      <c r="ED1071" s="885"/>
      <c r="EE1071" s="885"/>
      <c r="EF1071" s="885"/>
      <c r="EG1071" s="885"/>
      <c r="EH1071" s="885"/>
      <c r="EI1071" s="885"/>
      <c r="EJ1071" s="885"/>
      <c r="EK1071" s="885"/>
      <c r="EL1071" s="885"/>
      <c r="EM1071" s="885"/>
      <c r="EN1071" s="885"/>
      <c r="EO1071" s="885"/>
      <c r="EP1071" s="885"/>
      <c r="EQ1071" s="885"/>
      <c r="ER1071" s="885"/>
      <c r="ES1071" s="885"/>
      <c r="ET1071" s="885"/>
      <c r="EU1071" s="885"/>
      <c r="EV1071" s="885"/>
      <c r="EW1071" s="885"/>
      <c r="EX1071" s="885"/>
      <c r="EY1071" s="885"/>
      <c r="EZ1071" s="885"/>
      <c r="FA1071" s="885"/>
      <c r="FB1071" s="885"/>
      <c r="FC1071" s="885"/>
      <c r="FD1071" s="885"/>
      <c r="FE1071" s="885"/>
      <c r="FF1071" s="885"/>
      <c r="FG1071" s="885"/>
      <c r="FH1071" s="885"/>
      <c r="FI1071" s="885"/>
      <c r="FJ1071" s="885"/>
      <c r="FK1071" s="885"/>
      <c r="FL1071" s="885"/>
      <c r="FM1071" s="885"/>
      <c r="FN1071" s="885"/>
      <c r="FO1071" s="885"/>
      <c r="FP1071" s="885"/>
      <c r="FQ1071" s="885"/>
      <c r="FR1071" s="885"/>
      <c r="FS1071" s="885"/>
      <c r="FT1071" s="885"/>
      <c r="FU1071" s="885"/>
      <c r="FV1071" s="885"/>
      <c r="FW1071" s="885"/>
      <c r="FX1071" s="885"/>
      <c r="FY1071" s="885"/>
      <c r="FZ1071" s="885"/>
      <c r="GA1071" s="885"/>
      <c r="GB1071" s="885"/>
      <c r="GC1071" s="885"/>
      <c r="GD1071" s="885"/>
      <c r="GE1071" s="885"/>
      <c r="GF1071" s="885"/>
      <c r="GG1071" s="885"/>
      <c r="GH1071" s="885"/>
      <c r="GI1071" s="885"/>
      <c r="GJ1071" s="885"/>
      <c r="GK1071" s="885"/>
      <c r="GL1071" s="885"/>
      <c r="GM1071" s="885"/>
      <c r="GN1071" s="885"/>
      <c r="GO1071" s="885"/>
      <c r="GP1071" s="885"/>
      <c r="GQ1071" s="885"/>
      <c r="GR1071" s="885"/>
      <c r="GS1071" s="885"/>
      <c r="GT1071" s="885"/>
      <c r="GU1071" s="885"/>
      <c r="GV1071" s="885"/>
      <c r="GW1071" s="885"/>
      <c r="GX1071" s="885"/>
      <c r="GY1071" s="885"/>
      <c r="GZ1071" s="885"/>
      <c r="HA1071" s="885"/>
      <c r="HB1071" s="885"/>
      <c r="HC1071" s="885"/>
      <c r="HD1071" s="885"/>
      <c r="HE1071" s="885"/>
      <c r="HF1071" s="885"/>
      <c r="HG1071" s="885"/>
      <c r="HH1071" s="885"/>
      <c r="HI1071" s="885"/>
      <c r="HJ1071" s="885"/>
      <c r="HK1071" s="885"/>
      <c r="HL1071" s="885"/>
      <c r="HM1071" s="885"/>
      <c r="HN1071" s="885"/>
      <c r="HO1071" s="885"/>
      <c r="HP1071" s="885"/>
      <c r="HQ1071" s="885"/>
      <c r="HR1071" s="885"/>
      <c r="HS1071" s="885"/>
      <c r="HT1071" s="885"/>
      <c r="HU1071" s="885"/>
      <c r="HV1071" s="885"/>
      <c r="HW1071" s="885"/>
      <c r="HX1071" s="885"/>
      <c r="HY1071" s="885"/>
      <c r="HZ1071" s="885"/>
      <c r="IA1071" s="885"/>
      <c r="IB1071" s="885"/>
      <c r="IC1071" s="885"/>
      <c r="ID1071" s="885"/>
      <c r="IE1071" s="885"/>
      <c r="IF1071" s="885"/>
      <c r="IG1071" s="885"/>
      <c r="IH1071" s="885"/>
      <c r="II1071" s="885"/>
      <c r="IJ1071" s="885"/>
      <c r="IK1071" s="885"/>
      <c r="IL1071" s="885"/>
      <c r="IM1071" s="885"/>
      <c r="IN1071" s="885"/>
      <c r="IO1071" s="885"/>
      <c r="IP1071" s="885"/>
      <c r="IQ1071" s="885"/>
      <c r="IR1071" s="885"/>
      <c r="IS1071" s="885"/>
      <c r="IT1071" s="885"/>
      <c r="IU1071" s="885"/>
      <c r="IV1071" s="885"/>
      <c r="IW1071" s="885"/>
      <c r="IX1071" s="885"/>
    </row>
    <row r="1072" spans="1:258" x14ac:dyDescent="0.25">
      <c r="A1072" s="125">
        <f t="shared" si="127"/>
        <v>1032</v>
      </c>
      <c r="B1072" s="885"/>
      <c r="C1072" s="793" t="s">
        <v>8190</v>
      </c>
      <c r="D1072" s="918"/>
      <c r="E1072" s="918"/>
      <c r="F1072" s="793"/>
      <c r="G1072" s="793"/>
      <c r="H1072" s="793"/>
      <c r="I1072" s="793"/>
      <c r="J1072" s="885"/>
      <c r="K1072" s="885"/>
      <c r="L1072" s="885"/>
      <c r="M1072" s="885"/>
      <c r="N1072" s="885"/>
      <c r="O1072" s="885"/>
      <c r="P1072" s="885"/>
      <c r="Q1072" s="885"/>
      <c r="R1072" s="885"/>
      <c r="S1072" s="885"/>
      <c r="T1072" s="885"/>
      <c r="U1072" s="885"/>
      <c r="V1072" s="885"/>
      <c r="W1072" s="885"/>
      <c r="X1072" s="885"/>
      <c r="Y1072" s="885"/>
      <c r="Z1072" s="885"/>
      <c r="AA1072" s="885"/>
      <c r="AB1072" s="885"/>
      <c r="AC1072" s="885"/>
      <c r="AD1072" s="885"/>
      <c r="AE1072" s="885"/>
      <c r="AF1072" s="885"/>
      <c r="AG1072" s="885"/>
      <c r="AH1072" s="885"/>
      <c r="AI1072" s="885"/>
      <c r="AJ1072" s="885"/>
      <c r="AK1072" s="885"/>
      <c r="AL1072" s="885"/>
      <c r="AM1072" s="885"/>
      <c r="AN1072" s="885"/>
      <c r="AO1072" s="885"/>
      <c r="AP1072" s="885"/>
      <c r="AQ1072" s="885"/>
      <c r="AR1072" s="885"/>
      <c r="AS1072" s="885"/>
      <c r="AT1072" s="885"/>
      <c r="AU1072" s="885"/>
      <c r="AV1072" s="885"/>
      <c r="AW1072" s="885"/>
      <c r="AX1072" s="885"/>
      <c r="AY1072" s="885"/>
      <c r="AZ1072" s="885"/>
      <c r="BA1072" s="885"/>
      <c r="BB1072" s="885"/>
      <c r="BC1072" s="885"/>
      <c r="BD1072" s="885"/>
      <c r="BE1072" s="885"/>
      <c r="BF1072" s="885"/>
      <c r="BG1072" s="885"/>
      <c r="BH1072" s="885"/>
      <c r="BI1072" s="885"/>
      <c r="BJ1072" s="885"/>
      <c r="BK1072" s="885"/>
      <c r="BL1072" s="885"/>
      <c r="BM1072" s="885"/>
      <c r="BN1072" s="885"/>
      <c r="BO1072" s="885"/>
      <c r="BP1072" s="885"/>
      <c r="BQ1072" s="885"/>
      <c r="BR1072" s="885"/>
      <c r="BS1072" s="885"/>
      <c r="BT1072" s="885"/>
      <c r="BU1072" s="885"/>
      <c r="BV1072" s="885"/>
      <c r="BW1072" s="885"/>
      <c r="BX1072" s="885"/>
      <c r="BY1072" s="885"/>
      <c r="BZ1072" s="885"/>
      <c r="CA1072" s="885"/>
      <c r="CB1072" s="885"/>
      <c r="CC1072" s="885"/>
      <c r="CD1072" s="885"/>
      <c r="CE1072" s="885"/>
      <c r="CF1072" s="885"/>
      <c r="CG1072" s="885"/>
      <c r="CH1072" s="885"/>
      <c r="CI1072" s="885"/>
      <c r="CJ1072" s="885"/>
      <c r="CK1072" s="885"/>
      <c r="CL1072" s="885"/>
      <c r="CM1072" s="885"/>
      <c r="CN1072" s="885"/>
      <c r="CO1072" s="885"/>
      <c r="CP1072" s="885"/>
      <c r="CQ1072" s="885"/>
      <c r="CR1072" s="885"/>
      <c r="CS1072" s="885"/>
      <c r="CT1072" s="885"/>
      <c r="CU1072" s="885"/>
      <c r="CV1072" s="885"/>
      <c r="CW1072" s="885"/>
      <c r="CX1072" s="885"/>
      <c r="CY1072" s="885"/>
      <c r="CZ1072" s="885"/>
      <c r="DA1072" s="885"/>
      <c r="DB1072" s="885"/>
      <c r="DC1072" s="885"/>
      <c r="DD1072" s="885"/>
      <c r="DE1072" s="885"/>
      <c r="DF1072" s="885"/>
      <c r="DG1072" s="885"/>
      <c r="DH1072" s="885"/>
      <c r="DI1072" s="885"/>
      <c r="DJ1072" s="885"/>
      <c r="DK1072" s="885"/>
      <c r="DL1072" s="885"/>
      <c r="DM1072" s="885"/>
      <c r="DN1072" s="885"/>
      <c r="DO1072" s="885"/>
      <c r="DP1072" s="885"/>
      <c r="DQ1072" s="885"/>
      <c r="DR1072" s="885"/>
      <c r="DS1072" s="885"/>
      <c r="DT1072" s="885"/>
      <c r="DU1072" s="885"/>
      <c r="DV1072" s="885"/>
      <c r="DW1072" s="885"/>
      <c r="DX1072" s="885"/>
      <c r="DY1072" s="885"/>
      <c r="DZ1072" s="885"/>
      <c r="EA1072" s="885"/>
      <c r="EB1072" s="885"/>
      <c r="EC1072" s="885"/>
      <c r="ED1072" s="885"/>
      <c r="EE1072" s="885"/>
      <c r="EF1072" s="885"/>
      <c r="EG1072" s="885"/>
      <c r="EH1072" s="885"/>
      <c r="EI1072" s="885"/>
      <c r="EJ1072" s="885"/>
      <c r="EK1072" s="885"/>
      <c r="EL1072" s="885"/>
      <c r="EM1072" s="885"/>
      <c r="EN1072" s="885"/>
      <c r="EO1072" s="885"/>
      <c r="EP1072" s="885"/>
      <c r="EQ1072" s="885"/>
      <c r="ER1072" s="885"/>
      <c r="ES1072" s="885"/>
      <c r="ET1072" s="885"/>
      <c r="EU1072" s="885"/>
      <c r="EV1072" s="885"/>
      <c r="EW1072" s="885"/>
      <c r="EX1072" s="885"/>
      <c r="EY1072" s="885"/>
      <c r="EZ1072" s="885"/>
      <c r="FA1072" s="885"/>
      <c r="FB1072" s="885"/>
      <c r="FC1072" s="885"/>
      <c r="FD1072" s="885"/>
      <c r="FE1072" s="885"/>
      <c r="FF1072" s="885"/>
      <c r="FG1072" s="885"/>
      <c r="FH1072" s="885"/>
      <c r="FI1072" s="885"/>
      <c r="FJ1072" s="885"/>
      <c r="FK1072" s="885"/>
      <c r="FL1072" s="885"/>
      <c r="FM1072" s="885"/>
      <c r="FN1072" s="885"/>
      <c r="FO1072" s="885"/>
      <c r="FP1072" s="885"/>
      <c r="FQ1072" s="885"/>
      <c r="FR1072" s="885"/>
      <c r="FS1072" s="885"/>
      <c r="FT1072" s="885"/>
      <c r="FU1072" s="885"/>
      <c r="FV1072" s="885"/>
      <c r="FW1072" s="885"/>
      <c r="FX1072" s="885"/>
      <c r="FY1072" s="885"/>
      <c r="FZ1072" s="885"/>
      <c r="GA1072" s="885"/>
      <c r="GB1072" s="885"/>
      <c r="GC1072" s="885"/>
      <c r="GD1072" s="885"/>
      <c r="GE1072" s="885"/>
      <c r="GF1072" s="885"/>
      <c r="GG1072" s="885"/>
      <c r="GH1072" s="885"/>
      <c r="GI1072" s="885"/>
      <c r="GJ1072" s="885"/>
      <c r="GK1072" s="885"/>
      <c r="GL1072" s="885"/>
      <c r="GM1072" s="885"/>
      <c r="GN1072" s="885"/>
      <c r="GO1072" s="885"/>
      <c r="GP1072" s="885"/>
      <c r="GQ1072" s="885"/>
      <c r="GR1072" s="885"/>
      <c r="GS1072" s="885"/>
      <c r="GT1072" s="885"/>
      <c r="GU1072" s="885"/>
      <c r="GV1072" s="885"/>
      <c r="GW1072" s="885"/>
      <c r="GX1072" s="885"/>
      <c r="GY1072" s="885"/>
      <c r="GZ1072" s="885"/>
      <c r="HA1072" s="885"/>
      <c r="HB1072" s="885"/>
      <c r="HC1072" s="885"/>
      <c r="HD1072" s="885"/>
      <c r="HE1072" s="885"/>
      <c r="HF1072" s="885"/>
      <c r="HG1072" s="885"/>
      <c r="HH1072" s="885"/>
      <c r="HI1072" s="885"/>
      <c r="HJ1072" s="885"/>
      <c r="HK1072" s="885"/>
      <c r="HL1072" s="885"/>
      <c r="HM1072" s="885"/>
      <c r="HN1072" s="885"/>
      <c r="HO1072" s="885"/>
      <c r="HP1072" s="885"/>
      <c r="HQ1072" s="885"/>
      <c r="HR1072" s="885"/>
      <c r="HS1072" s="885"/>
      <c r="HT1072" s="885"/>
      <c r="HU1072" s="885"/>
      <c r="HV1072" s="885"/>
      <c r="HW1072" s="885"/>
      <c r="HX1072" s="885"/>
      <c r="HY1072" s="885"/>
      <c r="HZ1072" s="885"/>
      <c r="IA1072" s="885"/>
      <c r="IB1072" s="885"/>
      <c r="IC1072" s="885"/>
      <c r="ID1072" s="885"/>
      <c r="IE1072" s="885"/>
      <c r="IF1072" s="885"/>
      <c r="IG1072" s="885"/>
      <c r="IH1072" s="885"/>
      <c r="II1072" s="885"/>
      <c r="IJ1072" s="885"/>
      <c r="IK1072" s="885"/>
      <c r="IL1072" s="885"/>
      <c r="IM1072" s="885"/>
      <c r="IN1072" s="885"/>
      <c r="IO1072" s="885"/>
      <c r="IP1072" s="885"/>
      <c r="IQ1072" s="885"/>
      <c r="IR1072" s="885"/>
      <c r="IS1072" s="885"/>
      <c r="IT1072" s="885"/>
      <c r="IU1072" s="885"/>
      <c r="IV1072" s="885"/>
      <c r="IW1072" s="885"/>
      <c r="IX1072" s="885"/>
    </row>
    <row r="1073" spans="1:258" x14ac:dyDescent="0.25">
      <c r="A1073" s="125">
        <f t="shared" si="127"/>
        <v>1033</v>
      </c>
      <c r="B1073" s="885"/>
      <c r="C1073" s="232" t="s">
        <v>10630</v>
      </c>
      <c r="D1073" s="915"/>
      <c r="E1073" s="915"/>
      <c r="F1073" s="136"/>
      <c r="H1073" s="885"/>
      <c r="I1073" s="885"/>
      <c r="J1073" s="885"/>
      <c r="K1073" s="885"/>
      <c r="L1073" s="885"/>
      <c r="M1073" s="885"/>
      <c r="N1073" s="885"/>
      <c r="O1073" s="885"/>
      <c r="P1073" s="885"/>
      <c r="Q1073" s="885"/>
      <c r="R1073" s="885"/>
      <c r="S1073" s="885"/>
      <c r="T1073" s="885"/>
      <c r="U1073" s="885"/>
      <c r="V1073" s="885"/>
      <c r="W1073" s="885"/>
      <c r="X1073" s="885"/>
      <c r="Y1073" s="885"/>
      <c r="Z1073" s="885"/>
      <c r="AA1073" s="885"/>
      <c r="AB1073" s="885"/>
      <c r="AC1073" s="885"/>
      <c r="AD1073" s="885"/>
      <c r="AE1073" s="885"/>
      <c r="AF1073" s="885"/>
      <c r="AG1073" s="885"/>
      <c r="AH1073" s="885"/>
      <c r="AI1073" s="885"/>
      <c r="AJ1073" s="885"/>
      <c r="AK1073" s="885"/>
      <c r="AL1073" s="885"/>
      <c r="AM1073" s="885"/>
      <c r="AN1073" s="885"/>
      <c r="AO1073" s="885"/>
      <c r="AP1073" s="885"/>
      <c r="AQ1073" s="885"/>
      <c r="AR1073" s="885"/>
      <c r="AS1073" s="885"/>
      <c r="AT1073" s="885"/>
      <c r="AU1073" s="885"/>
      <c r="AV1073" s="885"/>
      <c r="AW1073" s="885"/>
      <c r="AX1073" s="885"/>
      <c r="AY1073" s="885"/>
      <c r="AZ1073" s="885"/>
      <c r="BA1073" s="885"/>
      <c r="BB1073" s="885"/>
      <c r="BC1073" s="885"/>
      <c r="BD1073" s="885"/>
      <c r="BE1073" s="885"/>
      <c r="BF1073" s="885"/>
      <c r="BG1073" s="885"/>
      <c r="BH1073" s="885"/>
      <c r="BI1073" s="885"/>
      <c r="BJ1073" s="885"/>
      <c r="BK1073" s="885"/>
      <c r="BL1073" s="885"/>
      <c r="BM1073" s="885"/>
      <c r="BN1073" s="885"/>
      <c r="BO1073" s="885"/>
      <c r="BP1073" s="885"/>
      <c r="BQ1073" s="885"/>
      <c r="BR1073" s="885"/>
      <c r="BS1073" s="885"/>
      <c r="BT1073" s="885"/>
      <c r="BU1073" s="885"/>
      <c r="BV1073" s="885"/>
      <c r="BW1073" s="885"/>
      <c r="BX1073" s="885"/>
      <c r="BY1073" s="885"/>
      <c r="BZ1073" s="885"/>
      <c r="CA1073" s="885"/>
      <c r="CB1073" s="885"/>
      <c r="CC1073" s="885"/>
      <c r="CD1073" s="885"/>
      <c r="CE1073" s="885"/>
      <c r="CF1073" s="885"/>
      <c r="CG1073" s="885"/>
      <c r="CH1073" s="885"/>
      <c r="CI1073" s="885"/>
      <c r="CJ1073" s="885"/>
      <c r="CK1073" s="885"/>
      <c r="CL1073" s="885"/>
      <c r="CM1073" s="885"/>
      <c r="CN1073" s="885"/>
      <c r="CO1073" s="885"/>
      <c r="CP1073" s="885"/>
      <c r="CQ1073" s="885"/>
      <c r="CR1073" s="885"/>
      <c r="CS1073" s="885"/>
      <c r="CT1073" s="885"/>
      <c r="CU1073" s="885"/>
      <c r="CV1073" s="885"/>
      <c r="CW1073" s="885"/>
      <c r="CX1073" s="885"/>
      <c r="CY1073" s="885"/>
      <c r="CZ1073" s="885"/>
      <c r="DA1073" s="885"/>
      <c r="DB1073" s="885"/>
      <c r="DC1073" s="885"/>
      <c r="DD1073" s="885"/>
      <c r="DE1073" s="885"/>
      <c r="DF1073" s="885"/>
      <c r="DG1073" s="885"/>
      <c r="DH1073" s="885"/>
      <c r="DI1073" s="885"/>
      <c r="DJ1073" s="885"/>
      <c r="DK1073" s="885"/>
      <c r="DL1073" s="885"/>
      <c r="DM1073" s="885"/>
      <c r="DN1073" s="885"/>
      <c r="DO1073" s="885"/>
      <c r="DP1073" s="885"/>
      <c r="DQ1073" s="885"/>
      <c r="DR1073" s="885"/>
      <c r="DS1073" s="885"/>
      <c r="DT1073" s="885"/>
      <c r="DU1073" s="885"/>
      <c r="DV1073" s="885"/>
      <c r="DW1073" s="885"/>
      <c r="DX1073" s="885"/>
      <c r="DY1073" s="885"/>
      <c r="DZ1073" s="885"/>
      <c r="EA1073" s="885"/>
      <c r="EB1073" s="885"/>
      <c r="EC1073" s="885"/>
      <c r="ED1073" s="885"/>
      <c r="EE1073" s="885"/>
      <c r="EF1073" s="885"/>
      <c r="EG1073" s="885"/>
      <c r="EH1073" s="885"/>
      <c r="EI1073" s="885"/>
      <c r="EJ1073" s="885"/>
      <c r="EK1073" s="885"/>
      <c r="EL1073" s="885"/>
      <c r="EM1073" s="885"/>
      <c r="EN1073" s="885"/>
      <c r="EO1073" s="885"/>
      <c r="EP1073" s="885"/>
      <c r="EQ1073" s="885"/>
      <c r="ER1073" s="885"/>
      <c r="ES1073" s="885"/>
      <c r="ET1073" s="885"/>
      <c r="EU1073" s="885"/>
      <c r="EV1073" s="885"/>
      <c r="EW1073" s="885"/>
      <c r="EX1073" s="885"/>
      <c r="EY1073" s="885"/>
      <c r="EZ1073" s="885"/>
      <c r="FA1073" s="885"/>
      <c r="FB1073" s="885"/>
      <c r="FC1073" s="885"/>
      <c r="FD1073" s="885"/>
      <c r="FE1073" s="885"/>
      <c r="FF1073" s="885"/>
      <c r="FG1073" s="885"/>
      <c r="FH1073" s="885"/>
      <c r="FI1073" s="885"/>
      <c r="FJ1073" s="885"/>
      <c r="FK1073" s="885"/>
      <c r="FL1073" s="885"/>
      <c r="FM1073" s="885"/>
      <c r="FN1073" s="885"/>
      <c r="FO1073" s="885"/>
      <c r="FP1073" s="885"/>
      <c r="FQ1073" s="885"/>
      <c r="FR1073" s="885"/>
      <c r="FS1073" s="885"/>
      <c r="FT1073" s="885"/>
      <c r="FU1073" s="885"/>
      <c r="FV1073" s="885"/>
      <c r="FW1073" s="885"/>
      <c r="FX1073" s="885"/>
      <c r="FY1073" s="885"/>
      <c r="FZ1073" s="885"/>
      <c r="GA1073" s="885"/>
      <c r="GB1073" s="885"/>
      <c r="GC1073" s="885"/>
      <c r="GD1073" s="885"/>
      <c r="GE1073" s="885"/>
      <c r="GF1073" s="885"/>
      <c r="GG1073" s="885"/>
      <c r="GH1073" s="885"/>
      <c r="GI1073" s="885"/>
      <c r="GJ1073" s="885"/>
      <c r="GK1073" s="885"/>
      <c r="GL1073" s="885"/>
      <c r="GM1073" s="885"/>
      <c r="GN1073" s="885"/>
      <c r="GO1073" s="885"/>
      <c r="GP1073" s="885"/>
      <c r="GQ1073" s="885"/>
      <c r="GR1073" s="885"/>
      <c r="GS1073" s="885"/>
      <c r="GT1073" s="885"/>
      <c r="GU1073" s="885"/>
      <c r="GV1073" s="885"/>
      <c r="GW1073" s="885"/>
      <c r="GX1073" s="885"/>
      <c r="GY1073" s="885"/>
      <c r="GZ1073" s="885"/>
      <c r="HA1073" s="885"/>
      <c r="HB1073" s="885"/>
      <c r="HC1073" s="885"/>
      <c r="HD1073" s="885"/>
      <c r="HE1073" s="885"/>
      <c r="HF1073" s="885"/>
      <c r="HG1073" s="885"/>
      <c r="HH1073" s="885"/>
      <c r="HI1073" s="885"/>
      <c r="HJ1073" s="885"/>
      <c r="HK1073" s="885"/>
      <c r="HL1073" s="885"/>
      <c r="HM1073" s="885"/>
      <c r="HN1073" s="885"/>
      <c r="HO1073" s="885"/>
      <c r="HP1073" s="885"/>
      <c r="HQ1073" s="885"/>
      <c r="HR1073" s="885"/>
      <c r="HS1073" s="885"/>
      <c r="HT1073" s="885"/>
      <c r="HU1073" s="885"/>
      <c r="HV1073" s="885"/>
      <c r="HW1073" s="885"/>
      <c r="HX1073" s="885"/>
      <c r="HY1073" s="885"/>
      <c r="HZ1073" s="885"/>
      <c r="IA1073" s="885"/>
      <c r="IB1073" s="885"/>
      <c r="IC1073" s="885"/>
      <c r="ID1073" s="885"/>
      <c r="IE1073" s="885"/>
      <c r="IF1073" s="885"/>
      <c r="IG1073" s="885"/>
      <c r="IH1073" s="885"/>
      <c r="II1073" s="885"/>
      <c r="IJ1073" s="885"/>
      <c r="IK1073" s="885"/>
      <c r="IL1073" s="885"/>
      <c r="IM1073" s="885"/>
      <c r="IN1073" s="885"/>
      <c r="IO1073" s="885"/>
      <c r="IP1073" s="885"/>
      <c r="IQ1073" s="885"/>
      <c r="IR1073" s="885"/>
      <c r="IS1073" s="885"/>
      <c r="IT1073" s="885"/>
      <c r="IU1073" s="885"/>
      <c r="IV1073" s="885"/>
      <c r="IW1073" s="885"/>
      <c r="IX1073" s="885"/>
    </row>
    <row r="1074" spans="1:258" x14ac:dyDescent="0.25">
      <c r="A1074" s="125">
        <f t="shared" si="127"/>
        <v>1034</v>
      </c>
      <c r="B1074" s="885"/>
      <c r="C1074" s="932" t="s">
        <v>10631</v>
      </c>
      <c r="D1074" s="924">
        <v>0</v>
      </c>
      <c r="E1074" s="924">
        <v>0</v>
      </c>
      <c r="F1074" s="136">
        <f>F1076*F83</f>
        <v>0.2</v>
      </c>
      <c r="G1074" s="122" t="s">
        <v>1963</v>
      </c>
      <c r="H1074" s="885"/>
      <c r="I1074" s="885"/>
      <c r="J1074" s="885"/>
      <c r="K1074" s="885"/>
      <c r="L1074" s="885"/>
      <c r="M1074" s="885"/>
      <c r="N1074" s="885"/>
      <c r="O1074" s="885"/>
      <c r="P1074" s="885"/>
      <c r="Q1074" s="885"/>
      <c r="R1074" s="885"/>
      <c r="S1074" s="885"/>
      <c r="T1074" s="885"/>
      <c r="U1074" s="885"/>
      <c r="V1074" s="885"/>
      <c r="W1074" s="885"/>
      <c r="X1074" s="885"/>
      <c r="Y1074" s="885"/>
      <c r="Z1074" s="885"/>
      <c r="AA1074" s="885"/>
      <c r="AB1074" s="885"/>
      <c r="AC1074" s="885"/>
      <c r="AD1074" s="885"/>
      <c r="AE1074" s="885"/>
      <c r="AF1074" s="885"/>
      <c r="AG1074" s="885"/>
      <c r="AH1074" s="885"/>
      <c r="AI1074" s="885"/>
      <c r="AJ1074" s="885"/>
      <c r="AK1074" s="885"/>
      <c r="AL1074" s="885"/>
      <c r="AM1074" s="885"/>
      <c r="AN1074" s="885"/>
      <c r="AO1074" s="885"/>
      <c r="AP1074" s="885"/>
      <c r="AQ1074" s="885"/>
      <c r="AR1074" s="885"/>
      <c r="AS1074" s="885"/>
      <c r="AT1074" s="885"/>
      <c r="AU1074" s="885"/>
      <c r="AV1074" s="885"/>
      <c r="AW1074" s="885"/>
      <c r="AX1074" s="885"/>
      <c r="AY1074" s="885"/>
      <c r="AZ1074" s="885"/>
      <c r="BA1074" s="885"/>
      <c r="BB1074" s="885"/>
      <c r="BC1074" s="885"/>
      <c r="BD1074" s="885"/>
      <c r="BE1074" s="885"/>
      <c r="BF1074" s="885"/>
      <c r="BG1074" s="885"/>
      <c r="BH1074" s="885"/>
      <c r="BI1074" s="885"/>
      <c r="BJ1074" s="885"/>
      <c r="BK1074" s="885"/>
      <c r="BL1074" s="885"/>
      <c r="BM1074" s="885"/>
      <c r="BN1074" s="885"/>
      <c r="BO1074" s="885"/>
      <c r="BP1074" s="885"/>
      <c r="BQ1074" s="885"/>
      <c r="BR1074" s="885"/>
      <c r="BS1074" s="885"/>
      <c r="BT1074" s="885"/>
      <c r="BU1074" s="885"/>
      <c r="BV1074" s="885"/>
      <c r="BW1074" s="885"/>
      <c r="BX1074" s="885"/>
      <c r="BY1074" s="885"/>
      <c r="BZ1074" s="885"/>
      <c r="CA1074" s="885"/>
      <c r="CB1074" s="885"/>
      <c r="CC1074" s="885"/>
      <c r="CD1074" s="885"/>
      <c r="CE1074" s="885"/>
      <c r="CF1074" s="885"/>
      <c r="CG1074" s="885"/>
      <c r="CH1074" s="885"/>
      <c r="CI1074" s="885"/>
      <c r="CJ1074" s="885"/>
      <c r="CK1074" s="885"/>
      <c r="CL1074" s="885"/>
      <c r="CM1074" s="885"/>
      <c r="CN1074" s="885"/>
      <c r="CO1074" s="885"/>
      <c r="CP1074" s="885"/>
      <c r="CQ1074" s="885"/>
      <c r="CR1074" s="885"/>
      <c r="CS1074" s="885"/>
      <c r="CT1074" s="885"/>
      <c r="CU1074" s="885"/>
      <c r="CV1074" s="885"/>
      <c r="CW1074" s="885"/>
      <c r="CX1074" s="885"/>
      <c r="CY1074" s="885"/>
      <c r="CZ1074" s="885"/>
      <c r="DA1074" s="885"/>
      <c r="DB1074" s="885"/>
      <c r="DC1074" s="885"/>
      <c r="DD1074" s="885"/>
      <c r="DE1074" s="885"/>
      <c r="DF1074" s="885"/>
      <c r="DG1074" s="885"/>
      <c r="DH1074" s="885"/>
      <c r="DI1074" s="885"/>
      <c r="DJ1074" s="885"/>
      <c r="DK1074" s="885"/>
      <c r="DL1074" s="885"/>
      <c r="DM1074" s="885"/>
      <c r="DN1074" s="885"/>
      <c r="DO1074" s="885"/>
      <c r="DP1074" s="885"/>
      <c r="DQ1074" s="885"/>
      <c r="DR1074" s="885"/>
      <c r="DS1074" s="885"/>
      <c r="DT1074" s="885"/>
      <c r="DU1074" s="885"/>
      <c r="DV1074" s="885"/>
      <c r="DW1074" s="885"/>
      <c r="DX1074" s="885"/>
      <c r="DY1074" s="885"/>
      <c r="DZ1074" s="885"/>
      <c r="EA1074" s="885"/>
      <c r="EB1074" s="885"/>
      <c r="EC1074" s="885"/>
      <c r="ED1074" s="885"/>
      <c r="EE1074" s="885"/>
      <c r="EF1074" s="885"/>
      <c r="EG1074" s="885"/>
      <c r="EH1074" s="885"/>
      <c r="EI1074" s="885"/>
      <c r="EJ1074" s="885"/>
      <c r="EK1074" s="885"/>
      <c r="EL1074" s="885"/>
      <c r="EM1074" s="885"/>
      <c r="EN1074" s="885"/>
      <c r="EO1074" s="885"/>
      <c r="EP1074" s="885"/>
      <c r="EQ1074" s="885"/>
      <c r="ER1074" s="885"/>
      <c r="ES1074" s="885"/>
      <c r="ET1074" s="885"/>
      <c r="EU1074" s="885"/>
      <c r="EV1074" s="885"/>
      <c r="EW1074" s="885"/>
      <c r="EX1074" s="885"/>
      <c r="EY1074" s="885"/>
      <c r="EZ1074" s="885"/>
      <c r="FA1074" s="885"/>
      <c r="FB1074" s="885"/>
      <c r="FC1074" s="885"/>
      <c r="FD1074" s="885"/>
      <c r="FE1074" s="885"/>
      <c r="FF1074" s="885"/>
      <c r="FG1074" s="885"/>
      <c r="FH1074" s="885"/>
      <c r="FI1074" s="885"/>
      <c r="FJ1074" s="885"/>
      <c r="FK1074" s="885"/>
      <c r="FL1074" s="885"/>
      <c r="FM1074" s="885"/>
      <c r="FN1074" s="885"/>
      <c r="FO1074" s="885"/>
      <c r="FP1074" s="885"/>
      <c r="FQ1074" s="885"/>
      <c r="FR1074" s="885"/>
      <c r="FS1074" s="885"/>
      <c r="FT1074" s="885"/>
      <c r="FU1074" s="885"/>
      <c r="FV1074" s="885"/>
      <c r="FW1074" s="885"/>
      <c r="FX1074" s="885"/>
      <c r="FY1074" s="885"/>
      <c r="FZ1074" s="885"/>
      <c r="GA1074" s="885"/>
      <c r="GB1074" s="885"/>
      <c r="GC1074" s="885"/>
      <c r="GD1074" s="885"/>
      <c r="GE1074" s="885"/>
      <c r="GF1074" s="885"/>
      <c r="GG1074" s="885"/>
      <c r="GH1074" s="885"/>
      <c r="GI1074" s="885"/>
      <c r="GJ1074" s="885"/>
      <c r="GK1074" s="885"/>
      <c r="GL1074" s="885"/>
      <c r="GM1074" s="885"/>
      <c r="GN1074" s="885"/>
      <c r="GO1074" s="885"/>
      <c r="GP1074" s="885"/>
      <c r="GQ1074" s="885"/>
      <c r="GR1074" s="885"/>
      <c r="GS1074" s="885"/>
      <c r="GT1074" s="885"/>
      <c r="GU1074" s="885"/>
      <c r="GV1074" s="885"/>
      <c r="GW1074" s="885"/>
      <c r="GX1074" s="885"/>
      <c r="GY1074" s="885"/>
      <c r="GZ1074" s="885"/>
      <c r="HA1074" s="885"/>
      <c r="HB1074" s="885"/>
      <c r="HC1074" s="885"/>
      <c r="HD1074" s="885"/>
      <c r="HE1074" s="885"/>
      <c r="HF1074" s="885"/>
      <c r="HG1074" s="885"/>
      <c r="HH1074" s="885"/>
      <c r="HI1074" s="885"/>
      <c r="HJ1074" s="885"/>
      <c r="HK1074" s="885"/>
      <c r="HL1074" s="885"/>
      <c r="HM1074" s="885"/>
      <c r="HN1074" s="885"/>
      <c r="HO1074" s="885"/>
      <c r="HP1074" s="885"/>
      <c r="HQ1074" s="885"/>
      <c r="HR1074" s="885"/>
      <c r="HS1074" s="885"/>
      <c r="HT1074" s="885"/>
      <c r="HU1074" s="885"/>
      <c r="HV1074" s="885"/>
      <c r="HW1074" s="885"/>
      <c r="HX1074" s="885"/>
      <c r="HY1074" s="885"/>
      <c r="HZ1074" s="885"/>
      <c r="IA1074" s="885"/>
      <c r="IB1074" s="885"/>
      <c r="IC1074" s="885"/>
      <c r="ID1074" s="885"/>
      <c r="IE1074" s="885"/>
      <c r="IF1074" s="885"/>
      <c r="IG1074" s="885"/>
      <c r="IH1074" s="885"/>
      <c r="II1074" s="885"/>
      <c r="IJ1074" s="885"/>
      <c r="IK1074" s="885"/>
      <c r="IL1074" s="885"/>
      <c r="IM1074" s="885"/>
      <c r="IN1074" s="885"/>
      <c r="IO1074" s="885"/>
      <c r="IP1074" s="885"/>
      <c r="IQ1074" s="885"/>
      <c r="IR1074" s="885"/>
      <c r="IS1074" s="885"/>
      <c r="IT1074" s="885"/>
      <c r="IU1074" s="885"/>
      <c r="IV1074" s="885"/>
      <c r="IW1074" s="885"/>
      <c r="IX1074" s="885"/>
    </row>
    <row r="1075" spans="1:258" x14ac:dyDescent="0.25">
      <c r="A1075" s="125">
        <f t="shared" si="127"/>
        <v>1035</v>
      </c>
      <c r="B1075" s="885"/>
      <c r="C1075" s="932" t="s">
        <v>10632</v>
      </c>
      <c r="D1075" s="924">
        <v>0</v>
      </c>
      <c r="E1075" s="924">
        <v>0</v>
      </c>
      <c r="F1075" s="136">
        <v>1</v>
      </c>
      <c r="G1075" s="122" t="s">
        <v>1963</v>
      </c>
      <c r="H1075" s="885"/>
      <c r="I1075" s="885"/>
      <c r="J1075" s="885"/>
      <c r="K1075" s="885"/>
      <c r="L1075" s="885"/>
      <c r="M1075" s="885"/>
      <c r="N1075" s="885"/>
      <c r="O1075" s="885"/>
      <c r="P1075" s="885"/>
      <c r="Q1075" s="885"/>
      <c r="R1075" s="885"/>
      <c r="S1075" s="885"/>
      <c r="T1075" s="885"/>
      <c r="U1075" s="885"/>
      <c r="V1075" s="885"/>
      <c r="W1075" s="885"/>
      <c r="X1075" s="885"/>
      <c r="Y1075" s="885"/>
      <c r="Z1075" s="885"/>
      <c r="AA1075" s="885"/>
      <c r="AB1075" s="885"/>
      <c r="AC1075" s="885"/>
      <c r="AD1075" s="885"/>
      <c r="AE1075" s="885"/>
      <c r="AF1075" s="885"/>
      <c r="AG1075" s="885"/>
      <c r="AH1075" s="885"/>
      <c r="AI1075" s="885"/>
      <c r="AJ1075" s="885"/>
      <c r="AK1075" s="885"/>
      <c r="AL1075" s="885"/>
      <c r="AM1075" s="885"/>
      <c r="AN1075" s="885"/>
      <c r="AO1075" s="885"/>
      <c r="AP1075" s="885"/>
      <c r="AQ1075" s="885"/>
      <c r="AR1075" s="885"/>
      <c r="AS1075" s="885"/>
      <c r="AT1075" s="885"/>
      <c r="AU1075" s="885"/>
      <c r="AV1075" s="885"/>
      <c r="AW1075" s="885"/>
      <c r="AX1075" s="885"/>
      <c r="AY1075" s="885"/>
      <c r="AZ1075" s="885"/>
      <c r="BA1075" s="885"/>
      <c r="BB1075" s="885"/>
      <c r="BC1075" s="885"/>
      <c r="BD1075" s="885"/>
      <c r="BE1075" s="885"/>
      <c r="BF1075" s="885"/>
      <c r="BG1075" s="885"/>
      <c r="BH1075" s="885"/>
      <c r="BI1075" s="885"/>
      <c r="BJ1075" s="885"/>
      <c r="BK1075" s="885"/>
      <c r="BL1075" s="885"/>
      <c r="BM1075" s="885"/>
      <c r="BN1075" s="885"/>
      <c r="BO1075" s="885"/>
      <c r="BP1075" s="885"/>
      <c r="BQ1075" s="885"/>
      <c r="BR1075" s="885"/>
      <c r="BS1075" s="885"/>
      <c r="BT1075" s="885"/>
      <c r="BU1075" s="885"/>
      <c r="BV1075" s="885"/>
      <c r="BW1075" s="885"/>
      <c r="BX1075" s="885"/>
      <c r="BY1075" s="885"/>
      <c r="BZ1075" s="885"/>
      <c r="CA1075" s="885"/>
      <c r="CB1075" s="885"/>
      <c r="CC1075" s="885"/>
      <c r="CD1075" s="885"/>
      <c r="CE1075" s="885"/>
      <c r="CF1075" s="885"/>
      <c r="CG1075" s="885"/>
      <c r="CH1075" s="885"/>
      <c r="CI1075" s="885"/>
      <c r="CJ1075" s="885"/>
      <c r="CK1075" s="885"/>
      <c r="CL1075" s="885"/>
      <c r="CM1075" s="885"/>
      <c r="CN1075" s="885"/>
      <c r="CO1075" s="885"/>
      <c r="CP1075" s="885"/>
      <c r="CQ1075" s="885"/>
      <c r="CR1075" s="885"/>
      <c r="CS1075" s="885"/>
      <c r="CT1075" s="885"/>
      <c r="CU1075" s="885"/>
      <c r="CV1075" s="885"/>
      <c r="CW1075" s="885"/>
      <c r="CX1075" s="885"/>
      <c r="CY1075" s="885"/>
      <c r="CZ1075" s="885"/>
      <c r="DA1075" s="885"/>
      <c r="DB1075" s="885"/>
      <c r="DC1075" s="885"/>
      <c r="DD1075" s="885"/>
      <c r="DE1075" s="885"/>
      <c r="DF1075" s="885"/>
      <c r="DG1075" s="885"/>
      <c r="DH1075" s="885"/>
      <c r="DI1075" s="885"/>
      <c r="DJ1075" s="885"/>
      <c r="DK1075" s="885"/>
      <c r="DL1075" s="885"/>
      <c r="DM1075" s="885"/>
      <c r="DN1075" s="885"/>
      <c r="DO1075" s="885"/>
      <c r="DP1075" s="885"/>
      <c r="DQ1075" s="885"/>
      <c r="DR1075" s="885"/>
      <c r="DS1075" s="885"/>
      <c r="DT1075" s="885"/>
      <c r="DU1075" s="885"/>
      <c r="DV1075" s="885"/>
      <c r="DW1075" s="885"/>
      <c r="DX1075" s="885"/>
      <c r="DY1075" s="885"/>
      <c r="DZ1075" s="885"/>
      <c r="EA1075" s="885"/>
      <c r="EB1075" s="885"/>
      <c r="EC1075" s="885"/>
      <c r="ED1075" s="885"/>
      <c r="EE1075" s="885"/>
      <c r="EF1075" s="885"/>
      <c r="EG1075" s="885"/>
      <c r="EH1075" s="885"/>
      <c r="EI1075" s="885"/>
      <c r="EJ1075" s="885"/>
      <c r="EK1075" s="885"/>
      <c r="EL1075" s="885"/>
      <c r="EM1075" s="885"/>
      <c r="EN1075" s="885"/>
      <c r="EO1075" s="885"/>
      <c r="EP1075" s="885"/>
      <c r="EQ1075" s="885"/>
      <c r="ER1075" s="885"/>
      <c r="ES1075" s="885"/>
      <c r="ET1075" s="885"/>
      <c r="EU1075" s="885"/>
      <c r="EV1075" s="885"/>
      <c r="EW1075" s="885"/>
      <c r="EX1075" s="885"/>
      <c r="EY1075" s="885"/>
      <c r="EZ1075" s="885"/>
      <c r="FA1075" s="885"/>
      <c r="FB1075" s="885"/>
      <c r="FC1075" s="885"/>
      <c r="FD1075" s="885"/>
      <c r="FE1075" s="885"/>
      <c r="FF1075" s="885"/>
      <c r="FG1075" s="885"/>
      <c r="FH1075" s="885"/>
      <c r="FI1075" s="885"/>
      <c r="FJ1075" s="885"/>
      <c r="FK1075" s="885"/>
      <c r="FL1075" s="885"/>
      <c r="FM1075" s="885"/>
      <c r="FN1075" s="885"/>
      <c r="FO1075" s="885"/>
      <c r="FP1075" s="885"/>
      <c r="FQ1075" s="885"/>
      <c r="FR1075" s="885"/>
      <c r="FS1075" s="885"/>
      <c r="FT1075" s="885"/>
      <c r="FU1075" s="885"/>
      <c r="FV1075" s="885"/>
      <c r="FW1075" s="885"/>
      <c r="FX1075" s="885"/>
      <c r="FY1075" s="885"/>
      <c r="FZ1075" s="885"/>
      <c r="GA1075" s="885"/>
      <c r="GB1075" s="885"/>
      <c r="GC1075" s="885"/>
      <c r="GD1075" s="885"/>
      <c r="GE1075" s="885"/>
      <c r="GF1075" s="885"/>
      <c r="GG1075" s="885"/>
      <c r="GH1075" s="885"/>
      <c r="GI1075" s="885"/>
      <c r="GJ1075" s="885"/>
      <c r="GK1075" s="885"/>
      <c r="GL1075" s="885"/>
      <c r="GM1075" s="885"/>
      <c r="GN1075" s="885"/>
      <c r="GO1075" s="885"/>
      <c r="GP1075" s="885"/>
      <c r="GQ1075" s="885"/>
      <c r="GR1075" s="885"/>
      <c r="GS1075" s="885"/>
      <c r="GT1075" s="885"/>
      <c r="GU1075" s="885"/>
      <c r="GV1075" s="885"/>
      <c r="GW1075" s="885"/>
      <c r="GX1075" s="885"/>
      <c r="GY1075" s="885"/>
      <c r="GZ1075" s="885"/>
      <c r="HA1075" s="885"/>
      <c r="HB1075" s="885"/>
      <c r="HC1075" s="885"/>
      <c r="HD1075" s="885"/>
      <c r="HE1075" s="885"/>
      <c r="HF1075" s="885"/>
      <c r="HG1075" s="885"/>
      <c r="HH1075" s="885"/>
      <c r="HI1075" s="885"/>
      <c r="HJ1075" s="885"/>
      <c r="HK1075" s="885"/>
      <c r="HL1075" s="885"/>
      <c r="HM1075" s="885"/>
      <c r="HN1075" s="885"/>
      <c r="HO1075" s="885"/>
      <c r="HP1075" s="885"/>
      <c r="HQ1075" s="885"/>
      <c r="HR1075" s="885"/>
      <c r="HS1075" s="885"/>
      <c r="HT1075" s="885"/>
      <c r="HU1075" s="885"/>
      <c r="HV1075" s="885"/>
      <c r="HW1075" s="885"/>
      <c r="HX1075" s="885"/>
      <c r="HY1075" s="885"/>
      <c r="HZ1075" s="885"/>
      <c r="IA1075" s="885"/>
      <c r="IB1075" s="885"/>
      <c r="IC1075" s="885"/>
      <c r="ID1075" s="885"/>
      <c r="IE1075" s="885"/>
      <c r="IF1075" s="885"/>
      <c r="IG1075" s="885"/>
      <c r="IH1075" s="885"/>
      <c r="II1075" s="885"/>
      <c r="IJ1075" s="885"/>
      <c r="IK1075" s="885"/>
      <c r="IL1075" s="885"/>
      <c r="IM1075" s="885"/>
      <c r="IN1075" s="885"/>
      <c r="IO1075" s="885"/>
      <c r="IP1075" s="885"/>
      <c r="IQ1075" s="885"/>
      <c r="IR1075" s="885"/>
      <c r="IS1075" s="885"/>
      <c r="IT1075" s="885"/>
      <c r="IU1075" s="885"/>
      <c r="IV1075" s="885"/>
      <c r="IW1075" s="885"/>
      <c r="IX1075" s="885"/>
    </row>
    <row r="1076" spans="1:258" x14ac:dyDescent="0.25">
      <c r="A1076" s="125">
        <f t="shared" si="127"/>
        <v>1036</v>
      </c>
      <c r="B1076" s="885"/>
      <c r="C1076" s="932" t="s">
        <v>10633</v>
      </c>
      <c r="D1076" s="924">
        <v>0</v>
      </c>
      <c r="E1076" s="924">
        <v>0</v>
      </c>
      <c r="F1076" s="136">
        <v>1</v>
      </c>
      <c r="G1076" s="122" t="s">
        <v>1963</v>
      </c>
      <c r="H1076" s="885"/>
      <c r="I1076" s="885"/>
      <c r="J1076" s="885"/>
      <c r="K1076" s="885"/>
      <c r="L1076" s="885"/>
      <c r="M1076" s="885"/>
      <c r="N1076" s="885"/>
      <c r="O1076" s="885"/>
      <c r="P1076" s="885"/>
      <c r="Q1076" s="885"/>
      <c r="R1076" s="885"/>
      <c r="S1076" s="885"/>
      <c r="T1076" s="885"/>
      <c r="U1076" s="885"/>
      <c r="V1076" s="885"/>
      <c r="W1076" s="885"/>
      <c r="X1076" s="885"/>
      <c r="Y1076" s="885"/>
      <c r="Z1076" s="885"/>
      <c r="AA1076" s="885"/>
      <c r="AB1076" s="885"/>
      <c r="AC1076" s="885"/>
      <c r="AD1076" s="885"/>
      <c r="AE1076" s="885"/>
      <c r="AF1076" s="885"/>
      <c r="AG1076" s="885"/>
      <c r="AH1076" s="885"/>
      <c r="AI1076" s="885"/>
      <c r="AJ1076" s="885"/>
      <c r="AK1076" s="885"/>
      <c r="AL1076" s="885"/>
      <c r="AM1076" s="885"/>
      <c r="AN1076" s="885"/>
      <c r="AO1076" s="885"/>
      <c r="AP1076" s="885"/>
      <c r="AQ1076" s="885"/>
      <c r="AR1076" s="885"/>
      <c r="AS1076" s="885"/>
      <c r="AT1076" s="885"/>
      <c r="AU1076" s="885"/>
      <c r="AV1076" s="885"/>
      <c r="AW1076" s="885"/>
      <c r="AX1076" s="885"/>
      <c r="AY1076" s="885"/>
      <c r="AZ1076" s="885"/>
      <c r="BA1076" s="885"/>
      <c r="BB1076" s="885"/>
      <c r="BC1076" s="885"/>
      <c r="BD1076" s="885"/>
      <c r="BE1076" s="885"/>
      <c r="BF1076" s="885"/>
      <c r="BG1076" s="885"/>
      <c r="BH1076" s="885"/>
      <c r="BI1076" s="885"/>
      <c r="BJ1076" s="885"/>
      <c r="BK1076" s="885"/>
      <c r="BL1076" s="885"/>
      <c r="BM1076" s="885"/>
      <c r="BN1076" s="885"/>
      <c r="BO1076" s="885"/>
      <c r="BP1076" s="885"/>
      <c r="BQ1076" s="885"/>
      <c r="BR1076" s="885"/>
      <c r="BS1076" s="885"/>
      <c r="BT1076" s="885"/>
      <c r="BU1076" s="885"/>
      <c r="BV1076" s="885"/>
      <c r="BW1076" s="885"/>
      <c r="BX1076" s="885"/>
      <c r="BY1076" s="885"/>
      <c r="BZ1076" s="885"/>
      <c r="CA1076" s="885"/>
      <c r="CB1076" s="885"/>
      <c r="CC1076" s="885"/>
      <c r="CD1076" s="885"/>
      <c r="CE1076" s="885"/>
      <c r="CF1076" s="885"/>
      <c r="CG1076" s="885"/>
      <c r="CH1076" s="885"/>
      <c r="CI1076" s="885"/>
      <c r="CJ1076" s="885"/>
      <c r="CK1076" s="885"/>
      <c r="CL1076" s="885"/>
      <c r="CM1076" s="885"/>
      <c r="CN1076" s="885"/>
      <c r="CO1076" s="885"/>
      <c r="CP1076" s="885"/>
      <c r="CQ1076" s="885"/>
      <c r="CR1076" s="885"/>
      <c r="CS1076" s="885"/>
      <c r="CT1076" s="885"/>
      <c r="CU1076" s="885"/>
      <c r="CV1076" s="885"/>
      <c r="CW1076" s="885"/>
      <c r="CX1076" s="885"/>
      <c r="CY1076" s="885"/>
      <c r="CZ1076" s="885"/>
      <c r="DA1076" s="885"/>
      <c r="DB1076" s="885"/>
      <c r="DC1076" s="885"/>
      <c r="DD1076" s="885"/>
      <c r="DE1076" s="885"/>
      <c r="DF1076" s="885"/>
      <c r="DG1076" s="885"/>
      <c r="DH1076" s="885"/>
      <c r="DI1076" s="885"/>
      <c r="DJ1076" s="885"/>
      <c r="DK1076" s="885"/>
      <c r="DL1076" s="885"/>
      <c r="DM1076" s="885"/>
      <c r="DN1076" s="885"/>
      <c r="DO1076" s="885"/>
      <c r="DP1076" s="885"/>
      <c r="DQ1076" s="885"/>
      <c r="DR1076" s="885"/>
      <c r="DS1076" s="885"/>
      <c r="DT1076" s="885"/>
      <c r="DU1076" s="885"/>
      <c r="DV1076" s="885"/>
      <c r="DW1076" s="885"/>
      <c r="DX1076" s="885"/>
      <c r="DY1076" s="885"/>
      <c r="DZ1076" s="885"/>
      <c r="EA1076" s="885"/>
      <c r="EB1076" s="885"/>
      <c r="EC1076" s="885"/>
      <c r="ED1076" s="885"/>
      <c r="EE1076" s="885"/>
      <c r="EF1076" s="885"/>
      <c r="EG1076" s="885"/>
      <c r="EH1076" s="885"/>
      <c r="EI1076" s="885"/>
      <c r="EJ1076" s="885"/>
      <c r="EK1076" s="885"/>
      <c r="EL1076" s="885"/>
      <c r="EM1076" s="885"/>
      <c r="EN1076" s="885"/>
      <c r="EO1076" s="885"/>
      <c r="EP1076" s="885"/>
      <c r="EQ1076" s="885"/>
      <c r="ER1076" s="885"/>
      <c r="ES1076" s="885"/>
      <c r="ET1076" s="885"/>
      <c r="EU1076" s="885"/>
      <c r="EV1076" s="885"/>
      <c r="EW1076" s="885"/>
      <c r="EX1076" s="885"/>
      <c r="EY1076" s="885"/>
      <c r="EZ1076" s="885"/>
      <c r="FA1076" s="885"/>
      <c r="FB1076" s="885"/>
      <c r="FC1076" s="885"/>
      <c r="FD1076" s="885"/>
      <c r="FE1076" s="885"/>
      <c r="FF1076" s="885"/>
      <c r="FG1076" s="885"/>
      <c r="FH1076" s="885"/>
      <c r="FI1076" s="885"/>
      <c r="FJ1076" s="885"/>
      <c r="FK1076" s="885"/>
      <c r="FL1076" s="885"/>
      <c r="FM1076" s="885"/>
      <c r="FN1076" s="885"/>
      <c r="FO1076" s="885"/>
      <c r="FP1076" s="885"/>
      <c r="FQ1076" s="885"/>
      <c r="FR1076" s="885"/>
      <c r="FS1076" s="885"/>
      <c r="FT1076" s="885"/>
      <c r="FU1076" s="885"/>
      <c r="FV1076" s="885"/>
      <c r="FW1076" s="885"/>
      <c r="FX1076" s="885"/>
      <c r="FY1076" s="885"/>
      <c r="FZ1076" s="885"/>
      <c r="GA1076" s="885"/>
      <c r="GB1076" s="885"/>
      <c r="GC1076" s="885"/>
      <c r="GD1076" s="885"/>
      <c r="GE1076" s="885"/>
      <c r="GF1076" s="885"/>
      <c r="GG1076" s="885"/>
      <c r="GH1076" s="885"/>
      <c r="GI1076" s="885"/>
      <c r="GJ1076" s="885"/>
      <c r="GK1076" s="885"/>
      <c r="GL1076" s="885"/>
      <c r="GM1076" s="885"/>
      <c r="GN1076" s="885"/>
      <c r="GO1076" s="885"/>
      <c r="GP1076" s="885"/>
      <c r="GQ1076" s="885"/>
      <c r="GR1076" s="885"/>
      <c r="GS1076" s="885"/>
      <c r="GT1076" s="885"/>
      <c r="GU1076" s="885"/>
      <c r="GV1076" s="885"/>
      <c r="GW1076" s="885"/>
      <c r="GX1076" s="885"/>
      <c r="GY1076" s="885"/>
      <c r="GZ1076" s="885"/>
      <c r="HA1076" s="885"/>
      <c r="HB1076" s="885"/>
      <c r="HC1076" s="885"/>
      <c r="HD1076" s="885"/>
      <c r="HE1076" s="885"/>
      <c r="HF1076" s="885"/>
      <c r="HG1076" s="885"/>
      <c r="HH1076" s="885"/>
      <c r="HI1076" s="885"/>
      <c r="HJ1076" s="885"/>
      <c r="HK1076" s="885"/>
      <c r="HL1076" s="885"/>
      <c r="HM1076" s="885"/>
      <c r="HN1076" s="885"/>
      <c r="HO1076" s="885"/>
      <c r="HP1076" s="885"/>
      <c r="HQ1076" s="885"/>
      <c r="HR1076" s="885"/>
      <c r="HS1076" s="885"/>
      <c r="HT1076" s="885"/>
      <c r="HU1076" s="885"/>
      <c r="HV1076" s="885"/>
      <c r="HW1076" s="885"/>
      <c r="HX1076" s="885"/>
      <c r="HY1076" s="885"/>
      <c r="HZ1076" s="885"/>
      <c r="IA1076" s="885"/>
      <c r="IB1076" s="885"/>
      <c r="IC1076" s="885"/>
      <c r="ID1076" s="885"/>
      <c r="IE1076" s="885"/>
      <c r="IF1076" s="885"/>
      <c r="IG1076" s="885"/>
      <c r="IH1076" s="885"/>
      <c r="II1076" s="885"/>
      <c r="IJ1076" s="885"/>
      <c r="IK1076" s="885"/>
      <c r="IL1076" s="885"/>
      <c r="IM1076" s="885"/>
      <c r="IN1076" s="885"/>
      <c r="IO1076" s="885"/>
      <c r="IP1076" s="885"/>
      <c r="IQ1076" s="885"/>
      <c r="IR1076" s="885"/>
      <c r="IS1076" s="885"/>
      <c r="IT1076" s="885"/>
      <c r="IU1076" s="885"/>
      <c r="IV1076" s="885"/>
      <c r="IW1076" s="885"/>
      <c r="IX1076" s="885"/>
    </row>
    <row r="1077" spans="1:258" x14ac:dyDescent="0.25">
      <c r="A1077" s="125">
        <f t="shared" si="127"/>
        <v>1037</v>
      </c>
      <c r="B1077" s="885"/>
      <c r="C1077" s="932" t="s">
        <v>10634</v>
      </c>
      <c r="D1077" s="924">
        <v>0</v>
      </c>
      <c r="E1077" s="924">
        <v>0</v>
      </c>
      <c r="F1077" s="136">
        <v>1</v>
      </c>
      <c r="G1077" s="122" t="s">
        <v>1963</v>
      </c>
      <c r="H1077" s="885"/>
      <c r="I1077" s="885"/>
      <c r="J1077" s="885"/>
      <c r="K1077" s="885"/>
      <c r="L1077" s="885"/>
      <c r="M1077" s="885"/>
      <c r="N1077" s="885"/>
      <c r="O1077" s="885"/>
      <c r="P1077" s="885"/>
      <c r="Q1077" s="885"/>
      <c r="R1077" s="885"/>
      <c r="S1077" s="885"/>
      <c r="T1077" s="885"/>
      <c r="U1077" s="885"/>
      <c r="V1077" s="885"/>
      <c r="W1077" s="885"/>
      <c r="X1077" s="885"/>
      <c r="Y1077" s="885"/>
      <c r="Z1077" s="885"/>
      <c r="AA1077" s="885"/>
      <c r="AB1077" s="885"/>
      <c r="AC1077" s="885"/>
      <c r="AD1077" s="885"/>
      <c r="AE1077" s="885"/>
      <c r="AF1077" s="885"/>
      <c r="AG1077" s="885"/>
      <c r="AH1077" s="885"/>
      <c r="AI1077" s="885"/>
      <c r="AJ1077" s="885"/>
      <c r="AK1077" s="885"/>
      <c r="AL1077" s="885"/>
      <c r="AM1077" s="885"/>
      <c r="AN1077" s="885"/>
      <c r="AO1077" s="885"/>
      <c r="AP1077" s="885"/>
      <c r="AQ1077" s="885"/>
      <c r="AR1077" s="885"/>
      <c r="AS1077" s="885"/>
      <c r="AT1077" s="885"/>
      <c r="AU1077" s="885"/>
      <c r="AV1077" s="885"/>
      <c r="AW1077" s="885"/>
      <c r="AX1077" s="885"/>
      <c r="AY1077" s="885"/>
      <c r="AZ1077" s="885"/>
      <c r="BA1077" s="885"/>
      <c r="BB1077" s="885"/>
      <c r="BC1077" s="885"/>
      <c r="BD1077" s="885"/>
      <c r="BE1077" s="885"/>
      <c r="BF1077" s="885"/>
      <c r="BG1077" s="885"/>
      <c r="BH1077" s="885"/>
      <c r="BI1077" s="885"/>
      <c r="BJ1077" s="885"/>
      <c r="BK1077" s="885"/>
      <c r="BL1077" s="885"/>
      <c r="BM1077" s="885"/>
      <c r="BN1077" s="885"/>
      <c r="BO1077" s="885"/>
      <c r="BP1077" s="885"/>
      <c r="BQ1077" s="885"/>
      <c r="BR1077" s="885"/>
      <c r="BS1077" s="885"/>
      <c r="BT1077" s="885"/>
      <c r="BU1077" s="885"/>
      <c r="BV1077" s="885"/>
      <c r="BW1077" s="885"/>
      <c r="BX1077" s="885"/>
      <c r="BY1077" s="885"/>
      <c r="BZ1077" s="885"/>
      <c r="CA1077" s="885"/>
      <c r="CB1077" s="885"/>
      <c r="CC1077" s="885"/>
      <c r="CD1077" s="885"/>
      <c r="CE1077" s="885"/>
      <c r="CF1077" s="885"/>
      <c r="CG1077" s="885"/>
      <c r="CH1077" s="885"/>
      <c r="CI1077" s="885"/>
      <c r="CJ1077" s="885"/>
      <c r="CK1077" s="885"/>
      <c r="CL1077" s="885"/>
      <c r="CM1077" s="885"/>
      <c r="CN1077" s="885"/>
      <c r="CO1077" s="885"/>
      <c r="CP1077" s="885"/>
      <c r="CQ1077" s="885"/>
      <c r="CR1077" s="885"/>
      <c r="CS1077" s="885"/>
      <c r="CT1077" s="885"/>
      <c r="CU1077" s="885"/>
      <c r="CV1077" s="885"/>
      <c r="CW1077" s="885"/>
      <c r="CX1077" s="885"/>
      <c r="CY1077" s="885"/>
      <c r="CZ1077" s="885"/>
      <c r="DA1077" s="885"/>
      <c r="DB1077" s="885"/>
      <c r="DC1077" s="885"/>
      <c r="DD1077" s="885"/>
      <c r="DE1077" s="885"/>
      <c r="DF1077" s="885"/>
      <c r="DG1077" s="885"/>
      <c r="DH1077" s="885"/>
      <c r="DI1077" s="885"/>
      <c r="DJ1077" s="885"/>
      <c r="DK1077" s="885"/>
      <c r="DL1077" s="885"/>
      <c r="DM1077" s="885"/>
      <c r="DN1077" s="885"/>
      <c r="DO1077" s="885"/>
      <c r="DP1077" s="885"/>
      <c r="DQ1077" s="885"/>
      <c r="DR1077" s="885"/>
      <c r="DS1077" s="885"/>
      <c r="DT1077" s="885"/>
      <c r="DU1077" s="885"/>
      <c r="DV1077" s="885"/>
      <c r="DW1077" s="885"/>
      <c r="DX1077" s="885"/>
      <c r="DY1077" s="885"/>
      <c r="DZ1077" s="885"/>
      <c r="EA1077" s="885"/>
      <c r="EB1077" s="885"/>
      <c r="EC1077" s="885"/>
      <c r="ED1077" s="885"/>
      <c r="EE1077" s="885"/>
      <c r="EF1077" s="885"/>
      <c r="EG1077" s="885"/>
      <c r="EH1077" s="885"/>
      <c r="EI1077" s="885"/>
      <c r="EJ1077" s="885"/>
      <c r="EK1077" s="885"/>
      <c r="EL1077" s="885"/>
      <c r="EM1077" s="885"/>
      <c r="EN1077" s="885"/>
      <c r="EO1077" s="885"/>
      <c r="EP1077" s="885"/>
      <c r="EQ1077" s="885"/>
      <c r="ER1077" s="885"/>
      <c r="ES1077" s="885"/>
      <c r="ET1077" s="885"/>
      <c r="EU1077" s="885"/>
      <c r="EV1077" s="885"/>
      <c r="EW1077" s="885"/>
      <c r="EX1077" s="885"/>
      <c r="EY1077" s="885"/>
      <c r="EZ1077" s="885"/>
      <c r="FA1077" s="885"/>
      <c r="FB1077" s="885"/>
      <c r="FC1077" s="885"/>
      <c r="FD1077" s="885"/>
      <c r="FE1077" s="885"/>
      <c r="FF1077" s="885"/>
      <c r="FG1077" s="885"/>
      <c r="FH1077" s="885"/>
      <c r="FI1077" s="885"/>
      <c r="FJ1077" s="885"/>
      <c r="FK1077" s="885"/>
      <c r="FL1077" s="885"/>
      <c r="FM1077" s="885"/>
      <c r="FN1077" s="885"/>
      <c r="FO1077" s="885"/>
      <c r="FP1077" s="885"/>
      <c r="FQ1077" s="885"/>
      <c r="FR1077" s="885"/>
      <c r="FS1077" s="885"/>
      <c r="FT1077" s="885"/>
      <c r="FU1077" s="885"/>
      <c r="FV1077" s="885"/>
      <c r="FW1077" s="885"/>
      <c r="FX1077" s="885"/>
      <c r="FY1077" s="885"/>
      <c r="FZ1077" s="885"/>
      <c r="GA1077" s="885"/>
      <c r="GB1077" s="885"/>
      <c r="GC1077" s="885"/>
      <c r="GD1077" s="885"/>
      <c r="GE1077" s="885"/>
      <c r="GF1077" s="885"/>
      <c r="GG1077" s="885"/>
      <c r="GH1077" s="885"/>
      <c r="GI1077" s="885"/>
      <c r="GJ1077" s="885"/>
      <c r="GK1077" s="885"/>
      <c r="GL1077" s="885"/>
      <c r="GM1077" s="885"/>
      <c r="GN1077" s="885"/>
      <c r="GO1077" s="885"/>
      <c r="GP1077" s="885"/>
      <c r="GQ1077" s="885"/>
      <c r="GR1077" s="885"/>
      <c r="GS1077" s="885"/>
      <c r="GT1077" s="885"/>
      <c r="GU1077" s="885"/>
      <c r="GV1077" s="885"/>
      <c r="GW1077" s="885"/>
      <c r="GX1077" s="885"/>
      <c r="GY1077" s="885"/>
      <c r="GZ1077" s="885"/>
      <c r="HA1077" s="885"/>
      <c r="HB1077" s="885"/>
      <c r="HC1077" s="885"/>
      <c r="HD1077" s="885"/>
      <c r="HE1077" s="885"/>
      <c r="HF1077" s="885"/>
      <c r="HG1077" s="885"/>
      <c r="HH1077" s="885"/>
      <c r="HI1077" s="885"/>
      <c r="HJ1077" s="885"/>
      <c r="HK1077" s="885"/>
      <c r="HL1077" s="885"/>
      <c r="HM1077" s="885"/>
      <c r="HN1077" s="885"/>
      <c r="HO1077" s="885"/>
      <c r="HP1077" s="885"/>
      <c r="HQ1077" s="885"/>
      <c r="HR1077" s="885"/>
      <c r="HS1077" s="885"/>
      <c r="HT1077" s="885"/>
      <c r="HU1077" s="885"/>
      <c r="HV1077" s="885"/>
      <c r="HW1077" s="885"/>
      <c r="HX1077" s="885"/>
      <c r="HY1077" s="885"/>
      <c r="HZ1077" s="885"/>
      <c r="IA1077" s="885"/>
      <c r="IB1077" s="885"/>
      <c r="IC1077" s="885"/>
      <c r="ID1077" s="885"/>
      <c r="IE1077" s="885"/>
      <c r="IF1077" s="885"/>
      <c r="IG1077" s="885"/>
      <c r="IH1077" s="885"/>
      <c r="II1077" s="885"/>
      <c r="IJ1077" s="885"/>
      <c r="IK1077" s="885"/>
      <c r="IL1077" s="885"/>
      <c r="IM1077" s="885"/>
      <c r="IN1077" s="885"/>
      <c r="IO1077" s="885"/>
      <c r="IP1077" s="885"/>
      <c r="IQ1077" s="885"/>
      <c r="IR1077" s="885"/>
      <c r="IS1077" s="885"/>
      <c r="IT1077" s="885"/>
      <c r="IU1077" s="885"/>
      <c r="IV1077" s="885"/>
      <c r="IW1077" s="885"/>
      <c r="IX1077" s="885"/>
    </row>
    <row r="1078" spans="1:258" x14ac:dyDescent="0.25">
      <c r="A1078" s="125">
        <f t="shared" si="127"/>
        <v>1038</v>
      </c>
      <c r="B1078" s="885"/>
      <c r="C1078" s="932" t="s">
        <v>10635</v>
      </c>
      <c r="D1078" s="924">
        <v>0</v>
      </c>
      <c r="E1078" s="924">
        <v>0</v>
      </c>
      <c r="F1078" s="136">
        <v>1</v>
      </c>
      <c r="G1078" s="122" t="s">
        <v>1963</v>
      </c>
      <c r="H1078" s="885"/>
      <c r="I1078" s="885"/>
      <c r="J1078" s="885"/>
      <c r="K1078" s="885"/>
      <c r="L1078" s="885"/>
      <c r="M1078" s="885"/>
      <c r="N1078" s="885"/>
      <c r="O1078" s="885"/>
      <c r="P1078" s="885"/>
      <c r="Q1078" s="885"/>
      <c r="R1078" s="885"/>
      <c r="S1078" s="885"/>
      <c r="T1078" s="885"/>
      <c r="U1078" s="885"/>
      <c r="V1078" s="885"/>
      <c r="W1078" s="885"/>
      <c r="X1078" s="885"/>
      <c r="Y1078" s="885"/>
      <c r="Z1078" s="885"/>
      <c r="AA1078" s="885"/>
      <c r="AB1078" s="885"/>
      <c r="AC1078" s="885"/>
      <c r="AD1078" s="885"/>
      <c r="AE1078" s="885"/>
      <c r="AF1078" s="885"/>
      <c r="AG1078" s="885"/>
      <c r="AH1078" s="885"/>
      <c r="AI1078" s="885"/>
      <c r="AJ1078" s="885"/>
      <c r="AK1078" s="885"/>
      <c r="AL1078" s="885"/>
      <c r="AM1078" s="885"/>
      <c r="AN1078" s="885"/>
      <c r="AO1078" s="885"/>
      <c r="AP1078" s="885"/>
      <c r="AQ1078" s="885"/>
      <c r="AR1078" s="885"/>
      <c r="AS1078" s="885"/>
      <c r="AT1078" s="885"/>
      <c r="AU1078" s="885"/>
      <c r="AV1078" s="885"/>
      <c r="AW1078" s="885"/>
      <c r="AX1078" s="885"/>
      <c r="AY1078" s="885"/>
      <c r="AZ1078" s="885"/>
      <c r="BA1078" s="885"/>
      <c r="BB1078" s="885"/>
      <c r="BC1078" s="885"/>
      <c r="BD1078" s="885"/>
      <c r="BE1078" s="885"/>
      <c r="BF1078" s="885"/>
      <c r="BG1078" s="885"/>
      <c r="BH1078" s="885"/>
      <c r="BI1078" s="885"/>
      <c r="BJ1078" s="885"/>
      <c r="BK1078" s="885"/>
      <c r="BL1078" s="885"/>
      <c r="BM1078" s="885"/>
      <c r="BN1078" s="885"/>
      <c r="BO1078" s="885"/>
      <c r="BP1078" s="885"/>
      <c r="BQ1078" s="885"/>
      <c r="BR1078" s="885"/>
      <c r="BS1078" s="885"/>
      <c r="BT1078" s="885"/>
      <c r="BU1078" s="885"/>
      <c r="BV1078" s="885"/>
      <c r="BW1078" s="885"/>
      <c r="BX1078" s="885"/>
      <c r="BY1078" s="885"/>
      <c r="BZ1078" s="885"/>
      <c r="CA1078" s="885"/>
      <c r="CB1078" s="885"/>
      <c r="CC1078" s="885"/>
      <c r="CD1078" s="885"/>
      <c r="CE1078" s="885"/>
      <c r="CF1078" s="885"/>
      <c r="CG1078" s="885"/>
      <c r="CH1078" s="885"/>
      <c r="CI1078" s="885"/>
      <c r="CJ1078" s="885"/>
      <c r="CK1078" s="885"/>
      <c r="CL1078" s="885"/>
      <c r="CM1078" s="885"/>
      <c r="CN1078" s="885"/>
      <c r="CO1078" s="885"/>
      <c r="CP1078" s="885"/>
      <c r="CQ1078" s="885"/>
      <c r="CR1078" s="885"/>
      <c r="CS1078" s="885"/>
      <c r="CT1078" s="885"/>
      <c r="CU1078" s="885"/>
      <c r="CV1078" s="885"/>
      <c r="CW1078" s="885"/>
      <c r="CX1078" s="885"/>
      <c r="CY1078" s="885"/>
      <c r="CZ1078" s="885"/>
      <c r="DA1078" s="885"/>
      <c r="DB1078" s="885"/>
      <c r="DC1078" s="885"/>
      <c r="DD1078" s="885"/>
      <c r="DE1078" s="885"/>
      <c r="DF1078" s="885"/>
      <c r="DG1078" s="885"/>
      <c r="DH1078" s="885"/>
      <c r="DI1078" s="885"/>
      <c r="DJ1078" s="885"/>
      <c r="DK1078" s="885"/>
      <c r="DL1078" s="885"/>
      <c r="DM1078" s="885"/>
      <c r="DN1078" s="885"/>
      <c r="DO1078" s="885"/>
      <c r="DP1078" s="885"/>
      <c r="DQ1078" s="885"/>
      <c r="DR1078" s="885"/>
      <c r="DS1078" s="885"/>
      <c r="DT1078" s="885"/>
      <c r="DU1078" s="885"/>
      <c r="DV1078" s="885"/>
      <c r="DW1078" s="885"/>
      <c r="DX1078" s="885"/>
      <c r="DY1078" s="885"/>
      <c r="DZ1078" s="885"/>
      <c r="EA1078" s="885"/>
      <c r="EB1078" s="885"/>
      <c r="EC1078" s="885"/>
      <c r="ED1078" s="885"/>
      <c r="EE1078" s="885"/>
      <c r="EF1078" s="885"/>
      <c r="EG1078" s="885"/>
      <c r="EH1078" s="885"/>
      <c r="EI1078" s="885"/>
      <c r="EJ1078" s="885"/>
      <c r="EK1078" s="885"/>
      <c r="EL1078" s="885"/>
      <c r="EM1078" s="885"/>
      <c r="EN1078" s="885"/>
      <c r="EO1078" s="885"/>
      <c r="EP1078" s="885"/>
      <c r="EQ1078" s="885"/>
      <c r="ER1078" s="885"/>
      <c r="ES1078" s="885"/>
      <c r="ET1078" s="885"/>
      <c r="EU1078" s="885"/>
      <c r="EV1078" s="885"/>
      <c r="EW1078" s="885"/>
      <c r="EX1078" s="885"/>
      <c r="EY1078" s="885"/>
      <c r="EZ1078" s="885"/>
      <c r="FA1078" s="885"/>
      <c r="FB1078" s="885"/>
      <c r="FC1078" s="885"/>
      <c r="FD1078" s="885"/>
      <c r="FE1078" s="885"/>
      <c r="FF1078" s="885"/>
      <c r="FG1078" s="885"/>
      <c r="FH1078" s="885"/>
      <c r="FI1078" s="885"/>
      <c r="FJ1078" s="885"/>
      <c r="FK1078" s="885"/>
      <c r="FL1078" s="885"/>
      <c r="FM1078" s="885"/>
      <c r="FN1078" s="885"/>
      <c r="FO1078" s="885"/>
      <c r="FP1078" s="885"/>
      <c r="FQ1078" s="885"/>
      <c r="FR1078" s="885"/>
      <c r="FS1078" s="885"/>
      <c r="FT1078" s="885"/>
      <c r="FU1078" s="885"/>
      <c r="FV1078" s="885"/>
      <c r="FW1078" s="885"/>
      <c r="FX1078" s="885"/>
      <c r="FY1078" s="885"/>
      <c r="FZ1078" s="885"/>
      <c r="GA1078" s="885"/>
      <c r="GB1078" s="885"/>
      <c r="GC1078" s="885"/>
      <c r="GD1078" s="885"/>
      <c r="GE1078" s="885"/>
      <c r="GF1078" s="885"/>
      <c r="GG1078" s="885"/>
      <c r="GH1078" s="885"/>
      <c r="GI1078" s="885"/>
      <c r="GJ1078" s="885"/>
      <c r="GK1078" s="885"/>
      <c r="GL1078" s="885"/>
      <c r="GM1078" s="885"/>
      <c r="GN1078" s="885"/>
      <c r="GO1078" s="885"/>
      <c r="GP1078" s="885"/>
      <c r="GQ1078" s="885"/>
      <c r="GR1078" s="885"/>
      <c r="GS1078" s="885"/>
      <c r="GT1078" s="885"/>
      <c r="GU1078" s="885"/>
      <c r="GV1078" s="885"/>
      <c r="GW1078" s="885"/>
      <c r="GX1078" s="885"/>
      <c r="GY1078" s="885"/>
      <c r="GZ1078" s="885"/>
      <c r="HA1078" s="885"/>
      <c r="HB1078" s="885"/>
      <c r="HC1078" s="885"/>
      <c r="HD1078" s="885"/>
      <c r="HE1078" s="885"/>
      <c r="HF1078" s="885"/>
      <c r="HG1078" s="885"/>
      <c r="HH1078" s="885"/>
      <c r="HI1078" s="885"/>
      <c r="HJ1078" s="885"/>
      <c r="HK1078" s="885"/>
      <c r="HL1078" s="885"/>
      <c r="HM1078" s="885"/>
      <c r="HN1078" s="885"/>
      <c r="HO1078" s="885"/>
      <c r="HP1078" s="885"/>
      <c r="HQ1078" s="885"/>
      <c r="HR1078" s="885"/>
      <c r="HS1078" s="885"/>
      <c r="HT1078" s="885"/>
      <c r="HU1078" s="885"/>
      <c r="HV1078" s="885"/>
      <c r="HW1078" s="885"/>
      <c r="HX1078" s="885"/>
      <c r="HY1078" s="885"/>
      <c r="HZ1078" s="885"/>
      <c r="IA1078" s="885"/>
      <c r="IB1078" s="885"/>
      <c r="IC1078" s="885"/>
      <c r="ID1078" s="885"/>
      <c r="IE1078" s="885"/>
      <c r="IF1078" s="885"/>
      <c r="IG1078" s="885"/>
      <c r="IH1078" s="885"/>
      <c r="II1078" s="885"/>
      <c r="IJ1078" s="885"/>
      <c r="IK1078" s="885"/>
      <c r="IL1078" s="885"/>
      <c r="IM1078" s="885"/>
      <c r="IN1078" s="885"/>
      <c r="IO1078" s="885"/>
      <c r="IP1078" s="885"/>
      <c r="IQ1078" s="885"/>
      <c r="IR1078" s="885"/>
      <c r="IS1078" s="885"/>
      <c r="IT1078" s="885"/>
      <c r="IU1078" s="885"/>
      <c r="IV1078" s="885"/>
      <c r="IW1078" s="885"/>
      <c r="IX1078" s="885"/>
    </row>
    <row r="1079" spans="1:258" x14ac:dyDescent="0.25">
      <c r="A1079" s="125">
        <f t="shared" si="127"/>
        <v>1039</v>
      </c>
      <c r="B1079" s="885"/>
      <c r="C1079" s="932" t="s">
        <v>10636</v>
      </c>
      <c r="D1079" s="924">
        <v>0</v>
      </c>
      <c r="E1079" s="924">
        <v>0</v>
      </c>
      <c r="F1079" s="136">
        <f>5000-F1074-F1075-F1076-F1078</f>
        <v>4996.8</v>
      </c>
      <c r="G1079" s="122" t="s">
        <v>1963</v>
      </c>
      <c r="H1079" s="885"/>
      <c r="I1079" s="885"/>
      <c r="J1079" s="885"/>
      <c r="K1079" s="885"/>
      <c r="L1079" s="885"/>
      <c r="M1079" s="885"/>
      <c r="N1079" s="885"/>
      <c r="O1079" s="885"/>
      <c r="P1079" s="885"/>
      <c r="Q1079" s="885"/>
      <c r="R1079" s="885"/>
      <c r="S1079" s="885"/>
      <c r="T1079" s="885"/>
      <c r="U1079" s="885"/>
      <c r="V1079" s="885"/>
      <c r="W1079" s="885"/>
      <c r="X1079" s="885"/>
      <c r="Y1079" s="885"/>
      <c r="Z1079" s="885"/>
      <c r="AA1079" s="885"/>
      <c r="AB1079" s="885"/>
      <c r="AC1079" s="885"/>
      <c r="AD1079" s="885"/>
      <c r="AE1079" s="885"/>
      <c r="AF1079" s="885"/>
      <c r="AG1079" s="885"/>
      <c r="AH1079" s="885"/>
      <c r="AI1079" s="885"/>
      <c r="AJ1079" s="885"/>
      <c r="AK1079" s="885"/>
      <c r="AL1079" s="885"/>
      <c r="AM1079" s="885"/>
      <c r="AN1079" s="885"/>
      <c r="AO1079" s="885"/>
      <c r="AP1079" s="885"/>
      <c r="AQ1079" s="885"/>
      <c r="AR1079" s="885"/>
      <c r="AS1079" s="885"/>
      <c r="AT1079" s="885"/>
      <c r="AU1079" s="885"/>
      <c r="AV1079" s="885"/>
      <c r="AW1079" s="885"/>
      <c r="AX1079" s="885"/>
      <c r="AY1079" s="885"/>
      <c r="AZ1079" s="885"/>
      <c r="BA1079" s="885"/>
      <c r="BB1079" s="885"/>
      <c r="BC1079" s="885"/>
      <c r="BD1079" s="885"/>
      <c r="BE1079" s="885"/>
      <c r="BF1079" s="885"/>
      <c r="BG1079" s="885"/>
      <c r="BH1079" s="885"/>
      <c r="BI1079" s="885"/>
      <c r="BJ1079" s="885"/>
      <c r="BK1079" s="885"/>
      <c r="BL1079" s="885"/>
      <c r="BM1079" s="885"/>
      <c r="BN1079" s="885"/>
      <c r="BO1079" s="885"/>
      <c r="BP1079" s="885"/>
      <c r="BQ1079" s="885"/>
      <c r="BR1079" s="885"/>
      <c r="BS1079" s="885"/>
      <c r="BT1079" s="885"/>
      <c r="BU1079" s="885"/>
      <c r="BV1079" s="885"/>
      <c r="BW1079" s="885"/>
      <c r="BX1079" s="885"/>
      <c r="BY1079" s="885"/>
      <c r="BZ1079" s="885"/>
      <c r="CA1079" s="885"/>
      <c r="CB1079" s="885"/>
      <c r="CC1079" s="885"/>
      <c r="CD1079" s="885"/>
      <c r="CE1079" s="885"/>
      <c r="CF1079" s="885"/>
      <c r="CG1079" s="885"/>
      <c r="CH1079" s="885"/>
      <c r="CI1079" s="885"/>
      <c r="CJ1079" s="885"/>
      <c r="CK1079" s="885"/>
      <c r="CL1079" s="885"/>
      <c r="CM1079" s="885"/>
      <c r="CN1079" s="885"/>
      <c r="CO1079" s="885"/>
      <c r="CP1079" s="885"/>
      <c r="CQ1079" s="885"/>
      <c r="CR1079" s="885"/>
      <c r="CS1079" s="885"/>
      <c r="CT1079" s="885"/>
      <c r="CU1079" s="885"/>
      <c r="CV1079" s="885"/>
      <c r="CW1079" s="885"/>
      <c r="CX1079" s="885"/>
      <c r="CY1079" s="885"/>
      <c r="CZ1079" s="885"/>
      <c r="DA1079" s="885"/>
      <c r="DB1079" s="885"/>
      <c r="DC1079" s="885"/>
      <c r="DD1079" s="885"/>
      <c r="DE1079" s="885"/>
      <c r="DF1079" s="885"/>
      <c r="DG1079" s="885"/>
      <c r="DH1079" s="885"/>
      <c r="DI1079" s="885"/>
      <c r="DJ1079" s="885"/>
      <c r="DK1079" s="885"/>
      <c r="DL1079" s="885"/>
      <c r="DM1079" s="885"/>
      <c r="DN1079" s="885"/>
      <c r="DO1079" s="885"/>
      <c r="DP1079" s="885"/>
      <c r="DQ1079" s="885"/>
      <c r="DR1079" s="885"/>
      <c r="DS1079" s="885"/>
      <c r="DT1079" s="885"/>
      <c r="DU1079" s="885"/>
      <c r="DV1079" s="885"/>
      <c r="DW1079" s="885"/>
      <c r="DX1079" s="885"/>
      <c r="DY1079" s="885"/>
      <c r="DZ1079" s="885"/>
      <c r="EA1079" s="885"/>
      <c r="EB1079" s="885"/>
      <c r="EC1079" s="885"/>
      <c r="ED1079" s="885"/>
      <c r="EE1079" s="885"/>
      <c r="EF1079" s="885"/>
      <c r="EG1079" s="885"/>
      <c r="EH1079" s="885"/>
      <c r="EI1079" s="885"/>
      <c r="EJ1079" s="885"/>
      <c r="EK1079" s="885"/>
      <c r="EL1079" s="885"/>
      <c r="EM1079" s="885"/>
      <c r="EN1079" s="885"/>
      <c r="EO1079" s="885"/>
      <c r="EP1079" s="885"/>
      <c r="EQ1079" s="885"/>
      <c r="ER1079" s="885"/>
      <c r="ES1079" s="885"/>
      <c r="ET1079" s="885"/>
      <c r="EU1079" s="885"/>
      <c r="EV1079" s="885"/>
      <c r="EW1079" s="885"/>
      <c r="EX1079" s="885"/>
      <c r="EY1079" s="885"/>
      <c r="EZ1079" s="885"/>
      <c r="FA1079" s="885"/>
      <c r="FB1079" s="885"/>
      <c r="FC1079" s="885"/>
      <c r="FD1079" s="885"/>
      <c r="FE1079" s="885"/>
      <c r="FF1079" s="885"/>
      <c r="FG1079" s="885"/>
      <c r="FH1079" s="885"/>
      <c r="FI1079" s="885"/>
      <c r="FJ1079" s="885"/>
      <c r="FK1079" s="885"/>
      <c r="FL1079" s="885"/>
      <c r="FM1079" s="885"/>
      <c r="FN1079" s="885"/>
      <c r="FO1079" s="885"/>
      <c r="FP1079" s="885"/>
      <c r="FQ1079" s="885"/>
      <c r="FR1079" s="885"/>
      <c r="FS1079" s="885"/>
      <c r="FT1079" s="885"/>
      <c r="FU1079" s="885"/>
      <c r="FV1079" s="885"/>
      <c r="FW1079" s="885"/>
      <c r="FX1079" s="885"/>
      <c r="FY1079" s="885"/>
      <c r="FZ1079" s="885"/>
      <c r="GA1079" s="885"/>
      <c r="GB1079" s="885"/>
      <c r="GC1079" s="885"/>
      <c r="GD1079" s="885"/>
      <c r="GE1079" s="885"/>
      <c r="GF1079" s="885"/>
      <c r="GG1079" s="885"/>
      <c r="GH1079" s="885"/>
      <c r="GI1079" s="885"/>
      <c r="GJ1079" s="885"/>
      <c r="GK1079" s="885"/>
      <c r="GL1079" s="885"/>
      <c r="GM1079" s="885"/>
      <c r="GN1079" s="885"/>
      <c r="GO1079" s="885"/>
      <c r="GP1079" s="885"/>
      <c r="GQ1079" s="885"/>
      <c r="GR1079" s="885"/>
      <c r="GS1079" s="885"/>
      <c r="GT1079" s="885"/>
      <c r="GU1079" s="885"/>
      <c r="GV1079" s="885"/>
      <c r="GW1079" s="885"/>
      <c r="GX1079" s="885"/>
      <c r="GY1079" s="885"/>
      <c r="GZ1079" s="885"/>
      <c r="HA1079" s="885"/>
      <c r="HB1079" s="885"/>
      <c r="HC1079" s="885"/>
      <c r="HD1079" s="885"/>
      <c r="HE1079" s="885"/>
      <c r="HF1079" s="885"/>
      <c r="HG1079" s="885"/>
      <c r="HH1079" s="885"/>
      <c r="HI1079" s="885"/>
      <c r="HJ1079" s="885"/>
      <c r="HK1079" s="885"/>
      <c r="HL1079" s="885"/>
      <c r="HM1079" s="885"/>
      <c r="HN1079" s="885"/>
      <c r="HO1079" s="885"/>
      <c r="HP1079" s="885"/>
      <c r="HQ1079" s="885"/>
      <c r="HR1079" s="885"/>
      <c r="HS1079" s="885"/>
      <c r="HT1079" s="885"/>
      <c r="HU1079" s="885"/>
      <c r="HV1079" s="885"/>
      <c r="HW1079" s="885"/>
      <c r="HX1079" s="885"/>
      <c r="HY1079" s="885"/>
      <c r="HZ1079" s="885"/>
      <c r="IA1079" s="885"/>
      <c r="IB1079" s="885"/>
      <c r="IC1079" s="885"/>
      <c r="ID1079" s="885"/>
      <c r="IE1079" s="885"/>
      <c r="IF1079" s="885"/>
      <c r="IG1079" s="885"/>
      <c r="IH1079" s="885"/>
      <c r="II1079" s="885"/>
      <c r="IJ1079" s="885"/>
      <c r="IK1079" s="885"/>
      <c r="IL1079" s="885"/>
      <c r="IM1079" s="885"/>
      <c r="IN1079" s="885"/>
      <c r="IO1079" s="885"/>
      <c r="IP1079" s="885"/>
      <c r="IQ1079" s="885"/>
      <c r="IR1079" s="885"/>
      <c r="IS1079" s="885"/>
      <c r="IT1079" s="885"/>
      <c r="IU1079" s="885"/>
      <c r="IV1079" s="885"/>
      <c r="IW1079" s="885"/>
      <c r="IX1079" s="885"/>
    </row>
    <row r="1080" spans="1:258" x14ac:dyDescent="0.25">
      <c r="A1080" s="125">
        <f t="shared" si="127"/>
        <v>1040</v>
      </c>
      <c r="B1080" s="885"/>
      <c r="C1080" s="232" t="s">
        <v>10637</v>
      </c>
      <c r="D1080" s="915"/>
      <c r="E1080" s="915"/>
      <c r="F1080" s="136"/>
      <c r="H1080" s="885"/>
      <c r="I1080" s="885"/>
      <c r="J1080" s="885"/>
      <c r="K1080" s="885"/>
      <c r="L1080" s="885"/>
      <c r="M1080" s="885"/>
      <c r="N1080" s="885"/>
      <c r="O1080" s="885"/>
      <c r="P1080" s="885"/>
      <c r="Q1080" s="885"/>
      <c r="R1080" s="885"/>
      <c r="S1080" s="885"/>
      <c r="T1080" s="885"/>
      <c r="U1080" s="885"/>
      <c r="V1080" s="885"/>
      <c r="W1080" s="885"/>
      <c r="X1080" s="885"/>
      <c r="Y1080" s="885"/>
      <c r="Z1080" s="885"/>
      <c r="AA1080" s="885"/>
      <c r="AB1080" s="885"/>
      <c r="AC1080" s="885"/>
      <c r="AD1080" s="885"/>
      <c r="AE1080" s="885"/>
      <c r="AF1080" s="885"/>
      <c r="AG1080" s="885"/>
      <c r="AH1080" s="885"/>
      <c r="AI1080" s="885"/>
      <c r="AJ1080" s="885"/>
      <c r="AK1080" s="885"/>
      <c r="AL1080" s="885"/>
      <c r="AM1080" s="885"/>
      <c r="AN1080" s="885"/>
      <c r="AO1080" s="885"/>
      <c r="AP1080" s="885"/>
      <c r="AQ1080" s="885"/>
      <c r="AR1080" s="885"/>
      <c r="AS1080" s="885"/>
      <c r="AT1080" s="885"/>
      <c r="AU1080" s="885"/>
      <c r="AV1080" s="885"/>
      <c r="AW1080" s="885"/>
      <c r="AX1080" s="885"/>
      <c r="AY1080" s="885"/>
      <c r="AZ1080" s="885"/>
      <c r="BA1080" s="885"/>
      <c r="BB1080" s="885"/>
      <c r="BC1080" s="885"/>
      <c r="BD1080" s="885"/>
      <c r="BE1080" s="885"/>
      <c r="BF1080" s="885"/>
      <c r="BG1080" s="885"/>
      <c r="BH1080" s="885"/>
      <c r="BI1080" s="885"/>
      <c r="BJ1080" s="885"/>
      <c r="BK1080" s="885"/>
      <c r="BL1080" s="885"/>
      <c r="BM1080" s="885"/>
      <c r="BN1080" s="885"/>
      <c r="BO1080" s="885"/>
      <c r="BP1080" s="885"/>
      <c r="BQ1080" s="885"/>
      <c r="BR1080" s="885"/>
      <c r="BS1080" s="885"/>
      <c r="BT1080" s="885"/>
      <c r="BU1080" s="885"/>
      <c r="BV1080" s="885"/>
      <c r="BW1080" s="885"/>
      <c r="BX1080" s="885"/>
      <c r="BY1080" s="885"/>
      <c r="BZ1080" s="885"/>
      <c r="CA1080" s="885"/>
      <c r="CB1080" s="885"/>
      <c r="CC1080" s="885"/>
      <c r="CD1080" s="885"/>
      <c r="CE1080" s="885"/>
      <c r="CF1080" s="885"/>
      <c r="CG1080" s="885"/>
      <c r="CH1080" s="885"/>
      <c r="CI1080" s="885"/>
      <c r="CJ1080" s="885"/>
      <c r="CK1080" s="885"/>
      <c r="CL1080" s="885"/>
      <c r="CM1080" s="885"/>
      <c r="CN1080" s="885"/>
      <c r="CO1080" s="885"/>
      <c r="CP1080" s="885"/>
      <c r="CQ1080" s="885"/>
      <c r="CR1080" s="885"/>
      <c r="CS1080" s="885"/>
      <c r="CT1080" s="885"/>
      <c r="CU1080" s="885"/>
      <c r="CV1080" s="885"/>
      <c r="CW1080" s="885"/>
      <c r="CX1080" s="885"/>
      <c r="CY1080" s="885"/>
      <c r="CZ1080" s="885"/>
      <c r="DA1080" s="885"/>
      <c r="DB1080" s="885"/>
      <c r="DC1080" s="885"/>
      <c r="DD1080" s="885"/>
      <c r="DE1080" s="885"/>
      <c r="DF1080" s="885"/>
      <c r="DG1080" s="885"/>
      <c r="DH1080" s="885"/>
      <c r="DI1080" s="885"/>
      <c r="DJ1080" s="885"/>
      <c r="DK1080" s="885"/>
      <c r="DL1080" s="885"/>
      <c r="DM1080" s="885"/>
      <c r="DN1080" s="885"/>
      <c r="DO1080" s="885"/>
      <c r="DP1080" s="885"/>
      <c r="DQ1080" s="885"/>
      <c r="DR1080" s="885"/>
      <c r="DS1080" s="885"/>
      <c r="DT1080" s="885"/>
      <c r="DU1080" s="885"/>
      <c r="DV1080" s="885"/>
      <c r="DW1080" s="885"/>
      <c r="DX1080" s="885"/>
      <c r="DY1080" s="885"/>
      <c r="DZ1080" s="885"/>
      <c r="EA1080" s="885"/>
      <c r="EB1080" s="885"/>
      <c r="EC1080" s="885"/>
      <c r="ED1080" s="885"/>
      <c r="EE1080" s="885"/>
      <c r="EF1080" s="885"/>
      <c r="EG1080" s="885"/>
      <c r="EH1080" s="885"/>
      <c r="EI1080" s="885"/>
      <c r="EJ1080" s="885"/>
      <c r="EK1080" s="885"/>
      <c r="EL1080" s="885"/>
      <c r="EM1080" s="885"/>
      <c r="EN1080" s="885"/>
      <c r="EO1080" s="885"/>
      <c r="EP1080" s="885"/>
      <c r="EQ1080" s="885"/>
      <c r="ER1080" s="885"/>
      <c r="ES1080" s="885"/>
      <c r="ET1080" s="885"/>
      <c r="EU1080" s="885"/>
      <c r="EV1080" s="885"/>
      <c r="EW1080" s="885"/>
      <c r="EX1080" s="885"/>
      <c r="EY1080" s="885"/>
      <c r="EZ1080" s="885"/>
      <c r="FA1080" s="885"/>
      <c r="FB1080" s="885"/>
      <c r="FC1080" s="885"/>
      <c r="FD1080" s="885"/>
      <c r="FE1080" s="885"/>
      <c r="FF1080" s="885"/>
      <c r="FG1080" s="885"/>
      <c r="FH1080" s="885"/>
      <c r="FI1080" s="885"/>
      <c r="FJ1080" s="885"/>
      <c r="FK1080" s="885"/>
      <c r="FL1080" s="885"/>
      <c r="FM1080" s="885"/>
      <c r="FN1080" s="885"/>
      <c r="FO1080" s="885"/>
      <c r="FP1080" s="885"/>
      <c r="FQ1080" s="885"/>
      <c r="FR1080" s="885"/>
      <c r="FS1080" s="885"/>
      <c r="FT1080" s="885"/>
      <c r="FU1080" s="885"/>
      <c r="FV1080" s="885"/>
      <c r="FW1080" s="885"/>
      <c r="FX1080" s="885"/>
      <c r="FY1080" s="885"/>
      <c r="FZ1080" s="885"/>
      <c r="GA1080" s="885"/>
      <c r="GB1080" s="885"/>
      <c r="GC1080" s="885"/>
      <c r="GD1080" s="885"/>
      <c r="GE1080" s="885"/>
      <c r="GF1080" s="885"/>
      <c r="GG1080" s="885"/>
      <c r="GH1080" s="885"/>
      <c r="GI1080" s="885"/>
      <c r="GJ1080" s="885"/>
      <c r="GK1080" s="885"/>
      <c r="GL1080" s="885"/>
      <c r="GM1080" s="885"/>
      <c r="GN1080" s="885"/>
      <c r="GO1080" s="885"/>
      <c r="GP1080" s="885"/>
      <c r="GQ1080" s="885"/>
      <c r="GR1080" s="885"/>
      <c r="GS1080" s="885"/>
      <c r="GT1080" s="885"/>
      <c r="GU1080" s="885"/>
      <c r="GV1080" s="885"/>
      <c r="GW1080" s="885"/>
      <c r="GX1080" s="885"/>
      <c r="GY1080" s="885"/>
      <c r="GZ1080" s="885"/>
      <c r="HA1080" s="885"/>
      <c r="HB1080" s="885"/>
      <c r="HC1080" s="885"/>
      <c r="HD1080" s="885"/>
      <c r="HE1080" s="885"/>
      <c r="HF1080" s="885"/>
      <c r="HG1080" s="885"/>
      <c r="HH1080" s="885"/>
      <c r="HI1080" s="885"/>
      <c r="HJ1080" s="885"/>
      <c r="HK1080" s="885"/>
      <c r="HL1080" s="885"/>
      <c r="HM1080" s="885"/>
      <c r="HN1080" s="885"/>
      <c r="HO1080" s="885"/>
      <c r="HP1080" s="885"/>
      <c r="HQ1080" s="885"/>
      <c r="HR1080" s="885"/>
      <c r="HS1080" s="885"/>
      <c r="HT1080" s="885"/>
      <c r="HU1080" s="885"/>
      <c r="HV1080" s="885"/>
      <c r="HW1080" s="885"/>
      <c r="HX1080" s="885"/>
      <c r="HY1080" s="885"/>
      <c r="HZ1080" s="885"/>
      <c r="IA1080" s="885"/>
      <c r="IB1080" s="885"/>
      <c r="IC1080" s="885"/>
      <c r="ID1080" s="885"/>
      <c r="IE1080" s="885"/>
      <c r="IF1080" s="885"/>
      <c r="IG1080" s="885"/>
      <c r="IH1080" s="885"/>
      <c r="II1080" s="885"/>
      <c r="IJ1080" s="885"/>
      <c r="IK1080" s="885"/>
      <c r="IL1080" s="885"/>
      <c r="IM1080" s="885"/>
      <c r="IN1080" s="885"/>
      <c r="IO1080" s="885"/>
      <c r="IP1080" s="885"/>
      <c r="IQ1080" s="885"/>
      <c r="IR1080" s="885"/>
      <c r="IS1080" s="885"/>
      <c r="IT1080" s="885"/>
      <c r="IU1080" s="885"/>
      <c r="IV1080" s="885"/>
      <c r="IW1080" s="885"/>
      <c r="IX1080" s="885"/>
    </row>
    <row r="1081" spans="1:258" x14ac:dyDescent="0.25">
      <c r="A1081" s="125">
        <f t="shared" si="127"/>
        <v>1041</v>
      </c>
      <c r="B1081" s="885"/>
      <c r="C1081" s="842" t="s">
        <v>10638</v>
      </c>
      <c r="D1081" s="924">
        <v>0</v>
      </c>
      <c r="E1081" s="924">
        <v>0</v>
      </c>
      <c r="F1081" s="136">
        <v>5000</v>
      </c>
      <c r="G1081" s="122" t="s">
        <v>1963</v>
      </c>
      <c r="H1081" s="885"/>
      <c r="I1081" s="885"/>
      <c r="J1081" s="885"/>
      <c r="K1081" s="885"/>
      <c r="L1081" s="885"/>
      <c r="M1081" s="885"/>
      <c r="N1081" s="885"/>
      <c r="O1081" s="885"/>
      <c r="P1081" s="885"/>
      <c r="Q1081" s="885"/>
      <c r="R1081" s="885"/>
      <c r="S1081" s="885"/>
      <c r="T1081" s="885"/>
      <c r="U1081" s="885"/>
      <c r="V1081" s="885"/>
      <c r="W1081" s="885"/>
      <c r="X1081" s="885"/>
      <c r="Y1081" s="885"/>
      <c r="Z1081" s="885"/>
      <c r="AA1081" s="885"/>
      <c r="AB1081" s="885"/>
      <c r="AC1081" s="885"/>
      <c r="AD1081" s="885"/>
      <c r="AE1081" s="885"/>
      <c r="AF1081" s="885"/>
      <c r="AG1081" s="885"/>
      <c r="AH1081" s="885"/>
      <c r="AI1081" s="885"/>
      <c r="AJ1081" s="885"/>
      <c r="AK1081" s="885"/>
      <c r="AL1081" s="885"/>
      <c r="AM1081" s="885"/>
      <c r="AN1081" s="885"/>
      <c r="AO1081" s="885"/>
      <c r="AP1081" s="885"/>
      <c r="AQ1081" s="885"/>
      <c r="AR1081" s="885"/>
      <c r="AS1081" s="885"/>
      <c r="AT1081" s="885"/>
      <c r="AU1081" s="885"/>
      <c r="AV1081" s="885"/>
      <c r="AW1081" s="885"/>
      <c r="AX1081" s="885"/>
      <c r="AY1081" s="885"/>
      <c r="AZ1081" s="885"/>
      <c r="BA1081" s="885"/>
      <c r="BB1081" s="885"/>
      <c r="BC1081" s="885"/>
      <c r="BD1081" s="885"/>
      <c r="BE1081" s="885"/>
      <c r="BF1081" s="885"/>
      <c r="BG1081" s="885"/>
      <c r="BH1081" s="885"/>
      <c r="BI1081" s="885"/>
      <c r="BJ1081" s="885"/>
      <c r="BK1081" s="885"/>
      <c r="BL1081" s="885"/>
      <c r="BM1081" s="885"/>
      <c r="BN1081" s="885"/>
      <c r="BO1081" s="885"/>
      <c r="BP1081" s="885"/>
      <c r="BQ1081" s="885"/>
      <c r="BR1081" s="885"/>
      <c r="BS1081" s="885"/>
      <c r="BT1081" s="885"/>
      <c r="BU1081" s="885"/>
      <c r="BV1081" s="885"/>
      <c r="BW1081" s="885"/>
      <c r="BX1081" s="885"/>
      <c r="BY1081" s="885"/>
      <c r="BZ1081" s="885"/>
      <c r="CA1081" s="885"/>
      <c r="CB1081" s="885"/>
      <c r="CC1081" s="885"/>
      <c r="CD1081" s="885"/>
      <c r="CE1081" s="885"/>
      <c r="CF1081" s="885"/>
      <c r="CG1081" s="885"/>
      <c r="CH1081" s="885"/>
      <c r="CI1081" s="885"/>
      <c r="CJ1081" s="885"/>
      <c r="CK1081" s="885"/>
      <c r="CL1081" s="885"/>
      <c r="CM1081" s="885"/>
      <c r="CN1081" s="885"/>
      <c r="CO1081" s="885"/>
      <c r="CP1081" s="885"/>
      <c r="CQ1081" s="885"/>
      <c r="CR1081" s="885"/>
      <c r="CS1081" s="885"/>
      <c r="CT1081" s="885"/>
      <c r="CU1081" s="885"/>
      <c r="CV1081" s="885"/>
      <c r="CW1081" s="885"/>
      <c r="CX1081" s="885"/>
      <c r="CY1081" s="885"/>
      <c r="CZ1081" s="885"/>
      <c r="DA1081" s="885"/>
      <c r="DB1081" s="885"/>
      <c r="DC1081" s="885"/>
      <c r="DD1081" s="885"/>
      <c r="DE1081" s="885"/>
      <c r="DF1081" s="885"/>
      <c r="DG1081" s="885"/>
      <c r="DH1081" s="885"/>
      <c r="DI1081" s="885"/>
      <c r="DJ1081" s="885"/>
      <c r="DK1081" s="885"/>
      <c r="DL1081" s="885"/>
      <c r="DM1081" s="885"/>
      <c r="DN1081" s="885"/>
      <c r="DO1081" s="885"/>
      <c r="DP1081" s="885"/>
      <c r="DQ1081" s="885"/>
      <c r="DR1081" s="885"/>
      <c r="DS1081" s="885"/>
      <c r="DT1081" s="885"/>
      <c r="DU1081" s="885"/>
      <c r="DV1081" s="885"/>
      <c r="DW1081" s="885"/>
      <c r="DX1081" s="885"/>
      <c r="DY1081" s="885"/>
      <c r="DZ1081" s="885"/>
      <c r="EA1081" s="885"/>
      <c r="EB1081" s="885"/>
      <c r="EC1081" s="885"/>
      <c r="ED1081" s="885"/>
      <c r="EE1081" s="885"/>
      <c r="EF1081" s="885"/>
      <c r="EG1081" s="885"/>
      <c r="EH1081" s="885"/>
      <c r="EI1081" s="885"/>
      <c r="EJ1081" s="885"/>
      <c r="EK1081" s="885"/>
      <c r="EL1081" s="885"/>
      <c r="EM1081" s="885"/>
      <c r="EN1081" s="885"/>
      <c r="EO1081" s="885"/>
      <c r="EP1081" s="885"/>
      <c r="EQ1081" s="885"/>
      <c r="ER1081" s="885"/>
      <c r="ES1081" s="885"/>
      <c r="ET1081" s="885"/>
      <c r="EU1081" s="885"/>
      <c r="EV1081" s="885"/>
      <c r="EW1081" s="885"/>
      <c r="EX1081" s="885"/>
      <c r="EY1081" s="885"/>
      <c r="EZ1081" s="885"/>
      <c r="FA1081" s="885"/>
      <c r="FB1081" s="885"/>
      <c r="FC1081" s="885"/>
      <c r="FD1081" s="885"/>
      <c r="FE1081" s="885"/>
      <c r="FF1081" s="885"/>
      <c r="FG1081" s="885"/>
      <c r="FH1081" s="885"/>
      <c r="FI1081" s="885"/>
      <c r="FJ1081" s="885"/>
      <c r="FK1081" s="885"/>
      <c r="FL1081" s="885"/>
      <c r="FM1081" s="885"/>
      <c r="FN1081" s="885"/>
      <c r="FO1081" s="885"/>
      <c r="FP1081" s="885"/>
      <c r="FQ1081" s="885"/>
      <c r="FR1081" s="885"/>
      <c r="FS1081" s="885"/>
      <c r="FT1081" s="885"/>
      <c r="FU1081" s="885"/>
      <c r="FV1081" s="885"/>
      <c r="FW1081" s="885"/>
      <c r="FX1081" s="885"/>
      <c r="FY1081" s="885"/>
      <c r="FZ1081" s="885"/>
      <c r="GA1081" s="885"/>
      <c r="GB1081" s="885"/>
      <c r="GC1081" s="885"/>
      <c r="GD1081" s="885"/>
      <c r="GE1081" s="885"/>
      <c r="GF1081" s="885"/>
      <c r="GG1081" s="885"/>
      <c r="GH1081" s="885"/>
      <c r="GI1081" s="885"/>
      <c r="GJ1081" s="885"/>
      <c r="GK1081" s="885"/>
      <c r="GL1081" s="885"/>
      <c r="GM1081" s="885"/>
      <c r="GN1081" s="885"/>
      <c r="GO1081" s="885"/>
      <c r="GP1081" s="885"/>
      <c r="GQ1081" s="885"/>
      <c r="GR1081" s="885"/>
      <c r="GS1081" s="885"/>
      <c r="GT1081" s="885"/>
      <c r="GU1081" s="885"/>
      <c r="GV1081" s="885"/>
      <c r="GW1081" s="885"/>
      <c r="GX1081" s="885"/>
      <c r="GY1081" s="885"/>
      <c r="GZ1081" s="885"/>
      <c r="HA1081" s="885"/>
      <c r="HB1081" s="885"/>
      <c r="HC1081" s="885"/>
      <c r="HD1081" s="885"/>
      <c r="HE1081" s="885"/>
      <c r="HF1081" s="885"/>
      <c r="HG1081" s="885"/>
      <c r="HH1081" s="885"/>
      <c r="HI1081" s="885"/>
      <c r="HJ1081" s="885"/>
      <c r="HK1081" s="885"/>
      <c r="HL1081" s="885"/>
      <c r="HM1081" s="885"/>
      <c r="HN1081" s="885"/>
      <c r="HO1081" s="885"/>
      <c r="HP1081" s="885"/>
      <c r="HQ1081" s="885"/>
      <c r="HR1081" s="885"/>
      <c r="HS1081" s="885"/>
      <c r="HT1081" s="885"/>
      <c r="HU1081" s="885"/>
      <c r="HV1081" s="885"/>
      <c r="HW1081" s="885"/>
      <c r="HX1081" s="885"/>
      <c r="HY1081" s="885"/>
      <c r="HZ1081" s="885"/>
      <c r="IA1081" s="885"/>
      <c r="IB1081" s="885"/>
      <c r="IC1081" s="885"/>
      <c r="ID1081" s="885"/>
      <c r="IE1081" s="885"/>
      <c r="IF1081" s="885"/>
      <c r="IG1081" s="885"/>
      <c r="IH1081" s="885"/>
      <c r="II1081" s="885"/>
      <c r="IJ1081" s="885"/>
      <c r="IK1081" s="885"/>
      <c r="IL1081" s="885"/>
      <c r="IM1081" s="885"/>
      <c r="IN1081" s="885"/>
      <c r="IO1081" s="885"/>
      <c r="IP1081" s="885"/>
      <c r="IQ1081" s="885"/>
      <c r="IR1081" s="885"/>
      <c r="IS1081" s="885"/>
      <c r="IT1081" s="885"/>
      <c r="IU1081" s="885"/>
      <c r="IV1081" s="885"/>
      <c r="IW1081" s="885"/>
      <c r="IX1081" s="885"/>
    </row>
    <row r="1082" spans="1:258" x14ac:dyDescent="0.25">
      <c r="A1082" s="125">
        <f t="shared" si="127"/>
        <v>1042</v>
      </c>
      <c r="B1082" s="885"/>
      <c r="C1082" s="842" t="s">
        <v>10639</v>
      </c>
      <c r="D1082" s="924">
        <v>0</v>
      </c>
      <c r="E1082" s="924">
        <v>0</v>
      </c>
      <c r="F1082" s="136">
        <v>1</v>
      </c>
      <c r="G1082" s="122" t="s">
        <v>1963</v>
      </c>
      <c r="H1082" s="885"/>
      <c r="I1082" s="885"/>
      <c r="J1082" s="885"/>
      <c r="K1082" s="885"/>
      <c r="L1082" s="885"/>
      <c r="M1082" s="885"/>
      <c r="N1082" s="885"/>
      <c r="O1082" s="885"/>
      <c r="P1082" s="885"/>
      <c r="Q1082" s="885"/>
      <c r="R1082" s="885"/>
      <c r="S1082" s="885"/>
      <c r="T1082" s="885"/>
      <c r="U1082" s="885"/>
      <c r="V1082" s="885"/>
      <c r="W1082" s="885"/>
      <c r="X1082" s="885"/>
      <c r="Y1082" s="885"/>
      <c r="Z1082" s="885"/>
      <c r="AA1082" s="885"/>
      <c r="AB1082" s="885"/>
      <c r="AC1082" s="885"/>
      <c r="AD1082" s="885"/>
      <c r="AE1082" s="885"/>
      <c r="AF1082" s="885"/>
      <c r="AG1082" s="885"/>
      <c r="AH1082" s="885"/>
      <c r="AI1082" s="885"/>
      <c r="AJ1082" s="885"/>
      <c r="AK1082" s="885"/>
      <c r="AL1082" s="885"/>
      <c r="AM1082" s="885"/>
      <c r="AN1082" s="885"/>
      <c r="AO1082" s="885"/>
      <c r="AP1082" s="885"/>
      <c r="AQ1082" s="885"/>
      <c r="AR1082" s="885"/>
      <c r="AS1082" s="885"/>
      <c r="AT1082" s="885"/>
      <c r="AU1082" s="885"/>
      <c r="AV1082" s="885"/>
      <c r="AW1082" s="885"/>
      <c r="AX1082" s="885"/>
      <c r="AY1082" s="885"/>
      <c r="AZ1082" s="885"/>
      <c r="BA1082" s="885"/>
      <c r="BB1082" s="885"/>
      <c r="BC1082" s="885"/>
      <c r="BD1082" s="885"/>
      <c r="BE1082" s="885"/>
      <c r="BF1082" s="885"/>
      <c r="BG1082" s="885"/>
      <c r="BH1082" s="885"/>
      <c r="BI1082" s="885"/>
      <c r="BJ1082" s="885"/>
      <c r="BK1082" s="885"/>
      <c r="BL1082" s="885"/>
      <c r="BM1082" s="885"/>
      <c r="BN1082" s="885"/>
      <c r="BO1082" s="885"/>
      <c r="BP1082" s="885"/>
      <c r="BQ1082" s="885"/>
      <c r="BR1082" s="885"/>
      <c r="BS1082" s="885"/>
      <c r="BT1082" s="885"/>
      <c r="BU1082" s="885"/>
      <c r="BV1082" s="885"/>
      <c r="BW1082" s="885"/>
      <c r="BX1082" s="885"/>
      <c r="BY1082" s="885"/>
      <c r="BZ1082" s="885"/>
      <c r="CA1082" s="885"/>
      <c r="CB1082" s="885"/>
      <c r="CC1082" s="885"/>
      <c r="CD1082" s="885"/>
      <c r="CE1082" s="885"/>
      <c r="CF1082" s="885"/>
      <c r="CG1082" s="885"/>
      <c r="CH1082" s="885"/>
      <c r="CI1082" s="885"/>
      <c r="CJ1082" s="885"/>
      <c r="CK1082" s="885"/>
      <c r="CL1082" s="885"/>
      <c r="CM1082" s="885"/>
      <c r="CN1082" s="885"/>
      <c r="CO1082" s="885"/>
      <c r="CP1082" s="885"/>
      <c r="CQ1082" s="885"/>
      <c r="CR1082" s="885"/>
      <c r="CS1082" s="885"/>
      <c r="CT1082" s="885"/>
      <c r="CU1082" s="885"/>
      <c r="CV1082" s="885"/>
      <c r="CW1082" s="885"/>
      <c r="CX1082" s="885"/>
      <c r="CY1082" s="885"/>
      <c r="CZ1082" s="885"/>
      <c r="DA1082" s="885"/>
      <c r="DB1082" s="885"/>
      <c r="DC1082" s="885"/>
      <c r="DD1082" s="885"/>
      <c r="DE1082" s="885"/>
      <c r="DF1082" s="885"/>
      <c r="DG1082" s="885"/>
      <c r="DH1082" s="885"/>
      <c r="DI1082" s="885"/>
      <c r="DJ1082" s="885"/>
      <c r="DK1082" s="885"/>
      <c r="DL1082" s="885"/>
      <c r="DM1082" s="885"/>
      <c r="DN1082" s="885"/>
      <c r="DO1082" s="885"/>
      <c r="DP1082" s="885"/>
      <c r="DQ1082" s="885"/>
      <c r="DR1082" s="885"/>
      <c r="DS1082" s="885"/>
      <c r="DT1082" s="885"/>
      <c r="DU1082" s="885"/>
      <c r="DV1082" s="885"/>
      <c r="DW1082" s="885"/>
      <c r="DX1082" s="885"/>
      <c r="DY1082" s="885"/>
      <c r="DZ1082" s="885"/>
      <c r="EA1082" s="885"/>
      <c r="EB1082" s="885"/>
      <c r="EC1082" s="885"/>
      <c r="ED1082" s="885"/>
      <c r="EE1082" s="885"/>
      <c r="EF1082" s="885"/>
      <c r="EG1082" s="885"/>
      <c r="EH1082" s="885"/>
      <c r="EI1082" s="885"/>
      <c r="EJ1082" s="885"/>
      <c r="EK1082" s="885"/>
      <c r="EL1082" s="885"/>
      <c r="EM1082" s="885"/>
      <c r="EN1082" s="885"/>
      <c r="EO1082" s="885"/>
      <c r="EP1082" s="885"/>
      <c r="EQ1082" s="885"/>
      <c r="ER1082" s="885"/>
      <c r="ES1082" s="885"/>
      <c r="ET1082" s="885"/>
      <c r="EU1082" s="885"/>
      <c r="EV1082" s="885"/>
      <c r="EW1082" s="885"/>
      <c r="EX1082" s="885"/>
      <c r="EY1082" s="885"/>
      <c r="EZ1082" s="885"/>
      <c r="FA1082" s="885"/>
      <c r="FB1082" s="885"/>
      <c r="FC1082" s="885"/>
      <c r="FD1082" s="885"/>
      <c r="FE1082" s="885"/>
      <c r="FF1082" s="885"/>
      <c r="FG1082" s="885"/>
      <c r="FH1082" s="885"/>
      <c r="FI1082" s="885"/>
      <c r="FJ1082" s="885"/>
      <c r="FK1082" s="885"/>
      <c r="FL1082" s="885"/>
      <c r="FM1082" s="885"/>
      <c r="FN1082" s="885"/>
      <c r="FO1082" s="885"/>
      <c r="FP1082" s="885"/>
      <c r="FQ1082" s="885"/>
      <c r="FR1082" s="885"/>
      <c r="FS1082" s="885"/>
      <c r="FT1082" s="885"/>
      <c r="FU1082" s="885"/>
      <c r="FV1082" s="885"/>
      <c r="FW1082" s="885"/>
      <c r="FX1082" s="885"/>
      <c r="FY1082" s="885"/>
      <c r="FZ1082" s="885"/>
      <c r="GA1082" s="885"/>
      <c r="GB1082" s="885"/>
      <c r="GC1082" s="885"/>
      <c r="GD1082" s="885"/>
      <c r="GE1082" s="885"/>
      <c r="GF1082" s="885"/>
      <c r="GG1082" s="885"/>
      <c r="GH1082" s="885"/>
      <c r="GI1082" s="885"/>
      <c r="GJ1082" s="885"/>
      <c r="GK1082" s="885"/>
      <c r="GL1082" s="885"/>
      <c r="GM1082" s="885"/>
      <c r="GN1082" s="885"/>
      <c r="GO1082" s="885"/>
      <c r="GP1082" s="885"/>
      <c r="GQ1082" s="885"/>
      <c r="GR1082" s="885"/>
      <c r="GS1082" s="885"/>
      <c r="GT1082" s="885"/>
      <c r="GU1082" s="885"/>
      <c r="GV1082" s="885"/>
      <c r="GW1082" s="885"/>
      <c r="GX1082" s="885"/>
      <c r="GY1082" s="885"/>
      <c r="GZ1082" s="885"/>
      <c r="HA1082" s="885"/>
      <c r="HB1082" s="885"/>
      <c r="HC1082" s="885"/>
      <c r="HD1082" s="885"/>
      <c r="HE1082" s="885"/>
      <c r="HF1082" s="885"/>
      <c r="HG1082" s="885"/>
      <c r="HH1082" s="885"/>
      <c r="HI1082" s="885"/>
      <c r="HJ1082" s="885"/>
      <c r="HK1082" s="885"/>
      <c r="HL1082" s="885"/>
      <c r="HM1082" s="885"/>
      <c r="HN1082" s="885"/>
      <c r="HO1082" s="885"/>
      <c r="HP1082" s="885"/>
      <c r="HQ1082" s="885"/>
      <c r="HR1082" s="885"/>
      <c r="HS1082" s="885"/>
      <c r="HT1082" s="885"/>
      <c r="HU1082" s="885"/>
      <c r="HV1082" s="885"/>
      <c r="HW1082" s="885"/>
      <c r="HX1082" s="885"/>
      <c r="HY1082" s="885"/>
      <c r="HZ1082" s="885"/>
      <c r="IA1082" s="885"/>
      <c r="IB1082" s="885"/>
      <c r="IC1082" s="885"/>
      <c r="ID1082" s="885"/>
      <c r="IE1082" s="885"/>
      <c r="IF1082" s="885"/>
      <c r="IG1082" s="885"/>
      <c r="IH1082" s="885"/>
      <c r="II1082" s="885"/>
      <c r="IJ1082" s="885"/>
      <c r="IK1082" s="885"/>
      <c r="IL1082" s="885"/>
      <c r="IM1082" s="885"/>
      <c r="IN1082" s="885"/>
      <c r="IO1082" s="885"/>
      <c r="IP1082" s="885"/>
      <c r="IQ1082" s="885"/>
      <c r="IR1082" s="885"/>
      <c r="IS1082" s="885"/>
      <c r="IT1082" s="885"/>
      <c r="IU1082" s="885"/>
      <c r="IV1082" s="885"/>
      <c r="IW1082" s="885"/>
      <c r="IX1082" s="885"/>
    </row>
    <row r="1083" spans="1:258" x14ac:dyDescent="0.25">
      <c r="A1083" s="125">
        <f t="shared" si="127"/>
        <v>1043</v>
      </c>
      <c r="B1083" s="885"/>
      <c r="C1083" s="842" t="s">
        <v>10640</v>
      </c>
      <c r="D1083" s="924">
        <v>115384.17</v>
      </c>
      <c r="E1083" s="924">
        <f>D1083/8*12</f>
        <v>173076.255</v>
      </c>
      <c r="F1083" s="136">
        <f>279468.08-F1081-F1082-F1084-F1085</f>
        <v>268467.08</v>
      </c>
      <c r="G1083" s="122" t="s">
        <v>1963</v>
      </c>
      <c r="H1083" s="885"/>
      <c r="I1083" s="885"/>
      <c r="J1083" s="885"/>
      <c r="K1083" s="885"/>
      <c r="L1083" s="885"/>
      <c r="M1083" s="885"/>
      <c r="N1083" s="885"/>
      <c r="O1083" s="885"/>
      <c r="P1083" s="885"/>
      <c r="Q1083" s="885"/>
      <c r="R1083" s="885"/>
      <c r="S1083" s="885"/>
      <c r="T1083" s="885"/>
      <c r="U1083" s="885"/>
      <c r="V1083" s="885"/>
      <c r="W1083" s="885"/>
      <c r="X1083" s="885"/>
      <c r="Y1083" s="885"/>
      <c r="Z1083" s="885"/>
      <c r="AA1083" s="885"/>
      <c r="AB1083" s="885"/>
      <c r="AC1083" s="885"/>
      <c r="AD1083" s="885"/>
      <c r="AE1083" s="885"/>
      <c r="AF1083" s="885"/>
      <c r="AG1083" s="885"/>
      <c r="AH1083" s="885"/>
      <c r="AI1083" s="885"/>
      <c r="AJ1083" s="885"/>
      <c r="AK1083" s="885"/>
      <c r="AL1083" s="885"/>
      <c r="AM1083" s="885"/>
      <c r="AN1083" s="885"/>
      <c r="AO1083" s="885"/>
      <c r="AP1083" s="885"/>
      <c r="AQ1083" s="885"/>
      <c r="AR1083" s="885"/>
      <c r="AS1083" s="885"/>
      <c r="AT1083" s="885"/>
      <c r="AU1083" s="885"/>
      <c r="AV1083" s="885"/>
      <c r="AW1083" s="885"/>
      <c r="AX1083" s="885"/>
      <c r="AY1083" s="885"/>
      <c r="AZ1083" s="885"/>
      <c r="BA1083" s="885"/>
      <c r="BB1083" s="885"/>
      <c r="BC1083" s="885"/>
      <c r="BD1083" s="885"/>
      <c r="BE1083" s="885"/>
      <c r="BF1083" s="885"/>
      <c r="BG1083" s="885"/>
      <c r="BH1083" s="885"/>
      <c r="BI1083" s="885"/>
      <c r="BJ1083" s="885"/>
      <c r="BK1083" s="885"/>
      <c r="BL1083" s="885"/>
      <c r="BM1083" s="885"/>
      <c r="BN1083" s="885"/>
      <c r="BO1083" s="885"/>
      <c r="BP1083" s="885"/>
      <c r="BQ1083" s="885"/>
      <c r="BR1083" s="885"/>
      <c r="BS1083" s="885"/>
      <c r="BT1083" s="885"/>
      <c r="BU1083" s="885"/>
      <c r="BV1083" s="885"/>
      <c r="BW1083" s="885"/>
      <c r="BX1083" s="885"/>
      <c r="BY1083" s="885"/>
      <c r="BZ1083" s="885"/>
      <c r="CA1083" s="885"/>
      <c r="CB1083" s="885"/>
      <c r="CC1083" s="885"/>
      <c r="CD1083" s="885"/>
      <c r="CE1083" s="885"/>
      <c r="CF1083" s="885"/>
      <c r="CG1083" s="885"/>
      <c r="CH1083" s="885"/>
      <c r="CI1083" s="885"/>
      <c r="CJ1083" s="885"/>
      <c r="CK1083" s="885"/>
      <c r="CL1083" s="885"/>
      <c r="CM1083" s="885"/>
      <c r="CN1083" s="885"/>
      <c r="CO1083" s="885"/>
      <c r="CP1083" s="885"/>
      <c r="CQ1083" s="885"/>
      <c r="CR1083" s="885"/>
      <c r="CS1083" s="885"/>
      <c r="CT1083" s="885"/>
      <c r="CU1083" s="885"/>
      <c r="CV1083" s="885"/>
      <c r="CW1083" s="885"/>
      <c r="CX1083" s="885"/>
      <c r="CY1083" s="885"/>
      <c r="CZ1083" s="885"/>
      <c r="DA1083" s="885"/>
      <c r="DB1083" s="885"/>
      <c r="DC1083" s="885"/>
      <c r="DD1083" s="885"/>
      <c r="DE1083" s="885"/>
      <c r="DF1083" s="885"/>
      <c r="DG1083" s="885"/>
      <c r="DH1083" s="885"/>
      <c r="DI1083" s="885"/>
      <c r="DJ1083" s="885"/>
      <c r="DK1083" s="885"/>
      <c r="DL1083" s="885"/>
      <c r="DM1083" s="885"/>
      <c r="DN1083" s="885"/>
      <c r="DO1083" s="885"/>
      <c r="DP1083" s="885"/>
      <c r="DQ1083" s="885"/>
      <c r="DR1083" s="885"/>
      <c r="DS1083" s="885"/>
      <c r="DT1083" s="885"/>
      <c r="DU1083" s="885"/>
      <c r="DV1083" s="885"/>
      <c r="DW1083" s="885"/>
      <c r="DX1083" s="885"/>
      <c r="DY1083" s="885"/>
      <c r="DZ1083" s="885"/>
      <c r="EA1083" s="885"/>
      <c r="EB1083" s="885"/>
      <c r="EC1083" s="885"/>
      <c r="ED1083" s="885"/>
      <c r="EE1083" s="885"/>
      <c r="EF1083" s="885"/>
      <c r="EG1083" s="885"/>
      <c r="EH1083" s="885"/>
      <c r="EI1083" s="885"/>
      <c r="EJ1083" s="885"/>
      <c r="EK1083" s="885"/>
      <c r="EL1083" s="885"/>
      <c r="EM1083" s="885"/>
      <c r="EN1083" s="885"/>
      <c r="EO1083" s="885"/>
      <c r="EP1083" s="885"/>
      <c r="EQ1083" s="885"/>
      <c r="ER1083" s="885"/>
      <c r="ES1083" s="885"/>
      <c r="ET1083" s="885"/>
      <c r="EU1083" s="885"/>
      <c r="EV1083" s="885"/>
      <c r="EW1083" s="885"/>
      <c r="EX1083" s="885"/>
      <c r="EY1083" s="885"/>
      <c r="EZ1083" s="885"/>
      <c r="FA1083" s="885"/>
      <c r="FB1083" s="885"/>
      <c r="FC1083" s="885"/>
      <c r="FD1083" s="885"/>
      <c r="FE1083" s="885"/>
      <c r="FF1083" s="885"/>
      <c r="FG1083" s="885"/>
      <c r="FH1083" s="885"/>
      <c r="FI1083" s="885"/>
      <c r="FJ1083" s="885"/>
      <c r="FK1083" s="885"/>
      <c r="FL1083" s="885"/>
      <c r="FM1083" s="885"/>
      <c r="FN1083" s="885"/>
      <c r="FO1083" s="885"/>
      <c r="FP1083" s="885"/>
      <c r="FQ1083" s="885"/>
      <c r="FR1083" s="885"/>
      <c r="FS1083" s="885"/>
      <c r="FT1083" s="885"/>
      <c r="FU1083" s="885"/>
      <c r="FV1083" s="885"/>
      <c r="FW1083" s="885"/>
      <c r="FX1083" s="885"/>
      <c r="FY1083" s="885"/>
      <c r="FZ1083" s="885"/>
      <c r="GA1083" s="885"/>
      <c r="GB1083" s="885"/>
      <c r="GC1083" s="885"/>
      <c r="GD1083" s="885"/>
      <c r="GE1083" s="885"/>
      <c r="GF1083" s="885"/>
      <c r="GG1083" s="885"/>
      <c r="GH1083" s="885"/>
      <c r="GI1083" s="885"/>
      <c r="GJ1083" s="885"/>
      <c r="GK1083" s="885"/>
      <c r="GL1083" s="885"/>
      <c r="GM1083" s="885"/>
      <c r="GN1083" s="885"/>
      <c r="GO1083" s="885"/>
      <c r="GP1083" s="885"/>
      <c r="GQ1083" s="885"/>
      <c r="GR1083" s="885"/>
      <c r="GS1083" s="885"/>
      <c r="GT1083" s="885"/>
      <c r="GU1083" s="885"/>
      <c r="GV1083" s="885"/>
      <c r="GW1083" s="885"/>
      <c r="GX1083" s="885"/>
      <c r="GY1083" s="885"/>
      <c r="GZ1083" s="885"/>
      <c r="HA1083" s="885"/>
      <c r="HB1083" s="885"/>
      <c r="HC1083" s="885"/>
      <c r="HD1083" s="885"/>
      <c r="HE1083" s="885"/>
      <c r="HF1083" s="885"/>
      <c r="HG1083" s="885"/>
      <c r="HH1083" s="885"/>
      <c r="HI1083" s="885"/>
      <c r="HJ1083" s="885"/>
      <c r="HK1083" s="885"/>
      <c r="HL1083" s="885"/>
      <c r="HM1083" s="885"/>
      <c r="HN1083" s="885"/>
      <c r="HO1083" s="885"/>
      <c r="HP1083" s="885"/>
      <c r="HQ1083" s="885"/>
      <c r="HR1083" s="885"/>
      <c r="HS1083" s="885"/>
      <c r="HT1083" s="885"/>
      <c r="HU1083" s="885"/>
      <c r="HV1083" s="885"/>
      <c r="HW1083" s="885"/>
      <c r="HX1083" s="885"/>
      <c r="HY1083" s="885"/>
      <c r="HZ1083" s="885"/>
      <c r="IA1083" s="885"/>
      <c r="IB1083" s="885"/>
      <c r="IC1083" s="885"/>
      <c r="ID1083" s="885"/>
      <c r="IE1083" s="885"/>
      <c r="IF1083" s="885"/>
      <c r="IG1083" s="885"/>
      <c r="IH1083" s="885"/>
      <c r="II1083" s="885"/>
      <c r="IJ1083" s="885"/>
      <c r="IK1083" s="885"/>
      <c r="IL1083" s="885"/>
      <c r="IM1083" s="885"/>
      <c r="IN1083" s="885"/>
      <c r="IO1083" s="885"/>
      <c r="IP1083" s="885"/>
      <c r="IQ1083" s="885"/>
      <c r="IR1083" s="885"/>
      <c r="IS1083" s="885"/>
      <c r="IT1083" s="885"/>
      <c r="IU1083" s="885"/>
      <c r="IV1083" s="885"/>
      <c r="IW1083" s="885"/>
      <c r="IX1083" s="885"/>
    </row>
    <row r="1084" spans="1:258" ht="31.5" x14ac:dyDescent="0.25">
      <c r="A1084" s="125">
        <f t="shared" si="127"/>
        <v>1044</v>
      </c>
      <c r="B1084" s="885"/>
      <c r="C1084" s="842" t="s">
        <v>10641</v>
      </c>
      <c r="D1084" s="924">
        <v>0</v>
      </c>
      <c r="E1084" s="924">
        <v>0</v>
      </c>
      <c r="F1084" s="136">
        <f>F1081*F83</f>
        <v>1000</v>
      </c>
      <c r="G1084" s="122" t="s">
        <v>1963</v>
      </c>
      <c r="H1084" s="885"/>
      <c r="I1084" s="885"/>
      <c r="J1084" s="885"/>
      <c r="K1084" s="885"/>
      <c r="L1084" s="885"/>
      <c r="M1084" s="885"/>
      <c r="N1084" s="885"/>
      <c r="O1084" s="885"/>
      <c r="P1084" s="885"/>
      <c r="Q1084" s="885"/>
      <c r="R1084" s="885"/>
      <c r="S1084" s="885"/>
      <c r="T1084" s="885"/>
      <c r="U1084" s="885"/>
      <c r="V1084" s="885"/>
      <c r="W1084" s="885"/>
      <c r="X1084" s="885"/>
      <c r="Y1084" s="885"/>
      <c r="Z1084" s="885"/>
      <c r="AA1084" s="885"/>
      <c r="AB1084" s="885"/>
      <c r="AC1084" s="885"/>
      <c r="AD1084" s="885"/>
      <c r="AE1084" s="885"/>
      <c r="AF1084" s="885"/>
      <c r="AG1084" s="885"/>
      <c r="AH1084" s="885"/>
      <c r="AI1084" s="885"/>
      <c r="AJ1084" s="885"/>
      <c r="AK1084" s="885"/>
      <c r="AL1084" s="885"/>
      <c r="AM1084" s="885"/>
      <c r="AN1084" s="885"/>
      <c r="AO1084" s="885"/>
      <c r="AP1084" s="885"/>
      <c r="AQ1084" s="885"/>
      <c r="AR1084" s="885"/>
      <c r="AS1084" s="885"/>
      <c r="AT1084" s="885"/>
      <c r="AU1084" s="885"/>
      <c r="AV1084" s="885"/>
      <c r="AW1084" s="885"/>
      <c r="AX1084" s="885"/>
      <c r="AY1084" s="885"/>
      <c r="AZ1084" s="885"/>
      <c r="BA1084" s="885"/>
      <c r="BB1084" s="885"/>
      <c r="BC1084" s="885"/>
      <c r="BD1084" s="885"/>
      <c r="BE1084" s="885"/>
      <c r="BF1084" s="885"/>
      <c r="BG1084" s="885"/>
      <c r="BH1084" s="885"/>
      <c r="BI1084" s="885"/>
      <c r="BJ1084" s="885"/>
      <c r="BK1084" s="885"/>
      <c r="BL1084" s="885"/>
      <c r="BM1084" s="885"/>
      <c r="BN1084" s="885"/>
      <c r="BO1084" s="885"/>
      <c r="BP1084" s="885"/>
      <c r="BQ1084" s="885"/>
      <c r="BR1084" s="885"/>
      <c r="BS1084" s="885"/>
      <c r="BT1084" s="885"/>
      <c r="BU1084" s="885"/>
      <c r="BV1084" s="885"/>
      <c r="BW1084" s="885"/>
      <c r="BX1084" s="885"/>
      <c r="BY1084" s="885"/>
      <c r="BZ1084" s="885"/>
      <c r="CA1084" s="885"/>
      <c r="CB1084" s="885"/>
      <c r="CC1084" s="885"/>
      <c r="CD1084" s="885"/>
      <c r="CE1084" s="885"/>
      <c r="CF1084" s="885"/>
      <c r="CG1084" s="885"/>
      <c r="CH1084" s="885"/>
      <c r="CI1084" s="885"/>
      <c r="CJ1084" s="885"/>
      <c r="CK1084" s="885"/>
      <c r="CL1084" s="885"/>
      <c r="CM1084" s="885"/>
      <c r="CN1084" s="885"/>
      <c r="CO1084" s="885"/>
      <c r="CP1084" s="885"/>
      <c r="CQ1084" s="885"/>
      <c r="CR1084" s="885"/>
      <c r="CS1084" s="885"/>
      <c r="CT1084" s="885"/>
      <c r="CU1084" s="885"/>
      <c r="CV1084" s="885"/>
      <c r="CW1084" s="885"/>
      <c r="CX1084" s="885"/>
      <c r="CY1084" s="885"/>
      <c r="CZ1084" s="885"/>
      <c r="DA1084" s="885"/>
      <c r="DB1084" s="885"/>
      <c r="DC1084" s="885"/>
      <c r="DD1084" s="885"/>
      <c r="DE1084" s="885"/>
      <c r="DF1084" s="885"/>
      <c r="DG1084" s="885"/>
      <c r="DH1084" s="885"/>
      <c r="DI1084" s="885"/>
      <c r="DJ1084" s="885"/>
      <c r="DK1084" s="885"/>
      <c r="DL1084" s="885"/>
      <c r="DM1084" s="885"/>
      <c r="DN1084" s="885"/>
      <c r="DO1084" s="885"/>
      <c r="DP1084" s="885"/>
      <c r="DQ1084" s="885"/>
      <c r="DR1084" s="885"/>
      <c r="DS1084" s="885"/>
      <c r="DT1084" s="885"/>
      <c r="DU1084" s="885"/>
      <c r="DV1084" s="885"/>
      <c r="DW1084" s="885"/>
      <c r="DX1084" s="885"/>
      <c r="DY1084" s="885"/>
      <c r="DZ1084" s="885"/>
      <c r="EA1084" s="885"/>
      <c r="EB1084" s="885"/>
      <c r="EC1084" s="885"/>
      <c r="ED1084" s="885"/>
      <c r="EE1084" s="885"/>
      <c r="EF1084" s="885"/>
      <c r="EG1084" s="885"/>
      <c r="EH1084" s="885"/>
      <c r="EI1084" s="885"/>
      <c r="EJ1084" s="885"/>
      <c r="EK1084" s="885"/>
      <c r="EL1084" s="885"/>
      <c r="EM1084" s="885"/>
      <c r="EN1084" s="885"/>
      <c r="EO1084" s="885"/>
      <c r="EP1084" s="885"/>
      <c r="EQ1084" s="885"/>
      <c r="ER1084" s="885"/>
      <c r="ES1084" s="885"/>
      <c r="ET1084" s="885"/>
      <c r="EU1084" s="885"/>
      <c r="EV1084" s="885"/>
      <c r="EW1084" s="885"/>
      <c r="EX1084" s="885"/>
      <c r="EY1084" s="885"/>
      <c r="EZ1084" s="885"/>
      <c r="FA1084" s="885"/>
      <c r="FB1084" s="885"/>
      <c r="FC1084" s="885"/>
      <c r="FD1084" s="885"/>
      <c r="FE1084" s="885"/>
      <c r="FF1084" s="885"/>
      <c r="FG1084" s="885"/>
      <c r="FH1084" s="885"/>
      <c r="FI1084" s="885"/>
      <c r="FJ1084" s="885"/>
      <c r="FK1084" s="885"/>
      <c r="FL1084" s="885"/>
      <c r="FM1084" s="885"/>
      <c r="FN1084" s="885"/>
      <c r="FO1084" s="885"/>
      <c r="FP1084" s="885"/>
      <c r="FQ1084" s="885"/>
      <c r="FR1084" s="885"/>
      <c r="FS1084" s="885"/>
      <c r="FT1084" s="885"/>
      <c r="FU1084" s="885"/>
      <c r="FV1084" s="885"/>
      <c r="FW1084" s="885"/>
      <c r="FX1084" s="885"/>
      <c r="FY1084" s="885"/>
      <c r="FZ1084" s="885"/>
      <c r="GA1084" s="885"/>
      <c r="GB1084" s="885"/>
      <c r="GC1084" s="885"/>
      <c r="GD1084" s="885"/>
      <c r="GE1084" s="885"/>
      <c r="GF1084" s="885"/>
      <c r="GG1084" s="885"/>
      <c r="GH1084" s="885"/>
      <c r="GI1084" s="885"/>
      <c r="GJ1084" s="885"/>
      <c r="GK1084" s="885"/>
      <c r="GL1084" s="885"/>
      <c r="GM1084" s="885"/>
      <c r="GN1084" s="885"/>
      <c r="GO1084" s="885"/>
      <c r="GP1084" s="885"/>
      <c r="GQ1084" s="885"/>
      <c r="GR1084" s="885"/>
      <c r="GS1084" s="885"/>
      <c r="GT1084" s="885"/>
      <c r="GU1084" s="885"/>
      <c r="GV1084" s="885"/>
      <c r="GW1084" s="885"/>
      <c r="GX1084" s="885"/>
      <c r="GY1084" s="885"/>
      <c r="GZ1084" s="885"/>
      <c r="HA1084" s="885"/>
      <c r="HB1084" s="885"/>
      <c r="HC1084" s="885"/>
      <c r="HD1084" s="885"/>
      <c r="HE1084" s="885"/>
      <c r="HF1084" s="885"/>
      <c r="HG1084" s="885"/>
      <c r="HH1084" s="885"/>
      <c r="HI1084" s="885"/>
      <c r="HJ1084" s="885"/>
      <c r="HK1084" s="885"/>
      <c r="HL1084" s="885"/>
      <c r="HM1084" s="885"/>
      <c r="HN1084" s="885"/>
      <c r="HO1084" s="885"/>
      <c r="HP1084" s="885"/>
      <c r="HQ1084" s="885"/>
      <c r="HR1084" s="885"/>
      <c r="HS1084" s="885"/>
      <c r="HT1084" s="885"/>
      <c r="HU1084" s="885"/>
      <c r="HV1084" s="885"/>
      <c r="HW1084" s="885"/>
      <c r="HX1084" s="885"/>
      <c r="HY1084" s="885"/>
      <c r="HZ1084" s="885"/>
      <c r="IA1084" s="885"/>
      <c r="IB1084" s="885"/>
      <c r="IC1084" s="885"/>
      <c r="ID1084" s="885"/>
      <c r="IE1084" s="885"/>
      <c r="IF1084" s="885"/>
      <c r="IG1084" s="885"/>
      <c r="IH1084" s="885"/>
      <c r="II1084" s="885"/>
      <c r="IJ1084" s="885"/>
      <c r="IK1084" s="885"/>
      <c r="IL1084" s="885"/>
      <c r="IM1084" s="885"/>
      <c r="IN1084" s="885"/>
      <c r="IO1084" s="885"/>
      <c r="IP1084" s="885"/>
      <c r="IQ1084" s="885"/>
      <c r="IR1084" s="885"/>
      <c r="IS1084" s="885"/>
      <c r="IT1084" s="885"/>
      <c r="IU1084" s="885"/>
      <c r="IV1084" s="885"/>
      <c r="IW1084" s="885"/>
      <c r="IX1084" s="885"/>
    </row>
    <row r="1085" spans="1:258" x14ac:dyDescent="0.25">
      <c r="A1085" s="125">
        <f t="shared" si="127"/>
        <v>1045</v>
      </c>
      <c r="B1085" s="885"/>
      <c r="C1085" s="842" t="s">
        <v>10642</v>
      </c>
      <c r="D1085" s="924">
        <v>0</v>
      </c>
      <c r="E1085" s="924">
        <v>0</v>
      </c>
      <c r="F1085" s="136">
        <v>5000</v>
      </c>
      <c r="G1085" s="122" t="s">
        <v>1963</v>
      </c>
      <c r="H1085" s="885"/>
      <c r="I1085" s="885"/>
      <c r="J1085" s="885"/>
      <c r="K1085" s="885"/>
      <c r="L1085" s="885"/>
      <c r="M1085" s="885"/>
      <c r="N1085" s="885"/>
      <c r="O1085" s="885"/>
      <c r="P1085" s="885"/>
      <c r="Q1085" s="885"/>
      <c r="R1085" s="885"/>
      <c r="S1085" s="885"/>
      <c r="T1085" s="885"/>
      <c r="U1085" s="885"/>
      <c r="V1085" s="885"/>
      <c r="W1085" s="885"/>
      <c r="X1085" s="885"/>
      <c r="Y1085" s="885"/>
      <c r="Z1085" s="885"/>
      <c r="AA1085" s="885"/>
      <c r="AB1085" s="885"/>
      <c r="AC1085" s="885"/>
      <c r="AD1085" s="885"/>
      <c r="AE1085" s="885"/>
      <c r="AF1085" s="885"/>
      <c r="AG1085" s="885"/>
      <c r="AH1085" s="885"/>
      <c r="AI1085" s="885"/>
      <c r="AJ1085" s="885"/>
      <c r="AK1085" s="885"/>
      <c r="AL1085" s="885"/>
      <c r="AM1085" s="885"/>
      <c r="AN1085" s="885"/>
      <c r="AO1085" s="885"/>
      <c r="AP1085" s="885"/>
      <c r="AQ1085" s="885"/>
      <c r="AR1085" s="885"/>
      <c r="AS1085" s="885"/>
      <c r="AT1085" s="885"/>
      <c r="AU1085" s="885"/>
      <c r="AV1085" s="885"/>
      <c r="AW1085" s="885"/>
      <c r="AX1085" s="885"/>
      <c r="AY1085" s="885"/>
      <c r="AZ1085" s="885"/>
      <c r="BA1085" s="885"/>
      <c r="BB1085" s="885"/>
      <c r="BC1085" s="885"/>
      <c r="BD1085" s="885"/>
      <c r="BE1085" s="885"/>
      <c r="BF1085" s="885"/>
      <c r="BG1085" s="885"/>
      <c r="BH1085" s="885"/>
      <c r="BI1085" s="885"/>
      <c r="BJ1085" s="885"/>
      <c r="BK1085" s="885"/>
      <c r="BL1085" s="885"/>
      <c r="BM1085" s="885"/>
      <c r="BN1085" s="885"/>
      <c r="BO1085" s="885"/>
      <c r="BP1085" s="885"/>
      <c r="BQ1085" s="885"/>
      <c r="BR1085" s="885"/>
      <c r="BS1085" s="885"/>
      <c r="BT1085" s="885"/>
      <c r="BU1085" s="885"/>
      <c r="BV1085" s="885"/>
      <c r="BW1085" s="885"/>
      <c r="BX1085" s="885"/>
      <c r="BY1085" s="885"/>
      <c r="BZ1085" s="885"/>
      <c r="CA1085" s="885"/>
      <c r="CB1085" s="885"/>
      <c r="CC1085" s="885"/>
      <c r="CD1085" s="885"/>
      <c r="CE1085" s="885"/>
      <c r="CF1085" s="885"/>
      <c r="CG1085" s="885"/>
      <c r="CH1085" s="885"/>
      <c r="CI1085" s="885"/>
      <c r="CJ1085" s="885"/>
      <c r="CK1085" s="885"/>
      <c r="CL1085" s="885"/>
      <c r="CM1085" s="885"/>
      <c r="CN1085" s="885"/>
      <c r="CO1085" s="885"/>
      <c r="CP1085" s="885"/>
      <c r="CQ1085" s="885"/>
      <c r="CR1085" s="885"/>
      <c r="CS1085" s="885"/>
      <c r="CT1085" s="885"/>
      <c r="CU1085" s="885"/>
      <c r="CV1085" s="885"/>
      <c r="CW1085" s="885"/>
      <c r="CX1085" s="885"/>
      <c r="CY1085" s="885"/>
      <c r="CZ1085" s="885"/>
      <c r="DA1085" s="885"/>
      <c r="DB1085" s="885"/>
      <c r="DC1085" s="885"/>
      <c r="DD1085" s="885"/>
      <c r="DE1085" s="885"/>
      <c r="DF1085" s="885"/>
      <c r="DG1085" s="885"/>
      <c r="DH1085" s="885"/>
      <c r="DI1085" s="885"/>
      <c r="DJ1085" s="885"/>
      <c r="DK1085" s="885"/>
      <c r="DL1085" s="885"/>
      <c r="DM1085" s="885"/>
      <c r="DN1085" s="885"/>
      <c r="DO1085" s="885"/>
      <c r="DP1085" s="885"/>
      <c r="DQ1085" s="885"/>
      <c r="DR1085" s="885"/>
      <c r="DS1085" s="885"/>
      <c r="DT1085" s="885"/>
      <c r="DU1085" s="885"/>
      <c r="DV1085" s="885"/>
      <c r="DW1085" s="885"/>
      <c r="DX1085" s="885"/>
      <c r="DY1085" s="885"/>
      <c r="DZ1085" s="885"/>
      <c r="EA1085" s="885"/>
      <c r="EB1085" s="885"/>
      <c r="EC1085" s="885"/>
      <c r="ED1085" s="885"/>
      <c r="EE1085" s="885"/>
      <c r="EF1085" s="885"/>
      <c r="EG1085" s="885"/>
      <c r="EH1085" s="885"/>
      <c r="EI1085" s="885"/>
      <c r="EJ1085" s="885"/>
      <c r="EK1085" s="885"/>
      <c r="EL1085" s="885"/>
      <c r="EM1085" s="885"/>
      <c r="EN1085" s="885"/>
      <c r="EO1085" s="885"/>
      <c r="EP1085" s="885"/>
      <c r="EQ1085" s="885"/>
      <c r="ER1085" s="885"/>
      <c r="ES1085" s="885"/>
      <c r="ET1085" s="885"/>
      <c r="EU1085" s="885"/>
      <c r="EV1085" s="885"/>
      <c r="EW1085" s="885"/>
      <c r="EX1085" s="885"/>
      <c r="EY1085" s="885"/>
      <c r="EZ1085" s="885"/>
      <c r="FA1085" s="885"/>
      <c r="FB1085" s="885"/>
      <c r="FC1085" s="885"/>
      <c r="FD1085" s="885"/>
      <c r="FE1085" s="885"/>
      <c r="FF1085" s="885"/>
      <c r="FG1085" s="885"/>
      <c r="FH1085" s="885"/>
      <c r="FI1085" s="885"/>
      <c r="FJ1085" s="885"/>
      <c r="FK1085" s="885"/>
      <c r="FL1085" s="885"/>
      <c r="FM1085" s="885"/>
      <c r="FN1085" s="885"/>
      <c r="FO1085" s="885"/>
      <c r="FP1085" s="885"/>
      <c r="FQ1085" s="885"/>
      <c r="FR1085" s="885"/>
      <c r="FS1085" s="885"/>
      <c r="FT1085" s="885"/>
      <c r="FU1085" s="885"/>
      <c r="FV1085" s="885"/>
      <c r="FW1085" s="885"/>
      <c r="FX1085" s="885"/>
      <c r="FY1085" s="885"/>
      <c r="FZ1085" s="885"/>
      <c r="GA1085" s="885"/>
      <c r="GB1085" s="885"/>
      <c r="GC1085" s="885"/>
      <c r="GD1085" s="885"/>
      <c r="GE1085" s="885"/>
      <c r="GF1085" s="885"/>
      <c r="GG1085" s="885"/>
      <c r="GH1085" s="885"/>
      <c r="GI1085" s="885"/>
      <c r="GJ1085" s="885"/>
      <c r="GK1085" s="885"/>
      <c r="GL1085" s="885"/>
      <c r="GM1085" s="885"/>
      <c r="GN1085" s="885"/>
      <c r="GO1085" s="885"/>
      <c r="GP1085" s="885"/>
      <c r="GQ1085" s="885"/>
      <c r="GR1085" s="885"/>
      <c r="GS1085" s="885"/>
      <c r="GT1085" s="885"/>
      <c r="GU1085" s="885"/>
      <c r="GV1085" s="885"/>
      <c r="GW1085" s="885"/>
      <c r="GX1085" s="885"/>
      <c r="GY1085" s="885"/>
      <c r="GZ1085" s="885"/>
      <c r="HA1085" s="885"/>
      <c r="HB1085" s="885"/>
      <c r="HC1085" s="885"/>
      <c r="HD1085" s="885"/>
      <c r="HE1085" s="885"/>
      <c r="HF1085" s="885"/>
      <c r="HG1085" s="885"/>
      <c r="HH1085" s="885"/>
      <c r="HI1085" s="885"/>
      <c r="HJ1085" s="885"/>
      <c r="HK1085" s="885"/>
      <c r="HL1085" s="885"/>
      <c r="HM1085" s="885"/>
      <c r="HN1085" s="885"/>
      <c r="HO1085" s="885"/>
      <c r="HP1085" s="885"/>
      <c r="HQ1085" s="885"/>
      <c r="HR1085" s="885"/>
      <c r="HS1085" s="885"/>
      <c r="HT1085" s="885"/>
      <c r="HU1085" s="885"/>
      <c r="HV1085" s="885"/>
      <c r="HW1085" s="885"/>
      <c r="HX1085" s="885"/>
      <c r="HY1085" s="885"/>
      <c r="HZ1085" s="885"/>
      <c r="IA1085" s="885"/>
      <c r="IB1085" s="885"/>
      <c r="IC1085" s="885"/>
      <c r="ID1085" s="885"/>
      <c r="IE1085" s="885"/>
      <c r="IF1085" s="885"/>
      <c r="IG1085" s="885"/>
      <c r="IH1085" s="885"/>
      <c r="II1085" s="885"/>
      <c r="IJ1085" s="885"/>
      <c r="IK1085" s="885"/>
      <c r="IL1085" s="885"/>
      <c r="IM1085" s="885"/>
      <c r="IN1085" s="885"/>
      <c r="IO1085" s="885"/>
      <c r="IP1085" s="885"/>
      <c r="IQ1085" s="885"/>
      <c r="IR1085" s="885"/>
      <c r="IS1085" s="885"/>
      <c r="IT1085" s="885"/>
      <c r="IU1085" s="885"/>
      <c r="IV1085" s="885"/>
      <c r="IW1085" s="885"/>
      <c r="IX1085" s="885"/>
    </row>
    <row r="1086" spans="1:258" x14ac:dyDescent="0.25">
      <c r="A1086" s="125">
        <f t="shared" si="127"/>
        <v>1046</v>
      </c>
      <c r="B1086" s="885"/>
      <c r="C1086" s="232" t="s">
        <v>10643</v>
      </c>
      <c r="D1086" s="915"/>
      <c r="E1086" s="915"/>
      <c r="F1086" s="136"/>
      <c r="H1086" s="885"/>
      <c r="I1086" s="885"/>
      <c r="J1086" s="885"/>
      <c r="K1086" s="885"/>
      <c r="L1086" s="885"/>
      <c r="M1086" s="885"/>
      <c r="N1086" s="885"/>
      <c r="O1086" s="885"/>
      <c r="P1086" s="885"/>
      <c r="Q1086" s="885"/>
      <c r="R1086" s="885"/>
      <c r="S1086" s="885"/>
      <c r="T1086" s="885"/>
      <c r="U1086" s="885"/>
      <c r="V1086" s="885"/>
      <c r="W1086" s="885"/>
      <c r="X1086" s="885"/>
      <c r="Y1086" s="885"/>
      <c r="Z1086" s="885"/>
      <c r="AA1086" s="885"/>
      <c r="AB1086" s="885"/>
      <c r="AC1086" s="885"/>
      <c r="AD1086" s="885"/>
      <c r="AE1086" s="885"/>
      <c r="AF1086" s="885"/>
      <c r="AG1086" s="885"/>
      <c r="AH1086" s="885"/>
      <c r="AI1086" s="885"/>
      <c r="AJ1086" s="885"/>
      <c r="AK1086" s="885"/>
      <c r="AL1086" s="885"/>
      <c r="AM1086" s="885"/>
      <c r="AN1086" s="885"/>
      <c r="AO1086" s="885"/>
      <c r="AP1086" s="885"/>
      <c r="AQ1086" s="885"/>
      <c r="AR1086" s="885"/>
      <c r="AS1086" s="885"/>
      <c r="AT1086" s="885"/>
      <c r="AU1086" s="885"/>
      <c r="AV1086" s="885"/>
      <c r="AW1086" s="885"/>
      <c r="AX1086" s="885"/>
      <c r="AY1086" s="885"/>
      <c r="AZ1086" s="885"/>
      <c r="BA1086" s="885"/>
      <c r="BB1086" s="885"/>
      <c r="BC1086" s="885"/>
      <c r="BD1086" s="885"/>
      <c r="BE1086" s="885"/>
      <c r="BF1086" s="885"/>
      <c r="BG1086" s="885"/>
      <c r="BH1086" s="885"/>
      <c r="BI1086" s="885"/>
      <c r="BJ1086" s="885"/>
      <c r="BK1086" s="885"/>
      <c r="BL1086" s="885"/>
      <c r="BM1086" s="885"/>
      <c r="BN1086" s="885"/>
      <c r="BO1086" s="885"/>
      <c r="BP1086" s="885"/>
      <c r="BQ1086" s="885"/>
      <c r="BR1086" s="885"/>
      <c r="BS1086" s="885"/>
      <c r="BT1086" s="885"/>
      <c r="BU1086" s="885"/>
      <c r="BV1086" s="885"/>
      <c r="BW1086" s="885"/>
      <c r="BX1086" s="885"/>
      <c r="BY1086" s="885"/>
      <c r="BZ1086" s="885"/>
      <c r="CA1086" s="885"/>
      <c r="CB1086" s="885"/>
      <c r="CC1086" s="885"/>
      <c r="CD1086" s="885"/>
      <c r="CE1086" s="885"/>
      <c r="CF1086" s="885"/>
      <c r="CG1086" s="885"/>
      <c r="CH1086" s="885"/>
      <c r="CI1086" s="885"/>
      <c r="CJ1086" s="885"/>
      <c r="CK1086" s="885"/>
      <c r="CL1086" s="885"/>
      <c r="CM1086" s="885"/>
      <c r="CN1086" s="885"/>
      <c r="CO1086" s="885"/>
      <c r="CP1086" s="885"/>
      <c r="CQ1086" s="885"/>
      <c r="CR1086" s="885"/>
      <c r="CS1086" s="885"/>
      <c r="CT1086" s="885"/>
      <c r="CU1086" s="885"/>
      <c r="CV1086" s="885"/>
      <c r="CW1086" s="885"/>
      <c r="CX1086" s="885"/>
      <c r="CY1086" s="885"/>
      <c r="CZ1086" s="885"/>
      <c r="DA1086" s="885"/>
      <c r="DB1086" s="885"/>
      <c r="DC1086" s="885"/>
      <c r="DD1086" s="885"/>
      <c r="DE1086" s="885"/>
      <c r="DF1086" s="885"/>
      <c r="DG1086" s="885"/>
      <c r="DH1086" s="885"/>
      <c r="DI1086" s="885"/>
      <c r="DJ1086" s="885"/>
      <c r="DK1086" s="885"/>
      <c r="DL1086" s="885"/>
      <c r="DM1086" s="885"/>
      <c r="DN1086" s="885"/>
      <c r="DO1086" s="885"/>
      <c r="DP1086" s="885"/>
      <c r="DQ1086" s="885"/>
      <c r="DR1086" s="885"/>
      <c r="DS1086" s="885"/>
      <c r="DT1086" s="885"/>
      <c r="DU1086" s="885"/>
      <c r="DV1086" s="885"/>
      <c r="DW1086" s="885"/>
      <c r="DX1086" s="885"/>
      <c r="DY1086" s="885"/>
      <c r="DZ1086" s="885"/>
      <c r="EA1086" s="885"/>
      <c r="EB1086" s="885"/>
      <c r="EC1086" s="885"/>
      <c r="ED1086" s="885"/>
      <c r="EE1086" s="885"/>
      <c r="EF1086" s="885"/>
      <c r="EG1086" s="885"/>
      <c r="EH1086" s="885"/>
      <c r="EI1086" s="885"/>
      <c r="EJ1086" s="885"/>
      <c r="EK1086" s="885"/>
      <c r="EL1086" s="885"/>
      <c r="EM1086" s="885"/>
      <c r="EN1086" s="885"/>
      <c r="EO1086" s="885"/>
      <c r="EP1086" s="885"/>
      <c r="EQ1086" s="885"/>
      <c r="ER1086" s="885"/>
      <c r="ES1086" s="885"/>
      <c r="ET1086" s="885"/>
      <c r="EU1086" s="885"/>
      <c r="EV1086" s="885"/>
      <c r="EW1086" s="885"/>
      <c r="EX1086" s="885"/>
      <c r="EY1086" s="885"/>
      <c r="EZ1086" s="885"/>
      <c r="FA1086" s="885"/>
      <c r="FB1086" s="885"/>
      <c r="FC1086" s="885"/>
      <c r="FD1086" s="885"/>
      <c r="FE1086" s="885"/>
      <c r="FF1086" s="885"/>
      <c r="FG1086" s="885"/>
      <c r="FH1086" s="885"/>
      <c r="FI1086" s="885"/>
      <c r="FJ1086" s="885"/>
      <c r="FK1086" s="885"/>
      <c r="FL1086" s="885"/>
      <c r="FM1086" s="885"/>
      <c r="FN1086" s="885"/>
      <c r="FO1086" s="885"/>
      <c r="FP1086" s="885"/>
      <c r="FQ1086" s="885"/>
      <c r="FR1086" s="885"/>
      <c r="FS1086" s="885"/>
      <c r="FT1086" s="885"/>
      <c r="FU1086" s="885"/>
      <c r="FV1086" s="885"/>
      <c r="FW1086" s="885"/>
      <c r="FX1086" s="885"/>
      <c r="FY1086" s="885"/>
      <c r="FZ1086" s="885"/>
      <c r="GA1086" s="885"/>
      <c r="GB1086" s="885"/>
      <c r="GC1086" s="885"/>
      <c r="GD1086" s="885"/>
      <c r="GE1086" s="885"/>
      <c r="GF1086" s="885"/>
      <c r="GG1086" s="885"/>
      <c r="GH1086" s="885"/>
      <c r="GI1086" s="885"/>
      <c r="GJ1086" s="885"/>
      <c r="GK1086" s="885"/>
      <c r="GL1086" s="885"/>
      <c r="GM1086" s="885"/>
      <c r="GN1086" s="885"/>
      <c r="GO1086" s="885"/>
      <c r="GP1086" s="885"/>
      <c r="GQ1086" s="885"/>
      <c r="GR1086" s="885"/>
      <c r="GS1086" s="885"/>
      <c r="GT1086" s="885"/>
      <c r="GU1086" s="885"/>
      <c r="GV1086" s="885"/>
      <c r="GW1086" s="885"/>
      <c r="GX1086" s="885"/>
      <c r="GY1086" s="885"/>
      <c r="GZ1086" s="885"/>
      <c r="HA1086" s="885"/>
      <c r="HB1086" s="885"/>
      <c r="HC1086" s="885"/>
      <c r="HD1086" s="885"/>
      <c r="HE1086" s="885"/>
      <c r="HF1086" s="885"/>
      <c r="HG1086" s="885"/>
      <c r="HH1086" s="885"/>
      <c r="HI1086" s="885"/>
      <c r="HJ1086" s="885"/>
      <c r="HK1086" s="885"/>
      <c r="HL1086" s="885"/>
      <c r="HM1086" s="885"/>
      <c r="HN1086" s="885"/>
      <c r="HO1086" s="885"/>
      <c r="HP1086" s="885"/>
      <c r="HQ1086" s="885"/>
      <c r="HR1086" s="885"/>
      <c r="HS1086" s="885"/>
      <c r="HT1086" s="885"/>
      <c r="HU1086" s="885"/>
      <c r="HV1086" s="885"/>
      <c r="HW1086" s="885"/>
      <c r="HX1086" s="885"/>
      <c r="HY1086" s="885"/>
      <c r="HZ1086" s="885"/>
      <c r="IA1086" s="885"/>
      <c r="IB1086" s="885"/>
      <c r="IC1086" s="885"/>
      <c r="ID1086" s="885"/>
      <c r="IE1086" s="885"/>
      <c r="IF1086" s="885"/>
      <c r="IG1086" s="885"/>
      <c r="IH1086" s="885"/>
      <c r="II1086" s="885"/>
      <c r="IJ1086" s="885"/>
      <c r="IK1086" s="885"/>
      <c r="IL1086" s="885"/>
      <c r="IM1086" s="885"/>
      <c r="IN1086" s="885"/>
      <c r="IO1086" s="885"/>
      <c r="IP1086" s="885"/>
      <c r="IQ1086" s="885"/>
      <c r="IR1086" s="885"/>
      <c r="IS1086" s="885"/>
      <c r="IT1086" s="885"/>
      <c r="IU1086" s="885"/>
      <c r="IV1086" s="885"/>
      <c r="IW1086" s="885"/>
      <c r="IX1086" s="885"/>
    </row>
    <row r="1087" spans="1:258" x14ac:dyDescent="0.25">
      <c r="A1087" s="125">
        <f t="shared" si="127"/>
        <v>1047</v>
      </c>
      <c r="B1087" s="885"/>
      <c r="C1087" s="932" t="s">
        <v>10644</v>
      </c>
      <c r="D1087" s="924">
        <f>6302.4</f>
        <v>6302.4</v>
      </c>
      <c r="E1087" s="924">
        <f>D1087/6*10</f>
        <v>10503.999999999998</v>
      </c>
      <c r="F1087" s="136">
        <f>47378.26-F1088-F1089</f>
        <v>33163.781999999999</v>
      </c>
      <c r="G1087" s="122" t="s">
        <v>1963</v>
      </c>
      <c r="H1087" s="885"/>
      <c r="I1087" s="885"/>
      <c r="J1087" s="885"/>
      <c r="K1087" s="885"/>
      <c r="L1087" s="885"/>
      <c r="M1087" s="885"/>
      <c r="N1087" s="885"/>
      <c r="O1087" s="885"/>
      <c r="P1087" s="885"/>
      <c r="Q1087" s="885"/>
      <c r="R1087" s="885"/>
      <c r="S1087" s="885"/>
      <c r="T1087" s="885"/>
      <c r="U1087" s="885"/>
      <c r="V1087" s="885"/>
      <c r="W1087" s="885"/>
      <c r="X1087" s="885"/>
      <c r="Y1087" s="885"/>
      <c r="Z1087" s="885"/>
      <c r="AA1087" s="885"/>
      <c r="AB1087" s="885"/>
      <c r="AC1087" s="885"/>
      <c r="AD1087" s="885"/>
      <c r="AE1087" s="885"/>
      <c r="AF1087" s="885"/>
      <c r="AG1087" s="885"/>
      <c r="AH1087" s="885"/>
      <c r="AI1087" s="885"/>
      <c r="AJ1087" s="885"/>
      <c r="AK1087" s="885"/>
      <c r="AL1087" s="885"/>
      <c r="AM1087" s="885"/>
      <c r="AN1087" s="885"/>
      <c r="AO1087" s="885"/>
      <c r="AP1087" s="885"/>
      <c r="AQ1087" s="885"/>
      <c r="AR1087" s="885"/>
      <c r="AS1087" s="885"/>
      <c r="AT1087" s="885"/>
      <c r="AU1087" s="885"/>
      <c r="AV1087" s="885"/>
      <c r="AW1087" s="885"/>
      <c r="AX1087" s="885"/>
      <c r="AY1087" s="885"/>
      <c r="AZ1087" s="885"/>
      <c r="BA1087" s="885"/>
      <c r="BB1087" s="885"/>
      <c r="BC1087" s="885"/>
      <c r="BD1087" s="885"/>
      <c r="BE1087" s="885"/>
      <c r="BF1087" s="885"/>
      <c r="BG1087" s="885"/>
      <c r="BH1087" s="885"/>
      <c r="BI1087" s="885"/>
      <c r="BJ1087" s="885"/>
      <c r="BK1087" s="885"/>
      <c r="BL1087" s="885"/>
      <c r="BM1087" s="885"/>
      <c r="BN1087" s="885"/>
      <c r="BO1087" s="885"/>
      <c r="BP1087" s="885"/>
      <c r="BQ1087" s="885"/>
      <c r="BR1087" s="885"/>
      <c r="BS1087" s="885"/>
      <c r="BT1087" s="885"/>
      <c r="BU1087" s="885"/>
      <c r="BV1087" s="885"/>
      <c r="BW1087" s="885"/>
      <c r="BX1087" s="885"/>
      <c r="BY1087" s="885"/>
      <c r="BZ1087" s="885"/>
      <c r="CA1087" s="885"/>
      <c r="CB1087" s="885"/>
      <c r="CC1087" s="885"/>
      <c r="CD1087" s="885"/>
      <c r="CE1087" s="885"/>
      <c r="CF1087" s="885"/>
      <c r="CG1087" s="885"/>
      <c r="CH1087" s="885"/>
      <c r="CI1087" s="885"/>
      <c r="CJ1087" s="885"/>
      <c r="CK1087" s="885"/>
      <c r="CL1087" s="885"/>
      <c r="CM1087" s="885"/>
      <c r="CN1087" s="885"/>
      <c r="CO1087" s="885"/>
      <c r="CP1087" s="885"/>
      <c r="CQ1087" s="885"/>
      <c r="CR1087" s="885"/>
      <c r="CS1087" s="885"/>
      <c r="CT1087" s="885"/>
      <c r="CU1087" s="885"/>
      <c r="CV1087" s="885"/>
      <c r="CW1087" s="885"/>
      <c r="CX1087" s="885"/>
      <c r="CY1087" s="885"/>
      <c r="CZ1087" s="885"/>
      <c r="DA1087" s="885"/>
      <c r="DB1087" s="885"/>
      <c r="DC1087" s="885"/>
      <c r="DD1087" s="885"/>
      <c r="DE1087" s="885"/>
      <c r="DF1087" s="885"/>
      <c r="DG1087" s="885"/>
      <c r="DH1087" s="885"/>
      <c r="DI1087" s="885"/>
      <c r="DJ1087" s="885"/>
      <c r="DK1087" s="885"/>
      <c r="DL1087" s="885"/>
      <c r="DM1087" s="885"/>
      <c r="DN1087" s="885"/>
      <c r="DO1087" s="885"/>
      <c r="DP1087" s="885"/>
      <c r="DQ1087" s="885"/>
      <c r="DR1087" s="885"/>
      <c r="DS1087" s="885"/>
      <c r="DT1087" s="885"/>
      <c r="DU1087" s="885"/>
      <c r="DV1087" s="885"/>
      <c r="DW1087" s="885"/>
      <c r="DX1087" s="885"/>
      <c r="DY1087" s="885"/>
      <c r="DZ1087" s="885"/>
      <c r="EA1087" s="885"/>
      <c r="EB1087" s="885"/>
      <c r="EC1087" s="885"/>
      <c r="ED1087" s="885"/>
      <c r="EE1087" s="885"/>
      <c r="EF1087" s="885"/>
      <c r="EG1087" s="885"/>
      <c r="EH1087" s="885"/>
      <c r="EI1087" s="885"/>
      <c r="EJ1087" s="885"/>
      <c r="EK1087" s="885"/>
      <c r="EL1087" s="885"/>
      <c r="EM1087" s="885"/>
      <c r="EN1087" s="885"/>
      <c r="EO1087" s="885"/>
      <c r="EP1087" s="885"/>
      <c r="EQ1087" s="885"/>
      <c r="ER1087" s="885"/>
      <c r="ES1087" s="885"/>
      <c r="ET1087" s="885"/>
      <c r="EU1087" s="885"/>
      <c r="EV1087" s="885"/>
      <c r="EW1087" s="885"/>
      <c r="EX1087" s="885"/>
      <c r="EY1087" s="885"/>
      <c r="EZ1087" s="885"/>
      <c r="FA1087" s="885"/>
      <c r="FB1087" s="885"/>
      <c r="FC1087" s="885"/>
      <c r="FD1087" s="885"/>
      <c r="FE1087" s="885"/>
      <c r="FF1087" s="885"/>
      <c r="FG1087" s="885"/>
      <c r="FH1087" s="885"/>
      <c r="FI1087" s="885"/>
      <c r="FJ1087" s="885"/>
      <c r="FK1087" s="885"/>
      <c r="FL1087" s="885"/>
      <c r="FM1087" s="885"/>
      <c r="FN1087" s="885"/>
      <c r="FO1087" s="885"/>
      <c r="FP1087" s="885"/>
      <c r="FQ1087" s="885"/>
      <c r="FR1087" s="885"/>
      <c r="FS1087" s="885"/>
      <c r="FT1087" s="885"/>
      <c r="FU1087" s="885"/>
      <c r="FV1087" s="885"/>
      <c r="FW1087" s="885"/>
      <c r="FX1087" s="885"/>
      <c r="FY1087" s="885"/>
      <c r="FZ1087" s="885"/>
      <c r="GA1087" s="885"/>
      <c r="GB1087" s="885"/>
      <c r="GC1087" s="885"/>
      <c r="GD1087" s="885"/>
      <c r="GE1087" s="885"/>
      <c r="GF1087" s="885"/>
      <c r="GG1087" s="885"/>
      <c r="GH1087" s="885"/>
      <c r="GI1087" s="885"/>
      <c r="GJ1087" s="885"/>
      <c r="GK1087" s="885"/>
      <c r="GL1087" s="885"/>
      <c r="GM1087" s="885"/>
      <c r="GN1087" s="885"/>
      <c r="GO1087" s="885"/>
      <c r="GP1087" s="885"/>
      <c r="GQ1087" s="885"/>
      <c r="GR1087" s="885"/>
      <c r="GS1087" s="885"/>
      <c r="GT1087" s="885"/>
      <c r="GU1087" s="885"/>
      <c r="GV1087" s="885"/>
      <c r="GW1087" s="885"/>
      <c r="GX1087" s="885"/>
      <c r="GY1087" s="885"/>
      <c r="GZ1087" s="885"/>
      <c r="HA1087" s="885"/>
      <c r="HB1087" s="885"/>
      <c r="HC1087" s="885"/>
      <c r="HD1087" s="885"/>
      <c r="HE1087" s="885"/>
      <c r="HF1087" s="885"/>
      <c r="HG1087" s="885"/>
      <c r="HH1087" s="885"/>
      <c r="HI1087" s="885"/>
      <c r="HJ1087" s="885"/>
      <c r="HK1087" s="885"/>
      <c r="HL1087" s="885"/>
      <c r="HM1087" s="885"/>
      <c r="HN1087" s="885"/>
      <c r="HO1087" s="885"/>
      <c r="HP1087" s="885"/>
      <c r="HQ1087" s="885"/>
      <c r="HR1087" s="885"/>
      <c r="HS1087" s="885"/>
      <c r="HT1087" s="885"/>
      <c r="HU1087" s="885"/>
      <c r="HV1087" s="885"/>
      <c r="HW1087" s="885"/>
      <c r="HX1087" s="885"/>
      <c r="HY1087" s="885"/>
      <c r="HZ1087" s="885"/>
      <c r="IA1087" s="885"/>
      <c r="IB1087" s="885"/>
      <c r="IC1087" s="885"/>
      <c r="ID1087" s="885"/>
      <c r="IE1087" s="885"/>
      <c r="IF1087" s="885"/>
      <c r="IG1087" s="885"/>
      <c r="IH1087" s="885"/>
      <c r="II1087" s="885"/>
      <c r="IJ1087" s="885"/>
      <c r="IK1087" s="885"/>
      <c r="IL1087" s="885"/>
      <c r="IM1087" s="885"/>
      <c r="IN1087" s="885"/>
      <c r="IO1087" s="885"/>
      <c r="IP1087" s="885"/>
      <c r="IQ1087" s="885"/>
      <c r="IR1087" s="885"/>
      <c r="IS1087" s="885"/>
      <c r="IT1087" s="885"/>
      <c r="IU1087" s="885"/>
      <c r="IV1087" s="885"/>
      <c r="IW1087" s="885"/>
      <c r="IX1087" s="885"/>
    </row>
    <row r="1088" spans="1:258" x14ac:dyDescent="0.25">
      <c r="A1088" s="125">
        <f t="shared" si="127"/>
        <v>1048</v>
      </c>
      <c r="B1088" s="885"/>
      <c r="C1088" s="932" t="s">
        <v>10645</v>
      </c>
      <c r="D1088" s="924">
        <v>41955.65</v>
      </c>
      <c r="E1088" s="924">
        <f>D1088/6*10</f>
        <v>69926.083333333343</v>
      </c>
      <c r="F1088" s="136">
        <f>47378.26*30%</f>
        <v>14213.478000000001</v>
      </c>
      <c r="G1088" s="122" t="s">
        <v>1963</v>
      </c>
      <c r="H1088" s="885"/>
      <c r="I1088" s="885"/>
      <c r="J1088" s="885"/>
      <c r="K1088" s="885"/>
      <c r="L1088" s="885"/>
      <c r="M1088" s="885"/>
      <c r="N1088" s="885"/>
      <c r="O1088" s="885"/>
      <c r="P1088" s="885"/>
      <c r="Q1088" s="885"/>
      <c r="R1088" s="885"/>
      <c r="S1088" s="885"/>
      <c r="T1088" s="885"/>
      <c r="U1088" s="885"/>
      <c r="V1088" s="885"/>
      <c r="W1088" s="885"/>
      <c r="X1088" s="885"/>
      <c r="Y1088" s="885"/>
      <c r="Z1088" s="885"/>
      <c r="AA1088" s="885"/>
      <c r="AB1088" s="885"/>
      <c r="AC1088" s="885"/>
      <c r="AD1088" s="885"/>
      <c r="AE1088" s="885"/>
      <c r="AF1088" s="885"/>
      <c r="AG1088" s="885"/>
      <c r="AH1088" s="885"/>
      <c r="AI1088" s="885"/>
      <c r="AJ1088" s="885"/>
      <c r="AK1088" s="885"/>
      <c r="AL1088" s="885"/>
      <c r="AM1088" s="885"/>
      <c r="AN1088" s="885"/>
      <c r="AO1088" s="885"/>
      <c r="AP1088" s="885"/>
      <c r="AQ1088" s="885"/>
      <c r="AR1088" s="885"/>
      <c r="AS1088" s="885"/>
      <c r="AT1088" s="885"/>
      <c r="AU1088" s="885"/>
      <c r="AV1088" s="885"/>
      <c r="AW1088" s="885"/>
      <c r="AX1088" s="885"/>
      <c r="AY1088" s="885"/>
      <c r="AZ1088" s="885"/>
      <c r="BA1088" s="885"/>
      <c r="BB1088" s="885"/>
      <c r="BC1088" s="885"/>
      <c r="BD1088" s="885"/>
      <c r="BE1088" s="885"/>
      <c r="BF1088" s="885"/>
      <c r="BG1088" s="885"/>
      <c r="BH1088" s="885"/>
      <c r="BI1088" s="885"/>
      <c r="BJ1088" s="885"/>
      <c r="BK1088" s="885"/>
      <c r="BL1088" s="885"/>
      <c r="BM1088" s="885"/>
      <c r="BN1088" s="885"/>
      <c r="BO1088" s="885"/>
      <c r="BP1088" s="885"/>
      <c r="BQ1088" s="885"/>
      <c r="BR1088" s="885"/>
      <c r="BS1088" s="885"/>
      <c r="BT1088" s="885"/>
      <c r="BU1088" s="885"/>
      <c r="BV1088" s="885"/>
      <c r="BW1088" s="885"/>
      <c r="BX1088" s="885"/>
      <c r="BY1088" s="885"/>
      <c r="BZ1088" s="885"/>
      <c r="CA1088" s="885"/>
      <c r="CB1088" s="885"/>
      <c r="CC1088" s="885"/>
      <c r="CD1088" s="885"/>
      <c r="CE1088" s="885"/>
      <c r="CF1088" s="885"/>
      <c r="CG1088" s="885"/>
      <c r="CH1088" s="885"/>
      <c r="CI1088" s="885"/>
      <c r="CJ1088" s="885"/>
      <c r="CK1088" s="885"/>
      <c r="CL1088" s="885"/>
      <c r="CM1088" s="885"/>
      <c r="CN1088" s="885"/>
      <c r="CO1088" s="885"/>
      <c r="CP1088" s="885"/>
      <c r="CQ1088" s="885"/>
      <c r="CR1088" s="885"/>
      <c r="CS1088" s="885"/>
      <c r="CT1088" s="885"/>
      <c r="CU1088" s="885"/>
      <c r="CV1088" s="885"/>
      <c r="CW1088" s="885"/>
      <c r="CX1088" s="885"/>
      <c r="CY1088" s="885"/>
      <c r="CZ1088" s="885"/>
      <c r="DA1088" s="885"/>
      <c r="DB1088" s="885"/>
      <c r="DC1088" s="885"/>
      <c r="DD1088" s="885"/>
      <c r="DE1088" s="885"/>
      <c r="DF1088" s="885"/>
      <c r="DG1088" s="885"/>
      <c r="DH1088" s="885"/>
      <c r="DI1088" s="885"/>
      <c r="DJ1088" s="885"/>
      <c r="DK1088" s="885"/>
      <c r="DL1088" s="885"/>
      <c r="DM1088" s="885"/>
      <c r="DN1088" s="885"/>
      <c r="DO1088" s="885"/>
      <c r="DP1088" s="885"/>
      <c r="DQ1088" s="885"/>
      <c r="DR1088" s="885"/>
      <c r="DS1088" s="885"/>
      <c r="DT1088" s="885"/>
      <c r="DU1088" s="885"/>
      <c r="DV1088" s="885"/>
      <c r="DW1088" s="885"/>
      <c r="DX1088" s="885"/>
      <c r="DY1088" s="885"/>
      <c r="DZ1088" s="885"/>
      <c r="EA1088" s="885"/>
      <c r="EB1088" s="885"/>
      <c r="EC1088" s="885"/>
      <c r="ED1088" s="885"/>
      <c r="EE1088" s="885"/>
      <c r="EF1088" s="885"/>
      <c r="EG1088" s="885"/>
      <c r="EH1088" s="885"/>
      <c r="EI1088" s="885"/>
      <c r="EJ1088" s="885"/>
      <c r="EK1088" s="885"/>
      <c r="EL1088" s="885"/>
      <c r="EM1088" s="885"/>
      <c r="EN1088" s="885"/>
      <c r="EO1088" s="885"/>
      <c r="EP1088" s="885"/>
      <c r="EQ1088" s="885"/>
      <c r="ER1088" s="885"/>
      <c r="ES1088" s="885"/>
      <c r="ET1088" s="885"/>
      <c r="EU1088" s="885"/>
      <c r="EV1088" s="885"/>
      <c r="EW1088" s="885"/>
      <c r="EX1088" s="885"/>
      <c r="EY1088" s="885"/>
      <c r="EZ1088" s="885"/>
      <c r="FA1088" s="885"/>
      <c r="FB1088" s="885"/>
      <c r="FC1088" s="885"/>
      <c r="FD1088" s="885"/>
      <c r="FE1088" s="885"/>
      <c r="FF1088" s="885"/>
      <c r="FG1088" s="885"/>
      <c r="FH1088" s="885"/>
      <c r="FI1088" s="885"/>
      <c r="FJ1088" s="885"/>
      <c r="FK1088" s="885"/>
      <c r="FL1088" s="885"/>
      <c r="FM1088" s="885"/>
      <c r="FN1088" s="885"/>
      <c r="FO1088" s="885"/>
      <c r="FP1088" s="885"/>
      <c r="FQ1088" s="885"/>
      <c r="FR1088" s="885"/>
      <c r="FS1088" s="885"/>
      <c r="FT1088" s="885"/>
      <c r="FU1088" s="885"/>
      <c r="FV1088" s="885"/>
      <c r="FW1088" s="885"/>
      <c r="FX1088" s="885"/>
      <c r="FY1088" s="885"/>
      <c r="FZ1088" s="885"/>
      <c r="GA1088" s="885"/>
      <c r="GB1088" s="885"/>
      <c r="GC1088" s="885"/>
      <c r="GD1088" s="885"/>
      <c r="GE1088" s="885"/>
      <c r="GF1088" s="885"/>
      <c r="GG1088" s="885"/>
      <c r="GH1088" s="885"/>
      <c r="GI1088" s="885"/>
      <c r="GJ1088" s="885"/>
      <c r="GK1088" s="885"/>
      <c r="GL1088" s="885"/>
      <c r="GM1088" s="885"/>
      <c r="GN1088" s="885"/>
      <c r="GO1088" s="885"/>
      <c r="GP1088" s="885"/>
      <c r="GQ1088" s="885"/>
      <c r="GR1088" s="885"/>
      <c r="GS1088" s="885"/>
      <c r="GT1088" s="885"/>
      <c r="GU1088" s="885"/>
      <c r="GV1088" s="885"/>
      <c r="GW1088" s="885"/>
      <c r="GX1088" s="885"/>
      <c r="GY1088" s="885"/>
      <c r="GZ1088" s="885"/>
      <c r="HA1088" s="885"/>
      <c r="HB1088" s="885"/>
      <c r="HC1088" s="885"/>
      <c r="HD1088" s="885"/>
      <c r="HE1088" s="885"/>
      <c r="HF1088" s="885"/>
      <c r="HG1088" s="885"/>
      <c r="HH1088" s="885"/>
      <c r="HI1088" s="885"/>
      <c r="HJ1088" s="885"/>
      <c r="HK1088" s="885"/>
      <c r="HL1088" s="885"/>
      <c r="HM1088" s="885"/>
      <c r="HN1088" s="885"/>
      <c r="HO1088" s="885"/>
      <c r="HP1088" s="885"/>
      <c r="HQ1088" s="885"/>
      <c r="HR1088" s="885"/>
      <c r="HS1088" s="885"/>
      <c r="HT1088" s="885"/>
      <c r="HU1088" s="885"/>
      <c r="HV1088" s="885"/>
      <c r="HW1088" s="885"/>
      <c r="HX1088" s="885"/>
      <c r="HY1088" s="885"/>
      <c r="HZ1088" s="885"/>
      <c r="IA1088" s="885"/>
      <c r="IB1088" s="885"/>
      <c r="IC1088" s="885"/>
      <c r="ID1088" s="885"/>
      <c r="IE1088" s="885"/>
      <c r="IF1088" s="885"/>
      <c r="IG1088" s="885"/>
      <c r="IH1088" s="885"/>
      <c r="II1088" s="885"/>
      <c r="IJ1088" s="885"/>
      <c r="IK1088" s="885"/>
      <c r="IL1088" s="885"/>
      <c r="IM1088" s="885"/>
      <c r="IN1088" s="885"/>
      <c r="IO1088" s="885"/>
      <c r="IP1088" s="885"/>
      <c r="IQ1088" s="885"/>
      <c r="IR1088" s="885"/>
      <c r="IS1088" s="885"/>
      <c r="IT1088" s="885"/>
      <c r="IU1088" s="885"/>
      <c r="IV1088" s="885"/>
      <c r="IW1088" s="885"/>
      <c r="IX1088" s="885"/>
    </row>
    <row r="1089" spans="1:258" x14ac:dyDescent="0.25">
      <c r="A1089" s="125">
        <f t="shared" si="127"/>
        <v>1049</v>
      </c>
      <c r="B1089" s="885"/>
      <c r="C1089" s="932" t="s">
        <v>10646</v>
      </c>
      <c r="D1089" s="924">
        <v>0</v>
      </c>
      <c r="E1089" s="924">
        <v>0</v>
      </c>
      <c r="F1089" s="136">
        <v>1</v>
      </c>
      <c r="G1089" s="122" t="s">
        <v>1963</v>
      </c>
      <c r="H1089" s="885"/>
      <c r="I1089" s="885"/>
      <c r="J1089" s="885"/>
      <c r="K1089" s="885"/>
      <c r="L1089" s="885"/>
      <c r="M1089" s="885"/>
      <c r="N1089" s="885"/>
      <c r="O1089" s="885"/>
      <c r="P1089" s="885"/>
      <c r="Q1089" s="885"/>
      <c r="R1089" s="885"/>
      <c r="S1089" s="885"/>
      <c r="T1089" s="885"/>
      <c r="U1089" s="885"/>
      <c r="V1089" s="885"/>
      <c r="W1089" s="885"/>
      <c r="X1089" s="885"/>
      <c r="Y1089" s="885"/>
      <c r="Z1089" s="885"/>
      <c r="AA1089" s="885"/>
      <c r="AB1089" s="885"/>
      <c r="AC1089" s="885"/>
      <c r="AD1089" s="885"/>
      <c r="AE1089" s="885"/>
      <c r="AF1089" s="885"/>
      <c r="AG1089" s="885"/>
      <c r="AH1089" s="885"/>
      <c r="AI1089" s="885"/>
      <c r="AJ1089" s="885"/>
      <c r="AK1089" s="885"/>
      <c r="AL1089" s="885"/>
      <c r="AM1089" s="885"/>
      <c r="AN1089" s="885"/>
      <c r="AO1089" s="885"/>
      <c r="AP1089" s="885"/>
      <c r="AQ1089" s="885"/>
      <c r="AR1089" s="885"/>
      <c r="AS1089" s="885"/>
      <c r="AT1089" s="885"/>
      <c r="AU1089" s="885"/>
      <c r="AV1089" s="885"/>
      <c r="AW1089" s="885"/>
      <c r="AX1089" s="885"/>
      <c r="AY1089" s="885"/>
      <c r="AZ1089" s="885"/>
      <c r="BA1089" s="885"/>
      <c r="BB1089" s="885"/>
      <c r="BC1089" s="885"/>
      <c r="BD1089" s="885"/>
      <c r="BE1089" s="885"/>
      <c r="BF1089" s="885"/>
      <c r="BG1089" s="885"/>
      <c r="BH1089" s="885"/>
      <c r="BI1089" s="885"/>
      <c r="BJ1089" s="885"/>
      <c r="BK1089" s="885"/>
      <c r="BL1089" s="885"/>
      <c r="BM1089" s="885"/>
      <c r="BN1089" s="885"/>
      <c r="BO1089" s="885"/>
      <c r="BP1089" s="885"/>
      <c r="BQ1089" s="885"/>
      <c r="BR1089" s="885"/>
      <c r="BS1089" s="885"/>
      <c r="BT1089" s="885"/>
      <c r="BU1089" s="885"/>
      <c r="BV1089" s="885"/>
      <c r="BW1089" s="885"/>
      <c r="BX1089" s="885"/>
      <c r="BY1089" s="885"/>
      <c r="BZ1089" s="885"/>
      <c r="CA1089" s="885"/>
      <c r="CB1089" s="885"/>
      <c r="CC1089" s="885"/>
      <c r="CD1089" s="885"/>
      <c r="CE1089" s="885"/>
      <c r="CF1089" s="885"/>
      <c r="CG1089" s="885"/>
      <c r="CH1089" s="885"/>
      <c r="CI1089" s="885"/>
      <c r="CJ1089" s="885"/>
      <c r="CK1089" s="885"/>
      <c r="CL1089" s="885"/>
      <c r="CM1089" s="885"/>
      <c r="CN1089" s="885"/>
      <c r="CO1089" s="885"/>
      <c r="CP1089" s="885"/>
      <c r="CQ1089" s="885"/>
      <c r="CR1089" s="885"/>
      <c r="CS1089" s="885"/>
      <c r="CT1089" s="885"/>
      <c r="CU1089" s="885"/>
      <c r="CV1089" s="885"/>
      <c r="CW1089" s="885"/>
      <c r="CX1089" s="885"/>
      <c r="CY1089" s="885"/>
      <c r="CZ1089" s="885"/>
      <c r="DA1089" s="885"/>
      <c r="DB1089" s="885"/>
      <c r="DC1089" s="885"/>
      <c r="DD1089" s="885"/>
      <c r="DE1089" s="885"/>
      <c r="DF1089" s="885"/>
      <c r="DG1089" s="885"/>
      <c r="DH1089" s="885"/>
      <c r="DI1089" s="885"/>
      <c r="DJ1089" s="885"/>
      <c r="DK1089" s="885"/>
      <c r="DL1089" s="885"/>
      <c r="DM1089" s="885"/>
      <c r="DN1089" s="885"/>
      <c r="DO1089" s="885"/>
      <c r="DP1089" s="885"/>
      <c r="DQ1089" s="885"/>
      <c r="DR1089" s="885"/>
      <c r="DS1089" s="885"/>
      <c r="DT1089" s="885"/>
      <c r="DU1089" s="885"/>
      <c r="DV1089" s="885"/>
      <c r="DW1089" s="885"/>
      <c r="DX1089" s="885"/>
      <c r="DY1089" s="885"/>
      <c r="DZ1089" s="885"/>
      <c r="EA1089" s="885"/>
      <c r="EB1089" s="885"/>
      <c r="EC1089" s="885"/>
      <c r="ED1089" s="885"/>
      <c r="EE1089" s="885"/>
      <c r="EF1089" s="885"/>
      <c r="EG1089" s="885"/>
      <c r="EH1089" s="885"/>
      <c r="EI1089" s="885"/>
      <c r="EJ1089" s="885"/>
      <c r="EK1089" s="885"/>
      <c r="EL1089" s="885"/>
      <c r="EM1089" s="885"/>
      <c r="EN1089" s="885"/>
      <c r="EO1089" s="885"/>
      <c r="EP1089" s="885"/>
      <c r="EQ1089" s="885"/>
      <c r="ER1089" s="885"/>
      <c r="ES1089" s="885"/>
      <c r="ET1089" s="885"/>
      <c r="EU1089" s="885"/>
      <c r="EV1089" s="885"/>
      <c r="EW1089" s="885"/>
      <c r="EX1089" s="885"/>
      <c r="EY1089" s="885"/>
      <c r="EZ1089" s="885"/>
      <c r="FA1089" s="885"/>
      <c r="FB1089" s="885"/>
      <c r="FC1089" s="885"/>
      <c r="FD1089" s="885"/>
      <c r="FE1089" s="885"/>
      <c r="FF1089" s="885"/>
      <c r="FG1089" s="885"/>
      <c r="FH1089" s="885"/>
      <c r="FI1089" s="885"/>
      <c r="FJ1089" s="885"/>
      <c r="FK1089" s="885"/>
      <c r="FL1089" s="885"/>
      <c r="FM1089" s="885"/>
      <c r="FN1089" s="885"/>
      <c r="FO1089" s="885"/>
      <c r="FP1089" s="885"/>
      <c r="FQ1089" s="885"/>
      <c r="FR1089" s="885"/>
      <c r="FS1089" s="885"/>
      <c r="FT1089" s="885"/>
      <c r="FU1089" s="885"/>
      <c r="FV1089" s="885"/>
      <c r="FW1089" s="885"/>
      <c r="FX1089" s="885"/>
      <c r="FY1089" s="885"/>
      <c r="FZ1089" s="885"/>
      <c r="GA1089" s="885"/>
      <c r="GB1089" s="885"/>
      <c r="GC1089" s="885"/>
      <c r="GD1089" s="885"/>
      <c r="GE1089" s="885"/>
      <c r="GF1089" s="885"/>
      <c r="GG1089" s="885"/>
      <c r="GH1089" s="885"/>
      <c r="GI1089" s="885"/>
      <c r="GJ1089" s="885"/>
      <c r="GK1089" s="885"/>
      <c r="GL1089" s="885"/>
      <c r="GM1089" s="885"/>
      <c r="GN1089" s="885"/>
      <c r="GO1089" s="885"/>
      <c r="GP1089" s="885"/>
      <c r="GQ1089" s="885"/>
      <c r="GR1089" s="885"/>
      <c r="GS1089" s="885"/>
      <c r="GT1089" s="885"/>
      <c r="GU1089" s="885"/>
      <c r="GV1089" s="885"/>
      <c r="GW1089" s="885"/>
      <c r="GX1089" s="885"/>
      <c r="GY1089" s="885"/>
      <c r="GZ1089" s="885"/>
      <c r="HA1089" s="885"/>
      <c r="HB1089" s="885"/>
      <c r="HC1089" s="885"/>
      <c r="HD1089" s="885"/>
      <c r="HE1089" s="885"/>
      <c r="HF1089" s="885"/>
      <c r="HG1089" s="885"/>
      <c r="HH1089" s="885"/>
      <c r="HI1089" s="885"/>
      <c r="HJ1089" s="885"/>
      <c r="HK1089" s="885"/>
      <c r="HL1089" s="885"/>
      <c r="HM1089" s="885"/>
      <c r="HN1089" s="885"/>
      <c r="HO1089" s="885"/>
      <c r="HP1089" s="885"/>
      <c r="HQ1089" s="885"/>
      <c r="HR1089" s="885"/>
      <c r="HS1089" s="885"/>
      <c r="HT1089" s="885"/>
      <c r="HU1089" s="885"/>
      <c r="HV1089" s="885"/>
      <c r="HW1089" s="885"/>
      <c r="HX1089" s="885"/>
      <c r="HY1089" s="885"/>
      <c r="HZ1089" s="885"/>
      <c r="IA1089" s="885"/>
      <c r="IB1089" s="885"/>
      <c r="IC1089" s="885"/>
      <c r="ID1089" s="885"/>
      <c r="IE1089" s="885"/>
      <c r="IF1089" s="885"/>
      <c r="IG1089" s="885"/>
      <c r="IH1089" s="885"/>
      <c r="II1089" s="885"/>
      <c r="IJ1089" s="885"/>
      <c r="IK1089" s="885"/>
      <c r="IL1089" s="885"/>
      <c r="IM1089" s="885"/>
      <c r="IN1089" s="885"/>
      <c r="IO1089" s="885"/>
      <c r="IP1089" s="885"/>
      <c r="IQ1089" s="885"/>
      <c r="IR1089" s="885"/>
      <c r="IS1089" s="885"/>
      <c r="IT1089" s="885"/>
      <c r="IU1089" s="885"/>
      <c r="IV1089" s="885"/>
      <c r="IW1089" s="885"/>
      <c r="IX1089" s="885"/>
    </row>
    <row r="1090" spans="1:258" x14ac:dyDescent="0.25">
      <c r="A1090" s="125">
        <f t="shared" si="127"/>
        <v>1050</v>
      </c>
      <c r="B1090" s="885"/>
      <c r="C1090" s="232" t="s">
        <v>10647</v>
      </c>
      <c r="D1090" s="915"/>
      <c r="E1090" s="915"/>
      <c r="F1090" s="136"/>
      <c r="H1090" s="885"/>
      <c r="I1090" s="885"/>
      <c r="J1090" s="885"/>
      <c r="K1090" s="885"/>
      <c r="L1090" s="885"/>
      <c r="M1090" s="885"/>
      <c r="N1090" s="885"/>
      <c r="O1090" s="885"/>
      <c r="P1090" s="885"/>
      <c r="Q1090" s="885"/>
      <c r="R1090" s="885"/>
      <c r="S1090" s="885"/>
      <c r="T1090" s="885"/>
      <c r="U1090" s="885"/>
      <c r="V1090" s="885"/>
      <c r="W1090" s="885"/>
      <c r="X1090" s="885"/>
      <c r="Y1090" s="885"/>
      <c r="Z1090" s="885"/>
      <c r="AA1090" s="885"/>
      <c r="AB1090" s="885"/>
      <c r="AC1090" s="885"/>
      <c r="AD1090" s="885"/>
      <c r="AE1090" s="885"/>
      <c r="AF1090" s="885"/>
      <c r="AG1090" s="885"/>
      <c r="AH1090" s="885"/>
      <c r="AI1090" s="885"/>
      <c r="AJ1090" s="885"/>
      <c r="AK1090" s="885"/>
      <c r="AL1090" s="885"/>
      <c r="AM1090" s="885"/>
      <c r="AN1090" s="885"/>
      <c r="AO1090" s="885"/>
      <c r="AP1090" s="885"/>
      <c r="AQ1090" s="885"/>
      <c r="AR1090" s="885"/>
      <c r="AS1090" s="885"/>
      <c r="AT1090" s="885"/>
      <c r="AU1090" s="885"/>
      <c r="AV1090" s="885"/>
      <c r="AW1090" s="885"/>
      <c r="AX1090" s="885"/>
      <c r="AY1090" s="885"/>
      <c r="AZ1090" s="885"/>
      <c r="BA1090" s="885"/>
      <c r="BB1090" s="885"/>
      <c r="BC1090" s="885"/>
      <c r="BD1090" s="885"/>
      <c r="BE1090" s="885"/>
      <c r="BF1090" s="885"/>
      <c r="BG1090" s="885"/>
      <c r="BH1090" s="885"/>
      <c r="BI1090" s="885"/>
      <c r="BJ1090" s="885"/>
      <c r="BK1090" s="885"/>
      <c r="BL1090" s="885"/>
      <c r="BM1090" s="885"/>
      <c r="BN1090" s="885"/>
      <c r="BO1090" s="885"/>
      <c r="BP1090" s="885"/>
      <c r="BQ1090" s="885"/>
      <c r="BR1090" s="885"/>
      <c r="BS1090" s="885"/>
      <c r="BT1090" s="885"/>
      <c r="BU1090" s="885"/>
      <c r="BV1090" s="885"/>
      <c r="BW1090" s="885"/>
      <c r="BX1090" s="885"/>
      <c r="BY1090" s="885"/>
      <c r="BZ1090" s="885"/>
      <c r="CA1090" s="885"/>
      <c r="CB1090" s="885"/>
      <c r="CC1090" s="885"/>
      <c r="CD1090" s="885"/>
      <c r="CE1090" s="885"/>
      <c r="CF1090" s="885"/>
      <c r="CG1090" s="885"/>
      <c r="CH1090" s="885"/>
      <c r="CI1090" s="885"/>
      <c r="CJ1090" s="885"/>
      <c r="CK1090" s="885"/>
      <c r="CL1090" s="885"/>
      <c r="CM1090" s="885"/>
      <c r="CN1090" s="885"/>
      <c r="CO1090" s="885"/>
      <c r="CP1090" s="885"/>
      <c r="CQ1090" s="885"/>
      <c r="CR1090" s="885"/>
      <c r="CS1090" s="885"/>
      <c r="CT1090" s="885"/>
      <c r="CU1090" s="885"/>
      <c r="CV1090" s="885"/>
      <c r="CW1090" s="885"/>
      <c r="CX1090" s="885"/>
      <c r="CY1090" s="885"/>
      <c r="CZ1090" s="885"/>
      <c r="DA1090" s="885"/>
      <c r="DB1090" s="885"/>
      <c r="DC1090" s="885"/>
      <c r="DD1090" s="885"/>
      <c r="DE1090" s="885"/>
      <c r="DF1090" s="885"/>
      <c r="DG1090" s="885"/>
      <c r="DH1090" s="885"/>
      <c r="DI1090" s="885"/>
      <c r="DJ1090" s="885"/>
      <c r="DK1090" s="885"/>
      <c r="DL1090" s="885"/>
      <c r="DM1090" s="885"/>
      <c r="DN1090" s="885"/>
      <c r="DO1090" s="885"/>
      <c r="DP1090" s="885"/>
      <c r="DQ1090" s="885"/>
      <c r="DR1090" s="885"/>
      <c r="DS1090" s="885"/>
      <c r="DT1090" s="885"/>
      <c r="DU1090" s="885"/>
      <c r="DV1090" s="885"/>
      <c r="DW1090" s="885"/>
      <c r="DX1090" s="885"/>
      <c r="DY1090" s="885"/>
      <c r="DZ1090" s="885"/>
      <c r="EA1090" s="885"/>
      <c r="EB1090" s="885"/>
      <c r="EC1090" s="885"/>
      <c r="ED1090" s="885"/>
      <c r="EE1090" s="885"/>
      <c r="EF1090" s="885"/>
      <c r="EG1090" s="885"/>
      <c r="EH1090" s="885"/>
      <c r="EI1090" s="885"/>
      <c r="EJ1090" s="885"/>
      <c r="EK1090" s="885"/>
      <c r="EL1090" s="885"/>
      <c r="EM1090" s="885"/>
      <c r="EN1090" s="885"/>
      <c r="EO1090" s="885"/>
      <c r="EP1090" s="885"/>
      <c r="EQ1090" s="885"/>
      <c r="ER1090" s="885"/>
      <c r="ES1090" s="885"/>
      <c r="ET1090" s="885"/>
      <c r="EU1090" s="885"/>
      <c r="EV1090" s="885"/>
      <c r="EW1090" s="885"/>
      <c r="EX1090" s="885"/>
      <c r="EY1090" s="885"/>
      <c r="EZ1090" s="885"/>
      <c r="FA1090" s="885"/>
      <c r="FB1090" s="885"/>
      <c r="FC1090" s="885"/>
      <c r="FD1090" s="885"/>
      <c r="FE1090" s="885"/>
      <c r="FF1090" s="885"/>
      <c r="FG1090" s="885"/>
      <c r="FH1090" s="885"/>
      <c r="FI1090" s="885"/>
      <c r="FJ1090" s="885"/>
      <c r="FK1090" s="885"/>
      <c r="FL1090" s="885"/>
      <c r="FM1090" s="885"/>
      <c r="FN1090" s="885"/>
      <c r="FO1090" s="885"/>
      <c r="FP1090" s="885"/>
      <c r="FQ1090" s="885"/>
      <c r="FR1090" s="885"/>
      <c r="FS1090" s="885"/>
      <c r="FT1090" s="885"/>
      <c r="FU1090" s="885"/>
      <c r="FV1090" s="885"/>
      <c r="FW1090" s="885"/>
      <c r="FX1090" s="885"/>
      <c r="FY1090" s="885"/>
      <c r="FZ1090" s="885"/>
      <c r="GA1090" s="885"/>
      <c r="GB1090" s="885"/>
      <c r="GC1090" s="885"/>
      <c r="GD1090" s="885"/>
      <c r="GE1090" s="885"/>
      <c r="GF1090" s="885"/>
      <c r="GG1090" s="885"/>
      <c r="GH1090" s="885"/>
      <c r="GI1090" s="885"/>
      <c r="GJ1090" s="885"/>
      <c r="GK1090" s="885"/>
      <c r="GL1090" s="885"/>
      <c r="GM1090" s="885"/>
      <c r="GN1090" s="885"/>
      <c r="GO1090" s="885"/>
      <c r="GP1090" s="885"/>
      <c r="GQ1090" s="885"/>
      <c r="GR1090" s="885"/>
      <c r="GS1090" s="885"/>
      <c r="GT1090" s="885"/>
      <c r="GU1090" s="885"/>
      <c r="GV1090" s="885"/>
      <c r="GW1090" s="885"/>
      <c r="GX1090" s="885"/>
      <c r="GY1090" s="885"/>
      <c r="GZ1090" s="885"/>
      <c r="HA1090" s="885"/>
      <c r="HB1090" s="885"/>
      <c r="HC1090" s="885"/>
      <c r="HD1090" s="885"/>
      <c r="HE1090" s="885"/>
      <c r="HF1090" s="885"/>
      <c r="HG1090" s="885"/>
      <c r="HH1090" s="885"/>
      <c r="HI1090" s="885"/>
      <c r="HJ1090" s="885"/>
      <c r="HK1090" s="885"/>
      <c r="HL1090" s="885"/>
      <c r="HM1090" s="885"/>
      <c r="HN1090" s="885"/>
      <c r="HO1090" s="885"/>
      <c r="HP1090" s="885"/>
      <c r="HQ1090" s="885"/>
      <c r="HR1090" s="885"/>
      <c r="HS1090" s="885"/>
      <c r="HT1090" s="885"/>
      <c r="HU1090" s="885"/>
      <c r="HV1090" s="885"/>
      <c r="HW1090" s="885"/>
      <c r="HX1090" s="885"/>
      <c r="HY1090" s="885"/>
      <c r="HZ1090" s="885"/>
      <c r="IA1090" s="885"/>
      <c r="IB1090" s="885"/>
      <c r="IC1090" s="885"/>
      <c r="ID1090" s="885"/>
      <c r="IE1090" s="885"/>
      <c r="IF1090" s="885"/>
      <c r="IG1090" s="885"/>
      <c r="IH1090" s="885"/>
      <c r="II1090" s="885"/>
      <c r="IJ1090" s="885"/>
      <c r="IK1090" s="885"/>
      <c r="IL1090" s="885"/>
      <c r="IM1090" s="885"/>
      <c r="IN1090" s="885"/>
      <c r="IO1090" s="885"/>
      <c r="IP1090" s="885"/>
      <c r="IQ1090" s="885"/>
      <c r="IR1090" s="885"/>
      <c r="IS1090" s="885"/>
      <c r="IT1090" s="885"/>
      <c r="IU1090" s="885"/>
      <c r="IV1090" s="885"/>
      <c r="IW1090" s="885"/>
      <c r="IX1090" s="885"/>
    </row>
    <row r="1091" spans="1:258" x14ac:dyDescent="0.25">
      <c r="A1091" s="125">
        <f t="shared" si="127"/>
        <v>1051</v>
      </c>
      <c r="B1091" s="885"/>
      <c r="C1091" s="842" t="s">
        <v>10659</v>
      </c>
      <c r="D1091" s="924">
        <v>0</v>
      </c>
      <c r="E1091" s="924">
        <v>0</v>
      </c>
      <c r="F1091" s="136">
        <v>1</v>
      </c>
      <c r="G1091" s="122" t="s">
        <v>1963</v>
      </c>
      <c r="H1091" s="885"/>
      <c r="I1091" s="885"/>
      <c r="J1091" s="885"/>
      <c r="K1091" s="885"/>
      <c r="L1091" s="885"/>
      <c r="M1091" s="885"/>
      <c r="N1091" s="885"/>
      <c r="O1091" s="885"/>
      <c r="P1091" s="885"/>
      <c r="Q1091" s="885"/>
      <c r="R1091" s="885"/>
      <c r="S1091" s="885"/>
      <c r="T1091" s="885"/>
      <c r="U1091" s="885"/>
      <c r="V1091" s="885"/>
      <c r="W1091" s="885"/>
      <c r="X1091" s="885"/>
      <c r="Y1091" s="885"/>
      <c r="Z1091" s="885"/>
      <c r="AA1091" s="885"/>
      <c r="AB1091" s="885"/>
      <c r="AC1091" s="885"/>
      <c r="AD1091" s="885"/>
      <c r="AE1091" s="885"/>
      <c r="AF1091" s="885"/>
      <c r="AG1091" s="885"/>
      <c r="AH1091" s="885"/>
      <c r="AI1091" s="885"/>
      <c r="AJ1091" s="885"/>
      <c r="AK1091" s="885"/>
      <c r="AL1091" s="885"/>
      <c r="AM1091" s="885"/>
      <c r="AN1091" s="885"/>
      <c r="AO1091" s="885"/>
      <c r="AP1091" s="885"/>
      <c r="AQ1091" s="885"/>
      <c r="AR1091" s="885"/>
      <c r="AS1091" s="885"/>
      <c r="AT1091" s="885"/>
      <c r="AU1091" s="885"/>
      <c r="AV1091" s="885"/>
      <c r="AW1091" s="885"/>
      <c r="AX1091" s="885"/>
      <c r="AY1091" s="885"/>
      <c r="AZ1091" s="885"/>
      <c r="BA1091" s="885"/>
      <c r="BB1091" s="885"/>
      <c r="BC1091" s="885"/>
      <c r="BD1091" s="885"/>
      <c r="BE1091" s="885"/>
      <c r="BF1091" s="885"/>
      <c r="BG1091" s="885"/>
      <c r="BH1091" s="885"/>
      <c r="BI1091" s="885"/>
      <c r="BJ1091" s="885"/>
      <c r="BK1091" s="885"/>
      <c r="BL1091" s="885"/>
      <c r="BM1091" s="885"/>
      <c r="BN1091" s="885"/>
      <c r="BO1091" s="885"/>
      <c r="BP1091" s="885"/>
      <c r="BQ1091" s="885"/>
      <c r="BR1091" s="885"/>
      <c r="BS1091" s="885"/>
      <c r="BT1091" s="885"/>
      <c r="BU1091" s="885"/>
      <c r="BV1091" s="885"/>
      <c r="BW1091" s="885"/>
      <c r="BX1091" s="885"/>
      <c r="BY1091" s="885"/>
      <c r="BZ1091" s="885"/>
      <c r="CA1091" s="885"/>
      <c r="CB1091" s="885"/>
      <c r="CC1091" s="885"/>
      <c r="CD1091" s="885"/>
      <c r="CE1091" s="885"/>
      <c r="CF1091" s="885"/>
      <c r="CG1091" s="885"/>
      <c r="CH1091" s="885"/>
      <c r="CI1091" s="885"/>
      <c r="CJ1091" s="885"/>
      <c r="CK1091" s="885"/>
      <c r="CL1091" s="885"/>
      <c r="CM1091" s="885"/>
      <c r="CN1091" s="885"/>
      <c r="CO1091" s="885"/>
      <c r="CP1091" s="885"/>
      <c r="CQ1091" s="885"/>
      <c r="CR1091" s="885"/>
      <c r="CS1091" s="885"/>
      <c r="CT1091" s="885"/>
      <c r="CU1091" s="885"/>
      <c r="CV1091" s="885"/>
      <c r="CW1091" s="885"/>
      <c r="CX1091" s="885"/>
      <c r="CY1091" s="885"/>
      <c r="CZ1091" s="885"/>
      <c r="DA1091" s="885"/>
      <c r="DB1091" s="885"/>
      <c r="DC1091" s="885"/>
      <c r="DD1091" s="885"/>
      <c r="DE1091" s="885"/>
      <c r="DF1091" s="885"/>
      <c r="DG1091" s="885"/>
      <c r="DH1091" s="885"/>
      <c r="DI1091" s="885"/>
      <c r="DJ1091" s="885"/>
      <c r="DK1091" s="885"/>
      <c r="DL1091" s="885"/>
      <c r="DM1091" s="885"/>
      <c r="DN1091" s="885"/>
      <c r="DO1091" s="885"/>
      <c r="DP1091" s="885"/>
      <c r="DQ1091" s="885"/>
      <c r="DR1091" s="885"/>
      <c r="DS1091" s="885"/>
      <c r="DT1091" s="885"/>
      <c r="DU1091" s="885"/>
      <c r="DV1091" s="885"/>
      <c r="DW1091" s="885"/>
      <c r="DX1091" s="885"/>
      <c r="DY1091" s="885"/>
      <c r="DZ1091" s="885"/>
      <c r="EA1091" s="885"/>
      <c r="EB1091" s="885"/>
      <c r="EC1091" s="885"/>
      <c r="ED1091" s="885"/>
      <c r="EE1091" s="885"/>
      <c r="EF1091" s="885"/>
      <c r="EG1091" s="885"/>
      <c r="EH1091" s="885"/>
      <c r="EI1091" s="885"/>
      <c r="EJ1091" s="885"/>
      <c r="EK1091" s="885"/>
      <c r="EL1091" s="885"/>
      <c r="EM1091" s="885"/>
      <c r="EN1091" s="885"/>
      <c r="EO1091" s="885"/>
      <c r="EP1091" s="885"/>
      <c r="EQ1091" s="885"/>
      <c r="ER1091" s="885"/>
      <c r="ES1091" s="885"/>
      <c r="ET1091" s="885"/>
      <c r="EU1091" s="885"/>
      <c r="EV1091" s="885"/>
      <c r="EW1091" s="885"/>
      <c r="EX1091" s="885"/>
      <c r="EY1091" s="885"/>
      <c r="EZ1091" s="885"/>
      <c r="FA1091" s="885"/>
      <c r="FB1091" s="885"/>
      <c r="FC1091" s="885"/>
      <c r="FD1091" s="885"/>
      <c r="FE1091" s="885"/>
      <c r="FF1091" s="885"/>
      <c r="FG1091" s="885"/>
      <c r="FH1091" s="885"/>
      <c r="FI1091" s="885"/>
      <c r="FJ1091" s="885"/>
      <c r="FK1091" s="885"/>
      <c r="FL1091" s="885"/>
      <c r="FM1091" s="885"/>
      <c r="FN1091" s="885"/>
      <c r="FO1091" s="885"/>
      <c r="FP1091" s="885"/>
      <c r="FQ1091" s="885"/>
      <c r="FR1091" s="885"/>
      <c r="FS1091" s="885"/>
      <c r="FT1091" s="885"/>
      <c r="FU1091" s="885"/>
      <c r="FV1091" s="885"/>
      <c r="FW1091" s="885"/>
      <c r="FX1091" s="885"/>
      <c r="FY1091" s="885"/>
      <c r="FZ1091" s="885"/>
      <c r="GA1091" s="885"/>
      <c r="GB1091" s="885"/>
      <c r="GC1091" s="885"/>
      <c r="GD1091" s="885"/>
      <c r="GE1091" s="885"/>
      <c r="GF1091" s="885"/>
      <c r="GG1091" s="885"/>
      <c r="GH1091" s="885"/>
      <c r="GI1091" s="885"/>
      <c r="GJ1091" s="885"/>
      <c r="GK1091" s="885"/>
      <c r="GL1091" s="885"/>
      <c r="GM1091" s="885"/>
      <c r="GN1091" s="885"/>
      <c r="GO1091" s="885"/>
      <c r="GP1091" s="885"/>
      <c r="GQ1091" s="885"/>
      <c r="GR1091" s="885"/>
      <c r="GS1091" s="885"/>
      <c r="GT1091" s="885"/>
      <c r="GU1091" s="885"/>
      <c r="GV1091" s="885"/>
      <c r="GW1091" s="885"/>
      <c r="GX1091" s="885"/>
      <c r="GY1091" s="885"/>
      <c r="GZ1091" s="885"/>
      <c r="HA1091" s="885"/>
      <c r="HB1091" s="885"/>
      <c r="HC1091" s="885"/>
      <c r="HD1091" s="885"/>
      <c r="HE1091" s="885"/>
      <c r="HF1091" s="885"/>
      <c r="HG1091" s="885"/>
      <c r="HH1091" s="885"/>
      <c r="HI1091" s="885"/>
      <c r="HJ1091" s="885"/>
      <c r="HK1091" s="885"/>
      <c r="HL1091" s="885"/>
      <c r="HM1091" s="885"/>
      <c r="HN1091" s="885"/>
      <c r="HO1091" s="885"/>
      <c r="HP1091" s="885"/>
      <c r="HQ1091" s="885"/>
      <c r="HR1091" s="885"/>
      <c r="HS1091" s="885"/>
      <c r="HT1091" s="885"/>
      <c r="HU1091" s="885"/>
      <c r="HV1091" s="885"/>
      <c r="HW1091" s="885"/>
      <c r="HX1091" s="885"/>
      <c r="HY1091" s="885"/>
      <c r="HZ1091" s="885"/>
      <c r="IA1091" s="885"/>
      <c r="IB1091" s="885"/>
      <c r="IC1091" s="885"/>
      <c r="ID1091" s="885"/>
      <c r="IE1091" s="885"/>
      <c r="IF1091" s="885"/>
      <c r="IG1091" s="885"/>
      <c r="IH1091" s="885"/>
      <c r="II1091" s="885"/>
      <c r="IJ1091" s="885"/>
      <c r="IK1091" s="885"/>
      <c r="IL1091" s="885"/>
      <c r="IM1091" s="885"/>
      <c r="IN1091" s="885"/>
      <c r="IO1091" s="885"/>
      <c r="IP1091" s="885"/>
      <c r="IQ1091" s="885"/>
      <c r="IR1091" s="885"/>
      <c r="IS1091" s="885"/>
      <c r="IT1091" s="885"/>
      <c r="IU1091" s="885"/>
      <c r="IV1091" s="885"/>
      <c r="IW1091" s="885"/>
      <c r="IX1091" s="885"/>
    </row>
    <row r="1092" spans="1:258" x14ac:dyDescent="0.25">
      <c r="A1092" s="125">
        <f t="shared" si="127"/>
        <v>1052</v>
      </c>
      <c r="B1092" s="885"/>
      <c r="C1092" s="842" t="s">
        <v>10660</v>
      </c>
      <c r="D1092" s="924">
        <v>65875.570000000007</v>
      </c>
      <c r="E1092" s="924">
        <f>D1092/6*10</f>
        <v>109792.61666666667</v>
      </c>
      <c r="F1092" s="136">
        <f>131410.53-F1091-F1093</f>
        <v>131408.53</v>
      </c>
      <c r="G1092" s="122" t="s">
        <v>1963</v>
      </c>
      <c r="H1092" s="885"/>
      <c r="I1092" s="885"/>
      <c r="J1092" s="885"/>
      <c r="K1092" s="885"/>
      <c r="L1092" s="885"/>
      <c r="M1092" s="885"/>
      <c r="N1092" s="885"/>
      <c r="O1092" s="885"/>
      <c r="P1092" s="885"/>
      <c r="Q1092" s="885"/>
      <c r="R1092" s="885"/>
      <c r="S1092" s="885"/>
      <c r="T1092" s="885"/>
      <c r="U1092" s="885"/>
      <c r="V1092" s="885"/>
      <c r="W1092" s="885"/>
      <c r="X1092" s="885"/>
      <c r="Y1092" s="885"/>
      <c r="Z1092" s="885"/>
      <c r="AA1092" s="885"/>
      <c r="AB1092" s="885"/>
      <c r="AC1092" s="885"/>
      <c r="AD1092" s="885"/>
      <c r="AE1092" s="885"/>
      <c r="AF1092" s="885"/>
      <c r="AG1092" s="885"/>
      <c r="AH1092" s="885"/>
      <c r="AI1092" s="885"/>
      <c r="AJ1092" s="885"/>
      <c r="AK1092" s="885"/>
      <c r="AL1092" s="885"/>
      <c r="AM1092" s="885"/>
      <c r="AN1092" s="885"/>
      <c r="AO1092" s="885"/>
      <c r="AP1092" s="885"/>
      <c r="AQ1092" s="885"/>
      <c r="AR1092" s="885"/>
      <c r="AS1092" s="885"/>
      <c r="AT1092" s="885"/>
      <c r="AU1092" s="885"/>
      <c r="AV1092" s="885"/>
      <c r="AW1092" s="885"/>
      <c r="AX1092" s="885"/>
      <c r="AY1092" s="885"/>
      <c r="AZ1092" s="885"/>
      <c r="BA1092" s="885"/>
      <c r="BB1092" s="885"/>
      <c r="BC1092" s="885"/>
      <c r="BD1092" s="885"/>
      <c r="BE1092" s="885"/>
      <c r="BF1092" s="885"/>
      <c r="BG1092" s="885"/>
      <c r="BH1092" s="885"/>
      <c r="BI1092" s="885"/>
      <c r="BJ1092" s="885"/>
      <c r="BK1092" s="885"/>
      <c r="BL1092" s="885"/>
      <c r="BM1092" s="885"/>
      <c r="BN1092" s="885"/>
      <c r="BO1092" s="885"/>
      <c r="BP1092" s="885"/>
      <c r="BQ1092" s="885"/>
      <c r="BR1092" s="885"/>
      <c r="BS1092" s="885"/>
      <c r="BT1092" s="885"/>
      <c r="BU1092" s="885"/>
      <c r="BV1092" s="885"/>
      <c r="BW1092" s="885"/>
      <c r="BX1092" s="885"/>
      <c r="BY1092" s="885"/>
      <c r="BZ1092" s="885"/>
      <c r="CA1092" s="885"/>
      <c r="CB1092" s="885"/>
      <c r="CC1092" s="885"/>
      <c r="CD1092" s="885"/>
      <c r="CE1092" s="885"/>
      <c r="CF1092" s="885"/>
      <c r="CG1092" s="885"/>
      <c r="CH1092" s="885"/>
      <c r="CI1092" s="885"/>
      <c r="CJ1092" s="885"/>
      <c r="CK1092" s="885"/>
      <c r="CL1092" s="885"/>
      <c r="CM1092" s="885"/>
      <c r="CN1092" s="885"/>
      <c r="CO1092" s="885"/>
      <c r="CP1092" s="885"/>
      <c r="CQ1092" s="885"/>
      <c r="CR1092" s="885"/>
      <c r="CS1092" s="885"/>
      <c r="CT1092" s="885"/>
      <c r="CU1092" s="885"/>
      <c r="CV1092" s="885"/>
      <c r="CW1092" s="885"/>
      <c r="CX1092" s="885"/>
      <c r="CY1092" s="885"/>
      <c r="CZ1092" s="885"/>
      <c r="DA1092" s="885"/>
      <c r="DB1092" s="885"/>
      <c r="DC1092" s="885"/>
      <c r="DD1092" s="885"/>
      <c r="DE1092" s="885"/>
      <c r="DF1092" s="885"/>
      <c r="DG1092" s="885"/>
      <c r="DH1092" s="885"/>
      <c r="DI1092" s="885"/>
      <c r="DJ1092" s="885"/>
      <c r="DK1092" s="885"/>
      <c r="DL1092" s="885"/>
      <c r="DM1092" s="885"/>
      <c r="DN1092" s="885"/>
      <c r="DO1092" s="885"/>
      <c r="DP1092" s="885"/>
      <c r="DQ1092" s="885"/>
      <c r="DR1092" s="885"/>
      <c r="DS1092" s="885"/>
      <c r="DT1092" s="885"/>
      <c r="DU1092" s="885"/>
      <c r="DV1092" s="885"/>
      <c r="DW1092" s="885"/>
      <c r="DX1092" s="885"/>
      <c r="DY1092" s="885"/>
      <c r="DZ1092" s="885"/>
      <c r="EA1092" s="885"/>
      <c r="EB1092" s="885"/>
      <c r="EC1092" s="885"/>
      <c r="ED1092" s="885"/>
      <c r="EE1092" s="885"/>
      <c r="EF1092" s="885"/>
      <c r="EG1092" s="885"/>
      <c r="EH1092" s="885"/>
      <c r="EI1092" s="885"/>
      <c r="EJ1092" s="885"/>
      <c r="EK1092" s="885"/>
      <c r="EL1092" s="885"/>
      <c r="EM1092" s="885"/>
      <c r="EN1092" s="885"/>
      <c r="EO1092" s="885"/>
      <c r="EP1092" s="885"/>
      <c r="EQ1092" s="885"/>
      <c r="ER1092" s="885"/>
      <c r="ES1092" s="885"/>
      <c r="ET1092" s="885"/>
      <c r="EU1092" s="885"/>
      <c r="EV1092" s="885"/>
      <c r="EW1092" s="885"/>
      <c r="EX1092" s="885"/>
      <c r="EY1092" s="885"/>
      <c r="EZ1092" s="885"/>
      <c r="FA1092" s="885"/>
      <c r="FB1092" s="885"/>
      <c r="FC1092" s="885"/>
      <c r="FD1092" s="885"/>
      <c r="FE1092" s="885"/>
      <c r="FF1092" s="885"/>
      <c r="FG1092" s="885"/>
      <c r="FH1092" s="885"/>
      <c r="FI1092" s="885"/>
      <c r="FJ1092" s="885"/>
      <c r="FK1092" s="885"/>
      <c r="FL1092" s="885"/>
      <c r="FM1092" s="885"/>
      <c r="FN1092" s="885"/>
      <c r="FO1092" s="885"/>
      <c r="FP1092" s="885"/>
      <c r="FQ1092" s="885"/>
      <c r="FR1092" s="885"/>
      <c r="FS1092" s="885"/>
      <c r="FT1092" s="885"/>
      <c r="FU1092" s="885"/>
      <c r="FV1092" s="885"/>
      <c r="FW1092" s="885"/>
      <c r="FX1092" s="885"/>
      <c r="FY1092" s="885"/>
      <c r="FZ1092" s="885"/>
      <c r="GA1092" s="885"/>
      <c r="GB1092" s="885"/>
      <c r="GC1092" s="885"/>
      <c r="GD1092" s="885"/>
      <c r="GE1092" s="885"/>
      <c r="GF1092" s="885"/>
      <c r="GG1092" s="885"/>
      <c r="GH1092" s="885"/>
      <c r="GI1092" s="885"/>
      <c r="GJ1092" s="885"/>
      <c r="GK1092" s="885"/>
      <c r="GL1092" s="885"/>
      <c r="GM1092" s="885"/>
      <c r="GN1092" s="885"/>
      <c r="GO1092" s="885"/>
      <c r="GP1092" s="885"/>
      <c r="GQ1092" s="885"/>
      <c r="GR1092" s="885"/>
      <c r="GS1092" s="885"/>
      <c r="GT1092" s="885"/>
      <c r="GU1092" s="885"/>
      <c r="GV1092" s="885"/>
      <c r="GW1092" s="885"/>
      <c r="GX1092" s="885"/>
      <c r="GY1092" s="885"/>
      <c r="GZ1092" s="885"/>
      <c r="HA1092" s="885"/>
      <c r="HB1092" s="885"/>
      <c r="HC1092" s="885"/>
      <c r="HD1092" s="885"/>
      <c r="HE1092" s="885"/>
      <c r="HF1092" s="885"/>
      <c r="HG1092" s="885"/>
      <c r="HH1092" s="885"/>
      <c r="HI1092" s="885"/>
      <c r="HJ1092" s="885"/>
      <c r="HK1092" s="885"/>
      <c r="HL1092" s="885"/>
      <c r="HM1092" s="885"/>
      <c r="HN1092" s="885"/>
      <c r="HO1092" s="885"/>
      <c r="HP1092" s="885"/>
      <c r="HQ1092" s="885"/>
      <c r="HR1092" s="885"/>
      <c r="HS1092" s="885"/>
      <c r="HT1092" s="885"/>
      <c r="HU1092" s="885"/>
      <c r="HV1092" s="885"/>
      <c r="HW1092" s="885"/>
      <c r="HX1092" s="885"/>
      <c r="HY1092" s="885"/>
      <c r="HZ1092" s="885"/>
      <c r="IA1092" s="885"/>
      <c r="IB1092" s="885"/>
      <c r="IC1092" s="885"/>
      <c r="ID1092" s="885"/>
      <c r="IE1092" s="885"/>
      <c r="IF1092" s="885"/>
      <c r="IG1092" s="885"/>
      <c r="IH1092" s="885"/>
      <c r="II1092" s="885"/>
      <c r="IJ1092" s="885"/>
      <c r="IK1092" s="885"/>
      <c r="IL1092" s="885"/>
      <c r="IM1092" s="885"/>
      <c r="IN1092" s="885"/>
      <c r="IO1092" s="885"/>
      <c r="IP1092" s="885"/>
      <c r="IQ1092" s="885"/>
      <c r="IR1092" s="885"/>
      <c r="IS1092" s="885"/>
      <c r="IT1092" s="885"/>
      <c r="IU1092" s="885"/>
      <c r="IV1092" s="885"/>
      <c r="IW1092" s="885"/>
      <c r="IX1092" s="885"/>
    </row>
    <row r="1093" spans="1:258" x14ac:dyDescent="0.25">
      <c r="A1093" s="125">
        <f t="shared" si="127"/>
        <v>1053</v>
      </c>
      <c r="B1093" s="885"/>
      <c r="C1093" s="842" t="s">
        <v>10661</v>
      </c>
      <c r="D1093" s="924">
        <v>0</v>
      </c>
      <c r="E1093" s="924">
        <v>0</v>
      </c>
      <c r="F1093" s="136">
        <v>1</v>
      </c>
      <c r="G1093" s="122" t="s">
        <v>1963</v>
      </c>
      <c r="H1093" s="885"/>
      <c r="I1093" s="885"/>
      <c r="J1093" s="885"/>
      <c r="K1093" s="885"/>
      <c r="L1093" s="885"/>
      <c r="M1093" s="885"/>
      <c r="N1093" s="885"/>
      <c r="O1093" s="885"/>
      <c r="P1093" s="885"/>
      <c r="Q1093" s="885"/>
      <c r="R1093" s="885"/>
      <c r="S1093" s="885"/>
      <c r="T1093" s="885"/>
      <c r="U1093" s="885"/>
      <c r="V1093" s="885"/>
      <c r="W1093" s="885"/>
      <c r="X1093" s="885"/>
      <c r="Y1093" s="885"/>
      <c r="Z1093" s="885"/>
      <c r="AA1093" s="885"/>
      <c r="AB1093" s="885"/>
      <c r="AC1093" s="885"/>
      <c r="AD1093" s="885"/>
      <c r="AE1093" s="885"/>
      <c r="AF1093" s="885"/>
      <c r="AG1093" s="885"/>
      <c r="AH1093" s="885"/>
      <c r="AI1093" s="885"/>
      <c r="AJ1093" s="885"/>
      <c r="AK1093" s="885"/>
      <c r="AL1093" s="885"/>
      <c r="AM1093" s="885"/>
      <c r="AN1093" s="885"/>
      <c r="AO1093" s="885"/>
      <c r="AP1093" s="885"/>
      <c r="AQ1093" s="885"/>
      <c r="AR1093" s="885"/>
      <c r="AS1093" s="885"/>
      <c r="AT1093" s="885"/>
      <c r="AU1093" s="885"/>
      <c r="AV1093" s="885"/>
      <c r="AW1093" s="885"/>
      <c r="AX1093" s="885"/>
      <c r="AY1093" s="885"/>
      <c r="AZ1093" s="885"/>
      <c r="BA1093" s="885"/>
      <c r="BB1093" s="885"/>
      <c r="BC1093" s="885"/>
      <c r="BD1093" s="885"/>
      <c r="BE1093" s="885"/>
      <c r="BF1093" s="885"/>
      <c r="BG1093" s="885"/>
      <c r="BH1093" s="885"/>
      <c r="BI1093" s="885"/>
      <c r="BJ1093" s="885"/>
      <c r="BK1093" s="885"/>
      <c r="BL1093" s="885"/>
      <c r="BM1093" s="885"/>
      <c r="BN1093" s="885"/>
      <c r="BO1093" s="885"/>
      <c r="BP1093" s="885"/>
      <c r="BQ1093" s="885"/>
      <c r="BR1093" s="885"/>
      <c r="BS1093" s="885"/>
      <c r="BT1093" s="885"/>
      <c r="BU1093" s="885"/>
      <c r="BV1093" s="885"/>
      <c r="BW1093" s="885"/>
      <c r="BX1093" s="885"/>
      <c r="BY1093" s="885"/>
      <c r="BZ1093" s="885"/>
      <c r="CA1093" s="885"/>
      <c r="CB1093" s="885"/>
      <c r="CC1093" s="885"/>
      <c r="CD1093" s="885"/>
      <c r="CE1093" s="885"/>
      <c r="CF1093" s="885"/>
      <c r="CG1093" s="885"/>
      <c r="CH1093" s="885"/>
      <c r="CI1093" s="885"/>
      <c r="CJ1093" s="885"/>
      <c r="CK1093" s="885"/>
      <c r="CL1093" s="885"/>
      <c r="CM1093" s="885"/>
      <c r="CN1093" s="885"/>
      <c r="CO1093" s="885"/>
      <c r="CP1093" s="885"/>
      <c r="CQ1093" s="885"/>
      <c r="CR1093" s="885"/>
      <c r="CS1093" s="885"/>
      <c r="CT1093" s="885"/>
      <c r="CU1093" s="885"/>
      <c r="CV1093" s="885"/>
      <c r="CW1093" s="885"/>
      <c r="CX1093" s="885"/>
      <c r="CY1093" s="885"/>
      <c r="CZ1093" s="885"/>
      <c r="DA1093" s="885"/>
      <c r="DB1093" s="885"/>
      <c r="DC1093" s="885"/>
      <c r="DD1093" s="885"/>
      <c r="DE1093" s="885"/>
      <c r="DF1093" s="885"/>
      <c r="DG1093" s="885"/>
      <c r="DH1093" s="885"/>
      <c r="DI1093" s="885"/>
      <c r="DJ1093" s="885"/>
      <c r="DK1093" s="885"/>
      <c r="DL1093" s="885"/>
      <c r="DM1093" s="885"/>
      <c r="DN1093" s="885"/>
      <c r="DO1093" s="885"/>
      <c r="DP1093" s="885"/>
      <c r="DQ1093" s="885"/>
      <c r="DR1093" s="885"/>
      <c r="DS1093" s="885"/>
      <c r="DT1093" s="885"/>
      <c r="DU1093" s="885"/>
      <c r="DV1093" s="885"/>
      <c r="DW1093" s="885"/>
      <c r="DX1093" s="885"/>
      <c r="DY1093" s="885"/>
      <c r="DZ1093" s="885"/>
      <c r="EA1093" s="885"/>
      <c r="EB1093" s="885"/>
      <c r="EC1093" s="885"/>
      <c r="ED1093" s="885"/>
      <c r="EE1093" s="885"/>
      <c r="EF1093" s="885"/>
      <c r="EG1093" s="885"/>
      <c r="EH1093" s="885"/>
      <c r="EI1093" s="885"/>
      <c r="EJ1093" s="885"/>
      <c r="EK1093" s="885"/>
      <c r="EL1093" s="885"/>
      <c r="EM1093" s="885"/>
      <c r="EN1093" s="885"/>
      <c r="EO1093" s="885"/>
      <c r="EP1093" s="885"/>
      <c r="EQ1093" s="885"/>
      <c r="ER1093" s="885"/>
      <c r="ES1093" s="885"/>
      <c r="ET1093" s="885"/>
      <c r="EU1093" s="885"/>
      <c r="EV1093" s="885"/>
      <c r="EW1093" s="885"/>
      <c r="EX1093" s="885"/>
      <c r="EY1093" s="885"/>
      <c r="EZ1093" s="885"/>
      <c r="FA1093" s="885"/>
      <c r="FB1093" s="885"/>
      <c r="FC1093" s="885"/>
      <c r="FD1093" s="885"/>
      <c r="FE1093" s="885"/>
      <c r="FF1093" s="885"/>
      <c r="FG1093" s="885"/>
      <c r="FH1093" s="885"/>
      <c r="FI1093" s="885"/>
      <c r="FJ1093" s="885"/>
      <c r="FK1093" s="885"/>
      <c r="FL1093" s="885"/>
      <c r="FM1093" s="885"/>
      <c r="FN1093" s="885"/>
      <c r="FO1093" s="885"/>
      <c r="FP1093" s="885"/>
      <c r="FQ1093" s="885"/>
      <c r="FR1093" s="885"/>
      <c r="FS1093" s="885"/>
      <c r="FT1093" s="885"/>
      <c r="FU1093" s="885"/>
      <c r="FV1093" s="885"/>
      <c r="FW1093" s="885"/>
      <c r="FX1093" s="885"/>
      <c r="FY1093" s="885"/>
      <c r="FZ1093" s="885"/>
      <c r="GA1093" s="885"/>
      <c r="GB1093" s="885"/>
      <c r="GC1093" s="885"/>
      <c r="GD1093" s="885"/>
      <c r="GE1093" s="885"/>
      <c r="GF1093" s="885"/>
      <c r="GG1093" s="885"/>
      <c r="GH1093" s="885"/>
      <c r="GI1093" s="885"/>
      <c r="GJ1093" s="885"/>
      <c r="GK1093" s="885"/>
      <c r="GL1093" s="885"/>
      <c r="GM1093" s="885"/>
      <c r="GN1093" s="885"/>
      <c r="GO1093" s="885"/>
      <c r="GP1093" s="885"/>
      <c r="GQ1093" s="885"/>
      <c r="GR1093" s="885"/>
      <c r="GS1093" s="885"/>
      <c r="GT1093" s="885"/>
      <c r="GU1093" s="885"/>
      <c r="GV1093" s="885"/>
      <c r="GW1093" s="885"/>
      <c r="GX1093" s="885"/>
      <c r="GY1093" s="885"/>
      <c r="GZ1093" s="885"/>
      <c r="HA1093" s="885"/>
      <c r="HB1093" s="885"/>
      <c r="HC1093" s="885"/>
      <c r="HD1093" s="885"/>
      <c r="HE1093" s="885"/>
      <c r="HF1093" s="885"/>
      <c r="HG1093" s="885"/>
      <c r="HH1093" s="885"/>
      <c r="HI1093" s="885"/>
      <c r="HJ1093" s="885"/>
      <c r="HK1093" s="885"/>
      <c r="HL1093" s="885"/>
      <c r="HM1093" s="885"/>
      <c r="HN1093" s="885"/>
      <c r="HO1093" s="885"/>
      <c r="HP1093" s="885"/>
      <c r="HQ1093" s="885"/>
      <c r="HR1093" s="885"/>
      <c r="HS1093" s="885"/>
      <c r="HT1093" s="885"/>
      <c r="HU1093" s="885"/>
      <c r="HV1093" s="885"/>
      <c r="HW1093" s="885"/>
      <c r="HX1093" s="885"/>
      <c r="HY1093" s="885"/>
      <c r="HZ1093" s="885"/>
      <c r="IA1093" s="885"/>
      <c r="IB1093" s="885"/>
      <c r="IC1093" s="885"/>
      <c r="ID1093" s="885"/>
      <c r="IE1093" s="885"/>
      <c r="IF1093" s="885"/>
      <c r="IG1093" s="885"/>
      <c r="IH1093" s="885"/>
      <c r="II1093" s="885"/>
      <c r="IJ1093" s="885"/>
      <c r="IK1093" s="885"/>
      <c r="IL1093" s="885"/>
      <c r="IM1093" s="885"/>
      <c r="IN1093" s="885"/>
      <c r="IO1093" s="885"/>
      <c r="IP1093" s="885"/>
      <c r="IQ1093" s="885"/>
      <c r="IR1093" s="885"/>
      <c r="IS1093" s="885"/>
      <c r="IT1093" s="885"/>
      <c r="IU1093" s="885"/>
      <c r="IV1093" s="885"/>
      <c r="IW1093" s="885"/>
      <c r="IX1093" s="885"/>
    </row>
    <row r="1094" spans="1:258" x14ac:dyDescent="0.25">
      <c r="A1094" s="125">
        <f t="shared" si="127"/>
        <v>1054</v>
      </c>
      <c r="B1094" s="885"/>
      <c r="C1094" s="842"/>
      <c r="D1094" s="924"/>
      <c r="E1094" s="924"/>
      <c r="F1094" s="136"/>
      <c r="H1094" s="885"/>
      <c r="I1094" s="885"/>
      <c r="J1094" s="885"/>
      <c r="K1094" s="885"/>
      <c r="L1094" s="885"/>
      <c r="M1094" s="885"/>
      <c r="N1094" s="885"/>
      <c r="O1094" s="885"/>
      <c r="P1094" s="885"/>
      <c r="Q1094" s="885"/>
      <c r="R1094" s="885"/>
      <c r="S1094" s="885"/>
      <c r="T1094" s="885"/>
      <c r="U1094" s="885"/>
      <c r="V1094" s="885"/>
      <c r="W1094" s="885"/>
      <c r="X1094" s="885"/>
      <c r="Y1094" s="885"/>
      <c r="Z1094" s="885"/>
      <c r="AA1094" s="885"/>
      <c r="AB1094" s="885"/>
      <c r="AC1094" s="885"/>
      <c r="AD1094" s="885"/>
      <c r="AE1094" s="885"/>
      <c r="AF1094" s="885"/>
      <c r="AG1094" s="885"/>
      <c r="AH1094" s="885"/>
      <c r="AI1094" s="885"/>
      <c r="AJ1094" s="885"/>
      <c r="AK1094" s="885"/>
      <c r="AL1094" s="885"/>
      <c r="AM1094" s="885"/>
      <c r="AN1094" s="885"/>
      <c r="AO1094" s="885"/>
      <c r="AP1094" s="885"/>
      <c r="AQ1094" s="885"/>
      <c r="AR1094" s="885"/>
      <c r="AS1094" s="885"/>
      <c r="AT1094" s="885"/>
      <c r="AU1094" s="885"/>
      <c r="AV1094" s="885"/>
      <c r="AW1094" s="885"/>
      <c r="AX1094" s="885"/>
      <c r="AY1094" s="885"/>
      <c r="AZ1094" s="885"/>
      <c r="BA1094" s="885"/>
      <c r="BB1094" s="885"/>
      <c r="BC1094" s="885"/>
      <c r="BD1094" s="885"/>
      <c r="BE1094" s="885"/>
      <c r="BF1094" s="885"/>
      <c r="BG1094" s="885"/>
      <c r="BH1094" s="885"/>
      <c r="BI1094" s="885"/>
      <c r="BJ1094" s="885"/>
      <c r="BK1094" s="885"/>
      <c r="BL1094" s="885"/>
      <c r="BM1094" s="885"/>
      <c r="BN1094" s="885"/>
      <c r="BO1094" s="885"/>
      <c r="BP1094" s="885"/>
      <c r="BQ1094" s="885"/>
      <c r="BR1094" s="885"/>
      <c r="BS1094" s="885"/>
      <c r="BT1094" s="885"/>
      <c r="BU1094" s="885"/>
      <c r="BV1094" s="885"/>
      <c r="BW1094" s="885"/>
      <c r="BX1094" s="885"/>
      <c r="BY1094" s="885"/>
      <c r="BZ1094" s="885"/>
      <c r="CA1094" s="885"/>
      <c r="CB1094" s="885"/>
      <c r="CC1094" s="885"/>
      <c r="CD1094" s="885"/>
      <c r="CE1094" s="885"/>
      <c r="CF1094" s="885"/>
      <c r="CG1094" s="885"/>
      <c r="CH1094" s="885"/>
      <c r="CI1094" s="885"/>
      <c r="CJ1094" s="885"/>
      <c r="CK1094" s="885"/>
      <c r="CL1094" s="885"/>
      <c r="CM1094" s="885"/>
      <c r="CN1094" s="885"/>
      <c r="CO1094" s="885"/>
      <c r="CP1094" s="885"/>
      <c r="CQ1094" s="885"/>
      <c r="CR1094" s="885"/>
      <c r="CS1094" s="885"/>
      <c r="CT1094" s="885"/>
      <c r="CU1094" s="885"/>
      <c r="CV1094" s="885"/>
      <c r="CW1094" s="885"/>
      <c r="CX1094" s="885"/>
      <c r="CY1094" s="885"/>
      <c r="CZ1094" s="885"/>
      <c r="DA1094" s="885"/>
      <c r="DB1094" s="885"/>
      <c r="DC1094" s="885"/>
      <c r="DD1094" s="885"/>
      <c r="DE1094" s="885"/>
      <c r="DF1094" s="885"/>
      <c r="DG1094" s="885"/>
      <c r="DH1094" s="885"/>
      <c r="DI1094" s="885"/>
      <c r="DJ1094" s="885"/>
      <c r="DK1094" s="885"/>
      <c r="DL1094" s="885"/>
      <c r="DM1094" s="885"/>
      <c r="DN1094" s="885"/>
      <c r="DO1094" s="885"/>
      <c r="DP1094" s="885"/>
      <c r="DQ1094" s="885"/>
      <c r="DR1094" s="885"/>
      <c r="DS1094" s="885"/>
      <c r="DT1094" s="885"/>
      <c r="DU1094" s="885"/>
      <c r="DV1094" s="885"/>
      <c r="DW1094" s="885"/>
      <c r="DX1094" s="885"/>
      <c r="DY1094" s="885"/>
      <c r="DZ1094" s="885"/>
      <c r="EA1094" s="885"/>
      <c r="EB1094" s="885"/>
      <c r="EC1094" s="885"/>
      <c r="ED1094" s="885"/>
      <c r="EE1094" s="885"/>
      <c r="EF1094" s="885"/>
      <c r="EG1094" s="885"/>
      <c r="EH1094" s="885"/>
      <c r="EI1094" s="885"/>
      <c r="EJ1094" s="885"/>
      <c r="EK1094" s="885"/>
      <c r="EL1094" s="885"/>
      <c r="EM1094" s="885"/>
      <c r="EN1094" s="885"/>
      <c r="EO1094" s="885"/>
      <c r="EP1094" s="885"/>
      <c r="EQ1094" s="885"/>
      <c r="ER1094" s="885"/>
      <c r="ES1094" s="885"/>
      <c r="ET1094" s="885"/>
      <c r="EU1094" s="885"/>
      <c r="EV1094" s="885"/>
      <c r="EW1094" s="885"/>
      <c r="EX1094" s="885"/>
      <c r="EY1094" s="885"/>
      <c r="EZ1094" s="885"/>
      <c r="FA1094" s="885"/>
      <c r="FB1094" s="885"/>
      <c r="FC1094" s="885"/>
      <c r="FD1094" s="885"/>
      <c r="FE1094" s="885"/>
      <c r="FF1094" s="885"/>
      <c r="FG1094" s="885"/>
      <c r="FH1094" s="885"/>
      <c r="FI1094" s="885"/>
      <c r="FJ1094" s="885"/>
      <c r="FK1094" s="885"/>
      <c r="FL1094" s="885"/>
      <c r="FM1094" s="885"/>
      <c r="FN1094" s="885"/>
      <c r="FO1094" s="885"/>
      <c r="FP1094" s="885"/>
      <c r="FQ1094" s="885"/>
      <c r="FR1094" s="885"/>
      <c r="FS1094" s="885"/>
      <c r="FT1094" s="885"/>
      <c r="FU1094" s="885"/>
      <c r="FV1094" s="885"/>
      <c r="FW1094" s="885"/>
      <c r="FX1094" s="885"/>
      <c r="FY1094" s="885"/>
      <c r="FZ1094" s="885"/>
      <c r="GA1094" s="885"/>
      <c r="GB1094" s="885"/>
      <c r="GC1094" s="885"/>
      <c r="GD1094" s="885"/>
      <c r="GE1094" s="885"/>
      <c r="GF1094" s="885"/>
      <c r="GG1094" s="885"/>
      <c r="GH1094" s="885"/>
      <c r="GI1094" s="885"/>
      <c r="GJ1094" s="885"/>
      <c r="GK1094" s="885"/>
      <c r="GL1094" s="885"/>
      <c r="GM1094" s="885"/>
      <c r="GN1094" s="885"/>
      <c r="GO1094" s="885"/>
      <c r="GP1094" s="885"/>
      <c r="GQ1094" s="885"/>
      <c r="GR1094" s="885"/>
      <c r="GS1094" s="885"/>
      <c r="GT1094" s="885"/>
      <c r="GU1094" s="885"/>
      <c r="GV1094" s="885"/>
      <c r="GW1094" s="885"/>
      <c r="GX1094" s="885"/>
      <c r="GY1094" s="885"/>
      <c r="GZ1094" s="885"/>
      <c r="HA1094" s="885"/>
      <c r="HB1094" s="885"/>
      <c r="HC1094" s="885"/>
      <c r="HD1094" s="885"/>
      <c r="HE1094" s="885"/>
      <c r="HF1094" s="885"/>
      <c r="HG1094" s="885"/>
      <c r="HH1094" s="885"/>
      <c r="HI1094" s="885"/>
      <c r="HJ1094" s="885"/>
      <c r="HK1094" s="885"/>
      <c r="HL1094" s="885"/>
      <c r="HM1094" s="885"/>
      <c r="HN1094" s="885"/>
      <c r="HO1094" s="885"/>
      <c r="HP1094" s="885"/>
      <c r="HQ1094" s="885"/>
      <c r="HR1094" s="885"/>
      <c r="HS1094" s="885"/>
      <c r="HT1094" s="885"/>
      <c r="HU1094" s="885"/>
      <c r="HV1094" s="885"/>
      <c r="HW1094" s="885"/>
      <c r="HX1094" s="885"/>
      <c r="HY1094" s="885"/>
      <c r="HZ1094" s="885"/>
      <c r="IA1094" s="885"/>
      <c r="IB1094" s="885"/>
      <c r="IC1094" s="885"/>
      <c r="ID1094" s="885"/>
      <c r="IE1094" s="885"/>
      <c r="IF1094" s="885"/>
      <c r="IG1094" s="885"/>
      <c r="IH1094" s="885"/>
      <c r="II1094" s="885"/>
      <c r="IJ1094" s="885"/>
      <c r="IK1094" s="885"/>
      <c r="IL1094" s="885"/>
      <c r="IM1094" s="885"/>
      <c r="IN1094" s="885"/>
      <c r="IO1094" s="885"/>
      <c r="IP1094" s="885"/>
      <c r="IQ1094" s="885"/>
      <c r="IR1094" s="885"/>
      <c r="IS1094" s="885"/>
      <c r="IT1094" s="885"/>
      <c r="IU1094" s="885"/>
      <c r="IV1094" s="885"/>
      <c r="IW1094" s="885"/>
      <c r="IX1094" s="885"/>
    </row>
    <row r="1095" spans="1:258" x14ac:dyDescent="0.25">
      <c r="A1095" s="125">
        <f t="shared" si="127"/>
        <v>1055</v>
      </c>
      <c r="B1095" s="885"/>
      <c r="C1095" s="793" t="s">
        <v>7911</v>
      </c>
      <c r="D1095" s="918"/>
      <c r="E1095" s="918"/>
      <c r="F1095" s="793"/>
      <c r="G1095" s="793"/>
      <c r="H1095" s="793"/>
      <c r="I1095" s="793"/>
      <c r="J1095" s="885"/>
      <c r="K1095" s="885"/>
      <c r="L1095" s="885"/>
      <c r="M1095" s="885"/>
      <c r="N1095" s="885"/>
      <c r="O1095" s="885"/>
      <c r="P1095" s="885"/>
      <c r="Q1095" s="885"/>
      <c r="R1095" s="885"/>
      <c r="S1095" s="885"/>
      <c r="T1095" s="885"/>
      <c r="U1095" s="885"/>
      <c r="V1095" s="885"/>
      <c r="W1095" s="885"/>
      <c r="X1095" s="885"/>
      <c r="Y1095" s="885"/>
      <c r="Z1095" s="885"/>
      <c r="AA1095" s="885"/>
      <c r="AB1095" s="885"/>
      <c r="AC1095" s="885"/>
      <c r="AD1095" s="885"/>
      <c r="AE1095" s="885"/>
      <c r="AF1095" s="885"/>
      <c r="AG1095" s="885"/>
      <c r="AH1095" s="885"/>
      <c r="AI1095" s="885"/>
      <c r="AJ1095" s="885"/>
      <c r="AK1095" s="885"/>
      <c r="AL1095" s="885"/>
      <c r="AM1095" s="885"/>
      <c r="AN1095" s="885"/>
      <c r="AO1095" s="885"/>
      <c r="AP1095" s="885"/>
      <c r="AQ1095" s="885"/>
      <c r="AR1095" s="885"/>
      <c r="AS1095" s="885"/>
      <c r="AT1095" s="885"/>
      <c r="AU1095" s="885"/>
      <c r="AV1095" s="885"/>
      <c r="AW1095" s="885"/>
      <c r="AX1095" s="885"/>
      <c r="AY1095" s="885"/>
      <c r="AZ1095" s="885"/>
      <c r="BA1095" s="885"/>
      <c r="BB1095" s="885"/>
      <c r="BC1095" s="885"/>
      <c r="BD1095" s="885"/>
      <c r="BE1095" s="885"/>
      <c r="BF1095" s="885"/>
      <c r="BG1095" s="885"/>
      <c r="BH1095" s="885"/>
      <c r="BI1095" s="885"/>
      <c r="BJ1095" s="885"/>
      <c r="BK1095" s="885"/>
      <c r="BL1095" s="885"/>
      <c r="BM1095" s="885"/>
      <c r="BN1095" s="885"/>
      <c r="BO1095" s="885"/>
      <c r="BP1095" s="885"/>
      <c r="BQ1095" s="885"/>
      <c r="BR1095" s="885"/>
      <c r="BS1095" s="885"/>
      <c r="BT1095" s="885"/>
      <c r="BU1095" s="885"/>
      <c r="BV1095" s="885"/>
      <c r="BW1095" s="885"/>
      <c r="BX1095" s="885"/>
      <c r="BY1095" s="885"/>
      <c r="BZ1095" s="885"/>
      <c r="CA1095" s="885"/>
      <c r="CB1095" s="885"/>
      <c r="CC1095" s="885"/>
      <c r="CD1095" s="885"/>
      <c r="CE1095" s="885"/>
      <c r="CF1095" s="885"/>
      <c r="CG1095" s="885"/>
      <c r="CH1095" s="885"/>
      <c r="CI1095" s="885"/>
      <c r="CJ1095" s="885"/>
      <c r="CK1095" s="885"/>
      <c r="CL1095" s="885"/>
      <c r="CM1095" s="885"/>
      <c r="CN1095" s="885"/>
      <c r="CO1095" s="885"/>
      <c r="CP1095" s="885"/>
      <c r="CQ1095" s="885"/>
      <c r="CR1095" s="885"/>
      <c r="CS1095" s="885"/>
      <c r="CT1095" s="885"/>
      <c r="CU1095" s="885"/>
      <c r="CV1095" s="885"/>
      <c r="CW1095" s="885"/>
      <c r="CX1095" s="885"/>
      <c r="CY1095" s="885"/>
      <c r="CZ1095" s="885"/>
      <c r="DA1095" s="885"/>
      <c r="DB1095" s="885"/>
      <c r="DC1095" s="885"/>
      <c r="DD1095" s="885"/>
      <c r="DE1095" s="885"/>
      <c r="DF1095" s="885"/>
      <c r="DG1095" s="885"/>
      <c r="DH1095" s="885"/>
      <c r="DI1095" s="885"/>
      <c r="DJ1095" s="885"/>
      <c r="DK1095" s="885"/>
      <c r="DL1095" s="885"/>
      <c r="DM1095" s="885"/>
      <c r="DN1095" s="885"/>
      <c r="DO1095" s="885"/>
      <c r="DP1095" s="885"/>
      <c r="DQ1095" s="885"/>
      <c r="DR1095" s="885"/>
      <c r="DS1095" s="885"/>
      <c r="DT1095" s="885"/>
      <c r="DU1095" s="885"/>
      <c r="DV1095" s="885"/>
      <c r="DW1095" s="885"/>
      <c r="DX1095" s="885"/>
      <c r="DY1095" s="885"/>
      <c r="DZ1095" s="885"/>
      <c r="EA1095" s="885"/>
      <c r="EB1095" s="885"/>
      <c r="EC1095" s="885"/>
      <c r="ED1095" s="885"/>
      <c r="EE1095" s="885"/>
      <c r="EF1095" s="885"/>
      <c r="EG1095" s="885"/>
      <c r="EH1095" s="885"/>
      <c r="EI1095" s="885"/>
      <c r="EJ1095" s="885"/>
      <c r="EK1095" s="885"/>
      <c r="EL1095" s="885"/>
      <c r="EM1095" s="885"/>
      <c r="EN1095" s="885"/>
      <c r="EO1095" s="885"/>
      <c r="EP1095" s="885"/>
      <c r="EQ1095" s="885"/>
      <c r="ER1095" s="885"/>
      <c r="ES1095" s="885"/>
      <c r="ET1095" s="885"/>
      <c r="EU1095" s="885"/>
      <c r="EV1095" s="885"/>
      <c r="EW1095" s="885"/>
      <c r="EX1095" s="885"/>
      <c r="EY1095" s="885"/>
      <c r="EZ1095" s="885"/>
      <c r="FA1095" s="885"/>
      <c r="FB1095" s="885"/>
      <c r="FC1095" s="885"/>
      <c r="FD1095" s="885"/>
      <c r="FE1095" s="885"/>
      <c r="FF1095" s="885"/>
      <c r="FG1095" s="885"/>
      <c r="FH1095" s="885"/>
      <c r="FI1095" s="885"/>
      <c r="FJ1095" s="885"/>
      <c r="FK1095" s="885"/>
      <c r="FL1095" s="885"/>
      <c r="FM1095" s="885"/>
      <c r="FN1095" s="885"/>
      <c r="FO1095" s="885"/>
      <c r="FP1095" s="885"/>
      <c r="FQ1095" s="885"/>
      <c r="FR1095" s="885"/>
      <c r="FS1095" s="885"/>
      <c r="FT1095" s="885"/>
      <c r="FU1095" s="885"/>
      <c r="FV1095" s="885"/>
      <c r="FW1095" s="885"/>
      <c r="FX1095" s="885"/>
      <c r="FY1095" s="885"/>
      <c r="FZ1095" s="885"/>
      <c r="GA1095" s="885"/>
      <c r="GB1095" s="885"/>
      <c r="GC1095" s="885"/>
      <c r="GD1095" s="885"/>
      <c r="GE1095" s="885"/>
      <c r="GF1095" s="885"/>
      <c r="GG1095" s="885"/>
      <c r="GH1095" s="885"/>
      <c r="GI1095" s="885"/>
      <c r="GJ1095" s="885"/>
      <c r="GK1095" s="885"/>
      <c r="GL1095" s="885"/>
      <c r="GM1095" s="885"/>
      <c r="GN1095" s="885"/>
      <c r="GO1095" s="885"/>
      <c r="GP1095" s="885"/>
      <c r="GQ1095" s="885"/>
      <c r="GR1095" s="885"/>
      <c r="GS1095" s="885"/>
      <c r="GT1095" s="885"/>
      <c r="GU1095" s="885"/>
      <c r="GV1095" s="885"/>
      <c r="GW1095" s="885"/>
      <c r="GX1095" s="885"/>
      <c r="GY1095" s="885"/>
      <c r="GZ1095" s="885"/>
      <c r="HA1095" s="885"/>
      <c r="HB1095" s="885"/>
      <c r="HC1095" s="885"/>
      <c r="HD1095" s="885"/>
      <c r="HE1095" s="885"/>
      <c r="HF1095" s="885"/>
      <c r="HG1095" s="885"/>
      <c r="HH1095" s="885"/>
      <c r="HI1095" s="885"/>
      <c r="HJ1095" s="885"/>
      <c r="HK1095" s="885"/>
      <c r="HL1095" s="885"/>
      <c r="HM1095" s="885"/>
      <c r="HN1095" s="885"/>
      <c r="HO1095" s="885"/>
      <c r="HP1095" s="885"/>
      <c r="HQ1095" s="885"/>
      <c r="HR1095" s="885"/>
      <c r="HS1095" s="885"/>
      <c r="HT1095" s="885"/>
      <c r="HU1095" s="885"/>
      <c r="HV1095" s="885"/>
      <c r="HW1095" s="885"/>
      <c r="HX1095" s="885"/>
      <c r="HY1095" s="885"/>
      <c r="HZ1095" s="885"/>
      <c r="IA1095" s="885"/>
      <c r="IB1095" s="885"/>
      <c r="IC1095" s="885"/>
      <c r="ID1095" s="885"/>
      <c r="IE1095" s="885"/>
      <c r="IF1095" s="885"/>
      <c r="IG1095" s="885"/>
      <c r="IH1095" s="885"/>
      <c r="II1095" s="885"/>
      <c r="IJ1095" s="885"/>
      <c r="IK1095" s="885"/>
      <c r="IL1095" s="885"/>
      <c r="IM1095" s="885"/>
      <c r="IN1095" s="885"/>
      <c r="IO1095" s="885"/>
      <c r="IP1095" s="885"/>
      <c r="IQ1095" s="885"/>
      <c r="IR1095" s="885"/>
      <c r="IS1095" s="885"/>
      <c r="IT1095" s="885"/>
      <c r="IU1095" s="885"/>
      <c r="IV1095" s="885"/>
      <c r="IW1095" s="885"/>
      <c r="IX1095" s="885"/>
    </row>
    <row r="1096" spans="1:258" x14ac:dyDescent="0.25">
      <c r="A1096" s="125">
        <f t="shared" si="127"/>
        <v>1056</v>
      </c>
      <c r="B1096" s="885"/>
      <c r="C1096" s="793" t="s">
        <v>8219</v>
      </c>
      <c r="D1096" s="918"/>
      <c r="E1096" s="918"/>
      <c r="F1096" s="793"/>
      <c r="G1096" s="793"/>
      <c r="H1096" s="793"/>
      <c r="I1096" s="793"/>
      <c r="J1096" s="885"/>
      <c r="K1096" s="885"/>
      <c r="L1096" s="885"/>
      <c r="M1096" s="885"/>
      <c r="N1096" s="885"/>
      <c r="O1096" s="885"/>
      <c r="P1096" s="885"/>
      <c r="Q1096" s="885"/>
      <c r="R1096" s="885"/>
      <c r="S1096" s="885"/>
      <c r="T1096" s="885"/>
      <c r="U1096" s="885"/>
      <c r="V1096" s="885"/>
      <c r="W1096" s="885"/>
      <c r="X1096" s="885"/>
      <c r="Y1096" s="885"/>
      <c r="Z1096" s="885"/>
      <c r="AA1096" s="885"/>
      <c r="AB1096" s="885"/>
      <c r="AC1096" s="885"/>
      <c r="AD1096" s="885"/>
      <c r="AE1096" s="885"/>
      <c r="AF1096" s="885"/>
      <c r="AG1096" s="885"/>
      <c r="AH1096" s="885"/>
      <c r="AI1096" s="885"/>
      <c r="AJ1096" s="885"/>
      <c r="AK1096" s="885"/>
      <c r="AL1096" s="885"/>
      <c r="AM1096" s="885"/>
      <c r="AN1096" s="885"/>
      <c r="AO1096" s="885"/>
      <c r="AP1096" s="885"/>
      <c r="AQ1096" s="885"/>
      <c r="AR1096" s="885"/>
      <c r="AS1096" s="885"/>
      <c r="AT1096" s="885"/>
      <c r="AU1096" s="885"/>
      <c r="AV1096" s="885"/>
      <c r="AW1096" s="885"/>
      <c r="AX1096" s="885"/>
      <c r="AY1096" s="885"/>
      <c r="AZ1096" s="885"/>
      <c r="BA1096" s="885"/>
      <c r="BB1096" s="885"/>
      <c r="BC1096" s="885"/>
      <c r="BD1096" s="885"/>
      <c r="BE1096" s="885"/>
      <c r="BF1096" s="885"/>
      <c r="BG1096" s="885"/>
      <c r="BH1096" s="885"/>
      <c r="BI1096" s="885"/>
      <c r="BJ1096" s="885"/>
      <c r="BK1096" s="885"/>
      <c r="BL1096" s="885"/>
      <c r="BM1096" s="885"/>
      <c r="BN1096" s="885"/>
      <c r="BO1096" s="885"/>
      <c r="BP1096" s="885"/>
      <c r="BQ1096" s="885"/>
      <c r="BR1096" s="885"/>
      <c r="BS1096" s="885"/>
      <c r="BT1096" s="885"/>
      <c r="BU1096" s="885"/>
      <c r="BV1096" s="885"/>
      <c r="BW1096" s="885"/>
      <c r="BX1096" s="885"/>
      <c r="BY1096" s="885"/>
      <c r="BZ1096" s="885"/>
      <c r="CA1096" s="885"/>
      <c r="CB1096" s="885"/>
      <c r="CC1096" s="885"/>
      <c r="CD1096" s="885"/>
      <c r="CE1096" s="885"/>
      <c r="CF1096" s="885"/>
      <c r="CG1096" s="885"/>
      <c r="CH1096" s="885"/>
      <c r="CI1096" s="885"/>
      <c r="CJ1096" s="885"/>
      <c r="CK1096" s="885"/>
      <c r="CL1096" s="885"/>
      <c r="CM1096" s="885"/>
      <c r="CN1096" s="885"/>
      <c r="CO1096" s="885"/>
      <c r="CP1096" s="885"/>
      <c r="CQ1096" s="885"/>
      <c r="CR1096" s="885"/>
      <c r="CS1096" s="885"/>
      <c r="CT1096" s="885"/>
      <c r="CU1096" s="885"/>
      <c r="CV1096" s="885"/>
      <c r="CW1096" s="885"/>
      <c r="CX1096" s="885"/>
      <c r="CY1096" s="885"/>
      <c r="CZ1096" s="885"/>
      <c r="DA1096" s="885"/>
      <c r="DB1096" s="885"/>
      <c r="DC1096" s="885"/>
      <c r="DD1096" s="885"/>
      <c r="DE1096" s="885"/>
      <c r="DF1096" s="885"/>
      <c r="DG1096" s="885"/>
      <c r="DH1096" s="885"/>
      <c r="DI1096" s="885"/>
      <c r="DJ1096" s="885"/>
      <c r="DK1096" s="885"/>
      <c r="DL1096" s="885"/>
      <c r="DM1096" s="885"/>
      <c r="DN1096" s="885"/>
      <c r="DO1096" s="885"/>
      <c r="DP1096" s="885"/>
      <c r="DQ1096" s="885"/>
      <c r="DR1096" s="885"/>
      <c r="DS1096" s="885"/>
      <c r="DT1096" s="885"/>
      <c r="DU1096" s="885"/>
      <c r="DV1096" s="885"/>
      <c r="DW1096" s="885"/>
      <c r="DX1096" s="885"/>
      <c r="DY1096" s="885"/>
      <c r="DZ1096" s="885"/>
      <c r="EA1096" s="885"/>
      <c r="EB1096" s="885"/>
      <c r="EC1096" s="885"/>
      <c r="ED1096" s="885"/>
      <c r="EE1096" s="885"/>
      <c r="EF1096" s="885"/>
      <c r="EG1096" s="885"/>
      <c r="EH1096" s="885"/>
      <c r="EI1096" s="885"/>
      <c r="EJ1096" s="885"/>
      <c r="EK1096" s="885"/>
      <c r="EL1096" s="885"/>
      <c r="EM1096" s="885"/>
      <c r="EN1096" s="885"/>
      <c r="EO1096" s="885"/>
      <c r="EP1096" s="885"/>
      <c r="EQ1096" s="885"/>
      <c r="ER1096" s="885"/>
      <c r="ES1096" s="885"/>
      <c r="ET1096" s="885"/>
      <c r="EU1096" s="885"/>
      <c r="EV1096" s="885"/>
      <c r="EW1096" s="885"/>
      <c r="EX1096" s="885"/>
      <c r="EY1096" s="885"/>
      <c r="EZ1096" s="885"/>
      <c r="FA1096" s="885"/>
      <c r="FB1096" s="885"/>
      <c r="FC1096" s="885"/>
      <c r="FD1096" s="885"/>
      <c r="FE1096" s="885"/>
      <c r="FF1096" s="885"/>
      <c r="FG1096" s="885"/>
      <c r="FH1096" s="885"/>
      <c r="FI1096" s="885"/>
      <c r="FJ1096" s="885"/>
      <c r="FK1096" s="885"/>
      <c r="FL1096" s="885"/>
      <c r="FM1096" s="885"/>
      <c r="FN1096" s="885"/>
      <c r="FO1096" s="885"/>
      <c r="FP1096" s="885"/>
      <c r="FQ1096" s="885"/>
      <c r="FR1096" s="885"/>
      <c r="FS1096" s="885"/>
      <c r="FT1096" s="885"/>
      <c r="FU1096" s="885"/>
      <c r="FV1096" s="885"/>
      <c r="FW1096" s="885"/>
      <c r="FX1096" s="885"/>
      <c r="FY1096" s="885"/>
      <c r="FZ1096" s="885"/>
      <c r="GA1096" s="885"/>
      <c r="GB1096" s="885"/>
      <c r="GC1096" s="885"/>
      <c r="GD1096" s="885"/>
      <c r="GE1096" s="885"/>
      <c r="GF1096" s="885"/>
      <c r="GG1096" s="885"/>
      <c r="GH1096" s="885"/>
      <c r="GI1096" s="885"/>
      <c r="GJ1096" s="885"/>
      <c r="GK1096" s="885"/>
      <c r="GL1096" s="885"/>
      <c r="GM1096" s="885"/>
      <c r="GN1096" s="885"/>
      <c r="GO1096" s="885"/>
      <c r="GP1096" s="885"/>
      <c r="GQ1096" s="885"/>
      <c r="GR1096" s="885"/>
      <c r="GS1096" s="885"/>
      <c r="GT1096" s="885"/>
      <c r="GU1096" s="885"/>
      <c r="GV1096" s="885"/>
      <c r="GW1096" s="885"/>
      <c r="GX1096" s="885"/>
      <c r="GY1096" s="885"/>
      <c r="GZ1096" s="885"/>
      <c r="HA1096" s="885"/>
      <c r="HB1096" s="885"/>
      <c r="HC1096" s="885"/>
      <c r="HD1096" s="885"/>
      <c r="HE1096" s="885"/>
      <c r="HF1096" s="885"/>
      <c r="HG1096" s="885"/>
      <c r="HH1096" s="885"/>
      <c r="HI1096" s="885"/>
      <c r="HJ1096" s="885"/>
      <c r="HK1096" s="885"/>
      <c r="HL1096" s="885"/>
      <c r="HM1096" s="885"/>
      <c r="HN1096" s="885"/>
      <c r="HO1096" s="885"/>
      <c r="HP1096" s="885"/>
      <c r="HQ1096" s="885"/>
      <c r="HR1096" s="885"/>
      <c r="HS1096" s="885"/>
      <c r="HT1096" s="885"/>
      <c r="HU1096" s="885"/>
      <c r="HV1096" s="885"/>
      <c r="HW1096" s="885"/>
      <c r="HX1096" s="885"/>
      <c r="HY1096" s="885"/>
      <c r="HZ1096" s="885"/>
      <c r="IA1096" s="885"/>
      <c r="IB1096" s="885"/>
      <c r="IC1096" s="885"/>
      <c r="ID1096" s="885"/>
      <c r="IE1096" s="885"/>
      <c r="IF1096" s="885"/>
      <c r="IG1096" s="885"/>
      <c r="IH1096" s="885"/>
      <c r="II1096" s="885"/>
      <c r="IJ1096" s="885"/>
      <c r="IK1096" s="885"/>
      <c r="IL1096" s="885"/>
      <c r="IM1096" s="885"/>
      <c r="IN1096" s="885"/>
      <c r="IO1096" s="885"/>
      <c r="IP1096" s="885"/>
      <c r="IQ1096" s="885"/>
      <c r="IR1096" s="885"/>
      <c r="IS1096" s="885"/>
      <c r="IT1096" s="885"/>
      <c r="IU1096" s="885"/>
      <c r="IV1096" s="885"/>
      <c r="IW1096" s="885"/>
      <c r="IX1096" s="885"/>
    </row>
    <row r="1097" spans="1:258" x14ac:dyDescent="0.25">
      <c r="A1097" s="125">
        <f t="shared" si="127"/>
        <v>1057</v>
      </c>
      <c r="B1097" s="885"/>
      <c r="C1097" s="842" t="s">
        <v>10662</v>
      </c>
      <c r="D1097" s="924">
        <v>0</v>
      </c>
      <c r="E1097" s="924">
        <v>0</v>
      </c>
      <c r="F1097" s="136">
        <f>1</f>
        <v>1</v>
      </c>
      <c r="G1097" s="122" t="s">
        <v>1963</v>
      </c>
      <c r="H1097" s="793"/>
      <c r="I1097" s="793"/>
      <c r="J1097" s="885"/>
      <c r="K1097" s="885"/>
      <c r="L1097" s="885"/>
      <c r="M1097" s="885"/>
      <c r="N1097" s="885"/>
      <c r="O1097" s="885"/>
      <c r="P1097" s="885"/>
      <c r="Q1097" s="885"/>
      <c r="R1097" s="885"/>
      <c r="S1097" s="885"/>
      <c r="T1097" s="885"/>
      <c r="U1097" s="885"/>
      <c r="V1097" s="885"/>
      <c r="W1097" s="885"/>
      <c r="X1097" s="885"/>
      <c r="Y1097" s="885"/>
      <c r="Z1097" s="885"/>
      <c r="AA1097" s="885"/>
      <c r="AB1097" s="885"/>
      <c r="AC1097" s="885"/>
      <c r="AD1097" s="885"/>
      <c r="AE1097" s="885"/>
      <c r="AF1097" s="885"/>
      <c r="AG1097" s="885"/>
      <c r="AH1097" s="885"/>
      <c r="AI1097" s="885"/>
      <c r="AJ1097" s="885"/>
      <c r="AK1097" s="885"/>
      <c r="AL1097" s="885"/>
      <c r="AM1097" s="885"/>
      <c r="AN1097" s="885"/>
      <c r="AO1097" s="885"/>
      <c r="AP1097" s="885"/>
      <c r="AQ1097" s="885"/>
      <c r="AR1097" s="885"/>
      <c r="AS1097" s="885"/>
      <c r="AT1097" s="885"/>
      <c r="AU1097" s="885"/>
      <c r="AV1097" s="885"/>
      <c r="AW1097" s="885"/>
      <c r="AX1097" s="885"/>
      <c r="AY1097" s="885"/>
      <c r="AZ1097" s="885"/>
      <c r="BA1097" s="885"/>
      <c r="BB1097" s="885"/>
      <c r="BC1097" s="885"/>
      <c r="BD1097" s="885"/>
      <c r="BE1097" s="885"/>
      <c r="BF1097" s="885"/>
      <c r="BG1097" s="885"/>
      <c r="BH1097" s="885"/>
      <c r="BI1097" s="885"/>
      <c r="BJ1097" s="885"/>
      <c r="BK1097" s="885"/>
      <c r="BL1097" s="885"/>
      <c r="BM1097" s="885"/>
      <c r="BN1097" s="885"/>
      <c r="BO1097" s="885"/>
      <c r="BP1097" s="885"/>
      <c r="BQ1097" s="885"/>
      <c r="BR1097" s="885"/>
      <c r="BS1097" s="885"/>
      <c r="BT1097" s="885"/>
      <c r="BU1097" s="885"/>
      <c r="BV1097" s="885"/>
      <c r="BW1097" s="885"/>
      <c r="BX1097" s="885"/>
      <c r="BY1097" s="885"/>
      <c r="BZ1097" s="885"/>
      <c r="CA1097" s="885"/>
      <c r="CB1097" s="885"/>
      <c r="CC1097" s="885"/>
      <c r="CD1097" s="885"/>
      <c r="CE1097" s="885"/>
      <c r="CF1097" s="885"/>
      <c r="CG1097" s="885"/>
      <c r="CH1097" s="885"/>
      <c r="CI1097" s="885"/>
      <c r="CJ1097" s="885"/>
      <c r="CK1097" s="885"/>
      <c r="CL1097" s="885"/>
      <c r="CM1097" s="885"/>
      <c r="CN1097" s="885"/>
      <c r="CO1097" s="885"/>
      <c r="CP1097" s="885"/>
      <c r="CQ1097" s="885"/>
      <c r="CR1097" s="885"/>
      <c r="CS1097" s="885"/>
      <c r="CT1097" s="885"/>
      <c r="CU1097" s="885"/>
      <c r="CV1097" s="885"/>
      <c r="CW1097" s="885"/>
      <c r="CX1097" s="885"/>
      <c r="CY1097" s="885"/>
      <c r="CZ1097" s="885"/>
      <c r="DA1097" s="885"/>
      <c r="DB1097" s="885"/>
      <c r="DC1097" s="885"/>
      <c r="DD1097" s="885"/>
      <c r="DE1097" s="885"/>
      <c r="DF1097" s="885"/>
      <c r="DG1097" s="885"/>
      <c r="DH1097" s="885"/>
      <c r="DI1097" s="885"/>
      <c r="DJ1097" s="885"/>
      <c r="DK1097" s="885"/>
      <c r="DL1097" s="885"/>
      <c r="DM1097" s="885"/>
      <c r="DN1097" s="885"/>
      <c r="DO1097" s="885"/>
      <c r="DP1097" s="885"/>
      <c r="DQ1097" s="885"/>
      <c r="DR1097" s="885"/>
      <c r="DS1097" s="885"/>
      <c r="DT1097" s="885"/>
      <c r="DU1097" s="885"/>
      <c r="DV1097" s="885"/>
      <c r="DW1097" s="885"/>
      <c r="DX1097" s="885"/>
      <c r="DY1097" s="885"/>
      <c r="DZ1097" s="885"/>
      <c r="EA1097" s="885"/>
      <c r="EB1097" s="885"/>
      <c r="EC1097" s="885"/>
      <c r="ED1097" s="885"/>
      <c r="EE1097" s="885"/>
      <c r="EF1097" s="885"/>
      <c r="EG1097" s="885"/>
      <c r="EH1097" s="885"/>
      <c r="EI1097" s="885"/>
      <c r="EJ1097" s="885"/>
      <c r="EK1097" s="885"/>
      <c r="EL1097" s="885"/>
      <c r="EM1097" s="885"/>
      <c r="EN1097" s="885"/>
      <c r="EO1097" s="885"/>
      <c r="EP1097" s="885"/>
      <c r="EQ1097" s="885"/>
      <c r="ER1097" s="885"/>
      <c r="ES1097" s="885"/>
      <c r="ET1097" s="885"/>
      <c r="EU1097" s="885"/>
      <c r="EV1097" s="885"/>
      <c r="EW1097" s="885"/>
      <c r="EX1097" s="885"/>
      <c r="EY1097" s="885"/>
      <c r="EZ1097" s="885"/>
      <c r="FA1097" s="885"/>
      <c r="FB1097" s="885"/>
      <c r="FC1097" s="885"/>
      <c r="FD1097" s="885"/>
      <c r="FE1097" s="885"/>
      <c r="FF1097" s="885"/>
      <c r="FG1097" s="885"/>
      <c r="FH1097" s="885"/>
      <c r="FI1097" s="885"/>
      <c r="FJ1097" s="885"/>
      <c r="FK1097" s="885"/>
      <c r="FL1097" s="885"/>
      <c r="FM1097" s="885"/>
      <c r="FN1097" s="885"/>
      <c r="FO1097" s="885"/>
      <c r="FP1097" s="885"/>
      <c r="FQ1097" s="885"/>
      <c r="FR1097" s="885"/>
      <c r="FS1097" s="885"/>
      <c r="FT1097" s="885"/>
      <c r="FU1097" s="885"/>
      <c r="FV1097" s="885"/>
      <c r="FW1097" s="885"/>
      <c r="FX1097" s="885"/>
      <c r="FY1097" s="885"/>
      <c r="FZ1097" s="885"/>
      <c r="GA1097" s="885"/>
      <c r="GB1097" s="885"/>
      <c r="GC1097" s="885"/>
      <c r="GD1097" s="885"/>
      <c r="GE1097" s="885"/>
      <c r="GF1097" s="885"/>
      <c r="GG1097" s="885"/>
      <c r="GH1097" s="885"/>
      <c r="GI1097" s="885"/>
      <c r="GJ1097" s="885"/>
      <c r="GK1097" s="885"/>
      <c r="GL1097" s="885"/>
      <c r="GM1097" s="885"/>
      <c r="GN1097" s="885"/>
      <c r="GO1097" s="885"/>
      <c r="GP1097" s="885"/>
      <c r="GQ1097" s="885"/>
      <c r="GR1097" s="885"/>
      <c r="GS1097" s="885"/>
      <c r="GT1097" s="885"/>
      <c r="GU1097" s="885"/>
      <c r="GV1097" s="885"/>
      <c r="GW1097" s="885"/>
      <c r="GX1097" s="885"/>
      <c r="GY1097" s="885"/>
      <c r="GZ1097" s="885"/>
      <c r="HA1097" s="885"/>
      <c r="HB1097" s="885"/>
      <c r="HC1097" s="885"/>
      <c r="HD1097" s="885"/>
      <c r="HE1097" s="885"/>
      <c r="HF1097" s="885"/>
      <c r="HG1097" s="885"/>
      <c r="HH1097" s="885"/>
      <c r="HI1097" s="885"/>
      <c r="HJ1097" s="885"/>
      <c r="HK1097" s="885"/>
      <c r="HL1097" s="885"/>
      <c r="HM1097" s="885"/>
      <c r="HN1097" s="885"/>
      <c r="HO1097" s="885"/>
      <c r="HP1097" s="885"/>
      <c r="HQ1097" s="885"/>
      <c r="HR1097" s="885"/>
      <c r="HS1097" s="885"/>
      <c r="HT1097" s="885"/>
      <c r="HU1097" s="885"/>
      <c r="HV1097" s="885"/>
      <c r="HW1097" s="885"/>
      <c r="HX1097" s="885"/>
      <c r="HY1097" s="885"/>
      <c r="HZ1097" s="885"/>
      <c r="IA1097" s="885"/>
      <c r="IB1097" s="885"/>
      <c r="IC1097" s="885"/>
      <c r="ID1097" s="885"/>
      <c r="IE1097" s="885"/>
      <c r="IF1097" s="885"/>
      <c r="IG1097" s="885"/>
      <c r="IH1097" s="885"/>
      <c r="II1097" s="885"/>
      <c r="IJ1097" s="885"/>
      <c r="IK1097" s="885"/>
      <c r="IL1097" s="885"/>
      <c r="IM1097" s="885"/>
      <c r="IN1097" s="885"/>
      <c r="IO1097" s="885"/>
      <c r="IP1097" s="885"/>
      <c r="IQ1097" s="885"/>
      <c r="IR1097" s="885"/>
      <c r="IS1097" s="885"/>
      <c r="IT1097" s="885"/>
      <c r="IU1097" s="885"/>
      <c r="IV1097" s="885"/>
      <c r="IW1097" s="885"/>
      <c r="IX1097" s="885"/>
    </row>
    <row r="1098" spans="1:258" ht="31.5" x14ac:dyDescent="0.25">
      <c r="A1098" s="125">
        <f t="shared" si="127"/>
        <v>1058</v>
      </c>
      <c r="B1098" s="885"/>
      <c r="C1098" s="842" t="s">
        <v>10663</v>
      </c>
      <c r="D1098" s="924">
        <f>19216</f>
        <v>19216</v>
      </c>
      <c r="E1098" s="924">
        <f>D1098/8*13.33</f>
        <v>32018.66</v>
      </c>
      <c r="F1098" s="975">
        <f>2590.22+217.24</f>
        <v>2807.46</v>
      </c>
      <c r="G1098" s="122" t="s">
        <v>1963</v>
      </c>
      <c r="H1098" s="793"/>
      <c r="I1098" s="793"/>
      <c r="J1098" s="885"/>
      <c r="K1098" s="885"/>
      <c r="L1098" s="885"/>
      <c r="M1098" s="885"/>
      <c r="N1098" s="885"/>
      <c r="O1098" s="885"/>
      <c r="P1098" s="885"/>
      <c r="Q1098" s="885"/>
      <c r="R1098" s="885"/>
      <c r="S1098" s="885"/>
      <c r="T1098" s="885"/>
      <c r="U1098" s="885"/>
      <c r="V1098" s="885"/>
      <c r="W1098" s="885"/>
      <c r="X1098" s="885"/>
      <c r="Y1098" s="885"/>
      <c r="Z1098" s="885"/>
      <c r="AA1098" s="885"/>
      <c r="AB1098" s="885"/>
      <c r="AC1098" s="885"/>
      <c r="AD1098" s="885"/>
      <c r="AE1098" s="885"/>
      <c r="AF1098" s="885"/>
      <c r="AG1098" s="885"/>
      <c r="AH1098" s="885"/>
      <c r="AI1098" s="885"/>
      <c r="AJ1098" s="885"/>
      <c r="AK1098" s="885"/>
      <c r="AL1098" s="885"/>
      <c r="AM1098" s="885"/>
      <c r="AN1098" s="885"/>
      <c r="AO1098" s="885"/>
      <c r="AP1098" s="885"/>
      <c r="AQ1098" s="885"/>
      <c r="AR1098" s="885"/>
      <c r="AS1098" s="885"/>
      <c r="AT1098" s="885"/>
      <c r="AU1098" s="885"/>
      <c r="AV1098" s="885"/>
      <c r="AW1098" s="885"/>
      <c r="AX1098" s="885"/>
      <c r="AY1098" s="885"/>
      <c r="AZ1098" s="885"/>
      <c r="BA1098" s="885"/>
      <c r="BB1098" s="885"/>
      <c r="BC1098" s="885"/>
      <c r="BD1098" s="885"/>
      <c r="BE1098" s="885"/>
      <c r="BF1098" s="885"/>
      <c r="BG1098" s="885"/>
      <c r="BH1098" s="885"/>
      <c r="BI1098" s="885"/>
      <c r="BJ1098" s="885"/>
      <c r="BK1098" s="885"/>
      <c r="BL1098" s="885"/>
      <c r="BM1098" s="885"/>
      <c r="BN1098" s="885"/>
      <c r="BO1098" s="885"/>
      <c r="BP1098" s="885"/>
      <c r="BQ1098" s="885"/>
      <c r="BR1098" s="885"/>
      <c r="BS1098" s="885"/>
      <c r="BT1098" s="885"/>
      <c r="BU1098" s="885"/>
      <c r="BV1098" s="885"/>
      <c r="BW1098" s="885"/>
      <c r="BX1098" s="885"/>
      <c r="BY1098" s="885"/>
      <c r="BZ1098" s="885"/>
      <c r="CA1098" s="885"/>
      <c r="CB1098" s="885"/>
      <c r="CC1098" s="885"/>
      <c r="CD1098" s="885"/>
      <c r="CE1098" s="885"/>
      <c r="CF1098" s="885"/>
      <c r="CG1098" s="885"/>
      <c r="CH1098" s="885"/>
      <c r="CI1098" s="885"/>
      <c r="CJ1098" s="885"/>
      <c r="CK1098" s="885"/>
      <c r="CL1098" s="885"/>
      <c r="CM1098" s="885"/>
      <c r="CN1098" s="885"/>
      <c r="CO1098" s="885"/>
      <c r="CP1098" s="885"/>
      <c r="CQ1098" s="885"/>
      <c r="CR1098" s="885"/>
      <c r="CS1098" s="885"/>
      <c r="CT1098" s="885"/>
      <c r="CU1098" s="885"/>
      <c r="CV1098" s="885"/>
      <c r="CW1098" s="885"/>
      <c r="CX1098" s="885"/>
      <c r="CY1098" s="885"/>
      <c r="CZ1098" s="885"/>
      <c r="DA1098" s="885"/>
      <c r="DB1098" s="885"/>
      <c r="DC1098" s="885"/>
      <c r="DD1098" s="885"/>
      <c r="DE1098" s="885"/>
      <c r="DF1098" s="885"/>
      <c r="DG1098" s="885"/>
      <c r="DH1098" s="885"/>
      <c r="DI1098" s="885"/>
      <c r="DJ1098" s="885"/>
      <c r="DK1098" s="885"/>
      <c r="DL1098" s="885"/>
      <c r="DM1098" s="885"/>
      <c r="DN1098" s="885"/>
      <c r="DO1098" s="885"/>
      <c r="DP1098" s="885"/>
      <c r="DQ1098" s="885"/>
      <c r="DR1098" s="885"/>
      <c r="DS1098" s="885"/>
      <c r="DT1098" s="885"/>
      <c r="DU1098" s="885"/>
      <c r="DV1098" s="885"/>
      <c r="DW1098" s="885"/>
      <c r="DX1098" s="885"/>
      <c r="DY1098" s="885"/>
      <c r="DZ1098" s="885"/>
      <c r="EA1098" s="885"/>
      <c r="EB1098" s="885"/>
      <c r="EC1098" s="885"/>
      <c r="ED1098" s="885"/>
      <c r="EE1098" s="885"/>
      <c r="EF1098" s="885"/>
      <c r="EG1098" s="885"/>
      <c r="EH1098" s="885"/>
      <c r="EI1098" s="885"/>
      <c r="EJ1098" s="885"/>
      <c r="EK1098" s="885"/>
      <c r="EL1098" s="885"/>
      <c r="EM1098" s="885"/>
      <c r="EN1098" s="885"/>
      <c r="EO1098" s="885"/>
      <c r="EP1098" s="885"/>
      <c r="EQ1098" s="885"/>
      <c r="ER1098" s="885"/>
      <c r="ES1098" s="885"/>
      <c r="ET1098" s="885"/>
      <c r="EU1098" s="885"/>
      <c r="EV1098" s="885"/>
      <c r="EW1098" s="885"/>
      <c r="EX1098" s="885"/>
      <c r="EY1098" s="885"/>
      <c r="EZ1098" s="885"/>
      <c r="FA1098" s="885"/>
      <c r="FB1098" s="885"/>
      <c r="FC1098" s="885"/>
      <c r="FD1098" s="885"/>
      <c r="FE1098" s="885"/>
      <c r="FF1098" s="885"/>
      <c r="FG1098" s="885"/>
      <c r="FH1098" s="885"/>
      <c r="FI1098" s="885"/>
      <c r="FJ1098" s="885"/>
      <c r="FK1098" s="885"/>
      <c r="FL1098" s="885"/>
      <c r="FM1098" s="885"/>
      <c r="FN1098" s="885"/>
      <c r="FO1098" s="885"/>
      <c r="FP1098" s="885"/>
      <c r="FQ1098" s="885"/>
      <c r="FR1098" s="885"/>
      <c r="FS1098" s="885"/>
      <c r="FT1098" s="885"/>
      <c r="FU1098" s="885"/>
      <c r="FV1098" s="885"/>
      <c r="FW1098" s="885"/>
      <c r="FX1098" s="885"/>
      <c r="FY1098" s="885"/>
      <c r="FZ1098" s="885"/>
      <c r="GA1098" s="885"/>
      <c r="GB1098" s="885"/>
      <c r="GC1098" s="885"/>
      <c r="GD1098" s="885"/>
      <c r="GE1098" s="885"/>
      <c r="GF1098" s="885"/>
      <c r="GG1098" s="885"/>
      <c r="GH1098" s="885"/>
      <c r="GI1098" s="885"/>
      <c r="GJ1098" s="885"/>
      <c r="GK1098" s="885"/>
      <c r="GL1098" s="885"/>
      <c r="GM1098" s="885"/>
      <c r="GN1098" s="885"/>
      <c r="GO1098" s="885"/>
      <c r="GP1098" s="885"/>
      <c r="GQ1098" s="885"/>
      <c r="GR1098" s="885"/>
      <c r="GS1098" s="885"/>
      <c r="GT1098" s="885"/>
      <c r="GU1098" s="885"/>
      <c r="GV1098" s="885"/>
      <c r="GW1098" s="885"/>
      <c r="GX1098" s="885"/>
      <c r="GY1098" s="885"/>
      <c r="GZ1098" s="885"/>
      <c r="HA1098" s="885"/>
      <c r="HB1098" s="885"/>
      <c r="HC1098" s="885"/>
      <c r="HD1098" s="885"/>
      <c r="HE1098" s="885"/>
      <c r="HF1098" s="885"/>
      <c r="HG1098" s="885"/>
      <c r="HH1098" s="885"/>
      <c r="HI1098" s="885"/>
      <c r="HJ1098" s="885"/>
      <c r="HK1098" s="885"/>
      <c r="HL1098" s="885"/>
      <c r="HM1098" s="885"/>
      <c r="HN1098" s="885"/>
      <c r="HO1098" s="885"/>
      <c r="HP1098" s="885"/>
      <c r="HQ1098" s="885"/>
      <c r="HR1098" s="885"/>
      <c r="HS1098" s="885"/>
      <c r="HT1098" s="885"/>
      <c r="HU1098" s="885"/>
      <c r="HV1098" s="885"/>
      <c r="HW1098" s="885"/>
      <c r="HX1098" s="885"/>
      <c r="HY1098" s="885"/>
      <c r="HZ1098" s="885"/>
      <c r="IA1098" s="885"/>
      <c r="IB1098" s="885"/>
      <c r="IC1098" s="885"/>
      <c r="ID1098" s="885"/>
      <c r="IE1098" s="885"/>
      <c r="IF1098" s="885"/>
      <c r="IG1098" s="885"/>
      <c r="IH1098" s="885"/>
      <c r="II1098" s="885"/>
      <c r="IJ1098" s="885"/>
      <c r="IK1098" s="885"/>
      <c r="IL1098" s="885"/>
      <c r="IM1098" s="885"/>
      <c r="IN1098" s="885"/>
      <c r="IO1098" s="885"/>
      <c r="IP1098" s="885"/>
      <c r="IQ1098" s="885"/>
      <c r="IR1098" s="885"/>
      <c r="IS1098" s="885"/>
      <c r="IT1098" s="885"/>
      <c r="IU1098" s="885"/>
      <c r="IV1098" s="885"/>
      <c r="IW1098" s="885"/>
      <c r="IX1098" s="885"/>
    </row>
    <row r="1099" spans="1:258" x14ac:dyDescent="0.25">
      <c r="A1099" s="125">
        <f t="shared" si="127"/>
        <v>1059</v>
      </c>
      <c r="B1099" s="954"/>
      <c r="C1099" s="842" t="s">
        <v>11532</v>
      </c>
      <c r="D1099" s="924">
        <v>3620.2</v>
      </c>
      <c r="E1099" s="924">
        <f>D1099/8*13.33</f>
        <v>6032.1582499999995</v>
      </c>
      <c r="F1099" s="136"/>
      <c r="H1099" s="793"/>
      <c r="I1099" s="793"/>
      <c r="J1099" s="954"/>
      <c r="K1099" s="954"/>
      <c r="L1099" s="954"/>
      <c r="M1099" s="954"/>
      <c r="N1099" s="954"/>
      <c r="O1099" s="954"/>
      <c r="P1099" s="954"/>
      <c r="Q1099" s="954"/>
      <c r="R1099" s="954"/>
      <c r="S1099" s="954"/>
      <c r="T1099" s="954"/>
      <c r="U1099" s="954"/>
      <c r="V1099" s="954"/>
      <c r="W1099" s="954"/>
      <c r="X1099" s="954"/>
      <c r="Y1099" s="954"/>
      <c r="Z1099" s="954"/>
      <c r="AA1099" s="954"/>
      <c r="AB1099" s="954"/>
      <c r="AC1099" s="954"/>
      <c r="AD1099" s="954"/>
      <c r="AE1099" s="954"/>
      <c r="AF1099" s="954"/>
      <c r="AG1099" s="954"/>
      <c r="AH1099" s="954"/>
      <c r="AI1099" s="954"/>
      <c r="AJ1099" s="954"/>
      <c r="AK1099" s="954"/>
      <c r="AL1099" s="954"/>
      <c r="AM1099" s="954"/>
      <c r="AN1099" s="954"/>
      <c r="AO1099" s="954"/>
      <c r="AP1099" s="954"/>
      <c r="AQ1099" s="954"/>
      <c r="AR1099" s="954"/>
      <c r="AS1099" s="954"/>
      <c r="AT1099" s="954"/>
      <c r="AU1099" s="954"/>
      <c r="AV1099" s="954"/>
      <c r="AW1099" s="954"/>
      <c r="AX1099" s="954"/>
      <c r="AY1099" s="954"/>
      <c r="AZ1099" s="954"/>
      <c r="BA1099" s="954"/>
      <c r="BB1099" s="954"/>
      <c r="BC1099" s="954"/>
      <c r="BD1099" s="954"/>
      <c r="BE1099" s="954"/>
      <c r="BF1099" s="954"/>
      <c r="BG1099" s="954"/>
      <c r="BH1099" s="954"/>
      <c r="BI1099" s="954"/>
      <c r="BJ1099" s="954"/>
      <c r="BK1099" s="954"/>
      <c r="BL1099" s="954"/>
      <c r="BM1099" s="954"/>
      <c r="BN1099" s="954"/>
      <c r="BO1099" s="954"/>
      <c r="BP1099" s="954"/>
      <c r="BQ1099" s="954"/>
      <c r="BR1099" s="954"/>
      <c r="BS1099" s="954"/>
      <c r="BT1099" s="954"/>
      <c r="BU1099" s="954"/>
      <c r="BV1099" s="954"/>
      <c r="BW1099" s="954"/>
      <c r="BX1099" s="954"/>
      <c r="BY1099" s="954"/>
      <c r="BZ1099" s="954"/>
      <c r="CA1099" s="954"/>
      <c r="CB1099" s="954"/>
      <c r="CC1099" s="954"/>
      <c r="CD1099" s="954"/>
      <c r="CE1099" s="954"/>
      <c r="CF1099" s="954"/>
      <c r="CG1099" s="954"/>
      <c r="CH1099" s="954"/>
      <c r="CI1099" s="954"/>
      <c r="CJ1099" s="954"/>
      <c r="CK1099" s="954"/>
      <c r="CL1099" s="954"/>
      <c r="CM1099" s="954"/>
      <c r="CN1099" s="954"/>
      <c r="CO1099" s="954"/>
      <c r="CP1099" s="954"/>
      <c r="CQ1099" s="954"/>
      <c r="CR1099" s="954"/>
      <c r="CS1099" s="954"/>
      <c r="CT1099" s="954"/>
      <c r="CU1099" s="954"/>
      <c r="CV1099" s="954"/>
      <c r="CW1099" s="954"/>
      <c r="CX1099" s="954"/>
      <c r="CY1099" s="954"/>
      <c r="CZ1099" s="954"/>
      <c r="DA1099" s="954"/>
      <c r="DB1099" s="954"/>
      <c r="DC1099" s="954"/>
      <c r="DD1099" s="954"/>
      <c r="DE1099" s="954"/>
      <c r="DF1099" s="954"/>
      <c r="DG1099" s="954"/>
      <c r="DH1099" s="954"/>
      <c r="DI1099" s="954"/>
      <c r="DJ1099" s="954"/>
      <c r="DK1099" s="954"/>
      <c r="DL1099" s="954"/>
      <c r="DM1099" s="954"/>
      <c r="DN1099" s="954"/>
      <c r="DO1099" s="954"/>
      <c r="DP1099" s="954"/>
      <c r="DQ1099" s="954"/>
      <c r="DR1099" s="954"/>
      <c r="DS1099" s="954"/>
      <c r="DT1099" s="954"/>
      <c r="DU1099" s="954"/>
      <c r="DV1099" s="954"/>
      <c r="DW1099" s="954"/>
      <c r="DX1099" s="954"/>
      <c r="DY1099" s="954"/>
      <c r="DZ1099" s="954"/>
      <c r="EA1099" s="954"/>
      <c r="EB1099" s="954"/>
      <c r="EC1099" s="954"/>
      <c r="ED1099" s="954"/>
      <c r="EE1099" s="954"/>
      <c r="EF1099" s="954"/>
      <c r="EG1099" s="954"/>
      <c r="EH1099" s="954"/>
      <c r="EI1099" s="954"/>
      <c r="EJ1099" s="954"/>
      <c r="EK1099" s="954"/>
      <c r="EL1099" s="954"/>
      <c r="EM1099" s="954"/>
      <c r="EN1099" s="954"/>
      <c r="EO1099" s="954"/>
      <c r="EP1099" s="954"/>
      <c r="EQ1099" s="954"/>
      <c r="ER1099" s="954"/>
      <c r="ES1099" s="954"/>
      <c r="ET1099" s="954"/>
      <c r="EU1099" s="954"/>
      <c r="EV1099" s="954"/>
      <c r="EW1099" s="954"/>
      <c r="EX1099" s="954"/>
      <c r="EY1099" s="954"/>
      <c r="EZ1099" s="954"/>
      <c r="FA1099" s="954"/>
      <c r="FB1099" s="954"/>
      <c r="FC1099" s="954"/>
      <c r="FD1099" s="954"/>
      <c r="FE1099" s="954"/>
      <c r="FF1099" s="954"/>
      <c r="FG1099" s="954"/>
      <c r="FH1099" s="954"/>
      <c r="FI1099" s="954"/>
      <c r="FJ1099" s="954"/>
      <c r="FK1099" s="954"/>
      <c r="FL1099" s="954"/>
      <c r="FM1099" s="954"/>
      <c r="FN1099" s="954"/>
      <c r="FO1099" s="954"/>
      <c r="FP1099" s="954"/>
      <c r="FQ1099" s="954"/>
      <c r="FR1099" s="954"/>
      <c r="FS1099" s="954"/>
      <c r="FT1099" s="954"/>
      <c r="FU1099" s="954"/>
      <c r="FV1099" s="954"/>
      <c r="FW1099" s="954"/>
      <c r="FX1099" s="954"/>
      <c r="FY1099" s="954"/>
      <c r="FZ1099" s="954"/>
      <c r="GA1099" s="954"/>
      <c r="GB1099" s="954"/>
      <c r="GC1099" s="954"/>
      <c r="GD1099" s="954"/>
      <c r="GE1099" s="954"/>
      <c r="GF1099" s="954"/>
      <c r="GG1099" s="954"/>
      <c r="GH1099" s="954"/>
      <c r="GI1099" s="954"/>
      <c r="GJ1099" s="954"/>
      <c r="GK1099" s="954"/>
      <c r="GL1099" s="954"/>
      <c r="GM1099" s="954"/>
      <c r="GN1099" s="954"/>
      <c r="GO1099" s="954"/>
      <c r="GP1099" s="954"/>
      <c r="GQ1099" s="954"/>
      <c r="GR1099" s="954"/>
      <c r="GS1099" s="954"/>
      <c r="GT1099" s="954"/>
      <c r="GU1099" s="954"/>
      <c r="GV1099" s="954"/>
      <c r="GW1099" s="954"/>
      <c r="GX1099" s="954"/>
      <c r="GY1099" s="954"/>
      <c r="GZ1099" s="954"/>
      <c r="HA1099" s="954"/>
      <c r="HB1099" s="954"/>
      <c r="HC1099" s="954"/>
      <c r="HD1099" s="954"/>
      <c r="HE1099" s="954"/>
      <c r="HF1099" s="954"/>
      <c r="HG1099" s="954"/>
      <c r="HH1099" s="954"/>
      <c r="HI1099" s="954"/>
      <c r="HJ1099" s="954"/>
      <c r="HK1099" s="954"/>
      <c r="HL1099" s="954"/>
      <c r="HM1099" s="954"/>
      <c r="HN1099" s="954"/>
      <c r="HO1099" s="954"/>
      <c r="HP1099" s="954"/>
      <c r="HQ1099" s="954"/>
      <c r="HR1099" s="954"/>
      <c r="HS1099" s="954"/>
      <c r="HT1099" s="954"/>
      <c r="HU1099" s="954"/>
      <c r="HV1099" s="954"/>
      <c r="HW1099" s="954"/>
      <c r="HX1099" s="954"/>
      <c r="HY1099" s="954"/>
      <c r="HZ1099" s="954"/>
      <c r="IA1099" s="954"/>
      <c r="IB1099" s="954"/>
      <c r="IC1099" s="954"/>
      <c r="ID1099" s="954"/>
      <c r="IE1099" s="954"/>
      <c r="IF1099" s="954"/>
      <c r="IG1099" s="954"/>
      <c r="IH1099" s="954"/>
      <c r="II1099" s="954"/>
      <c r="IJ1099" s="954"/>
      <c r="IK1099" s="954"/>
      <c r="IL1099" s="954"/>
      <c r="IM1099" s="954"/>
      <c r="IN1099" s="954"/>
      <c r="IO1099" s="954"/>
      <c r="IP1099" s="954"/>
      <c r="IQ1099" s="954"/>
      <c r="IR1099" s="954"/>
      <c r="IS1099" s="954"/>
      <c r="IT1099" s="954"/>
      <c r="IU1099" s="954"/>
      <c r="IV1099" s="954"/>
      <c r="IW1099" s="954"/>
      <c r="IX1099" s="954"/>
    </row>
    <row r="1100" spans="1:258" x14ac:dyDescent="0.25">
      <c r="A1100" s="125">
        <f t="shared" si="127"/>
        <v>1060</v>
      </c>
      <c r="B1100" s="885"/>
      <c r="C1100" s="842" t="s">
        <v>10664</v>
      </c>
      <c r="D1100" s="924">
        <v>0</v>
      </c>
      <c r="E1100" s="924">
        <v>0</v>
      </c>
      <c r="F1100" s="136">
        <v>1</v>
      </c>
      <c r="G1100" s="122" t="s">
        <v>1963</v>
      </c>
      <c r="H1100" s="793"/>
      <c r="I1100" s="793"/>
      <c r="J1100" s="885"/>
      <c r="K1100" s="885"/>
      <c r="L1100" s="885"/>
      <c r="M1100" s="885"/>
      <c r="N1100" s="885"/>
      <c r="O1100" s="885"/>
      <c r="P1100" s="885"/>
      <c r="Q1100" s="885"/>
      <c r="R1100" s="885"/>
      <c r="S1100" s="885"/>
      <c r="T1100" s="885"/>
      <c r="U1100" s="885"/>
      <c r="V1100" s="885"/>
      <c r="W1100" s="885"/>
      <c r="X1100" s="885"/>
      <c r="Y1100" s="885"/>
      <c r="Z1100" s="885"/>
      <c r="AA1100" s="885"/>
      <c r="AB1100" s="885"/>
      <c r="AC1100" s="885"/>
      <c r="AD1100" s="885"/>
      <c r="AE1100" s="885"/>
      <c r="AF1100" s="885"/>
      <c r="AG1100" s="885"/>
      <c r="AH1100" s="885"/>
      <c r="AI1100" s="885"/>
      <c r="AJ1100" s="885"/>
      <c r="AK1100" s="885"/>
      <c r="AL1100" s="885"/>
      <c r="AM1100" s="885"/>
      <c r="AN1100" s="885"/>
      <c r="AO1100" s="885"/>
      <c r="AP1100" s="885"/>
      <c r="AQ1100" s="885"/>
      <c r="AR1100" s="885"/>
      <c r="AS1100" s="885"/>
      <c r="AT1100" s="885"/>
      <c r="AU1100" s="885"/>
      <c r="AV1100" s="885"/>
      <c r="AW1100" s="885"/>
      <c r="AX1100" s="885"/>
      <c r="AY1100" s="885"/>
      <c r="AZ1100" s="885"/>
      <c r="BA1100" s="885"/>
      <c r="BB1100" s="885"/>
      <c r="BC1100" s="885"/>
      <c r="BD1100" s="885"/>
      <c r="BE1100" s="885"/>
      <c r="BF1100" s="885"/>
      <c r="BG1100" s="885"/>
      <c r="BH1100" s="885"/>
      <c r="BI1100" s="885"/>
      <c r="BJ1100" s="885"/>
      <c r="BK1100" s="885"/>
      <c r="BL1100" s="885"/>
      <c r="BM1100" s="885"/>
      <c r="BN1100" s="885"/>
      <c r="BO1100" s="885"/>
      <c r="BP1100" s="885"/>
      <c r="BQ1100" s="885"/>
      <c r="BR1100" s="885"/>
      <c r="BS1100" s="885"/>
      <c r="BT1100" s="885"/>
      <c r="BU1100" s="885"/>
      <c r="BV1100" s="885"/>
      <c r="BW1100" s="885"/>
      <c r="BX1100" s="885"/>
      <c r="BY1100" s="885"/>
      <c r="BZ1100" s="885"/>
      <c r="CA1100" s="885"/>
      <c r="CB1100" s="885"/>
      <c r="CC1100" s="885"/>
      <c r="CD1100" s="885"/>
      <c r="CE1100" s="885"/>
      <c r="CF1100" s="885"/>
      <c r="CG1100" s="885"/>
      <c r="CH1100" s="885"/>
      <c r="CI1100" s="885"/>
      <c r="CJ1100" s="885"/>
      <c r="CK1100" s="885"/>
      <c r="CL1100" s="885"/>
      <c r="CM1100" s="885"/>
      <c r="CN1100" s="885"/>
      <c r="CO1100" s="885"/>
      <c r="CP1100" s="885"/>
      <c r="CQ1100" s="885"/>
      <c r="CR1100" s="885"/>
      <c r="CS1100" s="885"/>
      <c r="CT1100" s="885"/>
      <c r="CU1100" s="885"/>
      <c r="CV1100" s="885"/>
      <c r="CW1100" s="885"/>
      <c r="CX1100" s="885"/>
      <c r="CY1100" s="885"/>
      <c r="CZ1100" s="885"/>
      <c r="DA1100" s="885"/>
      <c r="DB1100" s="885"/>
      <c r="DC1100" s="885"/>
      <c r="DD1100" s="885"/>
      <c r="DE1100" s="885"/>
      <c r="DF1100" s="885"/>
      <c r="DG1100" s="885"/>
      <c r="DH1100" s="885"/>
      <c r="DI1100" s="885"/>
      <c r="DJ1100" s="885"/>
      <c r="DK1100" s="885"/>
      <c r="DL1100" s="885"/>
      <c r="DM1100" s="885"/>
      <c r="DN1100" s="885"/>
      <c r="DO1100" s="885"/>
      <c r="DP1100" s="885"/>
      <c r="DQ1100" s="885"/>
      <c r="DR1100" s="885"/>
      <c r="DS1100" s="885"/>
      <c r="DT1100" s="885"/>
      <c r="DU1100" s="885"/>
      <c r="DV1100" s="885"/>
      <c r="DW1100" s="885"/>
      <c r="DX1100" s="885"/>
      <c r="DY1100" s="885"/>
      <c r="DZ1100" s="885"/>
      <c r="EA1100" s="885"/>
      <c r="EB1100" s="885"/>
      <c r="EC1100" s="885"/>
      <c r="ED1100" s="885"/>
      <c r="EE1100" s="885"/>
      <c r="EF1100" s="885"/>
      <c r="EG1100" s="885"/>
      <c r="EH1100" s="885"/>
      <c r="EI1100" s="885"/>
      <c r="EJ1100" s="885"/>
      <c r="EK1100" s="885"/>
      <c r="EL1100" s="885"/>
      <c r="EM1100" s="885"/>
      <c r="EN1100" s="885"/>
      <c r="EO1100" s="885"/>
      <c r="EP1100" s="885"/>
      <c r="EQ1100" s="885"/>
      <c r="ER1100" s="885"/>
      <c r="ES1100" s="885"/>
      <c r="ET1100" s="885"/>
      <c r="EU1100" s="885"/>
      <c r="EV1100" s="885"/>
      <c r="EW1100" s="885"/>
      <c r="EX1100" s="885"/>
      <c r="EY1100" s="885"/>
      <c r="EZ1100" s="885"/>
      <c r="FA1100" s="885"/>
      <c r="FB1100" s="885"/>
      <c r="FC1100" s="885"/>
      <c r="FD1100" s="885"/>
      <c r="FE1100" s="885"/>
      <c r="FF1100" s="885"/>
      <c r="FG1100" s="885"/>
      <c r="FH1100" s="885"/>
      <c r="FI1100" s="885"/>
      <c r="FJ1100" s="885"/>
      <c r="FK1100" s="885"/>
      <c r="FL1100" s="885"/>
      <c r="FM1100" s="885"/>
      <c r="FN1100" s="885"/>
      <c r="FO1100" s="885"/>
      <c r="FP1100" s="885"/>
      <c r="FQ1100" s="885"/>
      <c r="FR1100" s="885"/>
      <c r="FS1100" s="885"/>
      <c r="FT1100" s="885"/>
      <c r="FU1100" s="885"/>
      <c r="FV1100" s="885"/>
      <c r="FW1100" s="885"/>
      <c r="FX1100" s="885"/>
      <c r="FY1100" s="885"/>
      <c r="FZ1100" s="885"/>
      <c r="GA1100" s="885"/>
      <c r="GB1100" s="885"/>
      <c r="GC1100" s="885"/>
      <c r="GD1100" s="885"/>
      <c r="GE1100" s="885"/>
      <c r="GF1100" s="885"/>
      <c r="GG1100" s="885"/>
      <c r="GH1100" s="885"/>
      <c r="GI1100" s="885"/>
      <c r="GJ1100" s="885"/>
      <c r="GK1100" s="885"/>
      <c r="GL1100" s="885"/>
      <c r="GM1100" s="885"/>
      <c r="GN1100" s="885"/>
      <c r="GO1100" s="885"/>
      <c r="GP1100" s="885"/>
      <c r="GQ1100" s="885"/>
      <c r="GR1100" s="885"/>
      <c r="GS1100" s="885"/>
      <c r="GT1100" s="885"/>
      <c r="GU1100" s="885"/>
      <c r="GV1100" s="885"/>
      <c r="GW1100" s="885"/>
      <c r="GX1100" s="885"/>
      <c r="GY1100" s="885"/>
      <c r="GZ1100" s="885"/>
      <c r="HA1100" s="885"/>
      <c r="HB1100" s="885"/>
      <c r="HC1100" s="885"/>
      <c r="HD1100" s="885"/>
      <c r="HE1100" s="885"/>
      <c r="HF1100" s="885"/>
      <c r="HG1100" s="885"/>
      <c r="HH1100" s="885"/>
      <c r="HI1100" s="885"/>
      <c r="HJ1100" s="885"/>
      <c r="HK1100" s="885"/>
      <c r="HL1100" s="885"/>
      <c r="HM1100" s="885"/>
      <c r="HN1100" s="885"/>
      <c r="HO1100" s="885"/>
      <c r="HP1100" s="885"/>
      <c r="HQ1100" s="885"/>
      <c r="HR1100" s="885"/>
      <c r="HS1100" s="885"/>
      <c r="HT1100" s="885"/>
      <c r="HU1100" s="885"/>
      <c r="HV1100" s="885"/>
      <c r="HW1100" s="885"/>
      <c r="HX1100" s="885"/>
      <c r="HY1100" s="885"/>
      <c r="HZ1100" s="885"/>
      <c r="IA1100" s="885"/>
      <c r="IB1100" s="885"/>
      <c r="IC1100" s="885"/>
      <c r="ID1100" s="885"/>
      <c r="IE1100" s="885"/>
      <c r="IF1100" s="885"/>
      <c r="IG1100" s="885"/>
      <c r="IH1100" s="885"/>
      <c r="II1100" s="885"/>
      <c r="IJ1100" s="885"/>
      <c r="IK1100" s="885"/>
      <c r="IL1100" s="885"/>
      <c r="IM1100" s="885"/>
      <c r="IN1100" s="885"/>
      <c r="IO1100" s="885"/>
      <c r="IP1100" s="885"/>
      <c r="IQ1100" s="885"/>
      <c r="IR1100" s="885"/>
      <c r="IS1100" s="885"/>
      <c r="IT1100" s="885"/>
      <c r="IU1100" s="885"/>
      <c r="IV1100" s="885"/>
      <c r="IW1100" s="885"/>
      <c r="IX1100" s="885"/>
    </row>
    <row r="1101" spans="1:258" x14ac:dyDescent="0.25">
      <c r="A1101" s="125">
        <f t="shared" si="127"/>
        <v>1061</v>
      </c>
      <c r="B1101" s="885"/>
      <c r="C1101" s="842" t="s">
        <v>10665</v>
      </c>
      <c r="D1101" s="924">
        <v>0</v>
      </c>
      <c r="E1101" s="924">
        <v>0</v>
      </c>
      <c r="F1101" s="136">
        <v>72</v>
      </c>
      <c r="G1101" s="122" t="s">
        <v>1963</v>
      </c>
      <c r="H1101" s="793"/>
      <c r="I1101" s="793"/>
      <c r="J1101" s="885"/>
      <c r="K1101" s="885"/>
      <c r="L1101" s="885"/>
      <c r="M1101" s="885"/>
      <c r="N1101" s="885"/>
      <c r="O1101" s="885"/>
      <c r="P1101" s="885"/>
      <c r="Q1101" s="885"/>
      <c r="R1101" s="885"/>
      <c r="S1101" s="885"/>
      <c r="T1101" s="885"/>
      <c r="U1101" s="885"/>
      <c r="V1101" s="885"/>
      <c r="W1101" s="885"/>
      <c r="X1101" s="885"/>
      <c r="Y1101" s="885"/>
      <c r="Z1101" s="885"/>
      <c r="AA1101" s="885"/>
      <c r="AB1101" s="885"/>
      <c r="AC1101" s="885"/>
      <c r="AD1101" s="885"/>
      <c r="AE1101" s="885"/>
      <c r="AF1101" s="885"/>
      <c r="AG1101" s="885"/>
      <c r="AH1101" s="885"/>
      <c r="AI1101" s="885"/>
      <c r="AJ1101" s="885"/>
      <c r="AK1101" s="885"/>
      <c r="AL1101" s="885"/>
      <c r="AM1101" s="885"/>
      <c r="AN1101" s="885"/>
      <c r="AO1101" s="885"/>
      <c r="AP1101" s="885"/>
      <c r="AQ1101" s="885"/>
      <c r="AR1101" s="885"/>
      <c r="AS1101" s="885"/>
      <c r="AT1101" s="885"/>
      <c r="AU1101" s="885"/>
      <c r="AV1101" s="885"/>
      <c r="AW1101" s="885"/>
      <c r="AX1101" s="885"/>
      <c r="AY1101" s="885"/>
      <c r="AZ1101" s="885"/>
      <c r="BA1101" s="885"/>
      <c r="BB1101" s="885"/>
      <c r="BC1101" s="885"/>
      <c r="BD1101" s="885"/>
      <c r="BE1101" s="885"/>
      <c r="BF1101" s="885"/>
      <c r="BG1101" s="885"/>
      <c r="BH1101" s="885"/>
      <c r="BI1101" s="885"/>
      <c r="BJ1101" s="885"/>
      <c r="BK1101" s="885"/>
      <c r="BL1101" s="885"/>
      <c r="BM1101" s="885"/>
      <c r="BN1101" s="885"/>
      <c r="BO1101" s="885"/>
      <c r="BP1101" s="885"/>
      <c r="BQ1101" s="885"/>
      <c r="BR1101" s="885"/>
      <c r="BS1101" s="885"/>
      <c r="BT1101" s="885"/>
      <c r="BU1101" s="885"/>
      <c r="BV1101" s="885"/>
      <c r="BW1101" s="885"/>
      <c r="BX1101" s="885"/>
      <c r="BY1101" s="885"/>
      <c r="BZ1101" s="885"/>
      <c r="CA1101" s="885"/>
      <c r="CB1101" s="885"/>
      <c r="CC1101" s="885"/>
      <c r="CD1101" s="885"/>
      <c r="CE1101" s="885"/>
      <c r="CF1101" s="885"/>
      <c r="CG1101" s="885"/>
      <c r="CH1101" s="885"/>
      <c r="CI1101" s="885"/>
      <c r="CJ1101" s="885"/>
      <c r="CK1101" s="885"/>
      <c r="CL1101" s="885"/>
      <c r="CM1101" s="885"/>
      <c r="CN1101" s="885"/>
      <c r="CO1101" s="885"/>
      <c r="CP1101" s="885"/>
      <c r="CQ1101" s="885"/>
      <c r="CR1101" s="885"/>
      <c r="CS1101" s="885"/>
      <c r="CT1101" s="885"/>
      <c r="CU1101" s="885"/>
      <c r="CV1101" s="885"/>
      <c r="CW1101" s="885"/>
      <c r="CX1101" s="885"/>
      <c r="CY1101" s="885"/>
      <c r="CZ1101" s="885"/>
      <c r="DA1101" s="885"/>
      <c r="DB1101" s="885"/>
      <c r="DC1101" s="885"/>
      <c r="DD1101" s="885"/>
      <c r="DE1101" s="885"/>
      <c r="DF1101" s="885"/>
      <c r="DG1101" s="885"/>
      <c r="DH1101" s="885"/>
      <c r="DI1101" s="885"/>
      <c r="DJ1101" s="885"/>
      <c r="DK1101" s="885"/>
      <c r="DL1101" s="885"/>
      <c r="DM1101" s="885"/>
      <c r="DN1101" s="885"/>
      <c r="DO1101" s="885"/>
      <c r="DP1101" s="885"/>
      <c r="DQ1101" s="885"/>
      <c r="DR1101" s="885"/>
      <c r="DS1101" s="885"/>
      <c r="DT1101" s="885"/>
      <c r="DU1101" s="885"/>
      <c r="DV1101" s="885"/>
      <c r="DW1101" s="885"/>
      <c r="DX1101" s="885"/>
      <c r="DY1101" s="885"/>
      <c r="DZ1101" s="885"/>
      <c r="EA1101" s="885"/>
      <c r="EB1101" s="885"/>
      <c r="EC1101" s="885"/>
      <c r="ED1101" s="885"/>
      <c r="EE1101" s="885"/>
      <c r="EF1101" s="885"/>
      <c r="EG1101" s="885"/>
      <c r="EH1101" s="885"/>
      <c r="EI1101" s="885"/>
      <c r="EJ1101" s="885"/>
      <c r="EK1101" s="885"/>
      <c r="EL1101" s="885"/>
      <c r="EM1101" s="885"/>
      <c r="EN1101" s="885"/>
      <c r="EO1101" s="885"/>
      <c r="EP1101" s="885"/>
      <c r="EQ1101" s="885"/>
      <c r="ER1101" s="885"/>
      <c r="ES1101" s="885"/>
      <c r="ET1101" s="885"/>
      <c r="EU1101" s="885"/>
      <c r="EV1101" s="885"/>
      <c r="EW1101" s="885"/>
      <c r="EX1101" s="885"/>
      <c r="EY1101" s="885"/>
      <c r="EZ1101" s="885"/>
      <c r="FA1101" s="885"/>
      <c r="FB1101" s="885"/>
      <c r="FC1101" s="885"/>
      <c r="FD1101" s="885"/>
      <c r="FE1101" s="885"/>
      <c r="FF1101" s="885"/>
      <c r="FG1101" s="885"/>
      <c r="FH1101" s="885"/>
      <c r="FI1101" s="885"/>
      <c r="FJ1101" s="885"/>
      <c r="FK1101" s="885"/>
      <c r="FL1101" s="885"/>
      <c r="FM1101" s="885"/>
      <c r="FN1101" s="885"/>
      <c r="FO1101" s="885"/>
      <c r="FP1101" s="885"/>
      <c r="FQ1101" s="885"/>
      <c r="FR1101" s="885"/>
      <c r="FS1101" s="885"/>
      <c r="FT1101" s="885"/>
      <c r="FU1101" s="885"/>
      <c r="FV1101" s="885"/>
      <c r="FW1101" s="885"/>
      <c r="FX1101" s="885"/>
      <c r="FY1101" s="885"/>
      <c r="FZ1101" s="885"/>
      <c r="GA1101" s="885"/>
      <c r="GB1101" s="885"/>
      <c r="GC1101" s="885"/>
      <c r="GD1101" s="885"/>
      <c r="GE1101" s="885"/>
      <c r="GF1101" s="885"/>
      <c r="GG1101" s="885"/>
      <c r="GH1101" s="885"/>
      <c r="GI1101" s="885"/>
      <c r="GJ1101" s="885"/>
      <c r="GK1101" s="885"/>
      <c r="GL1101" s="885"/>
      <c r="GM1101" s="885"/>
      <c r="GN1101" s="885"/>
      <c r="GO1101" s="885"/>
      <c r="GP1101" s="885"/>
      <c r="GQ1101" s="885"/>
      <c r="GR1101" s="885"/>
      <c r="GS1101" s="885"/>
      <c r="GT1101" s="885"/>
      <c r="GU1101" s="885"/>
      <c r="GV1101" s="885"/>
      <c r="GW1101" s="885"/>
      <c r="GX1101" s="885"/>
      <c r="GY1101" s="885"/>
      <c r="GZ1101" s="885"/>
      <c r="HA1101" s="885"/>
      <c r="HB1101" s="885"/>
      <c r="HC1101" s="885"/>
      <c r="HD1101" s="885"/>
      <c r="HE1101" s="885"/>
      <c r="HF1101" s="885"/>
      <c r="HG1101" s="885"/>
      <c r="HH1101" s="885"/>
      <c r="HI1101" s="885"/>
      <c r="HJ1101" s="885"/>
      <c r="HK1101" s="885"/>
      <c r="HL1101" s="885"/>
      <c r="HM1101" s="885"/>
      <c r="HN1101" s="885"/>
      <c r="HO1101" s="885"/>
      <c r="HP1101" s="885"/>
      <c r="HQ1101" s="885"/>
      <c r="HR1101" s="885"/>
      <c r="HS1101" s="885"/>
      <c r="HT1101" s="885"/>
      <c r="HU1101" s="885"/>
      <c r="HV1101" s="885"/>
      <c r="HW1101" s="885"/>
      <c r="HX1101" s="885"/>
      <c r="HY1101" s="885"/>
      <c r="HZ1101" s="885"/>
      <c r="IA1101" s="885"/>
      <c r="IB1101" s="885"/>
      <c r="IC1101" s="885"/>
      <c r="ID1101" s="885"/>
      <c r="IE1101" s="885"/>
      <c r="IF1101" s="885"/>
      <c r="IG1101" s="885"/>
      <c r="IH1101" s="885"/>
      <c r="II1101" s="885"/>
      <c r="IJ1101" s="885"/>
      <c r="IK1101" s="885"/>
      <c r="IL1101" s="885"/>
      <c r="IM1101" s="885"/>
      <c r="IN1101" s="885"/>
      <c r="IO1101" s="885"/>
      <c r="IP1101" s="885"/>
      <c r="IQ1101" s="885"/>
      <c r="IR1101" s="885"/>
      <c r="IS1101" s="885"/>
      <c r="IT1101" s="885"/>
      <c r="IU1101" s="885"/>
      <c r="IV1101" s="885"/>
      <c r="IW1101" s="885"/>
      <c r="IX1101" s="885"/>
    </row>
    <row r="1102" spans="1:258" x14ac:dyDescent="0.25">
      <c r="A1102" s="125">
        <f t="shared" si="127"/>
        <v>1062</v>
      </c>
      <c r="B1102" s="885"/>
      <c r="C1102" s="842" t="s">
        <v>10666</v>
      </c>
      <c r="D1102" s="924">
        <v>7472.26</v>
      </c>
      <c r="E1102" s="924">
        <f>D1102/8*12</f>
        <v>11208.39</v>
      </c>
      <c r="F1102" s="136">
        <f>E1102</f>
        <v>11208.39</v>
      </c>
      <c r="G1102" s="122" t="s">
        <v>1963</v>
      </c>
      <c r="H1102" s="793"/>
      <c r="I1102" s="793"/>
      <c r="J1102" s="885"/>
      <c r="K1102" s="885"/>
      <c r="L1102" s="885"/>
      <c r="M1102" s="885"/>
      <c r="N1102" s="885"/>
      <c r="O1102" s="885"/>
      <c r="P1102" s="885"/>
      <c r="Q1102" s="885"/>
      <c r="R1102" s="885"/>
      <c r="S1102" s="885"/>
      <c r="T1102" s="885"/>
      <c r="U1102" s="885"/>
      <c r="V1102" s="885"/>
      <c r="W1102" s="885"/>
      <c r="X1102" s="885"/>
      <c r="Y1102" s="885"/>
      <c r="Z1102" s="885"/>
      <c r="AA1102" s="885"/>
      <c r="AB1102" s="885"/>
      <c r="AC1102" s="885"/>
      <c r="AD1102" s="885"/>
      <c r="AE1102" s="885"/>
      <c r="AF1102" s="885"/>
      <c r="AG1102" s="885"/>
      <c r="AH1102" s="885"/>
      <c r="AI1102" s="885"/>
      <c r="AJ1102" s="885"/>
      <c r="AK1102" s="885"/>
      <c r="AL1102" s="885"/>
      <c r="AM1102" s="885"/>
      <c r="AN1102" s="885"/>
      <c r="AO1102" s="885"/>
      <c r="AP1102" s="885"/>
      <c r="AQ1102" s="885"/>
      <c r="AR1102" s="885"/>
      <c r="AS1102" s="885"/>
      <c r="AT1102" s="885"/>
      <c r="AU1102" s="885"/>
      <c r="AV1102" s="885"/>
      <c r="AW1102" s="885"/>
      <c r="AX1102" s="885"/>
      <c r="AY1102" s="885"/>
      <c r="AZ1102" s="885"/>
      <c r="BA1102" s="885"/>
      <c r="BB1102" s="885"/>
      <c r="BC1102" s="885"/>
      <c r="BD1102" s="885"/>
      <c r="BE1102" s="885"/>
      <c r="BF1102" s="885"/>
      <c r="BG1102" s="885"/>
      <c r="BH1102" s="885"/>
      <c r="BI1102" s="885"/>
      <c r="BJ1102" s="885"/>
      <c r="BK1102" s="885"/>
      <c r="BL1102" s="885"/>
      <c r="BM1102" s="885"/>
      <c r="BN1102" s="885"/>
      <c r="BO1102" s="885"/>
      <c r="BP1102" s="885"/>
      <c r="BQ1102" s="885"/>
      <c r="BR1102" s="885"/>
      <c r="BS1102" s="885"/>
      <c r="BT1102" s="885"/>
      <c r="BU1102" s="885"/>
      <c r="BV1102" s="885"/>
      <c r="BW1102" s="885"/>
      <c r="BX1102" s="885"/>
      <c r="BY1102" s="885"/>
      <c r="BZ1102" s="885"/>
      <c r="CA1102" s="885"/>
      <c r="CB1102" s="885"/>
      <c r="CC1102" s="885"/>
      <c r="CD1102" s="885"/>
      <c r="CE1102" s="885"/>
      <c r="CF1102" s="885"/>
      <c r="CG1102" s="885"/>
      <c r="CH1102" s="885"/>
      <c r="CI1102" s="885"/>
      <c r="CJ1102" s="885"/>
      <c r="CK1102" s="885"/>
      <c r="CL1102" s="885"/>
      <c r="CM1102" s="885"/>
      <c r="CN1102" s="885"/>
      <c r="CO1102" s="885"/>
      <c r="CP1102" s="885"/>
      <c r="CQ1102" s="885"/>
      <c r="CR1102" s="885"/>
      <c r="CS1102" s="885"/>
      <c r="CT1102" s="885"/>
      <c r="CU1102" s="885"/>
      <c r="CV1102" s="885"/>
      <c r="CW1102" s="885"/>
      <c r="CX1102" s="885"/>
      <c r="CY1102" s="885"/>
      <c r="CZ1102" s="885"/>
      <c r="DA1102" s="885"/>
      <c r="DB1102" s="885"/>
      <c r="DC1102" s="885"/>
      <c r="DD1102" s="885"/>
      <c r="DE1102" s="885"/>
      <c r="DF1102" s="885"/>
      <c r="DG1102" s="885"/>
      <c r="DH1102" s="885"/>
      <c r="DI1102" s="885"/>
      <c r="DJ1102" s="885"/>
      <c r="DK1102" s="885"/>
      <c r="DL1102" s="885"/>
      <c r="DM1102" s="885"/>
      <c r="DN1102" s="885"/>
      <c r="DO1102" s="885"/>
      <c r="DP1102" s="885"/>
      <c r="DQ1102" s="885"/>
      <c r="DR1102" s="885"/>
      <c r="DS1102" s="885"/>
      <c r="DT1102" s="885"/>
      <c r="DU1102" s="885"/>
      <c r="DV1102" s="885"/>
      <c r="DW1102" s="885"/>
      <c r="DX1102" s="885"/>
      <c r="DY1102" s="885"/>
      <c r="DZ1102" s="885"/>
      <c r="EA1102" s="885"/>
      <c r="EB1102" s="885"/>
      <c r="EC1102" s="885"/>
      <c r="ED1102" s="885"/>
      <c r="EE1102" s="885"/>
      <c r="EF1102" s="885"/>
      <c r="EG1102" s="885"/>
      <c r="EH1102" s="885"/>
      <c r="EI1102" s="885"/>
      <c r="EJ1102" s="885"/>
      <c r="EK1102" s="885"/>
      <c r="EL1102" s="885"/>
      <c r="EM1102" s="885"/>
      <c r="EN1102" s="885"/>
      <c r="EO1102" s="885"/>
      <c r="EP1102" s="885"/>
      <c r="EQ1102" s="885"/>
      <c r="ER1102" s="885"/>
      <c r="ES1102" s="885"/>
      <c r="ET1102" s="885"/>
      <c r="EU1102" s="885"/>
      <c r="EV1102" s="885"/>
      <c r="EW1102" s="885"/>
      <c r="EX1102" s="885"/>
      <c r="EY1102" s="885"/>
      <c r="EZ1102" s="885"/>
      <c r="FA1102" s="885"/>
      <c r="FB1102" s="885"/>
      <c r="FC1102" s="885"/>
      <c r="FD1102" s="885"/>
      <c r="FE1102" s="885"/>
      <c r="FF1102" s="885"/>
      <c r="FG1102" s="885"/>
      <c r="FH1102" s="885"/>
      <c r="FI1102" s="885"/>
      <c r="FJ1102" s="885"/>
      <c r="FK1102" s="885"/>
      <c r="FL1102" s="885"/>
      <c r="FM1102" s="885"/>
      <c r="FN1102" s="885"/>
      <c r="FO1102" s="885"/>
      <c r="FP1102" s="885"/>
      <c r="FQ1102" s="885"/>
      <c r="FR1102" s="885"/>
      <c r="FS1102" s="885"/>
      <c r="FT1102" s="885"/>
      <c r="FU1102" s="885"/>
      <c r="FV1102" s="885"/>
      <c r="FW1102" s="885"/>
      <c r="FX1102" s="885"/>
      <c r="FY1102" s="885"/>
      <c r="FZ1102" s="885"/>
      <c r="GA1102" s="885"/>
      <c r="GB1102" s="885"/>
      <c r="GC1102" s="885"/>
      <c r="GD1102" s="885"/>
      <c r="GE1102" s="885"/>
      <c r="GF1102" s="885"/>
      <c r="GG1102" s="885"/>
      <c r="GH1102" s="885"/>
      <c r="GI1102" s="885"/>
      <c r="GJ1102" s="885"/>
      <c r="GK1102" s="885"/>
      <c r="GL1102" s="885"/>
      <c r="GM1102" s="885"/>
      <c r="GN1102" s="885"/>
      <c r="GO1102" s="885"/>
      <c r="GP1102" s="885"/>
      <c r="GQ1102" s="885"/>
      <c r="GR1102" s="885"/>
      <c r="GS1102" s="885"/>
      <c r="GT1102" s="885"/>
      <c r="GU1102" s="885"/>
      <c r="GV1102" s="885"/>
      <c r="GW1102" s="885"/>
      <c r="GX1102" s="885"/>
      <c r="GY1102" s="885"/>
      <c r="GZ1102" s="885"/>
      <c r="HA1102" s="885"/>
      <c r="HB1102" s="885"/>
      <c r="HC1102" s="885"/>
      <c r="HD1102" s="885"/>
      <c r="HE1102" s="885"/>
      <c r="HF1102" s="885"/>
      <c r="HG1102" s="885"/>
      <c r="HH1102" s="885"/>
      <c r="HI1102" s="885"/>
      <c r="HJ1102" s="885"/>
      <c r="HK1102" s="885"/>
      <c r="HL1102" s="885"/>
      <c r="HM1102" s="885"/>
      <c r="HN1102" s="885"/>
      <c r="HO1102" s="885"/>
      <c r="HP1102" s="885"/>
      <c r="HQ1102" s="885"/>
      <c r="HR1102" s="885"/>
      <c r="HS1102" s="885"/>
      <c r="HT1102" s="885"/>
      <c r="HU1102" s="885"/>
      <c r="HV1102" s="885"/>
      <c r="HW1102" s="885"/>
      <c r="HX1102" s="885"/>
      <c r="HY1102" s="885"/>
      <c r="HZ1102" s="885"/>
      <c r="IA1102" s="885"/>
      <c r="IB1102" s="885"/>
      <c r="IC1102" s="885"/>
      <c r="ID1102" s="885"/>
      <c r="IE1102" s="885"/>
      <c r="IF1102" s="885"/>
      <c r="IG1102" s="885"/>
      <c r="IH1102" s="885"/>
      <c r="II1102" s="885"/>
      <c r="IJ1102" s="885"/>
      <c r="IK1102" s="885"/>
      <c r="IL1102" s="885"/>
      <c r="IM1102" s="885"/>
      <c r="IN1102" s="885"/>
      <c r="IO1102" s="885"/>
      <c r="IP1102" s="885"/>
      <c r="IQ1102" s="885"/>
      <c r="IR1102" s="885"/>
      <c r="IS1102" s="885"/>
      <c r="IT1102" s="885"/>
      <c r="IU1102" s="885"/>
      <c r="IV1102" s="885"/>
      <c r="IW1102" s="885"/>
      <c r="IX1102" s="885"/>
    </row>
    <row r="1103" spans="1:258" x14ac:dyDescent="0.25">
      <c r="A1103" s="125">
        <f t="shared" si="127"/>
        <v>1063</v>
      </c>
      <c r="B1103" s="885"/>
      <c r="C1103" s="842" t="s">
        <v>10667</v>
      </c>
      <c r="D1103" s="924">
        <v>0</v>
      </c>
      <c r="E1103" s="924">
        <v>0</v>
      </c>
      <c r="F1103" s="136">
        <v>1</v>
      </c>
      <c r="G1103" s="122" t="s">
        <v>1963</v>
      </c>
      <c r="H1103" s="793"/>
      <c r="I1103" s="793"/>
      <c r="J1103" s="885"/>
      <c r="K1103" s="885"/>
      <c r="L1103" s="885"/>
      <c r="M1103" s="885"/>
      <c r="N1103" s="885"/>
      <c r="O1103" s="885"/>
      <c r="P1103" s="885"/>
      <c r="Q1103" s="885"/>
      <c r="R1103" s="885"/>
      <c r="S1103" s="885"/>
      <c r="T1103" s="885"/>
      <c r="U1103" s="885"/>
      <c r="V1103" s="885"/>
      <c r="W1103" s="885"/>
      <c r="X1103" s="885"/>
      <c r="Y1103" s="885"/>
      <c r="Z1103" s="885"/>
      <c r="AA1103" s="885"/>
      <c r="AB1103" s="885"/>
      <c r="AC1103" s="885"/>
      <c r="AD1103" s="885"/>
      <c r="AE1103" s="885"/>
      <c r="AF1103" s="885"/>
      <c r="AG1103" s="885"/>
      <c r="AH1103" s="885"/>
      <c r="AI1103" s="885"/>
      <c r="AJ1103" s="885"/>
      <c r="AK1103" s="885"/>
      <c r="AL1103" s="885"/>
      <c r="AM1103" s="885"/>
      <c r="AN1103" s="885"/>
      <c r="AO1103" s="885"/>
      <c r="AP1103" s="885"/>
      <c r="AQ1103" s="885"/>
      <c r="AR1103" s="885"/>
      <c r="AS1103" s="885"/>
      <c r="AT1103" s="885"/>
      <c r="AU1103" s="885"/>
      <c r="AV1103" s="885"/>
      <c r="AW1103" s="885"/>
      <c r="AX1103" s="885"/>
      <c r="AY1103" s="885"/>
      <c r="AZ1103" s="885"/>
      <c r="BA1103" s="885"/>
      <c r="BB1103" s="885"/>
      <c r="BC1103" s="885"/>
      <c r="BD1103" s="885"/>
      <c r="BE1103" s="885"/>
      <c r="BF1103" s="885"/>
      <c r="BG1103" s="885"/>
      <c r="BH1103" s="885"/>
      <c r="BI1103" s="885"/>
      <c r="BJ1103" s="885"/>
      <c r="BK1103" s="885"/>
      <c r="BL1103" s="885"/>
      <c r="BM1103" s="885"/>
      <c r="BN1103" s="885"/>
      <c r="BO1103" s="885"/>
      <c r="BP1103" s="885"/>
      <c r="BQ1103" s="885"/>
      <c r="BR1103" s="885"/>
      <c r="BS1103" s="885"/>
      <c r="BT1103" s="885"/>
      <c r="BU1103" s="885"/>
      <c r="BV1103" s="885"/>
      <c r="BW1103" s="885"/>
      <c r="BX1103" s="885"/>
      <c r="BY1103" s="885"/>
      <c r="BZ1103" s="885"/>
      <c r="CA1103" s="885"/>
      <c r="CB1103" s="885"/>
      <c r="CC1103" s="885"/>
      <c r="CD1103" s="885"/>
      <c r="CE1103" s="885"/>
      <c r="CF1103" s="885"/>
      <c r="CG1103" s="885"/>
      <c r="CH1103" s="885"/>
      <c r="CI1103" s="885"/>
      <c r="CJ1103" s="885"/>
      <c r="CK1103" s="885"/>
      <c r="CL1103" s="885"/>
      <c r="CM1103" s="885"/>
      <c r="CN1103" s="885"/>
      <c r="CO1103" s="885"/>
      <c r="CP1103" s="885"/>
      <c r="CQ1103" s="885"/>
      <c r="CR1103" s="885"/>
      <c r="CS1103" s="885"/>
      <c r="CT1103" s="885"/>
      <c r="CU1103" s="885"/>
      <c r="CV1103" s="885"/>
      <c r="CW1103" s="885"/>
      <c r="CX1103" s="885"/>
      <c r="CY1103" s="885"/>
      <c r="CZ1103" s="885"/>
      <c r="DA1103" s="885"/>
      <c r="DB1103" s="885"/>
      <c r="DC1103" s="885"/>
      <c r="DD1103" s="885"/>
      <c r="DE1103" s="885"/>
      <c r="DF1103" s="885"/>
      <c r="DG1103" s="885"/>
      <c r="DH1103" s="885"/>
      <c r="DI1103" s="885"/>
      <c r="DJ1103" s="885"/>
      <c r="DK1103" s="885"/>
      <c r="DL1103" s="885"/>
      <c r="DM1103" s="885"/>
      <c r="DN1103" s="885"/>
      <c r="DO1103" s="885"/>
      <c r="DP1103" s="885"/>
      <c r="DQ1103" s="885"/>
      <c r="DR1103" s="885"/>
      <c r="DS1103" s="885"/>
      <c r="DT1103" s="885"/>
      <c r="DU1103" s="885"/>
      <c r="DV1103" s="885"/>
      <c r="DW1103" s="885"/>
      <c r="DX1103" s="885"/>
      <c r="DY1103" s="885"/>
      <c r="DZ1103" s="885"/>
      <c r="EA1103" s="885"/>
      <c r="EB1103" s="885"/>
      <c r="EC1103" s="885"/>
      <c r="ED1103" s="885"/>
      <c r="EE1103" s="885"/>
      <c r="EF1103" s="885"/>
      <c r="EG1103" s="885"/>
      <c r="EH1103" s="885"/>
      <c r="EI1103" s="885"/>
      <c r="EJ1103" s="885"/>
      <c r="EK1103" s="885"/>
      <c r="EL1103" s="885"/>
      <c r="EM1103" s="885"/>
      <c r="EN1103" s="885"/>
      <c r="EO1103" s="885"/>
      <c r="EP1103" s="885"/>
      <c r="EQ1103" s="885"/>
      <c r="ER1103" s="885"/>
      <c r="ES1103" s="885"/>
      <c r="ET1103" s="885"/>
      <c r="EU1103" s="885"/>
      <c r="EV1103" s="885"/>
      <c r="EW1103" s="885"/>
      <c r="EX1103" s="885"/>
      <c r="EY1103" s="885"/>
      <c r="EZ1103" s="885"/>
      <c r="FA1103" s="885"/>
      <c r="FB1103" s="885"/>
      <c r="FC1103" s="885"/>
      <c r="FD1103" s="885"/>
      <c r="FE1103" s="885"/>
      <c r="FF1103" s="885"/>
      <c r="FG1103" s="885"/>
      <c r="FH1103" s="885"/>
      <c r="FI1103" s="885"/>
      <c r="FJ1103" s="885"/>
      <c r="FK1103" s="885"/>
      <c r="FL1103" s="885"/>
      <c r="FM1103" s="885"/>
      <c r="FN1103" s="885"/>
      <c r="FO1103" s="885"/>
      <c r="FP1103" s="885"/>
      <c r="FQ1103" s="885"/>
      <c r="FR1103" s="885"/>
      <c r="FS1103" s="885"/>
      <c r="FT1103" s="885"/>
      <c r="FU1103" s="885"/>
      <c r="FV1103" s="885"/>
      <c r="FW1103" s="885"/>
      <c r="FX1103" s="885"/>
      <c r="FY1103" s="885"/>
      <c r="FZ1103" s="885"/>
      <c r="GA1103" s="885"/>
      <c r="GB1103" s="885"/>
      <c r="GC1103" s="885"/>
      <c r="GD1103" s="885"/>
      <c r="GE1103" s="885"/>
      <c r="GF1103" s="885"/>
      <c r="GG1103" s="885"/>
      <c r="GH1103" s="885"/>
      <c r="GI1103" s="885"/>
      <c r="GJ1103" s="885"/>
      <c r="GK1103" s="885"/>
      <c r="GL1103" s="885"/>
      <c r="GM1103" s="885"/>
      <c r="GN1103" s="885"/>
      <c r="GO1103" s="885"/>
      <c r="GP1103" s="885"/>
      <c r="GQ1103" s="885"/>
      <c r="GR1103" s="885"/>
      <c r="GS1103" s="885"/>
      <c r="GT1103" s="885"/>
      <c r="GU1103" s="885"/>
      <c r="GV1103" s="885"/>
      <c r="GW1103" s="885"/>
      <c r="GX1103" s="885"/>
      <c r="GY1103" s="885"/>
      <c r="GZ1103" s="885"/>
      <c r="HA1103" s="885"/>
      <c r="HB1103" s="885"/>
      <c r="HC1103" s="885"/>
      <c r="HD1103" s="885"/>
      <c r="HE1103" s="885"/>
      <c r="HF1103" s="885"/>
      <c r="HG1103" s="885"/>
      <c r="HH1103" s="885"/>
      <c r="HI1103" s="885"/>
      <c r="HJ1103" s="885"/>
      <c r="HK1103" s="885"/>
      <c r="HL1103" s="885"/>
      <c r="HM1103" s="885"/>
      <c r="HN1103" s="885"/>
      <c r="HO1103" s="885"/>
      <c r="HP1103" s="885"/>
      <c r="HQ1103" s="885"/>
      <c r="HR1103" s="885"/>
      <c r="HS1103" s="885"/>
      <c r="HT1103" s="885"/>
      <c r="HU1103" s="885"/>
      <c r="HV1103" s="885"/>
      <c r="HW1103" s="885"/>
      <c r="HX1103" s="885"/>
      <c r="HY1103" s="885"/>
      <c r="HZ1103" s="885"/>
      <c r="IA1103" s="885"/>
      <c r="IB1103" s="885"/>
      <c r="IC1103" s="885"/>
      <c r="ID1103" s="885"/>
      <c r="IE1103" s="885"/>
      <c r="IF1103" s="885"/>
      <c r="IG1103" s="885"/>
      <c r="IH1103" s="885"/>
      <c r="II1103" s="885"/>
      <c r="IJ1103" s="885"/>
      <c r="IK1103" s="885"/>
      <c r="IL1103" s="885"/>
      <c r="IM1103" s="885"/>
      <c r="IN1103" s="885"/>
      <c r="IO1103" s="885"/>
      <c r="IP1103" s="885"/>
      <c r="IQ1103" s="885"/>
      <c r="IR1103" s="885"/>
      <c r="IS1103" s="885"/>
      <c r="IT1103" s="885"/>
      <c r="IU1103" s="885"/>
      <c r="IV1103" s="885"/>
      <c r="IW1103" s="885"/>
      <c r="IX1103" s="885"/>
    </row>
    <row r="1104" spans="1:258" x14ac:dyDescent="0.25">
      <c r="A1104" s="125">
        <f t="shared" si="127"/>
        <v>1064</v>
      </c>
      <c r="B1104" s="885"/>
      <c r="C1104" s="842" t="s">
        <v>10668</v>
      </c>
      <c r="D1104" s="924">
        <v>0</v>
      </c>
      <c r="E1104" s="924">
        <v>0</v>
      </c>
      <c r="F1104" s="136">
        <v>100</v>
      </c>
      <c r="G1104" s="122" t="s">
        <v>1963</v>
      </c>
      <c r="H1104" s="793"/>
      <c r="I1104" s="793"/>
      <c r="J1104" s="885"/>
      <c r="K1104" s="885"/>
      <c r="L1104" s="885"/>
      <c r="M1104" s="885"/>
      <c r="N1104" s="885"/>
      <c r="O1104" s="885"/>
      <c r="P1104" s="885"/>
      <c r="Q1104" s="885"/>
      <c r="R1104" s="885"/>
      <c r="S1104" s="885"/>
      <c r="T1104" s="885"/>
      <c r="U1104" s="885"/>
      <c r="V1104" s="885"/>
      <c r="W1104" s="885"/>
      <c r="X1104" s="885"/>
      <c r="Y1104" s="885"/>
      <c r="Z1104" s="885"/>
      <c r="AA1104" s="885"/>
      <c r="AB1104" s="885"/>
      <c r="AC1104" s="885"/>
      <c r="AD1104" s="885"/>
      <c r="AE1104" s="885"/>
      <c r="AF1104" s="885"/>
      <c r="AG1104" s="885"/>
      <c r="AH1104" s="885"/>
      <c r="AI1104" s="885"/>
      <c r="AJ1104" s="885"/>
      <c r="AK1104" s="885"/>
      <c r="AL1104" s="885"/>
      <c r="AM1104" s="885"/>
      <c r="AN1104" s="885"/>
      <c r="AO1104" s="885"/>
      <c r="AP1104" s="885"/>
      <c r="AQ1104" s="885"/>
      <c r="AR1104" s="885"/>
      <c r="AS1104" s="885"/>
      <c r="AT1104" s="885"/>
      <c r="AU1104" s="885"/>
      <c r="AV1104" s="885"/>
      <c r="AW1104" s="885"/>
      <c r="AX1104" s="885"/>
      <c r="AY1104" s="885"/>
      <c r="AZ1104" s="885"/>
      <c r="BA1104" s="885"/>
      <c r="BB1104" s="885"/>
      <c r="BC1104" s="885"/>
      <c r="BD1104" s="885"/>
      <c r="BE1104" s="885"/>
      <c r="BF1104" s="885"/>
      <c r="BG1104" s="885"/>
      <c r="BH1104" s="885"/>
      <c r="BI1104" s="885"/>
      <c r="BJ1104" s="885"/>
      <c r="BK1104" s="885"/>
      <c r="BL1104" s="885"/>
      <c r="BM1104" s="885"/>
      <c r="BN1104" s="885"/>
      <c r="BO1104" s="885"/>
      <c r="BP1104" s="885"/>
      <c r="BQ1104" s="885"/>
      <c r="BR1104" s="885"/>
      <c r="BS1104" s="885"/>
      <c r="BT1104" s="885"/>
      <c r="BU1104" s="885"/>
      <c r="BV1104" s="885"/>
      <c r="BW1104" s="885"/>
      <c r="BX1104" s="885"/>
      <c r="BY1104" s="885"/>
      <c r="BZ1104" s="885"/>
      <c r="CA1104" s="885"/>
      <c r="CB1104" s="885"/>
      <c r="CC1104" s="885"/>
      <c r="CD1104" s="885"/>
      <c r="CE1104" s="885"/>
      <c r="CF1104" s="885"/>
      <c r="CG1104" s="885"/>
      <c r="CH1104" s="885"/>
      <c r="CI1104" s="885"/>
      <c r="CJ1104" s="885"/>
      <c r="CK1104" s="885"/>
      <c r="CL1104" s="885"/>
      <c r="CM1104" s="885"/>
      <c r="CN1104" s="885"/>
      <c r="CO1104" s="885"/>
      <c r="CP1104" s="885"/>
      <c r="CQ1104" s="885"/>
      <c r="CR1104" s="885"/>
      <c r="CS1104" s="885"/>
      <c r="CT1104" s="885"/>
      <c r="CU1104" s="885"/>
      <c r="CV1104" s="885"/>
      <c r="CW1104" s="885"/>
      <c r="CX1104" s="885"/>
      <c r="CY1104" s="885"/>
      <c r="CZ1104" s="885"/>
      <c r="DA1104" s="885"/>
      <c r="DB1104" s="885"/>
      <c r="DC1104" s="885"/>
      <c r="DD1104" s="885"/>
      <c r="DE1104" s="885"/>
      <c r="DF1104" s="885"/>
      <c r="DG1104" s="885"/>
      <c r="DH1104" s="885"/>
      <c r="DI1104" s="885"/>
      <c r="DJ1104" s="885"/>
      <c r="DK1104" s="885"/>
      <c r="DL1104" s="885"/>
      <c r="DM1104" s="885"/>
      <c r="DN1104" s="885"/>
      <c r="DO1104" s="885"/>
      <c r="DP1104" s="885"/>
      <c r="DQ1104" s="885"/>
      <c r="DR1104" s="885"/>
      <c r="DS1104" s="885"/>
      <c r="DT1104" s="885"/>
      <c r="DU1104" s="885"/>
      <c r="DV1104" s="885"/>
      <c r="DW1104" s="885"/>
      <c r="DX1104" s="885"/>
      <c r="DY1104" s="885"/>
      <c r="DZ1104" s="885"/>
      <c r="EA1104" s="885"/>
      <c r="EB1104" s="885"/>
      <c r="EC1104" s="885"/>
      <c r="ED1104" s="885"/>
      <c r="EE1104" s="885"/>
      <c r="EF1104" s="885"/>
      <c r="EG1104" s="885"/>
      <c r="EH1104" s="885"/>
      <c r="EI1104" s="885"/>
      <c r="EJ1104" s="885"/>
      <c r="EK1104" s="885"/>
      <c r="EL1104" s="885"/>
      <c r="EM1104" s="885"/>
      <c r="EN1104" s="885"/>
      <c r="EO1104" s="885"/>
      <c r="EP1104" s="885"/>
      <c r="EQ1104" s="885"/>
      <c r="ER1104" s="885"/>
      <c r="ES1104" s="885"/>
      <c r="ET1104" s="885"/>
      <c r="EU1104" s="885"/>
      <c r="EV1104" s="885"/>
      <c r="EW1104" s="885"/>
      <c r="EX1104" s="885"/>
      <c r="EY1104" s="885"/>
      <c r="EZ1104" s="885"/>
      <c r="FA1104" s="885"/>
      <c r="FB1104" s="885"/>
      <c r="FC1104" s="885"/>
      <c r="FD1104" s="885"/>
      <c r="FE1104" s="885"/>
      <c r="FF1104" s="885"/>
      <c r="FG1104" s="885"/>
      <c r="FH1104" s="885"/>
      <c r="FI1104" s="885"/>
      <c r="FJ1104" s="885"/>
      <c r="FK1104" s="885"/>
      <c r="FL1104" s="885"/>
      <c r="FM1104" s="885"/>
      <c r="FN1104" s="885"/>
      <c r="FO1104" s="885"/>
      <c r="FP1104" s="885"/>
      <c r="FQ1104" s="885"/>
      <c r="FR1104" s="885"/>
      <c r="FS1104" s="885"/>
      <c r="FT1104" s="885"/>
      <c r="FU1104" s="885"/>
      <c r="FV1104" s="885"/>
      <c r="FW1104" s="885"/>
      <c r="FX1104" s="885"/>
      <c r="FY1104" s="885"/>
      <c r="FZ1104" s="885"/>
      <c r="GA1104" s="885"/>
      <c r="GB1104" s="885"/>
      <c r="GC1104" s="885"/>
      <c r="GD1104" s="885"/>
      <c r="GE1104" s="885"/>
      <c r="GF1104" s="885"/>
      <c r="GG1104" s="885"/>
      <c r="GH1104" s="885"/>
      <c r="GI1104" s="885"/>
      <c r="GJ1104" s="885"/>
      <c r="GK1104" s="885"/>
      <c r="GL1104" s="885"/>
      <c r="GM1104" s="885"/>
      <c r="GN1104" s="885"/>
      <c r="GO1104" s="885"/>
      <c r="GP1104" s="885"/>
      <c r="GQ1104" s="885"/>
      <c r="GR1104" s="885"/>
      <c r="GS1104" s="885"/>
      <c r="GT1104" s="885"/>
      <c r="GU1104" s="885"/>
      <c r="GV1104" s="885"/>
      <c r="GW1104" s="885"/>
      <c r="GX1104" s="885"/>
      <c r="GY1104" s="885"/>
      <c r="GZ1104" s="885"/>
      <c r="HA1104" s="885"/>
      <c r="HB1104" s="885"/>
      <c r="HC1104" s="885"/>
      <c r="HD1104" s="885"/>
      <c r="HE1104" s="885"/>
      <c r="HF1104" s="885"/>
      <c r="HG1104" s="885"/>
      <c r="HH1104" s="885"/>
      <c r="HI1104" s="885"/>
      <c r="HJ1104" s="885"/>
      <c r="HK1104" s="885"/>
      <c r="HL1104" s="885"/>
      <c r="HM1104" s="885"/>
      <c r="HN1104" s="885"/>
      <c r="HO1104" s="885"/>
      <c r="HP1104" s="885"/>
      <c r="HQ1104" s="885"/>
      <c r="HR1104" s="885"/>
      <c r="HS1104" s="885"/>
      <c r="HT1104" s="885"/>
      <c r="HU1104" s="885"/>
      <c r="HV1104" s="885"/>
      <c r="HW1104" s="885"/>
      <c r="HX1104" s="885"/>
      <c r="HY1104" s="885"/>
      <c r="HZ1104" s="885"/>
      <c r="IA1104" s="885"/>
      <c r="IB1104" s="885"/>
      <c r="IC1104" s="885"/>
      <c r="ID1104" s="885"/>
      <c r="IE1104" s="885"/>
      <c r="IF1104" s="885"/>
      <c r="IG1104" s="885"/>
      <c r="IH1104" s="885"/>
      <c r="II1104" s="885"/>
      <c r="IJ1104" s="885"/>
      <c r="IK1104" s="885"/>
      <c r="IL1104" s="885"/>
      <c r="IM1104" s="885"/>
      <c r="IN1104" s="885"/>
      <c r="IO1104" s="885"/>
      <c r="IP1104" s="885"/>
      <c r="IQ1104" s="885"/>
      <c r="IR1104" s="885"/>
      <c r="IS1104" s="885"/>
      <c r="IT1104" s="885"/>
      <c r="IU1104" s="885"/>
      <c r="IV1104" s="885"/>
      <c r="IW1104" s="885"/>
      <c r="IX1104" s="885"/>
    </row>
    <row r="1105" spans="1:258" x14ac:dyDescent="0.25">
      <c r="A1105" s="125">
        <f t="shared" si="127"/>
        <v>1065</v>
      </c>
      <c r="B1105" s="885"/>
      <c r="C1105" s="842" t="s">
        <v>10669</v>
      </c>
      <c r="D1105" s="924">
        <v>0</v>
      </c>
      <c r="E1105" s="924">
        <v>0</v>
      </c>
      <c r="F1105" s="136">
        <v>500</v>
      </c>
      <c r="G1105" s="122" t="s">
        <v>1963</v>
      </c>
      <c r="H1105" s="793"/>
      <c r="I1105" s="793"/>
      <c r="J1105" s="885"/>
      <c r="K1105" s="885"/>
      <c r="L1105" s="885"/>
      <c r="M1105" s="885"/>
      <c r="N1105" s="885"/>
      <c r="O1105" s="885"/>
      <c r="P1105" s="885"/>
      <c r="Q1105" s="885"/>
      <c r="R1105" s="885"/>
      <c r="S1105" s="885"/>
      <c r="T1105" s="885"/>
      <c r="U1105" s="885"/>
      <c r="V1105" s="885"/>
      <c r="W1105" s="885"/>
      <c r="X1105" s="885"/>
      <c r="Y1105" s="885"/>
      <c r="Z1105" s="885"/>
      <c r="AA1105" s="885"/>
      <c r="AB1105" s="885"/>
      <c r="AC1105" s="885"/>
      <c r="AD1105" s="885"/>
      <c r="AE1105" s="885"/>
      <c r="AF1105" s="885"/>
      <c r="AG1105" s="885"/>
      <c r="AH1105" s="885"/>
      <c r="AI1105" s="885"/>
      <c r="AJ1105" s="885"/>
      <c r="AK1105" s="885"/>
      <c r="AL1105" s="885"/>
      <c r="AM1105" s="885"/>
      <c r="AN1105" s="885"/>
      <c r="AO1105" s="885"/>
      <c r="AP1105" s="885"/>
      <c r="AQ1105" s="885"/>
      <c r="AR1105" s="885"/>
      <c r="AS1105" s="885"/>
      <c r="AT1105" s="885"/>
      <c r="AU1105" s="885"/>
      <c r="AV1105" s="885"/>
      <c r="AW1105" s="885"/>
      <c r="AX1105" s="885"/>
      <c r="AY1105" s="885"/>
      <c r="AZ1105" s="885"/>
      <c r="BA1105" s="885"/>
      <c r="BB1105" s="885"/>
      <c r="BC1105" s="885"/>
      <c r="BD1105" s="885"/>
      <c r="BE1105" s="885"/>
      <c r="BF1105" s="885"/>
      <c r="BG1105" s="885"/>
      <c r="BH1105" s="885"/>
      <c r="BI1105" s="885"/>
      <c r="BJ1105" s="885"/>
      <c r="BK1105" s="885"/>
      <c r="BL1105" s="885"/>
      <c r="BM1105" s="885"/>
      <c r="BN1105" s="885"/>
      <c r="BO1105" s="885"/>
      <c r="BP1105" s="885"/>
      <c r="BQ1105" s="885"/>
      <c r="BR1105" s="885"/>
      <c r="BS1105" s="885"/>
      <c r="BT1105" s="885"/>
      <c r="BU1105" s="885"/>
      <c r="BV1105" s="885"/>
      <c r="BW1105" s="885"/>
      <c r="BX1105" s="885"/>
      <c r="BY1105" s="885"/>
      <c r="BZ1105" s="885"/>
      <c r="CA1105" s="885"/>
      <c r="CB1105" s="885"/>
      <c r="CC1105" s="885"/>
      <c r="CD1105" s="885"/>
      <c r="CE1105" s="885"/>
      <c r="CF1105" s="885"/>
      <c r="CG1105" s="885"/>
      <c r="CH1105" s="885"/>
      <c r="CI1105" s="885"/>
      <c r="CJ1105" s="885"/>
      <c r="CK1105" s="885"/>
      <c r="CL1105" s="885"/>
      <c r="CM1105" s="885"/>
      <c r="CN1105" s="885"/>
      <c r="CO1105" s="885"/>
      <c r="CP1105" s="885"/>
      <c r="CQ1105" s="885"/>
      <c r="CR1105" s="885"/>
      <c r="CS1105" s="885"/>
      <c r="CT1105" s="885"/>
      <c r="CU1105" s="885"/>
      <c r="CV1105" s="885"/>
      <c r="CW1105" s="885"/>
      <c r="CX1105" s="885"/>
      <c r="CY1105" s="885"/>
      <c r="CZ1105" s="885"/>
      <c r="DA1105" s="885"/>
      <c r="DB1105" s="885"/>
      <c r="DC1105" s="885"/>
      <c r="DD1105" s="885"/>
      <c r="DE1105" s="885"/>
      <c r="DF1105" s="885"/>
      <c r="DG1105" s="885"/>
      <c r="DH1105" s="885"/>
      <c r="DI1105" s="885"/>
      <c r="DJ1105" s="885"/>
      <c r="DK1105" s="885"/>
      <c r="DL1105" s="885"/>
      <c r="DM1105" s="885"/>
      <c r="DN1105" s="885"/>
      <c r="DO1105" s="885"/>
      <c r="DP1105" s="885"/>
      <c r="DQ1105" s="885"/>
      <c r="DR1105" s="885"/>
      <c r="DS1105" s="885"/>
      <c r="DT1105" s="885"/>
      <c r="DU1105" s="885"/>
      <c r="DV1105" s="885"/>
      <c r="DW1105" s="885"/>
      <c r="DX1105" s="885"/>
      <c r="DY1105" s="885"/>
      <c r="DZ1105" s="885"/>
      <c r="EA1105" s="885"/>
      <c r="EB1105" s="885"/>
      <c r="EC1105" s="885"/>
      <c r="ED1105" s="885"/>
      <c r="EE1105" s="885"/>
      <c r="EF1105" s="885"/>
      <c r="EG1105" s="885"/>
      <c r="EH1105" s="885"/>
      <c r="EI1105" s="885"/>
      <c r="EJ1105" s="885"/>
      <c r="EK1105" s="885"/>
      <c r="EL1105" s="885"/>
      <c r="EM1105" s="885"/>
      <c r="EN1105" s="885"/>
      <c r="EO1105" s="885"/>
      <c r="EP1105" s="885"/>
      <c r="EQ1105" s="885"/>
      <c r="ER1105" s="885"/>
      <c r="ES1105" s="885"/>
      <c r="ET1105" s="885"/>
      <c r="EU1105" s="885"/>
      <c r="EV1105" s="885"/>
      <c r="EW1105" s="885"/>
      <c r="EX1105" s="885"/>
      <c r="EY1105" s="885"/>
      <c r="EZ1105" s="885"/>
      <c r="FA1105" s="885"/>
      <c r="FB1105" s="885"/>
      <c r="FC1105" s="885"/>
      <c r="FD1105" s="885"/>
      <c r="FE1105" s="885"/>
      <c r="FF1105" s="885"/>
      <c r="FG1105" s="885"/>
      <c r="FH1105" s="885"/>
      <c r="FI1105" s="885"/>
      <c r="FJ1105" s="885"/>
      <c r="FK1105" s="885"/>
      <c r="FL1105" s="885"/>
      <c r="FM1105" s="885"/>
      <c r="FN1105" s="885"/>
      <c r="FO1105" s="885"/>
      <c r="FP1105" s="885"/>
      <c r="FQ1105" s="885"/>
      <c r="FR1105" s="885"/>
      <c r="FS1105" s="885"/>
      <c r="FT1105" s="885"/>
      <c r="FU1105" s="885"/>
      <c r="FV1105" s="885"/>
      <c r="FW1105" s="885"/>
      <c r="FX1105" s="885"/>
      <c r="FY1105" s="885"/>
      <c r="FZ1105" s="885"/>
      <c r="GA1105" s="885"/>
      <c r="GB1105" s="885"/>
      <c r="GC1105" s="885"/>
      <c r="GD1105" s="885"/>
      <c r="GE1105" s="885"/>
      <c r="GF1105" s="885"/>
      <c r="GG1105" s="885"/>
      <c r="GH1105" s="885"/>
      <c r="GI1105" s="885"/>
      <c r="GJ1105" s="885"/>
      <c r="GK1105" s="885"/>
      <c r="GL1105" s="885"/>
      <c r="GM1105" s="885"/>
      <c r="GN1105" s="885"/>
      <c r="GO1105" s="885"/>
      <c r="GP1105" s="885"/>
      <c r="GQ1105" s="885"/>
      <c r="GR1105" s="885"/>
      <c r="GS1105" s="885"/>
      <c r="GT1105" s="885"/>
      <c r="GU1105" s="885"/>
      <c r="GV1105" s="885"/>
      <c r="GW1105" s="885"/>
      <c r="GX1105" s="885"/>
      <c r="GY1105" s="885"/>
      <c r="GZ1105" s="885"/>
      <c r="HA1105" s="885"/>
      <c r="HB1105" s="885"/>
      <c r="HC1105" s="885"/>
      <c r="HD1105" s="885"/>
      <c r="HE1105" s="885"/>
      <c r="HF1105" s="885"/>
      <c r="HG1105" s="885"/>
      <c r="HH1105" s="885"/>
      <c r="HI1105" s="885"/>
      <c r="HJ1105" s="885"/>
      <c r="HK1105" s="885"/>
      <c r="HL1105" s="885"/>
      <c r="HM1105" s="885"/>
      <c r="HN1105" s="885"/>
      <c r="HO1105" s="885"/>
      <c r="HP1105" s="885"/>
      <c r="HQ1105" s="885"/>
      <c r="HR1105" s="885"/>
      <c r="HS1105" s="885"/>
      <c r="HT1105" s="885"/>
      <c r="HU1105" s="885"/>
      <c r="HV1105" s="885"/>
      <c r="HW1105" s="885"/>
      <c r="HX1105" s="885"/>
      <c r="HY1105" s="885"/>
      <c r="HZ1105" s="885"/>
      <c r="IA1105" s="885"/>
      <c r="IB1105" s="885"/>
      <c r="IC1105" s="885"/>
      <c r="ID1105" s="885"/>
      <c r="IE1105" s="885"/>
      <c r="IF1105" s="885"/>
      <c r="IG1105" s="885"/>
      <c r="IH1105" s="885"/>
      <c r="II1105" s="885"/>
      <c r="IJ1105" s="885"/>
      <c r="IK1105" s="885"/>
      <c r="IL1105" s="885"/>
      <c r="IM1105" s="885"/>
      <c r="IN1105" s="885"/>
      <c r="IO1105" s="885"/>
      <c r="IP1105" s="885"/>
      <c r="IQ1105" s="885"/>
      <c r="IR1105" s="885"/>
      <c r="IS1105" s="885"/>
      <c r="IT1105" s="885"/>
      <c r="IU1105" s="885"/>
      <c r="IV1105" s="885"/>
      <c r="IW1105" s="885"/>
      <c r="IX1105" s="885"/>
    </row>
    <row r="1106" spans="1:258" x14ac:dyDescent="0.25">
      <c r="A1106" s="125">
        <f t="shared" si="127"/>
        <v>1066</v>
      </c>
      <c r="B1106" s="885"/>
      <c r="C1106" s="842" t="s">
        <v>10670</v>
      </c>
      <c r="D1106" s="924">
        <v>10899.42</v>
      </c>
      <c r="E1106" s="924">
        <f>D1106/8*12</f>
        <v>16349.130000000001</v>
      </c>
      <c r="F1106" s="136">
        <f>E1106</f>
        <v>16349.130000000001</v>
      </c>
      <c r="G1106" s="122" t="s">
        <v>1963</v>
      </c>
      <c r="H1106" s="793"/>
      <c r="I1106" s="793"/>
      <c r="J1106" s="885"/>
      <c r="K1106" s="885"/>
      <c r="L1106" s="885"/>
      <c r="M1106" s="885"/>
      <c r="N1106" s="885"/>
      <c r="O1106" s="885"/>
      <c r="P1106" s="885"/>
      <c r="Q1106" s="885"/>
      <c r="R1106" s="885"/>
      <c r="S1106" s="885"/>
      <c r="T1106" s="885"/>
      <c r="U1106" s="885"/>
      <c r="V1106" s="885"/>
      <c r="W1106" s="885"/>
      <c r="X1106" s="885"/>
      <c r="Y1106" s="885"/>
      <c r="Z1106" s="885"/>
      <c r="AA1106" s="885"/>
      <c r="AB1106" s="885"/>
      <c r="AC1106" s="885"/>
      <c r="AD1106" s="885"/>
      <c r="AE1106" s="885"/>
      <c r="AF1106" s="885"/>
      <c r="AG1106" s="885"/>
      <c r="AH1106" s="885"/>
      <c r="AI1106" s="885"/>
      <c r="AJ1106" s="885"/>
      <c r="AK1106" s="885"/>
      <c r="AL1106" s="885"/>
      <c r="AM1106" s="885"/>
      <c r="AN1106" s="885"/>
      <c r="AO1106" s="885"/>
      <c r="AP1106" s="885"/>
      <c r="AQ1106" s="885"/>
      <c r="AR1106" s="885"/>
      <c r="AS1106" s="885"/>
      <c r="AT1106" s="885"/>
      <c r="AU1106" s="885"/>
      <c r="AV1106" s="885"/>
      <c r="AW1106" s="885"/>
      <c r="AX1106" s="885"/>
      <c r="AY1106" s="885"/>
      <c r="AZ1106" s="885"/>
      <c r="BA1106" s="885"/>
      <c r="BB1106" s="885"/>
      <c r="BC1106" s="885"/>
      <c r="BD1106" s="885"/>
      <c r="BE1106" s="885"/>
      <c r="BF1106" s="885"/>
      <c r="BG1106" s="885"/>
      <c r="BH1106" s="885"/>
      <c r="BI1106" s="885"/>
      <c r="BJ1106" s="885"/>
      <c r="BK1106" s="885"/>
      <c r="BL1106" s="885"/>
      <c r="BM1106" s="885"/>
      <c r="BN1106" s="885"/>
      <c r="BO1106" s="885"/>
      <c r="BP1106" s="885"/>
      <c r="BQ1106" s="885"/>
      <c r="BR1106" s="885"/>
      <c r="BS1106" s="885"/>
      <c r="BT1106" s="885"/>
      <c r="BU1106" s="885"/>
      <c r="BV1106" s="885"/>
      <c r="BW1106" s="885"/>
      <c r="BX1106" s="885"/>
      <c r="BY1106" s="885"/>
      <c r="BZ1106" s="885"/>
      <c r="CA1106" s="885"/>
      <c r="CB1106" s="885"/>
      <c r="CC1106" s="885"/>
      <c r="CD1106" s="885"/>
      <c r="CE1106" s="885"/>
      <c r="CF1106" s="885"/>
      <c r="CG1106" s="885"/>
      <c r="CH1106" s="885"/>
      <c r="CI1106" s="885"/>
      <c r="CJ1106" s="885"/>
      <c r="CK1106" s="885"/>
      <c r="CL1106" s="885"/>
      <c r="CM1106" s="885"/>
      <c r="CN1106" s="885"/>
      <c r="CO1106" s="885"/>
      <c r="CP1106" s="885"/>
      <c r="CQ1106" s="885"/>
      <c r="CR1106" s="885"/>
      <c r="CS1106" s="885"/>
      <c r="CT1106" s="885"/>
      <c r="CU1106" s="885"/>
      <c r="CV1106" s="885"/>
      <c r="CW1106" s="885"/>
      <c r="CX1106" s="885"/>
      <c r="CY1106" s="885"/>
      <c r="CZ1106" s="885"/>
      <c r="DA1106" s="885"/>
      <c r="DB1106" s="885"/>
      <c r="DC1106" s="885"/>
      <c r="DD1106" s="885"/>
      <c r="DE1106" s="885"/>
      <c r="DF1106" s="885"/>
      <c r="DG1106" s="885"/>
      <c r="DH1106" s="885"/>
      <c r="DI1106" s="885"/>
      <c r="DJ1106" s="885"/>
      <c r="DK1106" s="885"/>
      <c r="DL1106" s="885"/>
      <c r="DM1106" s="885"/>
      <c r="DN1106" s="885"/>
      <c r="DO1106" s="885"/>
      <c r="DP1106" s="885"/>
      <c r="DQ1106" s="885"/>
      <c r="DR1106" s="885"/>
      <c r="DS1106" s="885"/>
      <c r="DT1106" s="885"/>
      <c r="DU1106" s="885"/>
      <c r="DV1106" s="885"/>
      <c r="DW1106" s="885"/>
      <c r="DX1106" s="885"/>
      <c r="DY1106" s="885"/>
      <c r="DZ1106" s="885"/>
      <c r="EA1106" s="885"/>
      <c r="EB1106" s="885"/>
      <c r="EC1106" s="885"/>
      <c r="ED1106" s="885"/>
      <c r="EE1106" s="885"/>
      <c r="EF1106" s="885"/>
      <c r="EG1106" s="885"/>
      <c r="EH1106" s="885"/>
      <c r="EI1106" s="885"/>
      <c r="EJ1106" s="885"/>
      <c r="EK1106" s="885"/>
      <c r="EL1106" s="885"/>
      <c r="EM1106" s="885"/>
      <c r="EN1106" s="885"/>
      <c r="EO1106" s="885"/>
      <c r="EP1106" s="885"/>
      <c r="EQ1106" s="885"/>
      <c r="ER1106" s="885"/>
      <c r="ES1106" s="885"/>
      <c r="ET1106" s="885"/>
      <c r="EU1106" s="885"/>
      <c r="EV1106" s="885"/>
      <c r="EW1106" s="885"/>
      <c r="EX1106" s="885"/>
      <c r="EY1106" s="885"/>
      <c r="EZ1106" s="885"/>
      <c r="FA1106" s="885"/>
      <c r="FB1106" s="885"/>
      <c r="FC1106" s="885"/>
      <c r="FD1106" s="885"/>
      <c r="FE1106" s="885"/>
      <c r="FF1106" s="885"/>
      <c r="FG1106" s="885"/>
      <c r="FH1106" s="885"/>
      <c r="FI1106" s="885"/>
      <c r="FJ1106" s="885"/>
      <c r="FK1106" s="885"/>
      <c r="FL1106" s="885"/>
      <c r="FM1106" s="885"/>
      <c r="FN1106" s="885"/>
      <c r="FO1106" s="885"/>
      <c r="FP1106" s="885"/>
      <c r="FQ1106" s="885"/>
      <c r="FR1106" s="885"/>
      <c r="FS1106" s="885"/>
      <c r="FT1106" s="885"/>
      <c r="FU1106" s="885"/>
      <c r="FV1106" s="885"/>
      <c r="FW1106" s="885"/>
      <c r="FX1106" s="885"/>
      <c r="FY1106" s="885"/>
      <c r="FZ1106" s="885"/>
      <c r="GA1106" s="885"/>
      <c r="GB1106" s="885"/>
      <c r="GC1106" s="885"/>
      <c r="GD1106" s="885"/>
      <c r="GE1106" s="885"/>
      <c r="GF1106" s="885"/>
      <c r="GG1106" s="885"/>
      <c r="GH1106" s="885"/>
      <c r="GI1106" s="885"/>
      <c r="GJ1106" s="885"/>
      <c r="GK1106" s="885"/>
      <c r="GL1106" s="885"/>
      <c r="GM1106" s="885"/>
      <c r="GN1106" s="885"/>
      <c r="GO1106" s="885"/>
      <c r="GP1106" s="885"/>
      <c r="GQ1106" s="885"/>
      <c r="GR1106" s="885"/>
      <c r="GS1106" s="885"/>
      <c r="GT1106" s="885"/>
      <c r="GU1106" s="885"/>
      <c r="GV1106" s="885"/>
      <c r="GW1106" s="885"/>
      <c r="GX1106" s="885"/>
      <c r="GY1106" s="885"/>
      <c r="GZ1106" s="885"/>
      <c r="HA1106" s="885"/>
      <c r="HB1106" s="885"/>
      <c r="HC1106" s="885"/>
      <c r="HD1106" s="885"/>
      <c r="HE1106" s="885"/>
      <c r="HF1106" s="885"/>
      <c r="HG1106" s="885"/>
      <c r="HH1106" s="885"/>
      <c r="HI1106" s="885"/>
      <c r="HJ1106" s="885"/>
      <c r="HK1106" s="885"/>
      <c r="HL1106" s="885"/>
      <c r="HM1106" s="885"/>
      <c r="HN1106" s="885"/>
      <c r="HO1106" s="885"/>
      <c r="HP1106" s="885"/>
      <c r="HQ1106" s="885"/>
      <c r="HR1106" s="885"/>
      <c r="HS1106" s="885"/>
      <c r="HT1106" s="885"/>
      <c r="HU1106" s="885"/>
      <c r="HV1106" s="885"/>
      <c r="HW1106" s="885"/>
      <c r="HX1106" s="885"/>
      <c r="HY1106" s="885"/>
      <c r="HZ1106" s="885"/>
      <c r="IA1106" s="885"/>
      <c r="IB1106" s="885"/>
      <c r="IC1106" s="885"/>
      <c r="ID1106" s="885"/>
      <c r="IE1106" s="885"/>
      <c r="IF1106" s="885"/>
      <c r="IG1106" s="885"/>
      <c r="IH1106" s="885"/>
      <c r="II1106" s="885"/>
      <c r="IJ1106" s="885"/>
      <c r="IK1106" s="885"/>
      <c r="IL1106" s="885"/>
      <c r="IM1106" s="885"/>
      <c r="IN1106" s="885"/>
      <c r="IO1106" s="885"/>
      <c r="IP1106" s="885"/>
      <c r="IQ1106" s="885"/>
      <c r="IR1106" s="885"/>
      <c r="IS1106" s="885"/>
      <c r="IT1106" s="885"/>
      <c r="IU1106" s="885"/>
      <c r="IV1106" s="885"/>
      <c r="IW1106" s="885"/>
      <c r="IX1106" s="885"/>
    </row>
    <row r="1107" spans="1:258" x14ac:dyDescent="0.25">
      <c r="A1107" s="125">
        <f t="shared" si="127"/>
        <v>1067</v>
      </c>
      <c r="B1107" s="954"/>
      <c r="C1107" s="842" t="s">
        <v>11532</v>
      </c>
      <c r="D1107" s="924">
        <v>157.25</v>
      </c>
      <c r="E1107" s="924">
        <f>D1107/8*12</f>
        <v>235.875</v>
      </c>
      <c r="F1107" s="976">
        <v>0</v>
      </c>
      <c r="H1107" s="793"/>
      <c r="I1107" s="793"/>
      <c r="J1107" s="954"/>
      <c r="K1107" s="954"/>
      <c r="L1107" s="954"/>
      <c r="M1107" s="954"/>
      <c r="N1107" s="954"/>
      <c r="O1107" s="954"/>
      <c r="P1107" s="954"/>
      <c r="Q1107" s="954"/>
      <c r="R1107" s="954"/>
      <c r="S1107" s="954"/>
      <c r="T1107" s="954"/>
      <c r="U1107" s="954"/>
      <c r="V1107" s="954"/>
      <c r="W1107" s="954"/>
      <c r="X1107" s="954"/>
      <c r="Y1107" s="954"/>
      <c r="Z1107" s="954"/>
      <c r="AA1107" s="954"/>
      <c r="AB1107" s="954"/>
      <c r="AC1107" s="954"/>
      <c r="AD1107" s="954"/>
      <c r="AE1107" s="954"/>
      <c r="AF1107" s="954"/>
      <c r="AG1107" s="954"/>
      <c r="AH1107" s="954"/>
      <c r="AI1107" s="954"/>
      <c r="AJ1107" s="954"/>
      <c r="AK1107" s="954"/>
      <c r="AL1107" s="954"/>
      <c r="AM1107" s="954"/>
      <c r="AN1107" s="954"/>
      <c r="AO1107" s="954"/>
      <c r="AP1107" s="954"/>
      <c r="AQ1107" s="954"/>
      <c r="AR1107" s="954"/>
      <c r="AS1107" s="954"/>
      <c r="AT1107" s="954"/>
      <c r="AU1107" s="954"/>
      <c r="AV1107" s="954"/>
      <c r="AW1107" s="954"/>
      <c r="AX1107" s="954"/>
      <c r="AY1107" s="954"/>
      <c r="AZ1107" s="954"/>
      <c r="BA1107" s="954"/>
      <c r="BB1107" s="954"/>
      <c r="BC1107" s="954"/>
      <c r="BD1107" s="954"/>
      <c r="BE1107" s="954"/>
      <c r="BF1107" s="954"/>
      <c r="BG1107" s="954"/>
      <c r="BH1107" s="954"/>
      <c r="BI1107" s="954"/>
      <c r="BJ1107" s="954"/>
      <c r="BK1107" s="954"/>
      <c r="BL1107" s="954"/>
      <c r="BM1107" s="954"/>
      <c r="BN1107" s="954"/>
      <c r="BO1107" s="954"/>
      <c r="BP1107" s="954"/>
      <c r="BQ1107" s="954"/>
      <c r="BR1107" s="954"/>
      <c r="BS1107" s="954"/>
      <c r="BT1107" s="954"/>
      <c r="BU1107" s="954"/>
      <c r="BV1107" s="954"/>
      <c r="BW1107" s="954"/>
      <c r="BX1107" s="954"/>
      <c r="BY1107" s="954"/>
      <c r="BZ1107" s="954"/>
      <c r="CA1107" s="954"/>
      <c r="CB1107" s="954"/>
      <c r="CC1107" s="954"/>
      <c r="CD1107" s="954"/>
      <c r="CE1107" s="954"/>
      <c r="CF1107" s="954"/>
      <c r="CG1107" s="954"/>
      <c r="CH1107" s="954"/>
      <c r="CI1107" s="954"/>
      <c r="CJ1107" s="954"/>
      <c r="CK1107" s="954"/>
      <c r="CL1107" s="954"/>
      <c r="CM1107" s="954"/>
      <c r="CN1107" s="954"/>
      <c r="CO1107" s="954"/>
      <c r="CP1107" s="954"/>
      <c r="CQ1107" s="954"/>
      <c r="CR1107" s="954"/>
      <c r="CS1107" s="954"/>
      <c r="CT1107" s="954"/>
      <c r="CU1107" s="954"/>
      <c r="CV1107" s="954"/>
      <c r="CW1107" s="954"/>
      <c r="CX1107" s="954"/>
      <c r="CY1107" s="954"/>
      <c r="CZ1107" s="954"/>
      <c r="DA1107" s="954"/>
      <c r="DB1107" s="954"/>
      <c r="DC1107" s="954"/>
      <c r="DD1107" s="954"/>
      <c r="DE1107" s="954"/>
      <c r="DF1107" s="954"/>
      <c r="DG1107" s="954"/>
      <c r="DH1107" s="954"/>
      <c r="DI1107" s="954"/>
      <c r="DJ1107" s="954"/>
      <c r="DK1107" s="954"/>
      <c r="DL1107" s="954"/>
      <c r="DM1107" s="954"/>
      <c r="DN1107" s="954"/>
      <c r="DO1107" s="954"/>
      <c r="DP1107" s="954"/>
      <c r="DQ1107" s="954"/>
      <c r="DR1107" s="954"/>
      <c r="DS1107" s="954"/>
      <c r="DT1107" s="954"/>
      <c r="DU1107" s="954"/>
      <c r="DV1107" s="954"/>
      <c r="DW1107" s="954"/>
      <c r="DX1107" s="954"/>
      <c r="DY1107" s="954"/>
      <c r="DZ1107" s="954"/>
      <c r="EA1107" s="954"/>
      <c r="EB1107" s="954"/>
      <c r="EC1107" s="954"/>
      <c r="ED1107" s="954"/>
      <c r="EE1107" s="954"/>
      <c r="EF1107" s="954"/>
      <c r="EG1107" s="954"/>
      <c r="EH1107" s="954"/>
      <c r="EI1107" s="954"/>
      <c r="EJ1107" s="954"/>
      <c r="EK1107" s="954"/>
      <c r="EL1107" s="954"/>
      <c r="EM1107" s="954"/>
      <c r="EN1107" s="954"/>
      <c r="EO1107" s="954"/>
      <c r="EP1107" s="954"/>
      <c r="EQ1107" s="954"/>
      <c r="ER1107" s="954"/>
      <c r="ES1107" s="954"/>
      <c r="ET1107" s="954"/>
      <c r="EU1107" s="954"/>
      <c r="EV1107" s="954"/>
      <c r="EW1107" s="954"/>
      <c r="EX1107" s="954"/>
      <c r="EY1107" s="954"/>
      <c r="EZ1107" s="954"/>
      <c r="FA1107" s="954"/>
      <c r="FB1107" s="954"/>
      <c r="FC1107" s="954"/>
      <c r="FD1107" s="954"/>
      <c r="FE1107" s="954"/>
      <c r="FF1107" s="954"/>
      <c r="FG1107" s="954"/>
      <c r="FH1107" s="954"/>
      <c r="FI1107" s="954"/>
      <c r="FJ1107" s="954"/>
      <c r="FK1107" s="954"/>
      <c r="FL1107" s="954"/>
      <c r="FM1107" s="954"/>
      <c r="FN1107" s="954"/>
      <c r="FO1107" s="954"/>
      <c r="FP1107" s="954"/>
      <c r="FQ1107" s="954"/>
      <c r="FR1107" s="954"/>
      <c r="FS1107" s="954"/>
      <c r="FT1107" s="954"/>
      <c r="FU1107" s="954"/>
      <c r="FV1107" s="954"/>
      <c r="FW1107" s="954"/>
      <c r="FX1107" s="954"/>
      <c r="FY1107" s="954"/>
      <c r="FZ1107" s="954"/>
      <c r="GA1107" s="954"/>
      <c r="GB1107" s="954"/>
      <c r="GC1107" s="954"/>
      <c r="GD1107" s="954"/>
      <c r="GE1107" s="954"/>
      <c r="GF1107" s="954"/>
      <c r="GG1107" s="954"/>
      <c r="GH1107" s="954"/>
      <c r="GI1107" s="954"/>
      <c r="GJ1107" s="954"/>
      <c r="GK1107" s="954"/>
      <c r="GL1107" s="954"/>
      <c r="GM1107" s="954"/>
      <c r="GN1107" s="954"/>
      <c r="GO1107" s="954"/>
      <c r="GP1107" s="954"/>
      <c r="GQ1107" s="954"/>
      <c r="GR1107" s="954"/>
      <c r="GS1107" s="954"/>
      <c r="GT1107" s="954"/>
      <c r="GU1107" s="954"/>
      <c r="GV1107" s="954"/>
      <c r="GW1107" s="954"/>
      <c r="GX1107" s="954"/>
      <c r="GY1107" s="954"/>
      <c r="GZ1107" s="954"/>
      <c r="HA1107" s="954"/>
      <c r="HB1107" s="954"/>
      <c r="HC1107" s="954"/>
      <c r="HD1107" s="954"/>
      <c r="HE1107" s="954"/>
      <c r="HF1107" s="954"/>
      <c r="HG1107" s="954"/>
      <c r="HH1107" s="954"/>
      <c r="HI1107" s="954"/>
      <c r="HJ1107" s="954"/>
      <c r="HK1107" s="954"/>
      <c r="HL1107" s="954"/>
      <c r="HM1107" s="954"/>
      <c r="HN1107" s="954"/>
      <c r="HO1107" s="954"/>
      <c r="HP1107" s="954"/>
      <c r="HQ1107" s="954"/>
      <c r="HR1107" s="954"/>
      <c r="HS1107" s="954"/>
      <c r="HT1107" s="954"/>
      <c r="HU1107" s="954"/>
      <c r="HV1107" s="954"/>
      <c r="HW1107" s="954"/>
      <c r="HX1107" s="954"/>
      <c r="HY1107" s="954"/>
      <c r="HZ1107" s="954"/>
      <c r="IA1107" s="954"/>
      <c r="IB1107" s="954"/>
      <c r="IC1107" s="954"/>
      <c r="ID1107" s="954"/>
      <c r="IE1107" s="954"/>
      <c r="IF1107" s="954"/>
      <c r="IG1107" s="954"/>
      <c r="IH1107" s="954"/>
      <c r="II1107" s="954"/>
      <c r="IJ1107" s="954"/>
      <c r="IK1107" s="954"/>
      <c r="IL1107" s="954"/>
      <c r="IM1107" s="954"/>
      <c r="IN1107" s="954"/>
      <c r="IO1107" s="954"/>
      <c r="IP1107" s="954"/>
      <c r="IQ1107" s="954"/>
      <c r="IR1107" s="954"/>
      <c r="IS1107" s="954"/>
      <c r="IT1107" s="954"/>
      <c r="IU1107" s="954"/>
      <c r="IV1107" s="954"/>
      <c r="IW1107" s="954"/>
      <c r="IX1107" s="954"/>
    </row>
    <row r="1108" spans="1:258" ht="31.5" x14ac:dyDescent="0.25">
      <c r="A1108" s="125">
        <f t="shared" si="127"/>
        <v>1068</v>
      </c>
      <c r="B1108" s="885"/>
      <c r="C1108" s="842" t="s">
        <v>10671</v>
      </c>
      <c r="D1108" s="924">
        <v>653.69000000000005</v>
      </c>
      <c r="E1108" s="924">
        <f>D1108/8*12</f>
        <v>980.53500000000008</v>
      </c>
      <c r="F1108" s="976">
        <v>115.76</v>
      </c>
      <c r="G1108" s="122" t="s">
        <v>1963</v>
      </c>
      <c r="H1108" s="793"/>
      <c r="I1108" s="793"/>
      <c r="J1108" s="885"/>
      <c r="K1108" s="885"/>
      <c r="L1108" s="885"/>
      <c r="M1108" s="885"/>
      <c r="N1108" s="885"/>
      <c r="O1108" s="885"/>
      <c r="P1108" s="885"/>
      <c r="Q1108" s="885"/>
      <c r="R1108" s="885"/>
      <c r="S1108" s="885"/>
      <c r="T1108" s="885"/>
      <c r="U1108" s="885"/>
      <c r="V1108" s="885"/>
      <c r="W1108" s="885"/>
      <c r="X1108" s="885"/>
      <c r="Y1108" s="885"/>
      <c r="Z1108" s="885"/>
      <c r="AA1108" s="885"/>
      <c r="AB1108" s="885"/>
      <c r="AC1108" s="885"/>
      <c r="AD1108" s="885"/>
      <c r="AE1108" s="885"/>
      <c r="AF1108" s="885"/>
      <c r="AG1108" s="885"/>
      <c r="AH1108" s="885"/>
      <c r="AI1108" s="885"/>
      <c r="AJ1108" s="885"/>
      <c r="AK1108" s="885"/>
      <c r="AL1108" s="885"/>
      <c r="AM1108" s="885"/>
      <c r="AN1108" s="885"/>
      <c r="AO1108" s="885"/>
      <c r="AP1108" s="885"/>
      <c r="AQ1108" s="885"/>
      <c r="AR1108" s="885"/>
      <c r="AS1108" s="885"/>
      <c r="AT1108" s="885"/>
      <c r="AU1108" s="885"/>
      <c r="AV1108" s="885"/>
      <c r="AW1108" s="885"/>
      <c r="AX1108" s="885"/>
      <c r="AY1108" s="885"/>
      <c r="AZ1108" s="885"/>
      <c r="BA1108" s="885"/>
      <c r="BB1108" s="885"/>
      <c r="BC1108" s="885"/>
      <c r="BD1108" s="885"/>
      <c r="BE1108" s="885"/>
      <c r="BF1108" s="885"/>
      <c r="BG1108" s="885"/>
      <c r="BH1108" s="885"/>
      <c r="BI1108" s="885"/>
      <c r="BJ1108" s="885"/>
      <c r="BK1108" s="885"/>
      <c r="BL1108" s="885"/>
      <c r="BM1108" s="885"/>
      <c r="BN1108" s="885"/>
      <c r="BO1108" s="885"/>
      <c r="BP1108" s="885"/>
      <c r="BQ1108" s="885"/>
      <c r="BR1108" s="885"/>
      <c r="BS1108" s="885"/>
      <c r="BT1108" s="885"/>
      <c r="BU1108" s="885"/>
      <c r="BV1108" s="885"/>
      <c r="BW1108" s="885"/>
      <c r="BX1108" s="885"/>
      <c r="BY1108" s="885"/>
      <c r="BZ1108" s="885"/>
      <c r="CA1108" s="885"/>
      <c r="CB1108" s="885"/>
      <c r="CC1108" s="885"/>
      <c r="CD1108" s="885"/>
      <c r="CE1108" s="885"/>
      <c r="CF1108" s="885"/>
      <c r="CG1108" s="885"/>
      <c r="CH1108" s="885"/>
      <c r="CI1108" s="885"/>
      <c r="CJ1108" s="885"/>
      <c r="CK1108" s="885"/>
      <c r="CL1108" s="885"/>
      <c r="CM1108" s="885"/>
      <c r="CN1108" s="885"/>
      <c r="CO1108" s="885"/>
      <c r="CP1108" s="885"/>
      <c r="CQ1108" s="885"/>
      <c r="CR1108" s="885"/>
      <c r="CS1108" s="885"/>
      <c r="CT1108" s="885"/>
      <c r="CU1108" s="885"/>
      <c r="CV1108" s="885"/>
      <c r="CW1108" s="885"/>
      <c r="CX1108" s="885"/>
      <c r="CY1108" s="885"/>
      <c r="CZ1108" s="885"/>
      <c r="DA1108" s="885"/>
      <c r="DB1108" s="885"/>
      <c r="DC1108" s="885"/>
      <c r="DD1108" s="885"/>
      <c r="DE1108" s="885"/>
      <c r="DF1108" s="885"/>
      <c r="DG1108" s="885"/>
      <c r="DH1108" s="885"/>
      <c r="DI1108" s="885"/>
      <c r="DJ1108" s="885"/>
      <c r="DK1108" s="885"/>
      <c r="DL1108" s="885"/>
      <c r="DM1108" s="885"/>
      <c r="DN1108" s="885"/>
      <c r="DO1108" s="885"/>
      <c r="DP1108" s="885"/>
      <c r="DQ1108" s="885"/>
      <c r="DR1108" s="885"/>
      <c r="DS1108" s="885"/>
      <c r="DT1108" s="885"/>
      <c r="DU1108" s="885"/>
      <c r="DV1108" s="885"/>
      <c r="DW1108" s="885"/>
      <c r="DX1108" s="885"/>
      <c r="DY1108" s="885"/>
      <c r="DZ1108" s="885"/>
      <c r="EA1108" s="885"/>
      <c r="EB1108" s="885"/>
      <c r="EC1108" s="885"/>
      <c r="ED1108" s="885"/>
      <c r="EE1108" s="885"/>
      <c r="EF1108" s="885"/>
      <c r="EG1108" s="885"/>
      <c r="EH1108" s="885"/>
      <c r="EI1108" s="885"/>
      <c r="EJ1108" s="885"/>
      <c r="EK1108" s="885"/>
      <c r="EL1108" s="885"/>
      <c r="EM1108" s="885"/>
      <c r="EN1108" s="885"/>
      <c r="EO1108" s="885"/>
      <c r="EP1108" s="885"/>
      <c r="EQ1108" s="885"/>
      <c r="ER1108" s="885"/>
      <c r="ES1108" s="885"/>
      <c r="ET1108" s="885"/>
      <c r="EU1108" s="885"/>
      <c r="EV1108" s="885"/>
      <c r="EW1108" s="885"/>
      <c r="EX1108" s="885"/>
      <c r="EY1108" s="885"/>
      <c r="EZ1108" s="885"/>
      <c r="FA1108" s="885"/>
      <c r="FB1108" s="885"/>
      <c r="FC1108" s="885"/>
      <c r="FD1108" s="885"/>
      <c r="FE1108" s="885"/>
      <c r="FF1108" s="885"/>
      <c r="FG1108" s="885"/>
      <c r="FH1108" s="885"/>
      <c r="FI1108" s="885"/>
      <c r="FJ1108" s="885"/>
      <c r="FK1108" s="885"/>
      <c r="FL1108" s="885"/>
      <c r="FM1108" s="885"/>
      <c r="FN1108" s="885"/>
      <c r="FO1108" s="885"/>
      <c r="FP1108" s="885"/>
      <c r="FQ1108" s="885"/>
      <c r="FR1108" s="885"/>
      <c r="FS1108" s="885"/>
      <c r="FT1108" s="885"/>
      <c r="FU1108" s="885"/>
      <c r="FV1108" s="885"/>
      <c r="FW1108" s="885"/>
      <c r="FX1108" s="885"/>
      <c r="FY1108" s="885"/>
      <c r="FZ1108" s="885"/>
      <c r="GA1108" s="885"/>
      <c r="GB1108" s="885"/>
      <c r="GC1108" s="885"/>
      <c r="GD1108" s="885"/>
      <c r="GE1108" s="885"/>
      <c r="GF1108" s="885"/>
      <c r="GG1108" s="885"/>
      <c r="GH1108" s="885"/>
      <c r="GI1108" s="885"/>
      <c r="GJ1108" s="885"/>
      <c r="GK1108" s="885"/>
      <c r="GL1108" s="885"/>
      <c r="GM1108" s="885"/>
      <c r="GN1108" s="885"/>
      <c r="GO1108" s="885"/>
      <c r="GP1108" s="885"/>
      <c r="GQ1108" s="885"/>
      <c r="GR1108" s="885"/>
      <c r="GS1108" s="885"/>
      <c r="GT1108" s="885"/>
      <c r="GU1108" s="885"/>
      <c r="GV1108" s="885"/>
      <c r="GW1108" s="885"/>
      <c r="GX1108" s="885"/>
      <c r="GY1108" s="885"/>
      <c r="GZ1108" s="885"/>
      <c r="HA1108" s="885"/>
      <c r="HB1108" s="885"/>
      <c r="HC1108" s="885"/>
      <c r="HD1108" s="885"/>
      <c r="HE1108" s="885"/>
      <c r="HF1108" s="885"/>
      <c r="HG1108" s="885"/>
      <c r="HH1108" s="885"/>
      <c r="HI1108" s="885"/>
      <c r="HJ1108" s="885"/>
      <c r="HK1108" s="885"/>
      <c r="HL1108" s="885"/>
      <c r="HM1108" s="885"/>
      <c r="HN1108" s="885"/>
      <c r="HO1108" s="885"/>
      <c r="HP1108" s="885"/>
      <c r="HQ1108" s="885"/>
      <c r="HR1108" s="885"/>
      <c r="HS1108" s="885"/>
      <c r="HT1108" s="885"/>
      <c r="HU1108" s="885"/>
      <c r="HV1108" s="885"/>
      <c r="HW1108" s="885"/>
      <c r="HX1108" s="885"/>
      <c r="HY1108" s="885"/>
      <c r="HZ1108" s="885"/>
      <c r="IA1108" s="885"/>
      <c r="IB1108" s="885"/>
      <c r="IC1108" s="885"/>
      <c r="ID1108" s="885"/>
      <c r="IE1108" s="885"/>
      <c r="IF1108" s="885"/>
      <c r="IG1108" s="885"/>
      <c r="IH1108" s="885"/>
      <c r="II1108" s="885"/>
      <c r="IJ1108" s="885"/>
      <c r="IK1108" s="885"/>
      <c r="IL1108" s="885"/>
      <c r="IM1108" s="885"/>
      <c r="IN1108" s="885"/>
      <c r="IO1108" s="885"/>
      <c r="IP1108" s="885"/>
      <c r="IQ1108" s="885"/>
      <c r="IR1108" s="885"/>
      <c r="IS1108" s="885"/>
      <c r="IT1108" s="885"/>
      <c r="IU1108" s="885"/>
      <c r="IV1108" s="885"/>
      <c r="IW1108" s="885"/>
      <c r="IX1108" s="885"/>
    </row>
    <row r="1109" spans="1:258" x14ac:dyDescent="0.25">
      <c r="A1109" s="125">
        <f t="shared" si="127"/>
        <v>1069</v>
      </c>
      <c r="B1109" s="885"/>
      <c r="C1109" s="842" t="s">
        <v>10672</v>
      </c>
      <c r="D1109" s="924">
        <v>0</v>
      </c>
      <c r="E1109" s="924">
        <v>0</v>
      </c>
      <c r="F1109" s="136">
        <v>100</v>
      </c>
      <c r="G1109" s="122" t="s">
        <v>1963</v>
      </c>
      <c r="H1109" s="793"/>
      <c r="I1109" s="793"/>
      <c r="J1109" s="885"/>
      <c r="K1109" s="885"/>
      <c r="L1109" s="885"/>
      <c r="M1109" s="885"/>
      <c r="N1109" s="885"/>
      <c r="O1109" s="885"/>
      <c r="P1109" s="885"/>
      <c r="Q1109" s="885"/>
      <c r="R1109" s="885"/>
      <c r="S1109" s="885"/>
      <c r="T1109" s="885"/>
      <c r="U1109" s="885"/>
      <c r="V1109" s="885"/>
      <c r="W1109" s="885"/>
      <c r="X1109" s="885"/>
      <c r="Y1109" s="885"/>
      <c r="Z1109" s="885"/>
      <c r="AA1109" s="885"/>
      <c r="AB1109" s="885"/>
      <c r="AC1109" s="885"/>
      <c r="AD1109" s="885"/>
      <c r="AE1109" s="885"/>
      <c r="AF1109" s="885"/>
      <c r="AG1109" s="885"/>
      <c r="AH1109" s="885"/>
      <c r="AI1109" s="885"/>
      <c r="AJ1109" s="885"/>
      <c r="AK1109" s="885"/>
      <c r="AL1109" s="885"/>
      <c r="AM1109" s="885"/>
      <c r="AN1109" s="885"/>
      <c r="AO1109" s="885"/>
      <c r="AP1109" s="885"/>
      <c r="AQ1109" s="885"/>
      <c r="AR1109" s="885"/>
      <c r="AS1109" s="885"/>
      <c r="AT1109" s="885"/>
      <c r="AU1109" s="885"/>
      <c r="AV1109" s="885"/>
      <c r="AW1109" s="885"/>
      <c r="AX1109" s="885"/>
      <c r="AY1109" s="885"/>
      <c r="AZ1109" s="885"/>
      <c r="BA1109" s="885"/>
      <c r="BB1109" s="885"/>
      <c r="BC1109" s="885"/>
      <c r="BD1109" s="885"/>
      <c r="BE1109" s="885"/>
      <c r="BF1109" s="885"/>
      <c r="BG1109" s="885"/>
      <c r="BH1109" s="885"/>
      <c r="BI1109" s="885"/>
      <c r="BJ1109" s="885"/>
      <c r="BK1109" s="885"/>
      <c r="BL1109" s="885"/>
      <c r="BM1109" s="885"/>
      <c r="BN1109" s="885"/>
      <c r="BO1109" s="885"/>
      <c r="BP1109" s="885"/>
      <c r="BQ1109" s="885"/>
      <c r="BR1109" s="885"/>
      <c r="BS1109" s="885"/>
      <c r="BT1109" s="885"/>
      <c r="BU1109" s="885"/>
      <c r="BV1109" s="885"/>
      <c r="BW1109" s="885"/>
      <c r="BX1109" s="885"/>
      <c r="BY1109" s="885"/>
      <c r="BZ1109" s="885"/>
      <c r="CA1109" s="885"/>
      <c r="CB1109" s="885"/>
      <c r="CC1109" s="885"/>
      <c r="CD1109" s="885"/>
      <c r="CE1109" s="885"/>
      <c r="CF1109" s="885"/>
      <c r="CG1109" s="885"/>
      <c r="CH1109" s="885"/>
      <c r="CI1109" s="885"/>
      <c r="CJ1109" s="885"/>
      <c r="CK1109" s="885"/>
      <c r="CL1109" s="885"/>
      <c r="CM1109" s="885"/>
      <c r="CN1109" s="885"/>
      <c r="CO1109" s="885"/>
      <c r="CP1109" s="885"/>
      <c r="CQ1109" s="885"/>
      <c r="CR1109" s="885"/>
      <c r="CS1109" s="885"/>
      <c r="CT1109" s="885"/>
      <c r="CU1109" s="885"/>
      <c r="CV1109" s="885"/>
      <c r="CW1109" s="885"/>
      <c r="CX1109" s="885"/>
      <c r="CY1109" s="885"/>
      <c r="CZ1109" s="885"/>
      <c r="DA1109" s="885"/>
      <c r="DB1109" s="885"/>
      <c r="DC1109" s="885"/>
      <c r="DD1109" s="885"/>
      <c r="DE1109" s="885"/>
      <c r="DF1109" s="885"/>
      <c r="DG1109" s="885"/>
      <c r="DH1109" s="885"/>
      <c r="DI1109" s="885"/>
      <c r="DJ1109" s="885"/>
      <c r="DK1109" s="885"/>
      <c r="DL1109" s="885"/>
      <c r="DM1109" s="885"/>
      <c r="DN1109" s="885"/>
      <c r="DO1109" s="885"/>
      <c r="DP1109" s="885"/>
      <c r="DQ1109" s="885"/>
      <c r="DR1109" s="885"/>
      <c r="DS1109" s="885"/>
      <c r="DT1109" s="885"/>
      <c r="DU1109" s="885"/>
      <c r="DV1109" s="885"/>
      <c r="DW1109" s="885"/>
      <c r="DX1109" s="885"/>
      <c r="DY1109" s="885"/>
      <c r="DZ1109" s="885"/>
      <c r="EA1109" s="885"/>
      <c r="EB1109" s="885"/>
      <c r="EC1109" s="885"/>
      <c r="ED1109" s="885"/>
      <c r="EE1109" s="885"/>
      <c r="EF1109" s="885"/>
      <c r="EG1109" s="885"/>
      <c r="EH1109" s="885"/>
      <c r="EI1109" s="885"/>
      <c r="EJ1109" s="885"/>
      <c r="EK1109" s="885"/>
      <c r="EL1109" s="885"/>
      <c r="EM1109" s="885"/>
      <c r="EN1109" s="885"/>
      <c r="EO1109" s="885"/>
      <c r="EP1109" s="885"/>
      <c r="EQ1109" s="885"/>
      <c r="ER1109" s="885"/>
      <c r="ES1109" s="885"/>
      <c r="ET1109" s="885"/>
      <c r="EU1109" s="885"/>
      <c r="EV1109" s="885"/>
      <c r="EW1109" s="885"/>
      <c r="EX1109" s="885"/>
      <c r="EY1109" s="885"/>
      <c r="EZ1109" s="885"/>
      <c r="FA1109" s="885"/>
      <c r="FB1109" s="885"/>
      <c r="FC1109" s="885"/>
      <c r="FD1109" s="885"/>
      <c r="FE1109" s="885"/>
      <c r="FF1109" s="885"/>
      <c r="FG1109" s="885"/>
      <c r="FH1109" s="885"/>
      <c r="FI1109" s="885"/>
      <c r="FJ1109" s="885"/>
      <c r="FK1109" s="885"/>
      <c r="FL1109" s="885"/>
      <c r="FM1109" s="885"/>
      <c r="FN1109" s="885"/>
      <c r="FO1109" s="885"/>
      <c r="FP1109" s="885"/>
      <c r="FQ1109" s="885"/>
      <c r="FR1109" s="885"/>
      <c r="FS1109" s="885"/>
      <c r="FT1109" s="885"/>
      <c r="FU1109" s="885"/>
      <c r="FV1109" s="885"/>
      <c r="FW1109" s="885"/>
      <c r="FX1109" s="885"/>
      <c r="FY1109" s="885"/>
      <c r="FZ1109" s="885"/>
      <c r="GA1109" s="885"/>
      <c r="GB1109" s="885"/>
      <c r="GC1109" s="885"/>
      <c r="GD1109" s="885"/>
      <c r="GE1109" s="885"/>
      <c r="GF1109" s="885"/>
      <c r="GG1109" s="885"/>
      <c r="GH1109" s="885"/>
      <c r="GI1109" s="885"/>
      <c r="GJ1109" s="885"/>
      <c r="GK1109" s="885"/>
      <c r="GL1109" s="885"/>
      <c r="GM1109" s="885"/>
      <c r="GN1109" s="885"/>
      <c r="GO1109" s="885"/>
      <c r="GP1109" s="885"/>
      <c r="GQ1109" s="885"/>
      <c r="GR1109" s="885"/>
      <c r="GS1109" s="885"/>
      <c r="GT1109" s="885"/>
      <c r="GU1109" s="885"/>
      <c r="GV1109" s="885"/>
      <c r="GW1109" s="885"/>
      <c r="GX1109" s="885"/>
      <c r="GY1109" s="885"/>
      <c r="GZ1109" s="885"/>
      <c r="HA1109" s="885"/>
      <c r="HB1109" s="885"/>
      <c r="HC1109" s="885"/>
      <c r="HD1109" s="885"/>
      <c r="HE1109" s="885"/>
      <c r="HF1109" s="885"/>
      <c r="HG1109" s="885"/>
      <c r="HH1109" s="885"/>
      <c r="HI1109" s="885"/>
      <c r="HJ1109" s="885"/>
      <c r="HK1109" s="885"/>
      <c r="HL1109" s="885"/>
      <c r="HM1109" s="885"/>
      <c r="HN1109" s="885"/>
      <c r="HO1109" s="885"/>
      <c r="HP1109" s="885"/>
      <c r="HQ1109" s="885"/>
      <c r="HR1109" s="885"/>
      <c r="HS1109" s="885"/>
      <c r="HT1109" s="885"/>
      <c r="HU1109" s="885"/>
      <c r="HV1109" s="885"/>
      <c r="HW1109" s="885"/>
      <c r="HX1109" s="885"/>
      <c r="HY1109" s="885"/>
      <c r="HZ1109" s="885"/>
      <c r="IA1109" s="885"/>
      <c r="IB1109" s="885"/>
      <c r="IC1109" s="885"/>
      <c r="ID1109" s="885"/>
      <c r="IE1109" s="885"/>
      <c r="IF1109" s="885"/>
      <c r="IG1109" s="885"/>
      <c r="IH1109" s="885"/>
      <c r="II1109" s="885"/>
      <c r="IJ1109" s="885"/>
      <c r="IK1109" s="885"/>
      <c r="IL1109" s="885"/>
      <c r="IM1109" s="885"/>
      <c r="IN1109" s="885"/>
      <c r="IO1109" s="885"/>
      <c r="IP1109" s="885"/>
      <c r="IQ1109" s="885"/>
      <c r="IR1109" s="885"/>
      <c r="IS1109" s="885"/>
      <c r="IT1109" s="885"/>
      <c r="IU1109" s="885"/>
      <c r="IV1109" s="885"/>
      <c r="IW1109" s="885"/>
      <c r="IX1109" s="885"/>
    </row>
    <row r="1110" spans="1:258" ht="31.5" x14ac:dyDescent="0.25">
      <c r="A1110" s="125">
        <f t="shared" si="127"/>
        <v>1070</v>
      </c>
      <c r="B1110" s="885"/>
      <c r="C1110" s="842" t="s">
        <v>10673</v>
      </c>
      <c r="D1110" s="924">
        <v>0</v>
      </c>
      <c r="E1110" s="924">
        <v>0</v>
      </c>
      <c r="F1110" s="136">
        <v>1500</v>
      </c>
      <c r="G1110" s="122" t="s">
        <v>1963</v>
      </c>
      <c r="H1110" s="793"/>
      <c r="I1110" s="793"/>
      <c r="J1110" s="885"/>
      <c r="K1110" s="885"/>
      <c r="L1110" s="885"/>
      <c r="M1110" s="885"/>
      <c r="N1110" s="885"/>
      <c r="O1110" s="885"/>
      <c r="P1110" s="885"/>
      <c r="Q1110" s="885"/>
      <c r="R1110" s="885"/>
      <c r="S1110" s="885"/>
      <c r="T1110" s="885"/>
      <c r="U1110" s="885"/>
      <c r="V1110" s="885"/>
      <c r="W1110" s="885"/>
      <c r="X1110" s="885"/>
      <c r="Y1110" s="885"/>
      <c r="Z1110" s="885"/>
      <c r="AA1110" s="885"/>
      <c r="AB1110" s="885"/>
      <c r="AC1110" s="885"/>
      <c r="AD1110" s="885"/>
      <c r="AE1110" s="885"/>
      <c r="AF1110" s="885"/>
      <c r="AG1110" s="885"/>
      <c r="AH1110" s="885"/>
      <c r="AI1110" s="885"/>
      <c r="AJ1110" s="885"/>
      <c r="AK1110" s="885"/>
      <c r="AL1110" s="885"/>
      <c r="AM1110" s="885"/>
      <c r="AN1110" s="885"/>
      <c r="AO1110" s="885"/>
      <c r="AP1110" s="885"/>
      <c r="AQ1110" s="885"/>
      <c r="AR1110" s="885"/>
      <c r="AS1110" s="885"/>
      <c r="AT1110" s="885"/>
      <c r="AU1110" s="885"/>
      <c r="AV1110" s="885"/>
      <c r="AW1110" s="885"/>
      <c r="AX1110" s="885"/>
      <c r="AY1110" s="885"/>
      <c r="AZ1110" s="885"/>
      <c r="BA1110" s="885"/>
      <c r="BB1110" s="885"/>
      <c r="BC1110" s="885"/>
      <c r="BD1110" s="885"/>
      <c r="BE1110" s="885"/>
      <c r="BF1110" s="885"/>
      <c r="BG1110" s="885"/>
      <c r="BH1110" s="885"/>
      <c r="BI1110" s="885"/>
      <c r="BJ1110" s="885"/>
      <c r="BK1110" s="885"/>
      <c r="BL1110" s="885"/>
      <c r="BM1110" s="885"/>
      <c r="BN1110" s="885"/>
      <c r="BO1110" s="885"/>
      <c r="BP1110" s="885"/>
      <c r="BQ1110" s="885"/>
      <c r="BR1110" s="885"/>
      <c r="BS1110" s="885"/>
      <c r="BT1110" s="885"/>
      <c r="BU1110" s="885"/>
      <c r="BV1110" s="885"/>
      <c r="BW1110" s="885"/>
      <c r="BX1110" s="885"/>
      <c r="BY1110" s="885"/>
      <c r="BZ1110" s="885"/>
      <c r="CA1110" s="885"/>
      <c r="CB1110" s="885"/>
      <c r="CC1110" s="885"/>
      <c r="CD1110" s="885"/>
      <c r="CE1110" s="885"/>
      <c r="CF1110" s="885"/>
      <c r="CG1110" s="885"/>
      <c r="CH1110" s="885"/>
      <c r="CI1110" s="885"/>
      <c r="CJ1110" s="885"/>
      <c r="CK1110" s="885"/>
      <c r="CL1110" s="885"/>
      <c r="CM1110" s="885"/>
      <c r="CN1110" s="885"/>
      <c r="CO1110" s="885"/>
      <c r="CP1110" s="885"/>
      <c r="CQ1110" s="885"/>
      <c r="CR1110" s="885"/>
      <c r="CS1110" s="885"/>
      <c r="CT1110" s="885"/>
      <c r="CU1110" s="885"/>
      <c r="CV1110" s="885"/>
      <c r="CW1110" s="885"/>
      <c r="CX1110" s="885"/>
      <c r="CY1110" s="885"/>
      <c r="CZ1110" s="885"/>
      <c r="DA1110" s="885"/>
      <c r="DB1110" s="885"/>
      <c r="DC1110" s="885"/>
      <c r="DD1110" s="885"/>
      <c r="DE1110" s="885"/>
      <c r="DF1110" s="885"/>
      <c r="DG1110" s="885"/>
      <c r="DH1110" s="885"/>
      <c r="DI1110" s="885"/>
      <c r="DJ1110" s="885"/>
      <c r="DK1110" s="885"/>
      <c r="DL1110" s="885"/>
      <c r="DM1110" s="885"/>
      <c r="DN1110" s="885"/>
      <c r="DO1110" s="885"/>
      <c r="DP1110" s="885"/>
      <c r="DQ1110" s="885"/>
      <c r="DR1110" s="885"/>
      <c r="DS1110" s="885"/>
      <c r="DT1110" s="885"/>
      <c r="DU1110" s="885"/>
      <c r="DV1110" s="885"/>
      <c r="DW1110" s="885"/>
      <c r="DX1110" s="885"/>
      <c r="DY1110" s="885"/>
      <c r="DZ1110" s="885"/>
      <c r="EA1110" s="885"/>
      <c r="EB1110" s="885"/>
      <c r="EC1110" s="885"/>
      <c r="ED1110" s="885"/>
      <c r="EE1110" s="885"/>
      <c r="EF1110" s="885"/>
      <c r="EG1110" s="885"/>
      <c r="EH1110" s="885"/>
      <c r="EI1110" s="885"/>
      <c r="EJ1110" s="885"/>
      <c r="EK1110" s="885"/>
      <c r="EL1110" s="885"/>
      <c r="EM1110" s="885"/>
      <c r="EN1110" s="885"/>
      <c r="EO1110" s="885"/>
      <c r="EP1110" s="885"/>
      <c r="EQ1110" s="885"/>
      <c r="ER1110" s="885"/>
      <c r="ES1110" s="885"/>
      <c r="ET1110" s="885"/>
      <c r="EU1110" s="885"/>
      <c r="EV1110" s="885"/>
      <c r="EW1110" s="885"/>
      <c r="EX1110" s="885"/>
      <c r="EY1110" s="885"/>
      <c r="EZ1110" s="885"/>
      <c r="FA1110" s="885"/>
      <c r="FB1110" s="885"/>
      <c r="FC1110" s="885"/>
      <c r="FD1110" s="885"/>
      <c r="FE1110" s="885"/>
      <c r="FF1110" s="885"/>
      <c r="FG1110" s="885"/>
      <c r="FH1110" s="885"/>
      <c r="FI1110" s="885"/>
      <c r="FJ1110" s="885"/>
      <c r="FK1110" s="885"/>
      <c r="FL1110" s="885"/>
      <c r="FM1110" s="885"/>
      <c r="FN1110" s="885"/>
      <c r="FO1110" s="885"/>
      <c r="FP1110" s="885"/>
      <c r="FQ1110" s="885"/>
      <c r="FR1110" s="885"/>
      <c r="FS1110" s="885"/>
      <c r="FT1110" s="885"/>
      <c r="FU1110" s="885"/>
      <c r="FV1110" s="885"/>
      <c r="FW1110" s="885"/>
      <c r="FX1110" s="885"/>
      <c r="FY1110" s="885"/>
      <c r="FZ1110" s="885"/>
      <c r="GA1110" s="885"/>
      <c r="GB1110" s="885"/>
      <c r="GC1110" s="885"/>
      <c r="GD1110" s="885"/>
      <c r="GE1110" s="885"/>
      <c r="GF1110" s="885"/>
      <c r="GG1110" s="885"/>
      <c r="GH1110" s="885"/>
      <c r="GI1110" s="885"/>
      <c r="GJ1110" s="885"/>
      <c r="GK1110" s="885"/>
      <c r="GL1110" s="885"/>
      <c r="GM1110" s="885"/>
      <c r="GN1110" s="885"/>
      <c r="GO1110" s="885"/>
      <c r="GP1110" s="885"/>
      <c r="GQ1110" s="885"/>
      <c r="GR1110" s="885"/>
      <c r="GS1110" s="885"/>
      <c r="GT1110" s="885"/>
      <c r="GU1110" s="885"/>
      <c r="GV1110" s="885"/>
      <c r="GW1110" s="885"/>
      <c r="GX1110" s="885"/>
      <c r="GY1110" s="885"/>
      <c r="GZ1110" s="885"/>
      <c r="HA1110" s="885"/>
      <c r="HB1110" s="885"/>
      <c r="HC1110" s="885"/>
      <c r="HD1110" s="885"/>
      <c r="HE1110" s="885"/>
      <c r="HF1110" s="885"/>
      <c r="HG1110" s="885"/>
      <c r="HH1110" s="885"/>
      <c r="HI1110" s="885"/>
      <c r="HJ1110" s="885"/>
      <c r="HK1110" s="885"/>
      <c r="HL1110" s="885"/>
      <c r="HM1110" s="885"/>
      <c r="HN1110" s="885"/>
      <c r="HO1110" s="885"/>
      <c r="HP1110" s="885"/>
      <c r="HQ1110" s="885"/>
      <c r="HR1110" s="885"/>
      <c r="HS1110" s="885"/>
      <c r="HT1110" s="885"/>
      <c r="HU1110" s="885"/>
      <c r="HV1110" s="885"/>
      <c r="HW1110" s="885"/>
      <c r="HX1110" s="885"/>
      <c r="HY1110" s="885"/>
      <c r="HZ1110" s="885"/>
      <c r="IA1110" s="885"/>
      <c r="IB1110" s="885"/>
      <c r="IC1110" s="885"/>
      <c r="ID1110" s="885"/>
      <c r="IE1110" s="885"/>
      <c r="IF1110" s="885"/>
      <c r="IG1110" s="885"/>
      <c r="IH1110" s="885"/>
      <c r="II1110" s="885"/>
      <c r="IJ1110" s="885"/>
      <c r="IK1110" s="885"/>
      <c r="IL1110" s="885"/>
      <c r="IM1110" s="885"/>
      <c r="IN1110" s="885"/>
      <c r="IO1110" s="885"/>
      <c r="IP1110" s="885"/>
      <c r="IQ1110" s="885"/>
      <c r="IR1110" s="885"/>
      <c r="IS1110" s="885"/>
      <c r="IT1110" s="885"/>
      <c r="IU1110" s="885"/>
      <c r="IV1110" s="885"/>
      <c r="IW1110" s="885"/>
      <c r="IX1110" s="885"/>
    </row>
    <row r="1111" spans="1:258" x14ac:dyDescent="0.25">
      <c r="A1111" s="125">
        <f t="shared" si="127"/>
        <v>1071</v>
      </c>
      <c r="B1111" s="885"/>
      <c r="C1111" s="927" t="s">
        <v>10674</v>
      </c>
      <c r="D1111" s="928"/>
      <c r="E1111" s="928"/>
      <c r="F1111" s="136"/>
      <c r="H1111" s="793"/>
      <c r="I1111" s="793"/>
      <c r="J1111" s="885"/>
      <c r="K1111" s="885"/>
      <c r="L1111" s="885"/>
      <c r="M1111" s="885"/>
      <c r="N1111" s="885"/>
      <c r="O1111" s="885"/>
      <c r="P1111" s="885"/>
      <c r="Q1111" s="885"/>
      <c r="R1111" s="885"/>
      <c r="S1111" s="885"/>
      <c r="T1111" s="885"/>
      <c r="U1111" s="885"/>
      <c r="V1111" s="885"/>
      <c r="W1111" s="885"/>
      <c r="X1111" s="885"/>
      <c r="Y1111" s="885"/>
      <c r="Z1111" s="885"/>
      <c r="AA1111" s="885"/>
      <c r="AB1111" s="885"/>
      <c r="AC1111" s="885"/>
      <c r="AD1111" s="885"/>
      <c r="AE1111" s="885"/>
      <c r="AF1111" s="885"/>
      <c r="AG1111" s="885"/>
      <c r="AH1111" s="885"/>
      <c r="AI1111" s="885"/>
      <c r="AJ1111" s="885"/>
      <c r="AK1111" s="885"/>
      <c r="AL1111" s="885"/>
      <c r="AM1111" s="885"/>
      <c r="AN1111" s="885"/>
      <c r="AO1111" s="885"/>
      <c r="AP1111" s="885"/>
      <c r="AQ1111" s="885"/>
      <c r="AR1111" s="885"/>
      <c r="AS1111" s="885"/>
      <c r="AT1111" s="885"/>
      <c r="AU1111" s="885"/>
      <c r="AV1111" s="885"/>
      <c r="AW1111" s="885"/>
      <c r="AX1111" s="885"/>
      <c r="AY1111" s="885"/>
      <c r="AZ1111" s="885"/>
      <c r="BA1111" s="885"/>
      <c r="BB1111" s="885"/>
      <c r="BC1111" s="885"/>
      <c r="BD1111" s="885"/>
      <c r="BE1111" s="885"/>
      <c r="BF1111" s="885"/>
      <c r="BG1111" s="885"/>
      <c r="BH1111" s="885"/>
      <c r="BI1111" s="885"/>
      <c r="BJ1111" s="885"/>
      <c r="BK1111" s="885"/>
      <c r="BL1111" s="885"/>
      <c r="BM1111" s="885"/>
      <c r="BN1111" s="885"/>
      <c r="BO1111" s="885"/>
      <c r="BP1111" s="885"/>
      <c r="BQ1111" s="885"/>
      <c r="BR1111" s="885"/>
      <c r="BS1111" s="885"/>
      <c r="BT1111" s="885"/>
      <c r="BU1111" s="885"/>
      <c r="BV1111" s="885"/>
      <c r="BW1111" s="885"/>
      <c r="BX1111" s="885"/>
      <c r="BY1111" s="885"/>
      <c r="BZ1111" s="885"/>
      <c r="CA1111" s="885"/>
      <c r="CB1111" s="885"/>
      <c r="CC1111" s="885"/>
      <c r="CD1111" s="885"/>
      <c r="CE1111" s="885"/>
      <c r="CF1111" s="885"/>
      <c r="CG1111" s="885"/>
      <c r="CH1111" s="885"/>
      <c r="CI1111" s="885"/>
      <c r="CJ1111" s="885"/>
      <c r="CK1111" s="885"/>
      <c r="CL1111" s="885"/>
      <c r="CM1111" s="885"/>
      <c r="CN1111" s="885"/>
      <c r="CO1111" s="885"/>
      <c r="CP1111" s="885"/>
      <c r="CQ1111" s="885"/>
      <c r="CR1111" s="885"/>
      <c r="CS1111" s="885"/>
      <c r="CT1111" s="885"/>
      <c r="CU1111" s="885"/>
      <c r="CV1111" s="885"/>
      <c r="CW1111" s="885"/>
      <c r="CX1111" s="885"/>
      <c r="CY1111" s="885"/>
      <c r="CZ1111" s="885"/>
      <c r="DA1111" s="885"/>
      <c r="DB1111" s="885"/>
      <c r="DC1111" s="885"/>
      <c r="DD1111" s="885"/>
      <c r="DE1111" s="885"/>
      <c r="DF1111" s="885"/>
      <c r="DG1111" s="885"/>
      <c r="DH1111" s="885"/>
      <c r="DI1111" s="885"/>
      <c r="DJ1111" s="885"/>
      <c r="DK1111" s="885"/>
      <c r="DL1111" s="885"/>
      <c r="DM1111" s="885"/>
      <c r="DN1111" s="885"/>
      <c r="DO1111" s="885"/>
      <c r="DP1111" s="885"/>
      <c r="DQ1111" s="885"/>
      <c r="DR1111" s="885"/>
      <c r="DS1111" s="885"/>
      <c r="DT1111" s="885"/>
      <c r="DU1111" s="885"/>
      <c r="DV1111" s="885"/>
      <c r="DW1111" s="885"/>
      <c r="DX1111" s="885"/>
      <c r="DY1111" s="885"/>
      <c r="DZ1111" s="885"/>
      <c r="EA1111" s="885"/>
      <c r="EB1111" s="885"/>
      <c r="EC1111" s="885"/>
      <c r="ED1111" s="885"/>
      <c r="EE1111" s="885"/>
      <c r="EF1111" s="885"/>
      <c r="EG1111" s="885"/>
      <c r="EH1111" s="885"/>
      <c r="EI1111" s="885"/>
      <c r="EJ1111" s="885"/>
      <c r="EK1111" s="885"/>
      <c r="EL1111" s="885"/>
      <c r="EM1111" s="885"/>
      <c r="EN1111" s="885"/>
      <c r="EO1111" s="885"/>
      <c r="EP1111" s="885"/>
      <c r="EQ1111" s="885"/>
      <c r="ER1111" s="885"/>
      <c r="ES1111" s="885"/>
      <c r="ET1111" s="885"/>
      <c r="EU1111" s="885"/>
      <c r="EV1111" s="885"/>
      <c r="EW1111" s="885"/>
      <c r="EX1111" s="885"/>
      <c r="EY1111" s="885"/>
      <c r="EZ1111" s="885"/>
      <c r="FA1111" s="885"/>
      <c r="FB1111" s="885"/>
      <c r="FC1111" s="885"/>
      <c r="FD1111" s="885"/>
      <c r="FE1111" s="885"/>
      <c r="FF1111" s="885"/>
      <c r="FG1111" s="885"/>
      <c r="FH1111" s="885"/>
      <c r="FI1111" s="885"/>
      <c r="FJ1111" s="885"/>
      <c r="FK1111" s="885"/>
      <c r="FL1111" s="885"/>
      <c r="FM1111" s="885"/>
      <c r="FN1111" s="885"/>
      <c r="FO1111" s="885"/>
      <c r="FP1111" s="885"/>
      <c r="FQ1111" s="885"/>
      <c r="FR1111" s="885"/>
      <c r="FS1111" s="885"/>
      <c r="FT1111" s="885"/>
      <c r="FU1111" s="885"/>
      <c r="FV1111" s="885"/>
      <c r="FW1111" s="885"/>
      <c r="FX1111" s="885"/>
      <c r="FY1111" s="885"/>
      <c r="FZ1111" s="885"/>
      <c r="GA1111" s="885"/>
      <c r="GB1111" s="885"/>
      <c r="GC1111" s="885"/>
      <c r="GD1111" s="885"/>
      <c r="GE1111" s="885"/>
      <c r="GF1111" s="885"/>
      <c r="GG1111" s="885"/>
      <c r="GH1111" s="885"/>
      <c r="GI1111" s="885"/>
      <c r="GJ1111" s="885"/>
      <c r="GK1111" s="885"/>
      <c r="GL1111" s="885"/>
      <c r="GM1111" s="885"/>
      <c r="GN1111" s="885"/>
      <c r="GO1111" s="885"/>
      <c r="GP1111" s="885"/>
      <c r="GQ1111" s="885"/>
      <c r="GR1111" s="885"/>
      <c r="GS1111" s="885"/>
      <c r="GT1111" s="885"/>
      <c r="GU1111" s="885"/>
      <c r="GV1111" s="885"/>
      <c r="GW1111" s="885"/>
      <c r="GX1111" s="885"/>
      <c r="GY1111" s="885"/>
      <c r="GZ1111" s="885"/>
      <c r="HA1111" s="885"/>
      <c r="HB1111" s="885"/>
      <c r="HC1111" s="885"/>
      <c r="HD1111" s="885"/>
      <c r="HE1111" s="885"/>
      <c r="HF1111" s="885"/>
      <c r="HG1111" s="885"/>
      <c r="HH1111" s="885"/>
      <c r="HI1111" s="885"/>
      <c r="HJ1111" s="885"/>
      <c r="HK1111" s="885"/>
      <c r="HL1111" s="885"/>
      <c r="HM1111" s="885"/>
      <c r="HN1111" s="885"/>
      <c r="HO1111" s="885"/>
      <c r="HP1111" s="885"/>
      <c r="HQ1111" s="885"/>
      <c r="HR1111" s="885"/>
      <c r="HS1111" s="885"/>
      <c r="HT1111" s="885"/>
      <c r="HU1111" s="885"/>
      <c r="HV1111" s="885"/>
      <c r="HW1111" s="885"/>
      <c r="HX1111" s="885"/>
      <c r="HY1111" s="885"/>
      <c r="HZ1111" s="885"/>
      <c r="IA1111" s="885"/>
      <c r="IB1111" s="885"/>
      <c r="IC1111" s="885"/>
      <c r="ID1111" s="885"/>
      <c r="IE1111" s="885"/>
      <c r="IF1111" s="885"/>
      <c r="IG1111" s="885"/>
      <c r="IH1111" s="885"/>
      <c r="II1111" s="885"/>
      <c r="IJ1111" s="885"/>
      <c r="IK1111" s="885"/>
      <c r="IL1111" s="885"/>
      <c r="IM1111" s="885"/>
      <c r="IN1111" s="885"/>
      <c r="IO1111" s="885"/>
      <c r="IP1111" s="885"/>
      <c r="IQ1111" s="885"/>
      <c r="IR1111" s="885"/>
      <c r="IS1111" s="885"/>
      <c r="IT1111" s="885"/>
      <c r="IU1111" s="885"/>
      <c r="IV1111" s="885"/>
      <c r="IW1111" s="885"/>
      <c r="IX1111" s="885"/>
    </row>
    <row r="1112" spans="1:258" x14ac:dyDescent="0.25">
      <c r="A1112" s="125">
        <f t="shared" si="127"/>
        <v>1072</v>
      </c>
      <c r="B1112" s="885"/>
      <c r="C1112" s="842" t="s">
        <v>10675</v>
      </c>
      <c r="D1112" s="924">
        <v>6363.28</v>
      </c>
      <c r="E1112" s="924">
        <f>D1112/5.2*10</f>
        <v>12237.076923076922</v>
      </c>
      <c r="F1112" s="136">
        <f>E1112</f>
        <v>12237.076923076922</v>
      </c>
      <c r="G1112" s="122" t="s">
        <v>1963</v>
      </c>
      <c r="H1112" s="842"/>
      <c r="I1112" s="793"/>
      <c r="J1112" s="885"/>
      <c r="K1112" s="885"/>
      <c r="L1112" s="885"/>
      <c r="M1112" s="885"/>
      <c r="N1112" s="885"/>
      <c r="O1112" s="885"/>
      <c r="P1112" s="885"/>
      <c r="Q1112" s="885"/>
      <c r="R1112" s="885"/>
      <c r="S1112" s="885"/>
      <c r="T1112" s="885"/>
      <c r="U1112" s="885"/>
      <c r="V1112" s="885"/>
      <c r="W1112" s="885"/>
      <c r="X1112" s="885"/>
      <c r="Y1112" s="885"/>
      <c r="Z1112" s="885"/>
      <c r="AA1112" s="885"/>
      <c r="AB1112" s="885"/>
      <c r="AC1112" s="885"/>
      <c r="AD1112" s="885"/>
      <c r="AE1112" s="885"/>
      <c r="AF1112" s="885"/>
      <c r="AG1112" s="885"/>
      <c r="AH1112" s="885"/>
      <c r="AI1112" s="885"/>
      <c r="AJ1112" s="885"/>
      <c r="AK1112" s="885"/>
      <c r="AL1112" s="885"/>
      <c r="AM1112" s="885"/>
      <c r="AN1112" s="885"/>
      <c r="AO1112" s="885"/>
      <c r="AP1112" s="885"/>
      <c r="AQ1112" s="885"/>
      <c r="AR1112" s="885"/>
      <c r="AS1112" s="885"/>
      <c r="AT1112" s="885"/>
      <c r="AU1112" s="885"/>
      <c r="AV1112" s="885"/>
      <c r="AW1112" s="885"/>
      <c r="AX1112" s="885"/>
      <c r="AY1112" s="885"/>
      <c r="AZ1112" s="885"/>
      <c r="BA1112" s="885"/>
      <c r="BB1112" s="885"/>
      <c r="BC1112" s="885"/>
      <c r="BD1112" s="885"/>
      <c r="BE1112" s="885"/>
      <c r="BF1112" s="885"/>
      <c r="BG1112" s="885"/>
      <c r="BH1112" s="885"/>
      <c r="BI1112" s="885"/>
      <c r="BJ1112" s="885"/>
      <c r="BK1112" s="885"/>
      <c r="BL1112" s="885"/>
      <c r="BM1112" s="885"/>
      <c r="BN1112" s="885"/>
      <c r="BO1112" s="885"/>
      <c r="BP1112" s="885"/>
      <c r="BQ1112" s="885"/>
      <c r="BR1112" s="885"/>
      <c r="BS1112" s="885"/>
      <c r="BT1112" s="885"/>
      <c r="BU1112" s="885"/>
      <c r="BV1112" s="885"/>
      <c r="BW1112" s="885"/>
      <c r="BX1112" s="885"/>
      <c r="BY1112" s="885"/>
      <c r="BZ1112" s="885"/>
      <c r="CA1112" s="885"/>
      <c r="CB1112" s="885"/>
      <c r="CC1112" s="885"/>
      <c r="CD1112" s="885"/>
      <c r="CE1112" s="885"/>
      <c r="CF1112" s="885"/>
      <c r="CG1112" s="885"/>
      <c r="CH1112" s="885"/>
      <c r="CI1112" s="885"/>
      <c r="CJ1112" s="885"/>
      <c r="CK1112" s="885"/>
      <c r="CL1112" s="885"/>
      <c r="CM1112" s="885"/>
      <c r="CN1112" s="885"/>
      <c r="CO1112" s="885"/>
      <c r="CP1112" s="885"/>
      <c r="CQ1112" s="885"/>
      <c r="CR1112" s="885"/>
      <c r="CS1112" s="885"/>
      <c r="CT1112" s="885"/>
      <c r="CU1112" s="885"/>
      <c r="CV1112" s="885"/>
      <c r="CW1112" s="885"/>
      <c r="CX1112" s="885"/>
      <c r="CY1112" s="885"/>
      <c r="CZ1112" s="885"/>
      <c r="DA1112" s="885"/>
      <c r="DB1112" s="885"/>
      <c r="DC1112" s="885"/>
      <c r="DD1112" s="885"/>
      <c r="DE1112" s="885"/>
      <c r="DF1112" s="885"/>
      <c r="DG1112" s="885"/>
      <c r="DH1112" s="885"/>
      <c r="DI1112" s="885"/>
      <c r="DJ1112" s="885"/>
      <c r="DK1112" s="885"/>
      <c r="DL1112" s="885"/>
      <c r="DM1112" s="885"/>
      <c r="DN1112" s="885"/>
      <c r="DO1112" s="885"/>
      <c r="DP1112" s="885"/>
      <c r="DQ1112" s="885"/>
      <c r="DR1112" s="885"/>
      <c r="DS1112" s="885"/>
      <c r="DT1112" s="885"/>
      <c r="DU1112" s="885"/>
      <c r="DV1112" s="885"/>
      <c r="DW1112" s="885"/>
      <c r="DX1112" s="885"/>
      <c r="DY1112" s="885"/>
      <c r="DZ1112" s="885"/>
      <c r="EA1112" s="885"/>
      <c r="EB1112" s="885"/>
      <c r="EC1112" s="885"/>
      <c r="ED1112" s="885"/>
      <c r="EE1112" s="885"/>
      <c r="EF1112" s="885"/>
      <c r="EG1112" s="885"/>
      <c r="EH1112" s="885"/>
      <c r="EI1112" s="885"/>
      <c r="EJ1112" s="885"/>
      <c r="EK1112" s="885"/>
      <c r="EL1112" s="885"/>
      <c r="EM1112" s="885"/>
      <c r="EN1112" s="885"/>
      <c r="EO1112" s="885"/>
      <c r="EP1112" s="885"/>
      <c r="EQ1112" s="885"/>
      <c r="ER1112" s="885"/>
      <c r="ES1112" s="885"/>
      <c r="ET1112" s="885"/>
      <c r="EU1112" s="885"/>
      <c r="EV1112" s="885"/>
      <c r="EW1112" s="885"/>
      <c r="EX1112" s="885"/>
      <c r="EY1112" s="885"/>
      <c r="EZ1112" s="885"/>
      <c r="FA1112" s="885"/>
      <c r="FB1112" s="885"/>
      <c r="FC1112" s="885"/>
      <c r="FD1112" s="885"/>
      <c r="FE1112" s="885"/>
      <c r="FF1112" s="885"/>
      <c r="FG1112" s="885"/>
      <c r="FH1112" s="885"/>
      <c r="FI1112" s="885"/>
      <c r="FJ1112" s="885"/>
      <c r="FK1112" s="885"/>
      <c r="FL1112" s="885"/>
      <c r="FM1112" s="885"/>
      <c r="FN1112" s="885"/>
      <c r="FO1112" s="885"/>
      <c r="FP1112" s="885"/>
      <c r="FQ1112" s="885"/>
      <c r="FR1112" s="885"/>
      <c r="FS1112" s="885"/>
      <c r="FT1112" s="885"/>
      <c r="FU1112" s="885"/>
      <c r="FV1112" s="885"/>
      <c r="FW1112" s="885"/>
      <c r="FX1112" s="885"/>
      <c r="FY1112" s="885"/>
      <c r="FZ1112" s="885"/>
      <c r="GA1112" s="885"/>
      <c r="GB1112" s="885"/>
      <c r="GC1112" s="885"/>
      <c r="GD1112" s="885"/>
      <c r="GE1112" s="885"/>
      <c r="GF1112" s="885"/>
      <c r="GG1112" s="885"/>
      <c r="GH1112" s="885"/>
      <c r="GI1112" s="885"/>
      <c r="GJ1112" s="885"/>
      <c r="GK1112" s="885"/>
      <c r="GL1112" s="885"/>
      <c r="GM1112" s="885"/>
      <c r="GN1112" s="885"/>
      <c r="GO1112" s="885"/>
      <c r="GP1112" s="885"/>
      <c r="GQ1112" s="885"/>
      <c r="GR1112" s="885"/>
      <c r="GS1112" s="885"/>
      <c r="GT1112" s="885"/>
      <c r="GU1112" s="885"/>
      <c r="GV1112" s="885"/>
      <c r="GW1112" s="885"/>
      <c r="GX1112" s="885"/>
      <c r="GY1112" s="885"/>
      <c r="GZ1112" s="885"/>
      <c r="HA1112" s="885"/>
      <c r="HB1112" s="885"/>
      <c r="HC1112" s="885"/>
      <c r="HD1112" s="885"/>
      <c r="HE1112" s="885"/>
      <c r="HF1112" s="885"/>
      <c r="HG1112" s="885"/>
      <c r="HH1112" s="885"/>
      <c r="HI1112" s="885"/>
      <c r="HJ1112" s="885"/>
      <c r="HK1112" s="885"/>
      <c r="HL1112" s="885"/>
      <c r="HM1112" s="885"/>
      <c r="HN1112" s="885"/>
      <c r="HO1112" s="885"/>
      <c r="HP1112" s="885"/>
      <c r="HQ1112" s="885"/>
      <c r="HR1112" s="885"/>
      <c r="HS1112" s="885"/>
      <c r="HT1112" s="885"/>
      <c r="HU1112" s="885"/>
      <c r="HV1112" s="885"/>
      <c r="HW1112" s="885"/>
      <c r="HX1112" s="885"/>
      <c r="HY1112" s="885"/>
      <c r="HZ1112" s="885"/>
      <c r="IA1112" s="885"/>
      <c r="IB1112" s="885"/>
      <c r="IC1112" s="885"/>
      <c r="ID1112" s="885"/>
      <c r="IE1112" s="885"/>
      <c r="IF1112" s="885"/>
      <c r="IG1112" s="885"/>
      <c r="IH1112" s="885"/>
      <c r="II1112" s="885"/>
      <c r="IJ1112" s="885"/>
      <c r="IK1112" s="885"/>
      <c r="IL1112" s="885"/>
      <c r="IM1112" s="885"/>
      <c r="IN1112" s="885"/>
      <c r="IO1112" s="885"/>
      <c r="IP1112" s="885"/>
      <c r="IQ1112" s="885"/>
      <c r="IR1112" s="885"/>
      <c r="IS1112" s="885"/>
      <c r="IT1112" s="885"/>
      <c r="IU1112" s="885"/>
      <c r="IV1112" s="885"/>
      <c r="IW1112" s="885"/>
      <c r="IX1112" s="885"/>
    </row>
    <row r="1113" spans="1:258" x14ac:dyDescent="0.25">
      <c r="A1113" s="125">
        <f t="shared" si="127"/>
        <v>1073</v>
      </c>
      <c r="B1113" s="885"/>
      <c r="C1113" s="927" t="s">
        <v>10677</v>
      </c>
      <c r="D1113" s="928"/>
      <c r="E1113" s="928"/>
      <c r="F1113" s="842"/>
      <c r="G1113" s="842"/>
      <c r="H1113" s="842"/>
      <c r="I1113" s="793"/>
      <c r="J1113" s="885"/>
      <c r="K1113" s="885"/>
      <c r="L1113" s="885"/>
      <c r="M1113" s="885"/>
      <c r="N1113" s="885"/>
      <c r="O1113" s="885"/>
      <c r="P1113" s="885"/>
      <c r="Q1113" s="885"/>
      <c r="R1113" s="885"/>
      <c r="S1113" s="885"/>
      <c r="T1113" s="885"/>
      <c r="U1113" s="885"/>
      <c r="V1113" s="885"/>
      <c r="W1113" s="885"/>
      <c r="X1113" s="885"/>
      <c r="Y1113" s="885"/>
      <c r="Z1113" s="885"/>
      <c r="AA1113" s="885"/>
      <c r="AB1113" s="885"/>
      <c r="AC1113" s="885"/>
      <c r="AD1113" s="885"/>
      <c r="AE1113" s="885"/>
      <c r="AF1113" s="885"/>
      <c r="AG1113" s="885"/>
      <c r="AH1113" s="885"/>
      <c r="AI1113" s="885"/>
      <c r="AJ1113" s="885"/>
      <c r="AK1113" s="885"/>
      <c r="AL1113" s="885"/>
      <c r="AM1113" s="885"/>
      <c r="AN1113" s="885"/>
      <c r="AO1113" s="885"/>
      <c r="AP1113" s="885"/>
      <c r="AQ1113" s="885"/>
      <c r="AR1113" s="885"/>
      <c r="AS1113" s="885"/>
      <c r="AT1113" s="885"/>
      <c r="AU1113" s="885"/>
      <c r="AV1113" s="885"/>
      <c r="AW1113" s="885"/>
      <c r="AX1113" s="885"/>
      <c r="AY1113" s="885"/>
      <c r="AZ1113" s="885"/>
      <c r="BA1113" s="885"/>
      <c r="BB1113" s="885"/>
      <c r="BC1113" s="885"/>
      <c r="BD1113" s="885"/>
      <c r="BE1113" s="885"/>
      <c r="BF1113" s="885"/>
      <c r="BG1113" s="885"/>
      <c r="BH1113" s="885"/>
      <c r="BI1113" s="885"/>
      <c r="BJ1113" s="885"/>
      <c r="BK1113" s="885"/>
      <c r="BL1113" s="885"/>
      <c r="BM1113" s="885"/>
      <c r="BN1113" s="885"/>
      <c r="BO1113" s="885"/>
      <c r="BP1113" s="885"/>
      <c r="BQ1113" s="885"/>
      <c r="BR1113" s="885"/>
      <c r="BS1113" s="885"/>
      <c r="BT1113" s="885"/>
      <c r="BU1113" s="885"/>
      <c r="BV1113" s="885"/>
      <c r="BW1113" s="885"/>
      <c r="BX1113" s="885"/>
      <c r="BY1113" s="885"/>
      <c r="BZ1113" s="885"/>
      <c r="CA1113" s="885"/>
      <c r="CB1113" s="885"/>
      <c r="CC1113" s="885"/>
      <c r="CD1113" s="885"/>
      <c r="CE1113" s="885"/>
      <c r="CF1113" s="885"/>
      <c r="CG1113" s="885"/>
      <c r="CH1113" s="885"/>
      <c r="CI1113" s="885"/>
      <c r="CJ1113" s="885"/>
      <c r="CK1113" s="885"/>
      <c r="CL1113" s="885"/>
      <c r="CM1113" s="885"/>
      <c r="CN1113" s="885"/>
      <c r="CO1113" s="885"/>
      <c r="CP1113" s="885"/>
      <c r="CQ1113" s="885"/>
      <c r="CR1113" s="885"/>
      <c r="CS1113" s="885"/>
      <c r="CT1113" s="885"/>
      <c r="CU1113" s="885"/>
      <c r="CV1113" s="885"/>
      <c r="CW1113" s="885"/>
      <c r="CX1113" s="885"/>
      <c r="CY1113" s="885"/>
      <c r="CZ1113" s="885"/>
      <c r="DA1113" s="885"/>
      <c r="DB1113" s="885"/>
      <c r="DC1113" s="885"/>
      <c r="DD1113" s="885"/>
      <c r="DE1113" s="885"/>
      <c r="DF1113" s="885"/>
      <c r="DG1113" s="885"/>
      <c r="DH1113" s="885"/>
      <c r="DI1113" s="885"/>
      <c r="DJ1113" s="885"/>
      <c r="DK1113" s="885"/>
      <c r="DL1113" s="885"/>
      <c r="DM1113" s="885"/>
      <c r="DN1113" s="885"/>
      <c r="DO1113" s="885"/>
      <c r="DP1113" s="885"/>
      <c r="DQ1113" s="885"/>
      <c r="DR1113" s="885"/>
      <c r="DS1113" s="885"/>
      <c r="DT1113" s="885"/>
      <c r="DU1113" s="885"/>
      <c r="DV1113" s="885"/>
      <c r="DW1113" s="885"/>
      <c r="DX1113" s="885"/>
      <c r="DY1113" s="885"/>
      <c r="DZ1113" s="885"/>
      <c r="EA1113" s="885"/>
      <c r="EB1113" s="885"/>
      <c r="EC1113" s="885"/>
      <c r="ED1113" s="885"/>
      <c r="EE1113" s="885"/>
      <c r="EF1113" s="885"/>
      <c r="EG1113" s="885"/>
      <c r="EH1113" s="885"/>
      <c r="EI1113" s="885"/>
      <c r="EJ1113" s="885"/>
      <c r="EK1113" s="885"/>
      <c r="EL1113" s="885"/>
      <c r="EM1113" s="885"/>
      <c r="EN1113" s="885"/>
      <c r="EO1113" s="885"/>
      <c r="EP1113" s="885"/>
      <c r="EQ1113" s="885"/>
      <c r="ER1113" s="885"/>
      <c r="ES1113" s="885"/>
      <c r="ET1113" s="885"/>
      <c r="EU1113" s="885"/>
      <c r="EV1113" s="885"/>
      <c r="EW1113" s="885"/>
      <c r="EX1113" s="885"/>
      <c r="EY1113" s="885"/>
      <c r="EZ1113" s="885"/>
      <c r="FA1113" s="885"/>
      <c r="FB1113" s="885"/>
      <c r="FC1113" s="885"/>
      <c r="FD1113" s="885"/>
      <c r="FE1113" s="885"/>
      <c r="FF1113" s="885"/>
      <c r="FG1113" s="885"/>
      <c r="FH1113" s="885"/>
      <c r="FI1113" s="885"/>
      <c r="FJ1113" s="885"/>
      <c r="FK1113" s="885"/>
      <c r="FL1113" s="885"/>
      <c r="FM1113" s="885"/>
      <c r="FN1113" s="885"/>
      <c r="FO1113" s="885"/>
      <c r="FP1113" s="885"/>
      <c r="FQ1113" s="885"/>
      <c r="FR1113" s="885"/>
      <c r="FS1113" s="885"/>
      <c r="FT1113" s="885"/>
      <c r="FU1113" s="885"/>
      <c r="FV1113" s="885"/>
      <c r="FW1113" s="885"/>
      <c r="FX1113" s="885"/>
      <c r="FY1113" s="885"/>
      <c r="FZ1113" s="885"/>
      <c r="GA1113" s="885"/>
      <c r="GB1113" s="885"/>
      <c r="GC1113" s="885"/>
      <c r="GD1113" s="885"/>
      <c r="GE1113" s="885"/>
      <c r="GF1113" s="885"/>
      <c r="GG1113" s="885"/>
      <c r="GH1113" s="885"/>
      <c r="GI1113" s="885"/>
      <c r="GJ1113" s="885"/>
      <c r="GK1113" s="885"/>
      <c r="GL1113" s="885"/>
      <c r="GM1113" s="885"/>
      <c r="GN1113" s="885"/>
      <c r="GO1113" s="885"/>
      <c r="GP1113" s="885"/>
      <c r="GQ1113" s="885"/>
      <c r="GR1113" s="885"/>
      <c r="GS1113" s="885"/>
      <c r="GT1113" s="885"/>
      <c r="GU1113" s="885"/>
      <c r="GV1113" s="885"/>
      <c r="GW1113" s="885"/>
      <c r="GX1113" s="885"/>
      <c r="GY1113" s="885"/>
      <c r="GZ1113" s="885"/>
      <c r="HA1113" s="885"/>
      <c r="HB1113" s="885"/>
      <c r="HC1113" s="885"/>
      <c r="HD1113" s="885"/>
      <c r="HE1113" s="885"/>
      <c r="HF1113" s="885"/>
      <c r="HG1113" s="885"/>
      <c r="HH1113" s="885"/>
      <c r="HI1113" s="885"/>
      <c r="HJ1113" s="885"/>
      <c r="HK1113" s="885"/>
      <c r="HL1113" s="885"/>
      <c r="HM1113" s="885"/>
      <c r="HN1113" s="885"/>
      <c r="HO1113" s="885"/>
      <c r="HP1113" s="885"/>
      <c r="HQ1113" s="885"/>
      <c r="HR1113" s="885"/>
      <c r="HS1113" s="885"/>
      <c r="HT1113" s="885"/>
      <c r="HU1113" s="885"/>
      <c r="HV1113" s="885"/>
      <c r="HW1113" s="885"/>
      <c r="HX1113" s="885"/>
      <c r="HY1113" s="885"/>
      <c r="HZ1113" s="885"/>
      <c r="IA1113" s="885"/>
      <c r="IB1113" s="885"/>
      <c r="IC1113" s="885"/>
      <c r="ID1113" s="885"/>
      <c r="IE1113" s="885"/>
      <c r="IF1113" s="885"/>
      <c r="IG1113" s="885"/>
      <c r="IH1113" s="885"/>
      <c r="II1113" s="885"/>
      <c r="IJ1113" s="885"/>
      <c r="IK1113" s="885"/>
      <c r="IL1113" s="885"/>
      <c r="IM1113" s="885"/>
      <c r="IN1113" s="885"/>
      <c r="IO1113" s="885"/>
      <c r="IP1113" s="885"/>
      <c r="IQ1113" s="885"/>
      <c r="IR1113" s="885"/>
      <c r="IS1113" s="885"/>
      <c r="IT1113" s="885"/>
      <c r="IU1113" s="885"/>
      <c r="IV1113" s="885"/>
      <c r="IW1113" s="885"/>
      <c r="IX1113" s="885"/>
    </row>
    <row r="1114" spans="1:258" x14ac:dyDescent="0.25">
      <c r="A1114" s="125">
        <f t="shared" si="127"/>
        <v>1074</v>
      </c>
      <c r="B1114" s="885"/>
      <c r="C1114" s="842" t="s">
        <v>10676</v>
      </c>
      <c r="D1114" s="924">
        <v>4086.67</v>
      </c>
      <c r="E1114" s="924">
        <f>D1114/5.2*10</f>
        <v>7858.9807692307695</v>
      </c>
      <c r="F1114" s="136">
        <f>E1114/5.2*10</f>
        <v>15113.424556213016</v>
      </c>
      <c r="G1114" s="122" t="s">
        <v>1963</v>
      </c>
      <c r="H1114" s="842"/>
      <c r="I1114" s="793"/>
      <c r="J1114" s="885"/>
      <c r="K1114" s="885"/>
      <c r="L1114" s="885"/>
      <c r="M1114" s="885"/>
      <c r="N1114" s="885"/>
      <c r="O1114" s="885"/>
      <c r="P1114" s="885"/>
      <c r="Q1114" s="885"/>
      <c r="R1114" s="885"/>
      <c r="S1114" s="885"/>
      <c r="T1114" s="885"/>
      <c r="U1114" s="885"/>
      <c r="V1114" s="885"/>
      <c r="W1114" s="885"/>
      <c r="X1114" s="885"/>
      <c r="Y1114" s="885"/>
      <c r="Z1114" s="885"/>
      <c r="AA1114" s="885"/>
      <c r="AB1114" s="885"/>
      <c r="AC1114" s="885"/>
      <c r="AD1114" s="885"/>
      <c r="AE1114" s="885"/>
      <c r="AF1114" s="885"/>
      <c r="AG1114" s="885"/>
      <c r="AH1114" s="885"/>
      <c r="AI1114" s="885"/>
      <c r="AJ1114" s="885"/>
      <c r="AK1114" s="885"/>
      <c r="AL1114" s="885"/>
      <c r="AM1114" s="885"/>
      <c r="AN1114" s="885"/>
      <c r="AO1114" s="885"/>
      <c r="AP1114" s="885"/>
      <c r="AQ1114" s="885"/>
      <c r="AR1114" s="885"/>
      <c r="AS1114" s="885"/>
      <c r="AT1114" s="885"/>
      <c r="AU1114" s="885"/>
      <c r="AV1114" s="885"/>
      <c r="AW1114" s="885"/>
      <c r="AX1114" s="885"/>
      <c r="AY1114" s="885"/>
      <c r="AZ1114" s="885"/>
      <c r="BA1114" s="885"/>
      <c r="BB1114" s="885"/>
      <c r="BC1114" s="885"/>
      <c r="BD1114" s="885"/>
      <c r="BE1114" s="885"/>
      <c r="BF1114" s="885"/>
      <c r="BG1114" s="885"/>
      <c r="BH1114" s="885"/>
      <c r="BI1114" s="885"/>
      <c r="BJ1114" s="885"/>
      <c r="BK1114" s="885"/>
      <c r="BL1114" s="885"/>
      <c r="BM1114" s="885"/>
      <c r="BN1114" s="885"/>
      <c r="BO1114" s="885"/>
      <c r="BP1114" s="885"/>
      <c r="BQ1114" s="885"/>
      <c r="BR1114" s="885"/>
      <c r="BS1114" s="885"/>
      <c r="BT1114" s="885"/>
      <c r="BU1114" s="885"/>
      <c r="BV1114" s="885"/>
      <c r="BW1114" s="885"/>
      <c r="BX1114" s="885"/>
      <c r="BY1114" s="885"/>
      <c r="BZ1114" s="885"/>
      <c r="CA1114" s="885"/>
      <c r="CB1114" s="885"/>
      <c r="CC1114" s="885"/>
      <c r="CD1114" s="885"/>
      <c r="CE1114" s="885"/>
      <c r="CF1114" s="885"/>
      <c r="CG1114" s="885"/>
      <c r="CH1114" s="885"/>
      <c r="CI1114" s="885"/>
      <c r="CJ1114" s="885"/>
      <c r="CK1114" s="885"/>
      <c r="CL1114" s="885"/>
      <c r="CM1114" s="885"/>
      <c r="CN1114" s="885"/>
      <c r="CO1114" s="885"/>
      <c r="CP1114" s="885"/>
      <c r="CQ1114" s="885"/>
      <c r="CR1114" s="885"/>
      <c r="CS1114" s="885"/>
      <c r="CT1114" s="885"/>
      <c r="CU1114" s="885"/>
      <c r="CV1114" s="885"/>
      <c r="CW1114" s="885"/>
      <c r="CX1114" s="885"/>
      <c r="CY1114" s="885"/>
      <c r="CZ1114" s="885"/>
      <c r="DA1114" s="885"/>
      <c r="DB1114" s="885"/>
      <c r="DC1114" s="885"/>
      <c r="DD1114" s="885"/>
      <c r="DE1114" s="885"/>
      <c r="DF1114" s="885"/>
      <c r="DG1114" s="885"/>
      <c r="DH1114" s="885"/>
      <c r="DI1114" s="885"/>
      <c r="DJ1114" s="885"/>
      <c r="DK1114" s="885"/>
      <c r="DL1114" s="885"/>
      <c r="DM1114" s="885"/>
      <c r="DN1114" s="885"/>
      <c r="DO1114" s="885"/>
      <c r="DP1114" s="885"/>
      <c r="DQ1114" s="885"/>
      <c r="DR1114" s="885"/>
      <c r="DS1114" s="885"/>
      <c r="DT1114" s="885"/>
      <c r="DU1114" s="885"/>
      <c r="DV1114" s="885"/>
      <c r="DW1114" s="885"/>
      <c r="DX1114" s="885"/>
      <c r="DY1114" s="885"/>
      <c r="DZ1114" s="885"/>
      <c r="EA1114" s="885"/>
      <c r="EB1114" s="885"/>
      <c r="EC1114" s="885"/>
      <c r="ED1114" s="885"/>
      <c r="EE1114" s="885"/>
      <c r="EF1114" s="885"/>
      <c r="EG1114" s="885"/>
      <c r="EH1114" s="885"/>
      <c r="EI1114" s="885"/>
      <c r="EJ1114" s="885"/>
      <c r="EK1114" s="885"/>
      <c r="EL1114" s="885"/>
      <c r="EM1114" s="885"/>
      <c r="EN1114" s="885"/>
      <c r="EO1114" s="885"/>
      <c r="EP1114" s="885"/>
      <c r="EQ1114" s="885"/>
      <c r="ER1114" s="885"/>
      <c r="ES1114" s="885"/>
      <c r="ET1114" s="885"/>
      <c r="EU1114" s="885"/>
      <c r="EV1114" s="885"/>
      <c r="EW1114" s="885"/>
      <c r="EX1114" s="885"/>
      <c r="EY1114" s="885"/>
      <c r="EZ1114" s="885"/>
      <c r="FA1114" s="885"/>
      <c r="FB1114" s="885"/>
      <c r="FC1114" s="885"/>
      <c r="FD1114" s="885"/>
      <c r="FE1114" s="885"/>
      <c r="FF1114" s="885"/>
      <c r="FG1114" s="885"/>
      <c r="FH1114" s="885"/>
      <c r="FI1114" s="885"/>
      <c r="FJ1114" s="885"/>
      <c r="FK1114" s="885"/>
      <c r="FL1114" s="885"/>
      <c r="FM1114" s="885"/>
      <c r="FN1114" s="885"/>
      <c r="FO1114" s="885"/>
      <c r="FP1114" s="885"/>
      <c r="FQ1114" s="885"/>
      <c r="FR1114" s="885"/>
      <c r="FS1114" s="885"/>
      <c r="FT1114" s="885"/>
      <c r="FU1114" s="885"/>
      <c r="FV1114" s="885"/>
      <c r="FW1114" s="885"/>
      <c r="FX1114" s="885"/>
      <c r="FY1114" s="885"/>
      <c r="FZ1114" s="885"/>
      <c r="GA1114" s="885"/>
      <c r="GB1114" s="885"/>
      <c r="GC1114" s="885"/>
      <c r="GD1114" s="885"/>
      <c r="GE1114" s="885"/>
      <c r="GF1114" s="885"/>
      <c r="GG1114" s="885"/>
      <c r="GH1114" s="885"/>
      <c r="GI1114" s="885"/>
      <c r="GJ1114" s="885"/>
      <c r="GK1114" s="885"/>
      <c r="GL1114" s="885"/>
      <c r="GM1114" s="885"/>
      <c r="GN1114" s="885"/>
      <c r="GO1114" s="885"/>
      <c r="GP1114" s="885"/>
      <c r="GQ1114" s="885"/>
      <c r="GR1114" s="885"/>
      <c r="GS1114" s="885"/>
      <c r="GT1114" s="885"/>
      <c r="GU1114" s="885"/>
      <c r="GV1114" s="885"/>
      <c r="GW1114" s="885"/>
      <c r="GX1114" s="885"/>
      <c r="GY1114" s="885"/>
      <c r="GZ1114" s="885"/>
      <c r="HA1114" s="885"/>
      <c r="HB1114" s="885"/>
      <c r="HC1114" s="885"/>
      <c r="HD1114" s="885"/>
      <c r="HE1114" s="885"/>
      <c r="HF1114" s="885"/>
      <c r="HG1114" s="885"/>
      <c r="HH1114" s="885"/>
      <c r="HI1114" s="885"/>
      <c r="HJ1114" s="885"/>
      <c r="HK1114" s="885"/>
      <c r="HL1114" s="885"/>
      <c r="HM1114" s="885"/>
      <c r="HN1114" s="885"/>
      <c r="HO1114" s="885"/>
      <c r="HP1114" s="885"/>
      <c r="HQ1114" s="885"/>
      <c r="HR1114" s="885"/>
      <c r="HS1114" s="885"/>
      <c r="HT1114" s="885"/>
      <c r="HU1114" s="885"/>
      <c r="HV1114" s="885"/>
      <c r="HW1114" s="885"/>
      <c r="HX1114" s="885"/>
      <c r="HY1114" s="885"/>
      <c r="HZ1114" s="885"/>
      <c r="IA1114" s="885"/>
      <c r="IB1114" s="885"/>
      <c r="IC1114" s="885"/>
      <c r="ID1114" s="885"/>
      <c r="IE1114" s="885"/>
      <c r="IF1114" s="885"/>
      <c r="IG1114" s="885"/>
      <c r="IH1114" s="885"/>
      <c r="II1114" s="885"/>
      <c r="IJ1114" s="885"/>
      <c r="IK1114" s="885"/>
      <c r="IL1114" s="885"/>
      <c r="IM1114" s="885"/>
      <c r="IN1114" s="885"/>
      <c r="IO1114" s="885"/>
      <c r="IP1114" s="885"/>
      <c r="IQ1114" s="885"/>
      <c r="IR1114" s="885"/>
      <c r="IS1114" s="885"/>
      <c r="IT1114" s="885"/>
      <c r="IU1114" s="885"/>
      <c r="IV1114" s="885"/>
      <c r="IW1114" s="885"/>
      <c r="IX1114" s="885"/>
    </row>
    <row r="1115" spans="1:258" x14ac:dyDescent="0.25">
      <c r="A1115" s="125">
        <f t="shared" si="127"/>
        <v>1075</v>
      </c>
      <c r="B1115" s="885"/>
      <c r="C1115" s="927" t="s">
        <v>10678</v>
      </c>
      <c r="D1115" s="928"/>
      <c r="E1115" s="928"/>
      <c r="F1115" s="842"/>
      <c r="G1115" s="842"/>
      <c r="H1115" s="842"/>
      <c r="I1115" s="793"/>
      <c r="J1115" s="885"/>
      <c r="K1115" s="885"/>
      <c r="L1115" s="885"/>
      <c r="M1115" s="885"/>
      <c r="N1115" s="885"/>
      <c r="O1115" s="885"/>
      <c r="P1115" s="885"/>
      <c r="Q1115" s="885"/>
      <c r="R1115" s="885"/>
      <c r="S1115" s="885"/>
      <c r="T1115" s="885"/>
      <c r="U1115" s="885"/>
      <c r="V1115" s="885"/>
      <c r="W1115" s="885"/>
      <c r="X1115" s="885"/>
      <c r="Y1115" s="885"/>
      <c r="Z1115" s="885"/>
      <c r="AA1115" s="885"/>
      <c r="AB1115" s="885"/>
      <c r="AC1115" s="885"/>
      <c r="AD1115" s="885"/>
      <c r="AE1115" s="885"/>
      <c r="AF1115" s="885"/>
      <c r="AG1115" s="885"/>
      <c r="AH1115" s="885"/>
      <c r="AI1115" s="885"/>
      <c r="AJ1115" s="885"/>
      <c r="AK1115" s="885"/>
      <c r="AL1115" s="885"/>
      <c r="AM1115" s="885"/>
      <c r="AN1115" s="885"/>
      <c r="AO1115" s="885"/>
      <c r="AP1115" s="885"/>
      <c r="AQ1115" s="885"/>
      <c r="AR1115" s="885"/>
      <c r="AS1115" s="885"/>
      <c r="AT1115" s="885"/>
      <c r="AU1115" s="885"/>
      <c r="AV1115" s="885"/>
      <c r="AW1115" s="885"/>
      <c r="AX1115" s="885"/>
      <c r="AY1115" s="885"/>
      <c r="AZ1115" s="885"/>
      <c r="BA1115" s="885"/>
      <c r="BB1115" s="885"/>
      <c r="BC1115" s="885"/>
      <c r="BD1115" s="885"/>
      <c r="BE1115" s="885"/>
      <c r="BF1115" s="885"/>
      <c r="BG1115" s="885"/>
      <c r="BH1115" s="885"/>
      <c r="BI1115" s="885"/>
      <c r="BJ1115" s="885"/>
      <c r="BK1115" s="885"/>
      <c r="BL1115" s="885"/>
      <c r="BM1115" s="885"/>
      <c r="BN1115" s="885"/>
      <c r="BO1115" s="885"/>
      <c r="BP1115" s="885"/>
      <c r="BQ1115" s="885"/>
      <c r="BR1115" s="885"/>
      <c r="BS1115" s="885"/>
      <c r="BT1115" s="885"/>
      <c r="BU1115" s="885"/>
      <c r="BV1115" s="885"/>
      <c r="BW1115" s="885"/>
      <c r="BX1115" s="885"/>
      <c r="BY1115" s="885"/>
      <c r="BZ1115" s="885"/>
      <c r="CA1115" s="885"/>
      <c r="CB1115" s="885"/>
      <c r="CC1115" s="885"/>
      <c r="CD1115" s="885"/>
      <c r="CE1115" s="885"/>
      <c r="CF1115" s="885"/>
      <c r="CG1115" s="885"/>
      <c r="CH1115" s="885"/>
      <c r="CI1115" s="885"/>
      <c r="CJ1115" s="885"/>
      <c r="CK1115" s="885"/>
      <c r="CL1115" s="885"/>
      <c r="CM1115" s="885"/>
      <c r="CN1115" s="885"/>
      <c r="CO1115" s="885"/>
      <c r="CP1115" s="885"/>
      <c r="CQ1115" s="885"/>
      <c r="CR1115" s="885"/>
      <c r="CS1115" s="885"/>
      <c r="CT1115" s="885"/>
      <c r="CU1115" s="885"/>
      <c r="CV1115" s="885"/>
      <c r="CW1115" s="885"/>
      <c r="CX1115" s="885"/>
      <c r="CY1115" s="885"/>
      <c r="CZ1115" s="885"/>
      <c r="DA1115" s="885"/>
      <c r="DB1115" s="885"/>
      <c r="DC1115" s="885"/>
      <c r="DD1115" s="885"/>
      <c r="DE1115" s="885"/>
      <c r="DF1115" s="885"/>
      <c r="DG1115" s="885"/>
      <c r="DH1115" s="885"/>
      <c r="DI1115" s="885"/>
      <c r="DJ1115" s="885"/>
      <c r="DK1115" s="885"/>
      <c r="DL1115" s="885"/>
      <c r="DM1115" s="885"/>
      <c r="DN1115" s="885"/>
      <c r="DO1115" s="885"/>
      <c r="DP1115" s="885"/>
      <c r="DQ1115" s="885"/>
      <c r="DR1115" s="885"/>
      <c r="DS1115" s="885"/>
      <c r="DT1115" s="885"/>
      <c r="DU1115" s="885"/>
      <c r="DV1115" s="885"/>
      <c r="DW1115" s="885"/>
      <c r="DX1115" s="885"/>
      <c r="DY1115" s="885"/>
      <c r="DZ1115" s="885"/>
      <c r="EA1115" s="885"/>
      <c r="EB1115" s="885"/>
      <c r="EC1115" s="885"/>
      <c r="ED1115" s="885"/>
      <c r="EE1115" s="885"/>
      <c r="EF1115" s="885"/>
      <c r="EG1115" s="885"/>
      <c r="EH1115" s="885"/>
      <c r="EI1115" s="885"/>
      <c r="EJ1115" s="885"/>
      <c r="EK1115" s="885"/>
      <c r="EL1115" s="885"/>
      <c r="EM1115" s="885"/>
      <c r="EN1115" s="885"/>
      <c r="EO1115" s="885"/>
      <c r="EP1115" s="885"/>
      <c r="EQ1115" s="885"/>
      <c r="ER1115" s="885"/>
      <c r="ES1115" s="885"/>
      <c r="ET1115" s="885"/>
      <c r="EU1115" s="885"/>
      <c r="EV1115" s="885"/>
      <c r="EW1115" s="885"/>
      <c r="EX1115" s="885"/>
      <c r="EY1115" s="885"/>
      <c r="EZ1115" s="885"/>
      <c r="FA1115" s="885"/>
      <c r="FB1115" s="885"/>
      <c r="FC1115" s="885"/>
      <c r="FD1115" s="885"/>
      <c r="FE1115" s="885"/>
      <c r="FF1115" s="885"/>
      <c r="FG1115" s="885"/>
      <c r="FH1115" s="885"/>
      <c r="FI1115" s="885"/>
      <c r="FJ1115" s="885"/>
      <c r="FK1115" s="885"/>
      <c r="FL1115" s="885"/>
      <c r="FM1115" s="885"/>
      <c r="FN1115" s="885"/>
      <c r="FO1115" s="885"/>
      <c r="FP1115" s="885"/>
      <c r="FQ1115" s="885"/>
      <c r="FR1115" s="885"/>
      <c r="FS1115" s="885"/>
      <c r="FT1115" s="885"/>
      <c r="FU1115" s="885"/>
      <c r="FV1115" s="885"/>
      <c r="FW1115" s="885"/>
      <c r="FX1115" s="885"/>
      <c r="FY1115" s="885"/>
      <c r="FZ1115" s="885"/>
      <c r="GA1115" s="885"/>
      <c r="GB1115" s="885"/>
      <c r="GC1115" s="885"/>
      <c r="GD1115" s="885"/>
      <c r="GE1115" s="885"/>
      <c r="GF1115" s="885"/>
      <c r="GG1115" s="885"/>
      <c r="GH1115" s="885"/>
      <c r="GI1115" s="885"/>
      <c r="GJ1115" s="885"/>
      <c r="GK1115" s="885"/>
      <c r="GL1115" s="885"/>
      <c r="GM1115" s="885"/>
      <c r="GN1115" s="885"/>
      <c r="GO1115" s="885"/>
      <c r="GP1115" s="885"/>
      <c r="GQ1115" s="885"/>
      <c r="GR1115" s="885"/>
      <c r="GS1115" s="885"/>
      <c r="GT1115" s="885"/>
      <c r="GU1115" s="885"/>
      <c r="GV1115" s="885"/>
      <c r="GW1115" s="885"/>
      <c r="GX1115" s="885"/>
      <c r="GY1115" s="885"/>
      <c r="GZ1115" s="885"/>
      <c r="HA1115" s="885"/>
      <c r="HB1115" s="885"/>
      <c r="HC1115" s="885"/>
      <c r="HD1115" s="885"/>
      <c r="HE1115" s="885"/>
      <c r="HF1115" s="885"/>
      <c r="HG1115" s="885"/>
      <c r="HH1115" s="885"/>
      <c r="HI1115" s="885"/>
      <c r="HJ1115" s="885"/>
      <c r="HK1115" s="885"/>
      <c r="HL1115" s="885"/>
      <c r="HM1115" s="885"/>
      <c r="HN1115" s="885"/>
      <c r="HO1115" s="885"/>
      <c r="HP1115" s="885"/>
      <c r="HQ1115" s="885"/>
      <c r="HR1115" s="885"/>
      <c r="HS1115" s="885"/>
      <c r="HT1115" s="885"/>
      <c r="HU1115" s="885"/>
      <c r="HV1115" s="885"/>
      <c r="HW1115" s="885"/>
      <c r="HX1115" s="885"/>
      <c r="HY1115" s="885"/>
      <c r="HZ1115" s="885"/>
      <c r="IA1115" s="885"/>
      <c r="IB1115" s="885"/>
      <c r="IC1115" s="885"/>
      <c r="ID1115" s="885"/>
      <c r="IE1115" s="885"/>
      <c r="IF1115" s="885"/>
      <c r="IG1115" s="885"/>
      <c r="IH1115" s="885"/>
      <c r="II1115" s="885"/>
      <c r="IJ1115" s="885"/>
      <c r="IK1115" s="885"/>
      <c r="IL1115" s="885"/>
      <c r="IM1115" s="885"/>
      <c r="IN1115" s="885"/>
      <c r="IO1115" s="885"/>
      <c r="IP1115" s="885"/>
      <c r="IQ1115" s="885"/>
      <c r="IR1115" s="885"/>
      <c r="IS1115" s="885"/>
      <c r="IT1115" s="885"/>
      <c r="IU1115" s="885"/>
      <c r="IV1115" s="885"/>
      <c r="IW1115" s="885"/>
      <c r="IX1115" s="885"/>
    </row>
    <row r="1116" spans="1:258" x14ac:dyDescent="0.25">
      <c r="A1116" s="125">
        <f t="shared" si="127"/>
        <v>1076</v>
      </c>
      <c r="B1116" s="885"/>
      <c r="C1116" s="842" t="s">
        <v>10679</v>
      </c>
      <c r="D1116" s="924">
        <v>7236.99</v>
      </c>
      <c r="E1116" s="924">
        <f>D1116/5.2*10</f>
        <v>13917.288461538461</v>
      </c>
      <c r="F1116" s="136">
        <f>E1116/5.2*10</f>
        <v>26764.016272189347</v>
      </c>
      <c r="G1116" s="122" t="s">
        <v>1963</v>
      </c>
      <c r="H1116" s="842"/>
      <c r="I1116" s="793"/>
      <c r="J1116" s="885"/>
      <c r="K1116" s="885"/>
      <c r="L1116" s="885"/>
      <c r="M1116" s="885"/>
      <c r="N1116" s="885"/>
      <c r="O1116" s="885"/>
      <c r="P1116" s="885"/>
      <c r="Q1116" s="885"/>
      <c r="R1116" s="885"/>
      <c r="S1116" s="885"/>
      <c r="T1116" s="885"/>
      <c r="U1116" s="885"/>
      <c r="V1116" s="885"/>
      <c r="W1116" s="885"/>
      <c r="X1116" s="885"/>
      <c r="Y1116" s="885"/>
      <c r="Z1116" s="885"/>
      <c r="AA1116" s="885"/>
      <c r="AB1116" s="885"/>
      <c r="AC1116" s="885"/>
      <c r="AD1116" s="885"/>
      <c r="AE1116" s="885"/>
      <c r="AF1116" s="885"/>
      <c r="AG1116" s="885"/>
      <c r="AH1116" s="885"/>
      <c r="AI1116" s="885"/>
      <c r="AJ1116" s="885"/>
      <c r="AK1116" s="885"/>
      <c r="AL1116" s="885"/>
      <c r="AM1116" s="885"/>
      <c r="AN1116" s="885"/>
      <c r="AO1116" s="885"/>
      <c r="AP1116" s="885"/>
      <c r="AQ1116" s="885"/>
      <c r="AR1116" s="885"/>
      <c r="AS1116" s="885"/>
      <c r="AT1116" s="885"/>
      <c r="AU1116" s="885"/>
      <c r="AV1116" s="885"/>
      <c r="AW1116" s="885"/>
      <c r="AX1116" s="885"/>
      <c r="AY1116" s="885"/>
      <c r="AZ1116" s="885"/>
      <c r="BA1116" s="885"/>
      <c r="BB1116" s="885"/>
      <c r="BC1116" s="885"/>
      <c r="BD1116" s="885"/>
      <c r="BE1116" s="885"/>
      <c r="BF1116" s="885"/>
      <c r="BG1116" s="885"/>
      <c r="BH1116" s="885"/>
      <c r="BI1116" s="885"/>
      <c r="BJ1116" s="885"/>
      <c r="BK1116" s="885"/>
      <c r="BL1116" s="885"/>
      <c r="BM1116" s="885"/>
      <c r="BN1116" s="885"/>
      <c r="BO1116" s="885"/>
      <c r="BP1116" s="885"/>
      <c r="BQ1116" s="885"/>
      <c r="BR1116" s="885"/>
      <c r="BS1116" s="885"/>
      <c r="BT1116" s="885"/>
      <c r="BU1116" s="885"/>
      <c r="BV1116" s="885"/>
      <c r="BW1116" s="885"/>
      <c r="BX1116" s="885"/>
      <c r="BY1116" s="885"/>
      <c r="BZ1116" s="885"/>
      <c r="CA1116" s="885"/>
      <c r="CB1116" s="885"/>
      <c r="CC1116" s="885"/>
      <c r="CD1116" s="885"/>
      <c r="CE1116" s="885"/>
      <c r="CF1116" s="885"/>
      <c r="CG1116" s="885"/>
      <c r="CH1116" s="885"/>
      <c r="CI1116" s="885"/>
      <c r="CJ1116" s="885"/>
      <c r="CK1116" s="885"/>
      <c r="CL1116" s="885"/>
      <c r="CM1116" s="885"/>
      <c r="CN1116" s="885"/>
      <c r="CO1116" s="885"/>
      <c r="CP1116" s="885"/>
      <c r="CQ1116" s="885"/>
      <c r="CR1116" s="885"/>
      <c r="CS1116" s="885"/>
      <c r="CT1116" s="885"/>
      <c r="CU1116" s="885"/>
      <c r="CV1116" s="885"/>
      <c r="CW1116" s="885"/>
      <c r="CX1116" s="885"/>
      <c r="CY1116" s="885"/>
      <c r="CZ1116" s="885"/>
      <c r="DA1116" s="885"/>
      <c r="DB1116" s="885"/>
      <c r="DC1116" s="885"/>
      <c r="DD1116" s="885"/>
      <c r="DE1116" s="885"/>
      <c r="DF1116" s="885"/>
      <c r="DG1116" s="885"/>
      <c r="DH1116" s="885"/>
      <c r="DI1116" s="885"/>
      <c r="DJ1116" s="885"/>
      <c r="DK1116" s="885"/>
      <c r="DL1116" s="885"/>
      <c r="DM1116" s="885"/>
      <c r="DN1116" s="885"/>
      <c r="DO1116" s="885"/>
      <c r="DP1116" s="885"/>
      <c r="DQ1116" s="885"/>
      <c r="DR1116" s="885"/>
      <c r="DS1116" s="885"/>
      <c r="DT1116" s="885"/>
      <c r="DU1116" s="885"/>
      <c r="DV1116" s="885"/>
      <c r="DW1116" s="885"/>
      <c r="DX1116" s="885"/>
      <c r="DY1116" s="885"/>
      <c r="DZ1116" s="885"/>
      <c r="EA1116" s="885"/>
      <c r="EB1116" s="885"/>
      <c r="EC1116" s="885"/>
      <c r="ED1116" s="885"/>
      <c r="EE1116" s="885"/>
      <c r="EF1116" s="885"/>
      <c r="EG1116" s="885"/>
      <c r="EH1116" s="885"/>
      <c r="EI1116" s="885"/>
      <c r="EJ1116" s="885"/>
      <c r="EK1116" s="885"/>
      <c r="EL1116" s="885"/>
      <c r="EM1116" s="885"/>
      <c r="EN1116" s="885"/>
      <c r="EO1116" s="885"/>
      <c r="EP1116" s="885"/>
      <c r="EQ1116" s="885"/>
      <c r="ER1116" s="885"/>
      <c r="ES1116" s="885"/>
      <c r="ET1116" s="885"/>
      <c r="EU1116" s="885"/>
      <c r="EV1116" s="885"/>
      <c r="EW1116" s="885"/>
      <c r="EX1116" s="885"/>
      <c r="EY1116" s="885"/>
      <c r="EZ1116" s="885"/>
      <c r="FA1116" s="885"/>
      <c r="FB1116" s="885"/>
      <c r="FC1116" s="885"/>
      <c r="FD1116" s="885"/>
      <c r="FE1116" s="885"/>
      <c r="FF1116" s="885"/>
      <c r="FG1116" s="885"/>
      <c r="FH1116" s="885"/>
      <c r="FI1116" s="885"/>
      <c r="FJ1116" s="885"/>
      <c r="FK1116" s="885"/>
      <c r="FL1116" s="885"/>
      <c r="FM1116" s="885"/>
      <c r="FN1116" s="885"/>
      <c r="FO1116" s="885"/>
      <c r="FP1116" s="885"/>
      <c r="FQ1116" s="885"/>
      <c r="FR1116" s="885"/>
      <c r="FS1116" s="885"/>
      <c r="FT1116" s="885"/>
      <c r="FU1116" s="885"/>
      <c r="FV1116" s="885"/>
      <c r="FW1116" s="885"/>
      <c r="FX1116" s="885"/>
      <c r="FY1116" s="885"/>
      <c r="FZ1116" s="885"/>
      <c r="GA1116" s="885"/>
      <c r="GB1116" s="885"/>
      <c r="GC1116" s="885"/>
      <c r="GD1116" s="885"/>
      <c r="GE1116" s="885"/>
      <c r="GF1116" s="885"/>
      <c r="GG1116" s="885"/>
      <c r="GH1116" s="885"/>
      <c r="GI1116" s="885"/>
      <c r="GJ1116" s="885"/>
      <c r="GK1116" s="885"/>
      <c r="GL1116" s="885"/>
      <c r="GM1116" s="885"/>
      <c r="GN1116" s="885"/>
      <c r="GO1116" s="885"/>
      <c r="GP1116" s="885"/>
      <c r="GQ1116" s="885"/>
      <c r="GR1116" s="885"/>
      <c r="GS1116" s="885"/>
      <c r="GT1116" s="885"/>
      <c r="GU1116" s="885"/>
      <c r="GV1116" s="885"/>
      <c r="GW1116" s="885"/>
      <c r="GX1116" s="885"/>
      <c r="GY1116" s="885"/>
      <c r="GZ1116" s="885"/>
      <c r="HA1116" s="885"/>
      <c r="HB1116" s="885"/>
      <c r="HC1116" s="885"/>
      <c r="HD1116" s="885"/>
      <c r="HE1116" s="885"/>
      <c r="HF1116" s="885"/>
      <c r="HG1116" s="885"/>
      <c r="HH1116" s="885"/>
      <c r="HI1116" s="885"/>
      <c r="HJ1116" s="885"/>
      <c r="HK1116" s="885"/>
      <c r="HL1116" s="885"/>
      <c r="HM1116" s="885"/>
      <c r="HN1116" s="885"/>
      <c r="HO1116" s="885"/>
      <c r="HP1116" s="885"/>
      <c r="HQ1116" s="885"/>
      <c r="HR1116" s="885"/>
      <c r="HS1116" s="885"/>
      <c r="HT1116" s="885"/>
      <c r="HU1116" s="885"/>
      <c r="HV1116" s="885"/>
      <c r="HW1116" s="885"/>
      <c r="HX1116" s="885"/>
      <c r="HY1116" s="885"/>
      <c r="HZ1116" s="885"/>
      <c r="IA1116" s="885"/>
      <c r="IB1116" s="885"/>
      <c r="IC1116" s="885"/>
      <c r="ID1116" s="885"/>
      <c r="IE1116" s="885"/>
      <c r="IF1116" s="885"/>
      <c r="IG1116" s="885"/>
      <c r="IH1116" s="885"/>
      <c r="II1116" s="885"/>
      <c r="IJ1116" s="885"/>
      <c r="IK1116" s="885"/>
      <c r="IL1116" s="885"/>
      <c r="IM1116" s="885"/>
      <c r="IN1116" s="885"/>
      <c r="IO1116" s="885"/>
      <c r="IP1116" s="885"/>
      <c r="IQ1116" s="885"/>
      <c r="IR1116" s="885"/>
      <c r="IS1116" s="885"/>
      <c r="IT1116" s="885"/>
      <c r="IU1116" s="885"/>
      <c r="IV1116" s="885"/>
      <c r="IW1116" s="885"/>
      <c r="IX1116" s="885"/>
    </row>
    <row r="1117" spans="1:258" x14ac:dyDescent="0.25">
      <c r="A1117" s="125">
        <f t="shared" si="127"/>
        <v>1077</v>
      </c>
      <c r="B1117" s="885"/>
      <c r="C1117" s="927" t="s">
        <v>10680</v>
      </c>
      <c r="D1117" s="928"/>
      <c r="E1117" s="928"/>
      <c r="F1117" s="842"/>
      <c r="G1117" s="842"/>
      <c r="H1117" s="842"/>
      <c r="I1117" s="793"/>
      <c r="J1117" s="885"/>
      <c r="K1117" s="885"/>
      <c r="L1117" s="885"/>
      <c r="M1117" s="885"/>
      <c r="N1117" s="885"/>
      <c r="O1117" s="885"/>
      <c r="P1117" s="885"/>
      <c r="Q1117" s="885"/>
      <c r="R1117" s="885"/>
      <c r="S1117" s="885"/>
      <c r="T1117" s="885"/>
      <c r="U1117" s="885"/>
      <c r="V1117" s="885"/>
      <c r="W1117" s="885"/>
      <c r="X1117" s="885"/>
      <c r="Y1117" s="885"/>
      <c r="Z1117" s="885"/>
      <c r="AA1117" s="885"/>
      <c r="AB1117" s="885"/>
      <c r="AC1117" s="885"/>
      <c r="AD1117" s="885"/>
      <c r="AE1117" s="885"/>
      <c r="AF1117" s="885"/>
      <c r="AG1117" s="885"/>
      <c r="AH1117" s="885"/>
      <c r="AI1117" s="885"/>
      <c r="AJ1117" s="885"/>
      <c r="AK1117" s="885"/>
      <c r="AL1117" s="885"/>
      <c r="AM1117" s="885"/>
      <c r="AN1117" s="885"/>
      <c r="AO1117" s="885"/>
      <c r="AP1117" s="885"/>
      <c r="AQ1117" s="885"/>
      <c r="AR1117" s="885"/>
      <c r="AS1117" s="885"/>
      <c r="AT1117" s="885"/>
      <c r="AU1117" s="885"/>
      <c r="AV1117" s="885"/>
      <c r="AW1117" s="885"/>
      <c r="AX1117" s="885"/>
      <c r="AY1117" s="885"/>
      <c r="AZ1117" s="885"/>
      <c r="BA1117" s="885"/>
      <c r="BB1117" s="885"/>
      <c r="BC1117" s="885"/>
      <c r="BD1117" s="885"/>
      <c r="BE1117" s="885"/>
      <c r="BF1117" s="885"/>
      <c r="BG1117" s="885"/>
      <c r="BH1117" s="885"/>
      <c r="BI1117" s="885"/>
      <c r="BJ1117" s="885"/>
      <c r="BK1117" s="885"/>
      <c r="BL1117" s="885"/>
      <c r="BM1117" s="885"/>
      <c r="BN1117" s="885"/>
      <c r="BO1117" s="885"/>
      <c r="BP1117" s="885"/>
      <c r="BQ1117" s="885"/>
      <c r="BR1117" s="885"/>
      <c r="BS1117" s="885"/>
      <c r="BT1117" s="885"/>
      <c r="BU1117" s="885"/>
      <c r="BV1117" s="885"/>
      <c r="BW1117" s="885"/>
      <c r="BX1117" s="885"/>
      <c r="BY1117" s="885"/>
      <c r="BZ1117" s="885"/>
      <c r="CA1117" s="885"/>
      <c r="CB1117" s="885"/>
      <c r="CC1117" s="885"/>
      <c r="CD1117" s="885"/>
      <c r="CE1117" s="885"/>
      <c r="CF1117" s="885"/>
      <c r="CG1117" s="885"/>
      <c r="CH1117" s="885"/>
      <c r="CI1117" s="885"/>
      <c r="CJ1117" s="885"/>
      <c r="CK1117" s="885"/>
      <c r="CL1117" s="885"/>
      <c r="CM1117" s="885"/>
      <c r="CN1117" s="885"/>
      <c r="CO1117" s="885"/>
      <c r="CP1117" s="885"/>
      <c r="CQ1117" s="885"/>
      <c r="CR1117" s="885"/>
      <c r="CS1117" s="885"/>
      <c r="CT1117" s="885"/>
      <c r="CU1117" s="885"/>
      <c r="CV1117" s="885"/>
      <c r="CW1117" s="885"/>
      <c r="CX1117" s="885"/>
      <c r="CY1117" s="885"/>
      <c r="CZ1117" s="885"/>
      <c r="DA1117" s="885"/>
      <c r="DB1117" s="885"/>
      <c r="DC1117" s="885"/>
      <c r="DD1117" s="885"/>
      <c r="DE1117" s="885"/>
      <c r="DF1117" s="885"/>
      <c r="DG1117" s="885"/>
      <c r="DH1117" s="885"/>
      <c r="DI1117" s="885"/>
      <c r="DJ1117" s="885"/>
      <c r="DK1117" s="885"/>
      <c r="DL1117" s="885"/>
      <c r="DM1117" s="885"/>
      <c r="DN1117" s="885"/>
      <c r="DO1117" s="885"/>
      <c r="DP1117" s="885"/>
      <c r="DQ1117" s="885"/>
      <c r="DR1117" s="885"/>
      <c r="DS1117" s="885"/>
      <c r="DT1117" s="885"/>
      <c r="DU1117" s="885"/>
      <c r="DV1117" s="885"/>
      <c r="DW1117" s="885"/>
      <c r="DX1117" s="885"/>
      <c r="DY1117" s="885"/>
      <c r="DZ1117" s="885"/>
      <c r="EA1117" s="885"/>
      <c r="EB1117" s="885"/>
      <c r="EC1117" s="885"/>
      <c r="ED1117" s="885"/>
      <c r="EE1117" s="885"/>
      <c r="EF1117" s="885"/>
      <c r="EG1117" s="885"/>
      <c r="EH1117" s="885"/>
      <c r="EI1117" s="885"/>
      <c r="EJ1117" s="885"/>
      <c r="EK1117" s="885"/>
      <c r="EL1117" s="885"/>
      <c r="EM1117" s="885"/>
      <c r="EN1117" s="885"/>
      <c r="EO1117" s="885"/>
      <c r="EP1117" s="885"/>
      <c r="EQ1117" s="885"/>
      <c r="ER1117" s="885"/>
      <c r="ES1117" s="885"/>
      <c r="ET1117" s="885"/>
      <c r="EU1117" s="885"/>
      <c r="EV1117" s="885"/>
      <c r="EW1117" s="885"/>
      <c r="EX1117" s="885"/>
      <c r="EY1117" s="885"/>
      <c r="EZ1117" s="885"/>
      <c r="FA1117" s="885"/>
      <c r="FB1117" s="885"/>
      <c r="FC1117" s="885"/>
      <c r="FD1117" s="885"/>
      <c r="FE1117" s="885"/>
      <c r="FF1117" s="885"/>
      <c r="FG1117" s="885"/>
      <c r="FH1117" s="885"/>
      <c r="FI1117" s="885"/>
      <c r="FJ1117" s="885"/>
      <c r="FK1117" s="885"/>
      <c r="FL1117" s="885"/>
      <c r="FM1117" s="885"/>
      <c r="FN1117" s="885"/>
      <c r="FO1117" s="885"/>
      <c r="FP1117" s="885"/>
      <c r="FQ1117" s="885"/>
      <c r="FR1117" s="885"/>
      <c r="FS1117" s="885"/>
      <c r="FT1117" s="885"/>
      <c r="FU1117" s="885"/>
      <c r="FV1117" s="885"/>
      <c r="FW1117" s="885"/>
      <c r="FX1117" s="885"/>
      <c r="FY1117" s="885"/>
      <c r="FZ1117" s="885"/>
      <c r="GA1117" s="885"/>
      <c r="GB1117" s="885"/>
      <c r="GC1117" s="885"/>
      <c r="GD1117" s="885"/>
      <c r="GE1117" s="885"/>
      <c r="GF1117" s="885"/>
      <c r="GG1117" s="885"/>
      <c r="GH1117" s="885"/>
      <c r="GI1117" s="885"/>
      <c r="GJ1117" s="885"/>
      <c r="GK1117" s="885"/>
      <c r="GL1117" s="885"/>
      <c r="GM1117" s="885"/>
      <c r="GN1117" s="885"/>
      <c r="GO1117" s="885"/>
      <c r="GP1117" s="885"/>
      <c r="GQ1117" s="885"/>
      <c r="GR1117" s="885"/>
      <c r="GS1117" s="885"/>
      <c r="GT1117" s="885"/>
      <c r="GU1117" s="885"/>
      <c r="GV1117" s="885"/>
      <c r="GW1117" s="885"/>
      <c r="GX1117" s="885"/>
      <c r="GY1117" s="885"/>
      <c r="GZ1117" s="885"/>
      <c r="HA1117" s="885"/>
      <c r="HB1117" s="885"/>
      <c r="HC1117" s="885"/>
      <c r="HD1117" s="885"/>
      <c r="HE1117" s="885"/>
      <c r="HF1117" s="885"/>
      <c r="HG1117" s="885"/>
      <c r="HH1117" s="885"/>
      <c r="HI1117" s="885"/>
      <c r="HJ1117" s="885"/>
      <c r="HK1117" s="885"/>
      <c r="HL1117" s="885"/>
      <c r="HM1117" s="885"/>
      <c r="HN1117" s="885"/>
      <c r="HO1117" s="885"/>
      <c r="HP1117" s="885"/>
      <c r="HQ1117" s="885"/>
      <c r="HR1117" s="885"/>
      <c r="HS1117" s="885"/>
      <c r="HT1117" s="885"/>
      <c r="HU1117" s="885"/>
      <c r="HV1117" s="885"/>
      <c r="HW1117" s="885"/>
      <c r="HX1117" s="885"/>
      <c r="HY1117" s="885"/>
      <c r="HZ1117" s="885"/>
      <c r="IA1117" s="885"/>
      <c r="IB1117" s="885"/>
      <c r="IC1117" s="885"/>
      <c r="ID1117" s="885"/>
      <c r="IE1117" s="885"/>
      <c r="IF1117" s="885"/>
      <c r="IG1117" s="885"/>
      <c r="IH1117" s="885"/>
      <c r="II1117" s="885"/>
      <c r="IJ1117" s="885"/>
      <c r="IK1117" s="885"/>
      <c r="IL1117" s="885"/>
      <c r="IM1117" s="885"/>
      <c r="IN1117" s="885"/>
      <c r="IO1117" s="885"/>
      <c r="IP1117" s="885"/>
      <c r="IQ1117" s="885"/>
      <c r="IR1117" s="885"/>
      <c r="IS1117" s="885"/>
      <c r="IT1117" s="885"/>
      <c r="IU1117" s="885"/>
      <c r="IV1117" s="885"/>
      <c r="IW1117" s="885"/>
      <c r="IX1117" s="885"/>
    </row>
    <row r="1118" spans="1:258" x14ac:dyDescent="0.25">
      <c r="A1118" s="125">
        <f t="shared" ref="A1118:A1181" si="128">A1117+1</f>
        <v>1078</v>
      </c>
      <c r="B1118" s="885"/>
      <c r="C1118" s="842" t="s">
        <v>10681</v>
      </c>
      <c r="D1118" s="924">
        <v>1632.3</v>
      </c>
      <c r="E1118" s="924">
        <f>D1118/5.2*10</f>
        <v>3139.0384615384614</v>
      </c>
      <c r="F1118" s="136">
        <f>E1118/5.2*10</f>
        <v>6036.6124260355027</v>
      </c>
      <c r="G1118" s="122" t="s">
        <v>1963</v>
      </c>
      <c r="H1118" s="842"/>
      <c r="I1118" s="793"/>
      <c r="J1118" s="885"/>
      <c r="K1118" s="885"/>
      <c r="L1118" s="885"/>
      <c r="M1118" s="885"/>
      <c r="N1118" s="885"/>
      <c r="O1118" s="885"/>
      <c r="P1118" s="885"/>
      <c r="Q1118" s="885"/>
      <c r="R1118" s="885"/>
      <c r="S1118" s="885"/>
      <c r="T1118" s="885"/>
      <c r="U1118" s="885"/>
      <c r="V1118" s="885"/>
      <c r="W1118" s="885"/>
      <c r="X1118" s="885"/>
      <c r="Y1118" s="885"/>
      <c r="Z1118" s="885"/>
      <c r="AA1118" s="885"/>
      <c r="AB1118" s="885"/>
      <c r="AC1118" s="885"/>
      <c r="AD1118" s="885"/>
      <c r="AE1118" s="885"/>
      <c r="AF1118" s="885"/>
      <c r="AG1118" s="885"/>
      <c r="AH1118" s="885"/>
      <c r="AI1118" s="885"/>
      <c r="AJ1118" s="885"/>
      <c r="AK1118" s="885"/>
      <c r="AL1118" s="885"/>
      <c r="AM1118" s="885"/>
      <c r="AN1118" s="885"/>
      <c r="AO1118" s="885"/>
      <c r="AP1118" s="885"/>
      <c r="AQ1118" s="885"/>
      <c r="AR1118" s="885"/>
      <c r="AS1118" s="885"/>
      <c r="AT1118" s="885"/>
      <c r="AU1118" s="885"/>
      <c r="AV1118" s="885"/>
      <c r="AW1118" s="885"/>
      <c r="AX1118" s="885"/>
      <c r="AY1118" s="885"/>
      <c r="AZ1118" s="885"/>
      <c r="BA1118" s="885"/>
      <c r="BB1118" s="885"/>
      <c r="BC1118" s="885"/>
      <c r="BD1118" s="885"/>
      <c r="BE1118" s="885"/>
      <c r="BF1118" s="885"/>
      <c r="BG1118" s="885"/>
      <c r="BH1118" s="885"/>
      <c r="BI1118" s="885"/>
      <c r="BJ1118" s="885"/>
      <c r="BK1118" s="885"/>
      <c r="BL1118" s="885"/>
      <c r="BM1118" s="885"/>
      <c r="BN1118" s="885"/>
      <c r="BO1118" s="885"/>
      <c r="BP1118" s="885"/>
      <c r="BQ1118" s="885"/>
      <c r="BR1118" s="885"/>
      <c r="BS1118" s="885"/>
      <c r="BT1118" s="885"/>
      <c r="BU1118" s="885"/>
      <c r="BV1118" s="885"/>
      <c r="BW1118" s="885"/>
      <c r="BX1118" s="885"/>
      <c r="BY1118" s="885"/>
      <c r="BZ1118" s="885"/>
      <c r="CA1118" s="885"/>
      <c r="CB1118" s="885"/>
      <c r="CC1118" s="885"/>
      <c r="CD1118" s="885"/>
      <c r="CE1118" s="885"/>
      <c r="CF1118" s="885"/>
      <c r="CG1118" s="885"/>
      <c r="CH1118" s="885"/>
      <c r="CI1118" s="885"/>
      <c r="CJ1118" s="885"/>
      <c r="CK1118" s="885"/>
      <c r="CL1118" s="885"/>
      <c r="CM1118" s="885"/>
      <c r="CN1118" s="885"/>
      <c r="CO1118" s="885"/>
      <c r="CP1118" s="885"/>
      <c r="CQ1118" s="885"/>
      <c r="CR1118" s="885"/>
      <c r="CS1118" s="885"/>
      <c r="CT1118" s="885"/>
      <c r="CU1118" s="885"/>
      <c r="CV1118" s="885"/>
      <c r="CW1118" s="885"/>
      <c r="CX1118" s="885"/>
      <c r="CY1118" s="885"/>
      <c r="CZ1118" s="885"/>
      <c r="DA1118" s="885"/>
      <c r="DB1118" s="885"/>
      <c r="DC1118" s="885"/>
      <c r="DD1118" s="885"/>
      <c r="DE1118" s="885"/>
      <c r="DF1118" s="885"/>
      <c r="DG1118" s="885"/>
      <c r="DH1118" s="885"/>
      <c r="DI1118" s="885"/>
      <c r="DJ1118" s="885"/>
      <c r="DK1118" s="885"/>
      <c r="DL1118" s="885"/>
      <c r="DM1118" s="885"/>
      <c r="DN1118" s="885"/>
      <c r="DO1118" s="885"/>
      <c r="DP1118" s="885"/>
      <c r="DQ1118" s="885"/>
      <c r="DR1118" s="885"/>
      <c r="DS1118" s="885"/>
      <c r="DT1118" s="885"/>
      <c r="DU1118" s="885"/>
      <c r="DV1118" s="885"/>
      <c r="DW1118" s="885"/>
      <c r="DX1118" s="885"/>
      <c r="DY1118" s="885"/>
      <c r="DZ1118" s="885"/>
      <c r="EA1118" s="885"/>
      <c r="EB1118" s="885"/>
      <c r="EC1118" s="885"/>
      <c r="ED1118" s="885"/>
      <c r="EE1118" s="885"/>
      <c r="EF1118" s="885"/>
      <c r="EG1118" s="885"/>
      <c r="EH1118" s="885"/>
      <c r="EI1118" s="885"/>
      <c r="EJ1118" s="885"/>
      <c r="EK1118" s="885"/>
      <c r="EL1118" s="885"/>
      <c r="EM1118" s="885"/>
      <c r="EN1118" s="885"/>
      <c r="EO1118" s="885"/>
      <c r="EP1118" s="885"/>
      <c r="EQ1118" s="885"/>
      <c r="ER1118" s="885"/>
      <c r="ES1118" s="885"/>
      <c r="ET1118" s="885"/>
      <c r="EU1118" s="885"/>
      <c r="EV1118" s="885"/>
      <c r="EW1118" s="885"/>
      <c r="EX1118" s="885"/>
      <c r="EY1118" s="885"/>
      <c r="EZ1118" s="885"/>
      <c r="FA1118" s="885"/>
      <c r="FB1118" s="885"/>
      <c r="FC1118" s="885"/>
      <c r="FD1118" s="885"/>
      <c r="FE1118" s="885"/>
      <c r="FF1118" s="885"/>
      <c r="FG1118" s="885"/>
      <c r="FH1118" s="885"/>
      <c r="FI1118" s="885"/>
      <c r="FJ1118" s="885"/>
      <c r="FK1118" s="885"/>
      <c r="FL1118" s="885"/>
      <c r="FM1118" s="885"/>
      <c r="FN1118" s="885"/>
      <c r="FO1118" s="885"/>
      <c r="FP1118" s="885"/>
      <c r="FQ1118" s="885"/>
      <c r="FR1118" s="885"/>
      <c r="FS1118" s="885"/>
      <c r="FT1118" s="885"/>
      <c r="FU1118" s="885"/>
      <c r="FV1118" s="885"/>
      <c r="FW1118" s="885"/>
      <c r="FX1118" s="885"/>
      <c r="FY1118" s="885"/>
      <c r="FZ1118" s="885"/>
      <c r="GA1118" s="885"/>
      <c r="GB1118" s="885"/>
      <c r="GC1118" s="885"/>
      <c r="GD1118" s="885"/>
      <c r="GE1118" s="885"/>
      <c r="GF1118" s="885"/>
      <c r="GG1118" s="885"/>
      <c r="GH1118" s="885"/>
      <c r="GI1118" s="885"/>
      <c r="GJ1118" s="885"/>
      <c r="GK1118" s="885"/>
      <c r="GL1118" s="885"/>
      <c r="GM1118" s="885"/>
      <c r="GN1118" s="885"/>
      <c r="GO1118" s="885"/>
      <c r="GP1118" s="885"/>
      <c r="GQ1118" s="885"/>
      <c r="GR1118" s="885"/>
      <c r="GS1118" s="885"/>
      <c r="GT1118" s="885"/>
      <c r="GU1118" s="885"/>
      <c r="GV1118" s="885"/>
      <c r="GW1118" s="885"/>
      <c r="GX1118" s="885"/>
      <c r="GY1118" s="885"/>
      <c r="GZ1118" s="885"/>
      <c r="HA1118" s="885"/>
      <c r="HB1118" s="885"/>
      <c r="HC1118" s="885"/>
      <c r="HD1118" s="885"/>
      <c r="HE1118" s="885"/>
      <c r="HF1118" s="885"/>
      <c r="HG1118" s="885"/>
      <c r="HH1118" s="885"/>
      <c r="HI1118" s="885"/>
      <c r="HJ1118" s="885"/>
      <c r="HK1118" s="885"/>
      <c r="HL1118" s="885"/>
      <c r="HM1118" s="885"/>
      <c r="HN1118" s="885"/>
      <c r="HO1118" s="885"/>
      <c r="HP1118" s="885"/>
      <c r="HQ1118" s="885"/>
      <c r="HR1118" s="885"/>
      <c r="HS1118" s="885"/>
      <c r="HT1118" s="885"/>
      <c r="HU1118" s="885"/>
      <c r="HV1118" s="885"/>
      <c r="HW1118" s="885"/>
      <c r="HX1118" s="885"/>
      <c r="HY1118" s="885"/>
      <c r="HZ1118" s="885"/>
      <c r="IA1118" s="885"/>
      <c r="IB1118" s="885"/>
      <c r="IC1118" s="885"/>
      <c r="ID1118" s="885"/>
      <c r="IE1118" s="885"/>
      <c r="IF1118" s="885"/>
      <c r="IG1118" s="885"/>
      <c r="IH1118" s="885"/>
      <c r="II1118" s="885"/>
      <c r="IJ1118" s="885"/>
      <c r="IK1118" s="885"/>
      <c r="IL1118" s="885"/>
      <c r="IM1118" s="885"/>
      <c r="IN1118" s="885"/>
      <c r="IO1118" s="885"/>
      <c r="IP1118" s="885"/>
      <c r="IQ1118" s="885"/>
      <c r="IR1118" s="885"/>
      <c r="IS1118" s="885"/>
      <c r="IT1118" s="885"/>
      <c r="IU1118" s="885"/>
      <c r="IV1118" s="885"/>
      <c r="IW1118" s="885"/>
      <c r="IX1118" s="885"/>
    </row>
    <row r="1119" spans="1:258" x14ac:dyDescent="0.25">
      <c r="A1119" s="125">
        <f t="shared" si="128"/>
        <v>1079</v>
      </c>
      <c r="B1119" s="885"/>
      <c r="C1119" s="927" t="s">
        <v>10682</v>
      </c>
      <c r="D1119" s="928"/>
      <c r="E1119" s="928"/>
      <c r="F1119" s="842"/>
      <c r="G1119" s="842"/>
      <c r="H1119" s="842"/>
      <c r="I1119" s="793"/>
      <c r="J1119" s="885"/>
      <c r="K1119" s="885"/>
      <c r="L1119" s="885"/>
      <c r="M1119" s="885"/>
      <c r="N1119" s="885"/>
      <c r="O1119" s="885"/>
      <c r="P1119" s="885"/>
      <c r="Q1119" s="885"/>
      <c r="R1119" s="885"/>
      <c r="S1119" s="885"/>
      <c r="T1119" s="885"/>
      <c r="U1119" s="885"/>
      <c r="V1119" s="885"/>
      <c r="W1119" s="885"/>
      <c r="X1119" s="885"/>
      <c r="Y1119" s="885"/>
      <c r="Z1119" s="885"/>
      <c r="AA1119" s="885"/>
      <c r="AB1119" s="885"/>
      <c r="AC1119" s="885"/>
      <c r="AD1119" s="885"/>
      <c r="AE1119" s="885"/>
      <c r="AF1119" s="885"/>
      <c r="AG1119" s="885"/>
      <c r="AH1119" s="885"/>
      <c r="AI1119" s="885"/>
      <c r="AJ1119" s="885"/>
      <c r="AK1119" s="885"/>
      <c r="AL1119" s="885"/>
      <c r="AM1119" s="885"/>
      <c r="AN1119" s="885"/>
      <c r="AO1119" s="885"/>
      <c r="AP1119" s="885"/>
      <c r="AQ1119" s="885"/>
      <c r="AR1119" s="885"/>
      <c r="AS1119" s="885"/>
      <c r="AT1119" s="885"/>
      <c r="AU1119" s="885"/>
      <c r="AV1119" s="885"/>
      <c r="AW1119" s="885"/>
      <c r="AX1119" s="885"/>
      <c r="AY1119" s="885"/>
      <c r="AZ1119" s="885"/>
      <c r="BA1119" s="885"/>
      <c r="BB1119" s="885"/>
      <c r="BC1119" s="885"/>
      <c r="BD1119" s="885"/>
      <c r="BE1119" s="885"/>
      <c r="BF1119" s="885"/>
      <c r="BG1119" s="885"/>
      <c r="BH1119" s="885"/>
      <c r="BI1119" s="885"/>
      <c r="BJ1119" s="885"/>
      <c r="BK1119" s="885"/>
      <c r="BL1119" s="885"/>
      <c r="BM1119" s="885"/>
      <c r="BN1119" s="885"/>
      <c r="BO1119" s="885"/>
      <c r="BP1119" s="885"/>
      <c r="BQ1119" s="885"/>
      <c r="BR1119" s="885"/>
      <c r="BS1119" s="885"/>
      <c r="BT1119" s="885"/>
      <c r="BU1119" s="885"/>
      <c r="BV1119" s="885"/>
      <c r="BW1119" s="885"/>
      <c r="BX1119" s="885"/>
      <c r="BY1119" s="885"/>
      <c r="BZ1119" s="885"/>
      <c r="CA1119" s="885"/>
      <c r="CB1119" s="885"/>
      <c r="CC1119" s="885"/>
      <c r="CD1119" s="885"/>
      <c r="CE1119" s="885"/>
      <c r="CF1119" s="885"/>
      <c r="CG1119" s="885"/>
      <c r="CH1119" s="885"/>
      <c r="CI1119" s="885"/>
      <c r="CJ1119" s="885"/>
      <c r="CK1119" s="885"/>
      <c r="CL1119" s="885"/>
      <c r="CM1119" s="885"/>
      <c r="CN1119" s="885"/>
      <c r="CO1119" s="885"/>
      <c r="CP1119" s="885"/>
      <c r="CQ1119" s="885"/>
      <c r="CR1119" s="885"/>
      <c r="CS1119" s="885"/>
      <c r="CT1119" s="885"/>
      <c r="CU1119" s="885"/>
      <c r="CV1119" s="885"/>
      <c r="CW1119" s="885"/>
      <c r="CX1119" s="885"/>
      <c r="CY1119" s="885"/>
      <c r="CZ1119" s="885"/>
      <c r="DA1119" s="885"/>
      <c r="DB1119" s="885"/>
      <c r="DC1119" s="885"/>
      <c r="DD1119" s="885"/>
      <c r="DE1119" s="885"/>
      <c r="DF1119" s="885"/>
      <c r="DG1119" s="885"/>
      <c r="DH1119" s="885"/>
      <c r="DI1119" s="885"/>
      <c r="DJ1119" s="885"/>
      <c r="DK1119" s="885"/>
      <c r="DL1119" s="885"/>
      <c r="DM1119" s="885"/>
      <c r="DN1119" s="885"/>
      <c r="DO1119" s="885"/>
      <c r="DP1119" s="885"/>
      <c r="DQ1119" s="885"/>
      <c r="DR1119" s="885"/>
      <c r="DS1119" s="885"/>
      <c r="DT1119" s="885"/>
      <c r="DU1119" s="885"/>
      <c r="DV1119" s="885"/>
      <c r="DW1119" s="885"/>
      <c r="DX1119" s="885"/>
      <c r="DY1119" s="885"/>
      <c r="DZ1119" s="885"/>
      <c r="EA1119" s="885"/>
      <c r="EB1119" s="885"/>
      <c r="EC1119" s="885"/>
      <c r="ED1119" s="885"/>
      <c r="EE1119" s="885"/>
      <c r="EF1119" s="885"/>
      <c r="EG1119" s="885"/>
      <c r="EH1119" s="885"/>
      <c r="EI1119" s="885"/>
      <c r="EJ1119" s="885"/>
      <c r="EK1119" s="885"/>
      <c r="EL1119" s="885"/>
      <c r="EM1119" s="885"/>
      <c r="EN1119" s="885"/>
      <c r="EO1119" s="885"/>
      <c r="EP1119" s="885"/>
      <c r="EQ1119" s="885"/>
      <c r="ER1119" s="885"/>
      <c r="ES1119" s="885"/>
      <c r="ET1119" s="885"/>
      <c r="EU1119" s="885"/>
      <c r="EV1119" s="885"/>
      <c r="EW1119" s="885"/>
      <c r="EX1119" s="885"/>
      <c r="EY1119" s="885"/>
      <c r="EZ1119" s="885"/>
      <c r="FA1119" s="885"/>
      <c r="FB1119" s="885"/>
      <c r="FC1119" s="885"/>
      <c r="FD1119" s="885"/>
      <c r="FE1119" s="885"/>
      <c r="FF1119" s="885"/>
      <c r="FG1119" s="885"/>
      <c r="FH1119" s="885"/>
      <c r="FI1119" s="885"/>
      <c r="FJ1119" s="885"/>
      <c r="FK1119" s="885"/>
      <c r="FL1119" s="885"/>
      <c r="FM1119" s="885"/>
      <c r="FN1119" s="885"/>
      <c r="FO1119" s="885"/>
      <c r="FP1119" s="885"/>
      <c r="FQ1119" s="885"/>
      <c r="FR1119" s="885"/>
      <c r="FS1119" s="885"/>
      <c r="FT1119" s="885"/>
      <c r="FU1119" s="885"/>
      <c r="FV1119" s="885"/>
      <c r="FW1119" s="885"/>
      <c r="FX1119" s="885"/>
      <c r="FY1119" s="885"/>
      <c r="FZ1119" s="885"/>
      <c r="GA1119" s="885"/>
      <c r="GB1119" s="885"/>
      <c r="GC1119" s="885"/>
      <c r="GD1119" s="885"/>
      <c r="GE1119" s="885"/>
      <c r="GF1119" s="885"/>
      <c r="GG1119" s="885"/>
      <c r="GH1119" s="885"/>
      <c r="GI1119" s="885"/>
      <c r="GJ1119" s="885"/>
      <c r="GK1119" s="885"/>
      <c r="GL1119" s="885"/>
      <c r="GM1119" s="885"/>
      <c r="GN1119" s="885"/>
      <c r="GO1119" s="885"/>
      <c r="GP1119" s="885"/>
      <c r="GQ1119" s="885"/>
      <c r="GR1119" s="885"/>
      <c r="GS1119" s="885"/>
      <c r="GT1119" s="885"/>
      <c r="GU1119" s="885"/>
      <c r="GV1119" s="885"/>
      <c r="GW1119" s="885"/>
      <c r="GX1119" s="885"/>
      <c r="GY1119" s="885"/>
      <c r="GZ1119" s="885"/>
      <c r="HA1119" s="885"/>
      <c r="HB1119" s="885"/>
      <c r="HC1119" s="885"/>
      <c r="HD1119" s="885"/>
      <c r="HE1119" s="885"/>
      <c r="HF1119" s="885"/>
      <c r="HG1119" s="885"/>
      <c r="HH1119" s="885"/>
      <c r="HI1119" s="885"/>
      <c r="HJ1119" s="885"/>
      <c r="HK1119" s="885"/>
      <c r="HL1119" s="885"/>
      <c r="HM1119" s="885"/>
      <c r="HN1119" s="885"/>
      <c r="HO1119" s="885"/>
      <c r="HP1119" s="885"/>
      <c r="HQ1119" s="885"/>
      <c r="HR1119" s="885"/>
      <c r="HS1119" s="885"/>
      <c r="HT1119" s="885"/>
      <c r="HU1119" s="885"/>
      <c r="HV1119" s="885"/>
      <c r="HW1119" s="885"/>
      <c r="HX1119" s="885"/>
      <c r="HY1119" s="885"/>
      <c r="HZ1119" s="885"/>
      <c r="IA1119" s="885"/>
      <c r="IB1119" s="885"/>
      <c r="IC1119" s="885"/>
      <c r="ID1119" s="885"/>
      <c r="IE1119" s="885"/>
      <c r="IF1119" s="885"/>
      <c r="IG1119" s="885"/>
      <c r="IH1119" s="885"/>
      <c r="II1119" s="885"/>
      <c r="IJ1119" s="885"/>
      <c r="IK1119" s="885"/>
      <c r="IL1119" s="885"/>
      <c r="IM1119" s="885"/>
      <c r="IN1119" s="885"/>
      <c r="IO1119" s="885"/>
      <c r="IP1119" s="885"/>
      <c r="IQ1119" s="885"/>
      <c r="IR1119" s="885"/>
      <c r="IS1119" s="885"/>
      <c r="IT1119" s="885"/>
      <c r="IU1119" s="885"/>
      <c r="IV1119" s="885"/>
      <c r="IW1119" s="885"/>
      <c r="IX1119" s="885"/>
    </row>
    <row r="1120" spans="1:258" x14ac:dyDescent="0.25">
      <c r="A1120" s="125">
        <f t="shared" si="128"/>
        <v>1080</v>
      </c>
      <c r="B1120" s="885"/>
      <c r="C1120" s="842" t="s">
        <v>10683</v>
      </c>
      <c r="D1120" s="924">
        <v>131.75</v>
      </c>
      <c r="E1120" s="924">
        <f>D1120/5.2*10</f>
        <v>253.36538461538458</v>
      </c>
      <c r="F1120" s="136">
        <f>E1120/5.2*10</f>
        <v>487.24112426035498</v>
      </c>
      <c r="G1120" s="122" t="s">
        <v>1963</v>
      </c>
      <c r="H1120" s="842"/>
      <c r="I1120" s="793"/>
      <c r="J1120" s="885"/>
      <c r="K1120" s="885"/>
      <c r="L1120" s="885"/>
      <c r="M1120" s="885"/>
      <c r="N1120" s="885"/>
      <c r="O1120" s="885"/>
      <c r="P1120" s="885"/>
      <c r="Q1120" s="885"/>
      <c r="R1120" s="885"/>
      <c r="S1120" s="885"/>
      <c r="T1120" s="885"/>
      <c r="U1120" s="885"/>
      <c r="V1120" s="885"/>
      <c r="W1120" s="885"/>
      <c r="X1120" s="885"/>
      <c r="Y1120" s="885"/>
      <c r="Z1120" s="885"/>
      <c r="AA1120" s="885"/>
      <c r="AB1120" s="885"/>
      <c r="AC1120" s="885"/>
      <c r="AD1120" s="885"/>
      <c r="AE1120" s="885"/>
      <c r="AF1120" s="885"/>
      <c r="AG1120" s="885"/>
      <c r="AH1120" s="885"/>
      <c r="AI1120" s="885"/>
      <c r="AJ1120" s="885"/>
      <c r="AK1120" s="885"/>
      <c r="AL1120" s="885"/>
      <c r="AM1120" s="885"/>
      <c r="AN1120" s="885"/>
      <c r="AO1120" s="885"/>
      <c r="AP1120" s="885"/>
      <c r="AQ1120" s="885"/>
      <c r="AR1120" s="885"/>
      <c r="AS1120" s="885"/>
      <c r="AT1120" s="885"/>
      <c r="AU1120" s="885"/>
      <c r="AV1120" s="885"/>
      <c r="AW1120" s="885"/>
      <c r="AX1120" s="885"/>
      <c r="AY1120" s="885"/>
      <c r="AZ1120" s="885"/>
      <c r="BA1120" s="885"/>
      <c r="BB1120" s="885"/>
      <c r="BC1120" s="885"/>
      <c r="BD1120" s="885"/>
      <c r="BE1120" s="885"/>
      <c r="BF1120" s="885"/>
      <c r="BG1120" s="885"/>
      <c r="BH1120" s="885"/>
      <c r="BI1120" s="885"/>
      <c r="BJ1120" s="885"/>
      <c r="BK1120" s="885"/>
      <c r="BL1120" s="885"/>
      <c r="BM1120" s="885"/>
      <c r="BN1120" s="885"/>
      <c r="BO1120" s="885"/>
      <c r="BP1120" s="885"/>
      <c r="BQ1120" s="885"/>
      <c r="BR1120" s="885"/>
      <c r="BS1120" s="885"/>
      <c r="BT1120" s="885"/>
      <c r="BU1120" s="885"/>
      <c r="BV1120" s="885"/>
      <c r="BW1120" s="885"/>
      <c r="BX1120" s="885"/>
      <c r="BY1120" s="885"/>
      <c r="BZ1120" s="885"/>
      <c r="CA1120" s="885"/>
      <c r="CB1120" s="885"/>
      <c r="CC1120" s="885"/>
      <c r="CD1120" s="885"/>
      <c r="CE1120" s="885"/>
      <c r="CF1120" s="885"/>
      <c r="CG1120" s="885"/>
      <c r="CH1120" s="885"/>
      <c r="CI1120" s="885"/>
      <c r="CJ1120" s="885"/>
      <c r="CK1120" s="885"/>
      <c r="CL1120" s="885"/>
      <c r="CM1120" s="885"/>
      <c r="CN1120" s="885"/>
      <c r="CO1120" s="885"/>
      <c r="CP1120" s="885"/>
      <c r="CQ1120" s="885"/>
      <c r="CR1120" s="885"/>
      <c r="CS1120" s="885"/>
      <c r="CT1120" s="885"/>
      <c r="CU1120" s="885"/>
      <c r="CV1120" s="885"/>
      <c r="CW1120" s="885"/>
      <c r="CX1120" s="885"/>
      <c r="CY1120" s="885"/>
      <c r="CZ1120" s="885"/>
      <c r="DA1120" s="885"/>
      <c r="DB1120" s="885"/>
      <c r="DC1120" s="885"/>
      <c r="DD1120" s="885"/>
      <c r="DE1120" s="885"/>
      <c r="DF1120" s="885"/>
      <c r="DG1120" s="885"/>
      <c r="DH1120" s="885"/>
      <c r="DI1120" s="885"/>
      <c r="DJ1120" s="885"/>
      <c r="DK1120" s="885"/>
      <c r="DL1120" s="885"/>
      <c r="DM1120" s="885"/>
      <c r="DN1120" s="885"/>
      <c r="DO1120" s="885"/>
      <c r="DP1120" s="885"/>
      <c r="DQ1120" s="885"/>
      <c r="DR1120" s="885"/>
      <c r="DS1120" s="885"/>
      <c r="DT1120" s="885"/>
      <c r="DU1120" s="885"/>
      <c r="DV1120" s="885"/>
      <c r="DW1120" s="885"/>
      <c r="DX1120" s="885"/>
      <c r="DY1120" s="885"/>
      <c r="DZ1120" s="885"/>
      <c r="EA1120" s="885"/>
      <c r="EB1120" s="885"/>
      <c r="EC1120" s="885"/>
      <c r="ED1120" s="885"/>
      <c r="EE1120" s="885"/>
      <c r="EF1120" s="885"/>
      <c r="EG1120" s="885"/>
      <c r="EH1120" s="885"/>
      <c r="EI1120" s="885"/>
      <c r="EJ1120" s="885"/>
      <c r="EK1120" s="885"/>
      <c r="EL1120" s="885"/>
      <c r="EM1120" s="885"/>
      <c r="EN1120" s="885"/>
      <c r="EO1120" s="885"/>
      <c r="EP1120" s="885"/>
      <c r="EQ1120" s="885"/>
      <c r="ER1120" s="885"/>
      <c r="ES1120" s="885"/>
      <c r="ET1120" s="885"/>
      <c r="EU1120" s="885"/>
      <c r="EV1120" s="885"/>
      <c r="EW1120" s="885"/>
      <c r="EX1120" s="885"/>
      <c r="EY1120" s="885"/>
      <c r="EZ1120" s="885"/>
      <c r="FA1120" s="885"/>
      <c r="FB1120" s="885"/>
      <c r="FC1120" s="885"/>
      <c r="FD1120" s="885"/>
      <c r="FE1120" s="885"/>
      <c r="FF1120" s="885"/>
      <c r="FG1120" s="885"/>
      <c r="FH1120" s="885"/>
      <c r="FI1120" s="885"/>
      <c r="FJ1120" s="885"/>
      <c r="FK1120" s="885"/>
      <c r="FL1120" s="885"/>
      <c r="FM1120" s="885"/>
      <c r="FN1120" s="885"/>
      <c r="FO1120" s="885"/>
      <c r="FP1120" s="885"/>
      <c r="FQ1120" s="885"/>
      <c r="FR1120" s="885"/>
      <c r="FS1120" s="885"/>
      <c r="FT1120" s="885"/>
      <c r="FU1120" s="885"/>
      <c r="FV1120" s="885"/>
      <c r="FW1120" s="885"/>
      <c r="FX1120" s="885"/>
      <c r="FY1120" s="885"/>
      <c r="FZ1120" s="885"/>
      <c r="GA1120" s="885"/>
      <c r="GB1120" s="885"/>
      <c r="GC1120" s="885"/>
      <c r="GD1120" s="885"/>
      <c r="GE1120" s="885"/>
      <c r="GF1120" s="885"/>
      <c r="GG1120" s="885"/>
      <c r="GH1120" s="885"/>
      <c r="GI1120" s="885"/>
      <c r="GJ1120" s="885"/>
      <c r="GK1120" s="885"/>
      <c r="GL1120" s="885"/>
      <c r="GM1120" s="885"/>
      <c r="GN1120" s="885"/>
      <c r="GO1120" s="885"/>
      <c r="GP1120" s="885"/>
      <c r="GQ1120" s="885"/>
      <c r="GR1120" s="885"/>
      <c r="GS1120" s="885"/>
      <c r="GT1120" s="885"/>
      <c r="GU1120" s="885"/>
      <c r="GV1120" s="885"/>
      <c r="GW1120" s="885"/>
      <c r="GX1120" s="885"/>
      <c r="GY1120" s="885"/>
      <c r="GZ1120" s="885"/>
      <c r="HA1120" s="885"/>
      <c r="HB1120" s="885"/>
      <c r="HC1120" s="885"/>
      <c r="HD1120" s="885"/>
      <c r="HE1120" s="885"/>
      <c r="HF1120" s="885"/>
      <c r="HG1120" s="885"/>
      <c r="HH1120" s="885"/>
      <c r="HI1120" s="885"/>
      <c r="HJ1120" s="885"/>
      <c r="HK1120" s="885"/>
      <c r="HL1120" s="885"/>
      <c r="HM1120" s="885"/>
      <c r="HN1120" s="885"/>
      <c r="HO1120" s="885"/>
      <c r="HP1120" s="885"/>
      <c r="HQ1120" s="885"/>
      <c r="HR1120" s="885"/>
      <c r="HS1120" s="885"/>
      <c r="HT1120" s="885"/>
      <c r="HU1120" s="885"/>
      <c r="HV1120" s="885"/>
      <c r="HW1120" s="885"/>
      <c r="HX1120" s="885"/>
      <c r="HY1120" s="885"/>
      <c r="HZ1120" s="885"/>
      <c r="IA1120" s="885"/>
      <c r="IB1120" s="885"/>
      <c r="IC1120" s="885"/>
      <c r="ID1120" s="885"/>
      <c r="IE1120" s="885"/>
      <c r="IF1120" s="885"/>
      <c r="IG1120" s="885"/>
      <c r="IH1120" s="885"/>
      <c r="II1120" s="885"/>
      <c r="IJ1120" s="885"/>
      <c r="IK1120" s="885"/>
      <c r="IL1120" s="885"/>
      <c r="IM1120" s="885"/>
      <c r="IN1120" s="885"/>
      <c r="IO1120" s="885"/>
      <c r="IP1120" s="885"/>
      <c r="IQ1120" s="885"/>
      <c r="IR1120" s="885"/>
      <c r="IS1120" s="885"/>
      <c r="IT1120" s="885"/>
      <c r="IU1120" s="885"/>
      <c r="IV1120" s="885"/>
      <c r="IW1120" s="885"/>
      <c r="IX1120" s="885"/>
    </row>
    <row r="1121" spans="1:258" x14ac:dyDescent="0.25">
      <c r="A1121" s="125">
        <f t="shared" si="128"/>
        <v>1081</v>
      </c>
      <c r="B1121" s="885"/>
      <c r="C1121" s="842"/>
      <c r="D1121" s="924"/>
      <c r="E1121" s="924"/>
      <c r="F1121" s="842"/>
      <c r="G1121" s="842"/>
      <c r="H1121" s="842"/>
      <c r="I1121" s="793"/>
      <c r="J1121" s="885"/>
      <c r="K1121" s="885"/>
      <c r="L1121" s="885"/>
      <c r="M1121" s="885"/>
      <c r="N1121" s="885"/>
      <c r="O1121" s="885"/>
      <c r="P1121" s="885"/>
      <c r="Q1121" s="885"/>
      <c r="R1121" s="885"/>
      <c r="S1121" s="885"/>
      <c r="T1121" s="885"/>
      <c r="U1121" s="885"/>
      <c r="V1121" s="885"/>
      <c r="W1121" s="885"/>
      <c r="X1121" s="885"/>
      <c r="Y1121" s="885"/>
      <c r="Z1121" s="885"/>
      <c r="AA1121" s="885"/>
      <c r="AB1121" s="885"/>
      <c r="AC1121" s="885"/>
      <c r="AD1121" s="885"/>
      <c r="AE1121" s="885"/>
      <c r="AF1121" s="885"/>
      <c r="AG1121" s="885"/>
      <c r="AH1121" s="885"/>
      <c r="AI1121" s="885"/>
      <c r="AJ1121" s="885"/>
      <c r="AK1121" s="885"/>
      <c r="AL1121" s="885"/>
      <c r="AM1121" s="885"/>
      <c r="AN1121" s="885"/>
      <c r="AO1121" s="885"/>
      <c r="AP1121" s="885"/>
      <c r="AQ1121" s="885"/>
      <c r="AR1121" s="885"/>
      <c r="AS1121" s="885"/>
      <c r="AT1121" s="885"/>
      <c r="AU1121" s="885"/>
      <c r="AV1121" s="885"/>
      <c r="AW1121" s="885"/>
      <c r="AX1121" s="885"/>
      <c r="AY1121" s="885"/>
      <c r="AZ1121" s="885"/>
      <c r="BA1121" s="885"/>
      <c r="BB1121" s="885"/>
      <c r="BC1121" s="885"/>
      <c r="BD1121" s="885"/>
      <c r="BE1121" s="885"/>
      <c r="BF1121" s="885"/>
      <c r="BG1121" s="885"/>
      <c r="BH1121" s="885"/>
      <c r="BI1121" s="885"/>
      <c r="BJ1121" s="885"/>
      <c r="BK1121" s="885"/>
      <c r="BL1121" s="885"/>
      <c r="BM1121" s="885"/>
      <c r="BN1121" s="885"/>
      <c r="BO1121" s="885"/>
      <c r="BP1121" s="885"/>
      <c r="BQ1121" s="885"/>
      <c r="BR1121" s="885"/>
      <c r="BS1121" s="885"/>
      <c r="BT1121" s="885"/>
      <c r="BU1121" s="885"/>
      <c r="BV1121" s="885"/>
      <c r="BW1121" s="885"/>
      <c r="BX1121" s="885"/>
      <c r="BY1121" s="885"/>
      <c r="BZ1121" s="885"/>
      <c r="CA1121" s="885"/>
      <c r="CB1121" s="885"/>
      <c r="CC1121" s="885"/>
      <c r="CD1121" s="885"/>
      <c r="CE1121" s="885"/>
      <c r="CF1121" s="885"/>
      <c r="CG1121" s="885"/>
      <c r="CH1121" s="885"/>
      <c r="CI1121" s="885"/>
      <c r="CJ1121" s="885"/>
      <c r="CK1121" s="885"/>
      <c r="CL1121" s="885"/>
      <c r="CM1121" s="885"/>
      <c r="CN1121" s="885"/>
      <c r="CO1121" s="885"/>
      <c r="CP1121" s="885"/>
      <c r="CQ1121" s="885"/>
      <c r="CR1121" s="885"/>
      <c r="CS1121" s="885"/>
      <c r="CT1121" s="885"/>
      <c r="CU1121" s="885"/>
      <c r="CV1121" s="885"/>
      <c r="CW1121" s="885"/>
      <c r="CX1121" s="885"/>
      <c r="CY1121" s="885"/>
      <c r="CZ1121" s="885"/>
      <c r="DA1121" s="885"/>
      <c r="DB1121" s="885"/>
      <c r="DC1121" s="885"/>
      <c r="DD1121" s="885"/>
      <c r="DE1121" s="885"/>
      <c r="DF1121" s="885"/>
      <c r="DG1121" s="885"/>
      <c r="DH1121" s="885"/>
      <c r="DI1121" s="885"/>
      <c r="DJ1121" s="885"/>
      <c r="DK1121" s="885"/>
      <c r="DL1121" s="885"/>
      <c r="DM1121" s="885"/>
      <c r="DN1121" s="885"/>
      <c r="DO1121" s="885"/>
      <c r="DP1121" s="885"/>
      <c r="DQ1121" s="885"/>
      <c r="DR1121" s="885"/>
      <c r="DS1121" s="885"/>
      <c r="DT1121" s="885"/>
      <c r="DU1121" s="885"/>
      <c r="DV1121" s="885"/>
      <c r="DW1121" s="885"/>
      <c r="DX1121" s="885"/>
      <c r="DY1121" s="885"/>
      <c r="DZ1121" s="885"/>
      <c r="EA1121" s="885"/>
      <c r="EB1121" s="885"/>
      <c r="EC1121" s="885"/>
      <c r="ED1121" s="885"/>
      <c r="EE1121" s="885"/>
      <c r="EF1121" s="885"/>
      <c r="EG1121" s="885"/>
      <c r="EH1121" s="885"/>
      <c r="EI1121" s="885"/>
      <c r="EJ1121" s="885"/>
      <c r="EK1121" s="885"/>
      <c r="EL1121" s="885"/>
      <c r="EM1121" s="885"/>
      <c r="EN1121" s="885"/>
      <c r="EO1121" s="885"/>
      <c r="EP1121" s="885"/>
      <c r="EQ1121" s="885"/>
      <c r="ER1121" s="885"/>
      <c r="ES1121" s="885"/>
      <c r="ET1121" s="885"/>
      <c r="EU1121" s="885"/>
      <c r="EV1121" s="885"/>
      <c r="EW1121" s="885"/>
      <c r="EX1121" s="885"/>
      <c r="EY1121" s="885"/>
      <c r="EZ1121" s="885"/>
      <c r="FA1121" s="885"/>
      <c r="FB1121" s="885"/>
      <c r="FC1121" s="885"/>
      <c r="FD1121" s="885"/>
      <c r="FE1121" s="885"/>
      <c r="FF1121" s="885"/>
      <c r="FG1121" s="885"/>
      <c r="FH1121" s="885"/>
      <c r="FI1121" s="885"/>
      <c r="FJ1121" s="885"/>
      <c r="FK1121" s="885"/>
      <c r="FL1121" s="885"/>
      <c r="FM1121" s="885"/>
      <c r="FN1121" s="885"/>
      <c r="FO1121" s="885"/>
      <c r="FP1121" s="885"/>
      <c r="FQ1121" s="885"/>
      <c r="FR1121" s="885"/>
      <c r="FS1121" s="885"/>
      <c r="FT1121" s="885"/>
      <c r="FU1121" s="885"/>
      <c r="FV1121" s="885"/>
      <c r="FW1121" s="885"/>
      <c r="FX1121" s="885"/>
      <c r="FY1121" s="885"/>
      <c r="FZ1121" s="885"/>
      <c r="GA1121" s="885"/>
      <c r="GB1121" s="885"/>
      <c r="GC1121" s="885"/>
      <c r="GD1121" s="885"/>
      <c r="GE1121" s="885"/>
      <c r="GF1121" s="885"/>
      <c r="GG1121" s="885"/>
      <c r="GH1121" s="885"/>
      <c r="GI1121" s="885"/>
      <c r="GJ1121" s="885"/>
      <c r="GK1121" s="885"/>
      <c r="GL1121" s="885"/>
      <c r="GM1121" s="885"/>
      <c r="GN1121" s="885"/>
      <c r="GO1121" s="885"/>
      <c r="GP1121" s="885"/>
      <c r="GQ1121" s="885"/>
      <c r="GR1121" s="885"/>
      <c r="GS1121" s="885"/>
      <c r="GT1121" s="885"/>
      <c r="GU1121" s="885"/>
      <c r="GV1121" s="885"/>
      <c r="GW1121" s="885"/>
      <c r="GX1121" s="885"/>
      <c r="GY1121" s="885"/>
      <c r="GZ1121" s="885"/>
      <c r="HA1121" s="885"/>
      <c r="HB1121" s="885"/>
      <c r="HC1121" s="885"/>
      <c r="HD1121" s="885"/>
      <c r="HE1121" s="885"/>
      <c r="HF1121" s="885"/>
      <c r="HG1121" s="885"/>
      <c r="HH1121" s="885"/>
      <c r="HI1121" s="885"/>
      <c r="HJ1121" s="885"/>
      <c r="HK1121" s="885"/>
      <c r="HL1121" s="885"/>
      <c r="HM1121" s="885"/>
      <c r="HN1121" s="885"/>
      <c r="HO1121" s="885"/>
      <c r="HP1121" s="885"/>
      <c r="HQ1121" s="885"/>
      <c r="HR1121" s="885"/>
      <c r="HS1121" s="885"/>
      <c r="HT1121" s="885"/>
      <c r="HU1121" s="885"/>
      <c r="HV1121" s="885"/>
      <c r="HW1121" s="885"/>
      <c r="HX1121" s="885"/>
      <c r="HY1121" s="885"/>
      <c r="HZ1121" s="885"/>
      <c r="IA1121" s="885"/>
      <c r="IB1121" s="885"/>
      <c r="IC1121" s="885"/>
      <c r="ID1121" s="885"/>
      <c r="IE1121" s="885"/>
      <c r="IF1121" s="885"/>
      <c r="IG1121" s="885"/>
      <c r="IH1121" s="885"/>
      <c r="II1121" s="885"/>
      <c r="IJ1121" s="885"/>
      <c r="IK1121" s="885"/>
      <c r="IL1121" s="885"/>
      <c r="IM1121" s="885"/>
      <c r="IN1121" s="885"/>
      <c r="IO1121" s="885"/>
      <c r="IP1121" s="885"/>
      <c r="IQ1121" s="885"/>
      <c r="IR1121" s="885"/>
      <c r="IS1121" s="885"/>
      <c r="IT1121" s="885"/>
      <c r="IU1121" s="885"/>
      <c r="IV1121" s="885"/>
      <c r="IW1121" s="885"/>
      <c r="IX1121" s="885"/>
    </row>
    <row r="1122" spans="1:258" x14ac:dyDescent="0.25">
      <c r="A1122" s="125">
        <f t="shared" si="128"/>
        <v>1082</v>
      </c>
      <c r="B1122" s="885"/>
      <c r="C1122" s="793" t="s">
        <v>7911</v>
      </c>
      <c r="D1122" s="918"/>
      <c r="E1122" s="918"/>
      <c r="F1122" s="793"/>
      <c r="G1122" s="793"/>
      <c r="H1122" s="793"/>
      <c r="I1122" s="793"/>
      <c r="J1122" s="885"/>
      <c r="K1122" s="885"/>
      <c r="L1122" s="885"/>
      <c r="M1122" s="885"/>
      <c r="N1122" s="885"/>
      <c r="O1122" s="885"/>
      <c r="P1122" s="885"/>
      <c r="Q1122" s="885"/>
      <c r="R1122" s="885"/>
      <c r="S1122" s="885"/>
      <c r="T1122" s="885"/>
      <c r="U1122" s="885"/>
      <c r="V1122" s="885"/>
      <c r="W1122" s="885"/>
      <c r="X1122" s="885"/>
      <c r="Y1122" s="885"/>
      <c r="Z1122" s="885"/>
      <c r="AA1122" s="885"/>
      <c r="AB1122" s="885"/>
      <c r="AC1122" s="885"/>
      <c r="AD1122" s="885"/>
      <c r="AE1122" s="885"/>
      <c r="AF1122" s="885"/>
      <c r="AG1122" s="885"/>
      <c r="AH1122" s="885"/>
      <c r="AI1122" s="885"/>
      <c r="AJ1122" s="885"/>
      <c r="AK1122" s="885"/>
      <c r="AL1122" s="885"/>
      <c r="AM1122" s="885"/>
      <c r="AN1122" s="885"/>
      <c r="AO1122" s="885"/>
      <c r="AP1122" s="885"/>
      <c r="AQ1122" s="885"/>
      <c r="AR1122" s="885"/>
      <c r="AS1122" s="885"/>
      <c r="AT1122" s="885"/>
      <c r="AU1122" s="885"/>
      <c r="AV1122" s="885"/>
      <c r="AW1122" s="885"/>
      <c r="AX1122" s="885"/>
      <c r="AY1122" s="885"/>
      <c r="AZ1122" s="885"/>
      <c r="BA1122" s="885"/>
      <c r="BB1122" s="885"/>
      <c r="BC1122" s="885"/>
      <c r="BD1122" s="885"/>
      <c r="BE1122" s="885"/>
      <c r="BF1122" s="885"/>
      <c r="BG1122" s="885"/>
      <c r="BH1122" s="885"/>
      <c r="BI1122" s="885"/>
      <c r="BJ1122" s="885"/>
      <c r="BK1122" s="885"/>
      <c r="BL1122" s="885"/>
      <c r="BM1122" s="885"/>
      <c r="BN1122" s="885"/>
      <c r="BO1122" s="885"/>
      <c r="BP1122" s="885"/>
      <c r="BQ1122" s="885"/>
      <c r="BR1122" s="885"/>
      <c r="BS1122" s="885"/>
      <c r="BT1122" s="885"/>
      <c r="BU1122" s="885"/>
      <c r="BV1122" s="885"/>
      <c r="BW1122" s="885"/>
      <c r="BX1122" s="885"/>
      <c r="BY1122" s="885"/>
      <c r="BZ1122" s="885"/>
      <c r="CA1122" s="885"/>
      <c r="CB1122" s="885"/>
      <c r="CC1122" s="885"/>
      <c r="CD1122" s="885"/>
      <c r="CE1122" s="885"/>
      <c r="CF1122" s="885"/>
      <c r="CG1122" s="885"/>
      <c r="CH1122" s="885"/>
      <c r="CI1122" s="885"/>
      <c r="CJ1122" s="885"/>
      <c r="CK1122" s="885"/>
      <c r="CL1122" s="885"/>
      <c r="CM1122" s="885"/>
      <c r="CN1122" s="885"/>
      <c r="CO1122" s="885"/>
      <c r="CP1122" s="885"/>
      <c r="CQ1122" s="885"/>
      <c r="CR1122" s="885"/>
      <c r="CS1122" s="885"/>
      <c r="CT1122" s="885"/>
      <c r="CU1122" s="885"/>
      <c r="CV1122" s="885"/>
      <c r="CW1122" s="885"/>
      <c r="CX1122" s="885"/>
      <c r="CY1122" s="885"/>
      <c r="CZ1122" s="885"/>
      <c r="DA1122" s="885"/>
      <c r="DB1122" s="885"/>
      <c r="DC1122" s="885"/>
      <c r="DD1122" s="885"/>
      <c r="DE1122" s="885"/>
      <c r="DF1122" s="885"/>
      <c r="DG1122" s="885"/>
      <c r="DH1122" s="885"/>
      <c r="DI1122" s="885"/>
      <c r="DJ1122" s="885"/>
      <c r="DK1122" s="885"/>
      <c r="DL1122" s="885"/>
      <c r="DM1122" s="885"/>
      <c r="DN1122" s="885"/>
      <c r="DO1122" s="885"/>
      <c r="DP1122" s="885"/>
      <c r="DQ1122" s="885"/>
      <c r="DR1122" s="885"/>
      <c r="DS1122" s="885"/>
      <c r="DT1122" s="885"/>
      <c r="DU1122" s="885"/>
      <c r="DV1122" s="885"/>
      <c r="DW1122" s="885"/>
      <c r="DX1122" s="885"/>
      <c r="DY1122" s="885"/>
      <c r="DZ1122" s="885"/>
      <c r="EA1122" s="885"/>
      <c r="EB1122" s="885"/>
      <c r="EC1122" s="885"/>
      <c r="ED1122" s="885"/>
      <c r="EE1122" s="885"/>
      <c r="EF1122" s="885"/>
      <c r="EG1122" s="885"/>
      <c r="EH1122" s="885"/>
      <c r="EI1122" s="885"/>
      <c r="EJ1122" s="885"/>
      <c r="EK1122" s="885"/>
      <c r="EL1122" s="885"/>
      <c r="EM1122" s="885"/>
      <c r="EN1122" s="885"/>
      <c r="EO1122" s="885"/>
      <c r="EP1122" s="885"/>
      <c r="EQ1122" s="885"/>
      <c r="ER1122" s="885"/>
      <c r="ES1122" s="885"/>
      <c r="ET1122" s="885"/>
      <c r="EU1122" s="885"/>
      <c r="EV1122" s="885"/>
      <c r="EW1122" s="885"/>
      <c r="EX1122" s="885"/>
      <c r="EY1122" s="885"/>
      <c r="EZ1122" s="885"/>
      <c r="FA1122" s="885"/>
      <c r="FB1122" s="885"/>
      <c r="FC1122" s="885"/>
      <c r="FD1122" s="885"/>
      <c r="FE1122" s="885"/>
      <c r="FF1122" s="885"/>
      <c r="FG1122" s="885"/>
      <c r="FH1122" s="885"/>
      <c r="FI1122" s="885"/>
      <c r="FJ1122" s="885"/>
      <c r="FK1122" s="885"/>
      <c r="FL1122" s="885"/>
      <c r="FM1122" s="885"/>
      <c r="FN1122" s="885"/>
      <c r="FO1122" s="885"/>
      <c r="FP1122" s="885"/>
      <c r="FQ1122" s="885"/>
      <c r="FR1122" s="885"/>
      <c r="FS1122" s="885"/>
      <c r="FT1122" s="885"/>
      <c r="FU1122" s="885"/>
      <c r="FV1122" s="885"/>
      <c r="FW1122" s="885"/>
      <c r="FX1122" s="885"/>
      <c r="FY1122" s="885"/>
      <c r="FZ1122" s="885"/>
      <c r="GA1122" s="885"/>
      <c r="GB1122" s="885"/>
      <c r="GC1122" s="885"/>
      <c r="GD1122" s="885"/>
      <c r="GE1122" s="885"/>
      <c r="GF1122" s="885"/>
      <c r="GG1122" s="885"/>
      <c r="GH1122" s="885"/>
      <c r="GI1122" s="885"/>
      <c r="GJ1122" s="885"/>
      <c r="GK1122" s="885"/>
      <c r="GL1122" s="885"/>
      <c r="GM1122" s="885"/>
      <c r="GN1122" s="885"/>
      <c r="GO1122" s="885"/>
      <c r="GP1122" s="885"/>
      <c r="GQ1122" s="885"/>
      <c r="GR1122" s="885"/>
      <c r="GS1122" s="885"/>
      <c r="GT1122" s="885"/>
      <c r="GU1122" s="885"/>
      <c r="GV1122" s="885"/>
      <c r="GW1122" s="885"/>
      <c r="GX1122" s="885"/>
      <c r="GY1122" s="885"/>
      <c r="GZ1122" s="885"/>
      <c r="HA1122" s="885"/>
      <c r="HB1122" s="885"/>
      <c r="HC1122" s="885"/>
      <c r="HD1122" s="885"/>
      <c r="HE1122" s="885"/>
      <c r="HF1122" s="885"/>
      <c r="HG1122" s="885"/>
      <c r="HH1122" s="885"/>
      <c r="HI1122" s="885"/>
      <c r="HJ1122" s="885"/>
      <c r="HK1122" s="885"/>
      <c r="HL1122" s="885"/>
      <c r="HM1122" s="885"/>
      <c r="HN1122" s="885"/>
      <c r="HO1122" s="885"/>
      <c r="HP1122" s="885"/>
      <c r="HQ1122" s="885"/>
      <c r="HR1122" s="885"/>
      <c r="HS1122" s="885"/>
      <c r="HT1122" s="885"/>
      <c r="HU1122" s="885"/>
      <c r="HV1122" s="885"/>
      <c r="HW1122" s="885"/>
      <c r="HX1122" s="885"/>
      <c r="HY1122" s="885"/>
      <c r="HZ1122" s="885"/>
      <c r="IA1122" s="885"/>
      <c r="IB1122" s="885"/>
      <c r="IC1122" s="885"/>
      <c r="ID1122" s="885"/>
      <c r="IE1122" s="885"/>
      <c r="IF1122" s="885"/>
      <c r="IG1122" s="885"/>
      <c r="IH1122" s="885"/>
      <c r="II1122" s="885"/>
      <c r="IJ1122" s="885"/>
      <c r="IK1122" s="885"/>
      <c r="IL1122" s="885"/>
      <c r="IM1122" s="885"/>
      <c r="IN1122" s="885"/>
      <c r="IO1122" s="885"/>
      <c r="IP1122" s="885"/>
      <c r="IQ1122" s="885"/>
      <c r="IR1122" s="885"/>
      <c r="IS1122" s="885"/>
      <c r="IT1122" s="885"/>
      <c r="IU1122" s="885"/>
      <c r="IV1122" s="885"/>
      <c r="IW1122" s="885"/>
      <c r="IX1122" s="885"/>
    </row>
    <row r="1123" spans="1:258" x14ac:dyDescent="0.25">
      <c r="A1123" s="125">
        <f t="shared" si="128"/>
        <v>1083</v>
      </c>
      <c r="B1123" s="885"/>
      <c r="C1123" s="793" t="s">
        <v>8264</v>
      </c>
      <c r="D1123" s="924"/>
      <c r="E1123" s="924"/>
      <c r="F1123" s="793"/>
      <c r="G1123" s="793"/>
      <c r="H1123" s="793"/>
      <c r="I1123" s="793"/>
      <c r="J1123" s="885"/>
      <c r="K1123" s="885"/>
      <c r="L1123" s="885"/>
      <c r="M1123" s="885"/>
      <c r="N1123" s="885"/>
      <c r="O1123" s="885"/>
      <c r="P1123" s="885"/>
      <c r="Q1123" s="885"/>
      <c r="R1123" s="885"/>
      <c r="S1123" s="885"/>
      <c r="T1123" s="885"/>
      <c r="U1123" s="885"/>
      <c r="V1123" s="885"/>
      <c r="W1123" s="885"/>
      <c r="X1123" s="885"/>
      <c r="Y1123" s="885"/>
      <c r="Z1123" s="885"/>
      <c r="AA1123" s="885"/>
      <c r="AB1123" s="885"/>
      <c r="AC1123" s="885"/>
      <c r="AD1123" s="885"/>
      <c r="AE1123" s="885"/>
      <c r="AF1123" s="885"/>
      <c r="AG1123" s="885"/>
      <c r="AH1123" s="885"/>
      <c r="AI1123" s="885"/>
      <c r="AJ1123" s="885"/>
      <c r="AK1123" s="885"/>
      <c r="AL1123" s="885"/>
      <c r="AM1123" s="885"/>
      <c r="AN1123" s="885"/>
      <c r="AO1123" s="885"/>
      <c r="AP1123" s="885"/>
      <c r="AQ1123" s="885"/>
      <c r="AR1123" s="885"/>
      <c r="AS1123" s="885"/>
      <c r="AT1123" s="885"/>
      <c r="AU1123" s="885"/>
      <c r="AV1123" s="885"/>
      <c r="AW1123" s="885"/>
      <c r="AX1123" s="885"/>
      <c r="AY1123" s="885"/>
      <c r="AZ1123" s="885"/>
      <c r="BA1123" s="885"/>
      <c r="BB1123" s="885"/>
      <c r="BC1123" s="885"/>
      <c r="BD1123" s="885"/>
      <c r="BE1123" s="885"/>
      <c r="BF1123" s="885"/>
      <c r="BG1123" s="885"/>
      <c r="BH1123" s="885"/>
      <c r="BI1123" s="885"/>
      <c r="BJ1123" s="885"/>
      <c r="BK1123" s="885"/>
      <c r="BL1123" s="885"/>
      <c r="BM1123" s="885"/>
      <c r="BN1123" s="885"/>
      <c r="BO1123" s="885"/>
      <c r="BP1123" s="885"/>
      <c r="BQ1123" s="885"/>
      <c r="BR1123" s="885"/>
      <c r="BS1123" s="885"/>
      <c r="BT1123" s="885"/>
      <c r="BU1123" s="885"/>
      <c r="BV1123" s="885"/>
      <c r="BW1123" s="885"/>
      <c r="BX1123" s="885"/>
      <c r="BY1123" s="885"/>
      <c r="BZ1123" s="885"/>
      <c r="CA1123" s="885"/>
      <c r="CB1123" s="885"/>
      <c r="CC1123" s="885"/>
      <c r="CD1123" s="885"/>
      <c r="CE1123" s="885"/>
      <c r="CF1123" s="885"/>
      <c r="CG1123" s="885"/>
      <c r="CH1123" s="885"/>
      <c r="CI1123" s="885"/>
      <c r="CJ1123" s="885"/>
      <c r="CK1123" s="885"/>
      <c r="CL1123" s="885"/>
      <c r="CM1123" s="885"/>
      <c r="CN1123" s="885"/>
      <c r="CO1123" s="885"/>
      <c r="CP1123" s="885"/>
      <c r="CQ1123" s="885"/>
      <c r="CR1123" s="885"/>
      <c r="CS1123" s="885"/>
      <c r="CT1123" s="885"/>
      <c r="CU1123" s="885"/>
      <c r="CV1123" s="885"/>
      <c r="CW1123" s="885"/>
      <c r="CX1123" s="885"/>
      <c r="CY1123" s="885"/>
      <c r="CZ1123" s="885"/>
      <c r="DA1123" s="885"/>
      <c r="DB1123" s="885"/>
      <c r="DC1123" s="885"/>
      <c r="DD1123" s="885"/>
      <c r="DE1123" s="885"/>
      <c r="DF1123" s="885"/>
      <c r="DG1123" s="885"/>
      <c r="DH1123" s="885"/>
      <c r="DI1123" s="885"/>
      <c r="DJ1123" s="885"/>
      <c r="DK1123" s="885"/>
      <c r="DL1123" s="885"/>
      <c r="DM1123" s="885"/>
      <c r="DN1123" s="885"/>
      <c r="DO1123" s="885"/>
      <c r="DP1123" s="885"/>
      <c r="DQ1123" s="885"/>
      <c r="DR1123" s="885"/>
      <c r="DS1123" s="885"/>
      <c r="DT1123" s="885"/>
      <c r="DU1123" s="885"/>
      <c r="DV1123" s="885"/>
      <c r="DW1123" s="885"/>
      <c r="DX1123" s="885"/>
      <c r="DY1123" s="885"/>
      <c r="DZ1123" s="885"/>
      <c r="EA1123" s="885"/>
      <c r="EB1123" s="885"/>
      <c r="EC1123" s="885"/>
      <c r="ED1123" s="885"/>
      <c r="EE1123" s="885"/>
      <c r="EF1123" s="885"/>
      <c r="EG1123" s="885"/>
      <c r="EH1123" s="885"/>
      <c r="EI1123" s="885"/>
      <c r="EJ1123" s="885"/>
      <c r="EK1123" s="885"/>
      <c r="EL1123" s="885"/>
      <c r="EM1123" s="885"/>
      <c r="EN1123" s="885"/>
      <c r="EO1123" s="885"/>
      <c r="EP1123" s="885"/>
      <c r="EQ1123" s="885"/>
      <c r="ER1123" s="885"/>
      <c r="ES1123" s="885"/>
      <c r="ET1123" s="885"/>
      <c r="EU1123" s="885"/>
      <c r="EV1123" s="885"/>
      <c r="EW1123" s="885"/>
      <c r="EX1123" s="885"/>
      <c r="EY1123" s="885"/>
      <c r="EZ1123" s="885"/>
      <c r="FA1123" s="885"/>
      <c r="FB1123" s="885"/>
      <c r="FC1123" s="885"/>
      <c r="FD1123" s="885"/>
      <c r="FE1123" s="885"/>
      <c r="FF1123" s="885"/>
      <c r="FG1123" s="885"/>
      <c r="FH1123" s="885"/>
      <c r="FI1123" s="885"/>
      <c r="FJ1123" s="885"/>
      <c r="FK1123" s="885"/>
      <c r="FL1123" s="885"/>
      <c r="FM1123" s="885"/>
      <c r="FN1123" s="885"/>
      <c r="FO1123" s="885"/>
      <c r="FP1123" s="885"/>
      <c r="FQ1123" s="885"/>
      <c r="FR1123" s="885"/>
      <c r="FS1123" s="885"/>
      <c r="FT1123" s="885"/>
      <c r="FU1123" s="885"/>
      <c r="FV1123" s="885"/>
      <c r="FW1123" s="885"/>
      <c r="FX1123" s="885"/>
      <c r="FY1123" s="885"/>
      <c r="FZ1123" s="885"/>
      <c r="GA1123" s="885"/>
      <c r="GB1123" s="885"/>
      <c r="GC1123" s="885"/>
      <c r="GD1123" s="885"/>
      <c r="GE1123" s="885"/>
      <c r="GF1123" s="885"/>
      <c r="GG1123" s="885"/>
      <c r="GH1123" s="885"/>
      <c r="GI1123" s="885"/>
      <c r="GJ1123" s="885"/>
      <c r="GK1123" s="885"/>
      <c r="GL1123" s="885"/>
      <c r="GM1123" s="885"/>
      <c r="GN1123" s="885"/>
      <c r="GO1123" s="885"/>
      <c r="GP1123" s="885"/>
      <c r="GQ1123" s="885"/>
      <c r="GR1123" s="885"/>
      <c r="GS1123" s="885"/>
      <c r="GT1123" s="885"/>
      <c r="GU1123" s="885"/>
      <c r="GV1123" s="885"/>
      <c r="GW1123" s="885"/>
      <c r="GX1123" s="885"/>
      <c r="GY1123" s="885"/>
      <c r="GZ1123" s="885"/>
      <c r="HA1123" s="885"/>
      <c r="HB1123" s="885"/>
      <c r="HC1123" s="885"/>
      <c r="HD1123" s="885"/>
      <c r="HE1123" s="885"/>
      <c r="HF1123" s="885"/>
      <c r="HG1123" s="885"/>
      <c r="HH1123" s="885"/>
      <c r="HI1123" s="885"/>
      <c r="HJ1123" s="885"/>
      <c r="HK1123" s="885"/>
      <c r="HL1123" s="885"/>
      <c r="HM1123" s="885"/>
      <c r="HN1123" s="885"/>
      <c r="HO1123" s="885"/>
      <c r="HP1123" s="885"/>
      <c r="HQ1123" s="885"/>
      <c r="HR1123" s="885"/>
      <c r="HS1123" s="885"/>
      <c r="HT1123" s="885"/>
      <c r="HU1123" s="885"/>
      <c r="HV1123" s="885"/>
      <c r="HW1123" s="885"/>
      <c r="HX1123" s="885"/>
      <c r="HY1123" s="885"/>
      <c r="HZ1123" s="885"/>
      <c r="IA1123" s="885"/>
      <c r="IB1123" s="885"/>
      <c r="IC1123" s="885"/>
      <c r="ID1123" s="885"/>
      <c r="IE1123" s="885"/>
      <c r="IF1123" s="885"/>
      <c r="IG1123" s="885"/>
      <c r="IH1123" s="885"/>
      <c r="II1123" s="885"/>
      <c r="IJ1123" s="885"/>
      <c r="IK1123" s="885"/>
      <c r="IL1123" s="885"/>
      <c r="IM1123" s="885"/>
      <c r="IN1123" s="885"/>
      <c r="IO1123" s="885"/>
      <c r="IP1123" s="885"/>
      <c r="IQ1123" s="885"/>
      <c r="IR1123" s="885"/>
      <c r="IS1123" s="885"/>
      <c r="IT1123" s="885"/>
      <c r="IU1123" s="885"/>
      <c r="IV1123" s="885"/>
      <c r="IW1123" s="885"/>
      <c r="IX1123" s="885"/>
    </row>
    <row r="1124" spans="1:258" x14ac:dyDescent="0.25">
      <c r="A1124" s="125">
        <f t="shared" si="128"/>
        <v>1084</v>
      </c>
      <c r="B1124" s="954"/>
      <c r="C1124" s="842" t="s">
        <v>11532</v>
      </c>
      <c r="D1124" s="924">
        <v>0</v>
      </c>
      <c r="E1124" s="924">
        <v>0</v>
      </c>
      <c r="F1124" s="136">
        <v>0</v>
      </c>
      <c r="G1124" s="122" t="s">
        <v>1963</v>
      </c>
      <c r="H1124" s="793"/>
      <c r="I1124" s="793"/>
      <c r="J1124" s="954"/>
      <c r="K1124" s="954"/>
      <c r="L1124" s="954"/>
      <c r="M1124" s="954"/>
      <c r="N1124" s="954"/>
      <c r="O1124" s="954"/>
      <c r="P1124" s="954"/>
      <c r="Q1124" s="954"/>
      <c r="R1124" s="954"/>
      <c r="S1124" s="954"/>
      <c r="T1124" s="954"/>
      <c r="U1124" s="954"/>
      <c r="V1124" s="954"/>
      <c r="W1124" s="954"/>
      <c r="X1124" s="954"/>
      <c r="Y1124" s="954"/>
      <c r="Z1124" s="954"/>
      <c r="AA1124" s="954"/>
      <c r="AB1124" s="954"/>
      <c r="AC1124" s="954"/>
      <c r="AD1124" s="954"/>
      <c r="AE1124" s="954"/>
      <c r="AF1124" s="954"/>
      <c r="AG1124" s="954"/>
      <c r="AH1124" s="954"/>
      <c r="AI1124" s="954"/>
      <c r="AJ1124" s="954"/>
      <c r="AK1124" s="954"/>
      <c r="AL1124" s="954"/>
      <c r="AM1124" s="954"/>
      <c r="AN1124" s="954"/>
      <c r="AO1124" s="954"/>
      <c r="AP1124" s="954"/>
      <c r="AQ1124" s="954"/>
      <c r="AR1124" s="954"/>
      <c r="AS1124" s="954"/>
      <c r="AT1124" s="954"/>
      <c r="AU1124" s="954"/>
      <c r="AV1124" s="954"/>
      <c r="AW1124" s="954"/>
      <c r="AX1124" s="954"/>
      <c r="AY1124" s="954"/>
      <c r="AZ1124" s="954"/>
      <c r="BA1124" s="954"/>
      <c r="BB1124" s="954"/>
      <c r="BC1124" s="954"/>
      <c r="BD1124" s="954"/>
      <c r="BE1124" s="954"/>
      <c r="BF1124" s="954"/>
      <c r="BG1124" s="954"/>
      <c r="BH1124" s="954"/>
      <c r="BI1124" s="954"/>
      <c r="BJ1124" s="954"/>
      <c r="BK1124" s="954"/>
      <c r="BL1124" s="954"/>
      <c r="BM1124" s="954"/>
      <c r="BN1124" s="954"/>
      <c r="BO1124" s="954"/>
      <c r="BP1124" s="954"/>
      <c r="BQ1124" s="954"/>
      <c r="BR1124" s="954"/>
      <c r="BS1124" s="954"/>
      <c r="BT1124" s="954"/>
      <c r="BU1124" s="954"/>
      <c r="BV1124" s="954"/>
      <c r="BW1124" s="954"/>
      <c r="BX1124" s="954"/>
      <c r="BY1124" s="954"/>
      <c r="BZ1124" s="954"/>
      <c r="CA1124" s="954"/>
      <c r="CB1124" s="954"/>
      <c r="CC1124" s="954"/>
      <c r="CD1124" s="954"/>
      <c r="CE1124" s="954"/>
      <c r="CF1124" s="954"/>
      <c r="CG1124" s="954"/>
      <c r="CH1124" s="954"/>
      <c r="CI1124" s="954"/>
      <c r="CJ1124" s="954"/>
      <c r="CK1124" s="954"/>
      <c r="CL1124" s="954"/>
      <c r="CM1124" s="954"/>
      <c r="CN1124" s="954"/>
      <c r="CO1124" s="954"/>
      <c r="CP1124" s="954"/>
      <c r="CQ1124" s="954"/>
      <c r="CR1124" s="954"/>
      <c r="CS1124" s="954"/>
      <c r="CT1124" s="954"/>
      <c r="CU1124" s="954"/>
      <c r="CV1124" s="954"/>
      <c r="CW1124" s="954"/>
      <c r="CX1124" s="954"/>
      <c r="CY1124" s="954"/>
      <c r="CZ1124" s="954"/>
      <c r="DA1124" s="954"/>
      <c r="DB1124" s="954"/>
      <c r="DC1124" s="954"/>
      <c r="DD1124" s="954"/>
      <c r="DE1124" s="954"/>
      <c r="DF1124" s="954"/>
      <c r="DG1124" s="954"/>
      <c r="DH1124" s="954"/>
      <c r="DI1124" s="954"/>
      <c r="DJ1124" s="954"/>
      <c r="DK1124" s="954"/>
      <c r="DL1124" s="954"/>
      <c r="DM1124" s="954"/>
      <c r="DN1124" s="954"/>
      <c r="DO1124" s="954"/>
      <c r="DP1124" s="954"/>
      <c r="DQ1124" s="954"/>
      <c r="DR1124" s="954"/>
      <c r="DS1124" s="954"/>
      <c r="DT1124" s="954"/>
      <c r="DU1124" s="954"/>
      <c r="DV1124" s="954"/>
      <c r="DW1124" s="954"/>
      <c r="DX1124" s="954"/>
      <c r="DY1124" s="954"/>
      <c r="DZ1124" s="954"/>
      <c r="EA1124" s="954"/>
      <c r="EB1124" s="954"/>
      <c r="EC1124" s="954"/>
      <c r="ED1124" s="954"/>
      <c r="EE1124" s="954"/>
      <c r="EF1124" s="954"/>
      <c r="EG1124" s="954"/>
      <c r="EH1124" s="954"/>
      <c r="EI1124" s="954"/>
      <c r="EJ1124" s="954"/>
      <c r="EK1124" s="954"/>
      <c r="EL1124" s="954"/>
      <c r="EM1124" s="954"/>
      <c r="EN1124" s="954"/>
      <c r="EO1124" s="954"/>
      <c r="EP1124" s="954"/>
      <c r="EQ1124" s="954"/>
      <c r="ER1124" s="954"/>
      <c r="ES1124" s="954"/>
      <c r="ET1124" s="954"/>
      <c r="EU1124" s="954"/>
      <c r="EV1124" s="954"/>
      <c r="EW1124" s="954"/>
      <c r="EX1124" s="954"/>
      <c r="EY1124" s="954"/>
      <c r="EZ1124" s="954"/>
      <c r="FA1124" s="954"/>
      <c r="FB1124" s="954"/>
      <c r="FC1124" s="954"/>
      <c r="FD1124" s="954"/>
      <c r="FE1124" s="954"/>
      <c r="FF1124" s="954"/>
      <c r="FG1124" s="954"/>
      <c r="FH1124" s="954"/>
      <c r="FI1124" s="954"/>
      <c r="FJ1124" s="954"/>
      <c r="FK1124" s="954"/>
      <c r="FL1124" s="954"/>
      <c r="FM1124" s="954"/>
      <c r="FN1124" s="954"/>
      <c r="FO1124" s="954"/>
      <c r="FP1124" s="954"/>
      <c r="FQ1124" s="954"/>
      <c r="FR1124" s="954"/>
      <c r="FS1124" s="954"/>
      <c r="FT1124" s="954"/>
      <c r="FU1124" s="954"/>
      <c r="FV1124" s="954"/>
      <c r="FW1124" s="954"/>
      <c r="FX1124" s="954"/>
      <c r="FY1124" s="954"/>
      <c r="FZ1124" s="954"/>
      <c r="GA1124" s="954"/>
      <c r="GB1124" s="954"/>
      <c r="GC1124" s="954"/>
      <c r="GD1124" s="954"/>
      <c r="GE1124" s="954"/>
      <c r="GF1124" s="954"/>
      <c r="GG1124" s="954"/>
      <c r="GH1124" s="954"/>
      <c r="GI1124" s="954"/>
      <c r="GJ1124" s="954"/>
      <c r="GK1124" s="954"/>
      <c r="GL1124" s="954"/>
      <c r="GM1124" s="954"/>
      <c r="GN1124" s="954"/>
      <c r="GO1124" s="954"/>
      <c r="GP1124" s="954"/>
      <c r="GQ1124" s="954"/>
      <c r="GR1124" s="954"/>
      <c r="GS1124" s="954"/>
      <c r="GT1124" s="954"/>
      <c r="GU1124" s="954"/>
      <c r="GV1124" s="954"/>
      <c r="GW1124" s="954"/>
      <c r="GX1124" s="954"/>
      <c r="GY1124" s="954"/>
      <c r="GZ1124" s="954"/>
      <c r="HA1124" s="954"/>
      <c r="HB1124" s="954"/>
      <c r="HC1124" s="954"/>
      <c r="HD1124" s="954"/>
      <c r="HE1124" s="954"/>
      <c r="HF1124" s="954"/>
      <c r="HG1124" s="954"/>
      <c r="HH1124" s="954"/>
      <c r="HI1124" s="954"/>
      <c r="HJ1124" s="954"/>
      <c r="HK1124" s="954"/>
      <c r="HL1124" s="954"/>
      <c r="HM1124" s="954"/>
      <c r="HN1124" s="954"/>
      <c r="HO1124" s="954"/>
      <c r="HP1124" s="954"/>
      <c r="HQ1124" s="954"/>
      <c r="HR1124" s="954"/>
      <c r="HS1124" s="954"/>
      <c r="HT1124" s="954"/>
      <c r="HU1124" s="954"/>
      <c r="HV1124" s="954"/>
      <c r="HW1124" s="954"/>
      <c r="HX1124" s="954"/>
      <c r="HY1124" s="954"/>
      <c r="HZ1124" s="954"/>
      <c r="IA1124" s="954"/>
      <c r="IB1124" s="954"/>
      <c r="IC1124" s="954"/>
      <c r="ID1124" s="954"/>
      <c r="IE1124" s="954"/>
      <c r="IF1124" s="954"/>
      <c r="IG1124" s="954"/>
      <c r="IH1124" s="954"/>
      <c r="II1124" s="954"/>
      <c r="IJ1124" s="954"/>
      <c r="IK1124" s="954"/>
      <c r="IL1124" s="954"/>
      <c r="IM1124" s="954"/>
      <c r="IN1124" s="954"/>
      <c r="IO1124" s="954"/>
      <c r="IP1124" s="954"/>
      <c r="IQ1124" s="954"/>
      <c r="IR1124" s="954"/>
      <c r="IS1124" s="954"/>
      <c r="IT1124" s="954"/>
      <c r="IU1124" s="954"/>
      <c r="IV1124" s="954"/>
      <c r="IW1124" s="954"/>
      <c r="IX1124" s="954"/>
    </row>
    <row r="1125" spans="1:258" x14ac:dyDescent="0.25">
      <c r="A1125" s="125">
        <f t="shared" si="128"/>
        <v>1085</v>
      </c>
      <c r="B1125" s="885"/>
      <c r="C1125" s="933" t="s">
        <v>10684</v>
      </c>
      <c r="D1125" s="924">
        <v>0</v>
      </c>
      <c r="E1125" s="924">
        <v>0</v>
      </c>
      <c r="F1125" s="136">
        <v>1000</v>
      </c>
      <c r="G1125" s="122" t="s">
        <v>1963</v>
      </c>
      <c r="H1125" s="842"/>
      <c r="I1125" s="793"/>
      <c r="J1125" s="885"/>
      <c r="K1125" s="885"/>
      <c r="L1125" s="885"/>
      <c r="M1125" s="885"/>
      <c r="N1125" s="885"/>
      <c r="O1125" s="885"/>
      <c r="P1125" s="885"/>
      <c r="Q1125" s="885"/>
      <c r="R1125" s="885"/>
      <c r="S1125" s="885"/>
      <c r="T1125" s="885"/>
      <c r="U1125" s="885"/>
      <c r="V1125" s="885"/>
      <c r="W1125" s="885"/>
      <c r="X1125" s="885"/>
      <c r="Y1125" s="885"/>
      <c r="Z1125" s="885"/>
      <c r="AA1125" s="885"/>
      <c r="AB1125" s="885"/>
      <c r="AC1125" s="885"/>
      <c r="AD1125" s="885"/>
      <c r="AE1125" s="885"/>
      <c r="AF1125" s="885"/>
      <c r="AG1125" s="885"/>
      <c r="AH1125" s="885"/>
      <c r="AI1125" s="885"/>
      <c r="AJ1125" s="885"/>
      <c r="AK1125" s="885"/>
      <c r="AL1125" s="885"/>
      <c r="AM1125" s="885"/>
      <c r="AN1125" s="885"/>
      <c r="AO1125" s="885"/>
      <c r="AP1125" s="885"/>
      <c r="AQ1125" s="885"/>
      <c r="AR1125" s="885"/>
      <c r="AS1125" s="885"/>
      <c r="AT1125" s="885"/>
      <c r="AU1125" s="885"/>
      <c r="AV1125" s="885"/>
      <c r="AW1125" s="885"/>
      <c r="AX1125" s="885"/>
      <c r="AY1125" s="885"/>
      <c r="AZ1125" s="885"/>
      <c r="BA1125" s="885"/>
      <c r="BB1125" s="885"/>
      <c r="BC1125" s="885"/>
      <c r="BD1125" s="885"/>
      <c r="BE1125" s="885"/>
      <c r="BF1125" s="885"/>
      <c r="BG1125" s="885"/>
      <c r="BH1125" s="885"/>
      <c r="BI1125" s="885"/>
      <c r="BJ1125" s="885"/>
      <c r="BK1125" s="885"/>
      <c r="BL1125" s="885"/>
      <c r="BM1125" s="885"/>
      <c r="BN1125" s="885"/>
      <c r="BO1125" s="885"/>
      <c r="BP1125" s="885"/>
      <c r="BQ1125" s="885"/>
      <c r="BR1125" s="885"/>
      <c r="BS1125" s="885"/>
      <c r="BT1125" s="885"/>
      <c r="BU1125" s="885"/>
      <c r="BV1125" s="885"/>
      <c r="BW1125" s="885"/>
      <c r="BX1125" s="885"/>
      <c r="BY1125" s="885"/>
      <c r="BZ1125" s="885"/>
      <c r="CA1125" s="885"/>
      <c r="CB1125" s="885"/>
      <c r="CC1125" s="885"/>
      <c r="CD1125" s="885"/>
      <c r="CE1125" s="885"/>
      <c r="CF1125" s="885"/>
      <c r="CG1125" s="885"/>
      <c r="CH1125" s="885"/>
      <c r="CI1125" s="885"/>
      <c r="CJ1125" s="885"/>
      <c r="CK1125" s="885"/>
      <c r="CL1125" s="885"/>
      <c r="CM1125" s="885"/>
      <c r="CN1125" s="885"/>
      <c r="CO1125" s="885"/>
      <c r="CP1125" s="885"/>
      <c r="CQ1125" s="885"/>
      <c r="CR1125" s="885"/>
      <c r="CS1125" s="885"/>
      <c r="CT1125" s="885"/>
      <c r="CU1125" s="885"/>
      <c r="CV1125" s="885"/>
      <c r="CW1125" s="885"/>
      <c r="CX1125" s="885"/>
      <c r="CY1125" s="885"/>
      <c r="CZ1125" s="885"/>
      <c r="DA1125" s="885"/>
      <c r="DB1125" s="885"/>
      <c r="DC1125" s="885"/>
      <c r="DD1125" s="885"/>
      <c r="DE1125" s="885"/>
      <c r="DF1125" s="885"/>
      <c r="DG1125" s="885"/>
      <c r="DH1125" s="885"/>
      <c r="DI1125" s="885"/>
      <c r="DJ1125" s="885"/>
      <c r="DK1125" s="885"/>
      <c r="DL1125" s="885"/>
      <c r="DM1125" s="885"/>
      <c r="DN1125" s="885"/>
      <c r="DO1125" s="885"/>
      <c r="DP1125" s="885"/>
      <c r="DQ1125" s="885"/>
      <c r="DR1125" s="885"/>
      <c r="DS1125" s="885"/>
      <c r="DT1125" s="885"/>
      <c r="DU1125" s="885"/>
      <c r="DV1125" s="885"/>
      <c r="DW1125" s="885"/>
      <c r="DX1125" s="885"/>
      <c r="DY1125" s="885"/>
      <c r="DZ1125" s="885"/>
      <c r="EA1125" s="885"/>
      <c r="EB1125" s="885"/>
      <c r="EC1125" s="885"/>
      <c r="ED1125" s="885"/>
      <c r="EE1125" s="885"/>
      <c r="EF1125" s="885"/>
      <c r="EG1125" s="885"/>
      <c r="EH1125" s="885"/>
      <c r="EI1125" s="885"/>
      <c r="EJ1125" s="885"/>
      <c r="EK1125" s="885"/>
      <c r="EL1125" s="885"/>
      <c r="EM1125" s="885"/>
      <c r="EN1125" s="885"/>
      <c r="EO1125" s="885"/>
      <c r="EP1125" s="885"/>
      <c r="EQ1125" s="885"/>
      <c r="ER1125" s="885"/>
      <c r="ES1125" s="885"/>
      <c r="ET1125" s="885"/>
      <c r="EU1125" s="885"/>
      <c r="EV1125" s="885"/>
      <c r="EW1125" s="885"/>
      <c r="EX1125" s="885"/>
      <c r="EY1125" s="885"/>
      <c r="EZ1125" s="885"/>
      <c r="FA1125" s="885"/>
      <c r="FB1125" s="885"/>
      <c r="FC1125" s="885"/>
      <c r="FD1125" s="885"/>
      <c r="FE1125" s="885"/>
      <c r="FF1125" s="885"/>
      <c r="FG1125" s="885"/>
      <c r="FH1125" s="885"/>
      <c r="FI1125" s="885"/>
      <c r="FJ1125" s="885"/>
      <c r="FK1125" s="885"/>
      <c r="FL1125" s="885"/>
      <c r="FM1125" s="885"/>
      <c r="FN1125" s="885"/>
      <c r="FO1125" s="885"/>
      <c r="FP1125" s="885"/>
      <c r="FQ1125" s="885"/>
      <c r="FR1125" s="885"/>
      <c r="FS1125" s="885"/>
      <c r="FT1125" s="885"/>
      <c r="FU1125" s="885"/>
      <c r="FV1125" s="885"/>
      <c r="FW1125" s="885"/>
      <c r="FX1125" s="885"/>
      <c r="FY1125" s="885"/>
      <c r="FZ1125" s="885"/>
      <c r="GA1125" s="885"/>
      <c r="GB1125" s="885"/>
      <c r="GC1125" s="885"/>
      <c r="GD1125" s="885"/>
      <c r="GE1125" s="885"/>
      <c r="GF1125" s="885"/>
      <c r="GG1125" s="885"/>
      <c r="GH1125" s="885"/>
      <c r="GI1125" s="885"/>
      <c r="GJ1125" s="885"/>
      <c r="GK1125" s="885"/>
      <c r="GL1125" s="885"/>
      <c r="GM1125" s="885"/>
      <c r="GN1125" s="885"/>
      <c r="GO1125" s="885"/>
      <c r="GP1125" s="885"/>
      <c r="GQ1125" s="885"/>
      <c r="GR1125" s="885"/>
      <c r="GS1125" s="885"/>
      <c r="GT1125" s="885"/>
      <c r="GU1125" s="885"/>
      <c r="GV1125" s="885"/>
      <c r="GW1125" s="885"/>
      <c r="GX1125" s="885"/>
      <c r="GY1125" s="885"/>
      <c r="GZ1125" s="885"/>
      <c r="HA1125" s="885"/>
      <c r="HB1125" s="885"/>
      <c r="HC1125" s="885"/>
      <c r="HD1125" s="885"/>
      <c r="HE1125" s="885"/>
      <c r="HF1125" s="885"/>
      <c r="HG1125" s="885"/>
      <c r="HH1125" s="885"/>
      <c r="HI1125" s="885"/>
      <c r="HJ1125" s="885"/>
      <c r="HK1125" s="885"/>
      <c r="HL1125" s="885"/>
      <c r="HM1125" s="885"/>
      <c r="HN1125" s="885"/>
      <c r="HO1125" s="885"/>
      <c r="HP1125" s="885"/>
      <c r="HQ1125" s="885"/>
      <c r="HR1125" s="885"/>
      <c r="HS1125" s="885"/>
      <c r="HT1125" s="885"/>
      <c r="HU1125" s="885"/>
      <c r="HV1125" s="885"/>
      <c r="HW1125" s="885"/>
      <c r="HX1125" s="885"/>
      <c r="HY1125" s="885"/>
      <c r="HZ1125" s="885"/>
      <c r="IA1125" s="885"/>
      <c r="IB1125" s="885"/>
      <c r="IC1125" s="885"/>
      <c r="ID1125" s="885"/>
      <c r="IE1125" s="885"/>
      <c r="IF1125" s="885"/>
      <c r="IG1125" s="885"/>
      <c r="IH1125" s="885"/>
      <c r="II1125" s="885"/>
      <c r="IJ1125" s="885"/>
      <c r="IK1125" s="885"/>
      <c r="IL1125" s="885"/>
      <c r="IM1125" s="885"/>
      <c r="IN1125" s="885"/>
      <c r="IO1125" s="885"/>
      <c r="IP1125" s="885"/>
      <c r="IQ1125" s="885"/>
      <c r="IR1125" s="885"/>
      <c r="IS1125" s="885"/>
      <c r="IT1125" s="885"/>
      <c r="IU1125" s="885"/>
      <c r="IV1125" s="885"/>
      <c r="IW1125" s="885"/>
      <c r="IX1125" s="885"/>
    </row>
    <row r="1126" spans="1:258" x14ac:dyDescent="0.25">
      <c r="A1126" s="125">
        <f t="shared" si="128"/>
        <v>1086</v>
      </c>
      <c r="B1126" s="885"/>
      <c r="C1126" s="933" t="s">
        <v>10685</v>
      </c>
      <c r="D1126" s="924">
        <v>0</v>
      </c>
      <c r="E1126" s="924">
        <v>0</v>
      </c>
      <c r="F1126" s="136">
        <v>1000</v>
      </c>
      <c r="G1126" s="122" t="s">
        <v>1963</v>
      </c>
      <c r="H1126" s="842"/>
      <c r="I1126" s="793"/>
      <c r="J1126" s="885"/>
      <c r="K1126" s="885"/>
      <c r="L1126" s="885"/>
      <c r="M1126" s="885"/>
      <c r="N1126" s="885"/>
      <c r="O1126" s="885"/>
      <c r="P1126" s="885"/>
      <c r="Q1126" s="885"/>
      <c r="R1126" s="885"/>
      <c r="S1126" s="885"/>
      <c r="T1126" s="885"/>
      <c r="U1126" s="885"/>
      <c r="V1126" s="885"/>
      <c r="W1126" s="885"/>
      <c r="X1126" s="885"/>
      <c r="Y1126" s="885"/>
      <c r="Z1126" s="885"/>
      <c r="AA1126" s="885"/>
      <c r="AB1126" s="885"/>
      <c r="AC1126" s="885"/>
      <c r="AD1126" s="885"/>
      <c r="AE1126" s="885"/>
      <c r="AF1126" s="885"/>
      <c r="AG1126" s="885"/>
      <c r="AH1126" s="885"/>
      <c r="AI1126" s="885"/>
      <c r="AJ1126" s="885"/>
      <c r="AK1126" s="885"/>
      <c r="AL1126" s="885"/>
      <c r="AM1126" s="885"/>
      <c r="AN1126" s="885"/>
      <c r="AO1126" s="885"/>
      <c r="AP1126" s="885"/>
      <c r="AQ1126" s="885"/>
      <c r="AR1126" s="885"/>
      <c r="AS1126" s="885"/>
      <c r="AT1126" s="885"/>
      <c r="AU1126" s="885"/>
      <c r="AV1126" s="885"/>
      <c r="AW1126" s="885"/>
      <c r="AX1126" s="885"/>
      <c r="AY1126" s="885"/>
      <c r="AZ1126" s="885"/>
      <c r="BA1126" s="885"/>
      <c r="BB1126" s="885"/>
      <c r="BC1126" s="885"/>
      <c r="BD1126" s="885"/>
      <c r="BE1126" s="885"/>
      <c r="BF1126" s="885"/>
      <c r="BG1126" s="885"/>
      <c r="BH1126" s="885"/>
      <c r="BI1126" s="885"/>
      <c r="BJ1126" s="885"/>
      <c r="BK1126" s="885"/>
      <c r="BL1126" s="885"/>
      <c r="BM1126" s="885"/>
      <c r="BN1126" s="885"/>
      <c r="BO1126" s="885"/>
      <c r="BP1126" s="885"/>
      <c r="BQ1126" s="885"/>
      <c r="BR1126" s="885"/>
      <c r="BS1126" s="885"/>
      <c r="BT1126" s="885"/>
      <c r="BU1126" s="885"/>
      <c r="BV1126" s="885"/>
      <c r="BW1126" s="885"/>
      <c r="BX1126" s="885"/>
      <c r="BY1126" s="885"/>
      <c r="BZ1126" s="885"/>
      <c r="CA1126" s="885"/>
      <c r="CB1126" s="885"/>
      <c r="CC1126" s="885"/>
      <c r="CD1126" s="885"/>
      <c r="CE1126" s="885"/>
      <c r="CF1126" s="885"/>
      <c r="CG1126" s="885"/>
      <c r="CH1126" s="885"/>
      <c r="CI1126" s="885"/>
      <c r="CJ1126" s="885"/>
      <c r="CK1126" s="885"/>
      <c r="CL1126" s="885"/>
      <c r="CM1126" s="885"/>
      <c r="CN1126" s="885"/>
      <c r="CO1126" s="885"/>
      <c r="CP1126" s="885"/>
      <c r="CQ1126" s="885"/>
      <c r="CR1126" s="885"/>
      <c r="CS1126" s="885"/>
      <c r="CT1126" s="885"/>
      <c r="CU1126" s="885"/>
      <c r="CV1126" s="885"/>
      <c r="CW1126" s="885"/>
      <c r="CX1126" s="885"/>
      <c r="CY1126" s="885"/>
      <c r="CZ1126" s="885"/>
      <c r="DA1126" s="885"/>
      <c r="DB1126" s="885"/>
      <c r="DC1126" s="885"/>
      <c r="DD1126" s="885"/>
      <c r="DE1126" s="885"/>
      <c r="DF1126" s="885"/>
      <c r="DG1126" s="885"/>
      <c r="DH1126" s="885"/>
      <c r="DI1126" s="885"/>
      <c r="DJ1126" s="885"/>
      <c r="DK1126" s="885"/>
      <c r="DL1126" s="885"/>
      <c r="DM1126" s="885"/>
      <c r="DN1126" s="885"/>
      <c r="DO1126" s="885"/>
      <c r="DP1126" s="885"/>
      <c r="DQ1126" s="885"/>
      <c r="DR1126" s="885"/>
      <c r="DS1126" s="885"/>
      <c r="DT1126" s="885"/>
      <c r="DU1126" s="885"/>
      <c r="DV1126" s="885"/>
      <c r="DW1126" s="885"/>
      <c r="DX1126" s="885"/>
      <c r="DY1126" s="885"/>
      <c r="DZ1126" s="885"/>
      <c r="EA1126" s="885"/>
      <c r="EB1126" s="885"/>
      <c r="EC1126" s="885"/>
      <c r="ED1126" s="885"/>
      <c r="EE1126" s="885"/>
      <c r="EF1126" s="885"/>
      <c r="EG1126" s="885"/>
      <c r="EH1126" s="885"/>
      <c r="EI1126" s="885"/>
      <c r="EJ1126" s="885"/>
      <c r="EK1126" s="885"/>
      <c r="EL1126" s="885"/>
      <c r="EM1126" s="885"/>
      <c r="EN1126" s="885"/>
      <c r="EO1126" s="885"/>
      <c r="EP1126" s="885"/>
      <c r="EQ1126" s="885"/>
      <c r="ER1126" s="885"/>
      <c r="ES1126" s="885"/>
      <c r="ET1126" s="885"/>
      <c r="EU1126" s="885"/>
      <c r="EV1126" s="885"/>
      <c r="EW1126" s="885"/>
      <c r="EX1126" s="885"/>
      <c r="EY1126" s="885"/>
      <c r="EZ1126" s="885"/>
      <c r="FA1126" s="885"/>
      <c r="FB1126" s="885"/>
      <c r="FC1126" s="885"/>
      <c r="FD1126" s="885"/>
      <c r="FE1126" s="885"/>
      <c r="FF1126" s="885"/>
      <c r="FG1126" s="885"/>
      <c r="FH1126" s="885"/>
      <c r="FI1126" s="885"/>
      <c r="FJ1126" s="885"/>
      <c r="FK1126" s="885"/>
      <c r="FL1126" s="885"/>
      <c r="FM1126" s="885"/>
      <c r="FN1126" s="885"/>
      <c r="FO1126" s="885"/>
      <c r="FP1126" s="885"/>
      <c r="FQ1126" s="885"/>
      <c r="FR1126" s="885"/>
      <c r="FS1126" s="885"/>
      <c r="FT1126" s="885"/>
      <c r="FU1126" s="885"/>
      <c r="FV1126" s="885"/>
      <c r="FW1126" s="885"/>
      <c r="FX1126" s="885"/>
      <c r="FY1126" s="885"/>
      <c r="FZ1126" s="885"/>
      <c r="GA1126" s="885"/>
      <c r="GB1126" s="885"/>
      <c r="GC1126" s="885"/>
      <c r="GD1126" s="885"/>
      <c r="GE1126" s="885"/>
      <c r="GF1126" s="885"/>
      <c r="GG1126" s="885"/>
      <c r="GH1126" s="885"/>
      <c r="GI1126" s="885"/>
      <c r="GJ1126" s="885"/>
      <c r="GK1126" s="885"/>
      <c r="GL1126" s="885"/>
      <c r="GM1126" s="885"/>
      <c r="GN1126" s="885"/>
      <c r="GO1126" s="885"/>
      <c r="GP1126" s="885"/>
      <c r="GQ1126" s="885"/>
      <c r="GR1126" s="885"/>
      <c r="GS1126" s="885"/>
      <c r="GT1126" s="885"/>
      <c r="GU1126" s="885"/>
      <c r="GV1126" s="885"/>
      <c r="GW1126" s="885"/>
      <c r="GX1126" s="885"/>
      <c r="GY1126" s="885"/>
      <c r="GZ1126" s="885"/>
      <c r="HA1126" s="885"/>
      <c r="HB1126" s="885"/>
      <c r="HC1126" s="885"/>
      <c r="HD1126" s="885"/>
      <c r="HE1126" s="885"/>
      <c r="HF1126" s="885"/>
      <c r="HG1126" s="885"/>
      <c r="HH1126" s="885"/>
      <c r="HI1126" s="885"/>
      <c r="HJ1126" s="885"/>
      <c r="HK1126" s="885"/>
      <c r="HL1126" s="885"/>
      <c r="HM1126" s="885"/>
      <c r="HN1126" s="885"/>
      <c r="HO1126" s="885"/>
      <c r="HP1126" s="885"/>
      <c r="HQ1126" s="885"/>
      <c r="HR1126" s="885"/>
      <c r="HS1126" s="885"/>
      <c r="HT1126" s="885"/>
      <c r="HU1126" s="885"/>
      <c r="HV1126" s="885"/>
      <c r="HW1126" s="885"/>
      <c r="HX1126" s="885"/>
      <c r="HY1126" s="885"/>
      <c r="HZ1126" s="885"/>
      <c r="IA1126" s="885"/>
      <c r="IB1126" s="885"/>
      <c r="IC1126" s="885"/>
      <c r="ID1126" s="885"/>
      <c r="IE1126" s="885"/>
      <c r="IF1126" s="885"/>
      <c r="IG1126" s="885"/>
      <c r="IH1126" s="885"/>
      <c r="II1126" s="885"/>
      <c r="IJ1126" s="885"/>
      <c r="IK1126" s="885"/>
      <c r="IL1126" s="885"/>
      <c r="IM1126" s="885"/>
      <c r="IN1126" s="885"/>
      <c r="IO1126" s="885"/>
      <c r="IP1126" s="885"/>
      <c r="IQ1126" s="885"/>
      <c r="IR1126" s="885"/>
      <c r="IS1126" s="885"/>
      <c r="IT1126" s="885"/>
      <c r="IU1126" s="885"/>
      <c r="IV1126" s="885"/>
      <c r="IW1126" s="885"/>
      <c r="IX1126" s="885"/>
    </row>
    <row r="1127" spans="1:258" x14ac:dyDescent="0.25">
      <c r="A1127" s="125">
        <f t="shared" si="128"/>
        <v>1087</v>
      </c>
      <c r="B1127" s="885"/>
      <c r="C1127" s="933" t="s">
        <v>10686</v>
      </c>
      <c r="D1127" s="924">
        <v>0</v>
      </c>
      <c r="E1127" s="924">
        <v>0</v>
      </c>
      <c r="F1127" s="136">
        <v>1000</v>
      </c>
      <c r="G1127" s="122" t="s">
        <v>1963</v>
      </c>
      <c r="H1127" s="842"/>
      <c r="I1127" s="793"/>
      <c r="J1127" s="885"/>
      <c r="K1127" s="885"/>
      <c r="L1127" s="885"/>
      <c r="M1127" s="885"/>
      <c r="N1127" s="885"/>
      <c r="O1127" s="885"/>
      <c r="P1127" s="885"/>
      <c r="Q1127" s="885"/>
      <c r="R1127" s="885"/>
      <c r="S1127" s="885"/>
      <c r="T1127" s="885"/>
      <c r="U1127" s="885"/>
      <c r="V1127" s="885"/>
      <c r="W1127" s="885"/>
      <c r="X1127" s="885"/>
      <c r="Y1127" s="885"/>
      <c r="Z1127" s="885"/>
      <c r="AA1127" s="885"/>
      <c r="AB1127" s="885"/>
      <c r="AC1127" s="885"/>
      <c r="AD1127" s="885"/>
      <c r="AE1127" s="885"/>
      <c r="AF1127" s="885"/>
      <c r="AG1127" s="885"/>
      <c r="AH1127" s="885"/>
      <c r="AI1127" s="885"/>
      <c r="AJ1127" s="885"/>
      <c r="AK1127" s="885"/>
      <c r="AL1127" s="885"/>
      <c r="AM1127" s="885"/>
      <c r="AN1127" s="885"/>
      <c r="AO1127" s="885"/>
      <c r="AP1127" s="885"/>
      <c r="AQ1127" s="885"/>
      <c r="AR1127" s="885"/>
      <c r="AS1127" s="885"/>
      <c r="AT1127" s="885"/>
      <c r="AU1127" s="885"/>
      <c r="AV1127" s="885"/>
      <c r="AW1127" s="885"/>
      <c r="AX1127" s="885"/>
      <c r="AY1127" s="885"/>
      <c r="AZ1127" s="885"/>
      <c r="BA1127" s="885"/>
      <c r="BB1127" s="885"/>
      <c r="BC1127" s="885"/>
      <c r="BD1127" s="885"/>
      <c r="BE1127" s="885"/>
      <c r="BF1127" s="885"/>
      <c r="BG1127" s="885"/>
      <c r="BH1127" s="885"/>
      <c r="BI1127" s="885"/>
      <c r="BJ1127" s="885"/>
      <c r="BK1127" s="885"/>
      <c r="BL1127" s="885"/>
      <c r="BM1127" s="885"/>
      <c r="BN1127" s="885"/>
      <c r="BO1127" s="885"/>
      <c r="BP1127" s="885"/>
      <c r="BQ1127" s="885"/>
      <c r="BR1127" s="885"/>
      <c r="BS1127" s="885"/>
      <c r="BT1127" s="885"/>
      <c r="BU1127" s="885"/>
      <c r="BV1127" s="885"/>
      <c r="BW1127" s="885"/>
      <c r="BX1127" s="885"/>
      <c r="BY1127" s="885"/>
      <c r="BZ1127" s="885"/>
      <c r="CA1127" s="885"/>
      <c r="CB1127" s="885"/>
      <c r="CC1127" s="885"/>
      <c r="CD1127" s="885"/>
      <c r="CE1127" s="885"/>
      <c r="CF1127" s="885"/>
      <c r="CG1127" s="885"/>
      <c r="CH1127" s="885"/>
      <c r="CI1127" s="885"/>
      <c r="CJ1127" s="885"/>
      <c r="CK1127" s="885"/>
      <c r="CL1127" s="885"/>
      <c r="CM1127" s="885"/>
      <c r="CN1127" s="885"/>
      <c r="CO1127" s="885"/>
      <c r="CP1127" s="885"/>
      <c r="CQ1127" s="885"/>
      <c r="CR1127" s="885"/>
      <c r="CS1127" s="885"/>
      <c r="CT1127" s="885"/>
      <c r="CU1127" s="885"/>
      <c r="CV1127" s="885"/>
      <c r="CW1127" s="885"/>
      <c r="CX1127" s="885"/>
      <c r="CY1127" s="885"/>
      <c r="CZ1127" s="885"/>
      <c r="DA1127" s="885"/>
      <c r="DB1127" s="885"/>
      <c r="DC1127" s="885"/>
      <c r="DD1127" s="885"/>
      <c r="DE1127" s="885"/>
      <c r="DF1127" s="885"/>
      <c r="DG1127" s="885"/>
      <c r="DH1127" s="885"/>
      <c r="DI1127" s="885"/>
      <c r="DJ1127" s="885"/>
      <c r="DK1127" s="885"/>
      <c r="DL1127" s="885"/>
      <c r="DM1127" s="885"/>
      <c r="DN1127" s="885"/>
      <c r="DO1127" s="885"/>
      <c r="DP1127" s="885"/>
      <c r="DQ1127" s="885"/>
      <c r="DR1127" s="885"/>
      <c r="DS1127" s="885"/>
      <c r="DT1127" s="885"/>
      <c r="DU1127" s="885"/>
      <c r="DV1127" s="885"/>
      <c r="DW1127" s="885"/>
      <c r="DX1127" s="885"/>
      <c r="DY1127" s="885"/>
      <c r="DZ1127" s="885"/>
      <c r="EA1127" s="885"/>
      <c r="EB1127" s="885"/>
      <c r="EC1127" s="885"/>
      <c r="ED1127" s="885"/>
      <c r="EE1127" s="885"/>
      <c r="EF1127" s="885"/>
      <c r="EG1127" s="885"/>
      <c r="EH1127" s="885"/>
      <c r="EI1127" s="885"/>
      <c r="EJ1127" s="885"/>
      <c r="EK1127" s="885"/>
      <c r="EL1127" s="885"/>
      <c r="EM1127" s="885"/>
      <c r="EN1127" s="885"/>
      <c r="EO1127" s="885"/>
      <c r="EP1127" s="885"/>
      <c r="EQ1127" s="885"/>
      <c r="ER1127" s="885"/>
      <c r="ES1127" s="885"/>
      <c r="ET1127" s="885"/>
      <c r="EU1127" s="885"/>
      <c r="EV1127" s="885"/>
      <c r="EW1127" s="885"/>
      <c r="EX1127" s="885"/>
      <c r="EY1127" s="885"/>
      <c r="EZ1127" s="885"/>
      <c r="FA1127" s="885"/>
      <c r="FB1127" s="885"/>
      <c r="FC1127" s="885"/>
      <c r="FD1127" s="885"/>
      <c r="FE1127" s="885"/>
      <c r="FF1127" s="885"/>
      <c r="FG1127" s="885"/>
      <c r="FH1127" s="885"/>
      <c r="FI1127" s="885"/>
      <c r="FJ1127" s="885"/>
      <c r="FK1127" s="885"/>
      <c r="FL1127" s="885"/>
      <c r="FM1127" s="885"/>
      <c r="FN1127" s="885"/>
      <c r="FO1127" s="885"/>
      <c r="FP1127" s="885"/>
      <c r="FQ1127" s="885"/>
      <c r="FR1127" s="885"/>
      <c r="FS1127" s="885"/>
      <c r="FT1127" s="885"/>
      <c r="FU1127" s="885"/>
      <c r="FV1127" s="885"/>
      <c r="FW1127" s="885"/>
      <c r="FX1127" s="885"/>
      <c r="FY1127" s="885"/>
      <c r="FZ1127" s="885"/>
      <c r="GA1127" s="885"/>
      <c r="GB1127" s="885"/>
      <c r="GC1127" s="885"/>
      <c r="GD1127" s="885"/>
      <c r="GE1127" s="885"/>
      <c r="GF1127" s="885"/>
      <c r="GG1127" s="885"/>
      <c r="GH1127" s="885"/>
      <c r="GI1127" s="885"/>
      <c r="GJ1127" s="885"/>
      <c r="GK1127" s="885"/>
      <c r="GL1127" s="885"/>
      <c r="GM1127" s="885"/>
      <c r="GN1127" s="885"/>
      <c r="GO1127" s="885"/>
      <c r="GP1127" s="885"/>
      <c r="GQ1127" s="885"/>
      <c r="GR1127" s="885"/>
      <c r="GS1127" s="885"/>
      <c r="GT1127" s="885"/>
      <c r="GU1127" s="885"/>
      <c r="GV1127" s="885"/>
      <c r="GW1127" s="885"/>
      <c r="GX1127" s="885"/>
      <c r="GY1127" s="885"/>
      <c r="GZ1127" s="885"/>
      <c r="HA1127" s="885"/>
      <c r="HB1127" s="885"/>
      <c r="HC1127" s="885"/>
      <c r="HD1127" s="885"/>
      <c r="HE1127" s="885"/>
      <c r="HF1127" s="885"/>
      <c r="HG1127" s="885"/>
      <c r="HH1127" s="885"/>
      <c r="HI1127" s="885"/>
      <c r="HJ1127" s="885"/>
      <c r="HK1127" s="885"/>
      <c r="HL1127" s="885"/>
      <c r="HM1127" s="885"/>
      <c r="HN1127" s="885"/>
      <c r="HO1127" s="885"/>
      <c r="HP1127" s="885"/>
      <c r="HQ1127" s="885"/>
      <c r="HR1127" s="885"/>
      <c r="HS1127" s="885"/>
      <c r="HT1127" s="885"/>
      <c r="HU1127" s="885"/>
      <c r="HV1127" s="885"/>
      <c r="HW1127" s="885"/>
      <c r="HX1127" s="885"/>
      <c r="HY1127" s="885"/>
      <c r="HZ1127" s="885"/>
      <c r="IA1127" s="885"/>
      <c r="IB1127" s="885"/>
      <c r="IC1127" s="885"/>
      <c r="ID1127" s="885"/>
      <c r="IE1127" s="885"/>
      <c r="IF1127" s="885"/>
      <c r="IG1127" s="885"/>
      <c r="IH1127" s="885"/>
      <c r="II1127" s="885"/>
      <c r="IJ1127" s="885"/>
      <c r="IK1127" s="885"/>
      <c r="IL1127" s="885"/>
      <c r="IM1127" s="885"/>
      <c r="IN1127" s="885"/>
      <c r="IO1127" s="885"/>
      <c r="IP1127" s="885"/>
      <c r="IQ1127" s="885"/>
      <c r="IR1127" s="885"/>
      <c r="IS1127" s="885"/>
      <c r="IT1127" s="885"/>
      <c r="IU1127" s="885"/>
      <c r="IV1127" s="885"/>
      <c r="IW1127" s="885"/>
      <c r="IX1127" s="885"/>
    </row>
    <row r="1128" spans="1:258" x14ac:dyDescent="0.25">
      <c r="A1128" s="125">
        <f t="shared" si="128"/>
        <v>1088</v>
      </c>
      <c r="B1128" s="885"/>
      <c r="C1128" s="933" t="s">
        <v>10687</v>
      </c>
      <c r="D1128" s="924">
        <v>1279</v>
      </c>
      <c r="E1128" s="924">
        <f>D1128/8*12</f>
        <v>1918.5</v>
      </c>
      <c r="F1128" s="136">
        <f>E1128</f>
        <v>1918.5</v>
      </c>
      <c r="G1128" s="122" t="s">
        <v>1963</v>
      </c>
      <c r="H1128" s="842"/>
      <c r="I1128" s="793"/>
      <c r="J1128" s="885"/>
      <c r="K1128" s="885"/>
      <c r="L1128" s="885"/>
      <c r="M1128" s="885"/>
      <c r="N1128" s="885"/>
      <c r="O1128" s="885"/>
      <c r="P1128" s="885"/>
      <c r="Q1128" s="885"/>
      <c r="R1128" s="885"/>
      <c r="S1128" s="885"/>
      <c r="T1128" s="885"/>
      <c r="U1128" s="885"/>
      <c r="V1128" s="885"/>
      <c r="W1128" s="885"/>
      <c r="X1128" s="885"/>
      <c r="Y1128" s="885"/>
      <c r="Z1128" s="885"/>
      <c r="AA1128" s="885"/>
      <c r="AB1128" s="885"/>
      <c r="AC1128" s="885"/>
      <c r="AD1128" s="885"/>
      <c r="AE1128" s="885"/>
      <c r="AF1128" s="885"/>
      <c r="AG1128" s="885"/>
      <c r="AH1128" s="885"/>
      <c r="AI1128" s="885"/>
      <c r="AJ1128" s="885"/>
      <c r="AK1128" s="885"/>
      <c r="AL1128" s="885"/>
      <c r="AM1128" s="885"/>
      <c r="AN1128" s="885"/>
      <c r="AO1128" s="885"/>
      <c r="AP1128" s="885"/>
      <c r="AQ1128" s="885"/>
      <c r="AR1128" s="885"/>
      <c r="AS1128" s="885"/>
      <c r="AT1128" s="885"/>
      <c r="AU1128" s="885"/>
      <c r="AV1128" s="885"/>
      <c r="AW1128" s="885"/>
      <c r="AX1128" s="885"/>
      <c r="AY1128" s="885"/>
      <c r="AZ1128" s="885"/>
      <c r="BA1128" s="885"/>
      <c r="BB1128" s="885"/>
      <c r="BC1128" s="885"/>
      <c r="BD1128" s="885"/>
      <c r="BE1128" s="885"/>
      <c r="BF1128" s="885"/>
      <c r="BG1128" s="885"/>
      <c r="BH1128" s="885"/>
      <c r="BI1128" s="885"/>
      <c r="BJ1128" s="885"/>
      <c r="BK1128" s="885"/>
      <c r="BL1128" s="885"/>
      <c r="BM1128" s="885"/>
      <c r="BN1128" s="885"/>
      <c r="BO1128" s="885"/>
      <c r="BP1128" s="885"/>
      <c r="BQ1128" s="885"/>
      <c r="BR1128" s="885"/>
      <c r="BS1128" s="885"/>
      <c r="BT1128" s="885"/>
      <c r="BU1128" s="885"/>
      <c r="BV1128" s="885"/>
      <c r="BW1128" s="885"/>
      <c r="BX1128" s="885"/>
      <c r="BY1128" s="885"/>
      <c r="BZ1128" s="885"/>
      <c r="CA1128" s="885"/>
      <c r="CB1128" s="885"/>
      <c r="CC1128" s="885"/>
      <c r="CD1128" s="885"/>
      <c r="CE1128" s="885"/>
      <c r="CF1128" s="885"/>
      <c r="CG1128" s="885"/>
      <c r="CH1128" s="885"/>
      <c r="CI1128" s="885"/>
      <c r="CJ1128" s="885"/>
      <c r="CK1128" s="885"/>
      <c r="CL1128" s="885"/>
      <c r="CM1128" s="885"/>
      <c r="CN1128" s="885"/>
      <c r="CO1128" s="885"/>
      <c r="CP1128" s="885"/>
      <c r="CQ1128" s="885"/>
      <c r="CR1128" s="885"/>
      <c r="CS1128" s="885"/>
      <c r="CT1128" s="885"/>
      <c r="CU1128" s="885"/>
      <c r="CV1128" s="885"/>
      <c r="CW1128" s="885"/>
      <c r="CX1128" s="885"/>
      <c r="CY1128" s="885"/>
      <c r="CZ1128" s="885"/>
      <c r="DA1128" s="885"/>
      <c r="DB1128" s="885"/>
      <c r="DC1128" s="885"/>
      <c r="DD1128" s="885"/>
      <c r="DE1128" s="885"/>
      <c r="DF1128" s="885"/>
      <c r="DG1128" s="885"/>
      <c r="DH1128" s="885"/>
      <c r="DI1128" s="885"/>
      <c r="DJ1128" s="885"/>
      <c r="DK1128" s="885"/>
      <c r="DL1128" s="885"/>
      <c r="DM1128" s="885"/>
      <c r="DN1128" s="885"/>
      <c r="DO1128" s="885"/>
      <c r="DP1128" s="885"/>
      <c r="DQ1128" s="885"/>
      <c r="DR1128" s="885"/>
      <c r="DS1128" s="885"/>
      <c r="DT1128" s="885"/>
      <c r="DU1128" s="885"/>
      <c r="DV1128" s="885"/>
      <c r="DW1128" s="885"/>
      <c r="DX1128" s="885"/>
      <c r="DY1128" s="885"/>
      <c r="DZ1128" s="885"/>
      <c r="EA1128" s="885"/>
      <c r="EB1128" s="885"/>
      <c r="EC1128" s="885"/>
      <c r="ED1128" s="885"/>
      <c r="EE1128" s="885"/>
      <c r="EF1128" s="885"/>
      <c r="EG1128" s="885"/>
      <c r="EH1128" s="885"/>
      <c r="EI1128" s="885"/>
      <c r="EJ1128" s="885"/>
      <c r="EK1128" s="885"/>
      <c r="EL1128" s="885"/>
      <c r="EM1128" s="885"/>
      <c r="EN1128" s="885"/>
      <c r="EO1128" s="885"/>
      <c r="EP1128" s="885"/>
      <c r="EQ1128" s="885"/>
      <c r="ER1128" s="885"/>
      <c r="ES1128" s="885"/>
      <c r="ET1128" s="885"/>
      <c r="EU1128" s="885"/>
      <c r="EV1128" s="885"/>
      <c r="EW1128" s="885"/>
      <c r="EX1128" s="885"/>
      <c r="EY1128" s="885"/>
      <c r="EZ1128" s="885"/>
      <c r="FA1128" s="885"/>
      <c r="FB1128" s="885"/>
      <c r="FC1128" s="885"/>
      <c r="FD1128" s="885"/>
      <c r="FE1128" s="885"/>
      <c r="FF1128" s="885"/>
      <c r="FG1128" s="885"/>
      <c r="FH1128" s="885"/>
      <c r="FI1128" s="885"/>
      <c r="FJ1128" s="885"/>
      <c r="FK1128" s="885"/>
      <c r="FL1128" s="885"/>
      <c r="FM1128" s="885"/>
      <c r="FN1128" s="885"/>
      <c r="FO1128" s="885"/>
      <c r="FP1128" s="885"/>
      <c r="FQ1128" s="885"/>
      <c r="FR1128" s="885"/>
      <c r="FS1128" s="885"/>
      <c r="FT1128" s="885"/>
      <c r="FU1128" s="885"/>
      <c r="FV1128" s="885"/>
      <c r="FW1128" s="885"/>
      <c r="FX1128" s="885"/>
      <c r="FY1128" s="885"/>
      <c r="FZ1128" s="885"/>
      <c r="GA1128" s="885"/>
      <c r="GB1128" s="885"/>
      <c r="GC1128" s="885"/>
      <c r="GD1128" s="885"/>
      <c r="GE1128" s="885"/>
      <c r="GF1128" s="885"/>
      <c r="GG1128" s="885"/>
      <c r="GH1128" s="885"/>
      <c r="GI1128" s="885"/>
      <c r="GJ1128" s="885"/>
      <c r="GK1128" s="885"/>
      <c r="GL1128" s="885"/>
      <c r="GM1128" s="885"/>
      <c r="GN1128" s="885"/>
      <c r="GO1128" s="885"/>
      <c r="GP1128" s="885"/>
      <c r="GQ1128" s="885"/>
      <c r="GR1128" s="885"/>
      <c r="GS1128" s="885"/>
      <c r="GT1128" s="885"/>
      <c r="GU1128" s="885"/>
      <c r="GV1128" s="885"/>
      <c r="GW1128" s="885"/>
      <c r="GX1128" s="885"/>
      <c r="GY1128" s="885"/>
      <c r="GZ1128" s="885"/>
      <c r="HA1128" s="885"/>
      <c r="HB1128" s="885"/>
      <c r="HC1128" s="885"/>
      <c r="HD1128" s="885"/>
      <c r="HE1128" s="885"/>
      <c r="HF1128" s="885"/>
      <c r="HG1128" s="885"/>
      <c r="HH1128" s="885"/>
      <c r="HI1128" s="885"/>
      <c r="HJ1128" s="885"/>
      <c r="HK1128" s="885"/>
      <c r="HL1128" s="885"/>
      <c r="HM1128" s="885"/>
      <c r="HN1128" s="885"/>
      <c r="HO1128" s="885"/>
      <c r="HP1128" s="885"/>
      <c r="HQ1128" s="885"/>
      <c r="HR1128" s="885"/>
      <c r="HS1128" s="885"/>
      <c r="HT1128" s="885"/>
      <c r="HU1128" s="885"/>
      <c r="HV1128" s="885"/>
      <c r="HW1128" s="885"/>
      <c r="HX1128" s="885"/>
      <c r="HY1128" s="885"/>
      <c r="HZ1128" s="885"/>
      <c r="IA1128" s="885"/>
      <c r="IB1128" s="885"/>
      <c r="IC1128" s="885"/>
      <c r="ID1128" s="885"/>
      <c r="IE1128" s="885"/>
      <c r="IF1128" s="885"/>
      <c r="IG1128" s="885"/>
      <c r="IH1128" s="885"/>
      <c r="II1128" s="885"/>
      <c r="IJ1128" s="885"/>
      <c r="IK1128" s="885"/>
      <c r="IL1128" s="885"/>
      <c r="IM1128" s="885"/>
      <c r="IN1128" s="885"/>
      <c r="IO1128" s="885"/>
      <c r="IP1128" s="885"/>
      <c r="IQ1128" s="885"/>
      <c r="IR1128" s="885"/>
      <c r="IS1128" s="885"/>
      <c r="IT1128" s="885"/>
      <c r="IU1128" s="885"/>
      <c r="IV1128" s="885"/>
      <c r="IW1128" s="885"/>
      <c r="IX1128" s="885"/>
    </row>
    <row r="1129" spans="1:258" x14ac:dyDescent="0.25">
      <c r="A1129" s="125">
        <f t="shared" si="128"/>
        <v>1089</v>
      </c>
      <c r="B1129" s="885"/>
      <c r="C1129" s="927" t="s">
        <v>10688</v>
      </c>
      <c r="D1129" s="928"/>
      <c r="E1129" s="928"/>
      <c r="F1129" s="842"/>
      <c r="G1129" s="842"/>
      <c r="H1129" s="842"/>
      <c r="I1129" s="793"/>
      <c r="J1129" s="885"/>
      <c r="K1129" s="885"/>
      <c r="L1129" s="885"/>
      <c r="M1129" s="885"/>
      <c r="N1129" s="885"/>
      <c r="O1129" s="885"/>
      <c r="P1129" s="885"/>
      <c r="Q1129" s="885"/>
      <c r="R1129" s="885"/>
      <c r="S1129" s="885"/>
      <c r="T1129" s="885"/>
      <c r="U1129" s="885"/>
      <c r="V1129" s="885"/>
      <c r="W1129" s="885"/>
      <c r="X1129" s="885"/>
      <c r="Y1129" s="885"/>
      <c r="Z1129" s="885"/>
      <c r="AA1129" s="885"/>
      <c r="AB1129" s="885"/>
      <c r="AC1129" s="885"/>
      <c r="AD1129" s="885"/>
      <c r="AE1129" s="885"/>
      <c r="AF1129" s="885"/>
      <c r="AG1129" s="885"/>
      <c r="AH1129" s="885"/>
      <c r="AI1129" s="885"/>
      <c r="AJ1129" s="885"/>
      <c r="AK1129" s="885"/>
      <c r="AL1129" s="885"/>
      <c r="AM1129" s="885"/>
      <c r="AN1129" s="885"/>
      <c r="AO1129" s="885"/>
      <c r="AP1129" s="885"/>
      <c r="AQ1129" s="885"/>
      <c r="AR1129" s="885"/>
      <c r="AS1129" s="885"/>
      <c r="AT1129" s="885"/>
      <c r="AU1129" s="885"/>
      <c r="AV1129" s="885"/>
      <c r="AW1129" s="885"/>
      <c r="AX1129" s="885"/>
      <c r="AY1129" s="885"/>
      <c r="AZ1129" s="885"/>
      <c r="BA1129" s="885"/>
      <c r="BB1129" s="885"/>
      <c r="BC1129" s="885"/>
      <c r="BD1129" s="885"/>
      <c r="BE1129" s="885"/>
      <c r="BF1129" s="885"/>
      <c r="BG1129" s="885"/>
      <c r="BH1129" s="885"/>
      <c r="BI1129" s="885"/>
      <c r="BJ1129" s="885"/>
      <c r="BK1129" s="885"/>
      <c r="BL1129" s="885"/>
      <c r="BM1129" s="885"/>
      <c r="BN1129" s="885"/>
      <c r="BO1129" s="885"/>
      <c r="BP1129" s="885"/>
      <c r="BQ1129" s="885"/>
      <c r="BR1129" s="885"/>
      <c r="BS1129" s="885"/>
      <c r="BT1129" s="885"/>
      <c r="BU1129" s="885"/>
      <c r="BV1129" s="885"/>
      <c r="BW1129" s="885"/>
      <c r="BX1129" s="885"/>
      <c r="BY1129" s="885"/>
      <c r="BZ1129" s="885"/>
      <c r="CA1129" s="885"/>
      <c r="CB1129" s="885"/>
      <c r="CC1129" s="885"/>
      <c r="CD1129" s="885"/>
      <c r="CE1129" s="885"/>
      <c r="CF1129" s="885"/>
      <c r="CG1129" s="885"/>
      <c r="CH1129" s="885"/>
      <c r="CI1129" s="885"/>
      <c r="CJ1129" s="885"/>
      <c r="CK1129" s="885"/>
      <c r="CL1129" s="885"/>
      <c r="CM1129" s="885"/>
      <c r="CN1129" s="885"/>
      <c r="CO1129" s="885"/>
      <c r="CP1129" s="885"/>
      <c r="CQ1129" s="885"/>
      <c r="CR1129" s="885"/>
      <c r="CS1129" s="885"/>
      <c r="CT1129" s="885"/>
      <c r="CU1129" s="885"/>
      <c r="CV1129" s="885"/>
      <c r="CW1129" s="885"/>
      <c r="CX1129" s="885"/>
      <c r="CY1129" s="885"/>
      <c r="CZ1129" s="885"/>
      <c r="DA1129" s="885"/>
      <c r="DB1129" s="885"/>
      <c r="DC1129" s="885"/>
      <c r="DD1129" s="885"/>
      <c r="DE1129" s="885"/>
      <c r="DF1129" s="885"/>
      <c r="DG1129" s="885"/>
      <c r="DH1129" s="885"/>
      <c r="DI1129" s="885"/>
      <c r="DJ1129" s="885"/>
      <c r="DK1129" s="885"/>
      <c r="DL1129" s="885"/>
      <c r="DM1129" s="885"/>
      <c r="DN1129" s="885"/>
      <c r="DO1129" s="885"/>
      <c r="DP1129" s="885"/>
      <c r="DQ1129" s="885"/>
      <c r="DR1129" s="885"/>
      <c r="DS1129" s="885"/>
      <c r="DT1129" s="885"/>
      <c r="DU1129" s="885"/>
      <c r="DV1129" s="885"/>
      <c r="DW1129" s="885"/>
      <c r="DX1129" s="885"/>
      <c r="DY1129" s="885"/>
      <c r="DZ1129" s="885"/>
      <c r="EA1129" s="885"/>
      <c r="EB1129" s="885"/>
      <c r="EC1129" s="885"/>
      <c r="ED1129" s="885"/>
      <c r="EE1129" s="885"/>
      <c r="EF1129" s="885"/>
      <c r="EG1129" s="885"/>
      <c r="EH1129" s="885"/>
      <c r="EI1129" s="885"/>
      <c r="EJ1129" s="885"/>
      <c r="EK1129" s="885"/>
      <c r="EL1129" s="885"/>
      <c r="EM1129" s="885"/>
      <c r="EN1129" s="885"/>
      <c r="EO1129" s="885"/>
      <c r="EP1129" s="885"/>
      <c r="EQ1129" s="885"/>
      <c r="ER1129" s="885"/>
      <c r="ES1129" s="885"/>
      <c r="ET1129" s="885"/>
      <c r="EU1129" s="885"/>
      <c r="EV1129" s="885"/>
      <c r="EW1129" s="885"/>
      <c r="EX1129" s="885"/>
      <c r="EY1129" s="885"/>
      <c r="EZ1129" s="885"/>
      <c r="FA1129" s="885"/>
      <c r="FB1129" s="885"/>
      <c r="FC1129" s="885"/>
      <c r="FD1129" s="885"/>
      <c r="FE1129" s="885"/>
      <c r="FF1129" s="885"/>
      <c r="FG1129" s="885"/>
      <c r="FH1129" s="885"/>
      <c r="FI1129" s="885"/>
      <c r="FJ1129" s="885"/>
      <c r="FK1129" s="885"/>
      <c r="FL1129" s="885"/>
      <c r="FM1129" s="885"/>
      <c r="FN1129" s="885"/>
      <c r="FO1129" s="885"/>
      <c r="FP1129" s="885"/>
      <c r="FQ1129" s="885"/>
      <c r="FR1129" s="885"/>
      <c r="FS1129" s="885"/>
      <c r="FT1129" s="885"/>
      <c r="FU1129" s="885"/>
      <c r="FV1129" s="885"/>
      <c r="FW1129" s="885"/>
      <c r="FX1129" s="885"/>
      <c r="FY1129" s="885"/>
      <c r="FZ1129" s="885"/>
      <c r="GA1129" s="885"/>
      <c r="GB1129" s="885"/>
      <c r="GC1129" s="885"/>
      <c r="GD1129" s="885"/>
      <c r="GE1129" s="885"/>
      <c r="GF1129" s="885"/>
      <c r="GG1129" s="885"/>
      <c r="GH1129" s="885"/>
      <c r="GI1129" s="885"/>
      <c r="GJ1129" s="885"/>
      <c r="GK1129" s="885"/>
      <c r="GL1129" s="885"/>
      <c r="GM1129" s="885"/>
      <c r="GN1129" s="885"/>
      <c r="GO1129" s="885"/>
      <c r="GP1129" s="885"/>
      <c r="GQ1129" s="885"/>
      <c r="GR1129" s="885"/>
      <c r="GS1129" s="885"/>
      <c r="GT1129" s="885"/>
      <c r="GU1129" s="885"/>
      <c r="GV1129" s="885"/>
      <c r="GW1129" s="885"/>
      <c r="GX1129" s="885"/>
      <c r="GY1129" s="885"/>
      <c r="GZ1129" s="885"/>
      <c r="HA1129" s="885"/>
      <c r="HB1129" s="885"/>
      <c r="HC1129" s="885"/>
      <c r="HD1129" s="885"/>
      <c r="HE1129" s="885"/>
      <c r="HF1129" s="885"/>
      <c r="HG1129" s="885"/>
      <c r="HH1129" s="885"/>
      <c r="HI1129" s="885"/>
      <c r="HJ1129" s="885"/>
      <c r="HK1129" s="885"/>
      <c r="HL1129" s="885"/>
      <c r="HM1129" s="885"/>
      <c r="HN1129" s="885"/>
      <c r="HO1129" s="885"/>
      <c r="HP1129" s="885"/>
      <c r="HQ1129" s="885"/>
      <c r="HR1129" s="885"/>
      <c r="HS1129" s="885"/>
      <c r="HT1129" s="885"/>
      <c r="HU1129" s="885"/>
      <c r="HV1129" s="885"/>
      <c r="HW1129" s="885"/>
      <c r="HX1129" s="885"/>
      <c r="HY1129" s="885"/>
      <c r="HZ1129" s="885"/>
      <c r="IA1129" s="885"/>
      <c r="IB1129" s="885"/>
      <c r="IC1129" s="885"/>
      <c r="ID1129" s="885"/>
      <c r="IE1129" s="885"/>
      <c r="IF1129" s="885"/>
      <c r="IG1129" s="885"/>
      <c r="IH1129" s="885"/>
      <c r="II1129" s="885"/>
      <c r="IJ1129" s="885"/>
      <c r="IK1129" s="885"/>
      <c r="IL1129" s="885"/>
      <c r="IM1129" s="885"/>
      <c r="IN1129" s="885"/>
      <c r="IO1129" s="885"/>
      <c r="IP1129" s="885"/>
      <c r="IQ1129" s="885"/>
      <c r="IR1129" s="885"/>
      <c r="IS1129" s="885"/>
      <c r="IT1129" s="885"/>
      <c r="IU1129" s="885"/>
      <c r="IV1129" s="885"/>
      <c r="IW1129" s="885"/>
      <c r="IX1129" s="885"/>
    </row>
    <row r="1130" spans="1:258" x14ac:dyDescent="0.25">
      <c r="A1130" s="125">
        <f t="shared" si="128"/>
        <v>1090</v>
      </c>
      <c r="B1130" s="885"/>
      <c r="C1130" s="932" t="s">
        <v>10689</v>
      </c>
      <c r="D1130" s="924">
        <v>31528.17</v>
      </c>
      <c r="E1130" s="924">
        <f>D1130/6*10</f>
        <v>52546.95</v>
      </c>
      <c r="F1130" s="136">
        <f>31528.17/6*10</f>
        <v>52546.95</v>
      </c>
      <c r="G1130" s="122" t="s">
        <v>1963</v>
      </c>
      <c r="H1130" s="842"/>
      <c r="I1130" s="793"/>
      <c r="J1130" s="885"/>
      <c r="K1130" s="885"/>
      <c r="L1130" s="885"/>
      <c r="M1130" s="885"/>
      <c r="N1130" s="885"/>
      <c r="O1130" s="885"/>
      <c r="P1130" s="885"/>
      <c r="Q1130" s="885"/>
      <c r="R1130" s="885"/>
      <c r="S1130" s="885"/>
      <c r="T1130" s="885"/>
      <c r="U1130" s="885"/>
      <c r="V1130" s="885"/>
      <c r="W1130" s="885"/>
      <c r="X1130" s="885"/>
      <c r="Y1130" s="885"/>
      <c r="Z1130" s="885"/>
      <c r="AA1130" s="885"/>
      <c r="AB1130" s="885"/>
      <c r="AC1130" s="885"/>
      <c r="AD1130" s="885"/>
      <c r="AE1130" s="885"/>
      <c r="AF1130" s="885"/>
      <c r="AG1130" s="885"/>
      <c r="AH1130" s="885"/>
      <c r="AI1130" s="885"/>
      <c r="AJ1130" s="885"/>
      <c r="AK1130" s="885"/>
      <c r="AL1130" s="885"/>
      <c r="AM1130" s="885"/>
      <c r="AN1130" s="885"/>
      <c r="AO1130" s="885"/>
      <c r="AP1130" s="885"/>
      <c r="AQ1130" s="885"/>
      <c r="AR1130" s="885"/>
      <c r="AS1130" s="885"/>
      <c r="AT1130" s="885"/>
      <c r="AU1130" s="885"/>
      <c r="AV1130" s="885"/>
      <c r="AW1130" s="885"/>
      <c r="AX1130" s="885"/>
      <c r="AY1130" s="885"/>
      <c r="AZ1130" s="885"/>
      <c r="BA1130" s="885"/>
      <c r="BB1130" s="885"/>
      <c r="BC1130" s="885"/>
      <c r="BD1130" s="885"/>
      <c r="BE1130" s="885"/>
      <c r="BF1130" s="885"/>
      <c r="BG1130" s="885"/>
      <c r="BH1130" s="885"/>
      <c r="BI1130" s="885"/>
      <c r="BJ1130" s="885"/>
      <c r="BK1130" s="885"/>
      <c r="BL1130" s="885"/>
      <c r="BM1130" s="885"/>
      <c r="BN1130" s="885"/>
      <c r="BO1130" s="885"/>
      <c r="BP1130" s="885"/>
      <c r="BQ1130" s="885"/>
      <c r="BR1130" s="885"/>
      <c r="BS1130" s="885"/>
      <c r="BT1130" s="885"/>
      <c r="BU1130" s="885"/>
      <c r="BV1130" s="885"/>
      <c r="BW1130" s="885"/>
      <c r="BX1130" s="885"/>
      <c r="BY1130" s="885"/>
      <c r="BZ1130" s="885"/>
      <c r="CA1130" s="885"/>
      <c r="CB1130" s="885"/>
      <c r="CC1130" s="885"/>
      <c r="CD1130" s="885"/>
      <c r="CE1130" s="885"/>
      <c r="CF1130" s="885"/>
      <c r="CG1130" s="885"/>
      <c r="CH1130" s="885"/>
      <c r="CI1130" s="885"/>
      <c r="CJ1130" s="885"/>
      <c r="CK1130" s="885"/>
      <c r="CL1130" s="885"/>
      <c r="CM1130" s="885"/>
      <c r="CN1130" s="885"/>
      <c r="CO1130" s="885"/>
      <c r="CP1130" s="885"/>
      <c r="CQ1130" s="885"/>
      <c r="CR1130" s="885"/>
      <c r="CS1130" s="885"/>
      <c r="CT1130" s="885"/>
      <c r="CU1130" s="885"/>
      <c r="CV1130" s="885"/>
      <c r="CW1130" s="885"/>
      <c r="CX1130" s="885"/>
      <c r="CY1130" s="885"/>
      <c r="CZ1130" s="885"/>
      <c r="DA1130" s="885"/>
      <c r="DB1130" s="885"/>
      <c r="DC1130" s="885"/>
      <c r="DD1130" s="885"/>
      <c r="DE1130" s="885"/>
      <c r="DF1130" s="885"/>
      <c r="DG1130" s="885"/>
      <c r="DH1130" s="885"/>
      <c r="DI1130" s="885"/>
      <c r="DJ1130" s="885"/>
      <c r="DK1130" s="885"/>
      <c r="DL1130" s="885"/>
      <c r="DM1130" s="885"/>
      <c r="DN1130" s="885"/>
      <c r="DO1130" s="885"/>
      <c r="DP1130" s="885"/>
      <c r="DQ1130" s="885"/>
      <c r="DR1130" s="885"/>
      <c r="DS1130" s="885"/>
      <c r="DT1130" s="885"/>
      <c r="DU1130" s="885"/>
      <c r="DV1130" s="885"/>
      <c r="DW1130" s="885"/>
      <c r="DX1130" s="885"/>
      <c r="DY1130" s="885"/>
      <c r="DZ1130" s="885"/>
      <c r="EA1130" s="885"/>
      <c r="EB1130" s="885"/>
      <c r="EC1130" s="885"/>
      <c r="ED1130" s="885"/>
      <c r="EE1130" s="885"/>
      <c r="EF1130" s="885"/>
      <c r="EG1130" s="885"/>
      <c r="EH1130" s="885"/>
      <c r="EI1130" s="885"/>
      <c r="EJ1130" s="885"/>
      <c r="EK1130" s="885"/>
      <c r="EL1130" s="885"/>
      <c r="EM1130" s="885"/>
      <c r="EN1130" s="885"/>
      <c r="EO1130" s="885"/>
      <c r="EP1130" s="885"/>
      <c r="EQ1130" s="885"/>
      <c r="ER1130" s="885"/>
      <c r="ES1130" s="885"/>
      <c r="ET1130" s="885"/>
      <c r="EU1130" s="885"/>
      <c r="EV1130" s="885"/>
      <c r="EW1130" s="885"/>
      <c r="EX1130" s="885"/>
      <c r="EY1130" s="885"/>
      <c r="EZ1130" s="885"/>
      <c r="FA1130" s="885"/>
      <c r="FB1130" s="885"/>
      <c r="FC1130" s="885"/>
      <c r="FD1130" s="885"/>
      <c r="FE1130" s="885"/>
      <c r="FF1130" s="885"/>
      <c r="FG1130" s="885"/>
      <c r="FH1130" s="885"/>
      <c r="FI1130" s="885"/>
      <c r="FJ1130" s="885"/>
      <c r="FK1130" s="885"/>
      <c r="FL1130" s="885"/>
      <c r="FM1130" s="885"/>
      <c r="FN1130" s="885"/>
      <c r="FO1130" s="885"/>
      <c r="FP1130" s="885"/>
      <c r="FQ1130" s="885"/>
      <c r="FR1130" s="885"/>
      <c r="FS1130" s="885"/>
      <c r="FT1130" s="885"/>
      <c r="FU1130" s="885"/>
      <c r="FV1130" s="885"/>
      <c r="FW1130" s="885"/>
      <c r="FX1130" s="885"/>
      <c r="FY1130" s="885"/>
      <c r="FZ1130" s="885"/>
      <c r="GA1130" s="885"/>
      <c r="GB1130" s="885"/>
      <c r="GC1130" s="885"/>
      <c r="GD1130" s="885"/>
      <c r="GE1130" s="885"/>
      <c r="GF1130" s="885"/>
      <c r="GG1130" s="885"/>
      <c r="GH1130" s="885"/>
      <c r="GI1130" s="885"/>
      <c r="GJ1130" s="885"/>
      <c r="GK1130" s="885"/>
      <c r="GL1130" s="885"/>
      <c r="GM1130" s="885"/>
      <c r="GN1130" s="885"/>
      <c r="GO1130" s="885"/>
      <c r="GP1130" s="885"/>
      <c r="GQ1130" s="885"/>
      <c r="GR1130" s="885"/>
      <c r="GS1130" s="885"/>
      <c r="GT1130" s="885"/>
      <c r="GU1130" s="885"/>
      <c r="GV1130" s="885"/>
      <c r="GW1130" s="885"/>
      <c r="GX1130" s="885"/>
      <c r="GY1130" s="885"/>
      <c r="GZ1130" s="885"/>
      <c r="HA1130" s="885"/>
      <c r="HB1130" s="885"/>
      <c r="HC1130" s="885"/>
      <c r="HD1130" s="885"/>
      <c r="HE1130" s="885"/>
      <c r="HF1130" s="885"/>
      <c r="HG1130" s="885"/>
      <c r="HH1130" s="885"/>
      <c r="HI1130" s="885"/>
      <c r="HJ1130" s="885"/>
      <c r="HK1130" s="885"/>
      <c r="HL1130" s="885"/>
      <c r="HM1130" s="885"/>
      <c r="HN1130" s="885"/>
      <c r="HO1130" s="885"/>
      <c r="HP1130" s="885"/>
      <c r="HQ1130" s="885"/>
      <c r="HR1130" s="885"/>
      <c r="HS1130" s="885"/>
      <c r="HT1130" s="885"/>
      <c r="HU1130" s="885"/>
      <c r="HV1130" s="885"/>
      <c r="HW1130" s="885"/>
      <c r="HX1130" s="885"/>
      <c r="HY1130" s="885"/>
      <c r="HZ1130" s="885"/>
      <c r="IA1130" s="885"/>
      <c r="IB1130" s="885"/>
      <c r="IC1130" s="885"/>
      <c r="ID1130" s="885"/>
      <c r="IE1130" s="885"/>
      <c r="IF1130" s="885"/>
      <c r="IG1130" s="885"/>
      <c r="IH1130" s="885"/>
      <c r="II1130" s="885"/>
      <c r="IJ1130" s="885"/>
      <c r="IK1130" s="885"/>
      <c r="IL1130" s="885"/>
      <c r="IM1130" s="885"/>
      <c r="IN1130" s="885"/>
      <c r="IO1130" s="885"/>
      <c r="IP1130" s="885"/>
      <c r="IQ1130" s="885"/>
      <c r="IR1130" s="885"/>
      <c r="IS1130" s="885"/>
      <c r="IT1130" s="885"/>
      <c r="IU1130" s="885"/>
      <c r="IV1130" s="885"/>
      <c r="IW1130" s="885"/>
      <c r="IX1130" s="885"/>
    </row>
    <row r="1131" spans="1:258" x14ac:dyDescent="0.25">
      <c r="A1131" s="125">
        <f t="shared" si="128"/>
        <v>1091</v>
      </c>
      <c r="B1131" s="885"/>
      <c r="C1131" s="932" t="s">
        <v>10690</v>
      </c>
      <c r="D1131" s="924">
        <v>0</v>
      </c>
      <c r="E1131" s="924">
        <f t="shared" ref="E1131:E1147" si="129">D1131/8*12</f>
        <v>0</v>
      </c>
      <c r="F1131" s="136">
        <v>10000</v>
      </c>
      <c r="G1131" s="122" t="s">
        <v>1963</v>
      </c>
      <c r="H1131" s="842"/>
      <c r="I1131" s="793"/>
      <c r="J1131" s="885"/>
      <c r="K1131" s="885"/>
      <c r="L1131" s="885"/>
      <c r="M1131" s="885"/>
      <c r="N1131" s="885"/>
      <c r="O1131" s="885"/>
      <c r="P1131" s="885"/>
      <c r="Q1131" s="885"/>
      <c r="R1131" s="885"/>
      <c r="S1131" s="885"/>
      <c r="T1131" s="885"/>
      <c r="U1131" s="885"/>
      <c r="V1131" s="885"/>
      <c r="W1131" s="885"/>
      <c r="X1131" s="885"/>
      <c r="Y1131" s="885"/>
      <c r="Z1131" s="885"/>
      <c r="AA1131" s="885"/>
      <c r="AB1131" s="885"/>
      <c r="AC1131" s="885"/>
      <c r="AD1131" s="885"/>
      <c r="AE1131" s="885"/>
      <c r="AF1131" s="885"/>
      <c r="AG1131" s="885"/>
      <c r="AH1131" s="885"/>
      <c r="AI1131" s="885"/>
      <c r="AJ1131" s="885"/>
      <c r="AK1131" s="885"/>
      <c r="AL1131" s="885"/>
      <c r="AM1131" s="885"/>
      <c r="AN1131" s="885"/>
      <c r="AO1131" s="885"/>
      <c r="AP1131" s="885"/>
      <c r="AQ1131" s="885"/>
      <c r="AR1131" s="885"/>
      <c r="AS1131" s="885"/>
      <c r="AT1131" s="885"/>
      <c r="AU1131" s="885"/>
      <c r="AV1131" s="885"/>
      <c r="AW1131" s="885"/>
      <c r="AX1131" s="885"/>
      <c r="AY1131" s="885"/>
      <c r="AZ1131" s="885"/>
      <c r="BA1131" s="885"/>
      <c r="BB1131" s="885"/>
      <c r="BC1131" s="885"/>
      <c r="BD1131" s="885"/>
      <c r="BE1131" s="885"/>
      <c r="BF1131" s="885"/>
      <c r="BG1131" s="885"/>
      <c r="BH1131" s="885"/>
      <c r="BI1131" s="885"/>
      <c r="BJ1131" s="885"/>
      <c r="BK1131" s="885"/>
      <c r="BL1131" s="885"/>
      <c r="BM1131" s="885"/>
      <c r="BN1131" s="885"/>
      <c r="BO1131" s="885"/>
      <c r="BP1131" s="885"/>
      <c r="BQ1131" s="885"/>
      <c r="BR1131" s="885"/>
      <c r="BS1131" s="885"/>
      <c r="BT1131" s="885"/>
      <c r="BU1131" s="885"/>
      <c r="BV1131" s="885"/>
      <c r="BW1131" s="885"/>
      <c r="BX1131" s="885"/>
      <c r="BY1131" s="885"/>
      <c r="BZ1131" s="885"/>
      <c r="CA1131" s="885"/>
      <c r="CB1131" s="885"/>
      <c r="CC1131" s="885"/>
      <c r="CD1131" s="885"/>
      <c r="CE1131" s="885"/>
      <c r="CF1131" s="885"/>
      <c r="CG1131" s="885"/>
      <c r="CH1131" s="885"/>
      <c r="CI1131" s="885"/>
      <c r="CJ1131" s="885"/>
      <c r="CK1131" s="885"/>
      <c r="CL1131" s="885"/>
      <c r="CM1131" s="885"/>
      <c r="CN1131" s="885"/>
      <c r="CO1131" s="885"/>
      <c r="CP1131" s="885"/>
      <c r="CQ1131" s="885"/>
      <c r="CR1131" s="885"/>
      <c r="CS1131" s="885"/>
      <c r="CT1131" s="885"/>
      <c r="CU1131" s="885"/>
      <c r="CV1131" s="885"/>
      <c r="CW1131" s="885"/>
      <c r="CX1131" s="885"/>
      <c r="CY1131" s="885"/>
      <c r="CZ1131" s="885"/>
      <c r="DA1131" s="885"/>
      <c r="DB1131" s="885"/>
      <c r="DC1131" s="885"/>
      <c r="DD1131" s="885"/>
      <c r="DE1131" s="885"/>
      <c r="DF1131" s="885"/>
      <c r="DG1131" s="885"/>
      <c r="DH1131" s="885"/>
      <c r="DI1131" s="885"/>
      <c r="DJ1131" s="885"/>
      <c r="DK1131" s="885"/>
      <c r="DL1131" s="885"/>
      <c r="DM1131" s="885"/>
      <c r="DN1131" s="885"/>
      <c r="DO1131" s="885"/>
      <c r="DP1131" s="885"/>
      <c r="DQ1131" s="885"/>
      <c r="DR1131" s="885"/>
      <c r="DS1131" s="885"/>
      <c r="DT1131" s="885"/>
      <c r="DU1131" s="885"/>
      <c r="DV1131" s="885"/>
      <c r="DW1131" s="885"/>
      <c r="DX1131" s="885"/>
      <c r="DY1131" s="885"/>
      <c r="DZ1131" s="885"/>
      <c r="EA1131" s="885"/>
      <c r="EB1131" s="885"/>
      <c r="EC1131" s="885"/>
      <c r="ED1131" s="885"/>
      <c r="EE1131" s="885"/>
      <c r="EF1131" s="885"/>
      <c r="EG1131" s="885"/>
      <c r="EH1131" s="885"/>
      <c r="EI1131" s="885"/>
      <c r="EJ1131" s="885"/>
      <c r="EK1131" s="885"/>
      <c r="EL1131" s="885"/>
      <c r="EM1131" s="885"/>
      <c r="EN1131" s="885"/>
      <c r="EO1131" s="885"/>
      <c r="EP1131" s="885"/>
      <c r="EQ1131" s="885"/>
      <c r="ER1131" s="885"/>
      <c r="ES1131" s="885"/>
      <c r="ET1131" s="885"/>
      <c r="EU1131" s="885"/>
      <c r="EV1131" s="885"/>
      <c r="EW1131" s="885"/>
      <c r="EX1131" s="885"/>
      <c r="EY1131" s="885"/>
      <c r="EZ1131" s="885"/>
      <c r="FA1131" s="885"/>
      <c r="FB1131" s="885"/>
      <c r="FC1131" s="885"/>
      <c r="FD1131" s="885"/>
      <c r="FE1131" s="885"/>
      <c r="FF1131" s="885"/>
      <c r="FG1131" s="885"/>
      <c r="FH1131" s="885"/>
      <c r="FI1131" s="885"/>
      <c r="FJ1131" s="885"/>
      <c r="FK1131" s="885"/>
      <c r="FL1131" s="885"/>
      <c r="FM1131" s="885"/>
      <c r="FN1131" s="885"/>
      <c r="FO1131" s="885"/>
      <c r="FP1131" s="885"/>
      <c r="FQ1131" s="885"/>
      <c r="FR1131" s="885"/>
      <c r="FS1131" s="885"/>
      <c r="FT1131" s="885"/>
      <c r="FU1131" s="885"/>
      <c r="FV1131" s="885"/>
      <c r="FW1131" s="885"/>
      <c r="FX1131" s="885"/>
      <c r="FY1131" s="885"/>
      <c r="FZ1131" s="885"/>
      <c r="GA1131" s="885"/>
      <c r="GB1131" s="885"/>
      <c r="GC1131" s="885"/>
      <c r="GD1131" s="885"/>
      <c r="GE1131" s="885"/>
      <c r="GF1131" s="885"/>
      <c r="GG1131" s="885"/>
      <c r="GH1131" s="885"/>
      <c r="GI1131" s="885"/>
      <c r="GJ1131" s="885"/>
      <c r="GK1131" s="885"/>
      <c r="GL1131" s="885"/>
      <c r="GM1131" s="885"/>
      <c r="GN1131" s="885"/>
      <c r="GO1131" s="885"/>
      <c r="GP1131" s="885"/>
      <c r="GQ1131" s="885"/>
      <c r="GR1131" s="885"/>
      <c r="GS1131" s="885"/>
      <c r="GT1131" s="885"/>
      <c r="GU1131" s="885"/>
      <c r="GV1131" s="885"/>
      <c r="GW1131" s="885"/>
      <c r="GX1131" s="885"/>
      <c r="GY1131" s="885"/>
      <c r="GZ1131" s="885"/>
      <c r="HA1131" s="885"/>
      <c r="HB1131" s="885"/>
      <c r="HC1131" s="885"/>
      <c r="HD1131" s="885"/>
      <c r="HE1131" s="885"/>
      <c r="HF1131" s="885"/>
      <c r="HG1131" s="885"/>
      <c r="HH1131" s="885"/>
      <c r="HI1131" s="885"/>
      <c r="HJ1131" s="885"/>
      <c r="HK1131" s="885"/>
      <c r="HL1131" s="885"/>
      <c r="HM1131" s="885"/>
      <c r="HN1131" s="885"/>
      <c r="HO1131" s="885"/>
      <c r="HP1131" s="885"/>
      <c r="HQ1131" s="885"/>
      <c r="HR1131" s="885"/>
      <c r="HS1131" s="885"/>
      <c r="HT1131" s="885"/>
      <c r="HU1131" s="885"/>
      <c r="HV1131" s="885"/>
      <c r="HW1131" s="885"/>
      <c r="HX1131" s="885"/>
      <c r="HY1131" s="885"/>
      <c r="HZ1131" s="885"/>
      <c r="IA1131" s="885"/>
      <c r="IB1131" s="885"/>
      <c r="IC1131" s="885"/>
      <c r="ID1131" s="885"/>
      <c r="IE1131" s="885"/>
      <c r="IF1131" s="885"/>
      <c r="IG1131" s="885"/>
      <c r="IH1131" s="885"/>
      <c r="II1131" s="885"/>
      <c r="IJ1131" s="885"/>
      <c r="IK1131" s="885"/>
      <c r="IL1131" s="885"/>
      <c r="IM1131" s="885"/>
      <c r="IN1131" s="885"/>
      <c r="IO1131" s="885"/>
      <c r="IP1131" s="885"/>
      <c r="IQ1131" s="885"/>
      <c r="IR1131" s="885"/>
      <c r="IS1131" s="885"/>
      <c r="IT1131" s="885"/>
      <c r="IU1131" s="885"/>
      <c r="IV1131" s="885"/>
      <c r="IW1131" s="885"/>
      <c r="IX1131" s="885"/>
    </row>
    <row r="1132" spans="1:258" x14ac:dyDescent="0.25">
      <c r="A1132" s="125">
        <f t="shared" si="128"/>
        <v>1092</v>
      </c>
      <c r="B1132" s="885"/>
      <c r="C1132" s="927" t="s">
        <v>10691</v>
      </c>
      <c r="D1132" s="928"/>
      <c r="E1132" s="928"/>
      <c r="F1132" s="842"/>
      <c r="G1132" s="842"/>
      <c r="H1132" s="842"/>
      <c r="I1132" s="793"/>
      <c r="J1132" s="885"/>
      <c r="K1132" s="885"/>
      <c r="L1132" s="885"/>
      <c r="M1132" s="885"/>
      <c r="N1132" s="885"/>
      <c r="O1132" s="885"/>
      <c r="P1132" s="885"/>
      <c r="Q1132" s="885"/>
      <c r="R1132" s="885"/>
      <c r="S1132" s="885"/>
      <c r="T1132" s="885"/>
      <c r="U1132" s="885"/>
      <c r="V1132" s="885"/>
      <c r="W1132" s="885"/>
      <c r="X1132" s="885"/>
      <c r="Y1132" s="885"/>
      <c r="Z1132" s="885"/>
      <c r="AA1132" s="885"/>
      <c r="AB1132" s="885"/>
      <c r="AC1132" s="885"/>
      <c r="AD1132" s="885"/>
      <c r="AE1132" s="885"/>
      <c r="AF1132" s="885"/>
      <c r="AG1132" s="885"/>
      <c r="AH1132" s="885"/>
      <c r="AI1132" s="885"/>
      <c r="AJ1132" s="885"/>
      <c r="AK1132" s="885"/>
      <c r="AL1132" s="885"/>
      <c r="AM1132" s="885"/>
      <c r="AN1132" s="885"/>
      <c r="AO1132" s="885"/>
      <c r="AP1132" s="885"/>
      <c r="AQ1132" s="885"/>
      <c r="AR1132" s="885"/>
      <c r="AS1132" s="885"/>
      <c r="AT1132" s="885"/>
      <c r="AU1132" s="885"/>
      <c r="AV1132" s="885"/>
      <c r="AW1132" s="885"/>
      <c r="AX1132" s="885"/>
      <c r="AY1132" s="885"/>
      <c r="AZ1132" s="885"/>
      <c r="BA1132" s="885"/>
      <c r="BB1132" s="885"/>
      <c r="BC1132" s="885"/>
      <c r="BD1132" s="885"/>
      <c r="BE1132" s="885"/>
      <c r="BF1132" s="885"/>
      <c r="BG1132" s="885"/>
      <c r="BH1132" s="885"/>
      <c r="BI1132" s="885"/>
      <c r="BJ1132" s="885"/>
      <c r="BK1132" s="885"/>
      <c r="BL1132" s="885"/>
      <c r="BM1132" s="885"/>
      <c r="BN1132" s="885"/>
      <c r="BO1132" s="885"/>
      <c r="BP1132" s="885"/>
      <c r="BQ1132" s="885"/>
      <c r="BR1132" s="885"/>
      <c r="BS1132" s="885"/>
      <c r="BT1132" s="885"/>
      <c r="BU1132" s="885"/>
      <c r="BV1132" s="885"/>
      <c r="BW1132" s="885"/>
      <c r="BX1132" s="885"/>
      <c r="BY1132" s="885"/>
      <c r="BZ1132" s="885"/>
      <c r="CA1132" s="885"/>
      <c r="CB1132" s="885"/>
      <c r="CC1132" s="885"/>
      <c r="CD1132" s="885"/>
      <c r="CE1132" s="885"/>
      <c r="CF1132" s="885"/>
      <c r="CG1132" s="885"/>
      <c r="CH1132" s="885"/>
      <c r="CI1132" s="885"/>
      <c r="CJ1132" s="885"/>
      <c r="CK1132" s="885"/>
      <c r="CL1132" s="885"/>
      <c r="CM1132" s="885"/>
      <c r="CN1132" s="885"/>
      <c r="CO1132" s="885"/>
      <c r="CP1132" s="885"/>
      <c r="CQ1132" s="885"/>
      <c r="CR1132" s="885"/>
      <c r="CS1132" s="885"/>
      <c r="CT1132" s="885"/>
      <c r="CU1132" s="885"/>
      <c r="CV1132" s="885"/>
      <c r="CW1132" s="885"/>
      <c r="CX1132" s="885"/>
      <c r="CY1132" s="885"/>
      <c r="CZ1132" s="885"/>
      <c r="DA1132" s="885"/>
      <c r="DB1132" s="885"/>
      <c r="DC1132" s="885"/>
      <c r="DD1132" s="885"/>
      <c r="DE1132" s="885"/>
      <c r="DF1132" s="885"/>
      <c r="DG1132" s="885"/>
      <c r="DH1132" s="885"/>
      <c r="DI1132" s="885"/>
      <c r="DJ1132" s="885"/>
      <c r="DK1132" s="885"/>
      <c r="DL1132" s="885"/>
      <c r="DM1132" s="885"/>
      <c r="DN1132" s="885"/>
      <c r="DO1132" s="885"/>
      <c r="DP1132" s="885"/>
      <c r="DQ1132" s="885"/>
      <c r="DR1132" s="885"/>
      <c r="DS1132" s="885"/>
      <c r="DT1132" s="885"/>
      <c r="DU1132" s="885"/>
      <c r="DV1132" s="885"/>
      <c r="DW1132" s="885"/>
      <c r="DX1132" s="885"/>
      <c r="DY1132" s="885"/>
      <c r="DZ1132" s="885"/>
      <c r="EA1132" s="885"/>
      <c r="EB1132" s="885"/>
      <c r="EC1132" s="885"/>
      <c r="ED1132" s="885"/>
      <c r="EE1132" s="885"/>
      <c r="EF1132" s="885"/>
      <c r="EG1132" s="885"/>
      <c r="EH1132" s="885"/>
      <c r="EI1132" s="885"/>
      <c r="EJ1132" s="885"/>
      <c r="EK1132" s="885"/>
      <c r="EL1132" s="885"/>
      <c r="EM1132" s="885"/>
      <c r="EN1132" s="885"/>
      <c r="EO1132" s="885"/>
      <c r="EP1132" s="885"/>
      <c r="EQ1132" s="885"/>
      <c r="ER1132" s="885"/>
      <c r="ES1132" s="885"/>
      <c r="ET1132" s="885"/>
      <c r="EU1132" s="885"/>
      <c r="EV1132" s="885"/>
      <c r="EW1132" s="885"/>
      <c r="EX1132" s="885"/>
      <c r="EY1132" s="885"/>
      <c r="EZ1132" s="885"/>
      <c r="FA1132" s="885"/>
      <c r="FB1132" s="885"/>
      <c r="FC1132" s="885"/>
      <c r="FD1132" s="885"/>
      <c r="FE1132" s="885"/>
      <c r="FF1132" s="885"/>
      <c r="FG1132" s="885"/>
      <c r="FH1132" s="885"/>
      <c r="FI1132" s="885"/>
      <c r="FJ1132" s="885"/>
      <c r="FK1132" s="885"/>
      <c r="FL1132" s="885"/>
      <c r="FM1132" s="885"/>
      <c r="FN1132" s="885"/>
      <c r="FO1132" s="885"/>
      <c r="FP1132" s="885"/>
      <c r="FQ1132" s="885"/>
      <c r="FR1132" s="885"/>
      <c r="FS1132" s="885"/>
      <c r="FT1132" s="885"/>
      <c r="FU1132" s="885"/>
      <c r="FV1132" s="885"/>
      <c r="FW1132" s="885"/>
      <c r="FX1132" s="885"/>
      <c r="FY1132" s="885"/>
      <c r="FZ1132" s="885"/>
      <c r="GA1132" s="885"/>
      <c r="GB1132" s="885"/>
      <c r="GC1132" s="885"/>
      <c r="GD1132" s="885"/>
      <c r="GE1132" s="885"/>
      <c r="GF1132" s="885"/>
      <c r="GG1132" s="885"/>
      <c r="GH1132" s="885"/>
      <c r="GI1132" s="885"/>
      <c r="GJ1132" s="885"/>
      <c r="GK1132" s="885"/>
      <c r="GL1132" s="885"/>
      <c r="GM1132" s="885"/>
      <c r="GN1132" s="885"/>
      <c r="GO1132" s="885"/>
      <c r="GP1132" s="885"/>
      <c r="GQ1132" s="885"/>
      <c r="GR1132" s="885"/>
      <c r="GS1132" s="885"/>
      <c r="GT1132" s="885"/>
      <c r="GU1132" s="885"/>
      <c r="GV1132" s="885"/>
      <c r="GW1132" s="885"/>
      <c r="GX1132" s="885"/>
      <c r="GY1132" s="885"/>
      <c r="GZ1132" s="885"/>
      <c r="HA1132" s="885"/>
      <c r="HB1132" s="885"/>
      <c r="HC1132" s="885"/>
      <c r="HD1132" s="885"/>
      <c r="HE1132" s="885"/>
      <c r="HF1132" s="885"/>
      <c r="HG1132" s="885"/>
      <c r="HH1132" s="885"/>
      <c r="HI1132" s="885"/>
      <c r="HJ1132" s="885"/>
      <c r="HK1132" s="885"/>
      <c r="HL1132" s="885"/>
      <c r="HM1132" s="885"/>
      <c r="HN1132" s="885"/>
      <c r="HO1132" s="885"/>
      <c r="HP1132" s="885"/>
      <c r="HQ1132" s="885"/>
      <c r="HR1132" s="885"/>
      <c r="HS1132" s="885"/>
      <c r="HT1132" s="885"/>
      <c r="HU1132" s="885"/>
      <c r="HV1132" s="885"/>
      <c r="HW1132" s="885"/>
      <c r="HX1132" s="885"/>
      <c r="HY1132" s="885"/>
      <c r="HZ1132" s="885"/>
      <c r="IA1132" s="885"/>
      <c r="IB1132" s="885"/>
      <c r="IC1132" s="885"/>
      <c r="ID1132" s="885"/>
      <c r="IE1132" s="885"/>
      <c r="IF1132" s="885"/>
      <c r="IG1132" s="885"/>
      <c r="IH1132" s="885"/>
      <c r="II1132" s="885"/>
      <c r="IJ1132" s="885"/>
      <c r="IK1132" s="885"/>
      <c r="IL1132" s="885"/>
      <c r="IM1132" s="885"/>
      <c r="IN1132" s="885"/>
      <c r="IO1132" s="885"/>
      <c r="IP1132" s="885"/>
      <c r="IQ1132" s="885"/>
      <c r="IR1132" s="885"/>
      <c r="IS1132" s="885"/>
      <c r="IT1132" s="885"/>
      <c r="IU1132" s="885"/>
      <c r="IV1132" s="885"/>
      <c r="IW1132" s="885"/>
      <c r="IX1132" s="885"/>
    </row>
    <row r="1133" spans="1:258" x14ac:dyDescent="0.25">
      <c r="A1133" s="125">
        <f t="shared" si="128"/>
        <v>1093</v>
      </c>
      <c r="B1133" s="885"/>
      <c r="C1133" s="842" t="s">
        <v>10692</v>
      </c>
      <c r="D1133" s="924">
        <v>0</v>
      </c>
      <c r="E1133" s="924">
        <f t="shared" si="129"/>
        <v>0</v>
      </c>
      <c r="F1133" s="136">
        <v>1</v>
      </c>
      <c r="G1133" s="122" t="s">
        <v>1963</v>
      </c>
      <c r="H1133" s="842"/>
      <c r="I1133" s="793"/>
      <c r="J1133" s="885"/>
      <c r="K1133" s="885"/>
      <c r="L1133" s="885"/>
      <c r="M1133" s="885"/>
      <c r="N1133" s="885"/>
      <c r="O1133" s="885"/>
      <c r="P1133" s="885"/>
      <c r="Q1133" s="885"/>
      <c r="R1133" s="885"/>
      <c r="S1133" s="885"/>
      <c r="T1133" s="885"/>
      <c r="U1133" s="885"/>
      <c r="V1133" s="885"/>
      <c r="W1133" s="885"/>
      <c r="X1133" s="885"/>
      <c r="Y1133" s="885"/>
      <c r="Z1133" s="885"/>
      <c r="AA1133" s="885"/>
      <c r="AB1133" s="885"/>
      <c r="AC1133" s="885"/>
      <c r="AD1133" s="885"/>
      <c r="AE1133" s="885"/>
      <c r="AF1133" s="885"/>
      <c r="AG1133" s="885"/>
      <c r="AH1133" s="885"/>
      <c r="AI1133" s="885"/>
      <c r="AJ1133" s="885"/>
      <c r="AK1133" s="885"/>
      <c r="AL1133" s="885"/>
      <c r="AM1133" s="885"/>
      <c r="AN1133" s="885"/>
      <c r="AO1133" s="885"/>
      <c r="AP1133" s="885"/>
      <c r="AQ1133" s="885"/>
      <c r="AR1133" s="885"/>
      <c r="AS1133" s="885"/>
      <c r="AT1133" s="885"/>
      <c r="AU1133" s="885"/>
      <c r="AV1133" s="885"/>
      <c r="AW1133" s="885"/>
      <c r="AX1133" s="885"/>
      <c r="AY1133" s="885"/>
      <c r="AZ1133" s="885"/>
      <c r="BA1133" s="885"/>
      <c r="BB1133" s="885"/>
      <c r="BC1133" s="885"/>
      <c r="BD1133" s="885"/>
      <c r="BE1133" s="885"/>
      <c r="BF1133" s="885"/>
      <c r="BG1133" s="885"/>
      <c r="BH1133" s="885"/>
      <c r="BI1133" s="885"/>
      <c r="BJ1133" s="885"/>
      <c r="BK1133" s="885"/>
      <c r="BL1133" s="885"/>
      <c r="BM1133" s="885"/>
      <c r="BN1133" s="885"/>
      <c r="BO1133" s="885"/>
      <c r="BP1133" s="885"/>
      <c r="BQ1133" s="885"/>
      <c r="BR1133" s="885"/>
      <c r="BS1133" s="885"/>
      <c r="BT1133" s="885"/>
      <c r="BU1133" s="885"/>
      <c r="BV1133" s="885"/>
      <c r="BW1133" s="885"/>
      <c r="BX1133" s="885"/>
      <c r="BY1133" s="885"/>
      <c r="BZ1133" s="885"/>
      <c r="CA1133" s="885"/>
      <c r="CB1133" s="885"/>
      <c r="CC1133" s="885"/>
      <c r="CD1133" s="885"/>
      <c r="CE1133" s="885"/>
      <c r="CF1133" s="885"/>
      <c r="CG1133" s="885"/>
      <c r="CH1133" s="885"/>
      <c r="CI1133" s="885"/>
      <c r="CJ1133" s="885"/>
      <c r="CK1133" s="885"/>
      <c r="CL1133" s="885"/>
      <c r="CM1133" s="885"/>
      <c r="CN1133" s="885"/>
      <c r="CO1133" s="885"/>
      <c r="CP1133" s="885"/>
      <c r="CQ1133" s="885"/>
      <c r="CR1133" s="885"/>
      <c r="CS1133" s="885"/>
      <c r="CT1133" s="885"/>
      <c r="CU1133" s="885"/>
      <c r="CV1133" s="885"/>
      <c r="CW1133" s="885"/>
      <c r="CX1133" s="885"/>
      <c r="CY1133" s="885"/>
      <c r="CZ1133" s="885"/>
      <c r="DA1133" s="885"/>
      <c r="DB1133" s="885"/>
      <c r="DC1133" s="885"/>
      <c r="DD1133" s="885"/>
      <c r="DE1133" s="885"/>
      <c r="DF1133" s="885"/>
      <c r="DG1133" s="885"/>
      <c r="DH1133" s="885"/>
      <c r="DI1133" s="885"/>
      <c r="DJ1133" s="885"/>
      <c r="DK1133" s="885"/>
      <c r="DL1133" s="885"/>
      <c r="DM1133" s="885"/>
      <c r="DN1133" s="885"/>
      <c r="DO1133" s="885"/>
      <c r="DP1133" s="885"/>
      <c r="DQ1133" s="885"/>
      <c r="DR1133" s="885"/>
      <c r="DS1133" s="885"/>
      <c r="DT1133" s="885"/>
      <c r="DU1133" s="885"/>
      <c r="DV1133" s="885"/>
      <c r="DW1133" s="885"/>
      <c r="DX1133" s="885"/>
      <c r="DY1133" s="885"/>
      <c r="DZ1133" s="885"/>
      <c r="EA1133" s="885"/>
      <c r="EB1133" s="885"/>
      <c r="EC1133" s="885"/>
      <c r="ED1133" s="885"/>
      <c r="EE1133" s="885"/>
      <c r="EF1133" s="885"/>
      <c r="EG1133" s="885"/>
      <c r="EH1133" s="885"/>
      <c r="EI1133" s="885"/>
      <c r="EJ1133" s="885"/>
      <c r="EK1133" s="885"/>
      <c r="EL1133" s="885"/>
      <c r="EM1133" s="885"/>
      <c r="EN1133" s="885"/>
      <c r="EO1133" s="885"/>
      <c r="EP1133" s="885"/>
      <c r="EQ1133" s="885"/>
      <c r="ER1133" s="885"/>
      <c r="ES1133" s="885"/>
      <c r="ET1133" s="885"/>
      <c r="EU1133" s="885"/>
      <c r="EV1133" s="885"/>
      <c r="EW1133" s="885"/>
      <c r="EX1133" s="885"/>
      <c r="EY1133" s="885"/>
      <c r="EZ1133" s="885"/>
      <c r="FA1133" s="885"/>
      <c r="FB1133" s="885"/>
      <c r="FC1133" s="885"/>
      <c r="FD1133" s="885"/>
      <c r="FE1133" s="885"/>
      <c r="FF1133" s="885"/>
      <c r="FG1133" s="885"/>
      <c r="FH1133" s="885"/>
      <c r="FI1133" s="885"/>
      <c r="FJ1133" s="885"/>
      <c r="FK1133" s="885"/>
      <c r="FL1133" s="885"/>
      <c r="FM1133" s="885"/>
      <c r="FN1133" s="885"/>
      <c r="FO1133" s="885"/>
      <c r="FP1133" s="885"/>
      <c r="FQ1133" s="885"/>
      <c r="FR1133" s="885"/>
      <c r="FS1133" s="885"/>
      <c r="FT1133" s="885"/>
      <c r="FU1133" s="885"/>
      <c r="FV1133" s="885"/>
      <c r="FW1133" s="885"/>
      <c r="FX1133" s="885"/>
      <c r="FY1133" s="885"/>
      <c r="FZ1133" s="885"/>
      <c r="GA1133" s="885"/>
      <c r="GB1133" s="885"/>
      <c r="GC1133" s="885"/>
      <c r="GD1133" s="885"/>
      <c r="GE1133" s="885"/>
      <c r="GF1133" s="885"/>
      <c r="GG1133" s="885"/>
      <c r="GH1133" s="885"/>
      <c r="GI1133" s="885"/>
      <c r="GJ1133" s="885"/>
      <c r="GK1133" s="885"/>
      <c r="GL1133" s="885"/>
      <c r="GM1133" s="885"/>
      <c r="GN1133" s="885"/>
      <c r="GO1133" s="885"/>
      <c r="GP1133" s="885"/>
      <c r="GQ1133" s="885"/>
      <c r="GR1133" s="885"/>
      <c r="GS1133" s="885"/>
      <c r="GT1133" s="885"/>
      <c r="GU1133" s="885"/>
      <c r="GV1133" s="885"/>
      <c r="GW1133" s="885"/>
      <c r="GX1133" s="885"/>
      <c r="GY1133" s="885"/>
      <c r="GZ1133" s="885"/>
      <c r="HA1133" s="885"/>
      <c r="HB1133" s="885"/>
      <c r="HC1133" s="885"/>
      <c r="HD1133" s="885"/>
      <c r="HE1133" s="885"/>
      <c r="HF1133" s="885"/>
      <c r="HG1133" s="885"/>
      <c r="HH1133" s="885"/>
      <c r="HI1133" s="885"/>
      <c r="HJ1133" s="885"/>
      <c r="HK1133" s="885"/>
      <c r="HL1133" s="885"/>
      <c r="HM1133" s="885"/>
      <c r="HN1133" s="885"/>
      <c r="HO1133" s="885"/>
      <c r="HP1133" s="885"/>
      <c r="HQ1133" s="885"/>
      <c r="HR1133" s="885"/>
      <c r="HS1133" s="885"/>
      <c r="HT1133" s="885"/>
      <c r="HU1133" s="885"/>
      <c r="HV1133" s="885"/>
      <c r="HW1133" s="885"/>
      <c r="HX1133" s="885"/>
      <c r="HY1133" s="885"/>
      <c r="HZ1133" s="885"/>
      <c r="IA1133" s="885"/>
      <c r="IB1133" s="885"/>
      <c r="IC1133" s="885"/>
      <c r="ID1133" s="885"/>
      <c r="IE1133" s="885"/>
      <c r="IF1133" s="885"/>
      <c r="IG1133" s="885"/>
      <c r="IH1133" s="885"/>
      <c r="II1133" s="885"/>
      <c r="IJ1133" s="885"/>
      <c r="IK1133" s="885"/>
      <c r="IL1133" s="885"/>
      <c r="IM1133" s="885"/>
      <c r="IN1133" s="885"/>
      <c r="IO1133" s="885"/>
      <c r="IP1133" s="885"/>
      <c r="IQ1133" s="885"/>
      <c r="IR1133" s="885"/>
      <c r="IS1133" s="885"/>
      <c r="IT1133" s="885"/>
      <c r="IU1133" s="885"/>
      <c r="IV1133" s="885"/>
      <c r="IW1133" s="885"/>
      <c r="IX1133" s="885"/>
    </row>
    <row r="1134" spans="1:258" x14ac:dyDescent="0.25">
      <c r="A1134" s="125">
        <f t="shared" si="128"/>
        <v>1094</v>
      </c>
      <c r="B1134" s="885"/>
      <c r="C1134" s="842" t="s">
        <v>10693</v>
      </c>
      <c r="D1134" s="924">
        <v>14857.24</v>
      </c>
      <c r="E1134" s="924">
        <f>D1134/8*13.33</f>
        <v>24755.87615</v>
      </c>
      <c r="F1134" s="136">
        <f>E1134/13.33</f>
        <v>1857.155</v>
      </c>
      <c r="G1134" s="122" t="s">
        <v>1963</v>
      </c>
      <c r="H1134" s="842"/>
      <c r="I1134" s="793"/>
      <c r="J1134" s="885"/>
      <c r="K1134" s="885"/>
      <c r="L1134" s="885"/>
      <c r="M1134" s="885"/>
      <c r="N1134" s="885"/>
      <c r="O1134" s="885"/>
      <c r="P1134" s="885"/>
      <c r="Q1134" s="885"/>
      <c r="R1134" s="885"/>
      <c r="S1134" s="885"/>
      <c r="T1134" s="885"/>
      <c r="U1134" s="885"/>
      <c r="V1134" s="885"/>
      <c r="W1134" s="885"/>
      <c r="X1134" s="885"/>
      <c r="Y1134" s="885"/>
      <c r="Z1134" s="885"/>
      <c r="AA1134" s="885"/>
      <c r="AB1134" s="885"/>
      <c r="AC1134" s="885"/>
      <c r="AD1134" s="885"/>
      <c r="AE1134" s="885"/>
      <c r="AF1134" s="885"/>
      <c r="AG1134" s="885"/>
      <c r="AH1134" s="885"/>
      <c r="AI1134" s="885"/>
      <c r="AJ1134" s="885"/>
      <c r="AK1134" s="885"/>
      <c r="AL1134" s="885"/>
      <c r="AM1134" s="885"/>
      <c r="AN1134" s="885"/>
      <c r="AO1134" s="885"/>
      <c r="AP1134" s="885"/>
      <c r="AQ1134" s="885"/>
      <c r="AR1134" s="885"/>
      <c r="AS1134" s="885"/>
      <c r="AT1134" s="885"/>
      <c r="AU1134" s="885"/>
      <c r="AV1134" s="885"/>
      <c r="AW1134" s="885"/>
      <c r="AX1134" s="885"/>
      <c r="AY1134" s="885"/>
      <c r="AZ1134" s="885"/>
      <c r="BA1134" s="885"/>
      <c r="BB1134" s="885"/>
      <c r="BC1134" s="885"/>
      <c r="BD1134" s="885"/>
      <c r="BE1134" s="885"/>
      <c r="BF1134" s="885"/>
      <c r="BG1134" s="885"/>
      <c r="BH1134" s="885"/>
      <c r="BI1134" s="885"/>
      <c r="BJ1134" s="885"/>
      <c r="BK1134" s="885"/>
      <c r="BL1134" s="885"/>
      <c r="BM1134" s="885"/>
      <c r="BN1134" s="885"/>
      <c r="BO1134" s="885"/>
      <c r="BP1134" s="885"/>
      <c r="BQ1134" s="885"/>
      <c r="BR1134" s="885"/>
      <c r="BS1134" s="885"/>
      <c r="BT1134" s="885"/>
      <c r="BU1134" s="885"/>
      <c r="BV1134" s="885"/>
      <c r="BW1134" s="885"/>
      <c r="BX1134" s="885"/>
      <c r="BY1134" s="885"/>
      <c r="BZ1134" s="885"/>
      <c r="CA1134" s="885"/>
      <c r="CB1134" s="885"/>
      <c r="CC1134" s="885"/>
      <c r="CD1134" s="885"/>
      <c r="CE1134" s="885"/>
      <c r="CF1134" s="885"/>
      <c r="CG1134" s="885"/>
      <c r="CH1134" s="885"/>
      <c r="CI1134" s="885"/>
      <c r="CJ1134" s="885"/>
      <c r="CK1134" s="885"/>
      <c r="CL1134" s="885"/>
      <c r="CM1134" s="885"/>
      <c r="CN1134" s="885"/>
      <c r="CO1134" s="885"/>
      <c r="CP1134" s="885"/>
      <c r="CQ1134" s="885"/>
      <c r="CR1134" s="885"/>
      <c r="CS1134" s="885"/>
      <c r="CT1134" s="885"/>
      <c r="CU1134" s="885"/>
      <c r="CV1134" s="885"/>
      <c r="CW1134" s="885"/>
      <c r="CX1134" s="885"/>
      <c r="CY1134" s="885"/>
      <c r="CZ1134" s="885"/>
      <c r="DA1134" s="885"/>
      <c r="DB1134" s="885"/>
      <c r="DC1134" s="885"/>
      <c r="DD1134" s="885"/>
      <c r="DE1134" s="885"/>
      <c r="DF1134" s="885"/>
      <c r="DG1134" s="885"/>
      <c r="DH1134" s="885"/>
      <c r="DI1134" s="885"/>
      <c r="DJ1134" s="885"/>
      <c r="DK1134" s="885"/>
      <c r="DL1134" s="885"/>
      <c r="DM1134" s="885"/>
      <c r="DN1134" s="885"/>
      <c r="DO1134" s="885"/>
      <c r="DP1134" s="885"/>
      <c r="DQ1134" s="885"/>
      <c r="DR1134" s="885"/>
      <c r="DS1134" s="885"/>
      <c r="DT1134" s="885"/>
      <c r="DU1134" s="885"/>
      <c r="DV1134" s="885"/>
      <c r="DW1134" s="885"/>
      <c r="DX1134" s="885"/>
      <c r="DY1134" s="885"/>
      <c r="DZ1134" s="885"/>
      <c r="EA1134" s="885"/>
      <c r="EB1134" s="885"/>
      <c r="EC1134" s="885"/>
      <c r="ED1134" s="885"/>
      <c r="EE1134" s="885"/>
      <c r="EF1134" s="885"/>
      <c r="EG1134" s="885"/>
      <c r="EH1134" s="885"/>
      <c r="EI1134" s="885"/>
      <c r="EJ1134" s="885"/>
      <c r="EK1134" s="885"/>
      <c r="EL1134" s="885"/>
      <c r="EM1134" s="885"/>
      <c r="EN1134" s="885"/>
      <c r="EO1134" s="885"/>
      <c r="EP1134" s="885"/>
      <c r="EQ1134" s="885"/>
      <c r="ER1134" s="885"/>
      <c r="ES1134" s="885"/>
      <c r="ET1134" s="885"/>
      <c r="EU1134" s="885"/>
      <c r="EV1134" s="885"/>
      <c r="EW1134" s="885"/>
      <c r="EX1134" s="885"/>
      <c r="EY1134" s="885"/>
      <c r="EZ1134" s="885"/>
      <c r="FA1134" s="885"/>
      <c r="FB1134" s="885"/>
      <c r="FC1134" s="885"/>
      <c r="FD1134" s="885"/>
      <c r="FE1134" s="885"/>
      <c r="FF1134" s="885"/>
      <c r="FG1134" s="885"/>
      <c r="FH1134" s="885"/>
      <c r="FI1134" s="885"/>
      <c r="FJ1134" s="885"/>
      <c r="FK1134" s="885"/>
      <c r="FL1134" s="885"/>
      <c r="FM1134" s="885"/>
      <c r="FN1134" s="885"/>
      <c r="FO1134" s="885"/>
      <c r="FP1134" s="885"/>
      <c r="FQ1134" s="885"/>
      <c r="FR1134" s="885"/>
      <c r="FS1134" s="885"/>
      <c r="FT1134" s="885"/>
      <c r="FU1134" s="885"/>
      <c r="FV1134" s="885"/>
      <c r="FW1134" s="885"/>
      <c r="FX1134" s="885"/>
      <c r="FY1134" s="885"/>
      <c r="FZ1134" s="885"/>
      <c r="GA1134" s="885"/>
      <c r="GB1134" s="885"/>
      <c r="GC1134" s="885"/>
      <c r="GD1134" s="885"/>
      <c r="GE1134" s="885"/>
      <c r="GF1134" s="885"/>
      <c r="GG1134" s="885"/>
      <c r="GH1134" s="885"/>
      <c r="GI1134" s="885"/>
      <c r="GJ1134" s="885"/>
      <c r="GK1134" s="885"/>
      <c r="GL1134" s="885"/>
      <c r="GM1134" s="885"/>
      <c r="GN1134" s="885"/>
      <c r="GO1134" s="885"/>
      <c r="GP1134" s="885"/>
      <c r="GQ1134" s="885"/>
      <c r="GR1134" s="885"/>
      <c r="GS1134" s="885"/>
      <c r="GT1134" s="885"/>
      <c r="GU1134" s="885"/>
      <c r="GV1134" s="885"/>
      <c r="GW1134" s="885"/>
      <c r="GX1134" s="885"/>
      <c r="GY1134" s="885"/>
      <c r="GZ1134" s="885"/>
      <c r="HA1134" s="885"/>
      <c r="HB1134" s="885"/>
      <c r="HC1134" s="885"/>
      <c r="HD1134" s="885"/>
      <c r="HE1134" s="885"/>
      <c r="HF1134" s="885"/>
      <c r="HG1134" s="885"/>
      <c r="HH1134" s="885"/>
      <c r="HI1134" s="885"/>
      <c r="HJ1134" s="885"/>
      <c r="HK1134" s="885"/>
      <c r="HL1134" s="885"/>
      <c r="HM1134" s="885"/>
      <c r="HN1134" s="885"/>
      <c r="HO1134" s="885"/>
      <c r="HP1134" s="885"/>
      <c r="HQ1134" s="885"/>
      <c r="HR1134" s="885"/>
      <c r="HS1134" s="885"/>
      <c r="HT1134" s="885"/>
      <c r="HU1134" s="885"/>
      <c r="HV1134" s="885"/>
      <c r="HW1134" s="885"/>
      <c r="HX1134" s="885"/>
      <c r="HY1134" s="885"/>
      <c r="HZ1134" s="885"/>
      <c r="IA1134" s="885"/>
      <c r="IB1134" s="885"/>
      <c r="IC1134" s="885"/>
      <c r="ID1134" s="885"/>
      <c r="IE1134" s="885"/>
      <c r="IF1134" s="885"/>
      <c r="IG1134" s="885"/>
      <c r="IH1134" s="885"/>
      <c r="II1134" s="885"/>
      <c r="IJ1134" s="885"/>
      <c r="IK1134" s="885"/>
      <c r="IL1134" s="885"/>
      <c r="IM1134" s="885"/>
      <c r="IN1134" s="885"/>
      <c r="IO1134" s="885"/>
      <c r="IP1134" s="885"/>
      <c r="IQ1134" s="885"/>
      <c r="IR1134" s="885"/>
      <c r="IS1134" s="885"/>
      <c r="IT1134" s="885"/>
      <c r="IU1134" s="885"/>
      <c r="IV1134" s="885"/>
      <c r="IW1134" s="885"/>
      <c r="IX1134" s="885"/>
    </row>
    <row r="1135" spans="1:258" x14ac:dyDescent="0.25">
      <c r="A1135" s="125">
        <f t="shared" si="128"/>
        <v>1095</v>
      </c>
      <c r="B1135" s="954"/>
      <c r="C1135" s="842" t="s">
        <v>11532</v>
      </c>
      <c r="D1135" s="924">
        <v>2912.25</v>
      </c>
      <c r="E1135" s="924">
        <f>D1135/8*13.33</f>
        <v>4852.5365625000004</v>
      </c>
      <c r="F1135" s="136"/>
      <c r="H1135" s="842"/>
      <c r="I1135" s="793"/>
      <c r="J1135" s="954"/>
      <c r="K1135" s="954"/>
      <c r="L1135" s="954"/>
      <c r="M1135" s="954"/>
      <c r="N1135" s="954"/>
      <c r="O1135" s="954"/>
      <c r="P1135" s="954"/>
      <c r="Q1135" s="954"/>
      <c r="R1135" s="954"/>
      <c r="S1135" s="954"/>
      <c r="T1135" s="954"/>
      <c r="U1135" s="954"/>
      <c r="V1135" s="954"/>
      <c r="W1135" s="954"/>
      <c r="X1135" s="954"/>
      <c r="Y1135" s="954"/>
      <c r="Z1135" s="954"/>
      <c r="AA1135" s="954"/>
      <c r="AB1135" s="954"/>
      <c r="AC1135" s="954"/>
      <c r="AD1135" s="954"/>
      <c r="AE1135" s="954"/>
      <c r="AF1135" s="954"/>
      <c r="AG1135" s="954"/>
      <c r="AH1135" s="954"/>
      <c r="AI1135" s="954"/>
      <c r="AJ1135" s="954"/>
      <c r="AK1135" s="954"/>
      <c r="AL1135" s="954"/>
      <c r="AM1135" s="954"/>
      <c r="AN1135" s="954"/>
      <c r="AO1135" s="954"/>
      <c r="AP1135" s="954"/>
      <c r="AQ1135" s="954"/>
      <c r="AR1135" s="954"/>
      <c r="AS1135" s="954"/>
      <c r="AT1135" s="954"/>
      <c r="AU1135" s="954"/>
      <c r="AV1135" s="954"/>
      <c r="AW1135" s="954"/>
      <c r="AX1135" s="954"/>
      <c r="AY1135" s="954"/>
      <c r="AZ1135" s="954"/>
      <c r="BA1135" s="954"/>
      <c r="BB1135" s="954"/>
      <c r="BC1135" s="954"/>
      <c r="BD1135" s="954"/>
      <c r="BE1135" s="954"/>
      <c r="BF1135" s="954"/>
      <c r="BG1135" s="954"/>
      <c r="BH1135" s="954"/>
      <c r="BI1135" s="954"/>
      <c r="BJ1135" s="954"/>
      <c r="BK1135" s="954"/>
      <c r="BL1135" s="954"/>
      <c r="BM1135" s="954"/>
      <c r="BN1135" s="954"/>
      <c r="BO1135" s="954"/>
      <c r="BP1135" s="954"/>
      <c r="BQ1135" s="954"/>
      <c r="BR1135" s="954"/>
      <c r="BS1135" s="954"/>
      <c r="BT1135" s="954"/>
      <c r="BU1135" s="954"/>
      <c r="BV1135" s="954"/>
      <c r="BW1135" s="954"/>
      <c r="BX1135" s="954"/>
      <c r="BY1135" s="954"/>
      <c r="BZ1135" s="954"/>
      <c r="CA1135" s="954"/>
      <c r="CB1135" s="954"/>
      <c r="CC1135" s="954"/>
      <c r="CD1135" s="954"/>
      <c r="CE1135" s="954"/>
      <c r="CF1135" s="954"/>
      <c r="CG1135" s="954"/>
      <c r="CH1135" s="954"/>
      <c r="CI1135" s="954"/>
      <c r="CJ1135" s="954"/>
      <c r="CK1135" s="954"/>
      <c r="CL1135" s="954"/>
      <c r="CM1135" s="954"/>
      <c r="CN1135" s="954"/>
      <c r="CO1135" s="954"/>
      <c r="CP1135" s="954"/>
      <c r="CQ1135" s="954"/>
      <c r="CR1135" s="954"/>
      <c r="CS1135" s="954"/>
      <c r="CT1135" s="954"/>
      <c r="CU1135" s="954"/>
      <c r="CV1135" s="954"/>
      <c r="CW1135" s="954"/>
      <c r="CX1135" s="954"/>
      <c r="CY1135" s="954"/>
      <c r="CZ1135" s="954"/>
      <c r="DA1135" s="954"/>
      <c r="DB1135" s="954"/>
      <c r="DC1135" s="954"/>
      <c r="DD1135" s="954"/>
      <c r="DE1135" s="954"/>
      <c r="DF1135" s="954"/>
      <c r="DG1135" s="954"/>
      <c r="DH1135" s="954"/>
      <c r="DI1135" s="954"/>
      <c r="DJ1135" s="954"/>
      <c r="DK1135" s="954"/>
      <c r="DL1135" s="954"/>
      <c r="DM1135" s="954"/>
      <c r="DN1135" s="954"/>
      <c r="DO1135" s="954"/>
      <c r="DP1135" s="954"/>
      <c r="DQ1135" s="954"/>
      <c r="DR1135" s="954"/>
      <c r="DS1135" s="954"/>
      <c r="DT1135" s="954"/>
      <c r="DU1135" s="954"/>
      <c r="DV1135" s="954"/>
      <c r="DW1135" s="954"/>
      <c r="DX1135" s="954"/>
      <c r="DY1135" s="954"/>
      <c r="DZ1135" s="954"/>
      <c r="EA1135" s="954"/>
      <c r="EB1135" s="954"/>
      <c r="EC1135" s="954"/>
      <c r="ED1135" s="954"/>
      <c r="EE1135" s="954"/>
      <c r="EF1135" s="954"/>
      <c r="EG1135" s="954"/>
      <c r="EH1135" s="954"/>
      <c r="EI1135" s="954"/>
      <c r="EJ1135" s="954"/>
      <c r="EK1135" s="954"/>
      <c r="EL1135" s="954"/>
      <c r="EM1135" s="954"/>
      <c r="EN1135" s="954"/>
      <c r="EO1135" s="954"/>
      <c r="EP1135" s="954"/>
      <c r="EQ1135" s="954"/>
      <c r="ER1135" s="954"/>
      <c r="ES1135" s="954"/>
      <c r="ET1135" s="954"/>
      <c r="EU1135" s="954"/>
      <c r="EV1135" s="954"/>
      <c r="EW1135" s="954"/>
      <c r="EX1135" s="954"/>
      <c r="EY1135" s="954"/>
      <c r="EZ1135" s="954"/>
      <c r="FA1135" s="954"/>
      <c r="FB1135" s="954"/>
      <c r="FC1135" s="954"/>
      <c r="FD1135" s="954"/>
      <c r="FE1135" s="954"/>
      <c r="FF1135" s="954"/>
      <c r="FG1135" s="954"/>
      <c r="FH1135" s="954"/>
      <c r="FI1135" s="954"/>
      <c r="FJ1135" s="954"/>
      <c r="FK1135" s="954"/>
      <c r="FL1135" s="954"/>
      <c r="FM1135" s="954"/>
      <c r="FN1135" s="954"/>
      <c r="FO1135" s="954"/>
      <c r="FP1135" s="954"/>
      <c r="FQ1135" s="954"/>
      <c r="FR1135" s="954"/>
      <c r="FS1135" s="954"/>
      <c r="FT1135" s="954"/>
      <c r="FU1135" s="954"/>
      <c r="FV1135" s="954"/>
      <c r="FW1135" s="954"/>
      <c r="FX1135" s="954"/>
      <c r="FY1135" s="954"/>
      <c r="FZ1135" s="954"/>
      <c r="GA1135" s="954"/>
      <c r="GB1135" s="954"/>
      <c r="GC1135" s="954"/>
      <c r="GD1135" s="954"/>
      <c r="GE1135" s="954"/>
      <c r="GF1135" s="954"/>
      <c r="GG1135" s="954"/>
      <c r="GH1135" s="954"/>
      <c r="GI1135" s="954"/>
      <c r="GJ1135" s="954"/>
      <c r="GK1135" s="954"/>
      <c r="GL1135" s="954"/>
      <c r="GM1135" s="954"/>
      <c r="GN1135" s="954"/>
      <c r="GO1135" s="954"/>
      <c r="GP1135" s="954"/>
      <c r="GQ1135" s="954"/>
      <c r="GR1135" s="954"/>
      <c r="GS1135" s="954"/>
      <c r="GT1135" s="954"/>
      <c r="GU1135" s="954"/>
      <c r="GV1135" s="954"/>
      <c r="GW1135" s="954"/>
      <c r="GX1135" s="954"/>
      <c r="GY1135" s="954"/>
      <c r="GZ1135" s="954"/>
      <c r="HA1135" s="954"/>
      <c r="HB1135" s="954"/>
      <c r="HC1135" s="954"/>
      <c r="HD1135" s="954"/>
      <c r="HE1135" s="954"/>
      <c r="HF1135" s="954"/>
      <c r="HG1135" s="954"/>
      <c r="HH1135" s="954"/>
      <c r="HI1135" s="954"/>
      <c r="HJ1135" s="954"/>
      <c r="HK1135" s="954"/>
      <c r="HL1135" s="954"/>
      <c r="HM1135" s="954"/>
      <c r="HN1135" s="954"/>
      <c r="HO1135" s="954"/>
      <c r="HP1135" s="954"/>
      <c r="HQ1135" s="954"/>
      <c r="HR1135" s="954"/>
      <c r="HS1135" s="954"/>
      <c r="HT1135" s="954"/>
      <c r="HU1135" s="954"/>
      <c r="HV1135" s="954"/>
      <c r="HW1135" s="954"/>
      <c r="HX1135" s="954"/>
      <c r="HY1135" s="954"/>
      <c r="HZ1135" s="954"/>
      <c r="IA1135" s="954"/>
      <c r="IB1135" s="954"/>
      <c r="IC1135" s="954"/>
      <c r="ID1135" s="954"/>
      <c r="IE1135" s="954"/>
      <c r="IF1135" s="954"/>
      <c r="IG1135" s="954"/>
      <c r="IH1135" s="954"/>
      <c r="II1135" s="954"/>
      <c r="IJ1135" s="954"/>
      <c r="IK1135" s="954"/>
      <c r="IL1135" s="954"/>
      <c r="IM1135" s="954"/>
      <c r="IN1135" s="954"/>
      <c r="IO1135" s="954"/>
      <c r="IP1135" s="954"/>
      <c r="IQ1135" s="954"/>
      <c r="IR1135" s="954"/>
      <c r="IS1135" s="954"/>
      <c r="IT1135" s="954"/>
      <c r="IU1135" s="954"/>
      <c r="IV1135" s="954"/>
      <c r="IW1135" s="954"/>
      <c r="IX1135" s="954"/>
    </row>
    <row r="1136" spans="1:258" x14ac:dyDescent="0.25">
      <c r="A1136" s="125">
        <f t="shared" si="128"/>
        <v>1096</v>
      </c>
      <c r="B1136" s="885"/>
      <c r="C1136" s="842" t="s">
        <v>10694</v>
      </c>
      <c r="D1136" s="924">
        <v>118.19</v>
      </c>
      <c r="E1136" s="924">
        <f t="shared" si="129"/>
        <v>177.285</v>
      </c>
      <c r="F1136" s="136">
        <f>E1136/12</f>
        <v>14.77375</v>
      </c>
      <c r="G1136" s="122" t="s">
        <v>1963</v>
      </c>
      <c r="H1136" s="842"/>
      <c r="I1136" s="793"/>
      <c r="J1136" s="885"/>
      <c r="K1136" s="885"/>
      <c r="L1136" s="885"/>
      <c r="M1136" s="885"/>
      <c r="N1136" s="885"/>
      <c r="O1136" s="885"/>
      <c r="P1136" s="885"/>
      <c r="Q1136" s="885"/>
      <c r="R1136" s="885"/>
      <c r="S1136" s="885"/>
      <c r="T1136" s="885"/>
      <c r="U1136" s="885"/>
      <c r="V1136" s="885"/>
      <c r="W1136" s="885"/>
      <c r="X1136" s="885"/>
      <c r="Y1136" s="885"/>
      <c r="Z1136" s="885"/>
      <c r="AA1136" s="885"/>
      <c r="AB1136" s="885"/>
      <c r="AC1136" s="885"/>
      <c r="AD1136" s="885"/>
      <c r="AE1136" s="885"/>
      <c r="AF1136" s="885"/>
      <c r="AG1136" s="885"/>
      <c r="AH1136" s="885"/>
      <c r="AI1136" s="885"/>
      <c r="AJ1136" s="885"/>
      <c r="AK1136" s="885"/>
      <c r="AL1136" s="885"/>
      <c r="AM1136" s="885"/>
      <c r="AN1136" s="885"/>
      <c r="AO1136" s="885"/>
      <c r="AP1136" s="885"/>
      <c r="AQ1136" s="885"/>
      <c r="AR1136" s="885"/>
      <c r="AS1136" s="885"/>
      <c r="AT1136" s="885"/>
      <c r="AU1136" s="885"/>
      <c r="AV1136" s="885"/>
      <c r="AW1136" s="885"/>
      <c r="AX1136" s="885"/>
      <c r="AY1136" s="885"/>
      <c r="AZ1136" s="885"/>
      <c r="BA1136" s="885"/>
      <c r="BB1136" s="885"/>
      <c r="BC1136" s="885"/>
      <c r="BD1136" s="885"/>
      <c r="BE1136" s="885"/>
      <c r="BF1136" s="885"/>
      <c r="BG1136" s="885"/>
      <c r="BH1136" s="885"/>
      <c r="BI1136" s="885"/>
      <c r="BJ1136" s="885"/>
      <c r="BK1136" s="885"/>
      <c r="BL1136" s="885"/>
      <c r="BM1136" s="885"/>
      <c r="BN1136" s="885"/>
      <c r="BO1136" s="885"/>
      <c r="BP1136" s="885"/>
      <c r="BQ1136" s="885"/>
      <c r="BR1136" s="885"/>
      <c r="BS1136" s="885"/>
      <c r="BT1136" s="885"/>
      <c r="BU1136" s="885"/>
      <c r="BV1136" s="885"/>
      <c r="BW1136" s="885"/>
      <c r="BX1136" s="885"/>
      <c r="BY1136" s="885"/>
      <c r="BZ1136" s="885"/>
      <c r="CA1136" s="885"/>
      <c r="CB1136" s="885"/>
      <c r="CC1136" s="885"/>
      <c r="CD1136" s="885"/>
      <c r="CE1136" s="885"/>
      <c r="CF1136" s="885"/>
      <c r="CG1136" s="885"/>
      <c r="CH1136" s="885"/>
      <c r="CI1136" s="885"/>
      <c r="CJ1136" s="885"/>
      <c r="CK1136" s="885"/>
      <c r="CL1136" s="885"/>
      <c r="CM1136" s="885"/>
      <c r="CN1136" s="885"/>
      <c r="CO1136" s="885"/>
      <c r="CP1136" s="885"/>
      <c r="CQ1136" s="885"/>
      <c r="CR1136" s="885"/>
      <c r="CS1136" s="885"/>
      <c r="CT1136" s="885"/>
      <c r="CU1136" s="885"/>
      <c r="CV1136" s="885"/>
      <c r="CW1136" s="885"/>
      <c r="CX1136" s="885"/>
      <c r="CY1136" s="885"/>
      <c r="CZ1136" s="885"/>
      <c r="DA1136" s="885"/>
      <c r="DB1136" s="885"/>
      <c r="DC1136" s="885"/>
      <c r="DD1136" s="885"/>
      <c r="DE1136" s="885"/>
      <c r="DF1136" s="885"/>
      <c r="DG1136" s="885"/>
      <c r="DH1136" s="885"/>
      <c r="DI1136" s="885"/>
      <c r="DJ1136" s="885"/>
      <c r="DK1136" s="885"/>
      <c r="DL1136" s="885"/>
      <c r="DM1136" s="885"/>
      <c r="DN1136" s="885"/>
      <c r="DO1136" s="885"/>
      <c r="DP1136" s="885"/>
      <c r="DQ1136" s="885"/>
      <c r="DR1136" s="885"/>
      <c r="DS1136" s="885"/>
      <c r="DT1136" s="885"/>
      <c r="DU1136" s="885"/>
      <c r="DV1136" s="885"/>
      <c r="DW1136" s="885"/>
      <c r="DX1136" s="885"/>
      <c r="DY1136" s="885"/>
      <c r="DZ1136" s="885"/>
      <c r="EA1136" s="885"/>
      <c r="EB1136" s="885"/>
      <c r="EC1136" s="885"/>
      <c r="ED1136" s="885"/>
      <c r="EE1136" s="885"/>
      <c r="EF1136" s="885"/>
      <c r="EG1136" s="885"/>
      <c r="EH1136" s="885"/>
      <c r="EI1136" s="885"/>
      <c r="EJ1136" s="885"/>
      <c r="EK1136" s="885"/>
      <c r="EL1136" s="885"/>
      <c r="EM1136" s="885"/>
      <c r="EN1136" s="885"/>
      <c r="EO1136" s="885"/>
      <c r="EP1136" s="885"/>
      <c r="EQ1136" s="885"/>
      <c r="ER1136" s="885"/>
      <c r="ES1136" s="885"/>
      <c r="ET1136" s="885"/>
      <c r="EU1136" s="885"/>
      <c r="EV1136" s="885"/>
      <c r="EW1136" s="885"/>
      <c r="EX1136" s="885"/>
      <c r="EY1136" s="885"/>
      <c r="EZ1136" s="885"/>
      <c r="FA1136" s="885"/>
      <c r="FB1136" s="885"/>
      <c r="FC1136" s="885"/>
      <c r="FD1136" s="885"/>
      <c r="FE1136" s="885"/>
      <c r="FF1136" s="885"/>
      <c r="FG1136" s="885"/>
      <c r="FH1136" s="885"/>
      <c r="FI1136" s="885"/>
      <c r="FJ1136" s="885"/>
      <c r="FK1136" s="885"/>
      <c r="FL1136" s="885"/>
      <c r="FM1136" s="885"/>
      <c r="FN1136" s="885"/>
      <c r="FO1136" s="885"/>
      <c r="FP1136" s="885"/>
      <c r="FQ1136" s="885"/>
      <c r="FR1136" s="885"/>
      <c r="FS1136" s="885"/>
      <c r="FT1136" s="885"/>
      <c r="FU1136" s="885"/>
      <c r="FV1136" s="885"/>
      <c r="FW1136" s="885"/>
      <c r="FX1136" s="885"/>
      <c r="FY1136" s="885"/>
      <c r="FZ1136" s="885"/>
      <c r="GA1136" s="885"/>
      <c r="GB1136" s="885"/>
      <c r="GC1136" s="885"/>
      <c r="GD1136" s="885"/>
      <c r="GE1136" s="885"/>
      <c r="GF1136" s="885"/>
      <c r="GG1136" s="885"/>
      <c r="GH1136" s="885"/>
      <c r="GI1136" s="885"/>
      <c r="GJ1136" s="885"/>
      <c r="GK1136" s="885"/>
      <c r="GL1136" s="885"/>
      <c r="GM1136" s="885"/>
      <c r="GN1136" s="885"/>
      <c r="GO1136" s="885"/>
      <c r="GP1136" s="885"/>
      <c r="GQ1136" s="885"/>
      <c r="GR1136" s="885"/>
      <c r="GS1136" s="885"/>
      <c r="GT1136" s="885"/>
      <c r="GU1136" s="885"/>
      <c r="GV1136" s="885"/>
      <c r="GW1136" s="885"/>
      <c r="GX1136" s="885"/>
      <c r="GY1136" s="885"/>
      <c r="GZ1136" s="885"/>
      <c r="HA1136" s="885"/>
      <c r="HB1136" s="885"/>
      <c r="HC1136" s="885"/>
      <c r="HD1136" s="885"/>
      <c r="HE1136" s="885"/>
      <c r="HF1136" s="885"/>
      <c r="HG1136" s="885"/>
      <c r="HH1136" s="885"/>
      <c r="HI1136" s="885"/>
      <c r="HJ1136" s="885"/>
      <c r="HK1136" s="885"/>
      <c r="HL1136" s="885"/>
      <c r="HM1136" s="885"/>
      <c r="HN1136" s="885"/>
      <c r="HO1136" s="885"/>
      <c r="HP1136" s="885"/>
      <c r="HQ1136" s="885"/>
      <c r="HR1136" s="885"/>
      <c r="HS1136" s="885"/>
      <c r="HT1136" s="885"/>
      <c r="HU1136" s="885"/>
      <c r="HV1136" s="885"/>
      <c r="HW1136" s="885"/>
      <c r="HX1136" s="885"/>
      <c r="HY1136" s="885"/>
      <c r="HZ1136" s="885"/>
      <c r="IA1136" s="885"/>
      <c r="IB1136" s="885"/>
      <c r="IC1136" s="885"/>
      <c r="ID1136" s="885"/>
      <c r="IE1136" s="885"/>
      <c r="IF1136" s="885"/>
      <c r="IG1136" s="885"/>
      <c r="IH1136" s="885"/>
      <c r="II1136" s="885"/>
      <c r="IJ1136" s="885"/>
      <c r="IK1136" s="885"/>
      <c r="IL1136" s="885"/>
      <c r="IM1136" s="885"/>
      <c r="IN1136" s="885"/>
      <c r="IO1136" s="885"/>
      <c r="IP1136" s="885"/>
      <c r="IQ1136" s="885"/>
      <c r="IR1136" s="885"/>
      <c r="IS1136" s="885"/>
      <c r="IT1136" s="885"/>
      <c r="IU1136" s="885"/>
      <c r="IV1136" s="885"/>
      <c r="IW1136" s="885"/>
      <c r="IX1136" s="885"/>
    </row>
    <row r="1137" spans="1:258" x14ac:dyDescent="0.25">
      <c r="A1137" s="125">
        <f t="shared" si="128"/>
        <v>1097</v>
      </c>
      <c r="B1137" s="885"/>
      <c r="C1137" s="842" t="s">
        <v>10695</v>
      </c>
      <c r="D1137" s="924">
        <v>0</v>
      </c>
      <c r="E1137" s="924">
        <f t="shared" si="129"/>
        <v>0</v>
      </c>
      <c r="F1137" s="136">
        <v>100</v>
      </c>
      <c r="G1137" s="122" t="s">
        <v>1963</v>
      </c>
      <c r="H1137" s="842"/>
      <c r="I1137" s="793"/>
      <c r="J1137" s="885"/>
      <c r="K1137" s="885"/>
      <c r="L1137" s="885"/>
      <c r="M1137" s="885"/>
      <c r="N1137" s="885"/>
      <c r="O1137" s="885"/>
      <c r="P1137" s="885"/>
      <c r="Q1137" s="885"/>
      <c r="R1137" s="885"/>
      <c r="S1137" s="885"/>
      <c r="T1137" s="885"/>
      <c r="U1137" s="885"/>
      <c r="V1137" s="885"/>
      <c r="W1137" s="885"/>
      <c r="X1137" s="885"/>
      <c r="Y1137" s="885"/>
      <c r="Z1137" s="885"/>
      <c r="AA1137" s="885"/>
      <c r="AB1137" s="885"/>
      <c r="AC1137" s="885"/>
      <c r="AD1137" s="885"/>
      <c r="AE1137" s="885"/>
      <c r="AF1137" s="885"/>
      <c r="AG1137" s="885"/>
      <c r="AH1137" s="885"/>
      <c r="AI1137" s="885"/>
      <c r="AJ1137" s="885"/>
      <c r="AK1137" s="885"/>
      <c r="AL1137" s="885"/>
      <c r="AM1137" s="885"/>
      <c r="AN1137" s="885"/>
      <c r="AO1137" s="885"/>
      <c r="AP1137" s="885"/>
      <c r="AQ1137" s="885"/>
      <c r="AR1137" s="885"/>
      <c r="AS1137" s="885"/>
      <c r="AT1137" s="885"/>
      <c r="AU1137" s="885"/>
      <c r="AV1137" s="885"/>
      <c r="AW1137" s="885"/>
      <c r="AX1137" s="885"/>
      <c r="AY1137" s="885"/>
      <c r="AZ1137" s="885"/>
      <c r="BA1137" s="885"/>
      <c r="BB1137" s="885"/>
      <c r="BC1137" s="885"/>
      <c r="BD1137" s="885"/>
      <c r="BE1137" s="885"/>
      <c r="BF1137" s="885"/>
      <c r="BG1137" s="885"/>
      <c r="BH1137" s="885"/>
      <c r="BI1137" s="885"/>
      <c r="BJ1137" s="885"/>
      <c r="BK1137" s="885"/>
      <c r="BL1137" s="885"/>
      <c r="BM1137" s="885"/>
      <c r="BN1137" s="885"/>
      <c r="BO1137" s="885"/>
      <c r="BP1137" s="885"/>
      <c r="BQ1137" s="885"/>
      <c r="BR1137" s="885"/>
      <c r="BS1137" s="885"/>
      <c r="BT1137" s="885"/>
      <c r="BU1137" s="885"/>
      <c r="BV1137" s="885"/>
      <c r="BW1137" s="885"/>
      <c r="BX1137" s="885"/>
      <c r="BY1137" s="885"/>
      <c r="BZ1137" s="885"/>
      <c r="CA1137" s="885"/>
      <c r="CB1137" s="885"/>
      <c r="CC1137" s="885"/>
      <c r="CD1137" s="885"/>
      <c r="CE1137" s="885"/>
      <c r="CF1137" s="885"/>
      <c r="CG1137" s="885"/>
      <c r="CH1137" s="885"/>
      <c r="CI1137" s="885"/>
      <c r="CJ1137" s="885"/>
      <c r="CK1137" s="885"/>
      <c r="CL1137" s="885"/>
      <c r="CM1137" s="885"/>
      <c r="CN1137" s="885"/>
      <c r="CO1137" s="885"/>
      <c r="CP1137" s="885"/>
      <c r="CQ1137" s="885"/>
      <c r="CR1137" s="885"/>
      <c r="CS1137" s="885"/>
      <c r="CT1137" s="885"/>
      <c r="CU1137" s="885"/>
      <c r="CV1137" s="885"/>
      <c r="CW1137" s="885"/>
      <c r="CX1137" s="885"/>
      <c r="CY1137" s="885"/>
      <c r="CZ1137" s="885"/>
      <c r="DA1137" s="885"/>
      <c r="DB1137" s="885"/>
      <c r="DC1137" s="885"/>
      <c r="DD1137" s="885"/>
      <c r="DE1137" s="885"/>
      <c r="DF1137" s="885"/>
      <c r="DG1137" s="885"/>
      <c r="DH1137" s="885"/>
      <c r="DI1137" s="885"/>
      <c r="DJ1137" s="885"/>
      <c r="DK1137" s="885"/>
      <c r="DL1137" s="885"/>
      <c r="DM1137" s="885"/>
      <c r="DN1137" s="885"/>
      <c r="DO1137" s="885"/>
      <c r="DP1137" s="885"/>
      <c r="DQ1137" s="885"/>
      <c r="DR1137" s="885"/>
      <c r="DS1137" s="885"/>
      <c r="DT1137" s="885"/>
      <c r="DU1137" s="885"/>
      <c r="DV1137" s="885"/>
      <c r="DW1137" s="885"/>
      <c r="DX1137" s="885"/>
      <c r="DY1137" s="885"/>
      <c r="DZ1137" s="885"/>
      <c r="EA1137" s="885"/>
      <c r="EB1137" s="885"/>
      <c r="EC1137" s="885"/>
      <c r="ED1137" s="885"/>
      <c r="EE1137" s="885"/>
      <c r="EF1137" s="885"/>
      <c r="EG1137" s="885"/>
      <c r="EH1137" s="885"/>
      <c r="EI1137" s="885"/>
      <c r="EJ1137" s="885"/>
      <c r="EK1137" s="885"/>
      <c r="EL1137" s="885"/>
      <c r="EM1137" s="885"/>
      <c r="EN1137" s="885"/>
      <c r="EO1137" s="885"/>
      <c r="EP1137" s="885"/>
      <c r="EQ1137" s="885"/>
      <c r="ER1137" s="885"/>
      <c r="ES1137" s="885"/>
      <c r="ET1137" s="885"/>
      <c r="EU1137" s="885"/>
      <c r="EV1137" s="885"/>
      <c r="EW1137" s="885"/>
      <c r="EX1137" s="885"/>
      <c r="EY1137" s="885"/>
      <c r="EZ1137" s="885"/>
      <c r="FA1137" s="885"/>
      <c r="FB1137" s="885"/>
      <c r="FC1137" s="885"/>
      <c r="FD1137" s="885"/>
      <c r="FE1137" s="885"/>
      <c r="FF1137" s="885"/>
      <c r="FG1137" s="885"/>
      <c r="FH1137" s="885"/>
      <c r="FI1137" s="885"/>
      <c r="FJ1137" s="885"/>
      <c r="FK1137" s="885"/>
      <c r="FL1137" s="885"/>
      <c r="FM1137" s="885"/>
      <c r="FN1137" s="885"/>
      <c r="FO1137" s="885"/>
      <c r="FP1137" s="885"/>
      <c r="FQ1137" s="885"/>
      <c r="FR1137" s="885"/>
      <c r="FS1137" s="885"/>
      <c r="FT1137" s="885"/>
      <c r="FU1137" s="885"/>
      <c r="FV1137" s="885"/>
      <c r="FW1137" s="885"/>
      <c r="FX1137" s="885"/>
      <c r="FY1137" s="885"/>
      <c r="FZ1137" s="885"/>
      <c r="GA1137" s="885"/>
      <c r="GB1137" s="885"/>
      <c r="GC1137" s="885"/>
      <c r="GD1137" s="885"/>
      <c r="GE1137" s="885"/>
      <c r="GF1137" s="885"/>
      <c r="GG1137" s="885"/>
      <c r="GH1137" s="885"/>
      <c r="GI1137" s="885"/>
      <c r="GJ1137" s="885"/>
      <c r="GK1137" s="885"/>
      <c r="GL1137" s="885"/>
      <c r="GM1137" s="885"/>
      <c r="GN1137" s="885"/>
      <c r="GO1137" s="885"/>
      <c r="GP1137" s="885"/>
      <c r="GQ1137" s="885"/>
      <c r="GR1137" s="885"/>
      <c r="GS1137" s="885"/>
      <c r="GT1137" s="885"/>
      <c r="GU1137" s="885"/>
      <c r="GV1137" s="885"/>
      <c r="GW1137" s="885"/>
      <c r="GX1137" s="885"/>
      <c r="GY1137" s="885"/>
      <c r="GZ1137" s="885"/>
      <c r="HA1137" s="885"/>
      <c r="HB1137" s="885"/>
      <c r="HC1137" s="885"/>
      <c r="HD1137" s="885"/>
      <c r="HE1137" s="885"/>
      <c r="HF1137" s="885"/>
      <c r="HG1137" s="885"/>
      <c r="HH1137" s="885"/>
      <c r="HI1137" s="885"/>
      <c r="HJ1137" s="885"/>
      <c r="HK1137" s="885"/>
      <c r="HL1137" s="885"/>
      <c r="HM1137" s="885"/>
      <c r="HN1137" s="885"/>
      <c r="HO1137" s="885"/>
      <c r="HP1137" s="885"/>
      <c r="HQ1137" s="885"/>
      <c r="HR1137" s="885"/>
      <c r="HS1137" s="885"/>
      <c r="HT1137" s="885"/>
      <c r="HU1137" s="885"/>
      <c r="HV1137" s="885"/>
      <c r="HW1137" s="885"/>
      <c r="HX1137" s="885"/>
      <c r="HY1137" s="885"/>
      <c r="HZ1137" s="885"/>
      <c r="IA1137" s="885"/>
      <c r="IB1137" s="885"/>
      <c r="IC1137" s="885"/>
      <c r="ID1137" s="885"/>
      <c r="IE1137" s="885"/>
      <c r="IF1137" s="885"/>
      <c r="IG1137" s="885"/>
      <c r="IH1137" s="885"/>
      <c r="II1137" s="885"/>
      <c r="IJ1137" s="885"/>
      <c r="IK1137" s="885"/>
      <c r="IL1137" s="885"/>
      <c r="IM1137" s="885"/>
      <c r="IN1137" s="885"/>
      <c r="IO1137" s="885"/>
      <c r="IP1137" s="885"/>
      <c r="IQ1137" s="885"/>
      <c r="IR1137" s="885"/>
      <c r="IS1137" s="885"/>
      <c r="IT1137" s="885"/>
      <c r="IU1137" s="885"/>
      <c r="IV1137" s="885"/>
      <c r="IW1137" s="885"/>
      <c r="IX1137" s="885"/>
    </row>
    <row r="1138" spans="1:258" x14ac:dyDescent="0.25">
      <c r="A1138" s="125">
        <f t="shared" si="128"/>
        <v>1098</v>
      </c>
      <c r="B1138" s="885"/>
      <c r="C1138" s="842" t="s">
        <v>10696</v>
      </c>
      <c r="D1138" s="924">
        <v>0</v>
      </c>
      <c r="E1138" s="924">
        <f t="shared" si="129"/>
        <v>0</v>
      </c>
      <c r="F1138" s="136">
        <v>800</v>
      </c>
      <c r="G1138" s="122" t="s">
        <v>1963</v>
      </c>
      <c r="H1138" s="842"/>
      <c r="I1138" s="793"/>
      <c r="J1138" s="885"/>
      <c r="K1138" s="885"/>
      <c r="L1138" s="885"/>
      <c r="M1138" s="885"/>
      <c r="N1138" s="885"/>
      <c r="O1138" s="885"/>
      <c r="P1138" s="885"/>
      <c r="Q1138" s="885"/>
      <c r="R1138" s="885"/>
      <c r="S1138" s="885"/>
      <c r="T1138" s="885"/>
      <c r="U1138" s="885"/>
      <c r="V1138" s="885"/>
      <c r="W1138" s="885"/>
      <c r="X1138" s="885"/>
      <c r="Y1138" s="885"/>
      <c r="Z1138" s="885"/>
      <c r="AA1138" s="885"/>
      <c r="AB1138" s="885"/>
      <c r="AC1138" s="885"/>
      <c r="AD1138" s="885"/>
      <c r="AE1138" s="885"/>
      <c r="AF1138" s="885"/>
      <c r="AG1138" s="885"/>
      <c r="AH1138" s="885"/>
      <c r="AI1138" s="885"/>
      <c r="AJ1138" s="885"/>
      <c r="AK1138" s="885"/>
      <c r="AL1138" s="885"/>
      <c r="AM1138" s="885"/>
      <c r="AN1138" s="885"/>
      <c r="AO1138" s="885"/>
      <c r="AP1138" s="885"/>
      <c r="AQ1138" s="885"/>
      <c r="AR1138" s="885"/>
      <c r="AS1138" s="885"/>
      <c r="AT1138" s="885"/>
      <c r="AU1138" s="885"/>
      <c r="AV1138" s="885"/>
      <c r="AW1138" s="885"/>
      <c r="AX1138" s="885"/>
      <c r="AY1138" s="885"/>
      <c r="AZ1138" s="885"/>
      <c r="BA1138" s="885"/>
      <c r="BB1138" s="885"/>
      <c r="BC1138" s="885"/>
      <c r="BD1138" s="885"/>
      <c r="BE1138" s="885"/>
      <c r="BF1138" s="885"/>
      <c r="BG1138" s="885"/>
      <c r="BH1138" s="885"/>
      <c r="BI1138" s="885"/>
      <c r="BJ1138" s="885"/>
      <c r="BK1138" s="885"/>
      <c r="BL1138" s="885"/>
      <c r="BM1138" s="885"/>
      <c r="BN1138" s="885"/>
      <c r="BO1138" s="885"/>
      <c r="BP1138" s="885"/>
      <c r="BQ1138" s="885"/>
      <c r="BR1138" s="885"/>
      <c r="BS1138" s="885"/>
      <c r="BT1138" s="885"/>
      <c r="BU1138" s="885"/>
      <c r="BV1138" s="885"/>
      <c r="BW1138" s="885"/>
      <c r="BX1138" s="885"/>
      <c r="BY1138" s="885"/>
      <c r="BZ1138" s="885"/>
      <c r="CA1138" s="885"/>
      <c r="CB1138" s="885"/>
      <c r="CC1138" s="885"/>
      <c r="CD1138" s="885"/>
      <c r="CE1138" s="885"/>
      <c r="CF1138" s="885"/>
      <c r="CG1138" s="885"/>
      <c r="CH1138" s="885"/>
      <c r="CI1138" s="885"/>
      <c r="CJ1138" s="885"/>
      <c r="CK1138" s="885"/>
      <c r="CL1138" s="885"/>
      <c r="CM1138" s="885"/>
      <c r="CN1138" s="885"/>
      <c r="CO1138" s="885"/>
      <c r="CP1138" s="885"/>
      <c r="CQ1138" s="885"/>
      <c r="CR1138" s="885"/>
      <c r="CS1138" s="885"/>
      <c r="CT1138" s="885"/>
      <c r="CU1138" s="885"/>
      <c r="CV1138" s="885"/>
      <c r="CW1138" s="885"/>
      <c r="CX1138" s="885"/>
      <c r="CY1138" s="885"/>
      <c r="CZ1138" s="885"/>
      <c r="DA1138" s="885"/>
      <c r="DB1138" s="885"/>
      <c r="DC1138" s="885"/>
      <c r="DD1138" s="885"/>
      <c r="DE1138" s="885"/>
      <c r="DF1138" s="885"/>
      <c r="DG1138" s="885"/>
      <c r="DH1138" s="885"/>
      <c r="DI1138" s="885"/>
      <c r="DJ1138" s="885"/>
      <c r="DK1138" s="885"/>
      <c r="DL1138" s="885"/>
      <c r="DM1138" s="885"/>
      <c r="DN1138" s="885"/>
      <c r="DO1138" s="885"/>
      <c r="DP1138" s="885"/>
      <c r="DQ1138" s="885"/>
      <c r="DR1138" s="885"/>
      <c r="DS1138" s="885"/>
      <c r="DT1138" s="885"/>
      <c r="DU1138" s="885"/>
      <c r="DV1138" s="885"/>
      <c r="DW1138" s="885"/>
      <c r="DX1138" s="885"/>
      <c r="DY1138" s="885"/>
      <c r="DZ1138" s="885"/>
      <c r="EA1138" s="885"/>
      <c r="EB1138" s="885"/>
      <c r="EC1138" s="885"/>
      <c r="ED1138" s="885"/>
      <c r="EE1138" s="885"/>
      <c r="EF1138" s="885"/>
      <c r="EG1138" s="885"/>
      <c r="EH1138" s="885"/>
      <c r="EI1138" s="885"/>
      <c r="EJ1138" s="885"/>
      <c r="EK1138" s="885"/>
      <c r="EL1138" s="885"/>
      <c r="EM1138" s="885"/>
      <c r="EN1138" s="885"/>
      <c r="EO1138" s="885"/>
      <c r="EP1138" s="885"/>
      <c r="EQ1138" s="885"/>
      <c r="ER1138" s="885"/>
      <c r="ES1138" s="885"/>
      <c r="ET1138" s="885"/>
      <c r="EU1138" s="885"/>
      <c r="EV1138" s="885"/>
      <c r="EW1138" s="885"/>
      <c r="EX1138" s="885"/>
      <c r="EY1138" s="885"/>
      <c r="EZ1138" s="885"/>
      <c r="FA1138" s="885"/>
      <c r="FB1138" s="885"/>
      <c r="FC1138" s="885"/>
      <c r="FD1138" s="885"/>
      <c r="FE1138" s="885"/>
      <c r="FF1138" s="885"/>
      <c r="FG1138" s="885"/>
      <c r="FH1138" s="885"/>
      <c r="FI1138" s="885"/>
      <c r="FJ1138" s="885"/>
      <c r="FK1138" s="885"/>
      <c r="FL1138" s="885"/>
      <c r="FM1138" s="885"/>
      <c r="FN1138" s="885"/>
      <c r="FO1138" s="885"/>
      <c r="FP1138" s="885"/>
      <c r="FQ1138" s="885"/>
      <c r="FR1138" s="885"/>
      <c r="FS1138" s="885"/>
      <c r="FT1138" s="885"/>
      <c r="FU1138" s="885"/>
      <c r="FV1138" s="885"/>
      <c r="FW1138" s="885"/>
      <c r="FX1138" s="885"/>
      <c r="FY1138" s="885"/>
      <c r="FZ1138" s="885"/>
      <c r="GA1138" s="885"/>
      <c r="GB1138" s="885"/>
      <c r="GC1138" s="885"/>
      <c r="GD1138" s="885"/>
      <c r="GE1138" s="885"/>
      <c r="GF1138" s="885"/>
      <c r="GG1138" s="885"/>
      <c r="GH1138" s="885"/>
      <c r="GI1138" s="885"/>
      <c r="GJ1138" s="885"/>
      <c r="GK1138" s="885"/>
      <c r="GL1138" s="885"/>
      <c r="GM1138" s="885"/>
      <c r="GN1138" s="885"/>
      <c r="GO1138" s="885"/>
      <c r="GP1138" s="885"/>
      <c r="GQ1138" s="885"/>
      <c r="GR1138" s="885"/>
      <c r="GS1138" s="885"/>
      <c r="GT1138" s="885"/>
      <c r="GU1138" s="885"/>
      <c r="GV1138" s="885"/>
      <c r="GW1138" s="885"/>
      <c r="GX1138" s="885"/>
      <c r="GY1138" s="885"/>
      <c r="GZ1138" s="885"/>
      <c r="HA1138" s="885"/>
      <c r="HB1138" s="885"/>
      <c r="HC1138" s="885"/>
      <c r="HD1138" s="885"/>
      <c r="HE1138" s="885"/>
      <c r="HF1138" s="885"/>
      <c r="HG1138" s="885"/>
      <c r="HH1138" s="885"/>
      <c r="HI1138" s="885"/>
      <c r="HJ1138" s="885"/>
      <c r="HK1138" s="885"/>
      <c r="HL1138" s="885"/>
      <c r="HM1138" s="885"/>
      <c r="HN1138" s="885"/>
      <c r="HO1138" s="885"/>
      <c r="HP1138" s="885"/>
      <c r="HQ1138" s="885"/>
      <c r="HR1138" s="885"/>
      <c r="HS1138" s="885"/>
      <c r="HT1138" s="885"/>
      <c r="HU1138" s="885"/>
      <c r="HV1138" s="885"/>
      <c r="HW1138" s="885"/>
      <c r="HX1138" s="885"/>
      <c r="HY1138" s="885"/>
      <c r="HZ1138" s="885"/>
      <c r="IA1138" s="885"/>
      <c r="IB1138" s="885"/>
      <c r="IC1138" s="885"/>
      <c r="ID1138" s="885"/>
      <c r="IE1138" s="885"/>
      <c r="IF1138" s="885"/>
      <c r="IG1138" s="885"/>
      <c r="IH1138" s="885"/>
      <c r="II1138" s="885"/>
      <c r="IJ1138" s="885"/>
      <c r="IK1138" s="885"/>
      <c r="IL1138" s="885"/>
      <c r="IM1138" s="885"/>
      <c r="IN1138" s="885"/>
      <c r="IO1138" s="885"/>
      <c r="IP1138" s="885"/>
      <c r="IQ1138" s="885"/>
      <c r="IR1138" s="885"/>
      <c r="IS1138" s="885"/>
      <c r="IT1138" s="885"/>
      <c r="IU1138" s="885"/>
      <c r="IV1138" s="885"/>
      <c r="IW1138" s="885"/>
      <c r="IX1138" s="885"/>
    </row>
    <row r="1139" spans="1:258" x14ac:dyDescent="0.25">
      <c r="A1139" s="125">
        <f t="shared" si="128"/>
        <v>1099</v>
      </c>
      <c r="B1139" s="885"/>
      <c r="C1139" s="842" t="s">
        <v>10697</v>
      </c>
      <c r="D1139" s="924">
        <v>208.92</v>
      </c>
      <c r="E1139" s="924">
        <f t="shared" si="129"/>
        <v>313.38</v>
      </c>
      <c r="F1139" s="136">
        <f>E1139</f>
        <v>313.38</v>
      </c>
      <c r="G1139" s="122" t="s">
        <v>1963</v>
      </c>
      <c r="H1139" s="842"/>
      <c r="I1139" s="793"/>
      <c r="J1139" s="885"/>
      <c r="K1139" s="885"/>
      <c r="L1139" s="885"/>
      <c r="M1139" s="885"/>
      <c r="N1139" s="885"/>
      <c r="O1139" s="885"/>
      <c r="P1139" s="885"/>
      <c r="Q1139" s="885"/>
      <c r="R1139" s="885"/>
      <c r="S1139" s="885"/>
      <c r="T1139" s="885"/>
      <c r="U1139" s="885"/>
      <c r="V1139" s="885"/>
      <c r="W1139" s="885"/>
      <c r="X1139" s="885"/>
      <c r="Y1139" s="885"/>
      <c r="Z1139" s="885"/>
      <c r="AA1139" s="885"/>
      <c r="AB1139" s="885"/>
      <c r="AC1139" s="885"/>
      <c r="AD1139" s="885"/>
      <c r="AE1139" s="885"/>
      <c r="AF1139" s="885"/>
      <c r="AG1139" s="885"/>
      <c r="AH1139" s="885"/>
      <c r="AI1139" s="885"/>
      <c r="AJ1139" s="885"/>
      <c r="AK1139" s="885"/>
      <c r="AL1139" s="885"/>
      <c r="AM1139" s="885"/>
      <c r="AN1139" s="885"/>
      <c r="AO1139" s="885"/>
      <c r="AP1139" s="885"/>
      <c r="AQ1139" s="885"/>
      <c r="AR1139" s="885"/>
      <c r="AS1139" s="885"/>
      <c r="AT1139" s="885"/>
      <c r="AU1139" s="885"/>
      <c r="AV1139" s="885"/>
      <c r="AW1139" s="885"/>
      <c r="AX1139" s="885"/>
      <c r="AY1139" s="885"/>
      <c r="AZ1139" s="885"/>
      <c r="BA1139" s="885"/>
      <c r="BB1139" s="885"/>
      <c r="BC1139" s="885"/>
      <c r="BD1139" s="885"/>
      <c r="BE1139" s="885"/>
      <c r="BF1139" s="885"/>
      <c r="BG1139" s="885"/>
      <c r="BH1139" s="885"/>
      <c r="BI1139" s="885"/>
      <c r="BJ1139" s="885"/>
      <c r="BK1139" s="885"/>
      <c r="BL1139" s="885"/>
      <c r="BM1139" s="885"/>
      <c r="BN1139" s="885"/>
      <c r="BO1139" s="885"/>
      <c r="BP1139" s="885"/>
      <c r="BQ1139" s="885"/>
      <c r="BR1139" s="885"/>
      <c r="BS1139" s="885"/>
      <c r="BT1139" s="885"/>
      <c r="BU1139" s="885"/>
      <c r="BV1139" s="885"/>
      <c r="BW1139" s="885"/>
      <c r="BX1139" s="885"/>
      <c r="BY1139" s="885"/>
      <c r="BZ1139" s="885"/>
      <c r="CA1139" s="885"/>
      <c r="CB1139" s="885"/>
      <c r="CC1139" s="885"/>
      <c r="CD1139" s="885"/>
      <c r="CE1139" s="885"/>
      <c r="CF1139" s="885"/>
      <c r="CG1139" s="885"/>
      <c r="CH1139" s="885"/>
      <c r="CI1139" s="885"/>
      <c r="CJ1139" s="885"/>
      <c r="CK1139" s="885"/>
      <c r="CL1139" s="885"/>
      <c r="CM1139" s="885"/>
      <c r="CN1139" s="885"/>
      <c r="CO1139" s="885"/>
      <c r="CP1139" s="885"/>
      <c r="CQ1139" s="885"/>
      <c r="CR1139" s="885"/>
      <c r="CS1139" s="885"/>
      <c r="CT1139" s="885"/>
      <c r="CU1139" s="885"/>
      <c r="CV1139" s="885"/>
      <c r="CW1139" s="885"/>
      <c r="CX1139" s="885"/>
      <c r="CY1139" s="885"/>
      <c r="CZ1139" s="885"/>
      <c r="DA1139" s="885"/>
      <c r="DB1139" s="885"/>
      <c r="DC1139" s="885"/>
      <c r="DD1139" s="885"/>
      <c r="DE1139" s="885"/>
      <c r="DF1139" s="885"/>
      <c r="DG1139" s="885"/>
      <c r="DH1139" s="885"/>
      <c r="DI1139" s="885"/>
      <c r="DJ1139" s="885"/>
      <c r="DK1139" s="885"/>
      <c r="DL1139" s="885"/>
      <c r="DM1139" s="885"/>
      <c r="DN1139" s="885"/>
      <c r="DO1139" s="885"/>
      <c r="DP1139" s="885"/>
      <c r="DQ1139" s="885"/>
      <c r="DR1139" s="885"/>
      <c r="DS1139" s="885"/>
      <c r="DT1139" s="885"/>
      <c r="DU1139" s="885"/>
      <c r="DV1139" s="885"/>
      <c r="DW1139" s="885"/>
      <c r="DX1139" s="885"/>
      <c r="DY1139" s="885"/>
      <c r="DZ1139" s="885"/>
      <c r="EA1139" s="885"/>
      <c r="EB1139" s="885"/>
      <c r="EC1139" s="885"/>
      <c r="ED1139" s="885"/>
      <c r="EE1139" s="885"/>
      <c r="EF1139" s="885"/>
      <c r="EG1139" s="885"/>
      <c r="EH1139" s="885"/>
      <c r="EI1139" s="885"/>
      <c r="EJ1139" s="885"/>
      <c r="EK1139" s="885"/>
      <c r="EL1139" s="885"/>
      <c r="EM1139" s="885"/>
      <c r="EN1139" s="885"/>
      <c r="EO1139" s="885"/>
      <c r="EP1139" s="885"/>
      <c r="EQ1139" s="885"/>
      <c r="ER1139" s="885"/>
      <c r="ES1139" s="885"/>
      <c r="ET1139" s="885"/>
      <c r="EU1139" s="885"/>
      <c r="EV1139" s="885"/>
      <c r="EW1139" s="885"/>
      <c r="EX1139" s="885"/>
      <c r="EY1139" s="885"/>
      <c r="EZ1139" s="885"/>
      <c r="FA1139" s="885"/>
      <c r="FB1139" s="885"/>
      <c r="FC1139" s="885"/>
      <c r="FD1139" s="885"/>
      <c r="FE1139" s="885"/>
      <c r="FF1139" s="885"/>
      <c r="FG1139" s="885"/>
      <c r="FH1139" s="885"/>
      <c r="FI1139" s="885"/>
      <c r="FJ1139" s="885"/>
      <c r="FK1139" s="885"/>
      <c r="FL1139" s="885"/>
      <c r="FM1139" s="885"/>
      <c r="FN1139" s="885"/>
      <c r="FO1139" s="885"/>
      <c r="FP1139" s="885"/>
      <c r="FQ1139" s="885"/>
      <c r="FR1139" s="885"/>
      <c r="FS1139" s="885"/>
      <c r="FT1139" s="885"/>
      <c r="FU1139" s="885"/>
      <c r="FV1139" s="885"/>
      <c r="FW1139" s="885"/>
      <c r="FX1139" s="885"/>
      <c r="FY1139" s="885"/>
      <c r="FZ1139" s="885"/>
      <c r="GA1139" s="885"/>
      <c r="GB1139" s="885"/>
      <c r="GC1139" s="885"/>
      <c r="GD1139" s="885"/>
      <c r="GE1139" s="885"/>
      <c r="GF1139" s="885"/>
      <c r="GG1139" s="885"/>
      <c r="GH1139" s="885"/>
      <c r="GI1139" s="885"/>
      <c r="GJ1139" s="885"/>
      <c r="GK1139" s="885"/>
      <c r="GL1139" s="885"/>
      <c r="GM1139" s="885"/>
      <c r="GN1139" s="885"/>
      <c r="GO1139" s="885"/>
      <c r="GP1139" s="885"/>
      <c r="GQ1139" s="885"/>
      <c r="GR1139" s="885"/>
      <c r="GS1139" s="885"/>
      <c r="GT1139" s="885"/>
      <c r="GU1139" s="885"/>
      <c r="GV1139" s="885"/>
      <c r="GW1139" s="885"/>
      <c r="GX1139" s="885"/>
      <c r="GY1139" s="885"/>
      <c r="GZ1139" s="885"/>
      <c r="HA1139" s="885"/>
      <c r="HB1139" s="885"/>
      <c r="HC1139" s="885"/>
      <c r="HD1139" s="885"/>
      <c r="HE1139" s="885"/>
      <c r="HF1139" s="885"/>
      <c r="HG1139" s="885"/>
      <c r="HH1139" s="885"/>
      <c r="HI1139" s="885"/>
      <c r="HJ1139" s="885"/>
      <c r="HK1139" s="885"/>
      <c r="HL1139" s="885"/>
      <c r="HM1139" s="885"/>
      <c r="HN1139" s="885"/>
      <c r="HO1139" s="885"/>
      <c r="HP1139" s="885"/>
      <c r="HQ1139" s="885"/>
      <c r="HR1139" s="885"/>
      <c r="HS1139" s="885"/>
      <c r="HT1139" s="885"/>
      <c r="HU1139" s="885"/>
      <c r="HV1139" s="885"/>
      <c r="HW1139" s="885"/>
      <c r="HX1139" s="885"/>
      <c r="HY1139" s="885"/>
      <c r="HZ1139" s="885"/>
      <c r="IA1139" s="885"/>
      <c r="IB1139" s="885"/>
      <c r="IC1139" s="885"/>
      <c r="ID1139" s="885"/>
      <c r="IE1139" s="885"/>
      <c r="IF1139" s="885"/>
      <c r="IG1139" s="885"/>
      <c r="IH1139" s="885"/>
      <c r="II1139" s="885"/>
      <c r="IJ1139" s="885"/>
      <c r="IK1139" s="885"/>
      <c r="IL1139" s="885"/>
      <c r="IM1139" s="885"/>
      <c r="IN1139" s="885"/>
      <c r="IO1139" s="885"/>
      <c r="IP1139" s="885"/>
      <c r="IQ1139" s="885"/>
      <c r="IR1139" s="885"/>
      <c r="IS1139" s="885"/>
      <c r="IT1139" s="885"/>
      <c r="IU1139" s="885"/>
      <c r="IV1139" s="885"/>
      <c r="IW1139" s="885"/>
      <c r="IX1139" s="885"/>
    </row>
    <row r="1140" spans="1:258" x14ac:dyDescent="0.25">
      <c r="A1140" s="125">
        <f t="shared" si="128"/>
        <v>1100</v>
      </c>
      <c r="B1140" s="885"/>
      <c r="C1140" s="842" t="s">
        <v>10698</v>
      </c>
      <c r="D1140" s="924">
        <v>58.1</v>
      </c>
      <c r="E1140" s="924">
        <f t="shared" si="129"/>
        <v>87.15</v>
      </c>
      <c r="F1140" s="136">
        <f>E1140</f>
        <v>87.15</v>
      </c>
      <c r="G1140" s="122" t="s">
        <v>1963</v>
      </c>
      <c r="H1140" s="842"/>
      <c r="I1140" s="793"/>
      <c r="J1140" s="885"/>
      <c r="K1140" s="885"/>
      <c r="L1140" s="885"/>
      <c r="M1140" s="885"/>
      <c r="N1140" s="885"/>
      <c r="O1140" s="885"/>
      <c r="P1140" s="885"/>
      <c r="Q1140" s="885"/>
      <c r="R1140" s="885"/>
      <c r="S1140" s="885"/>
      <c r="T1140" s="885"/>
      <c r="U1140" s="885"/>
      <c r="V1140" s="885"/>
      <c r="W1140" s="885"/>
      <c r="X1140" s="885"/>
      <c r="Y1140" s="885"/>
      <c r="Z1140" s="885"/>
      <c r="AA1140" s="885"/>
      <c r="AB1140" s="885"/>
      <c r="AC1140" s="885"/>
      <c r="AD1140" s="885"/>
      <c r="AE1140" s="885"/>
      <c r="AF1140" s="885"/>
      <c r="AG1140" s="885"/>
      <c r="AH1140" s="885"/>
      <c r="AI1140" s="885"/>
      <c r="AJ1140" s="885"/>
      <c r="AK1140" s="885"/>
      <c r="AL1140" s="885"/>
      <c r="AM1140" s="885"/>
      <c r="AN1140" s="885"/>
      <c r="AO1140" s="885"/>
      <c r="AP1140" s="885"/>
      <c r="AQ1140" s="885"/>
      <c r="AR1140" s="885"/>
      <c r="AS1140" s="885"/>
      <c r="AT1140" s="885"/>
      <c r="AU1140" s="885"/>
      <c r="AV1140" s="885"/>
      <c r="AW1140" s="885"/>
      <c r="AX1140" s="885"/>
      <c r="AY1140" s="885"/>
      <c r="AZ1140" s="885"/>
      <c r="BA1140" s="885"/>
      <c r="BB1140" s="885"/>
      <c r="BC1140" s="885"/>
      <c r="BD1140" s="885"/>
      <c r="BE1140" s="885"/>
      <c r="BF1140" s="885"/>
      <c r="BG1140" s="885"/>
      <c r="BH1140" s="885"/>
      <c r="BI1140" s="885"/>
      <c r="BJ1140" s="885"/>
      <c r="BK1140" s="885"/>
      <c r="BL1140" s="885"/>
      <c r="BM1140" s="885"/>
      <c r="BN1140" s="885"/>
      <c r="BO1140" s="885"/>
      <c r="BP1140" s="885"/>
      <c r="BQ1140" s="885"/>
      <c r="BR1140" s="885"/>
      <c r="BS1140" s="885"/>
      <c r="BT1140" s="885"/>
      <c r="BU1140" s="885"/>
      <c r="BV1140" s="885"/>
      <c r="BW1140" s="885"/>
      <c r="BX1140" s="885"/>
      <c r="BY1140" s="885"/>
      <c r="BZ1140" s="885"/>
      <c r="CA1140" s="885"/>
      <c r="CB1140" s="885"/>
      <c r="CC1140" s="885"/>
      <c r="CD1140" s="885"/>
      <c r="CE1140" s="885"/>
      <c r="CF1140" s="885"/>
      <c r="CG1140" s="885"/>
      <c r="CH1140" s="885"/>
      <c r="CI1140" s="885"/>
      <c r="CJ1140" s="885"/>
      <c r="CK1140" s="885"/>
      <c r="CL1140" s="885"/>
      <c r="CM1140" s="885"/>
      <c r="CN1140" s="885"/>
      <c r="CO1140" s="885"/>
      <c r="CP1140" s="885"/>
      <c r="CQ1140" s="885"/>
      <c r="CR1140" s="885"/>
      <c r="CS1140" s="885"/>
      <c r="CT1140" s="885"/>
      <c r="CU1140" s="885"/>
      <c r="CV1140" s="885"/>
      <c r="CW1140" s="885"/>
      <c r="CX1140" s="885"/>
      <c r="CY1140" s="885"/>
      <c r="CZ1140" s="885"/>
      <c r="DA1140" s="885"/>
      <c r="DB1140" s="885"/>
      <c r="DC1140" s="885"/>
      <c r="DD1140" s="885"/>
      <c r="DE1140" s="885"/>
      <c r="DF1140" s="885"/>
      <c r="DG1140" s="885"/>
      <c r="DH1140" s="885"/>
      <c r="DI1140" s="885"/>
      <c r="DJ1140" s="885"/>
      <c r="DK1140" s="885"/>
      <c r="DL1140" s="885"/>
      <c r="DM1140" s="885"/>
      <c r="DN1140" s="885"/>
      <c r="DO1140" s="885"/>
      <c r="DP1140" s="885"/>
      <c r="DQ1140" s="885"/>
      <c r="DR1140" s="885"/>
      <c r="DS1140" s="885"/>
      <c r="DT1140" s="885"/>
      <c r="DU1140" s="885"/>
      <c r="DV1140" s="885"/>
      <c r="DW1140" s="885"/>
      <c r="DX1140" s="885"/>
      <c r="DY1140" s="885"/>
      <c r="DZ1140" s="885"/>
      <c r="EA1140" s="885"/>
      <c r="EB1140" s="885"/>
      <c r="EC1140" s="885"/>
      <c r="ED1140" s="885"/>
      <c r="EE1140" s="885"/>
      <c r="EF1140" s="885"/>
      <c r="EG1140" s="885"/>
      <c r="EH1140" s="885"/>
      <c r="EI1140" s="885"/>
      <c r="EJ1140" s="885"/>
      <c r="EK1140" s="885"/>
      <c r="EL1140" s="885"/>
      <c r="EM1140" s="885"/>
      <c r="EN1140" s="885"/>
      <c r="EO1140" s="885"/>
      <c r="EP1140" s="885"/>
      <c r="EQ1140" s="885"/>
      <c r="ER1140" s="885"/>
      <c r="ES1140" s="885"/>
      <c r="ET1140" s="885"/>
      <c r="EU1140" s="885"/>
      <c r="EV1140" s="885"/>
      <c r="EW1140" s="885"/>
      <c r="EX1140" s="885"/>
      <c r="EY1140" s="885"/>
      <c r="EZ1140" s="885"/>
      <c r="FA1140" s="885"/>
      <c r="FB1140" s="885"/>
      <c r="FC1140" s="885"/>
      <c r="FD1140" s="885"/>
      <c r="FE1140" s="885"/>
      <c r="FF1140" s="885"/>
      <c r="FG1140" s="885"/>
      <c r="FH1140" s="885"/>
      <c r="FI1140" s="885"/>
      <c r="FJ1140" s="885"/>
      <c r="FK1140" s="885"/>
      <c r="FL1140" s="885"/>
      <c r="FM1140" s="885"/>
      <c r="FN1140" s="885"/>
      <c r="FO1140" s="885"/>
      <c r="FP1140" s="885"/>
      <c r="FQ1140" s="885"/>
      <c r="FR1140" s="885"/>
      <c r="FS1140" s="885"/>
      <c r="FT1140" s="885"/>
      <c r="FU1140" s="885"/>
      <c r="FV1140" s="885"/>
      <c r="FW1140" s="885"/>
      <c r="FX1140" s="885"/>
      <c r="FY1140" s="885"/>
      <c r="FZ1140" s="885"/>
      <c r="GA1140" s="885"/>
      <c r="GB1140" s="885"/>
      <c r="GC1140" s="885"/>
      <c r="GD1140" s="885"/>
      <c r="GE1140" s="885"/>
      <c r="GF1140" s="885"/>
      <c r="GG1140" s="885"/>
      <c r="GH1140" s="885"/>
      <c r="GI1140" s="885"/>
      <c r="GJ1140" s="885"/>
      <c r="GK1140" s="885"/>
      <c r="GL1140" s="885"/>
      <c r="GM1140" s="885"/>
      <c r="GN1140" s="885"/>
      <c r="GO1140" s="885"/>
      <c r="GP1140" s="885"/>
      <c r="GQ1140" s="885"/>
      <c r="GR1140" s="885"/>
      <c r="GS1140" s="885"/>
      <c r="GT1140" s="885"/>
      <c r="GU1140" s="885"/>
      <c r="GV1140" s="885"/>
      <c r="GW1140" s="885"/>
      <c r="GX1140" s="885"/>
      <c r="GY1140" s="885"/>
      <c r="GZ1140" s="885"/>
      <c r="HA1140" s="885"/>
      <c r="HB1140" s="885"/>
      <c r="HC1140" s="885"/>
      <c r="HD1140" s="885"/>
      <c r="HE1140" s="885"/>
      <c r="HF1140" s="885"/>
      <c r="HG1140" s="885"/>
      <c r="HH1140" s="885"/>
      <c r="HI1140" s="885"/>
      <c r="HJ1140" s="885"/>
      <c r="HK1140" s="885"/>
      <c r="HL1140" s="885"/>
      <c r="HM1140" s="885"/>
      <c r="HN1140" s="885"/>
      <c r="HO1140" s="885"/>
      <c r="HP1140" s="885"/>
      <c r="HQ1140" s="885"/>
      <c r="HR1140" s="885"/>
      <c r="HS1140" s="885"/>
      <c r="HT1140" s="885"/>
      <c r="HU1140" s="885"/>
      <c r="HV1140" s="885"/>
      <c r="HW1140" s="885"/>
      <c r="HX1140" s="885"/>
      <c r="HY1140" s="885"/>
      <c r="HZ1140" s="885"/>
      <c r="IA1140" s="885"/>
      <c r="IB1140" s="885"/>
      <c r="IC1140" s="885"/>
      <c r="ID1140" s="885"/>
      <c r="IE1140" s="885"/>
      <c r="IF1140" s="885"/>
      <c r="IG1140" s="885"/>
      <c r="IH1140" s="885"/>
      <c r="II1140" s="885"/>
      <c r="IJ1140" s="885"/>
      <c r="IK1140" s="885"/>
      <c r="IL1140" s="885"/>
      <c r="IM1140" s="885"/>
      <c r="IN1140" s="885"/>
      <c r="IO1140" s="885"/>
      <c r="IP1140" s="885"/>
      <c r="IQ1140" s="885"/>
      <c r="IR1140" s="885"/>
      <c r="IS1140" s="885"/>
      <c r="IT1140" s="885"/>
      <c r="IU1140" s="885"/>
      <c r="IV1140" s="885"/>
      <c r="IW1140" s="885"/>
      <c r="IX1140" s="885"/>
    </row>
    <row r="1141" spans="1:258" x14ac:dyDescent="0.25">
      <c r="A1141" s="125">
        <f t="shared" si="128"/>
        <v>1101</v>
      </c>
      <c r="B1141" s="885"/>
      <c r="C1141" s="842" t="s">
        <v>10699</v>
      </c>
      <c r="D1141" s="924">
        <v>0</v>
      </c>
      <c r="E1141" s="924">
        <f t="shared" si="129"/>
        <v>0</v>
      </c>
      <c r="F1141" s="136">
        <v>1000</v>
      </c>
      <c r="G1141" s="122" t="s">
        <v>1963</v>
      </c>
      <c r="H1141" s="842"/>
      <c r="I1141" s="793"/>
      <c r="J1141" s="885"/>
      <c r="K1141" s="885"/>
      <c r="L1141" s="885"/>
      <c r="M1141" s="885"/>
      <c r="N1141" s="885"/>
      <c r="O1141" s="885"/>
      <c r="P1141" s="885"/>
      <c r="Q1141" s="885"/>
      <c r="R1141" s="885"/>
      <c r="S1141" s="885"/>
      <c r="T1141" s="885"/>
      <c r="U1141" s="885"/>
      <c r="V1141" s="885"/>
      <c r="W1141" s="885"/>
      <c r="X1141" s="885"/>
      <c r="Y1141" s="885"/>
      <c r="Z1141" s="885"/>
      <c r="AA1141" s="885"/>
      <c r="AB1141" s="885"/>
      <c r="AC1141" s="885"/>
      <c r="AD1141" s="885"/>
      <c r="AE1141" s="885"/>
      <c r="AF1141" s="885"/>
      <c r="AG1141" s="885"/>
      <c r="AH1141" s="885"/>
      <c r="AI1141" s="885"/>
      <c r="AJ1141" s="885"/>
      <c r="AK1141" s="885"/>
      <c r="AL1141" s="885"/>
      <c r="AM1141" s="885"/>
      <c r="AN1141" s="885"/>
      <c r="AO1141" s="885"/>
      <c r="AP1141" s="885"/>
      <c r="AQ1141" s="885"/>
      <c r="AR1141" s="885"/>
      <c r="AS1141" s="885"/>
      <c r="AT1141" s="885"/>
      <c r="AU1141" s="885"/>
      <c r="AV1141" s="885"/>
      <c r="AW1141" s="885"/>
      <c r="AX1141" s="885"/>
      <c r="AY1141" s="885"/>
      <c r="AZ1141" s="885"/>
      <c r="BA1141" s="885"/>
      <c r="BB1141" s="885"/>
      <c r="BC1141" s="885"/>
      <c r="BD1141" s="885"/>
      <c r="BE1141" s="885"/>
      <c r="BF1141" s="885"/>
      <c r="BG1141" s="885"/>
      <c r="BH1141" s="885"/>
      <c r="BI1141" s="885"/>
      <c r="BJ1141" s="885"/>
      <c r="BK1141" s="885"/>
      <c r="BL1141" s="885"/>
      <c r="BM1141" s="885"/>
      <c r="BN1141" s="885"/>
      <c r="BO1141" s="885"/>
      <c r="BP1141" s="885"/>
      <c r="BQ1141" s="885"/>
      <c r="BR1141" s="885"/>
      <c r="BS1141" s="885"/>
      <c r="BT1141" s="885"/>
      <c r="BU1141" s="885"/>
      <c r="BV1141" s="885"/>
      <c r="BW1141" s="885"/>
      <c r="BX1141" s="885"/>
      <c r="BY1141" s="885"/>
      <c r="BZ1141" s="885"/>
      <c r="CA1141" s="885"/>
      <c r="CB1141" s="885"/>
      <c r="CC1141" s="885"/>
      <c r="CD1141" s="885"/>
      <c r="CE1141" s="885"/>
      <c r="CF1141" s="885"/>
      <c r="CG1141" s="885"/>
      <c r="CH1141" s="885"/>
      <c r="CI1141" s="885"/>
      <c r="CJ1141" s="885"/>
      <c r="CK1141" s="885"/>
      <c r="CL1141" s="885"/>
      <c r="CM1141" s="885"/>
      <c r="CN1141" s="885"/>
      <c r="CO1141" s="885"/>
      <c r="CP1141" s="885"/>
      <c r="CQ1141" s="885"/>
      <c r="CR1141" s="885"/>
      <c r="CS1141" s="885"/>
      <c r="CT1141" s="885"/>
      <c r="CU1141" s="885"/>
      <c r="CV1141" s="885"/>
      <c r="CW1141" s="885"/>
      <c r="CX1141" s="885"/>
      <c r="CY1141" s="885"/>
      <c r="CZ1141" s="885"/>
      <c r="DA1141" s="885"/>
      <c r="DB1141" s="885"/>
      <c r="DC1141" s="885"/>
      <c r="DD1141" s="885"/>
      <c r="DE1141" s="885"/>
      <c r="DF1141" s="885"/>
      <c r="DG1141" s="885"/>
      <c r="DH1141" s="885"/>
      <c r="DI1141" s="885"/>
      <c r="DJ1141" s="885"/>
      <c r="DK1141" s="885"/>
      <c r="DL1141" s="885"/>
      <c r="DM1141" s="885"/>
      <c r="DN1141" s="885"/>
      <c r="DO1141" s="885"/>
      <c r="DP1141" s="885"/>
      <c r="DQ1141" s="885"/>
      <c r="DR1141" s="885"/>
      <c r="DS1141" s="885"/>
      <c r="DT1141" s="885"/>
      <c r="DU1141" s="885"/>
      <c r="DV1141" s="885"/>
      <c r="DW1141" s="885"/>
      <c r="DX1141" s="885"/>
      <c r="DY1141" s="885"/>
      <c r="DZ1141" s="885"/>
      <c r="EA1141" s="885"/>
      <c r="EB1141" s="885"/>
      <c r="EC1141" s="885"/>
      <c r="ED1141" s="885"/>
      <c r="EE1141" s="885"/>
      <c r="EF1141" s="885"/>
      <c r="EG1141" s="885"/>
      <c r="EH1141" s="885"/>
      <c r="EI1141" s="885"/>
      <c r="EJ1141" s="885"/>
      <c r="EK1141" s="885"/>
      <c r="EL1141" s="885"/>
      <c r="EM1141" s="885"/>
      <c r="EN1141" s="885"/>
      <c r="EO1141" s="885"/>
      <c r="EP1141" s="885"/>
      <c r="EQ1141" s="885"/>
      <c r="ER1141" s="885"/>
      <c r="ES1141" s="885"/>
      <c r="ET1141" s="885"/>
      <c r="EU1141" s="885"/>
      <c r="EV1141" s="885"/>
      <c r="EW1141" s="885"/>
      <c r="EX1141" s="885"/>
      <c r="EY1141" s="885"/>
      <c r="EZ1141" s="885"/>
      <c r="FA1141" s="885"/>
      <c r="FB1141" s="885"/>
      <c r="FC1141" s="885"/>
      <c r="FD1141" s="885"/>
      <c r="FE1141" s="885"/>
      <c r="FF1141" s="885"/>
      <c r="FG1141" s="885"/>
      <c r="FH1141" s="885"/>
      <c r="FI1141" s="885"/>
      <c r="FJ1141" s="885"/>
      <c r="FK1141" s="885"/>
      <c r="FL1141" s="885"/>
      <c r="FM1141" s="885"/>
      <c r="FN1141" s="885"/>
      <c r="FO1141" s="885"/>
      <c r="FP1141" s="885"/>
      <c r="FQ1141" s="885"/>
      <c r="FR1141" s="885"/>
      <c r="FS1141" s="885"/>
      <c r="FT1141" s="885"/>
      <c r="FU1141" s="885"/>
      <c r="FV1141" s="885"/>
      <c r="FW1141" s="885"/>
      <c r="FX1141" s="885"/>
      <c r="FY1141" s="885"/>
      <c r="FZ1141" s="885"/>
      <c r="GA1141" s="885"/>
      <c r="GB1141" s="885"/>
      <c r="GC1141" s="885"/>
      <c r="GD1141" s="885"/>
      <c r="GE1141" s="885"/>
      <c r="GF1141" s="885"/>
      <c r="GG1141" s="885"/>
      <c r="GH1141" s="885"/>
      <c r="GI1141" s="885"/>
      <c r="GJ1141" s="885"/>
      <c r="GK1141" s="885"/>
      <c r="GL1141" s="885"/>
      <c r="GM1141" s="885"/>
      <c r="GN1141" s="885"/>
      <c r="GO1141" s="885"/>
      <c r="GP1141" s="885"/>
      <c r="GQ1141" s="885"/>
      <c r="GR1141" s="885"/>
      <c r="GS1141" s="885"/>
      <c r="GT1141" s="885"/>
      <c r="GU1141" s="885"/>
      <c r="GV1141" s="885"/>
      <c r="GW1141" s="885"/>
      <c r="GX1141" s="885"/>
      <c r="GY1141" s="885"/>
      <c r="GZ1141" s="885"/>
      <c r="HA1141" s="885"/>
      <c r="HB1141" s="885"/>
      <c r="HC1141" s="885"/>
      <c r="HD1141" s="885"/>
      <c r="HE1141" s="885"/>
      <c r="HF1141" s="885"/>
      <c r="HG1141" s="885"/>
      <c r="HH1141" s="885"/>
      <c r="HI1141" s="885"/>
      <c r="HJ1141" s="885"/>
      <c r="HK1141" s="885"/>
      <c r="HL1141" s="885"/>
      <c r="HM1141" s="885"/>
      <c r="HN1141" s="885"/>
      <c r="HO1141" s="885"/>
      <c r="HP1141" s="885"/>
      <c r="HQ1141" s="885"/>
      <c r="HR1141" s="885"/>
      <c r="HS1141" s="885"/>
      <c r="HT1141" s="885"/>
      <c r="HU1141" s="885"/>
      <c r="HV1141" s="885"/>
      <c r="HW1141" s="885"/>
      <c r="HX1141" s="885"/>
      <c r="HY1141" s="885"/>
      <c r="HZ1141" s="885"/>
      <c r="IA1141" s="885"/>
      <c r="IB1141" s="885"/>
      <c r="IC1141" s="885"/>
      <c r="ID1141" s="885"/>
      <c r="IE1141" s="885"/>
      <c r="IF1141" s="885"/>
      <c r="IG1141" s="885"/>
      <c r="IH1141" s="885"/>
      <c r="II1141" s="885"/>
      <c r="IJ1141" s="885"/>
      <c r="IK1141" s="885"/>
      <c r="IL1141" s="885"/>
      <c r="IM1141" s="885"/>
      <c r="IN1141" s="885"/>
      <c r="IO1141" s="885"/>
      <c r="IP1141" s="885"/>
      <c r="IQ1141" s="885"/>
      <c r="IR1141" s="885"/>
      <c r="IS1141" s="885"/>
      <c r="IT1141" s="885"/>
      <c r="IU1141" s="885"/>
      <c r="IV1141" s="885"/>
      <c r="IW1141" s="885"/>
      <c r="IX1141" s="885"/>
    </row>
    <row r="1142" spans="1:258" x14ac:dyDescent="0.25">
      <c r="A1142" s="125">
        <f t="shared" si="128"/>
        <v>1102</v>
      </c>
      <c r="B1142" s="885"/>
      <c r="C1142" s="842" t="s">
        <v>10700</v>
      </c>
      <c r="D1142" s="924">
        <v>0</v>
      </c>
      <c r="E1142" s="924">
        <f t="shared" si="129"/>
        <v>0</v>
      </c>
      <c r="F1142" s="136">
        <v>1000</v>
      </c>
      <c r="G1142" s="122" t="s">
        <v>1963</v>
      </c>
      <c r="H1142" s="842"/>
      <c r="I1142" s="793"/>
      <c r="J1142" s="885"/>
      <c r="K1142" s="885"/>
      <c r="L1142" s="885"/>
      <c r="M1142" s="885"/>
      <c r="N1142" s="885"/>
      <c r="O1142" s="885"/>
      <c r="P1142" s="885"/>
      <c r="Q1142" s="885"/>
      <c r="R1142" s="885"/>
      <c r="S1142" s="885"/>
      <c r="T1142" s="885"/>
      <c r="U1142" s="885"/>
      <c r="V1142" s="885"/>
      <c r="W1142" s="885"/>
      <c r="X1142" s="885"/>
      <c r="Y1142" s="885"/>
      <c r="Z1142" s="885"/>
      <c r="AA1142" s="885"/>
      <c r="AB1142" s="885"/>
      <c r="AC1142" s="885"/>
      <c r="AD1142" s="885"/>
      <c r="AE1142" s="885"/>
      <c r="AF1142" s="885"/>
      <c r="AG1142" s="885"/>
      <c r="AH1142" s="885"/>
      <c r="AI1142" s="885"/>
      <c r="AJ1142" s="885"/>
      <c r="AK1142" s="885"/>
      <c r="AL1142" s="885"/>
      <c r="AM1142" s="885"/>
      <c r="AN1142" s="885"/>
      <c r="AO1142" s="885"/>
      <c r="AP1142" s="885"/>
      <c r="AQ1142" s="885"/>
      <c r="AR1142" s="885"/>
      <c r="AS1142" s="885"/>
      <c r="AT1142" s="885"/>
      <c r="AU1142" s="885"/>
      <c r="AV1142" s="885"/>
      <c r="AW1142" s="885"/>
      <c r="AX1142" s="885"/>
      <c r="AY1142" s="885"/>
      <c r="AZ1142" s="885"/>
      <c r="BA1142" s="885"/>
      <c r="BB1142" s="885"/>
      <c r="BC1142" s="885"/>
      <c r="BD1142" s="885"/>
      <c r="BE1142" s="885"/>
      <c r="BF1142" s="885"/>
      <c r="BG1142" s="885"/>
      <c r="BH1142" s="885"/>
      <c r="BI1142" s="885"/>
      <c r="BJ1142" s="885"/>
      <c r="BK1142" s="885"/>
      <c r="BL1142" s="885"/>
      <c r="BM1142" s="885"/>
      <c r="BN1142" s="885"/>
      <c r="BO1142" s="885"/>
      <c r="BP1142" s="885"/>
      <c r="BQ1142" s="885"/>
      <c r="BR1142" s="885"/>
      <c r="BS1142" s="885"/>
      <c r="BT1142" s="885"/>
      <c r="BU1142" s="885"/>
      <c r="BV1142" s="885"/>
      <c r="BW1142" s="885"/>
      <c r="BX1142" s="885"/>
      <c r="BY1142" s="885"/>
      <c r="BZ1142" s="885"/>
      <c r="CA1142" s="885"/>
      <c r="CB1142" s="885"/>
      <c r="CC1142" s="885"/>
      <c r="CD1142" s="885"/>
      <c r="CE1142" s="885"/>
      <c r="CF1142" s="885"/>
      <c r="CG1142" s="885"/>
      <c r="CH1142" s="885"/>
      <c r="CI1142" s="885"/>
      <c r="CJ1142" s="885"/>
      <c r="CK1142" s="885"/>
      <c r="CL1142" s="885"/>
      <c r="CM1142" s="885"/>
      <c r="CN1142" s="885"/>
      <c r="CO1142" s="885"/>
      <c r="CP1142" s="885"/>
      <c r="CQ1142" s="885"/>
      <c r="CR1142" s="885"/>
      <c r="CS1142" s="885"/>
      <c r="CT1142" s="885"/>
      <c r="CU1142" s="885"/>
      <c r="CV1142" s="885"/>
      <c r="CW1142" s="885"/>
      <c r="CX1142" s="885"/>
      <c r="CY1142" s="885"/>
      <c r="CZ1142" s="885"/>
      <c r="DA1142" s="885"/>
      <c r="DB1142" s="885"/>
      <c r="DC1142" s="885"/>
      <c r="DD1142" s="885"/>
      <c r="DE1142" s="885"/>
      <c r="DF1142" s="885"/>
      <c r="DG1142" s="885"/>
      <c r="DH1142" s="885"/>
      <c r="DI1142" s="885"/>
      <c r="DJ1142" s="885"/>
      <c r="DK1142" s="885"/>
      <c r="DL1142" s="885"/>
      <c r="DM1142" s="885"/>
      <c r="DN1142" s="885"/>
      <c r="DO1142" s="885"/>
      <c r="DP1142" s="885"/>
      <c r="DQ1142" s="885"/>
      <c r="DR1142" s="885"/>
      <c r="DS1142" s="885"/>
      <c r="DT1142" s="885"/>
      <c r="DU1142" s="885"/>
      <c r="DV1142" s="885"/>
      <c r="DW1142" s="885"/>
      <c r="DX1142" s="885"/>
      <c r="DY1142" s="885"/>
      <c r="DZ1142" s="885"/>
      <c r="EA1142" s="885"/>
      <c r="EB1142" s="885"/>
      <c r="EC1142" s="885"/>
      <c r="ED1142" s="885"/>
      <c r="EE1142" s="885"/>
      <c r="EF1142" s="885"/>
      <c r="EG1142" s="885"/>
      <c r="EH1142" s="885"/>
      <c r="EI1142" s="885"/>
      <c r="EJ1142" s="885"/>
      <c r="EK1142" s="885"/>
      <c r="EL1142" s="885"/>
      <c r="EM1142" s="885"/>
      <c r="EN1142" s="885"/>
      <c r="EO1142" s="885"/>
      <c r="EP1142" s="885"/>
      <c r="EQ1142" s="885"/>
      <c r="ER1142" s="885"/>
      <c r="ES1142" s="885"/>
      <c r="ET1142" s="885"/>
      <c r="EU1142" s="885"/>
      <c r="EV1142" s="885"/>
      <c r="EW1142" s="885"/>
      <c r="EX1142" s="885"/>
      <c r="EY1142" s="885"/>
      <c r="EZ1142" s="885"/>
      <c r="FA1142" s="885"/>
      <c r="FB1142" s="885"/>
      <c r="FC1142" s="885"/>
      <c r="FD1142" s="885"/>
      <c r="FE1142" s="885"/>
      <c r="FF1142" s="885"/>
      <c r="FG1142" s="885"/>
      <c r="FH1142" s="885"/>
      <c r="FI1142" s="885"/>
      <c r="FJ1142" s="885"/>
      <c r="FK1142" s="885"/>
      <c r="FL1142" s="885"/>
      <c r="FM1142" s="885"/>
      <c r="FN1142" s="885"/>
      <c r="FO1142" s="885"/>
      <c r="FP1142" s="885"/>
      <c r="FQ1142" s="885"/>
      <c r="FR1142" s="885"/>
      <c r="FS1142" s="885"/>
      <c r="FT1142" s="885"/>
      <c r="FU1142" s="885"/>
      <c r="FV1142" s="885"/>
      <c r="FW1142" s="885"/>
      <c r="FX1142" s="885"/>
      <c r="FY1142" s="885"/>
      <c r="FZ1142" s="885"/>
      <c r="GA1142" s="885"/>
      <c r="GB1142" s="885"/>
      <c r="GC1142" s="885"/>
      <c r="GD1142" s="885"/>
      <c r="GE1142" s="885"/>
      <c r="GF1142" s="885"/>
      <c r="GG1142" s="885"/>
      <c r="GH1142" s="885"/>
      <c r="GI1142" s="885"/>
      <c r="GJ1142" s="885"/>
      <c r="GK1142" s="885"/>
      <c r="GL1142" s="885"/>
      <c r="GM1142" s="885"/>
      <c r="GN1142" s="885"/>
      <c r="GO1142" s="885"/>
      <c r="GP1142" s="885"/>
      <c r="GQ1142" s="885"/>
      <c r="GR1142" s="885"/>
      <c r="GS1142" s="885"/>
      <c r="GT1142" s="885"/>
      <c r="GU1142" s="885"/>
      <c r="GV1142" s="885"/>
      <c r="GW1142" s="885"/>
      <c r="GX1142" s="885"/>
      <c r="GY1142" s="885"/>
      <c r="GZ1142" s="885"/>
      <c r="HA1142" s="885"/>
      <c r="HB1142" s="885"/>
      <c r="HC1142" s="885"/>
      <c r="HD1142" s="885"/>
      <c r="HE1142" s="885"/>
      <c r="HF1142" s="885"/>
      <c r="HG1142" s="885"/>
      <c r="HH1142" s="885"/>
      <c r="HI1142" s="885"/>
      <c r="HJ1142" s="885"/>
      <c r="HK1142" s="885"/>
      <c r="HL1142" s="885"/>
      <c r="HM1142" s="885"/>
      <c r="HN1142" s="885"/>
      <c r="HO1142" s="885"/>
      <c r="HP1142" s="885"/>
      <c r="HQ1142" s="885"/>
      <c r="HR1142" s="885"/>
      <c r="HS1142" s="885"/>
      <c r="HT1142" s="885"/>
      <c r="HU1142" s="885"/>
      <c r="HV1142" s="885"/>
      <c r="HW1142" s="885"/>
      <c r="HX1142" s="885"/>
      <c r="HY1142" s="885"/>
      <c r="HZ1142" s="885"/>
      <c r="IA1142" s="885"/>
      <c r="IB1142" s="885"/>
      <c r="IC1142" s="885"/>
      <c r="ID1142" s="885"/>
      <c r="IE1142" s="885"/>
      <c r="IF1142" s="885"/>
      <c r="IG1142" s="885"/>
      <c r="IH1142" s="885"/>
      <c r="II1142" s="885"/>
      <c r="IJ1142" s="885"/>
      <c r="IK1142" s="885"/>
      <c r="IL1142" s="885"/>
      <c r="IM1142" s="885"/>
      <c r="IN1142" s="885"/>
      <c r="IO1142" s="885"/>
      <c r="IP1142" s="885"/>
      <c r="IQ1142" s="885"/>
      <c r="IR1142" s="885"/>
      <c r="IS1142" s="885"/>
      <c r="IT1142" s="885"/>
      <c r="IU1142" s="885"/>
      <c r="IV1142" s="885"/>
      <c r="IW1142" s="885"/>
      <c r="IX1142" s="885"/>
    </row>
    <row r="1143" spans="1:258" x14ac:dyDescent="0.25">
      <c r="A1143" s="125">
        <f t="shared" si="128"/>
        <v>1103</v>
      </c>
      <c r="B1143" s="885"/>
      <c r="C1143" s="842" t="s">
        <v>10701</v>
      </c>
      <c r="D1143" s="924">
        <v>335</v>
      </c>
      <c r="E1143" s="924">
        <f t="shared" si="129"/>
        <v>502.5</v>
      </c>
      <c r="F1143" s="136">
        <f>E1143+1000</f>
        <v>1502.5</v>
      </c>
      <c r="G1143" s="122" t="s">
        <v>1963</v>
      </c>
      <c r="H1143" s="842"/>
      <c r="I1143" s="793"/>
      <c r="J1143" s="885"/>
      <c r="K1143" s="885"/>
      <c r="L1143" s="885"/>
      <c r="M1143" s="885"/>
      <c r="N1143" s="885"/>
      <c r="O1143" s="885"/>
      <c r="P1143" s="885"/>
      <c r="Q1143" s="885"/>
      <c r="R1143" s="885"/>
      <c r="S1143" s="885"/>
      <c r="T1143" s="885"/>
      <c r="U1143" s="885"/>
      <c r="V1143" s="885"/>
      <c r="W1143" s="885"/>
      <c r="X1143" s="885"/>
      <c r="Y1143" s="885"/>
      <c r="Z1143" s="885"/>
      <c r="AA1143" s="885"/>
      <c r="AB1143" s="885"/>
      <c r="AC1143" s="885"/>
      <c r="AD1143" s="885"/>
      <c r="AE1143" s="885"/>
      <c r="AF1143" s="885"/>
      <c r="AG1143" s="885"/>
      <c r="AH1143" s="885"/>
      <c r="AI1143" s="885"/>
      <c r="AJ1143" s="885"/>
      <c r="AK1143" s="885"/>
      <c r="AL1143" s="885"/>
      <c r="AM1143" s="885"/>
      <c r="AN1143" s="885"/>
      <c r="AO1143" s="885"/>
      <c r="AP1143" s="885"/>
      <c r="AQ1143" s="885"/>
      <c r="AR1143" s="885"/>
      <c r="AS1143" s="885"/>
      <c r="AT1143" s="885"/>
      <c r="AU1143" s="885"/>
      <c r="AV1143" s="885"/>
      <c r="AW1143" s="885"/>
      <c r="AX1143" s="885"/>
      <c r="AY1143" s="885"/>
      <c r="AZ1143" s="885"/>
      <c r="BA1143" s="885"/>
      <c r="BB1143" s="885"/>
      <c r="BC1143" s="885"/>
      <c r="BD1143" s="885"/>
      <c r="BE1143" s="885"/>
      <c r="BF1143" s="885"/>
      <c r="BG1143" s="885"/>
      <c r="BH1143" s="885"/>
      <c r="BI1143" s="885"/>
      <c r="BJ1143" s="885"/>
      <c r="BK1143" s="885"/>
      <c r="BL1143" s="885"/>
      <c r="BM1143" s="885"/>
      <c r="BN1143" s="885"/>
      <c r="BO1143" s="885"/>
      <c r="BP1143" s="885"/>
      <c r="BQ1143" s="885"/>
      <c r="BR1143" s="885"/>
      <c r="BS1143" s="885"/>
      <c r="BT1143" s="885"/>
      <c r="BU1143" s="885"/>
      <c r="BV1143" s="885"/>
      <c r="BW1143" s="885"/>
      <c r="BX1143" s="885"/>
      <c r="BY1143" s="885"/>
      <c r="BZ1143" s="885"/>
      <c r="CA1143" s="885"/>
      <c r="CB1143" s="885"/>
      <c r="CC1143" s="885"/>
      <c r="CD1143" s="885"/>
      <c r="CE1143" s="885"/>
      <c r="CF1143" s="885"/>
      <c r="CG1143" s="885"/>
      <c r="CH1143" s="885"/>
      <c r="CI1143" s="885"/>
      <c r="CJ1143" s="885"/>
      <c r="CK1143" s="885"/>
      <c r="CL1143" s="885"/>
      <c r="CM1143" s="885"/>
      <c r="CN1143" s="885"/>
      <c r="CO1143" s="885"/>
      <c r="CP1143" s="885"/>
      <c r="CQ1143" s="885"/>
      <c r="CR1143" s="885"/>
      <c r="CS1143" s="885"/>
      <c r="CT1143" s="885"/>
      <c r="CU1143" s="885"/>
      <c r="CV1143" s="885"/>
      <c r="CW1143" s="885"/>
      <c r="CX1143" s="885"/>
      <c r="CY1143" s="885"/>
      <c r="CZ1143" s="885"/>
      <c r="DA1143" s="885"/>
      <c r="DB1143" s="885"/>
      <c r="DC1143" s="885"/>
      <c r="DD1143" s="885"/>
      <c r="DE1143" s="885"/>
      <c r="DF1143" s="885"/>
      <c r="DG1143" s="885"/>
      <c r="DH1143" s="885"/>
      <c r="DI1143" s="885"/>
      <c r="DJ1143" s="885"/>
      <c r="DK1143" s="885"/>
      <c r="DL1143" s="885"/>
      <c r="DM1143" s="885"/>
      <c r="DN1143" s="885"/>
      <c r="DO1143" s="885"/>
      <c r="DP1143" s="885"/>
      <c r="DQ1143" s="885"/>
      <c r="DR1143" s="885"/>
      <c r="DS1143" s="885"/>
      <c r="DT1143" s="885"/>
      <c r="DU1143" s="885"/>
      <c r="DV1143" s="885"/>
      <c r="DW1143" s="885"/>
      <c r="DX1143" s="885"/>
      <c r="DY1143" s="885"/>
      <c r="DZ1143" s="885"/>
      <c r="EA1143" s="885"/>
      <c r="EB1143" s="885"/>
      <c r="EC1143" s="885"/>
      <c r="ED1143" s="885"/>
      <c r="EE1143" s="885"/>
      <c r="EF1143" s="885"/>
      <c r="EG1143" s="885"/>
      <c r="EH1143" s="885"/>
      <c r="EI1143" s="885"/>
      <c r="EJ1143" s="885"/>
      <c r="EK1143" s="885"/>
      <c r="EL1143" s="885"/>
      <c r="EM1143" s="885"/>
      <c r="EN1143" s="885"/>
      <c r="EO1143" s="885"/>
      <c r="EP1143" s="885"/>
      <c r="EQ1143" s="885"/>
      <c r="ER1143" s="885"/>
      <c r="ES1143" s="885"/>
      <c r="ET1143" s="885"/>
      <c r="EU1143" s="885"/>
      <c r="EV1143" s="885"/>
      <c r="EW1143" s="885"/>
      <c r="EX1143" s="885"/>
      <c r="EY1143" s="885"/>
      <c r="EZ1143" s="885"/>
      <c r="FA1143" s="885"/>
      <c r="FB1143" s="885"/>
      <c r="FC1143" s="885"/>
      <c r="FD1143" s="885"/>
      <c r="FE1143" s="885"/>
      <c r="FF1143" s="885"/>
      <c r="FG1143" s="885"/>
      <c r="FH1143" s="885"/>
      <c r="FI1143" s="885"/>
      <c r="FJ1143" s="885"/>
      <c r="FK1143" s="885"/>
      <c r="FL1143" s="885"/>
      <c r="FM1143" s="885"/>
      <c r="FN1143" s="885"/>
      <c r="FO1143" s="885"/>
      <c r="FP1143" s="885"/>
      <c r="FQ1143" s="885"/>
      <c r="FR1143" s="885"/>
      <c r="FS1143" s="885"/>
      <c r="FT1143" s="885"/>
      <c r="FU1143" s="885"/>
      <c r="FV1143" s="885"/>
      <c r="FW1143" s="885"/>
      <c r="FX1143" s="885"/>
      <c r="FY1143" s="885"/>
      <c r="FZ1143" s="885"/>
      <c r="GA1143" s="885"/>
      <c r="GB1143" s="885"/>
      <c r="GC1143" s="885"/>
      <c r="GD1143" s="885"/>
      <c r="GE1143" s="885"/>
      <c r="GF1143" s="885"/>
      <c r="GG1143" s="885"/>
      <c r="GH1143" s="885"/>
      <c r="GI1143" s="885"/>
      <c r="GJ1143" s="885"/>
      <c r="GK1143" s="885"/>
      <c r="GL1143" s="885"/>
      <c r="GM1143" s="885"/>
      <c r="GN1143" s="885"/>
      <c r="GO1143" s="885"/>
      <c r="GP1143" s="885"/>
      <c r="GQ1143" s="885"/>
      <c r="GR1143" s="885"/>
      <c r="GS1143" s="885"/>
      <c r="GT1143" s="885"/>
      <c r="GU1143" s="885"/>
      <c r="GV1143" s="885"/>
      <c r="GW1143" s="885"/>
      <c r="GX1143" s="885"/>
      <c r="GY1143" s="885"/>
      <c r="GZ1143" s="885"/>
      <c r="HA1143" s="885"/>
      <c r="HB1143" s="885"/>
      <c r="HC1143" s="885"/>
      <c r="HD1143" s="885"/>
      <c r="HE1143" s="885"/>
      <c r="HF1143" s="885"/>
      <c r="HG1143" s="885"/>
      <c r="HH1143" s="885"/>
      <c r="HI1143" s="885"/>
      <c r="HJ1143" s="885"/>
      <c r="HK1143" s="885"/>
      <c r="HL1143" s="885"/>
      <c r="HM1143" s="885"/>
      <c r="HN1143" s="885"/>
      <c r="HO1143" s="885"/>
      <c r="HP1143" s="885"/>
      <c r="HQ1143" s="885"/>
      <c r="HR1143" s="885"/>
      <c r="HS1143" s="885"/>
      <c r="HT1143" s="885"/>
      <c r="HU1143" s="885"/>
      <c r="HV1143" s="885"/>
      <c r="HW1143" s="885"/>
      <c r="HX1143" s="885"/>
      <c r="HY1143" s="885"/>
      <c r="HZ1143" s="885"/>
      <c r="IA1143" s="885"/>
      <c r="IB1143" s="885"/>
      <c r="IC1143" s="885"/>
      <c r="ID1143" s="885"/>
      <c r="IE1143" s="885"/>
      <c r="IF1143" s="885"/>
      <c r="IG1143" s="885"/>
      <c r="IH1143" s="885"/>
      <c r="II1143" s="885"/>
      <c r="IJ1143" s="885"/>
      <c r="IK1143" s="885"/>
      <c r="IL1143" s="885"/>
      <c r="IM1143" s="885"/>
      <c r="IN1143" s="885"/>
      <c r="IO1143" s="885"/>
      <c r="IP1143" s="885"/>
      <c r="IQ1143" s="885"/>
      <c r="IR1143" s="885"/>
      <c r="IS1143" s="885"/>
      <c r="IT1143" s="885"/>
      <c r="IU1143" s="885"/>
      <c r="IV1143" s="885"/>
      <c r="IW1143" s="885"/>
      <c r="IX1143" s="885"/>
    </row>
    <row r="1144" spans="1:258" x14ac:dyDescent="0.25">
      <c r="A1144" s="125">
        <f t="shared" si="128"/>
        <v>1104</v>
      </c>
      <c r="B1144" s="954"/>
      <c r="C1144" s="842" t="s">
        <v>11532</v>
      </c>
      <c r="D1144" s="924">
        <v>0</v>
      </c>
      <c r="E1144" s="924">
        <f t="shared" si="129"/>
        <v>0</v>
      </c>
      <c r="F1144" s="136"/>
      <c r="H1144" s="842"/>
      <c r="I1144" s="793"/>
      <c r="J1144" s="954"/>
      <c r="K1144" s="954"/>
      <c r="L1144" s="954"/>
      <c r="M1144" s="954"/>
      <c r="N1144" s="954"/>
      <c r="O1144" s="954"/>
      <c r="P1144" s="954"/>
      <c r="Q1144" s="954"/>
      <c r="R1144" s="954"/>
      <c r="S1144" s="954"/>
      <c r="T1144" s="954"/>
      <c r="U1144" s="954"/>
      <c r="V1144" s="954"/>
      <c r="W1144" s="954"/>
      <c r="X1144" s="954"/>
      <c r="Y1144" s="954"/>
      <c r="Z1144" s="954"/>
      <c r="AA1144" s="954"/>
      <c r="AB1144" s="954"/>
      <c r="AC1144" s="954"/>
      <c r="AD1144" s="954"/>
      <c r="AE1144" s="954"/>
      <c r="AF1144" s="954"/>
      <c r="AG1144" s="954"/>
      <c r="AH1144" s="954"/>
      <c r="AI1144" s="954"/>
      <c r="AJ1144" s="954"/>
      <c r="AK1144" s="954"/>
      <c r="AL1144" s="954"/>
      <c r="AM1144" s="954"/>
      <c r="AN1144" s="954"/>
      <c r="AO1144" s="954"/>
      <c r="AP1144" s="954"/>
      <c r="AQ1144" s="954"/>
      <c r="AR1144" s="954"/>
      <c r="AS1144" s="954"/>
      <c r="AT1144" s="954"/>
      <c r="AU1144" s="954"/>
      <c r="AV1144" s="954"/>
      <c r="AW1144" s="954"/>
      <c r="AX1144" s="954"/>
      <c r="AY1144" s="954"/>
      <c r="AZ1144" s="954"/>
      <c r="BA1144" s="954"/>
      <c r="BB1144" s="954"/>
      <c r="BC1144" s="954"/>
      <c r="BD1144" s="954"/>
      <c r="BE1144" s="954"/>
      <c r="BF1144" s="954"/>
      <c r="BG1144" s="954"/>
      <c r="BH1144" s="954"/>
      <c r="BI1144" s="954"/>
      <c r="BJ1144" s="954"/>
      <c r="BK1144" s="954"/>
      <c r="BL1144" s="954"/>
      <c r="BM1144" s="954"/>
      <c r="BN1144" s="954"/>
      <c r="BO1144" s="954"/>
      <c r="BP1144" s="954"/>
      <c r="BQ1144" s="954"/>
      <c r="BR1144" s="954"/>
      <c r="BS1144" s="954"/>
      <c r="BT1144" s="954"/>
      <c r="BU1144" s="954"/>
      <c r="BV1144" s="954"/>
      <c r="BW1144" s="954"/>
      <c r="BX1144" s="954"/>
      <c r="BY1144" s="954"/>
      <c r="BZ1144" s="954"/>
      <c r="CA1144" s="954"/>
      <c r="CB1144" s="954"/>
      <c r="CC1144" s="954"/>
      <c r="CD1144" s="954"/>
      <c r="CE1144" s="954"/>
      <c r="CF1144" s="954"/>
      <c r="CG1144" s="954"/>
      <c r="CH1144" s="954"/>
      <c r="CI1144" s="954"/>
      <c r="CJ1144" s="954"/>
      <c r="CK1144" s="954"/>
      <c r="CL1144" s="954"/>
      <c r="CM1144" s="954"/>
      <c r="CN1144" s="954"/>
      <c r="CO1144" s="954"/>
      <c r="CP1144" s="954"/>
      <c r="CQ1144" s="954"/>
      <c r="CR1144" s="954"/>
      <c r="CS1144" s="954"/>
      <c r="CT1144" s="954"/>
      <c r="CU1144" s="954"/>
      <c r="CV1144" s="954"/>
      <c r="CW1144" s="954"/>
      <c r="CX1144" s="954"/>
      <c r="CY1144" s="954"/>
      <c r="CZ1144" s="954"/>
      <c r="DA1144" s="954"/>
      <c r="DB1144" s="954"/>
      <c r="DC1144" s="954"/>
      <c r="DD1144" s="954"/>
      <c r="DE1144" s="954"/>
      <c r="DF1144" s="954"/>
      <c r="DG1144" s="954"/>
      <c r="DH1144" s="954"/>
      <c r="DI1144" s="954"/>
      <c r="DJ1144" s="954"/>
      <c r="DK1144" s="954"/>
      <c r="DL1144" s="954"/>
      <c r="DM1144" s="954"/>
      <c r="DN1144" s="954"/>
      <c r="DO1144" s="954"/>
      <c r="DP1144" s="954"/>
      <c r="DQ1144" s="954"/>
      <c r="DR1144" s="954"/>
      <c r="DS1144" s="954"/>
      <c r="DT1144" s="954"/>
      <c r="DU1144" s="954"/>
      <c r="DV1144" s="954"/>
      <c r="DW1144" s="954"/>
      <c r="DX1144" s="954"/>
      <c r="DY1144" s="954"/>
      <c r="DZ1144" s="954"/>
      <c r="EA1144" s="954"/>
      <c r="EB1144" s="954"/>
      <c r="EC1144" s="954"/>
      <c r="ED1144" s="954"/>
      <c r="EE1144" s="954"/>
      <c r="EF1144" s="954"/>
      <c r="EG1144" s="954"/>
      <c r="EH1144" s="954"/>
      <c r="EI1144" s="954"/>
      <c r="EJ1144" s="954"/>
      <c r="EK1144" s="954"/>
      <c r="EL1144" s="954"/>
      <c r="EM1144" s="954"/>
      <c r="EN1144" s="954"/>
      <c r="EO1144" s="954"/>
      <c r="EP1144" s="954"/>
      <c r="EQ1144" s="954"/>
      <c r="ER1144" s="954"/>
      <c r="ES1144" s="954"/>
      <c r="ET1144" s="954"/>
      <c r="EU1144" s="954"/>
      <c r="EV1144" s="954"/>
      <c r="EW1144" s="954"/>
      <c r="EX1144" s="954"/>
      <c r="EY1144" s="954"/>
      <c r="EZ1144" s="954"/>
      <c r="FA1144" s="954"/>
      <c r="FB1144" s="954"/>
      <c r="FC1144" s="954"/>
      <c r="FD1144" s="954"/>
      <c r="FE1144" s="954"/>
      <c r="FF1144" s="954"/>
      <c r="FG1144" s="954"/>
      <c r="FH1144" s="954"/>
      <c r="FI1144" s="954"/>
      <c r="FJ1144" s="954"/>
      <c r="FK1144" s="954"/>
      <c r="FL1144" s="954"/>
      <c r="FM1144" s="954"/>
      <c r="FN1144" s="954"/>
      <c r="FO1144" s="954"/>
      <c r="FP1144" s="954"/>
      <c r="FQ1144" s="954"/>
      <c r="FR1144" s="954"/>
      <c r="FS1144" s="954"/>
      <c r="FT1144" s="954"/>
      <c r="FU1144" s="954"/>
      <c r="FV1144" s="954"/>
      <c r="FW1144" s="954"/>
      <c r="FX1144" s="954"/>
      <c r="FY1144" s="954"/>
      <c r="FZ1144" s="954"/>
      <c r="GA1144" s="954"/>
      <c r="GB1144" s="954"/>
      <c r="GC1144" s="954"/>
      <c r="GD1144" s="954"/>
      <c r="GE1144" s="954"/>
      <c r="GF1144" s="954"/>
      <c r="GG1144" s="954"/>
      <c r="GH1144" s="954"/>
      <c r="GI1144" s="954"/>
      <c r="GJ1144" s="954"/>
      <c r="GK1144" s="954"/>
      <c r="GL1144" s="954"/>
      <c r="GM1144" s="954"/>
      <c r="GN1144" s="954"/>
      <c r="GO1144" s="954"/>
      <c r="GP1144" s="954"/>
      <c r="GQ1144" s="954"/>
      <c r="GR1144" s="954"/>
      <c r="GS1144" s="954"/>
      <c r="GT1144" s="954"/>
      <c r="GU1144" s="954"/>
      <c r="GV1144" s="954"/>
      <c r="GW1144" s="954"/>
      <c r="GX1144" s="954"/>
      <c r="GY1144" s="954"/>
      <c r="GZ1144" s="954"/>
      <c r="HA1144" s="954"/>
      <c r="HB1144" s="954"/>
      <c r="HC1144" s="954"/>
      <c r="HD1144" s="954"/>
      <c r="HE1144" s="954"/>
      <c r="HF1144" s="954"/>
      <c r="HG1144" s="954"/>
      <c r="HH1144" s="954"/>
      <c r="HI1144" s="954"/>
      <c r="HJ1144" s="954"/>
      <c r="HK1144" s="954"/>
      <c r="HL1144" s="954"/>
      <c r="HM1144" s="954"/>
      <c r="HN1144" s="954"/>
      <c r="HO1144" s="954"/>
      <c r="HP1144" s="954"/>
      <c r="HQ1144" s="954"/>
      <c r="HR1144" s="954"/>
      <c r="HS1144" s="954"/>
      <c r="HT1144" s="954"/>
      <c r="HU1144" s="954"/>
      <c r="HV1144" s="954"/>
      <c r="HW1144" s="954"/>
      <c r="HX1144" s="954"/>
      <c r="HY1144" s="954"/>
      <c r="HZ1144" s="954"/>
      <c r="IA1144" s="954"/>
      <c r="IB1144" s="954"/>
      <c r="IC1144" s="954"/>
      <c r="ID1144" s="954"/>
      <c r="IE1144" s="954"/>
      <c r="IF1144" s="954"/>
      <c r="IG1144" s="954"/>
      <c r="IH1144" s="954"/>
      <c r="II1144" s="954"/>
      <c r="IJ1144" s="954"/>
      <c r="IK1144" s="954"/>
      <c r="IL1144" s="954"/>
      <c r="IM1144" s="954"/>
      <c r="IN1144" s="954"/>
      <c r="IO1144" s="954"/>
      <c r="IP1144" s="954"/>
      <c r="IQ1144" s="954"/>
      <c r="IR1144" s="954"/>
      <c r="IS1144" s="954"/>
      <c r="IT1144" s="954"/>
      <c r="IU1144" s="954"/>
      <c r="IV1144" s="954"/>
      <c r="IW1144" s="954"/>
      <c r="IX1144" s="954"/>
    </row>
    <row r="1145" spans="1:258" x14ac:dyDescent="0.25">
      <c r="A1145" s="125">
        <f t="shared" si="128"/>
        <v>1105</v>
      </c>
      <c r="B1145" s="885"/>
      <c r="C1145" s="842" t="s">
        <v>10702</v>
      </c>
      <c r="D1145" s="924">
        <v>269.37</v>
      </c>
      <c r="E1145" s="924">
        <f t="shared" si="129"/>
        <v>404.05500000000001</v>
      </c>
      <c r="F1145" s="136">
        <f>E1145/6</f>
        <v>67.342500000000001</v>
      </c>
      <c r="G1145" s="122" t="s">
        <v>1963</v>
      </c>
      <c r="H1145" s="842"/>
      <c r="I1145" s="793"/>
      <c r="J1145" s="885"/>
      <c r="K1145" s="885"/>
      <c r="L1145" s="885"/>
      <c r="M1145" s="885"/>
      <c r="N1145" s="885"/>
      <c r="O1145" s="885"/>
      <c r="P1145" s="885"/>
      <c r="Q1145" s="885"/>
      <c r="R1145" s="885"/>
      <c r="S1145" s="885"/>
      <c r="T1145" s="885"/>
      <c r="U1145" s="885"/>
      <c r="V1145" s="885"/>
      <c r="W1145" s="885"/>
      <c r="X1145" s="885"/>
      <c r="Y1145" s="885"/>
      <c r="Z1145" s="885"/>
      <c r="AA1145" s="885"/>
      <c r="AB1145" s="885"/>
      <c r="AC1145" s="885"/>
      <c r="AD1145" s="885"/>
      <c r="AE1145" s="885"/>
      <c r="AF1145" s="885"/>
      <c r="AG1145" s="885"/>
      <c r="AH1145" s="885"/>
      <c r="AI1145" s="885"/>
      <c r="AJ1145" s="885"/>
      <c r="AK1145" s="885"/>
      <c r="AL1145" s="885"/>
      <c r="AM1145" s="885"/>
      <c r="AN1145" s="885"/>
      <c r="AO1145" s="885"/>
      <c r="AP1145" s="885"/>
      <c r="AQ1145" s="885"/>
      <c r="AR1145" s="885"/>
      <c r="AS1145" s="885"/>
      <c r="AT1145" s="885"/>
      <c r="AU1145" s="885"/>
      <c r="AV1145" s="885"/>
      <c r="AW1145" s="885"/>
      <c r="AX1145" s="885"/>
      <c r="AY1145" s="885"/>
      <c r="AZ1145" s="885"/>
      <c r="BA1145" s="885"/>
      <c r="BB1145" s="885"/>
      <c r="BC1145" s="885"/>
      <c r="BD1145" s="885"/>
      <c r="BE1145" s="885"/>
      <c r="BF1145" s="885"/>
      <c r="BG1145" s="885"/>
      <c r="BH1145" s="885"/>
      <c r="BI1145" s="885"/>
      <c r="BJ1145" s="885"/>
      <c r="BK1145" s="885"/>
      <c r="BL1145" s="885"/>
      <c r="BM1145" s="885"/>
      <c r="BN1145" s="885"/>
      <c r="BO1145" s="885"/>
      <c r="BP1145" s="885"/>
      <c r="BQ1145" s="885"/>
      <c r="BR1145" s="885"/>
      <c r="BS1145" s="885"/>
      <c r="BT1145" s="885"/>
      <c r="BU1145" s="885"/>
      <c r="BV1145" s="885"/>
      <c r="BW1145" s="885"/>
      <c r="BX1145" s="885"/>
      <c r="BY1145" s="885"/>
      <c r="BZ1145" s="885"/>
      <c r="CA1145" s="885"/>
      <c r="CB1145" s="885"/>
      <c r="CC1145" s="885"/>
      <c r="CD1145" s="885"/>
      <c r="CE1145" s="885"/>
      <c r="CF1145" s="885"/>
      <c r="CG1145" s="885"/>
      <c r="CH1145" s="885"/>
      <c r="CI1145" s="885"/>
      <c r="CJ1145" s="885"/>
      <c r="CK1145" s="885"/>
      <c r="CL1145" s="885"/>
      <c r="CM1145" s="885"/>
      <c r="CN1145" s="885"/>
      <c r="CO1145" s="885"/>
      <c r="CP1145" s="885"/>
      <c r="CQ1145" s="885"/>
      <c r="CR1145" s="885"/>
      <c r="CS1145" s="885"/>
      <c r="CT1145" s="885"/>
      <c r="CU1145" s="885"/>
      <c r="CV1145" s="885"/>
      <c r="CW1145" s="885"/>
      <c r="CX1145" s="885"/>
      <c r="CY1145" s="885"/>
      <c r="CZ1145" s="885"/>
      <c r="DA1145" s="885"/>
      <c r="DB1145" s="885"/>
      <c r="DC1145" s="885"/>
      <c r="DD1145" s="885"/>
      <c r="DE1145" s="885"/>
      <c r="DF1145" s="885"/>
      <c r="DG1145" s="885"/>
      <c r="DH1145" s="885"/>
      <c r="DI1145" s="885"/>
      <c r="DJ1145" s="885"/>
      <c r="DK1145" s="885"/>
      <c r="DL1145" s="885"/>
      <c r="DM1145" s="885"/>
      <c r="DN1145" s="885"/>
      <c r="DO1145" s="885"/>
      <c r="DP1145" s="885"/>
      <c r="DQ1145" s="885"/>
      <c r="DR1145" s="885"/>
      <c r="DS1145" s="885"/>
      <c r="DT1145" s="885"/>
      <c r="DU1145" s="885"/>
      <c r="DV1145" s="885"/>
      <c r="DW1145" s="885"/>
      <c r="DX1145" s="885"/>
      <c r="DY1145" s="885"/>
      <c r="DZ1145" s="885"/>
      <c r="EA1145" s="885"/>
      <c r="EB1145" s="885"/>
      <c r="EC1145" s="885"/>
      <c r="ED1145" s="885"/>
      <c r="EE1145" s="885"/>
      <c r="EF1145" s="885"/>
      <c r="EG1145" s="885"/>
      <c r="EH1145" s="885"/>
      <c r="EI1145" s="885"/>
      <c r="EJ1145" s="885"/>
      <c r="EK1145" s="885"/>
      <c r="EL1145" s="885"/>
      <c r="EM1145" s="885"/>
      <c r="EN1145" s="885"/>
      <c r="EO1145" s="885"/>
      <c r="EP1145" s="885"/>
      <c r="EQ1145" s="885"/>
      <c r="ER1145" s="885"/>
      <c r="ES1145" s="885"/>
      <c r="ET1145" s="885"/>
      <c r="EU1145" s="885"/>
      <c r="EV1145" s="885"/>
      <c r="EW1145" s="885"/>
      <c r="EX1145" s="885"/>
      <c r="EY1145" s="885"/>
      <c r="EZ1145" s="885"/>
      <c r="FA1145" s="885"/>
      <c r="FB1145" s="885"/>
      <c r="FC1145" s="885"/>
      <c r="FD1145" s="885"/>
      <c r="FE1145" s="885"/>
      <c r="FF1145" s="885"/>
      <c r="FG1145" s="885"/>
      <c r="FH1145" s="885"/>
      <c r="FI1145" s="885"/>
      <c r="FJ1145" s="885"/>
      <c r="FK1145" s="885"/>
      <c r="FL1145" s="885"/>
      <c r="FM1145" s="885"/>
      <c r="FN1145" s="885"/>
      <c r="FO1145" s="885"/>
      <c r="FP1145" s="885"/>
      <c r="FQ1145" s="885"/>
      <c r="FR1145" s="885"/>
      <c r="FS1145" s="885"/>
      <c r="FT1145" s="885"/>
      <c r="FU1145" s="885"/>
      <c r="FV1145" s="885"/>
      <c r="FW1145" s="885"/>
      <c r="FX1145" s="885"/>
      <c r="FY1145" s="885"/>
      <c r="FZ1145" s="885"/>
      <c r="GA1145" s="885"/>
      <c r="GB1145" s="885"/>
      <c r="GC1145" s="885"/>
      <c r="GD1145" s="885"/>
      <c r="GE1145" s="885"/>
      <c r="GF1145" s="885"/>
      <c r="GG1145" s="885"/>
      <c r="GH1145" s="885"/>
      <c r="GI1145" s="885"/>
      <c r="GJ1145" s="885"/>
      <c r="GK1145" s="885"/>
      <c r="GL1145" s="885"/>
      <c r="GM1145" s="885"/>
      <c r="GN1145" s="885"/>
      <c r="GO1145" s="885"/>
      <c r="GP1145" s="885"/>
      <c r="GQ1145" s="885"/>
      <c r="GR1145" s="885"/>
      <c r="GS1145" s="885"/>
      <c r="GT1145" s="885"/>
      <c r="GU1145" s="885"/>
      <c r="GV1145" s="885"/>
      <c r="GW1145" s="885"/>
      <c r="GX1145" s="885"/>
      <c r="GY1145" s="885"/>
      <c r="GZ1145" s="885"/>
      <c r="HA1145" s="885"/>
      <c r="HB1145" s="885"/>
      <c r="HC1145" s="885"/>
      <c r="HD1145" s="885"/>
      <c r="HE1145" s="885"/>
      <c r="HF1145" s="885"/>
      <c r="HG1145" s="885"/>
      <c r="HH1145" s="885"/>
      <c r="HI1145" s="885"/>
      <c r="HJ1145" s="885"/>
      <c r="HK1145" s="885"/>
      <c r="HL1145" s="885"/>
      <c r="HM1145" s="885"/>
      <c r="HN1145" s="885"/>
      <c r="HO1145" s="885"/>
      <c r="HP1145" s="885"/>
      <c r="HQ1145" s="885"/>
      <c r="HR1145" s="885"/>
      <c r="HS1145" s="885"/>
      <c r="HT1145" s="885"/>
      <c r="HU1145" s="885"/>
      <c r="HV1145" s="885"/>
      <c r="HW1145" s="885"/>
      <c r="HX1145" s="885"/>
      <c r="HY1145" s="885"/>
      <c r="HZ1145" s="885"/>
      <c r="IA1145" s="885"/>
      <c r="IB1145" s="885"/>
      <c r="IC1145" s="885"/>
      <c r="ID1145" s="885"/>
      <c r="IE1145" s="885"/>
      <c r="IF1145" s="885"/>
      <c r="IG1145" s="885"/>
      <c r="IH1145" s="885"/>
      <c r="II1145" s="885"/>
      <c r="IJ1145" s="885"/>
      <c r="IK1145" s="885"/>
      <c r="IL1145" s="885"/>
      <c r="IM1145" s="885"/>
      <c r="IN1145" s="885"/>
      <c r="IO1145" s="885"/>
      <c r="IP1145" s="885"/>
      <c r="IQ1145" s="885"/>
      <c r="IR1145" s="885"/>
      <c r="IS1145" s="885"/>
      <c r="IT1145" s="885"/>
      <c r="IU1145" s="885"/>
      <c r="IV1145" s="885"/>
      <c r="IW1145" s="885"/>
      <c r="IX1145" s="885"/>
    </row>
    <row r="1146" spans="1:258" x14ac:dyDescent="0.25">
      <c r="A1146" s="125">
        <f t="shared" si="128"/>
        <v>1106</v>
      </c>
      <c r="B1146" s="885"/>
      <c r="C1146" s="842" t="s">
        <v>10703</v>
      </c>
      <c r="D1146" s="924">
        <v>0</v>
      </c>
      <c r="E1146" s="924">
        <f t="shared" si="129"/>
        <v>0</v>
      </c>
      <c r="F1146" s="136">
        <v>300</v>
      </c>
      <c r="G1146" s="122" t="s">
        <v>1963</v>
      </c>
      <c r="H1146" s="842"/>
      <c r="I1146" s="793"/>
      <c r="J1146" s="885"/>
      <c r="K1146" s="885"/>
      <c r="L1146" s="885"/>
      <c r="M1146" s="885"/>
      <c r="N1146" s="885"/>
      <c r="O1146" s="885"/>
      <c r="P1146" s="885"/>
      <c r="Q1146" s="885"/>
      <c r="R1146" s="885"/>
      <c r="S1146" s="885"/>
      <c r="T1146" s="885"/>
      <c r="U1146" s="885"/>
      <c r="V1146" s="885"/>
      <c r="W1146" s="885"/>
      <c r="X1146" s="885"/>
      <c r="Y1146" s="885"/>
      <c r="Z1146" s="885"/>
      <c r="AA1146" s="885"/>
      <c r="AB1146" s="885"/>
      <c r="AC1146" s="885"/>
      <c r="AD1146" s="885"/>
      <c r="AE1146" s="885"/>
      <c r="AF1146" s="885"/>
      <c r="AG1146" s="885"/>
      <c r="AH1146" s="885"/>
      <c r="AI1146" s="885"/>
      <c r="AJ1146" s="885"/>
      <c r="AK1146" s="885"/>
      <c r="AL1146" s="885"/>
      <c r="AM1146" s="885"/>
      <c r="AN1146" s="885"/>
      <c r="AO1146" s="885"/>
      <c r="AP1146" s="885"/>
      <c r="AQ1146" s="885"/>
      <c r="AR1146" s="885"/>
      <c r="AS1146" s="885"/>
      <c r="AT1146" s="885"/>
      <c r="AU1146" s="885"/>
      <c r="AV1146" s="885"/>
      <c r="AW1146" s="885"/>
      <c r="AX1146" s="885"/>
      <c r="AY1146" s="885"/>
      <c r="AZ1146" s="885"/>
      <c r="BA1146" s="885"/>
      <c r="BB1146" s="885"/>
      <c r="BC1146" s="885"/>
      <c r="BD1146" s="885"/>
      <c r="BE1146" s="885"/>
      <c r="BF1146" s="885"/>
      <c r="BG1146" s="885"/>
      <c r="BH1146" s="885"/>
      <c r="BI1146" s="885"/>
      <c r="BJ1146" s="885"/>
      <c r="BK1146" s="885"/>
      <c r="BL1146" s="885"/>
      <c r="BM1146" s="885"/>
      <c r="BN1146" s="885"/>
      <c r="BO1146" s="885"/>
      <c r="BP1146" s="885"/>
      <c r="BQ1146" s="885"/>
      <c r="BR1146" s="885"/>
      <c r="BS1146" s="885"/>
      <c r="BT1146" s="885"/>
      <c r="BU1146" s="885"/>
      <c r="BV1146" s="885"/>
      <c r="BW1146" s="885"/>
      <c r="BX1146" s="885"/>
      <c r="BY1146" s="885"/>
      <c r="BZ1146" s="885"/>
      <c r="CA1146" s="885"/>
      <c r="CB1146" s="885"/>
      <c r="CC1146" s="885"/>
      <c r="CD1146" s="885"/>
      <c r="CE1146" s="885"/>
      <c r="CF1146" s="885"/>
      <c r="CG1146" s="885"/>
      <c r="CH1146" s="885"/>
      <c r="CI1146" s="885"/>
      <c r="CJ1146" s="885"/>
      <c r="CK1146" s="885"/>
      <c r="CL1146" s="885"/>
      <c r="CM1146" s="885"/>
      <c r="CN1146" s="885"/>
      <c r="CO1146" s="885"/>
      <c r="CP1146" s="885"/>
      <c r="CQ1146" s="885"/>
      <c r="CR1146" s="885"/>
      <c r="CS1146" s="885"/>
      <c r="CT1146" s="885"/>
      <c r="CU1146" s="885"/>
      <c r="CV1146" s="885"/>
      <c r="CW1146" s="885"/>
      <c r="CX1146" s="885"/>
      <c r="CY1146" s="885"/>
      <c r="CZ1146" s="885"/>
      <c r="DA1146" s="885"/>
      <c r="DB1146" s="885"/>
      <c r="DC1146" s="885"/>
      <c r="DD1146" s="885"/>
      <c r="DE1146" s="885"/>
      <c r="DF1146" s="885"/>
      <c r="DG1146" s="885"/>
      <c r="DH1146" s="885"/>
      <c r="DI1146" s="885"/>
      <c r="DJ1146" s="885"/>
      <c r="DK1146" s="885"/>
      <c r="DL1146" s="885"/>
      <c r="DM1146" s="885"/>
      <c r="DN1146" s="885"/>
      <c r="DO1146" s="885"/>
      <c r="DP1146" s="885"/>
      <c r="DQ1146" s="885"/>
      <c r="DR1146" s="885"/>
      <c r="DS1146" s="885"/>
      <c r="DT1146" s="885"/>
      <c r="DU1146" s="885"/>
      <c r="DV1146" s="885"/>
      <c r="DW1146" s="885"/>
      <c r="DX1146" s="885"/>
      <c r="DY1146" s="885"/>
      <c r="DZ1146" s="885"/>
      <c r="EA1146" s="885"/>
      <c r="EB1146" s="885"/>
      <c r="EC1146" s="885"/>
      <c r="ED1146" s="885"/>
      <c r="EE1146" s="885"/>
      <c r="EF1146" s="885"/>
      <c r="EG1146" s="885"/>
      <c r="EH1146" s="885"/>
      <c r="EI1146" s="885"/>
      <c r="EJ1146" s="885"/>
      <c r="EK1146" s="885"/>
      <c r="EL1146" s="885"/>
      <c r="EM1146" s="885"/>
      <c r="EN1146" s="885"/>
      <c r="EO1146" s="885"/>
      <c r="EP1146" s="885"/>
      <c r="EQ1146" s="885"/>
      <c r="ER1146" s="885"/>
      <c r="ES1146" s="885"/>
      <c r="ET1146" s="885"/>
      <c r="EU1146" s="885"/>
      <c r="EV1146" s="885"/>
      <c r="EW1146" s="885"/>
      <c r="EX1146" s="885"/>
      <c r="EY1146" s="885"/>
      <c r="EZ1146" s="885"/>
      <c r="FA1146" s="885"/>
      <c r="FB1146" s="885"/>
      <c r="FC1146" s="885"/>
      <c r="FD1146" s="885"/>
      <c r="FE1146" s="885"/>
      <c r="FF1146" s="885"/>
      <c r="FG1146" s="885"/>
      <c r="FH1146" s="885"/>
      <c r="FI1146" s="885"/>
      <c r="FJ1146" s="885"/>
      <c r="FK1146" s="885"/>
      <c r="FL1146" s="885"/>
      <c r="FM1146" s="885"/>
      <c r="FN1146" s="885"/>
      <c r="FO1146" s="885"/>
      <c r="FP1146" s="885"/>
      <c r="FQ1146" s="885"/>
      <c r="FR1146" s="885"/>
      <c r="FS1146" s="885"/>
      <c r="FT1146" s="885"/>
      <c r="FU1146" s="885"/>
      <c r="FV1146" s="885"/>
      <c r="FW1146" s="885"/>
      <c r="FX1146" s="885"/>
      <c r="FY1146" s="885"/>
      <c r="FZ1146" s="885"/>
      <c r="GA1146" s="885"/>
      <c r="GB1146" s="885"/>
      <c r="GC1146" s="885"/>
      <c r="GD1146" s="885"/>
      <c r="GE1146" s="885"/>
      <c r="GF1146" s="885"/>
      <c r="GG1146" s="885"/>
      <c r="GH1146" s="885"/>
      <c r="GI1146" s="885"/>
      <c r="GJ1146" s="885"/>
      <c r="GK1146" s="885"/>
      <c r="GL1146" s="885"/>
      <c r="GM1146" s="885"/>
      <c r="GN1146" s="885"/>
      <c r="GO1146" s="885"/>
      <c r="GP1146" s="885"/>
      <c r="GQ1146" s="885"/>
      <c r="GR1146" s="885"/>
      <c r="GS1146" s="885"/>
      <c r="GT1146" s="885"/>
      <c r="GU1146" s="885"/>
      <c r="GV1146" s="885"/>
      <c r="GW1146" s="885"/>
      <c r="GX1146" s="885"/>
      <c r="GY1146" s="885"/>
      <c r="GZ1146" s="885"/>
      <c r="HA1146" s="885"/>
      <c r="HB1146" s="885"/>
      <c r="HC1146" s="885"/>
      <c r="HD1146" s="885"/>
      <c r="HE1146" s="885"/>
      <c r="HF1146" s="885"/>
      <c r="HG1146" s="885"/>
      <c r="HH1146" s="885"/>
      <c r="HI1146" s="885"/>
      <c r="HJ1146" s="885"/>
      <c r="HK1146" s="885"/>
      <c r="HL1146" s="885"/>
      <c r="HM1146" s="885"/>
      <c r="HN1146" s="885"/>
      <c r="HO1146" s="885"/>
      <c r="HP1146" s="885"/>
      <c r="HQ1146" s="885"/>
      <c r="HR1146" s="885"/>
      <c r="HS1146" s="885"/>
      <c r="HT1146" s="885"/>
      <c r="HU1146" s="885"/>
      <c r="HV1146" s="885"/>
      <c r="HW1146" s="885"/>
      <c r="HX1146" s="885"/>
      <c r="HY1146" s="885"/>
      <c r="HZ1146" s="885"/>
      <c r="IA1146" s="885"/>
      <c r="IB1146" s="885"/>
      <c r="IC1146" s="885"/>
      <c r="ID1146" s="885"/>
      <c r="IE1146" s="885"/>
      <c r="IF1146" s="885"/>
      <c r="IG1146" s="885"/>
      <c r="IH1146" s="885"/>
      <c r="II1146" s="885"/>
      <c r="IJ1146" s="885"/>
      <c r="IK1146" s="885"/>
      <c r="IL1146" s="885"/>
      <c r="IM1146" s="885"/>
      <c r="IN1146" s="885"/>
      <c r="IO1146" s="885"/>
      <c r="IP1146" s="885"/>
      <c r="IQ1146" s="885"/>
      <c r="IR1146" s="885"/>
      <c r="IS1146" s="885"/>
      <c r="IT1146" s="885"/>
      <c r="IU1146" s="885"/>
      <c r="IV1146" s="885"/>
      <c r="IW1146" s="885"/>
      <c r="IX1146" s="885"/>
    </row>
    <row r="1147" spans="1:258" x14ac:dyDescent="0.25">
      <c r="A1147" s="125">
        <f t="shared" si="128"/>
        <v>1107</v>
      </c>
      <c r="B1147" s="885"/>
      <c r="C1147" s="842" t="s">
        <v>10704</v>
      </c>
      <c r="D1147" s="924">
        <v>0</v>
      </c>
      <c r="E1147" s="924">
        <f t="shared" si="129"/>
        <v>0</v>
      </c>
      <c r="F1147" s="136">
        <v>800</v>
      </c>
      <c r="G1147" s="122" t="s">
        <v>1963</v>
      </c>
      <c r="H1147" s="842"/>
      <c r="I1147" s="793"/>
      <c r="J1147" s="885"/>
      <c r="K1147" s="885"/>
      <c r="L1147" s="885"/>
      <c r="M1147" s="885"/>
      <c r="N1147" s="885"/>
      <c r="O1147" s="885"/>
      <c r="P1147" s="885"/>
      <c r="Q1147" s="885"/>
      <c r="R1147" s="885"/>
      <c r="S1147" s="885"/>
      <c r="T1147" s="885"/>
      <c r="U1147" s="885"/>
      <c r="V1147" s="885"/>
      <c r="W1147" s="885"/>
      <c r="X1147" s="885"/>
      <c r="Y1147" s="885"/>
      <c r="Z1147" s="885"/>
      <c r="AA1147" s="885"/>
      <c r="AB1147" s="885"/>
      <c r="AC1147" s="885"/>
      <c r="AD1147" s="885"/>
      <c r="AE1147" s="885"/>
      <c r="AF1147" s="885"/>
      <c r="AG1147" s="885"/>
      <c r="AH1147" s="885"/>
      <c r="AI1147" s="885"/>
      <c r="AJ1147" s="885"/>
      <c r="AK1147" s="885"/>
      <c r="AL1147" s="885"/>
      <c r="AM1147" s="885"/>
      <c r="AN1147" s="885"/>
      <c r="AO1147" s="885"/>
      <c r="AP1147" s="885"/>
      <c r="AQ1147" s="885"/>
      <c r="AR1147" s="885"/>
      <c r="AS1147" s="885"/>
      <c r="AT1147" s="885"/>
      <c r="AU1147" s="885"/>
      <c r="AV1147" s="885"/>
      <c r="AW1147" s="885"/>
      <c r="AX1147" s="885"/>
      <c r="AY1147" s="885"/>
      <c r="AZ1147" s="885"/>
      <c r="BA1147" s="885"/>
      <c r="BB1147" s="885"/>
      <c r="BC1147" s="885"/>
      <c r="BD1147" s="885"/>
      <c r="BE1147" s="885"/>
      <c r="BF1147" s="885"/>
      <c r="BG1147" s="885"/>
      <c r="BH1147" s="885"/>
      <c r="BI1147" s="885"/>
      <c r="BJ1147" s="885"/>
      <c r="BK1147" s="885"/>
      <c r="BL1147" s="885"/>
      <c r="BM1147" s="885"/>
      <c r="BN1147" s="885"/>
      <c r="BO1147" s="885"/>
      <c r="BP1147" s="885"/>
      <c r="BQ1147" s="885"/>
      <c r="BR1147" s="885"/>
      <c r="BS1147" s="885"/>
      <c r="BT1147" s="885"/>
      <c r="BU1147" s="885"/>
      <c r="BV1147" s="885"/>
      <c r="BW1147" s="885"/>
      <c r="BX1147" s="885"/>
      <c r="BY1147" s="885"/>
      <c r="BZ1147" s="885"/>
      <c r="CA1147" s="885"/>
      <c r="CB1147" s="885"/>
      <c r="CC1147" s="885"/>
      <c r="CD1147" s="885"/>
      <c r="CE1147" s="885"/>
      <c r="CF1147" s="885"/>
      <c r="CG1147" s="885"/>
      <c r="CH1147" s="885"/>
      <c r="CI1147" s="885"/>
      <c r="CJ1147" s="885"/>
      <c r="CK1147" s="885"/>
      <c r="CL1147" s="885"/>
      <c r="CM1147" s="885"/>
      <c r="CN1147" s="885"/>
      <c r="CO1147" s="885"/>
      <c r="CP1147" s="885"/>
      <c r="CQ1147" s="885"/>
      <c r="CR1147" s="885"/>
      <c r="CS1147" s="885"/>
      <c r="CT1147" s="885"/>
      <c r="CU1147" s="885"/>
      <c r="CV1147" s="885"/>
      <c r="CW1147" s="885"/>
      <c r="CX1147" s="885"/>
      <c r="CY1147" s="885"/>
      <c r="CZ1147" s="885"/>
      <c r="DA1147" s="885"/>
      <c r="DB1147" s="885"/>
      <c r="DC1147" s="885"/>
      <c r="DD1147" s="885"/>
      <c r="DE1147" s="885"/>
      <c r="DF1147" s="885"/>
      <c r="DG1147" s="885"/>
      <c r="DH1147" s="885"/>
      <c r="DI1147" s="885"/>
      <c r="DJ1147" s="885"/>
      <c r="DK1147" s="885"/>
      <c r="DL1147" s="885"/>
      <c r="DM1147" s="885"/>
      <c r="DN1147" s="885"/>
      <c r="DO1147" s="885"/>
      <c r="DP1147" s="885"/>
      <c r="DQ1147" s="885"/>
      <c r="DR1147" s="885"/>
      <c r="DS1147" s="885"/>
      <c r="DT1147" s="885"/>
      <c r="DU1147" s="885"/>
      <c r="DV1147" s="885"/>
      <c r="DW1147" s="885"/>
      <c r="DX1147" s="885"/>
      <c r="DY1147" s="885"/>
      <c r="DZ1147" s="885"/>
      <c r="EA1147" s="885"/>
      <c r="EB1147" s="885"/>
      <c r="EC1147" s="885"/>
      <c r="ED1147" s="885"/>
      <c r="EE1147" s="885"/>
      <c r="EF1147" s="885"/>
      <c r="EG1147" s="885"/>
      <c r="EH1147" s="885"/>
      <c r="EI1147" s="885"/>
      <c r="EJ1147" s="885"/>
      <c r="EK1147" s="885"/>
      <c r="EL1147" s="885"/>
      <c r="EM1147" s="885"/>
      <c r="EN1147" s="885"/>
      <c r="EO1147" s="885"/>
      <c r="EP1147" s="885"/>
      <c r="EQ1147" s="885"/>
      <c r="ER1147" s="885"/>
      <c r="ES1147" s="885"/>
      <c r="ET1147" s="885"/>
      <c r="EU1147" s="885"/>
      <c r="EV1147" s="885"/>
      <c r="EW1147" s="885"/>
      <c r="EX1147" s="885"/>
      <c r="EY1147" s="885"/>
      <c r="EZ1147" s="885"/>
      <c r="FA1147" s="885"/>
      <c r="FB1147" s="885"/>
      <c r="FC1147" s="885"/>
      <c r="FD1147" s="885"/>
      <c r="FE1147" s="885"/>
      <c r="FF1147" s="885"/>
      <c r="FG1147" s="885"/>
      <c r="FH1147" s="885"/>
      <c r="FI1147" s="885"/>
      <c r="FJ1147" s="885"/>
      <c r="FK1147" s="885"/>
      <c r="FL1147" s="885"/>
      <c r="FM1147" s="885"/>
      <c r="FN1147" s="885"/>
      <c r="FO1147" s="885"/>
      <c r="FP1147" s="885"/>
      <c r="FQ1147" s="885"/>
      <c r="FR1147" s="885"/>
      <c r="FS1147" s="885"/>
      <c r="FT1147" s="885"/>
      <c r="FU1147" s="885"/>
      <c r="FV1147" s="885"/>
      <c r="FW1147" s="885"/>
      <c r="FX1147" s="885"/>
      <c r="FY1147" s="885"/>
      <c r="FZ1147" s="885"/>
      <c r="GA1147" s="885"/>
      <c r="GB1147" s="885"/>
      <c r="GC1147" s="885"/>
      <c r="GD1147" s="885"/>
      <c r="GE1147" s="885"/>
      <c r="GF1147" s="885"/>
      <c r="GG1147" s="885"/>
      <c r="GH1147" s="885"/>
      <c r="GI1147" s="885"/>
      <c r="GJ1147" s="885"/>
      <c r="GK1147" s="885"/>
      <c r="GL1147" s="885"/>
      <c r="GM1147" s="885"/>
      <c r="GN1147" s="885"/>
      <c r="GO1147" s="885"/>
      <c r="GP1147" s="885"/>
      <c r="GQ1147" s="885"/>
      <c r="GR1147" s="885"/>
      <c r="GS1147" s="885"/>
      <c r="GT1147" s="885"/>
      <c r="GU1147" s="885"/>
      <c r="GV1147" s="885"/>
      <c r="GW1147" s="885"/>
      <c r="GX1147" s="885"/>
      <c r="GY1147" s="885"/>
      <c r="GZ1147" s="885"/>
      <c r="HA1147" s="885"/>
      <c r="HB1147" s="885"/>
      <c r="HC1147" s="885"/>
      <c r="HD1147" s="885"/>
      <c r="HE1147" s="885"/>
      <c r="HF1147" s="885"/>
      <c r="HG1147" s="885"/>
      <c r="HH1147" s="885"/>
      <c r="HI1147" s="885"/>
      <c r="HJ1147" s="885"/>
      <c r="HK1147" s="885"/>
      <c r="HL1147" s="885"/>
      <c r="HM1147" s="885"/>
      <c r="HN1147" s="885"/>
      <c r="HO1147" s="885"/>
      <c r="HP1147" s="885"/>
      <c r="HQ1147" s="885"/>
      <c r="HR1147" s="885"/>
      <c r="HS1147" s="885"/>
      <c r="HT1147" s="885"/>
      <c r="HU1147" s="885"/>
      <c r="HV1147" s="885"/>
      <c r="HW1147" s="885"/>
      <c r="HX1147" s="885"/>
      <c r="HY1147" s="885"/>
      <c r="HZ1147" s="885"/>
      <c r="IA1147" s="885"/>
      <c r="IB1147" s="885"/>
      <c r="IC1147" s="885"/>
      <c r="ID1147" s="885"/>
      <c r="IE1147" s="885"/>
      <c r="IF1147" s="885"/>
      <c r="IG1147" s="885"/>
      <c r="IH1147" s="885"/>
      <c r="II1147" s="885"/>
      <c r="IJ1147" s="885"/>
      <c r="IK1147" s="885"/>
      <c r="IL1147" s="885"/>
      <c r="IM1147" s="885"/>
      <c r="IN1147" s="885"/>
      <c r="IO1147" s="885"/>
      <c r="IP1147" s="885"/>
      <c r="IQ1147" s="885"/>
      <c r="IR1147" s="885"/>
      <c r="IS1147" s="885"/>
      <c r="IT1147" s="885"/>
      <c r="IU1147" s="885"/>
      <c r="IV1147" s="885"/>
      <c r="IW1147" s="885"/>
      <c r="IX1147" s="885"/>
    </row>
    <row r="1148" spans="1:258" x14ac:dyDescent="0.25">
      <c r="A1148" s="125">
        <f t="shared" si="128"/>
        <v>1108</v>
      </c>
      <c r="B1148" s="885"/>
      <c r="C1148" s="927"/>
      <c r="D1148" s="928"/>
      <c r="E1148" s="928"/>
      <c r="F1148" s="842"/>
      <c r="G1148" s="842"/>
      <c r="H1148" s="842"/>
      <c r="I1148" s="793"/>
      <c r="J1148" s="885"/>
      <c r="K1148" s="885"/>
      <c r="L1148" s="885"/>
      <c r="M1148" s="885"/>
      <c r="N1148" s="885"/>
      <c r="O1148" s="885"/>
      <c r="P1148" s="885"/>
      <c r="Q1148" s="885"/>
      <c r="R1148" s="885"/>
      <c r="S1148" s="885"/>
      <c r="T1148" s="885"/>
      <c r="U1148" s="885"/>
      <c r="V1148" s="885"/>
      <c r="W1148" s="885"/>
      <c r="X1148" s="885"/>
      <c r="Y1148" s="885"/>
      <c r="Z1148" s="885"/>
      <c r="AA1148" s="885"/>
      <c r="AB1148" s="885"/>
      <c r="AC1148" s="885"/>
      <c r="AD1148" s="885"/>
      <c r="AE1148" s="885"/>
      <c r="AF1148" s="885"/>
      <c r="AG1148" s="885"/>
      <c r="AH1148" s="885"/>
      <c r="AI1148" s="885"/>
      <c r="AJ1148" s="885"/>
      <c r="AK1148" s="885"/>
      <c r="AL1148" s="885"/>
      <c r="AM1148" s="885"/>
      <c r="AN1148" s="885"/>
      <c r="AO1148" s="885"/>
      <c r="AP1148" s="885"/>
      <c r="AQ1148" s="885"/>
      <c r="AR1148" s="885"/>
      <c r="AS1148" s="885"/>
      <c r="AT1148" s="885"/>
      <c r="AU1148" s="885"/>
      <c r="AV1148" s="885"/>
      <c r="AW1148" s="885"/>
      <c r="AX1148" s="885"/>
      <c r="AY1148" s="885"/>
      <c r="AZ1148" s="885"/>
      <c r="BA1148" s="885"/>
      <c r="BB1148" s="885"/>
      <c r="BC1148" s="885"/>
      <c r="BD1148" s="885"/>
      <c r="BE1148" s="885"/>
      <c r="BF1148" s="885"/>
      <c r="BG1148" s="885"/>
      <c r="BH1148" s="885"/>
      <c r="BI1148" s="885"/>
      <c r="BJ1148" s="885"/>
      <c r="BK1148" s="885"/>
      <c r="BL1148" s="885"/>
      <c r="BM1148" s="885"/>
      <c r="BN1148" s="885"/>
      <c r="BO1148" s="885"/>
      <c r="BP1148" s="885"/>
      <c r="BQ1148" s="885"/>
      <c r="BR1148" s="885"/>
      <c r="BS1148" s="885"/>
      <c r="BT1148" s="885"/>
      <c r="BU1148" s="885"/>
      <c r="BV1148" s="885"/>
      <c r="BW1148" s="885"/>
      <c r="BX1148" s="885"/>
      <c r="BY1148" s="885"/>
      <c r="BZ1148" s="885"/>
      <c r="CA1148" s="885"/>
      <c r="CB1148" s="885"/>
      <c r="CC1148" s="885"/>
      <c r="CD1148" s="885"/>
      <c r="CE1148" s="885"/>
      <c r="CF1148" s="885"/>
      <c r="CG1148" s="885"/>
      <c r="CH1148" s="885"/>
      <c r="CI1148" s="885"/>
      <c r="CJ1148" s="885"/>
      <c r="CK1148" s="885"/>
      <c r="CL1148" s="885"/>
      <c r="CM1148" s="885"/>
      <c r="CN1148" s="885"/>
      <c r="CO1148" s="885"/>
      <c r="CP1148" s="885"/>
      <c r="CQ1148" s="885"/>
      <c r="CR1148" s="885"/>
      <c r="CS1148" s="885"/>
      <c r="CT1148" s="885"/>
      <c r="CU1148" s="885"/>
      <c r="CV1148" s="885"/>
      <c r="CW1148" s="885"/>
      <c r="CX1148" s="885"/>
      <c r="CY1148" s="885"/>
      <c r="CZ1148" s="885"/>
      <c r="DA1148" s="885"/>
      <c r="DB1148" s="885"/>
      <c r="DC1148" s="885"/>
      <c r="DD1148" s="885"/>
      <c r="DE1148" s="885"/>
      <c r="DF1148" s="885"/>
      <c r="DG1148" s="885"/>
      <c r="DH1148" s="885"/>
      <c r="DI1148" s="885"/>
      <c r="DJ1148" s="885"/>
      <c r="DK1148" s="885"/>
      <c r="DL1148" s="885"/>
      <c r="DM1148" s="885"/>
      <c r="DN1148" s="885"/>
      <c r="DO1148" s="885"/>
      <c r="DP1148" s="885"/>
      <c r="DQ1148" s="885"/>
      <c r="DR1148" s="885"/>
      <c r="DS1148" s="885"/>
      <c r="DT1148" s="885"/>
      <c r="DU1148" s="885"/>
      <c r="DV1148" s="885"/>
      <c r="DW1148" s="885"/>
      <c r="DX1148" s="885"/>
      <c r="DY1148" s="885"/>
      <c r="DZ1148" s="885"/>
      <c r="EA1148" s="885"/>
      <c r="EB1148" s="885"/>
      <c r="EC1148" s="885"/>
      <c r="ED1148" s="885"/>
      <c r="EE1148" s="885"/>
      <c r="EF1148" s="885"/>
      <c r="EG1148" s="885"/>
      <c r="EH1148" s="885"/>
      <c r="EI1148" s="885"/>
      <c r="EJ1148" s="885"/>
      <c r="EK1148" s="885"/>
      <c r="EL1148" s="885"/>
      <c r="EM1148" s="885"/>
      <c r="EN1148" s="885"/>
      <c r="EO1148" s="885"/>
      <c r="EP1148" s="885"/>
      <c r="EQ1148" s="885"/>
      <c r="ER1148" s="885"/>
      <c r="ES1148" s="885"/>
      <c r="ET1148" s="885"/>
      <c r="EU1148" s="885"/>
      <c r="EV1148" s="885"/>
      <c r="EW1148" s="885"/>
      <c r="EX1148" s="885"/>
      <c r="EY1148" s="885"/>
      <c r="EZ1148" s="885"/>
      <c r="FA1148" s="885"/>
      <c r="FB1148" s="885"/>
      <c r="FC1148" s="885"/>
      <c r="FD1148" s="885"/>
      <c r="FE1148" s="885"/>
      <c r="FF1148" s="885"/>
      <c r="FG1148" s="885"/>
      <c r="FH1148" s="885"/>
      <c r="FI1148" s="885"/>
      <c r="FJ1148" s="885"/>
      <c r="FK1148" s="885"/>
      <c r="FL1148" s="885"/>
      <c r="FM1148" s="885"/>
      <c r="FN1148" s="885"/>
      <c r="FO1148" s="885"/>
      <c r="FP1148" s="885"/>
      <c r="FQ1148" s="885"/>
      <c r="FR1148" s="885"/>
      <c r="FS1148" s="885"/>
      <c r="FT1148" s="885"/>
      <c r="FU1148" s="885"/>
      <c r="FV1148" s="885"/>
      <c r="FW1148" s="885"/>
      <c r="FX1148" s="885"/>
      <c r="FY1148" s="885"/>
      <c r="FZ1148" s="885"/>
      <c r="GA1148" s="885"/>
      <c r="GB1148" s="885"/>
      <c r="GC1148" s="885"/>
      <c r="GD1148" s="885"/>
      <c r="GE1148" s="885"/>
      <c r="GF1148" s="885"/>
      <c r="GG1148" s="885"/>
      <c r="GH1148" s="885"/>
      <c r="GI1148" s="885"/>
      <c r="GJ1148" s="885"/>
      <c r="GK1148" s="885"/>
      <c r="GL1148" s="885"/>
      <c r="GM1148" s="885"/>
      <c r="GN1148" s="885"/>
      <c r="GO1148" s="885"/>
      <c r="GP1148" s="885"/>
      <c r="GQ1148" s="885"/>
      <c r="GR1148" s="885"/>
      <c r="GS1148" s="885"/>
      <c r="GT1148" s="885"/>
      <c r="GU1148" s="885"/>
      <c r="GV1148" s="885"/>
      <c r="GW1148" s="885"/>
      <c r="GX1148" s="885"/>
      <c r="GY1148" s="885"/>
      <c r="GZ1148" s="885"/>
      <c r="HA1148" s="885"/>
      <c r="HB1148" s="885"/>
      <c r="HC1148" s="885"/>
      <c r="HD1148" s="885"/>
      <c r="HE1148" s="885"/>
      <c r="HF1148" s="885"/>
      <c r="HG1148" s="885"/>
      <c r="HH1148" s="885"/>
      <c r="HI1148" s="885"/>
      <c r="HJ1148" s="885"/>
      <c r="HK1148" s="885"/>
      <c r="HL1148" s="885"/>
      <c r="HM1148" s="885"/>
      <c r="HN1148" s="885"/>
      <c r="HO1148" s="885"/>
      <c r="HP1148" s="885"/>
      <c r="HQ1148" s="885"/>
      <c r="HR1148" s="885"/>
      <c r="HS1148" s="885"/>
      <c r="HT1148" s="885"/>
      <c r="HU1148" s="885"/>
      <c r="HV1148" s="885"/>
      <c r="HW1148" s="885"/>
      <c r="HX1148" s="885"/>
      <c r="HY1148" s="885"/>
      <c r="HZ1148" s="885"/>
      <c r="IA1148" s="885"/>
      <c r="IB1148" s="885"/>
      <c r="IC1148" s="885"/>
      <c r="ID1148" s="885"/>
      <c r="IE1148" s="885"/>
      <c r="IF1148" s="885"/>
      <c r="IG1148" s="885"/>
      <c r="IH1148" s="885"/>
      <c r="II1148" s="885"/>
      <c r="IJ1148" s="885"/>
      <c r="IK1148" s="885"/>
      <c r="IL1148" s="885"/>
      <c r="IM1148" s="885"/>
      <c r="IN1148" s="885"/>
      <c r="IO1148" s="885"/>
      <c r="IP1148" s="885"/>
      <c r="IQ1148" s="885"/>
      <c r="IR1148" s="885"/>
      <c r="IS1148" s="885"/>
      <c r="IT1148" s="885"/>
      <c r="IU1148" s="885"/>
      <c r="IV1148" s="885"/>
      <c r="IW1148" s="885"/>
      <c r="IX1148" s="885"/>
    </row>
    <row r="1149" spans="1:258" x14ac:dyDescent="0.25">
      <c r="A1149" s="125">
        <f t="shared" si="128"/>
        <v>1109</v>
      </c>
      <c r="B1149" s="885"/>
      <c r="C1149" s="1371" t="s">
        <v>7911</v>
      </c>
      <c r="D1149" s="1371"/>
      <c r="E1149" s="1371"/>
      <c r="F1149" s="1371"/>
      <c r="G1149" s="1371"/>
      <c r="H1149" s="1371"/>
      <c r="I1149" s="1371"/>
      <c r="J1149" s="885"/>
      <c r="K1149" s="885"/>
      <c r="L1149" s="885"/>
      <c r="M1149" s="885"/>
      <c r="N1149" s="885"/>
      <c r="O1149" s="885"/>
      <c r="P1149" s="885"/>
      <c r="Q1149" s="885"/>
      <c r="R1149" s="885"/>
      <c r="S1149" s="885"/>
      <c r="T1149" s="885"/>
      <c r="U1149" s="885"/>
      <c r="V1149" s="885"/>
      <c r="W1149" s="885"/>
      <c r="X1149" s="885"/>
      <c r="Y1149" s="885"/>
      <c r="Z1149" s="885"/>
      <c r="AA1149" s="885"/>
      <c r="AB1149" s="885"/>
      <c r="AC1149" s="885"/>
      <c r="AD1149" s="885"/>
      <c r="AE1149" s="885"/>
      <c r="AF1149" s="885"/>
      <c r="AG1149" s="885"/>
      <c r="AH1149" s="885"/>
      <c r="AI1149" s="885"/>
      <c r="AJ1149" s="885"/>
      <c r="AK1149" s="885"/>
      <c r="AL1149" s="885"/>
      <c r="AM1149" s="885"/>
      <c r="AN1149" s="885"/>
      <c r="AO1149" s="885"/>
      <c r="AP1149" s="885"/>
      <c r="AQ1149" s="885"/>
      <c r="AR1149" s="885"/>
      <c r="AS1149" s="885"/>
      <c r="AT1149" s="885"/>
      <c r="AU1149" s="885"/>
      <c r="AV1149" s="885"/>
      <c r="AW1149" s="885"/>
      <c r="AX1149" s="885"/>
      <c r="AY1149" s="885"/>
      <c r="AZ1149" s="885"/>
      <c r="BA1149" s="885"/>
      <c r="BB1149" s="885"/>
      <c r="BC1149" s="885"/>
      <c r="BD1149" s="885"/>
      <c r="BE1149" s="885"/>
      <c r="BF1149" s="885"/>
      <c r="BG1149" s="885"/>
      <c r="BH1149" s="885"/>
      <c r="BI1149" s="885"/>
      <c r="BJ1149" s="885"/>
      <c r="BK1149" s="885"/>
      <c r="BL1149" s="885"/>
      <c r="BM1149" s="885"/>
      <c r="BN1149" s="885"/>
      <c r="BO1149" s="885"/>
      <c r="BP1149" s="885"/>
      <c r="BQ1149" s="885"/>
      <c r="BR1149" s="885"/>
      <c r="BS1149" s="885"/>
      <c r="BT1149" s="885"/>
      <c r="BU1149" s="885"/>
      <c r="BV1149" s="885"/>
      <c r="BW1149" s="885"/>
      <c r="BX1149" s="885"/>
      <c r="BY1149" s="885"/>
      <c r="BZ1149" s="885"/>
      <c r="CA1149" s="885"/>
      <c r="CB1149" s="885"/>
      <c r="CC1149" s="885"/>
      <c r="CD1149" s="885"/>
      <c r="CE1149" s="885"/>
      <c r="CF1149" s="885"/>
      <c r="CG1149" s="885"/>
      <c r="CH1149" s="885"/>
      <c r="CI1149" s="885"/>
      <c r="CJ1149" s="885"/>
      <c r="CK1149" s="885"/>
      <c r="CL1149" s="885"/>
      <c r="CM1149" s="885"/>
      <c r="CN1149" s="885"/>
      <c r="CO1149" s="885"/>
      <c r="CP1149" s="885"/>
      <c r="CQ1149" s="885"/>
      <c r="CR1149" s="885"/>
      <c r="CS1149" s="885"/>
      <c r="CT1149" s="885"/>
      <c r="CU1149" s="885"/>
      <c r="CV1149" s="885"/>
      <c r="CW1149" s="885"/>
      <c r="CX1149" s="885"/>
      <c r="CY1149" s="885"/>
      <c r="CZ1149" s="885"/>
      <c r="DA1149" s="885"/>
      <c r="DB1149" s="885"/>
      <c r="DC1149" s="885"/>
      <c r="DD1149" s="885"/>
      <c r="DE1149" s="885"/>
      <c r="DF1149" s="885"/>
      <c r="DG1149" s="885"/>
      <c r="DH1149" s="885"/>
      <c r="DI1149" s="885"/>
      <c r="DJ1149" s="885"/>
      <c r="DK1149" s="885"/>
      <c r="DL1149" s="885"/>
      <c r="DM1149" s="885"/>
      <c r="DN1149" s="885"/>
      <c r="DO1149" s="885"/>
      <c r="DP1149" s="885"/>
      <c r="DQ1149" s="885"/>
      <c r="DR1149" s="885"/>
      <c r="DS1149" s="885"/>
      <c r="DT1149" s="885"/>
      <c r="DU1149" s="885"/>
      <c r="DV1149" s="885"/>
      <c r="DW1149" s="885"/>
      <c r="DX1149" s="885"/>
      <c r="DY1149" s="885"/>
      <c r="DZ1149" s="885"/>
      <c r="EA1149" s="885"/>
      <c r="EB1149" s="885"/>
      <c r="EC1149" s="885"/>
      <c r="ED1149" s="885"/>
      <c r="EE1149" s="885"/>
      <c r="EF1149" s="885"/>
      <c r="EG1149" s="885"/>
      <c r="EH1149" s="885"/>
      <c r="EI1149" s="885"/>
      <c r="EJ1149" s="885"/>
      <c r="EK1149" s="885"/>
      <c r="EL1149" s="885"/>
      <c r="EM1149" s="885"/>
      <c r="EN1149" s="885"/>
      <c r="EO1149" s="885"/>
      <c r="EP1149" s="885"/>
      <c r="EQ1149" s="885"/>
      <c r="ER1149" s="885"/>
      <c r="ES1149" s="885"/>
      <c r="ET1149" s="885"/>
      <c r="EU1149" s="885"/>
      <c r="EV1149" s="885"/>
      <c r="EW1149" s="885"/>
      <c r="EX1149" s="885"/>
      <c r="EY1149" s="885"/>
      <c r="EZ1149" s="885"/>
      <c r="FA1149" s="885"/>
      <c r="FB1149" s="885"/>
      <c r="FC1149" s="885"/>
      <c r="FD1149" s="885"/>
      <c r="FE1149" s="885"/>
      <c r="FF1149" s="885"/>
      <c r="FG1149" s="885"/>
      <c r="FH1149" s="885"/>
      <c r="FI1149" s="885"/>
      <c r="FJ1149" s="885"/>
      <c r="FK1149" s="885"/>
      <c r="FL1149" s="885"/>
      <c r="FM1149" s="885"/>
      <c r="FN1149" s="885"/>
      <c r="FO1149" s="885"/>
      <c r="FP1149" s="885"/>
      <c r="FQ1149" s="885"/>
      <c r="FR1149" s="885"/>
      <c r="FS1149" s="885"/>
      <c r="FT1149" s="885"/>
      <c r="FU1149" s="885"/>
      <c r="FV1149" s="885"/>
      <c r="FW1149" s="885"/>
      <c r="FX1149" s="885"/>
      <c r="FY1149" s="885"/>
      <c r="FZ1149" s="885"/>
      <c r="GA1149" s="885"/>
      <c r="GB1149" s="885"/>
      <c r="GC1149" s="885"/>
      <c r="GD1149" s="885"/>
      <c r="GE1149" s="885"/>
      <c r="GF1149" s="885"/>
      <c r="GG1149" s="885"/>
      <c r="GH1149" s="885"/>
      <c r="GI1149" s="885"/>
      <c r="GJ1149" s="885"/>
      <c r="GK1149" s="885"/>
      <c r="GL1149" s="885"/>
      <c r="GM1149" s="885"/>
      <c r="GN1149" s="885"/>
      <c r="GO1149" s="885"/>
      <c r="GP1149" s="885"/>
      <c r="GQ1149" s="885"/>
      <c r="GR1149" s="885"/>
      <c r="GS1149" s="885"/>
      <c r="GT1149" s="885"/>
      <c r="GU1149" s="885"/>
      <c r="GV1149" s="885"/>
      <c r="GW1149" s="885"/>
      <c r="GX1149" s="885"/>
      <c r="GY1149" s="885"/>
      <c r="GZ1149" s="885"/>
      <c r="HA1149" s="885"/>
      <c r="HB1149" s="885"/>
      <c r="HC1149" s="885"/>
      <c r="HD1149" s="885"/>
      <c r="HE1149" s="885"/>
      <c r="HF1149" s="885"/>
      <c r="HG1149" s="885"/>
      <c r="HH1149" s="885"/>
      <c r="HI1149" s="885"/>
      <c r="HJ1149" s="885"/>
      <c r="HK1149" s="885"/>
      <c r="HL1149" s="885"/>
      <c r="HM1149" s="885"/>
      <c r="HN1149" s="885"/>
      <c r="HO1149" s="885"/>
      <c r="HP1149" s="885"/>
      <c r="HQ1149" s="885"/>
      <c r="HR1149" s="885"/>
      <c r="HS1149" s="885"/>
      <c r="HT1149" s="885"/>
      <c r="HU1149" s="885"/>
      <c r="HV1149" s="885"/>
      <c r="HW1149" s="885"/>
      <c r="HX1149" s="885"/>
      <c r="HY1149" s="885"/>
      <c r="HZ1149" s="885"/>
      <c r="IA1149" s="885"/>
      <c r="IB1149" s="885"/>
      <c r="IC1149" s="885"/>
      <c r="ID1149" s="885"/>
      <c r="IE1149" s="885"/>
      <c r="IF1149" s="885"/>
      <c r="IG1149" s="885"/>
      <c r="IH1149" s="885"/>
      <c r="II1149" s="885"/>
      <c r="IJ1149" s="885"/>
      <c r="IK1149" s="885"/>
      <c r="IL1149" s="885"/>
      <c r="IM1149" s="885"/>
      <c r="IN1149" s="885"/>
      <c r="IO1149" s="885"/>
      <c r="IP1149" s="885"/>
      <c r="IQ1149" s="885"/>
      <c r="IR1149" s="885"/>
      <c r="IS1149" s="885"/>
      <c r="IT1149" s="885"/>
      <c r="IU1149" s="885"/>
      <c r="IV1149" s="885"/>
      <c r="IW1149" s="885"/>
      <c r="IX1149" s="885"/>
    </row>
    <row r="1150" spans="1:258" x14ac:dyDescent="0.25">
      <c r="A1150" s="125">
        <f t="shared" si="128"/>
        <v>1110</v>
      </c>
      <c r="B1150" s="885"/>
      <c r="C1150" s="1371" t="s">
        <v>8270</v>
      </c>
      <c r="D1150" s="1371"/>
      <c r="E1150" s="1371"/>
      <c r="F1150" s="1371"/>
      <c r="G1150" s="1371"/>
      <c r="H1150" s="1371"/>
      <c r="I1150" s="1371"/>
      <c r="J1150" s="885"/>
      <c r="K1150" s="885"/>
      <c r="L1150" s="885"/>
      <c r="M1150" s="885"/>
      <c r="N1150" s="885"/>
      <c r="O1150" s="885"/>
      <c r="P1150" s="885"/>
      <c r="Q1150" s="885"/>
      <c r="R1150" s="885"/>
      <c r="S1150" s="885"/>
      <c r="T1150" s="885"/>
      <c r="U1150" s="885"/>
      <c r="V1150" s="885"/>
      <c r="W1150" s="885"/>
      <c r="X1150" s="885"/>
      <c r="Y1150" s="885"/>
      <c r="Z1150" s="885"/>
      <c r="AA1150" s="885"/>
      <c r="AB1150" s="885"/>
      <c r="AC1150" s="885"/>
      <c r="AD1150" s="885"/>
      <c r="AE1150" s="885"/>
      <c r="AF1150" s="885"/>
      <c r="AG1150" s="885"/>
      <c r="AH1150" s="885"/>
      <c r="AI1150" s="885"/>
      <c r="AJ1150" s="885"/>
      <c r="AK1150" s="885"/>
      <c r="AL1150" s="885"/>
      <c r="AM1150" s="885"/>
      <c r="AN1150" s="885"/>
      <c r="AO1150" s="885"/>
      <c r="AP1150" s="885"/>
      <c r="AQ1150" s="885"/>
      <c r="AR1150" s="885"/>
      <c r="AS1150" s="885"/>
      <c r="AT1150" s="885"/>
      <c r="AU1150" s="885"/>
      <c r="AV1150" s="885"/>
      <c r="AW1150" s="885"/>
      <c r="AX1150" s="885"/>
      <c r="AY1150" s="885"/>
      <c r="AZ1150" s="885"/>
      <c r="BA1150" s="885"/>
      <c r="BB1150" s="885"/>
      <c r="BC1150" s="885"/>
      <c r="BD1150" s="885"/>
      <c r="BE1150" s="885"/>
      <c r="BF1150" s="885"/>
      <c r="BG1150" s="885"/>
      <c r="BH1150" s="885"/>
      <c r="BI1150" s="885"/>
      <c r="BJ1150" s="885"/>
      <c r="BK1150" s="885"/>
      <c r="BL1150" s="885"/>
      <c r="BM1150" s="885"/>
      <c r="BN1150" s="885"/>
      <c r="BO1150" s="885"/>
      <c r="BP1150" s="885"/>
      <c r="BQ1150" s="885"/>
      <c r="BR1150" s="885"/>
      <c r="BS1150" s="885"/>
      <c r="BT1150" s="885"/>
      <c r="BU1150" s="885"/>
      <c r="BV1150" s="885"/>
      <c r="BW1150" s="885"/>
      <c r="BX1150" s="885"/>
      <c r="BY1150" s="885"/>
      <c r="BZ1150" s="885"/>
      <c r="CA1150" s="885"/>
      <c r="CB1150" s="885"/>
      <c r="CC1150" s="885"/>
      <c r="CD1150" s="885"/>
      <c r="CE1150" s="885"/>
      <c r="CF1150" s="885"/>
      <c r="CG1150" s="885"/>
      <c r="CH1150" s="885"/>
      <c r="CI1150" s="885"/>
      <c r="CJ1150" s="885"/>
      <c r="CK1150" s="885"/>
      <c r="CL1150" s="885"/>
      <c r="CM1150" s="885"/>
      <c r="CN1150" s="885"/>
      <c r="CO1150" s="885"/>
      <c r="CP1150" s="885"/>
      <c r="CQ1150" s="885"/>
      <c r="CR1150" s="885"/>
      <c r="CS1150" s="885"/>
      <c r="CT1150" s="885"/>
      <c r="CU1150" s="885"/>
      <c r="CV1150" s="885"/>
      <c r="CW1150" s="885"/>
      <c r="CX1150" s="885"/>
      <c r="CY1150" s="885"/>
      <c r="CZ1150" s="885"/>
      <c r="DA1150" s="885"/>
      <c r="DB1150" s="885"/>
      <c r="DC1150" s="885"/>
      <c r="DD1150" s="885"/>
      <c r="DE1150" s="885"/>
      <c r="DF1150" s="885"/>
      <c r="DG1150" s="885"/>
      <c r="DH1150" s="885"/>
      <c r="DI1150" s="885"/>
      <c r="DJ1150" s="885"/>
      <c r="DK1150" s="885"/>
      <c r="DL1150" s="885"/>
      <c r="DM1150" s="885"/>
      <c r="DN1150" s="885"/>
      <c r="DO1150" s="885"/>
      <c r="DP1150" s="885"/>
      <c r="DQ1150" s="885"/>
      <c r="DR1150" s="885"/>
      <c r="DS1150" s="885"/>
      <c r="DT1150" s="885"/>
      <c r="DU1150" s="885"/>
      <c r="DV1150" s="885"/>
      <c r="DW1150" s="885"/>
      <c r="DX1150" s="885"/>
      <c r="DY1150" s="885"/>
      <c r="DZ1150" s="885"/>
      <c r="EA1150" s="885"/>
      <c r="EB1150" s="885"/>
      <c r="EC1150" s="885"/>
      <c r="ED1150" s="885"/>
      <c r="EE1150" s="885"/>
      <c r="EF1150" s="885"/>
      <c r="EG1150" s="885"/>
      <c r="EH1150" s="885"/>
      <c r="EI1150" s="885"/>
      <c r="EJ1150" s="885"/>
      <c r="EK1150" s="885"/>
      <c r="EL1150" s="885"/>
      <c r="EM1150" s="885"/>
      <c r="EN1150" s="885"/>
      <c r="EO1150" s="885"/>
      <c r="EP1150" s="885"/>
      <c r="EQ1150" s="885"/>
      <c r="ER1150" s="885"/>
      <c r="ES1150" s="885"/>
      <c r="ET1150" s="885"/>
      <c r="EU1150" s="885"/>
      <c r="EV1150" s="885"/>
      <c r="EW1150" s="885"/>
      <c r="EX1150" s="885"/>
      <c r="EY1150" s="885"/>
      <c r="EZ1150" s="885"/>
      <c r="FA1150" s="885"/>
      <c r="FB1150" s="885"/>
      <c r="FC1150" s="885"/>
      <c r="FD1150" s="885"/>
      <c r="FE1150" s="885"/>
      <c r="FF1150" s="885"/>
      <c r="FG1150" s="885"/>
      <c r="FH1150" s="885"/>
      <c r="FI1150" s="885"/>
      <c r="FJ1150" s="885"/>
      <c r="FK1150" s="885"/>
      <c r="FL1150" s="885"/>
      <c r="FM1150" s="885"/>
      <c r="FN1150" s="885"/>
      <c r="FO1150" s="885"/>
      <c r="FP1150" s="885"/>
      <c r="FQ1150" s="885"/>
      <c r="FR1150" s="885"/>
      <c r="FS1150" s="885"/>
      <c r="FT1150" s="885"/>
      <c r="FU1150" s="885"/>
      <c r="FV1150" s="885"/>
      <c r="FW1150" s="885"/>
      <c r="FX1150" s="885"/>
      <c r="FY1150" s="885"/>
      <c r="FZ1150" s="885"/>
      <c r="GA1150" s="885"/>
      <c r="GB1150" s="885"/>
      <c r="GC1150" s="885"/>
      <c r="GD1150" s="885"/>
      <c r="GE1150" s="885"/>
      <c r="GF1150" s="885"/>
      <c r="GG1150" s="885"/>
      <c r="GH1150" s="885"/>
      <c r="GI1150" s="885"/>
      <c r="GJ1150" s="885"/>
      <c r="GK1150" s="885"/>
      <c r="GL1150" s="885"/>
      <c r="GM1150" s="885"/>
      <c r="GN1150" s="885"/>
      <c r="GO1150" s="885"/>
      <c r="GP1150" s="885"/>
      <c r="GQ1150" s="885"/>
      <c r="GR1150" s="885"/>
      <c r="GS1150" s="885"/>
      <c r="GT1150" s="885"/>
      <c r="GU1150" s="885"/>
      <c r="GV1150" s="885"/>
      <c r="GW1150" s="885"/>
      <c r="GX1150" s="885"/>
      <c r="GY1150" s="885"/>
      <c r="GZ1150" s="885"/>
      <c r="HA1150" s="885"/>
      <c r="HB1150" s="885"/>
      <c r="HC1150" s="885"/>
      <c r="HD1150" s="885"/>
      <c r="HE1150" s="885"/>
      <c r="HF1150" s="885"/>
      <c r="HG1150" s="885"/>
      <c r="HH1150" s="885"/>
      <c r="HI1150" s="885"/>
      <c r="HJ1150" s="885"/>
      <c r="HK1150" s="885"/>
      <c r="HL1150" s="885"/>
      <c r="HM1150" s="885"/>
      <c r="HN1150" s="885"/>
      <c r="HO1150" s="885"/>
      <c r="HP1150" s="885"/>
      <c r="HQ1150" s="885"/>
      <c r="HR1150" s="885"/>
      <c r="HS1150" s="885"/>
      <c r="HT1150" s="885"/>
      <c r="HU1150" s="885"/>
      <c r="HV1150" s="885"/>
      <c r="HW1150" s="885"/>
      <c r="HX1150" s="885"/>
      <c r="HY1150" s="885"/>
      <c r="HZ1150" s="885"/>
      <c r="IA1150" s="885"/>
      <c r="IB1150" s="885"/>
      <c r="IC1150" s="885"/>
      <c r="ID1150" s="885"/>
      <c r="IE1150" s="885"/>
      <c r="IF1150" s="885"/>
      <c r="IG1150" s="885"/>
      <c r="IH1150" s="885"/>
      <c r="II1150" s="885"/>
      <c r="IJ1150" s="885"/>
      <c r="IK1150" s="885"/>
      <c r="IL1150" s="885"/>
      <c r="IM1150" s="885"/>
      <c r="IN1150" s="885"/>
      <c r="IO1150" s="885"/>
      <c r="IP1150" s="885"/>
      <c r="IQ1150" s="885"/>
      <c r="IR1150" s="885"/>
      <c r="IS1150" s="885"/>
      <c r="IT1150" s="885"/>
      <c r="IU1150" s="885"/>
      <c r="IV1150" s="885"/>
      <c r="IW1150" s="885"/>
      <c r="IX1150" s="885"/>
    </row>
    <row r="1151" spans="1:258" x14ac:dyDescent="0.25">
      <c r="A1151" s="125">
        <f t="shared" si="128"/>
        <v>1111</v>
      </c>
      <c r="B1151" s="885"/>
      <c r="C1151" s="231" t="s">
        <v>1954</v>
      </c>
      <c r="D1151" s="916"/>
      <c r="E1151" s="916"/>
      <c r="F1151" s="231"/>
      <c r="G1151" s="885"/>
      <c r="H1151" s="885"/>
      <c r="I1151" s="885"/>
      <c r="J1151" s="885"/>
      <c r="K1151" s="885"/>
      <c r="L1151" s="885"/>
      <c r="M1151" s="885"/>
      <c r="N1151" s="885"/>
      <c r="O1151" s="885"/>
      <c r="P1151" s="885"/>
      <c r="Q1151" s="885"/>
      <c r="R1151" s="885"/>
      <c r="S1151" s="885"/>
      <c r="T1151" s="885"/>
      <c r="U1151" s="885"/>
      <c r="V1151" s="885"/>
      <c r="W1151" s="885"/>
      <c r="X1151" s="885"/>
      <c r="Y1151" s="885"/>
      <c r="Z1151" s="885"/>
      <c r="AA1151" s="885"/>
      <c r="AB1151" s="885"/>
      <c r="AC1151" s="885"/>
      <c r="AD1151" s="885"/>
      <c r="AE1151" s="885"/>
      <c r="AF1151" s="885"/>
      <c r="AG1151" s="885"/>
      <c r="AH1151" s="885"/>
      <c r="AI1151" s="885"/>
      <c r="AJ1151" s="885"/>
      <c r="AK1151" s="885"/>
      <c r="AL1151" s="885"/>
      <c r="AM1151" s="885"/>
      <c r="AN1151" s="885"/>
      <c r="AO1151" s="885"/>
      <c r="AP1151" s="885"/>
      <c r="AQ1151" s="885"/>
      <c r="AR1151" s="885"/>
      <c r="AS1151" s="885"/>
      <c r="AT1151" s="885"/>
      <c r="AU1151" s="885"/>
      <c r="AV1151" s="885"/>
      <c r="AW1151" s="885"/>
      <c r="AX1151" s="885"/>
      <c r="AY1151" s="885"/>
      <c r="AZ1151" s="885"/>
      <c r="BA1151" s="885"/>
      <c r="BB1151" s="885"/>
      <c r="BC1151" s="885"/>
      <c r="BD1151" s="885"/>
      <c r="BE1151" s="885"/>
      <c r="BF1151" s="885"/>
      <c r="BG1151" s="885"/>
      <c r="BH1151" s="885"/>
      <c r="BI1151" s="885"/>
      <c r="BJ1151" s="885"/>
      <c r="BK1151" s="885"/>
      <c r="BL1151" s="885"/>
      <c r="BM1151" s="885"/>
      <c r="BN1151" s="885"/>
      <c r="BO1151" s="885"/>
      <c r="BP1151" s="885"/>
      <c r="BQ1151" s="885"/>
      <c r="BR1151" s="885"/>
      <c r="BS1151" s="885"/>
      <c r="BT1151" s="885"/>
      <c r="BU1151" s="885"/>
      <c r="BV1151" s="885"/>
      <c r="BW1151" s="885"/>
      <c r="BX1151" s="885"/>
      <c r="BY1151" s="885"/>
      <c r="BZ1151" s="885"/>
      <c r="CA1151" s="885"/>
      <c r="CB1151" s="885"/>
      <c r="CC1151" s="885"/>
      <c r="CD1151" s="885"/>
      <c r="CE1151" s="885"/>
      <c r="CF1151" s="885"/>
      <c r="CG1151" s="885"/>
      <c r="CH1151" s="885"/>
      <c r="CI1151" s="885"/>
      <c r="CJ1151" s="885"/>
      <c r="CK1151" s="885"/>
      <c r="CL1151" s="885"/>
      <c r="CM1151" s="885"/>
      <c r="CN1151" s="885"/>
      <c r="CO1151" s="885"/>
      <c r="CP1151" s="885"/>
      <c r="CQ1151" s="885"/>
      <c r="CR1151" s="885"/>
      <c r="CS1151" s="885"/>
      <c r="CT1151" s="885"/>
      <c r="CU1151" s="885"/>
      <c r="CV1151" s="885"/>
      <c r="CW1151" s="885"/>
      <c r="CX1151" s="885"/>
      <c r="CY1151" s="885"/>
      <c r="CZ1151" s="885"/>
      <c r="DA1151" s="885"/>
      <c r="DB1151" s="885"/>
      <c r="DC1151" s="885"/>
      <c r="DD1151" s="885"/>
      <c r="DE1151" s="885"/>
      <c r="DF1151" s="885"/>
      <c r="DG1151" s="885"/>
      <c r="DH1151" s="885"/>
      <c r="DI1151" s="885"/>
      <c r="DJ1151" s="885"/>
      <c r="DK1151" s="885"/>
      <c r="DL1151" s="885"/>
      <c r="DM1151" s="885"/>
      <c r="DN1151" s="885"/>
      <c r="DO1151" s="885"/>
      <c r="DP1151" s="885"/>
      <c r="DQ1151" s="885"/>
      <c r="DR1151" s="885"/>
      <c r="DS1151" s="885"/>
      <c r="DT1151" s="885"/>
      <c r="DU1151" s="885"/>
      <c r="DV1151" s="885"/>
      <c r="DW1151" s="885"/>
      <c r="DX1151" s="885"/>
      <c r="DY1151" s="885"/>
      <c r="DZ1151" s="885"/>
      <c r="EA1151" s="885"/>
      <c r="EB1151" s="885"/>
      <c r="EC1151" s="885"/>
      <c r="ED1151" s="885"/>
      <c r="EE1151" s="885"/>
      <c r="EF1151" s="885"/>
      <c r="EG1151" s="885"/>
      <c r="EH1151" s="885"/>
      <c r="EI1151" s="885"/>
      <c r="EJ1151" s="885"/>
      <c r="EK1151" s="885"/>
      <c r="EL1151" s="885"/>
      <c r="EM1151" s="885"/>
      <c r="EN1151" s="885"/>
      <c r="EO1151" s="885"/>
      <c r="EP1151" s="885"/>
      <c r="EQ1151" s="885"/>
      <c r="ER1151" s="885"/>
      <c r="ES1151" s="885"/>
      <c r="ET1151" s="885"/>
      <c r="EU1151" s="885"/>
      <c r="EV1151" s="885"/>
      <c r="EW1151" s="885"/>
      <c r="EX1151" s="885"/>
      <c r="EY1151" s="885"/>
      <c r="EZ1151" s="885"/>
      <c r="FA1151" s="885"/>
      <c r="FB1151" s="885"/>
      <c r="FC1151" s="885"/>
      <c r="FD1151" s="885"/>
      <c r="FE1151" s="885"/>
      <c r="FF1151" s="885"/>
      <c r="FG1151" s="885"/>
      <c r="FH1151" s="885"/>
      <c r="FI1151" s="885"/>
      <c r="FJ1151" s="885"/>
      <c r="FK1151" s="885"/>
      <c r="FL1151" s="885"/>
      <c r="FM1151" s="885"/>
      <c r="FN1151" s="885"/>
      <c r="FO1151" s="885"/>
      <c r="FP1151" s="885"/>
      <c r="FQ1151" s="885"/>
      <c r="FR1151" s="885"/>
      <c r="FS1151" s="885"/>
      <c r="FT1151" s="885"/>
      <c r="FU1151" s="885"/>
      <c r="FV1151" s="885"/>
      <c r="FW1151" s="885"/>
      <c r="FX1151" s="885"/>
      <c r="FY1151" s="885"/>
      <c r="FZ1151" s="885"/>
      <c r="GA1151" s="885"/>
      <c r="GB1151" s="885"/>
      <c r="GC1151" s="885"/>
      <c r="GD1151" s="885"/>
      <c r="GE1151" s="885"/>
      <c r="GF1151" s="885"/>
      <c r="GG1151" s="885"/>
      <c r="GH1151" s="885"/>
      <c r="GI1151" s="885"/>
      <c r="GJ1151" s="885"/>
      <c r="GK1151" s="885"/>
      <c r="GL1151" s="885"/>
      <c r="GM1151" s="885"/>
      <c r="GN1151" s="885"/>
      <c r="GO1151" s="885"/>
      <c r="GP1151" s="885"/>
      <c r="GQ1151" s="885"/>
      <c r="GR1151" s="885"/>
      <c r="GS1151" s="885"/>
      <c r="GT1151" s="885"/>
      <c r="GU1151" s="885"/>
      <c r="GV1151" s="885"/>
      <c r="GW1151" s="885"/>
      <c r="GX1151" s="885"/>
      <c r="GY1151" s="885"/>
      <c r="GZ1151" s="885"/>
      <c r="HA1151" s="885"/>
      <c r="HB1151" s="885"/>
      <c r="HC1151" s="885"/>
      <c r="HD1151" s="885"/>
      <c r="HE1151" s="885"/>
      <c r="HF1151" s="885"/>
      <c r="HG1151" s="885"/>
      <c r="HH1151" s="885"/>
      <c r="HI1151" s="885"/>
      <c r="HJ1151" s="885"/>
      <c r="HK1151" s="885"/>
      <c r="HL1151" s="885"/>
      <c r="HM1151" s="885"/>
      <c r="HN1151" s="885"/>
      <c r="HO1151" s="885"/>
      <c r="HP1151" s="885"/>
      <c r="HQ1151" s="885"/>
      <c r="HR1151" s="885"/>
      <c r="HS1151" s="885"/>
      <c r="HT1151" s="885"/>
      <c r="HU1151" s="885"/>
      <c r="HV1151" s="885"/>
      <c r="HW1151" s="885"/>
      <c r="HX1151" s="885"/>
      <c r="HY1151" s="885"/>
      <c r="HZ1151" s="885"/>
      <c r="IA1151" s="885"/>
      <c r="IB1151" s="885"/>
      <c r="IC1151" s="885"/>
      <c r="ID1151" s="885"/>
      <c r="IE1151" s="885"/>
      <c r="IF1151" s="885"/>
      <c r="IG1151" s="885"/>
      <c r="IH1151" s="885"/>
      <c r="II1151" s="885"/>
      <c r="IJ1151" s="885"/>
      <c r="IK1151" s="885"/>
      <c r="IL1151" s="885"/>
      <c r="IM1151" s="885"/>
      <c r="IN1151" s="885"/>
      <c r="IO1151" s="885"/>
      <c r="IP1151" s="885"/>
      <c r="IQ1151" s="885"/>
      <c r="IR1151" s="885"/>
      <c r="IS1151" s="885"/>
      <c r="IT1151" s="885"/>
      <c r="IU1151" s="885"/>
      <c r="IV1151" s="885"/>
      <c r="IW1151" s="885"/>
      <c r="IX1151" s="885"/>
    </row>
    <row r="1152" spans="1:258" x14ac:dyDescent="0.25">
      <c r="A1152" s="125">
        <f t="shared" si="128"/>
        <v>1112</v>
      </c>
      <c r="B1152" s="954"/>
      <c r="C1152" s="842" t="s">
        <v>11532</v>
      </c>
      <c r="D1152" s="924">
        <v>0</v>
      </c>
      <c r="E1152" s="924">
        <f t="shared" ref="E1152:E1156" si="130">D1152/8*12</f>
        <v>0</v>
      </c>
      <c r="F1152" s="231"/>
      <c r="G1152" s="954"/>
      <c r="H1152" s="954"/>
      <c r="I1152" s="954"/>
      <c r="J1152" s="954"/>
      <c r="K1152" s="954"/>
      <c r="L1152" s="954"/>
      <c r="M1152" s="954"/>
      <c r="N1152" s="954"/>
      <c r="O1152" s="954"/>
      <c r="P1152" s="954"/>
      <c r="Q1152" s="954"/>
      <c r="R1152" s="954"/>
      <c r="S1152" s="954"/>
      <c r="T1152" s="954"/>
      <c r="U1152" s="954"/>
      <c r="V1152" s="954"/>
      <c r="W1152" s="954"/>
      <c r="X1152" s="954"/>
      <c r="Y1152" s="954"/>
      <c r="Z1152" s="954"/>
      <c r="AA1152" s="954"/>
      <c r="AB1152" s="954"/>
      <c r="AC1152" s="954"/>
      <c r="AD1152" s="954"/>
      <c r="AE1152" s="954"/>
      <c r="AF1152" s="954"/>
      <c r="AG1152" s="954"/>
      <c r="AH1152" s="954"/>
      <c r="AI1152" s="954"/>
      <c r="AJ1152" s="954"/>
      <c r="AK1152" s="954"/>
      <c r="AL1152" s="954"/>
      <c r="AM1152" s="954"/>
      <c r="AN1152" s="954"/>
      <c r="AO1152" s="954"/>
      <c r="AP1152" s="954"/>
      <c r="AQ1152" s="954"/>
      <c r="AR1152" s="954"/>
      <c r="AS1152" s="954"/>
      <c r="AT1152" s="954"/>
      <c r="AU1152" s="954"/>
      <c r="AV1152" s="954"/>
      <c r="AW1152" s="954"/>
      <c r="AX1152" s="954"/>
      <c r="AY1152" s="954"/>
      <c r="AZ1152" s="954"/>
      <c r="BA1152" s="954"/>
      <c r="BB1152" s="954"/>
      <c r="BC1152" s="954"/>
      <c r="BD1152" s="954"/>
      <c r="BE1152" s="954"/>
      <c r="BF1152" s="954"/>
      <c r="BG1152" s="954"/>
      <c r="BH1152" s="954"/>
      <c r="BI1152" s="954"/>
      <c r="BJ1152" s="954"/>
      <c r="BK1152" s="954"/>
      <c r="BL1152" s="954"/>
      <c r="BM1152" s="954"/>
      <c r="BN1152" s="954"/>
      <c r="BO1152" s="954"/>
      <c r="BP1152" s="954"/>
      <c r="BQ1152" s="954"/>
      <c r="BR1152" s="954"/>
      <c r="BS1152" s="954"/>
      <c r="BT1152" s="954"/>
      <c r="BU1152" s="954"/>
      <c r="BV1152" s="954"/>
      <c r="BW1152" s="954"/>
      <c r="BX1152" s="954"/>
      <c r="BY1152" s="954"/>
      <c r="BZ1152" s="954"/>
      <c r="CA1152" s="954"/>
      <c r="CB1152" s="954"/>
      <c r="CC1152" s="954"/>
      <c r="CD1152" s="954"/>
      <c r="CE1152" s="954"/>
      <c r="CF1152" s="954"/>
      <c r="CG1152" s="954"/>
      <c r="CH1152" s="954"/>
      <c r="CI1152" s="954"/>
      <c r="CJ1152" s="954"/>
      <c r="CK1152" s="954"/>
      <c r="CL1152" s="954"/>
      <c r="CM1152" s="954"/>
      <c r="CN1152" s="954"/>
      <c r="CO1152" s="954"/>
      <c r="CP1152" s="954"/>
      <c r="CQ1152" s="954"/>
      <c r="CR1152" s="954"/>
      <c r="CS1152" s="954"/>
      <c r="CT1152" s="954"/>
      <c r="CU1152" s="954"/>
      <c r="CV1152" s="954"/>
      <c r="CW1152" s="954"/>
      <c r="CX1152" s="954"/>
      <c r="CY1152" s="954"/>
      <c r="CZ1152" s="954"/>
      <c r="DA1152" s="954"/>
      <c r="DB1152" s="954"/>
      <c r="DC1152" s="954"/>
      <c r="DD1152" s="954"/>
      <c r="DE1152" s="954"/>
      <c r="DF1152" s="954"/>
      <c r="DG1152" s="954"/>
      <c r="DH1152" s="954"/>
      <c r="DI1152" s="954"/>
      <c r="DJ1152" s="954"/>
      <c r="DK1152" s="954"/>
      <c r="DL1152" s="954"/>
      <c r="DM1152" s="954"/>
      <c r="DN1152" s="954"/>
      <c r="DO1152" s="954"/>
      <c r="DP1152" s="954"/>
      <c r="DQ1152" s="954"/>
      <c r="DR1152" s="954"/>
      <c r="DS1152" s="954"/>
      <c r="DT1152" s="954"/>
      <c r="DU1152" s="954"/>
      <c r="DV1152" s="954"/>
      <c r="DW1152" s="954"/>
      <c r="DX1152" s="954"/>
      <c r="DY1152" s="954"/>
      <c r="DZ1152" s="954"/>
      <c r="EA1152" s="954"/>
      <c r="EB1152" s="954"/>
      <c r="EC1152" s="954"/>
      <c r="ED1152" s="954"/>
      <c r="EE1152" s="954"/>
      <c r="EF1152" s="954"/>
      <c r="EG1152" s="954"/>
      <c r="EH1152" s="954"/>
      <c r="EI1152" s="954"/>
      <c r="EJ1152" s="954"/>
      <c r="EK1152" s="954"/>
      <c r="EL1152" s="954"/>
      <c r="EM1152" s="954"/>
      <c r="EN1152" s="954"/>
      <c r="EO1152" s="954"/>
      <c r="EP1152" s="954"/>
      <c r="EQ1152" s="954"/>
      <c r="ER1152" s="954"/>
      <c r="ES1152" s="954"/>
      <c r="ET1152" s="954"/>
      <c r="EU1152" s="954"/>
      <c r="EV1152" s="954"/>
      <c r="EW1152" s="954"/>
      <c r="EX1152" s="954"/>
      <c r="EY1152" s="954"/>
      <c r="EZ1152" s="954"/>
      <c r="FA1152" s="954"/>
      <c r="FB1152" s="954"/>
      <c r="FC1152" s="954"/>
      <c r="FD1152" s="954"/>
      <c r="FE1152" s="954"/>
      <c r="FF1152" s="954"/>
      <c r="FG1152" s="954"/>
      <c r="FH1152" s="954"/>
      <c r="FI1152" s="954"/>
      <c r="FJ1152" s="954"/>
      <c r="FK1152" s="954"/>
      <c r="FL1152" s="954"/>
      <c r="FM1152" s="954"/>
      <c r="FN1152" s="954"/>
      <c r="FO1152" s="954"/>
      <c r="FP1152" s="954"/>
      <c r="FQ1152" s="954"/>
      <c r="FR1152" s="954"/>
      <c r="FS1152" s="954"/>
      <c r="FT1152" s="954"/>
      <c r="FU1152" s="954"/>
      <c r="FV1152" s="954"/>
      <c r="FW1152" s="954"/>
      <c r="FX1152" s="954"/>
      <c r="FY1152" s="954"/>
      <c r="FZ1152" s="954"/>
      <c r="GA1152" s="954"/>
      <c r="GB1152" s="954"/>
      <c r="GC1152" s="954"/>
      <c r="GD1152" s="954"/>
      <c r="GE1152" s="954"/>
      <c r="GF1152" s="954"/>
      <c r="GG1152" s="954"/>
      <c r="GH1152" s="954"/>
      <c r="GI1152" s="954"/>
      <c r="GJ1152" s="954"/>
      <c r="GK1152" s="954"/>
      <c r="GL1152" s="954"/>
      <c r="GM1152" s="954"/>
      <c r="GN1152" s="954"/>
      <c r="GO1152" s="954"/>
      <c r="GP1152" s="954"/>
      <c r="GQ1152" s="954"/>
      <c r="GR1152" s="954"/>
      <c r="GS1152" s="954"/>
      <c r="GT1152" s="954"/>
      <c r="GU1152" s="954"/>
      <c r="GV1152" s="954"/>
      <c r="GW1152" s="954"/>
      <c r="GX1152" s="954"/>
      <c r="GY1152" s="954"/>
      <c r="GZ1152" s="954"/>
      <c r="HA1152" s="954"/>
      <c r="HB1152" s="954"/>
      <c r="HC1152" s="954"/>
      <c r="HD1152" s="954"/>
      <c r="HE1152" s="954"/>
      <c r="HF1152" s="954"/>
      <c r="HG1152" s="954"/>
      <c r="HH1152" s="954"/>
      <c r="HI1152" s="954"/>
      <c r="HJ1152" s="954"/>
      <c r="HK1152" s="954"/>
      <c r="HL1152" s="954"/>
      <c r="HM1152" s="954"/>
      <c r="HN1152" s="954"/>
      <c r="HO1152" s="954"/>
      <c r="HP1152" s="954"/>
      <c r="HQ1152" s="954"/>
      <c r="HR1152" s="954"/>
      <c r="HS1152" s="954"/>
      <c r="HT1152" s="954"/>
      <c r="HU1152" s="954"/>
      <c r="HV1152" s="954"/>
      <c r="HW1152" s="954"/>
      <c r="HX1152" s="954"/>
      <c r="HY1152" s="954"/>
      <c r="HZ1152" s="954"/>
      <c r="IA1152" s="954"/>
      <c r="IB1152" s="954"/>
      <c r="IC1152" s="954"/>
      <c r="ID1152" s="954"/>
      <c r="IE1152" s="954"/>
      <c r="IF1152" s="954"/>
      <c r="IG1152" s="954"/>
      <c r="IH1152" s="954"/>
      <c r="II1152" s="954"/>
      <c r="IJ1152" s="954"/>
      <c r="IK1152" s="954"/>
      <c r="IL1152" s="954"/>
      <c r="IM1152" s="954"/>
      <c r="IN1152" s="954"/>
      <c r="IO1152" s="954"/>
      <c r="IP1152" s="954"/>
      <c r="IQ1152" s="954"/>
      <c r="IR1152" s="954"/>
      <c r="IS1152" s="954"/>
      <c r="IT1152" s="954"/>
      <c r="IU1152" s="954"/>
      <c r="IV1152" s="954"/>
      <c r="IW1152" s="954"/>
      <c r="IX1152" s="954"/>
    </row>
    <row r="1153" spans="1:258" x14ac:dyDescent="0.25">
      <c r="A1153" s="125">
        <f t="shared" si="128"/>
        <v>1113</v>
      </c>
      <c r="B1153" s="885"/>
      <c r="C1153" s="134" t="s">
        <v>1966</v>
      </c>
      <c r="D1153" s="924">
        <v>0</v>
      </c>
      <c r="E1153" s="924">
        <f t="shared" si="130"/>
        <v>0</v>
      </c>
      <c r="F1153" s="129">
        <v>800</v>
      </c>
      <c r="G1153" s="122" t="s">
        <v>1963</v>
      </c>
      <c r="H1153" s="885"/>
      <c r="I1153" s="885"/>
      <c r="J1153" s="885"/>
      <c r="K1153" s="885"/>
      <c r="L1153" s="885"/>
      <c r="M1153" s="885"/>
      <c r="N1153" s="885"/>
      <c r="O1153" s="885"/>
      <c r="P1153" s="885"/>
      <c r="Q1153" s="885"/>
      <c r="R1153" s="885"/>
      <c r="S1153" s="885"/>
      <c r="T1153" s="885"/>
      <c r="U1153" s="885"/>
      <c r="V1153" s="885"/>
      <c r="W1153" s="885"/>
      <c r="X1153" s="885"/>
      <c r="Y1153" s="885"/>
      <c r="Z1153" s="885"/>
      <c r="AA1153" s="885"/>
      <c r="AB1153" s="885"/>
      <c r="AC1153" s="885"/>
      <c r="AD1153" s="885"/>
      <c r="AE1153" s="885"/>
      <c r="AF1153" s="885"/>
      <c r="AG1153" s="885"/>
      <c r="AH1153" s="885"/>
      <c r="AI1153" s="885"/>
      <c r="AJ1153" s="885"/>
      <c r="AK1153" s="885"/>
      <c r="AL1153" s="885"/>
      <c r="AM1153" s="885"/>
      <c r="AN1153" s="885"/>
      <c r="AO1153" s="885"/>
      <c r="AP1153" s="885"/>
      <c r="AQ1153" s="885"/>
      <c r="AR1153" s="885"/>
      <c r="AS1153" s="885"/>
      <c r="AT1153" s="885"/>
      <c r="AU1153" s="885"/>
      <c r="AV1153" s="885"/>
      <c r="AW1153" s="885"/>
      <c r="AX1153" s="885"/>
      <c r="AY1153" s="885"/>
      <c r="AZ1153" s="885"/>
      <c r="BA1153" s="885"/>
      <c r="BB1153" s="885"/>
      <c r="BC1153" s="885"/>
      <c r="BD1153" s="885"/>
      <c r="BE1153" s="885"/>
      <c r="BF1153" s="885"/>
      <c r="BG1153" s="885"/>
      <c r="BH1153" s="885"/>
      <c r="BI1153" s="885"/>
      <c r="BJ1153" s="885"/>
      <c r="BK1153" s="885"/>
      <c r="BL1153" s="885"/>
      <c r="BM1153" s="885"/>
      <c r="BN1153" s="885"/>
      <c r="BO1153" s="885"/>
      <c r="BP1153" s="885"/>
      <c r="BQ1153" s="885"/>
      <c r="BR1153" s="885"/>
      <c r="BS1153" s="885"/>
      <c r="BT1153" s="885"/>
      <c r="BU1153" s="885"/>
      <c r="BV1153" s="885"/>
      <c r="BW1153" s="885"/>
      <c r="BX1153" s="885"/>
      <c r="BY1153" s="885"/>
      <c r="BZ1153" s="885"/>
      <c r="CA1153" s="885"/>
      <c r="CB1153" s="885"/>
      <c r="CC1153" s="885"/>
      <c r="CD1153" s="885"/>
      <c r="CE1153" s="885"/>
      <c r="CF1153" s="885"/>
      <c r="CG1153" s="885"/>
      <c r="CH1153" s="885"/>
      <c r="CI1153" s="885"/>
      <c r="CJ1153" s="885"/>
      <c r="CK1153" s="885"/>
      <c r="CL1153" s="885"/>
      <c r="CM1153" s="885"/>
      <c r="CN1153" s="885"/>
      <c r="CO1153" s="885"/>
      <c r="CP1153" s="885"/>
      <c r="CQ1153" s="885"/>
      <c r="CR1153" s="885"/>
      <c r="CS1153" s="885"/>
      <c r="CT1153" s="885"/>
      <c r="CU1153" s="885"/>
      <c r="CV1153" s="885"/>
      <c r="CW1153" s="885"/>
      <c r="CX1153" s="885"/>
      <c r="CY1153" s="885"/>
      <c r="CZ1153" s="885"/>
      <c r="DA1153" s="885"/>
      <c r="DB1153" s="885"/>
      <c r="DC1153" s="885"/>
      <c r="DD1153" s="885"/>
      <c r="DE1153" s="885"/>
      <c r="DF1153" s="885"/>
      <c r="DG1153" s="885"/>
      <c r="DH1153" s="885"/>
      <c r="DI1153" s="885"/>
      <c r="DJ1153" s="885"/>
      <c r="DK1153" s="885"/>
      <c r="DL1153" s="885"/>
      <c r="DM1153" s="885"/>
      <c r="DN1153" s="885"/>
      <c r="DO1153" s="885"/>
      <c r="DP1153" s="885"/>
      <c r="DQ1153" s="885"/>
      <c r="DR1153" s="885"/>
      <c r="DS1153" s="885"/>
      <c r="DT1153" s="885"/>
      <c r="DU1153" s="885"/>
      <c r="DV1153" s="885"/>
      <c r="DW1153" s="885"/>
      <c r="DX1153" s="885"/>
      <c r="DY1153" s="885"/>
      <c r="DZ1153" s="885"/>
      <c r="EA1153" s="885"/>
      <c r="EB1153" s="885"/>
      <c r="EC1153" s="885"/>
      <c r="ED1153" s="885"/>
      <c r="EE1153" s="885"/>
      <c r="EF1153" s="885"/>
      <c r="EG1153" s="885"/>
      <c r="EH1153" s="885"/>
      <c r="EI1153" s="885"/>
      <c r="EJ1153" s="885"/>
      <c r="EK1153" s="885"/>
      <c r="EL1153" s="885"/>
      <c r="EM1153" s="885"/>
      <c r="EN1153" s="885"/>
      <c r="EO1153" s="885"/>
      <c r="EP1153" s="885"/>
      <c r="EQ1153" s="885"/>
      <c r="ER1153" s="885"/>
      <c r="ES1153" s="885"/>
      <c r="ET1153" s="885"/>
      <c r="EU1153" s="885"/>
      <c r="EV1153" s="885"/>
      <c r="EW1153" s="885"/>
      <c r="EX1153" s="885"/>
      <c r="EY1153" s="885"/>
      <c r="EZ1153" s="885"/>
      <c r="FA1153" s="885"/>
      <c r="FB1153" s="885"/>
      <c r="FC1153" s="885"/>
      <c r="FD1153" s="885"/>
      <c r="FE1153" s="885"/>
      <c r="FF1153" s="885"/>
      <c r="FG1153" s="885"/>
      <c r="FH1153" s="885"/>
      <c r="FI1153" s="885"/>
      <c r="FJ1153" s="885"/>
      <c r="FK1153" s="885"/>
      <c r="FL1153" s="885"/>
      <c r="FM1153" s="885"/>
      <c r="FN1153" s="885"/>
      <c r="FO1153" s="885"/>
      <c r="FP1153" s="885"/>
      <c r="FQ1153" s="885"/>
      <c r="FR1153" s="885"/>
      <c r="FS1153" s="885"/>
      <c r="FT1153" s="885"/>
      <c r="FU1153" s="885"/>
      <c r="FV1153" s="885"/>
      <c r="FW1153" s="885"/>
      <c r="FX1153" s="885"/>
      <c r="FY1153" s="885"/>
      <c r="FZ1153" s="885"/>
      <c r="GA1153" s="885"/>
      <c r="GB1153" s="885"/>
      <c r="GC1153" s="885"/>
      <c r="GD1153" s="885"/>
      <c r="GE1153" s="885"/>
      <c r="GF1153" s="885"/>
      <c r="GG1153" s="885"/>
      <c r="GH1153" s="885"/>
      <c r="GI1153" s="885"/>
      <c r="GJ1153" s="885"/>
      <c r="GK1153" s="885"/>
      <c r="GL1153" s="885"/>
      <c r="GM1153" s="885"/>
      <c r="GN1153" s="885"/>
      <c r="GO1153" s="885"/>
      <c r="GP1153" s="885"/>
      <c r="GQ1153" s="885"/>
      <c r="GR1153" s="885"/>
      <c r="GS1153" s="885"/>
      <c r="GT1153" s="885"/>
      <c r="GU1153" s="885"/>
      <c r="GV1153" s="885"/>
      <c r="GW1153" s="885"/>
      <c r="GX1153" s="885"/>
      <c r="GY1153" s="885"/>
      <c r="GZ1153" s="885"/>
      <c r="HA1153" s="885"/>
      <c r="HB1153" s="885"/>
      <c r="HC1153" s="885"/>
      <c r="HD1153" s="885"/>
      <c r="HE1153" s="885"/>
      <c r="HF1153" s="885"/>
      <c r="HG1153" s="885"/>
      <c r="HH1153" s="885"/>
      <c r="HI1153" s="885"/>
      <c r="HJ1153" s="885"/>
      <c r="HK1153" s="885"/>
      <c r="HL1153" s="885"/>
      <c r="HM1153" s="885"/>
      <c r="HN1153" s="885"/>
      <c r="HO1153" s="885"/>
      <c r="HP1153" s="885"/>
      <c r="HQ1153" s="885"/>
      <c r="HR1153" s="885"/>
      <c r="HS1153" s="885"/>
      <c r="HT1153" s="885"/>
      <c r="HU1153" s="885"/>
      <c r="HV1153" s="885"/>
      <c r="HW1153" s="885"/>
      <c r="HX1153" s="885"/>
      <c r="HY1153" s="885"/>
      <c r="HZ1153" s="885"/>
      <c r="IA1153" s="885"/>
      <c r="IB1153" s="885"/>
      <c r="IC1153" s="885"/>
      <c r="ID1153" s="885"/>
      <c r="IE1153" s="885"/>
      <c r="IF1153" s="885"/>
      <c r="IG1153" s="885"/>
      <c r="IH1153" s="885"/>
      <c r="II1153" s="885"/>
      <c r="IJ1153" s="885"/>
      <c r="IK1153" s="885"/>
      <c r="IL1153" s="885"/>
      <c r="IM1153" s="885"/>
      <c r="IN1153" s="885"/>
      <c r="IO1153" s="885"/>
      <c r="IP1153" s="885"/>
      <c r="IQ1153" s="885"/>
      <c r="IR1153" s="885"/>
      <c r="IS1153" s="885"/>
      <c r="IT1153" s="885"/>
      <c r="IU1153" s="885"/>
      <c r="IV1153" s="885"/>
      <c r="IW1153" s="885"/>
      <c r="IX1153" s="885"/>
    </row>
    <row r="1154" spans="1:258" x14ac:dyDescent="0.25">
      <c r="A1154" s="125">
        <f t="shared" si="128"/>
        <v>1114</v>
      </c>
      <c r="B1154" s="885"/>
      <c r="C1154" s="134" t="s">
        <v>10705</v>
      </c>
      <c r="D1154" s="924">
        <v>0</v>
      </c>
      <c r="E1154" s="924">
        <f t="shared" si="130"/>
        <v>0</v>
      </c>
      <c r="F1154" s="129">
        <v>500</v>
      </c>
      <c r="G1154" s="122" t="s">
        <v>1963</v>
      </c>
      <c r="H1154" s="885"/>
      <c r="I1154" s="885"/>
      <c r="J1154" s="885"/>
      <c r="K1154" s="885"/>
      <c r="L1154" s="885"/>
      <c r="M1154" s="885"/>
      <c r="N1154" s="885"/>
      <c r="O1154" s="885"/>
      <c r="P1154" s="885"/>
      <c r="Q1154" s="885"/>
      <c r="R1154" s="885"/>
      <c r="S1154" s="885"/>
      <c r="T1154" s="885"/>
      <c r="U1154" s="885"/>
      <c r="V1154" s="885"/>
      <c r="W1154" s="885"/>
      <c r="X1154" s="885"/>
      <c r="Y1154" s="885"/>
      <c r="Z1154" s="885"/>
      <c r="AA1154" s="885"/>
      <c r="AB1154" s="885"/>
      <c r="AC1154" s="885"/>
      <c r="AD1154" s="885"/>
      <c r="AE1154" s="885"/>
      <c r="AF1154" s="885"/>
      <c r="AG1154" s="885"/>
      <c r="AH1154" s="885"/>
      <c r="AI1154" s="885"/>
      <c r="AJ1154" s="885"/>
      <c r="AK1154" s="885"/>
      <c r="AL1154" s="885"/>
      <c r="AM1154" s="885"/>
      <c r="AN1154" s="885"/>
      <c r="AO1154" s="885"/>
      <c r="AP1154" s="885"/>
      <c r="AQ1154" s="885"/>
      <c r="AR1154" s="885"/>
      <c r="AS1154" s="885"/>
      <c r="AT1154" s="885"/>
      <c r="AU1154" s="885"/>
      <c r="AV1154" s="885"/>
      <c r="AW1154" s="885"/>
      <c r="AX1154" s="885"/>
      <c r="AY1154" s="885"/>
      <c r="AZ1154" s="885"/>
      <c r="BA1154" s="885"/>
      <c r="BB1154" s="885"/>
      <c r="BC1154" s="885"/>
      <c r="BD1154" s="885"/>
      <c r="BE1154" s="885"/>
      <c r="BF1154" s="885"/>
      <c r="BG1154" s="885"/>
      <c r="BH1154" s="885"/>
      <c r="BI1154" s="885"/>
      <c r="BJ1154" s="885"/>
      <c r="BK1154" s="885"/>
      <c r="BL1154" s="885"/>
      <c r="BM1154" s="885"/>
      <c r="BN1154" s="885"/>
      <c r="BO1154" s="885"/>
      <c r="BP1154" s="885"/>
      <c r="BQ1154" s="885"/>
      <c r="BR1154" s="885"/>
      <c r="BS1154" s="885"/>
      <c r="BT1154" s="885"/>
      <c r="BU1154" s="885"/>
      <c r="BV1154" s="885"/>
      <c r="BW1154" s="885"/>
      <c r="BX1154" s="885"/>
      <c r="BY1154" s="885"/>
      <c r="BZ1154" s="885"/>
      <c r="CA1154" s="885"/>
      <c r="CB1154" s="885"/>
      <c r="CC1154" s="885"/>
      <c r="CD1154" s="885"/>
      <c r="CE1154" s="885"/>
      <c r="CF1154" s="885"/>
      <c r="CG1154" s="885"/>
      <c r="CH1154" s="885"/>
      <c r="CI1154" s="885"/>
      <c r="CJ1154" s="885"/>
      <c r="CK1154" s="885"/>
      <c r="CL1154" s="885"/>
      <c r="CM1154" s="885"/>
      <c r="CN1154" s="885"/>
      <c r="CO1154" s="885"/>
      <c r="CP1154" s="885"/>
      <c r="CQ1154" s="885"/>
      <c r="CR1154" s="885"/>
      <c r="CS1154" s="885"/>
      <c r="CT1154" s="885"/>
      <c r="CU1154" s="885"/>
      <c r="CV1154" s="885"/>
      <c r="CW1154" s="885"/>
      <c r="CX1154" s="885"/>
      <c r="CY1154" s="885"/>
      <c r="CZ1154" s="885"/>
      <c r="DA1154" s="885"/>
      <c r="DB1154" s="885"/>
      <c r="DC1154" s="885"/>
      <c r="DD1154" s="885"/>
      <c r="DE1154" s="885"/>
      <c r="DF1154" s="885"/>
      <c r="DG1154" s="885"/>
      <c r="DH1154" s="885"/>
      <c r="DI1154" s="885"/>
      <c r="DJ1154" s="885"/>
      <c r="DK1154" s="885"/>
      <c r="DL1154" s="885"/>
      <c r="DM1154" s="885"/>
      <c r="DN1154" s="885"/>
      <c r="DO1154" s="885"/>
      <c r="DP1154" s="885"/>
      <c r="DQ1154" s="885"/>
      <c r="DR1154" s="885"/>
      <c r="DS1154" s="885"/>
      <c r="DT1154" s="885"/>
      <c r="DU1154" s="885"/>
      <c r="DV1154" s="885"/>
      <c r="DW1154" s="885"/>
      <c r="DX1154" s="885"/>
      <c r="DY1154" s="885"/>
      <c r="DZ1154" s="885"/>
      <c r="EA1154" s="885"/>
      <c r="EB1154" s="885"/>
      <c r="EC1154" s="885"/>
      <c r="ED1154" s="885"/>
      <c r="EE1154" s="885"/>
      <c r="EF1154" s="885"/>
      <c r="EG1154" s="885"/>
      <c r="EH1154" s="885"/>
      <c r="EI1154" s="885"/>
      <c r="EJ1154" s="885"/>
      <c r="EK1154" s="885"/>
      <c r="EL1154" s="885"/>
      <c r="EM1154" s="885"/>
      <c r="EN1154" s="885"/>
      <c r="EO1154" s="885"/>
      <c r="EP1154" s="885"/>
      <c r="EQ1154" s="885"/>
      <c r="ER1154" s="885"/>
      <c r="ES1154" s="885"/>
      <c r="ET1154" s="885"/>
      <c r="EU1154" s="885"/>
      <c r="EV1154" s="885"/>
      <c r="EW1154" s="885"/>
      <c r="EX1154" s="885"/>
      <c r="EY1154" s="885"/>
      <c r="EZ1154" s="885"/>
      <c r="FA1154" s="885"/>
      <c r="FB1154" s="885"/>
      <c r="FC1154" s="885"/>
      <c r="FD1154" s="885"/>
      <c r="FE1154" s="885"/>
      <c r="FF1154" s="885"/>
      <c r="FG1154" s="885"/>
      <c r="FH1154" s="885"/>
      <c r="FI1154" s="885"/>
      <c r="FJ1154" s="885"/>
      <c r="FK1154" s="885"/>
      <c r="FL1154" s="885"/>
      <c r="FM1154" s="885"/>
      <c r="FN1154" s="885"/>
      <c r="FO1154" s="885"/>
      <c r="FP1154" s="885"/>
      <c r="FQ1154" s="885"/>
      <c r="FR1154" s="885"/>
      <c r="FS1154" s="885"/>
      <c r="FT1154" s="885"/>
      <c r="FU1154" s="885"/>
      <c r="FV1154" s="885"/>
      <c r="FW1154" s="885"/>
      <c r="FX1154" s="885"/>
      <c r="FY1154" s="885"/>
      <c r="FZ1154" s="885"/>
      <c r="GA1154" s="885"/>
      <c r="GB1154" s="885"/>
      <c r="GC1154" s="885"/>
      <c r="GD1154" s="885"/>
      <c r="GE1154" s="885"/>
      <c r="GF1154" s="885"/>
      <c r="GG1154" s="885"/>
      <c r="GH1154" s="885"/>
      <c r="GI1154" s="885"/>
      <c r="GJ1154" s="885"/>
      <c r="GK1154" s="885"/>
      <c r="GL1154" s="885"/>
      <c r="GM1154" s="885"/>
      <c r="GN1154" s="885"/>
      <c r="GO1154" s="885"/>
      <c r="GP1154" s="885"/>
      <c r="GQ1154" s="885"/>
      <c r="GR1154" s="885"/>
      <c r="GS1154" s="885"/>
      <c r="GT1154" s="885"/>
      <c r="GU1154" s="885"/>
      <c r="GV1154" s="885"/>
      <c r="GW1154" s="885"/>
      <c r="GX1154" s="885"/>
      <c r="GY1154" s="885"/>
      <c r="GZ1154" s="885"/>
      <c r="HA1154" s="885"/>
      <c r="HB1154" s="885"/>
      <c r="HC1154" s="885"/>
      <c r="HD1154" s="885"/>
      <c r="HE1154" s="885"/>
      <c r="HF1154" s="885"/>
      <c r="HG1154" s="885"/>
      <c r="HH1154" s="885"/>
      <c r="HI1154" s="885"/>
      <c r="HJ1154" s="885"/>
      <c r="HK1154" s="885"/>
      <c r="HL1154" s="885"/>
      <c r="HM1154" s="885"/>
      <c r="HN1154" s="885"/>
      <c r="HO1154" s="885"/>
      <c r="HP1154" s="885"/>
      <c r="HQ1154" s="885"/>
      <c r="HR1154" s="885"/>
      <c r="HS1154" s="885"/>
      <c r="HT1154" s="885"/>
      <c r="HU1154" s="885"/>
      <c r="HV1154" s="885"/>
      <c r="HW1154" s="885"/>
      <c r="HX1154" s="885"/>
      <c r="HY1154" s="885"/>
      <c r="HZ1154" s="885"/>
      <c r="IA1154" s="885"/>
      <c r="IB1154" s="885"/>
      <c r="IC1154" s="885"/>
      <c r="ID1154" s="885"/>
      <c r="IE1154" s="885"/>
      <c r="IF1154" s="885"/>
      <c r="IG1154" s="885"/>
      <c r="IH1154" s="885"/>
      <c r="II1154" s="885"/>
      <c r="IJ1154" s="885"/>
      <c r="IK1154" s="885"/>
      <c r="IL1154" s="885"/>
      <c r="IM1154" s="885"/>
      <c r="IN1154" s="885"/>
      <c r="IO1154" s="885"/>
      <c r="IP1154" s="885"/>
      <c r="IQ1154" s="885"/>
      <c r="IR1154" s="885"/>
      <c r="IS1154" s="885"/>
      <c r="IT1154" s="885"/>
      <c r="IU1154" s="885"/>
      <c r="IV1154" s="885"/>
      <c r="IW1154" s="885"/>
      <c r="IX1154" s="885"/>
    </row>
    <row r="1155" spans="1:258" x14ac:dyDescent="0.25">
      <c r="A1155" s="125">
        <f t="shared" si="128"/>
        <v>1115</v>
      </c>
      <c r="B1155" s="885"/>
      <c r="C1155" s="134" t="s">
        <v>10706</v>
      </c>
      <c r="D1155" s="924">
        <v>0</v>
      </c>
      <c r="E1155" s="924">
        <f t="shared" si="130"/>
        <v>0</v>
      </c>
      <c r="F1155" s="129">
        <v>500</v>
      </c>
      <c r="G1155" s="122" t="s">
        <v>1963</v>
      </c>
      <c r="H1155" s="885"/>
      <c r="I1155" s="885"/>
      <c r="J1155" s="885"/>
      <c r="K1155" s="885"/>
      <c r="L1155" s="885"/>
      <c r="M1155" s="885"/>
      <c r="N1155" s="885"/>
      <c r="O1155" s="885"/>
      <c r="P1155" s="885"/>
      <c r="Q1155" s="885"/>
      <c r="R1155" s="885"/>
      <c r="S1155" s="885"/>
      <c r="T1155" s="885"/>
      <c r="U1155" s="885"/>
      <c r="V1155" s="885"/>
      <c r="W1155" s="885"/>
      <c r="X1155" s="885"/>
      <c r="Y1155" s="885"/>
      <c r="Z1155" s="885"/>
      <c r="AA1155" s="885"/>
      <c r="AB1155" s="885"/>
      <c r="AC1155" s="885"/>
      <c r="AD1155" s="885"/>
      <c r="AE1155" s="885"/>
      <c r="AF1155" s="885"/>
      <c r="AG1155" s="885"/>
      <c r="AH1155" s="885"/>
      <c r="AI1155" s="885"/>
      <c r="AJ1155" s="885"/>
      <c r="AK1155" s="885"/>
      <c r="AL1155" s="885"/>
      <c r="AM1155" s="885"/>
      <c r="AN1155" s="885"/>
      <c r="AO1155" s="885"/>
      <c r="AP1155" s="885"/>
      <c r="AQ1155" s="885"/>
      <c r="AR1155" s="885"/>
      <c r="AS1155" s="885"/>
      <c r="AT1155" s="885"/>
      <c r="AU1155" s="885"/>
      <c r="AV1155" s="885"/>
      <c r="AW1155" s="885"/>
      <c r="AX1155" s="885"/>
      <c r="AY1155" s="885"/>
      <c r="AZ1155" s="885"/>
      <c r="BA1155" s="885"/>
      <c r="BB1155" s="885"/>
      <c r="BC1155" s="885"/>
      <c r="BD1155" s="885"/>
      <c r="BE1155" s="885"/>
      <c r="BF1155" s="885"/>
      <c r="BG1155" s="885"/>
      <c r="BH1155" s="885"/>
      <c r="BI1155" s="885"/>
      <c r="BJ1155" s="885"/>
      <c r="BK1155" s="885"/>
      <c r="BL1155" s="885"/>
      <c r="BM1155" s="885"/>
      <c r="BN1155" s="885"/>
      <c r="BO1155" s="885"/>
      <c r="BP1155" s="885"/>
      <c r="BQ1155" s="885"/>
      <c r="BR1155" s="885"/>
      <c r="BS1155" s="885"/>
      <c r="BT1155" s="885"/>
      <c r="BU1155" s="885"/>
      <c r="BV1155" s="885"/>
      <c r="BW1155" s="885"/>
      <c r="BX1155" s="885"/>
      <c r="BY1155" s="885"/>
      <c r="BZ1155" s="885"/>
      <c r="CA1155" s="885"/>
      <c r="CB1155" s="885"/>
      <c r="CC1155" s="885"/>
      <c r="CD1155" s="885"/>
      <c r="CE1155" s="885"/>
      <c r="CF1155" s="885"/>
      <c r="CG1155" s="885"/>
      <c r="CH1155" s="885"/>
      <c r="CI1155" s="885"/>
      <c r="CJ1155" s="885"/>
      <c r="CK1155" s="885"/>
      <c r="CL1155" s="885"/>
      <c r="CM1155" s="885"/>
      <c r="CN1155" s="885"/>
      <c r="CO1155" s="885"/>
      <c r="CP1155" s="885"/>
      <c r="CQ1155" s="885"/>
      <c r="CR1155" s="885"/>
      <c r="CS1155" s="885"/>
      <c r="CT1155" s="885"/>
      <c r="CU1155" s="885"/>
      <c r="CV1155" s="885"/>
      <c r="CW1155" s="885"/>
      <c r="CX1155" s="885"/>
      <c r="CY1155" s="885"/>
      <c r="CZ1155" s="885"/>
      <c r="DA1155" s="885"/>
      <c r="DB1155" s="885"/>
      <c r="DC1155" s="885"/>
      <c r="DD1155" s="885"/>
      <c r="DE1155" s="885"/>
      <c r="DF1155" s="885"/>
      <c r="DG1155" s="885"/>
      <c r="DH1155" s="885"/>
      <c r="DI1155" s="885"/>
      <c r="DJ1155" s="885"/>
      <c r="DK1155" s="885"/>
      <c r="DL1155" s="885"/>
      <c r="DM1155" s="885"/>
      <c r="DN1155" s="885"/>
      <c r="DO1155" s="885"/>
      <c r="DP1155" s="885"/>
      <c r="DQ1155" s="885"/>
      <c r="DR1155" s="885"/>
      <c r="DS1155" s="885"/>
      <c r="DT1155" s="885"/>
      <c r="DU1155" s="885"/>
      <c r="DV1155" s="885"/>
      <c r="DW1155" s="885"/>
      <c r="DX1155" s="885"/>
      <c r="DY1155" s="885"/>
      <c r="DZ1155" s="885"/>
      <c r="EA1155" s="885"/>
      <c r="EB1155" s="885"/>
      <c r="EC1155" s="885"/>
      <c r="ED1155" s="885"/>
      <c r="EE1155" s="885"/>
      <c r="EF1155" s="885"/>
      <c r="EG1155" s="885"/>
      <c r="EH1155" s="885"/>
      <c r="EI1155" s="885"/>
      <c r="EJ1155" s="885"/>
      <c r="EK1155" s="885"/>
      <c r="EL1155" s="885"/>
      <c r="EM1155" s="885"/>
      <c r="EN1155" s="885"/>
      <c r="EO1155" s="885"/>
      <c r="EP1155" s="885"/>
      <c r="EQ1155" s="885"/>
      <c r="ER1155" s="885"/>
      <c r="ES1155" s="885"/>
      <c r="ET1155" s="885"/>
      <c r="EU1155" s="885"/>
      <c r="EV1155" s="885"/>
      <c r="EW1155" s="885"/>
      <c r="EX1155" s="885"/>
      <c r="EY1155" s="885"/>
      <c r="EZ1155" s="885"/>
      <c r="FA1155" s="885"/>
      <c r="FB1155" s="885"/>
      <c r="FC1155" s="885"/>
      <c r="FD1155" s="885"/>
      <c r="FE1155" s="885"/>
      <c r="FF1155" s="885"/>
      <c r="FG1155" s="885"/>
      <c r="FH1155" s="885"/>
      <c r="FI1155" s="885"/>
      <c r="FJ1155" s="885"/>
      <c r="FK1155" s="885"/>
      <c r="FL1155" s="885"/>
      <c r="FM1155" s="885"/>
      <c r="FN1155" s="885"/>
      <c r="FO1155" s="885"/>
      <c r="FP1155" s="885"/>
      <c r="FQ1155" s="885"/>
      <c r="FR1155" s="885"/>
      <c r="FS1155" s="885"/>
      <c r="FT1155" s="885"/>
      <c r="FU1155" s="885"/>
      <c r="FV1155" s="885"/>
      <c r="FW1155" s="885"/>
      <c r="FX1155" s="885"/>
      <c r="FY1155" s="885"/>
      <c r="FZ1155" s="885"/>
      <c r="GA1155" s="885"/>
      <c r="GB1155" s="885"/>
      <c r="GC1155" s="885"/>
      <c r="GD1155" s="885"/>
      <c r="GE1155" s="885"/>
      <c r="GF1155" s="885"/>
      <c r="GG1155" s="885"/>
      <c r="GH1155" s="885"/>
      <c r="GI1155" s="885"/>
      <c r="GJ1155" s="885"/>
      <c r="GK1155" s="885"/>
      <c r="GL1155" s="885"/>
      <c r="GM1155" s="885"/>
      <c r="GN1155" s="885"/>
      <c r="GO1155" s="885"/>
      <c r="GP1155" s="885"/>
      <c r="GQ1155" s="885"/>
      <c r="GR1155" s="885"/>
      <c r="GS1155" s="885"/>
      <c r="GT1155" s="885"/>
      <c r="GU1155" s="885"/>
      <c r="GV1155" s="885"/>
      <c r="GW1155" s="885"/>
      <c r="GX1155" s="885"/>
      <c r="GY1155" s="885"/>
      <c r="GZ1155" s="885"/>
      <c r="HA1155" s="885"/>
      <c r="HB1155" s="885"/>
      <c r="HC1155" s="885"/>
      <c r="HD1155" s="885"/>
      <c r="HE1155" s="885"/>
      <c r="HF1155" s="885"/>
      <c r="HG1155" s="885"/>
      <c r="HH1155" s="885"/>
      <c r="HI1155" s="885"/>
      <c r="HJ1155" s="885"/>
      <c r="HK1155" s="885"/>
      <c r="HL1155" s="885"/>
      <c r="HM1155" s="885"/>
      <c r="HN1155" s="885"/>
      <c r="HO1155" s="885"/>
      <c r="HP1155" s="885"/>
      <c r="HQ1155" s="885"/>
      <c r="HR1155" s="885"/>
      <c r="HS1155" s="885"/>
      <c r="HT1155" s="885"/>
      <c r="HU1155" s="885"/>
      <c r="HV1155" s="885"/>
      <c r="HW1155" s="885"/>
      <c r="HX1155" s="885"/>
      <c r="HY1155" s="885"/>
      <c r="HZ1155" s="885"/>
      <c r="IA1155" s="885"/>
      <c r="IB1155" s="885"/>
      <c r="IC1155" s="885"/>
      <c r="ID1155" s="885"/>
      <c r="IE1155" s="885"/>
      <c r="IF1155" s="885"/>
      <c r="IG1155" s="885"/>
      <c r="IH1155" s="885"/>
      <c r="II1155" s="885"/>
      <c r="IJ1155" s="885"/>
      <c r="IK1155" s="885"/>
      <c r="IL1155" s="885"/>
      <c r="IM1155" s="885"/>
      <c r="IN1155" s="885"/>
      <c r="IO1155" s="885"/>
      <c r="IP1155" s="885"/>
      <c r="IQ1155" s="885"/>
      <c r="IR1155" s="885"/>
      <c r="IS1155" s="885"/>
      <c r="IT1155" s="885"/>
      <c r="IU1155" s="885"/>
      <c r="IV1155" s="885"/>
      <c r="IW1155" s="885"/>
      <c r="IX1155" s="885"/>
    </row>
    <row r="1156" spans="1:258" x14ac:dyDescent="0.25">
      <c r="A1156" s="125">
        <f t="shared" si="128"/>
        <v>1116</v>
      </c>
      <c r="B1156" s="885"/>
      <c r="C1156" s="134" t="s">
        <v>455</v>
      </c>
      <c r="D1156" s="924">
        <v>2119.9</v>
      </c>
      <c r="E1156" s="924">
        <f t="shared" si="130"/>
        <v>3179.8500000000004</v>
      </c>
      <c r="F1156" s="129">
        <f>E1156</f>
        <v>3179.8500000000004</v>
      </c>
      <c r="G1156" s="122" t="s">
        <v>1963</v>
      </c>
      <c r="H1156" s="885"/>
      <c r="I1156" s="885"/>
      <c r="J1156" s="885"/>
      <c r="K1156" s="885"/>
      <c r="L1156" s="885"/>
      <c r="M1156" s="885"/>
      <c r="N1156" s="885"/>
      <c r="O1156" s="885"/>
      <c r="P1156" s="885"/>
      <c r="Q1156" s="885"/>
      <c r="R1156" s="885"/>
      <c r="S1156" s="885"/>
      <c r="T1156" s="885"/>
      <c r="U1156" s="885"/>
      <c r="V1156" s="885"/>
      <c r="W1156" s="885"/>
      <c r="X1156" s="885"/>
      <c r="Y1156" s="885"/>
      <c r="Z1156" s="885"/>
      <c r="AA1156" s="885"/>
      <c r="AB1156" s="885"/>
      <c r="AC1156" s="885"/>
      <c r="AD1156" s="885"/>
      <c r="AE1156" s="885"/>
      <c r="AF1156" s="885"/>
      <c r="AG1156" s="885"/>
      <c r="AH1156" s="885"/>
      <c r="AI1156" s="885"/>
      <c r="AJ1156" s="885"/>
      <c r="AK1156" s="885"/>
      <c r="AL1156" s="885"/>
      <c r="AM1156" s="885"/>
      <c r="AN1156" s="885"/>
      <c r="AO1156" s="885"/>
      <c r="AP1156" s="885"/>
      <c r="AQ1156" s="885"/>
      <c r="AR1156" s="885"/>
      <c r="AS1156" s="885"/>
      <c r="AT1156" s="885"/>
      <c r="AU1156" s="885"/>
      <c r="AV1156" s="885"/>
      <c r="AW1156" s="885"/>
      <c r="AX1156" s="885"/>
      <c r="AY1156" s="885"/>
      <c r="AZ1156" s="885"/>
      <c r="BA1156" s="885"/>
      <c r="BB1156" s="885"/>
      <c r="BC1156" s="885"/>
      <c r="BD1156" s="885"/>
      <c r="BE1156" s="885"/>
      <c r="BF1156" s="885"/>
      <c r="BG1156" s="885"/>
      <c r="BH1156" s="885"/>
      <c r="BI1156" s="885"/>
      <c r="BJ1156" s="885"/>
      <c r="BK1156" s="885"/>
      <c r="BL1156" s="885"/>
      <c r="BM1156" s="885"/>
      <c r="BN1156" s="885"/>
      <c r="BO1156" s="885"/>
      <c r="BP1156" s="885"/>
      <c r="BQ1156" s="885"/>
      <c r="BR1156" s="885"/>
      <c r="BS1156" s="885"/>
      <c r="BT1156" s="885"/>
      <c r="BU1156" s="885"/>
      <c r="BV1156" s="885"/>
      <c r="BW1156" s="885"/>
      <c r="BX1156" s="885"/>
      <c r="BY1156" s="885"/>
      <c r="BZ1156" s="885"/>
      <c r="CA1156" s="885"/>
      <c r="CB1156" s="885"/>
      <c r="CC1156" s="885"/>
      <c r="CD1156" s="885"/>
      <c r="CE1156" s="885"/>
      <c r="CF1156" s="885"/>
      <c r="CG1156" s="885"/>
      <c r="CH1156" s="885"/>
      <c r="CI1156" s="885"/>
      <c r="CJ1156" s="885"/>
      <c r="CK1156" s="885"/>
      <c r="CL1156" s="885"/>
      <c r="CM1156" s="885"/>
      <c r="CN1156" s="885"/>
      <c r="CO1156" s="885"/>
      <c r="CP1156" s="885"/>
      <c r="CQ1156" s="885"/>
      <c r="CR1156" s="885"/>
      <c r="CS1156" s="885"/>
      <c r="CT1156" s="885"/>
      <c r="CU1156" s="885"/>
      <c r="CV1156" s="885"/>
      <c r="CW1156" s="885"/>
      <c r="CX1156" s="885"/>
      <c r="CY1156" s="885"/>
      <c r="CZ1156" s="885"/>
      <c r="DA1156" s="885"/>
      <c r="DB1156" s="885"/>
      <c r="DC1156" s="885"/>
      <c r="DD1156" s="885"/>
      <c r="DE1156" s="885"/>
      <c r="DF1156" s="885"/>
      <c r="DG1156" s="885"/>
      <c r="DH1156" s="885"/>
      <c r="DI1156" s="885"/>
      <c r="DJ1156" s="885"/>
      <c r="DK1156" s="885"/>
      <c r="DL1156" s="885"/>
      <c r="DM1156" s="885"/>
      <c r="DN1156" s="885"/>
      <c r="DO1156" s="885"/>
      <c r="DP1156" s="885"/>
      <c r="DQ1156" s="885"/>
      <c r="DR1156" s="885"/>
      <c r="DS1156" s="885"/>
      <c r="DT1156" s="885"/>
      <c r="DU1156" s="885"/>
      <c r="DV1156" s="885"/>
      <c r="DW1156" s="885"/>
      <c r="DX1156" s="885"/>
      <c r="DY1156" s="885"/>
      <c r="DZ1156" s="885"/>
      <c r="EA1156" s="885"/>
      <c r="EB1156" s="885"/>
      <c r="EC1156" s="885"/>
      <c r="ED1156" s="885"/>
      <c r="EE1156" s="885"/>
      <c r="EF1156" s="885"/>
      <c r="EG1156" s="885"/>
      <c r="EH1156" s="885"/>
      <c r="EI1156" s="885"/>
      <c r="EJ1156" s="885"/>
      <c r="EK1156" s="885"/>
      <c r="EL1156" s="885"/>
      <c r="EM1156" s="885"/>
      <c r="EN1156" s="885"/>
      <c r="EO1156" s="885"/>
      <c r="EP1156" s="885"/>
      <c r="EQ1156" s="885"/>
      <c r="ER1156" s="885"/>
      <c r="ES1156" s="885"/>
      <c r="ET1156" s="885"/>
      <c r="EU1156" s="885"/>
      <c r="EV1156" s="885"/>
      <c r="EW1156" s="885"/>
      <c r="EX1156" s="885"/>
      <c r="EY1156" s="885"/>
      <c r="EZ1156" s="885"/>
      <c r="FA1156" s="885"/>
      <c r="FB1156" s="885"/>
      <c r="FC1156" s="885"/>
      <c r="FD1156" s="885"/>
      <c r="FE1156" s="885"/>
      <c r="FF1156" s="885"/>
      <c r="FG1156" s="885"/>
      <c r="FH1156" s="885"/>
      <c r="FI1156" s="885"/>
      <c r="FJ1156" s="885"/>
      <c r="FK1156" s="885"/>
      <c r="FL1156" s="885"/>
      <c r="FM1156" s="885"/>
      <c r="FN1156" s="885"/>
      <c r="FO1156" s="885"/>
      <c r="FP1156" s="885"/>
      <c r="FQ1156" s="885"/>
      <c r="FR1156" s="885"/>
      <c r="FS1156" s="885"/>
      <c r="FT1156" s="885"/>
      <c r="FU1156" s="885"/>
      <c r="FV1156" s="885"/>
      <c r="FW1156" s="885"/>
      <c r="FX1156" s="885"/>
      <c r="FY1156" s="885"/>
      <c r="FZ1156" s="885"/>
      <c r="GA1156" s="885"/>
      <c r="GB1156" s="885"/>
      <c r="GC1156" s="885"/>
      <c r="GD1156" s="885"/>
      <c r="GE1156" s="885"/>
      <c r="GF1156" s="885"/>
      <c r="GG1156" s="885"/>
      <c r="GH1156" s="885"/>
      <c r="GI1156" s="885"/>
      <c r="GJ1156" s="885"/>
      <c r="GK1156" s="885"/>
      <c r="GL1156" s="885"/>
      <c r="GM1156" s="885"/>
      <c r="GN1156" s="885"/>
      <c r="GO1156" s="885"/>
      <c r="GP1156" s="885"/>
      <c r="GQ1156" s="885"/>
      <c r="GR1156" s="885"/>
      <c r="GS1156" s="885"/>
      <c r="GT1156" s="885"/>
      <c r="GU1156" s="885"/>
      <c r="GV1156" s="885"/>
      <c r="GW1156" s="885"/>
      <c r="GX1156" s="885"/>
      <c r="GY1156" s="885"/>
      <c r="GZ1156" s="885"/>
      <c r="HA1156" s="885"/>
      <c r="HB1156" s="885"/>
      <c r="HC1156" s="885"/>
      <c r="HD1156" s="885"/>
      <c r="HE1156" s="885"/>
      <c r="HF1156" s="885"/>
      <c r="HG1156" s="885"/>
      <c r="HH1156" s="885"/>
      <c r="HI1156" s="885"/>
      <c r="HJ1156" s="885"/>
      <c r="HK1156" s="885"/>
      <c r="HL1156" s="885"/>
      <c r="HM1156" s="885"/>
      <c r="HN1156" s="885"/>
      <c r="HO1156" s="885"/>
      <c r="HP1156" s="885"/>
      <c r="HQ1156" s="885"/>
      <c r="HR1156" s="885"/>
      <c r="HS1156" s="885"/>
      <c r="HT1156" s="885"/>
      <c r="HU1156" s="885"/>
      <c r="HV1156" s="885"/>
      <c r="HW1156" s="885"/>
      <c r="HX1156" s="885"/>
      <c r="HY1156" s="885"/>
      <c r="HZ1156" s="885"/>
      <c r="IA1156" s="885"/>
      <c r="IB1156" s="885"/>
      <c r="IC1156" s="885"/>
      <c r="ID1156" s="885"/>
      <c r="IE1156" s="885"/>
      <c r="IF1156" s="885"/>
      <c r="IG1156" s="885"/>
      <c r="IH1156" s="885"/>
      <c r="II1156" s="885"/>
      <c r="IJ1156" s="885"/>
      <c r="IK1156" s="885"/>
      <c r="IL1156" s="885"/>
      <c r="IM1156" s="885"/>
      <c r="IN1156" s="885"/>
      <c r="IO1156" s="885"/>
      <c r="IP1156" s="885"/>
      <c r="IQ1156" s="885"/>
      <c r="IR1156" s="885"/>
      <c r="IS1156" s="885"/>
      <c r="IT1156" s="885"/>
      <c r="IU1156" s="885"/>
      <c r="IV1156" s="885"/>
      <c r="IW1156" s="885"/>
      <c r="IX1156" s="885"/>
    </row>
    <row r="1157" spans="1:258" x14ac:dyDescent="0.25">
      <c r="A1157" s="125">
        <f t="shared" si="128"/>
        <v>1117</v>
      </c>
      <c r="B1157" s="885"/>
      <c r="C1157" s="232" t="s">
        <v>1956</v>
      </c>
      <c r="D1157" s="915"/>
      <c r="E1157" s="915"/>
      <c r="F1157" s="129"/>
      <c r="G1157" s="885"/>
      <c r="H1157" s="885"/>
      <c r="I1157" s="885"/>
      <c r="J1157" s="885"/>
      <c r="K1157" s="885"/>
      <c r="L1157" s="885"/>
      <c r="M1157" s="885"/>
      <c r="N1157" s="885"/>
      <c r="O1157" s="885"/>
      <c r="P1157" s="885"/>
      <c r="Q1157" s="885"/>
      <c r="R1157" s="885"/>
      <c r="S1157" s="885"/>
      <c r="T1157" s="885"/>
      <c r="U1157" s="885"/>
      <c r="V1157" s="885"/>
      <c r="W1157" s="885"/>
      <c r="X1157" s="885"/>
      <c r="Y1157" s="885"/>
      <c r="Z1157" s="885"/>
      <c r="AA1157" s="885"/>
      <c r="AB1157" s="885"/>
      <c r="AC1157" s="885"/>
      <c r="AD1157" s="885"/>
      <c r="AE1157" s="885"/>
      <c r="AF1157" s="885"/>
      <c r="AG1157" s="885"/>
      <c r="AH1157" s="885"/>
      <c r="AI1157" s="885"/>
      <c r="AJ1157" s="885"/>
      <c r="AK1157" s="885"/>
      <c r="AL1157" s="885"/>
      <c r="AM1157" s="885"/>
      <c r="AN1157" s="885"/>
      <c r="AO1157" s="885"/>
      <c r="AP1157" s="885"/>
      <c r="AQ1157" s="885"/>
      <c r="AR1157" s="885"/>
      <c r="AS1157" s="885"/>
      <c r="AT1157" s="885"/>
      <c r="AU1157" s="885"/>
      <c r="AV1157" s="885"/>
      <c r="AW1157" s="885"/>
      <c r="AX1157" s="885"/>
      <c r="AY1157" s="885"/>
      <c r="AZ1157" s="885"/>
      <c r="BA1157" s="885"/>
      <c r="BB1157" s="885"/>
      <c r="BC1157" s="885"/>
      <c r="BD1157" s="885"/>
      <c r="BE1157" s="885"/>
      <c r="BF1157" s="885"/>
      <c r="BG1157" s="885"/>
      <c r="BH1157" s="885"/>
      <c r="BI1157" s="885"/>
      <c r="BJ1157" s="885"/>
      <c r="BK1157" s="885"/>
      <c r="BL1157" s="885"/>
      <c r="BM1157" s="885"/>
      <c r="BN1157" s="885"/>
      <c r="BO1157" s="885"/>
      <c r="BP1157" s="885"/>
      <c r="BQ1157" s="885"/>
      <c r="BR1157" s="885"/>
      <c r="BS1157" s="885"/>
      <c r="BT1157" s="885"/>
      <c r="BU1157" s="885"/>
      <c r="BV1157" s="885"/>
      <c r="BW1157" s="885"/>
      <c r="BX1157" s="885"/>
      <c r="BY1157" s="885"/>
      <c r="BZ1157" s="885"/>
      <c r="CA1157" s="885"/>
      <c r="CB1157" s="885"/>
      <c r="CC1157" s="885"/>
      <c r="CD1157" s="885"/>
      <c r="CE1157" s="885"/>
      <c r="CF1157" s="885"/>
      <c r="CG1157" s="885"/>
      <c r="CH1157" s="885"/>
      <c r="CI1157" s="885"/>
      <c r="CJ1157" s="885"/>
      <c r="CK1157" s="885"/>
      <c r="CL1157" s="885"/>
      <c r="CM1157" s="885"/>
      <c r="CN1157" s="885"/>
      <c r="CO1157" s="885"/>
      <c r="CP1157" s="885"/>
      <c r="CQ1157" s="885"/>
      <c r="CR1157" s="885"/>
      <c r="CS1157" s="885"/>
      <c r="CT1157" s="885"/>
      <c r="CU1157" s="885"/>
      <c r="CV1157" s="885"/>
      <c r="CW1157" s="885"/>
      <c r="CX1157" s="885"/>
      <c r="CY1157" s="885"/>
      <c r="CZ1157" s="885"/>
      <c r="DA1157" s="885"/>
      <c r="DB1157" s="885"/>
      <c r="DC1157" s="885"/>
      <c r="DD1157" s="885"/>
      <c r="DE1157" s="885"/>
      <c r="DF1157" s="885"/>
      <c r="DG1157" s="885"/>
      <c r="DH1157" s="885"/>
      <c r="DI1157" s="885"/>
      <c r="DJ1157" s="885"/>
      <c r="DK1157" s="885"/>
      <c r="DL1157" s="885"/>
      <c r="DM1157" s="885"/>
      <c r="DN1157" s="885"/>
      <c r="DO1157" s="885"/>
      <c r="DP1157" s="885"/>
      <c r="DQ1157" s="885"/>
      <c r="DR1157" s="885"/>
      <c r="DS1157" s="885"/>
      <c r="DT1157" s="885"/>
      <c r="DU1157" s="885"/>
      <c r="DV1157" s="885"/>
      <c r="DW1157" s="885"/>
      <c r="DX1157" s="885"/>
      <c r="DY1157" s="885"/>
      <c r="DZ1157" s="885"/>
      <c r="EA1157" s="885"/>
      <c r="EB1157" s="885"/>
      <c r="EC1157" s="885"/>
      <c r="ED1157" s="885"/>
      <c r="EE1157" s="885"/>
      <c r="EF1157" s="885"/>
      <c r="EG1157" s="885"/>
      <c r="EH1157" s="885"/>
      <c r="EI1157" s="885"/>
      <c r="EJ1157" s="885"/>
      <c r="EK1157" s="885"/>
      <c r="EL1157" s="885"/>
      <c r="EM1157" s="885"/>
      <c r="EN1157" s="885"/>
      <c r="EO1157" s="885"/>
      <c r="EP1157" s="885"/>
      <c r="EQ1157" s="885"/>
      <c r="ER1157" s="885"/>
      <c r="ES1157" s="885"/>
      <c r="ET1157" s="885"/>
      <c r="EU1157" s="885"/>
      <c r="EV1157" s="885"/>
      <c r="EW1157" s="885"/>
      <c r="EX1157" s="885"/>
      <c r="EY1157" s="885"/>
      <c r="EZ1157" s="885"/>
      <c r="FA1157" s="885"/>
      <c r="FB1157" s="885"/>
      <c r="FC1157" s="885"/>
      <c r="FD1157" s="885"/>
      <c r="FE1157" s="885"/>
      <c r="FF1157" s="885"/>
      <c r="FG1157" s="885"/>
      <c r="FH1157" s="885"/>
      <c r="FI1157" s="885"/>
      <c r="FJ1157" s="885"/>
      <c r="FK1157" s="885"/>
      <c r="FL1157" s="885"/>
      <c r="FM1157" s="885"/>
      <c r="FN1157" s="885"/>
      <c r="FO1157" s="885"/>
      <c r="FP1157" s="885"/>
      <c r="FQ1157" s="885"/>
      <c r="FR1157" s="885"/>
      <c r="FS1157" s="885"/>
      <c r="FT1157" s="885"/>
      <c r="FU1157" s="885"/>
      <c r="FV1157" s="885"/>
      <c r="FW1157" s="885"/>
      <c r="FX1157" s="885"/>
      <c r="FY1157" s="885"/>
      <c r="FZ1157" s="885"/>
      <c r="GA1157" s="885"/>
      <c r="GB1157" s="885"/>
      <c r="GC1157" s="885"/>
      <c r="GD1157" s="885"/>
      <c r="GE1157" s="885"/>
      <c r="GF1157" s="885"/>
      <c r="GG1157" s="885"/>
      <c r="GH1157" s="885"/>
      <c r="GI1157" s="885"/>
      <c r="GJ1157" s="885"/>
      <c r="GK1157" s="885"/>
      <c r="GL1157" s="885"/>
      <c r="GM1157" s="885"/>
      <c r="GN1157" s="885"/>
      <c r="GO1157" s="885"/>
      <c r="GP1157" s="885"/>
      <c r="GQ1157" s="885"/>
      <c r="GR1157" s="885"/>
      <c r="GS1157" s="885"/>
      <c r="GT1157" s="885"/>
      <c r="GU1157" s="885"/>
      <c r="GV1157" s="885"/>
      <c r="GW1157" s="885"/>
      <c r="GX1157" s="885"/>
      <c r="GY1157" s="885"/>
      <c r="GZ1157" s="885"/>
      <c r="HA1157" s="885"/>
      <c r="HB1157" s="885"/>
      <c r="HC1157" s="885"/>
      <c r="HD1157" s="885"/>
      <c r="HE1157" s="885"/>
      <c r="HF1157" s="885"/>
      <c r="HG1157" s="885"/>
      <c r="HH1157" s="885"/>
      <c r="HI1157" s="885"/>
      <c r="HJ1157" s="885"/>
      <c r="HK1157" s="885"/>
      <c r="HL1157" s="885"/>
      <c r="HM1157" s="885"/>
      <c r="HN1157" s="885"/>
      <c r="HO1157" s="885"/>
      <c r="HP1157" s="885"/>
      <c r="HQ1157" s="885"/>
      <c r="HR1157" s="885"/>
      <c r="HS1157" s="885"/>
      <c r="HT1157" s="885"/>
      <c r="HU1157" s="885"/>
      <c r="HV1157" s="885"/>
      <c r="HW1157" s="885"/>
      <c r="HX1157" s="885"/>
      <c r="HY1157" s="885"/>
      <c r="HZ1157" s="885"/>
      <c r="IA1157" s="885"/>
      <c r="IB1157" s="885"/>
      <c r="IC1157" s="885"/>
      <c r="ID1157" s="885"/>
      <c r="IE1157" s="885"/>
      <c r="IF1157" s="885"/>
      <c r="IG1157" s="885"/>
      <c r="IH1157" s="885"/>
      <c r="II1157" s="885"/>
      <c r="IJ1157" s="885"/>
      <c r="IK1157" s="885"/>
      <c r="IL1157" s="885"/>
      <c r="IM1157" s="885"/>
      <c r="IN1157" s="885"/>
      <c r="IO1157" s="885"/>
      <c r="IP1157" s="885"/>
      <c r="IQ1157" s="885"/>
      <c r="IR1157" s="885"/>
      <c r="IS1157" s="885"/>
      <c r="IT1157" s="885"/>
      <c r="IU1157" s="885"/>
      <c r="IV1157" s="885"/>
      <c r="IW1157" s="885"/>
      <c r="IX1157" s="885"/>
    </row>
    <row r="1158" spans="1:258" x14ac:dyDescent="0.25">
      <c r="A1158" s="125">
        <f t="shared" si="128"/>
        <v>1118</v>
      </c>
      <c r="B1158" s="885"/>
      <c r="C1158" s="134" t="s">
        <v>5</v>
      </c>
      <c r="D1158" s="924">
        <v>0</v>
      </c>
      <c r="E1158" s="924">
        <f t="shared" ref="E1158:E1221" si="131">D1158/8*12</f>
        <v>0</v>
      </c>
      <c r="F1158" s="129">
        <v>1</v>
      </c>
      <c r="G1158" s="122" t="s">
        <v>1963</v>
      </c>
      <c r="H1158" s="885"/>
      <c r="I1158" s="885"/>
      <c r="J1158" s="885"/>
      <c r="K1158" s="885"/>
      <c r="L1158" s="885"/>
      <c r="M1158" s="885"/>
      <c r="N1158" s="885"/>
      <c r="O1158" s="885"/>
      <c r="P1158" s="885"/>
      <c r="Q1158" s="885"/>
      <c r="R1158" s="885"/>
      <c r="S1158" s="885"/>
      <c r="T1158" s="885"/>
      <c r="U1158" s="885"/>
      <c r="V1158" s="885"/>
      <c r="W1158" s="885"/>
      <c r="X1158" s="885"/>
      <c r="Y1158" s="885"/>
      <c r="Z1158" s="885"/>
      <c r="AA1158" s="885"/>
      <c r="AB1158" s="885"/>
      <c r="AC1158" s="885"/>
      <c r="AD1158" s="885"/>
      <c r="AE1158" s="885"/>
      <c r="AF1158" s="885"/>
      <c r="AG1158" s="885"/>
      <c r="AH1158" s="885"/>
      <c r="AI1158" s="885"/>
      <c r="AJ1158" s="885"/>
      <c r="AK1158" s="885"/>
      <c r="AL1158" s="885"/>
      <c r="AM1158" s="885"/>
      <c r="AN1158" s="885"/>
      <c r="AO1158" s="885"/>
      <c r="AP1158" s="885"/>
      <c r="AQ1158" s="885"/>
      <c r="AR1158" s="885"/>
      <c r="AS1158" s="885"/>
      <c r="AT1158" s="885"/>
      <c r="AU1158" s="885"/>
      <c r="AV1158" s="885"/>
      <c r="AW1158" s="885"/>
      <c r="AX1158" s="885"/>
      <c r="AY1158" s="885"/>
      <c r="AZ1158" s="885"/>
      <c r="BA1158" s="885"/>
      <c r="BB1158" s="885"/>
      <c r="BC1158" s="885"/>
      <c r="BD1158" s="885"/>
      <c r="BE1158" s="885"/>
      <c r="BF1158" s="885"/>
      <c r="BG1158" s="885"/>
      <c r="BH1158" s="885"/>
      <c r="BI1158" s="885"/>
      <c r="BJ1158" s="885"/>
      <c r="BK1158" s="885"/>
      <c r="BL1158" s="885"/>
      <c r="BM1158" s="885"/>
      <c r="BN1158" s="885"/>
      <c r="BO1158" s="885"/>
      <c r="BP1158" s="885"/>
      <c r="BQ1158" s="885"/>
      <c r="BR1158" s="885"/>
      <c r="BS1158" s="885"/>
      <c r="BT1158" s="885"/>
      <c r="BU1158" s="885"/>
      <c r="BV1158" s="885"/>
      <c r="BW1158" s="885"/>
      <c r="BX1158" s="885"/>
      <c r="BY1158" s="885"/>
      <c r="BZ1158" s="885"/>
      <c r="CA1158" s="885"/>
      <c r="CB1158" s="885"/>
      <c r="CC1158" s="885"/>
      <c r="CD1158" s="885"/>
      <c r="CE1158" s="885"/>
      <c r="CF1158" s="885"/>
      <c r="CG1158" s="885"/>
      <c r="CH1158" s="885"/>
      <c r="CI1158" s="885"/>
      <c r="CJ1158" s="885"/>
      <c r="CK1158" s="885"/>
      <c r="CL1158" s="885"/>
      <c r="CM1158" s="885"/>
      <c r="CN1158" s="885"/>
      <c r="CO1158" s="885"/>
      <c r="CP1158" s="885"/>
      <c r="CQ1158" s="885"/>
      <c r="CR1158" s="885"/>
      <c r="CS1158" s="885"/>
      <c r="CT1158" s="885"/>
      <c r="CU1158" s="885"/>
      <c r="CV1158" s="885"/>
      <c r="CW1158" s="885"/>
      <c r="CX1158" s="885"/>
      <c r="CY1158" s="885"/>
      <c r="CZ1158" s="885"/>
      <c r="DA1158" s="885"/>
      <c r="DB1158" s="885"/>
      <c r="DC1158" s="885"/>
      <c r="DD1158" s="885"/>
      <c r="DE1158" s="885"/>
      <c r="DF1158" s="885"/>
      <c r="DG1158" s="885"/>
      <c r="DH1158" s="885"/>
      <c r="DI1158" s="885"/>
      <c r="DJ1158" s="885"/>
      <c r="DK1158" s="885"/>
      <c r="DL1158" s="885"/>
      <c r="DM1158" s="885"/>
      <c r="DN1158" s="885"/>
      <c r="DO1158" s="885"/>
      <c r="DP1158" s="885"/>
      <c r="DQ1158" s="885"/>
      <c r="DR1158" s="885"/>
      <c r="DS1158" s="885"/>
      <c r="DT1158" s="885"/>
      <c r="DU1158" s="885"/>
      <c r="DV1158" s="885"/>
      <c r="DW1158" s="885"/>
      <c r="DX1158" s="885"/>
      <c r="DY1158" s="885"/>
      <c r="DZ1158" s="885"/>
      <c r="EA1158" s="885"/>
      <c r="EB1158" s="885"/>
      <c r="EC1158" s="885"/>
      <c r="ED1158" s="885"/>
      <c r="EE1158" s="885"/>
      <c r="EF1158" s="885"/>
      <c r="EG1158" s="885"/>
      <c r="EH1158" s="885"/>
      <c r="EI1158" s="885"/>
      <c r="EJ1158" s="885"/>
      <c r="EK1158" s="885"/>
      <c r="EL1158" s="885"/>
      <c r="EM1158" s="885"/>
      <c r="EN1158" s="885"/>
      <c r="EO1158" s="885"/>
      <c r="EP1158" s="885"/>
      <c r="EQ1158" s="885"/>
      <c r="ER1158" s="885"/>
      <c r="ES1158" s="885"/>
      <c r="ET1158" s="885"/>
      <c r="EU1158" s="885"/>
      <c r="EV1158" s="885"/>
      <c r="EW1158" s="885"/>
      <c r="EX1158" s="885"/>
      <c r="EY1158" s="885"/>
      <c r="EZ1158" s="885"/>
      <c r="FA1158" s="885"/>
      <c r="FB1158" s="885"/>
      <c r="FC1158" s="885"/>
      <c r="FD1158" s="885"/>
      <c r="FE1158" s="885"/>
      <c r="FF1158" s="885"/>
      <c r="FG1158" s="885"/>
      <c r="FH1158" s="885"/>
      <c r="FI1158" s="885"/>
      <c r="FJ1158" s="885"/>
      <c r="FK1158" s="885"/>
      <c r="FL1158" s="885"/>
      <c r="FM1158" s="885"/>
      <c r="FN1158" s="885"/>
      <c r="FO1158" s="885"/>
      <c r="FP1158" s="885"/>
      <c r="FQ1158" s="885"/>
      <c r="FR1158" s="885"/>
      <c r="FS1158" s="885"/>
      <c r="FT1158" s="885"/>
      <c r="FU1158" s="885"/>
      <c r="FV1158" s="885"/>
      <c r="FW1158" s="885"/>
      <c r="FX1158" s="885"/>
      <c r="FY1158" s="885"/>
      <c r="FZ1158" s="885"/>
      <c r="GA1158" s="885"/>
      <c r="GB1158" s="885"/>
      <c r="GC1158" s="885"/>
      <c r="GD1158" s="885"/>
      <c r="GE1158" s="885"/>
      <c r="GF1158" s="885"/>
      <c r="GG1158" s="885"/>
      <c r="GH1158" s="885"/>
      <c r="GI1158" s="885"/>
      <c r="GJ1158" s="885"/>
      <c r="GK1158" s="885"/>
      <c r="GL1158" s="885"/>
      <c r="GM1158" s="885"/>
      <c r="GN1158" s="885"/>
      <c r="GO1158" s="885"/>
      <c r="GP1158" s="885"/>
      <c r="GQ1158" s="885"/>
      <c r="GR1158" s="885"/>
      <c r="GS1158" s="885"/>
      <c r="GT1158" s="885"/>
      <c r="GU1158" s="885"/>
      <c r="GV1158" s="885"/>
      <c r="GW1158" s="885"/>
      <c r="GX1158" s="885"/>
      <c r="GY1158" s="885"/>
      <c r="GZ1158" s="885"/>
      <c r="HA1158" s="885"/>
      <c r="HB1158" s="885"/>
      <c r="HC1158" s="885"/>
      <c r="HD1158" s="885"/>
      <c r="HE1158" s="885"/>
      <c r="HF1158" s="885"/>
      <c r="HG1158" s="885"/>
      <c r="HH1158" s="885"/>
      <c r="HI1158" s="885"/>
      <c r="HJ1158" s="885"/>
      <c r="HK1158" s="885"/>
      <c r="HL1158" s="885"/>
      <c r="HM1158" s="885"/>
      <c r="HN1158" s="885"/>
      <c r="HO1158" s="885"/>
      <c r="HP1158" s="885"/>
      <c r="HQ1158" s="885"/>
      <c r="HR1158" s="885"/>
      <c r="HS1158" s="885"/>
      <c r="HT1158" s="885"/>
      <c r="HU1158" s="885"/>
      <c r="HV1158" s="885"/>
      <c r="HW1158" s="885"/>
      <c r="HX1158" s="885"/>
      <c r="HY1158" s="885"/>
      <c r="HZ1158" s="885"/>
      <c r="IA1158" s="885"/>
      <c r="IB1158" s="885"/>
      <c r="IC1158" s="885"/>
      <c r="ID1158" s="885"/>
      <c r="IE1158" s="885"/>
      <c r="IF1158" s="885"/>
      <c r="IG1158" s="885"/>
      <c r="IH1158" s="885"/>
      <c r="II1158" s="885"/>
      <c r="IJ1158" s="885"/>
      <c r="IK1158" s="885"/>
      <c r="IL1158" s="885"/>
      <c r="IM1158" s="885"/>
      <c r="IN1158" s="885"/>
      <c r="IO1158" s="885"/>
      <c r="IP1158" s="885"/>
      <c r="IQ1158" s="885"/>
      <c r="IR1158" s="885"/>
      <c r="IS1158" s="885"/>
      <c r="IT1158" s="885"/>
      <c r="IU1158" s="885"/>
      <c r="IV1158" s="885"/>
      <c r="IW1158" s="885"/>
      <c r="IX1158" s="885"/>
    </row>
    <row r="1159" spans="1:258" x14ac:dyDescent="0.25">
      <c r="A1159" s="125">
        <f t="shared" si="128"/>
        <v>1119</v>
      </c>
      <c r="B1159" s="885"/>
      <c r="C1159" s="134" t="s">
        <v>4</v>
      </c>
      <c r="D1159" s="924">
        <v>14969.76</v>
      </c>
      <c r="E1159" s="924">
        <f>D1159/8*13.33</f>
        <v>24943.3626</v>
      </c>
      <c r="F1159" s="129">
        <f>E1159/13.33</f>
        <v>1871.22</v>
      </c>
      <c r="G1159" s="122" t="s">
        <v>1963</v>
      </c>
      <c r="H1159" s="885"/>
      <c r="I1159" s="885"/>
      <c r="J1159" s="885"/>
      <c r="K1159" s="885"/>
      <c r="L1159" s="885"/>
      <c r="M1159" s="885"/>
      <c r="N1159" s="885"/>
      <c r="O1159" s="885"/>
      <c r="P1159" s="885"/>
      <c r="Q1159" s="885"/>
      <c r="R1159" s="885"/>
      <c r="S1159" s="885"/>
      <c r="T1159" s="885"/>
      <c r="U1159" s="885"/>
      <c r="V1159" s="885"/>
      <c r="W1159" s="885"/>
      <c r="X1159" s="885"/>
      <c r="Y1159" s="885"/>
      <c r="Z1159" s="885"/>
      <c r="AA1159" s="885"/>
      <c r="AB1159" s="885"/>
      <c r="AC1159" s="885"/>
      <c r="AD1159" s="885"/>
      <c r="AE1159" s="885"/>
      <c r="AF1159" s="885"/>
      <c r="AG1159" s="885"/>
      <c r="AH1159" s="885"/>
      <c r="AI1159" s="885"/>
      <c r="AJ1159" s="885"/>
      <c r="AK1159" s="885"/>
      <c r="AL1159" s="885"/>
      <c r="AM1159" s="885"/>
      <c r="AN1159" s="885"/>
      <c r="AO1159" s="885"/>
      <c r="AP1159" s="885"/>
      <c r="AQ1159" s="885"/>
      <c r="AR1159" s="885"/>
      <c r="AS1159" s="885"/>
      <c r="AT1159" s="885"/>
      <c r="AU1159" s="885"/>
      <c r="AV1159" s="885"/>
      <c r="AW1159" s="885"/>
      <c r="AX1159" s="885"/>
      <c r="AY1159" s="885"/>
      <c r="AZ1159" s="885"/>
      <c r="BA1159" s="885"/>
      <c r="BB1159" s="885"/>
      <c r="BC1159" s="885"/>
      <c r="BD1159" s="885"/>
      <c r="BE1159" s="885"/>
      <c r="BF1159" s="885"/>
      <c r="BG1159" s="885"/>
      <c r="BH1159" s="885"/>
      <c r="BI1159" s="885"/>
      <c r="BJ1159" s="885"/>
      <c r="BK1159" s="885"/>
      <c r="BL1159" s="885"/>
      <c r="BM1159" s="885"/>
      <c r="BN1159" s="885"/>
      <c r="BO1159" s="885"/>
      <c r="BP1159" s="885"/>
      <c r="BQ1159" s="885"/>
      <c r="BR1159" s="885"/>
      <c r="BS1159" s="885"/>
      <c r="BT1159" s="885"/>
      <c r="BU1159" s="885"/>
      <c r="BV1159" s="885"/>
      <c r="BW1159" s="885"/>
      <c r="BX1159" s="885"/>
      <c r="BY1159" s="885"/>
      <c r="BZ1159" s="885"/>
      <c r="CA1159" s="885"/>
      <c r="CB1159" s="885"/>
      <c r="CC1159" s="885"/>
      <c r="CD1159" s="885"/>
      <c r="CE1159" s="885"/>
      <c r="CF1159" s="885"/>
      <c r="CG1159" s="885"/>
      <c r="CH1159" s="885"/>
      <c r="CI1159" s="885"/>
      <c r="CJ1159" s="885"/>
      <c r="CK1159" s="885"/>
      <c r="CL1159" s="885"/>
      <c r="CM1159" s="885"/>
      <c r="CN1159" s="885"/>
      <c r="CO1159" s="885"/>
      <c r="CP1159" s="885"/>
      <c r="CQ1159" s="885"/>
      <c r="CR1159" s="885"/>
      <c r="CS1159" s="885"/>
      <c r="CT1159" s="885"/>
      <c r="CU1159" s="885"/>
      <c r="CV1159" s="885"/>
      <c r="CW1159" s="885"/>
      <c r="CX1159" s="885"/>
      <c r="CY1159" s="885"/>
      <c r="CZ1159" s="885"/>
      <c r="DA1159" s="885"/>
      <c r="DB1159" s="885"/>
      <c r="DC1159" s="885"/>
      <c r="DD1159" s="885"/>
      <c r="DE1159" s="885"/>
      <c r="DF1159" s="885"/>
      <c r="DG1159" s="885"/>
      <c r="DH1159" s="885"/>
      <c r="DI1159" s="885"/>
      <c r="DJ1159" s="885"/>
      <c r="DK1159" s="885"/>
      <c r="DL1159" s="885"/>
      <c r="DM1159" s="885"/>
      <c r="DN1159" s="885"/>
      <c r="DO1159" s="885"/>
      <c r="DP1159" s="885"/>
      <c r="DQ1159" s="885"/>
      <c r="DR1159" s="885"/>
      <c r="DS1159" s="885"/>
      <c r="DT1159" s="885"/>
      <c r="DU1159" s="885"/>
      <c r="DV1159" s="885"/>
      <c r="DW1159" s="885"/>
      <c r="DX1159" s="885"/>
      <c r="DY1159" s="885"/>
      <c r="DZ1159" s="885"/>
      <c r="EA1159" s="885"/>
      <c r="EB1159" s="885"/>
      <c r="EC1159" s="885"/>
      <c r="ED1159" s="885"/>
      <c r="EE1159" s="885"/>
      <c r="EF1159" s="885"/>
      <c r="EG1159" s="885"/>
      <c r="EH1159" s="885"/>
      <c r="EI1159" s="885"/>
      <c r="EJ1159" s="885"/>
      <c r="EK1159" s="885"/>
      <c r="EL1159" s="885"/>
      <c r="EM1159" s="885"/>
      <c r="EN1159" s="885"/>
      <c r="EO1159" s="885"/>
      <c r="EP1159" s="885"/>
      <c r="EQ1159" s="885"/>
      <c r="ER1159" s="885"/>
      <c r="ES1159" s="885"/>
      <c r="ET1159" s="885"/>
      <c r="EU1159" s="885"/>
      <c r="EV1159" s="885"/>
      <c r="EW1159" s="885"/>
      <c r="EX1159" s="885"/>
      <c r="EY1159" s="885"/>
      <c r="EZ1159" s="885"/>
      <c r="FA1159" s="885"/>
      <c r="FB1159" s="885"/>
      <c r="FC1159" s="885"/>
      <c r="FD1159" s="885"/>
      <c r="FE1159" s="885"/>
      <c r="FF1159" s="885"/>
      <c r="FG1159" s="885"/>
      <c r="FH1159" s="885"/>
      <c r="FI1159" s="885"/>
      <c r="FJ1159" s="885"/>
      <c r="FK1159" s="885"/>
      <c r="FL1159" s="885"/>
      <c r="FM1159" s="885"/>
      <c r="FN1159" s="885"/>
      <c r="FO1159" s="885"/>
      <c r="FP1159" s="885"/>
      <c r="FQ1159" s="885"/>
      <c r="FR1159" s="885"/>
      <c r="FS1159" s="885"/>
      <c r="FT1159" s="885"/>
      <c r="FU1159" s="885"/>
      <c r="FV1159" s="885"/>
      <c r="FW1159" s="885"/>
      <c r="FX1159" s="885"/>
      <c r="FY1159" s="885"/>
      <c r="FZ1159" s="885"/>
      <c r="GA1159" s="885"/>
      <c r="GB1159" s="885"/>
      <c r="GC1159" s="885"/>
      <c r="GD1159" s="885"/>
      <c r="GE1159" s="885"/>
      <c r="GF1159" s="885"/>
      <c r="GG1159" s="885"/>
      <c r="GH1159" s="885"/>
      <c r="GI1159" s="885"/>
      <c r="GJ1159" s="885"/>
      <c r="GK1159" s="885"/>
      <c r="GL1159" s="885"/>
      <c r="GM1159" s="885"/>
      <c r="GN1159" s="885"/>
      <c r="GO1159" s="885"/>
      <c r="GP1159" s="885"/>
      <c r="GQ1159" s="885"/>
      <c r="GR1159" s="885"/>
      <c r="GS1159" s="885"/>
      <c r="GT1159" s="885"/>
      <c r="GU1159" s="885"/>
      <c r="GV1159" s="885"/>
      <c r="GW1159" s="885"/>
      <c r="GX1159" s="885"/>
      <c r="GY1159" s="885"/>
      <c r="GZ1159" s="885"/>
      <c r="HA1159" s="885"/>
      <c r="HB1159" s="885"/>
      <c r="HC1159" s="885"/>
      <c r="HD1159" s="885"/>
      <c r="HE1159" s="885"/>
      <c r="HF1159" s="885"/>
      <c r="HG1159" s="885"/>
      <c r="HH1159" s="885"/>
      <c r="HI1159" s="885"/>
      <c r="HJ1159" s="885"/>
      <c r="HK1159" s="885"/>
      <c r="HL1159" s="885"/>
      <c r="HM1159" s="885"/>
      <c r="HN1159" s="885"/>
      <c r="HO1159" s="885"/>
      <c r="HP1159" s="885"/>
      <c r="HQ1159" s="885"/>
      <c r="HR1159" s="885"/>
      <c r="HS1159" s="885"/>
      <c r="HT1159" s="885"/>
      <c r="HU1159" s="885"/>
      <c r="HV1159" s="885"/>
      <c r="HW1159" s="885"/>
      <c r="HX1159" s="885"/>
      <c r="HY1159" s="885"/>
      <c r="HZ1159" s="885"/>
      <c r="IA1159" s="885"/>
      <c r="IB1159" s="885"/>
      <c r="IC1159" s="885"/>
      <c r="ID1159" s="885"/>
      <c r="IE1159" s="885"/>
      <c r="IF1159" s="885"/>
      <c r="IG1159" s="885"/>
      <c r="IH1159" s="885"/>
      <c r="II1159" s="885"/>
      <c r="IJ1159" s="885"/>
      <c r="IK1159" s="885"/>
      <c r="IL1159" s="885"/>
      <c r="IM1159" s="885"/>
      <c r="IN1159" s="885"/>
      <c r="IO1159" s="885"/>
      <c r="IP1159" s="885"/>
      <c r="IQ1159" s="885"/>
      <c r="IR1159" s="885"/>
      <c r="IS1159" s="885"/>
      <c r="IT1159" s="885"/>
      <c r="IU1159" s="885"/>
      <c r="IV1159" s="885"/>
      <c r="IW1159" s="885"/>
      <c r="IX1159" s="885"/>
    </row>
    <row r="1160" spans="1:258" x14ac:dyDescent="0.25">
      <c r="A1160" s="125">
        <f t="shared" si="128"/>
        <v>1120</v>
      </c>
      <c r="B1160" s="954"/>
      <c r="C1160" s="842" t="s">
        <v>11532</v>
      </c>
      <c r="D1160" s="924">
        <v>2746.59</v>
      </c>
      <c r="E1160" s="924">
        <f>D1160/8*13.33</f>
        <v>4576.5055874999998</v>
      </c>
      <c r="F1160" s="129"/>
      <c r="H1160" s="954"/>
      <c r="I1160" s="954"/>
      <c r="J1160" s="954"/>
      <c r="K1160" s="954"/>
      <c r="L1160" s="954"/>
      <c r="M1160" s="954"/>
      <c r="N1160" s="954"/>
      <c r="O1160" s="954"/>
      <c r="P1160" s="954"/>
      <c r="Q1160" s="954"/>
      <c r="R1160" s="954"/>
      <c r="S1160" s="954"/>
      <c r="T1160" s="954"/>
      <c r="U1160" s="954"/>
      <c r="V1160" s="954"/>
      <c r="W1160" s="954"/>
      <c r="X1160" s="954"/>
      <c r="Y1160" s="954"/>
      <c r="Z1160" s="954"/>
      <c r="AA1160" s="954"/>
      <c r="AB1160" s="954"/>
      <c r="AC1160" s="954"/>
      <c r="AD1160" s="954"/>
      <c r="AE1160" s="954"/>
      <c r="AF1160" s="954"/>
      <c r="AG1160" s="954"/>
      <c r="AH1160" s="954"/>
      <c r="AI1160" s="954"/>
      <c r="AJ1160" s="954"/>
      <c r="AK1160" s="954"/>
      <c r="AL1160" s="954"/>
      <c r="AM1160" s="954"/>
      <c r="AN1160" s="954"/>
      <c r="AO1160" s="954"/>
      <c r="AP1160" s="954"/>
      <c r="AQ1160" s="954"/>
      <c r="AR1160" s="954"/>
      <c r="AS1160" s="954"/>
      <c r="AT1160" s="954"/>
      <c r="AU1160" s="954"/>
      <c r="AV1160" s="954"/>
      <c r="AW1160" s="954"/>
      <c r="AX1160" s="954"/>
      <c r="AY1160" s="954"/>
      <c r="AZ1160" s="954"/>
      <c r="BA1160" s="954"/>
      <c r="BB1160" s="954"/>
      <c r="BC1160" s="954"/>
      <c r="BD1160" s="954"/>
      <c r="BE1160" s="954"/>
      <c r="BF1160" s="954"/>
      <c r="BG1160" s="954"/>
      <c r="BH1160" s="954"/>
      <c r="BI1160" s="954"/>
      <c r="BJ1160" s="954"/>
      <c r="BK1160" s="954"/>
      <c r="BL1160" s="954"/>
      <c r="BM1160" s="954"/>
      <c r="BN1160" s="954"/>
      <c r="BO1160" s="954"/>
      <c r="BP1160" s="954"/>
      <c r="BQ1160" s="954"/>
      <c r="BR1160" s="954"/>
      <c r="BS1160" s="954"/>
      <c r="BT1160" s="954"/>
      <c r="BU1160" s="954"/>
      <c r="BV1160" s="954"/>
      <c r="BW1160" s="954"/>
      <c r="BX1160" s="954"/>
      <c r="BY1160" s="954"/>
      <c r="BZ1160" s="954"/>
      <c r="CA1160" s="954"/>
      <c r="CB1160" s="954"/>
      <c r="CC1160" s="954"/>
      <c r="CD1160" s="954"/>
      <c r="CE1160" s="954"/>
      <c r="CF1160" s="954"/>
      <c r="CG1160" s="954"/>
      <c r="CH1160" s="954"/>
      <c r="CI1160" s="954"/>
      <c r="CJ1160" s="954"/>
      <c r="CK1160" s="954"/>
      <c r="CL1160" s="954"/>
      <c r="CM1160" s="954"/>
      <c r="CN1160" s="954"/>
      <c r="CO1160" s="954"/>
      <c r="CP1160" s="954"/>
      <c r="CQ1160" s="954"/>
      <c r="CR1160" s="954"/>
      <c r="CS1160" s="954"/>
      <c r="CT1160" s="954"/>
      <c r="CU1160" s="954"/>
      <c r="CV1160" s="954"/>
      <c r="CW1160" s="954"/>
      <c r="CX1160" s="954"/>
      <c r="CY1160" s="954"/>
      <c r="CZ1160" s="954"/>
      <c r="DA1160" s="954"/>
      <c r="DB1160" s="954"/>
      <c r="DC1160" s="954"/>
      <c r="DD1160" s="954"/>
      <c r="DE1160" s="954"/>
      <c r="DF1160" s="954"/>
      <c r="DG1160" s="954"/>
      <c r="DH1160" s="954"/>
      <c r="DI1160" s="954"/>
      <c r="DJ1160" s="954"/>
      <c r="DK1160" s="954"/>
      <c r="DL1160" s="954"/>
      <c r="DM1160" s="954"/>
      <c r="DN1160" s="954"/>
      <c r="DO1160" s="954"/>
      <c r="DP1160" s="954"/>
      <c r="DQ1160" s="954"/>
      <c r="DR1160" s="954"/>
      <c r="DS1160" s="954"/>
      <c r="DT1160" s="954"/>
      <c r="DU1160" s="954"/>
      <c r="DV1160" s="954"/>
      <c r="DW1160" s="954"/>
      <c r="DX1160" s="954"/>
      <c r="DY1160" s="954"/>
      <c r="DZ1160" s="954"/>
      <c r="EA1160" s="954"/>
      <c r="EB1160" s="954"/>
      <c r="EC1160" s="954"/>
      <c r="ED1160" s="954"/>
      <c r="EE1160" s="954"/>
      <c r="EF1160" s="954"/>
      <c r="EG1160" s="954"/>
      <c r="EH1160" s="954"/>
      <c r="EI1160" s="954"/>
      <c r="EJ1160" s="954"/>
      <c r="EK1160" s="954"/>
      <c r="EL1160" s="954"/>
      <c r="EM1160" s="954"/>
      <c r="EN1160" s="954"/>
      <c r="EO1160" s="954"/>
      <c r="EP1160" s="954"/>
      <c r="EQ1160" s="954"/>
      <c r="ER1160" s="954"/>
      <c r="ES1160" s="954"/>
      <c r="ET1160" s="954"/>
      <c r="EU1160" s="954"/>
      <c r="EV1160" s="954"/>
      <c r="EW1160" s="954"/>
      <c r="EX1160" s="954"/>
      <c r="EY1160" s="954"/>
      <c r="EZ1160" s="954"/>
      <c r="FA1160" s="954"/>
      <c r="FB1160" s="954"/>
      <c r="FC1160" s="954"/>
      <c r="FD1160" s="954"/>
      <c r="FE1160" s="954"/>
      <c r="FF1160" s="954"/>
      <c r="FG1160" s="954"/>
      <c r="FH1160" s="954"/>
      <c r="FI1160" s="954"/>
      <c r="FJ1160" s="954"/>
      <c r="FK1160" s="954"/>
      <c r="FL1160" s="954"/>
      <c r="FM1160" s="954"/>
      <c r="FN1160" s="954"/>
      <c r="FO1160" s="954"/>
      <c r="FP1160" s="954"/>
      <c r="FQ1160" s="954"/>
      <c r="FR1160" s="954"/>
      <c r="FS1160" s="954"/>
      <c r="FT1160" s="954"/>
      <c r="FU1160" s="954"/>
      <c r="FV1160" s="954"/>
      <c r="FW1160" s="954"/>
      <c r="FX1160" s="954"/>
      <c r="FY1160" s="954"/>
      <c r="FZ1160" s="954"/>
      <c r="GA1160" s="954"/>
      <c r="GB1160" s="954"/>
      <c r="GC1160" s="954"/>
      <c r="GD1160" s="954"/>
      <c r="GE1160" s="954"/>
      <c r="GF1160" s="954"/>
      <c r="GG1160" s="954"/>
      <c r="GH1160" s="954"/>
      <c r="GI1160" s="954"/>
      <c r="GJ1160" s="954"/>
      <c r="GK1160" s="954"/>
      <c r="GL1160" s="954"/>
      <c r="GM1160" s="954"/>
      <c r="GN1160" s="954"/>
      <c r="GO1160" s="954"/>
      <c r="GP1160" s="954"/>
      <c r="GQ1160" s="954"/>
      <c r="GR1160" s="954"/>
      <c r="GS1160" s="954"/>
      <c r="GT1160" s="954"/>
      <c r="GU1160" s="954"/>
      <c r="GV1160" s="954"/>
      <c r="GW1160" s="954"/>
      <c r="GX1160" s="954"/>
      <c r="GY1160" s="954"/>
      <c r="GZ1160" s="954"/>
      <c r="HA1160" s="954"/>
      <c r="HB1160" s="954"/>
      <c r="HC1160" s="954"/>
      <c r="HD1160" s="954"/>
      <c r="HE1160" s="954"/>
      <c r="HF1160" s="954"/>
      <c r="HG1160" s="954"/>
      <c r="HH1160" s="954"/>
      <c r="HI1160" s="954"/>
      <c r="HJ1160" s="954"/>
      <c r="HK1160" s="954"/>
      <c r="HL1160" s="954"/>
      <c r="HM1160" s="954"/>
      <c r="HN1160" s="954"/>
      <c r="HO1160" s="954"/>
      <c r="HP1160" s="954"/>
      <c r="HQ1160" s="954"/>
      <c r="HR1160" s="954"/>
      <c r="HS1160" s="954"/>
      <c r="HT1160" s="954"/>
      <c r="HU1160" s="954"/>
      <c r="HV1160" s="954"/>
      <c r="HW1160" s="954"/>
      <c r="HX1160" s="954"/>
      <c r="HY1160" s="954"/>
      <c r="HZ1160" s="954"/>
      <c r="IA1160" s="954"/>
      <c r="IB1160" s="954"/>
      <c r="IC1160" s="954"/>
      <c r="ID1160" s="954"/>
      <c r="IE1160" s="954"/>
      <c r="IF1160" s="954"/>
      <c r="IG1160" s="954"/>
      <c r="IH1160" s="954"/>
      <c r="II1160" s="954"/>
      <c r="IJ1160" s="954"/>
      <c r="IK1160" s="954"/>
      <c r="IL1160" s="954"/>
      <c r="IM1160" s="954"/>
      <c r="IN1160" s="954"/>
      <c r="IO1160" s="954"/>
      <c r="IP1160" s="954"/>
      <c r="IQ1160" s="954"/>
      <c r="IR1160" s="954"/>
      <c r="IS1160" s="954"/>
      <c r="IT1160" s="954"/>
      <c r="IU1160" s="954"/>
      <c r="IV1160" s="954"/>
      <c r="IW1160" s="954"/>
      <c r="IX1160" s="954"/>
    </row>
    <row r="1161" spans="1:258" x14ac:dyDescent="0.25">
      <c r="A1161" s="125">
        <f t="shared" si="128"/>
        <v>1121</v>
      </c>
      <c r="B1161" s="885"/>
      <c r="C1161" s="134" t="s">
        <v>1967</v>
      </c>
      <c r="D1161" s="924">
        <v>0</v>
      </c>
      <c r="E1161" s="924">
        <f t="shared" si="131"/>
        <v>0</v>
      </c>
      <c r="F1161" s="129">
        <v>1</v>
      </c>
      <c r="G1161" s="122" t="s">
        <v>1963</v>
      </c>
      <c r="H1161" s="885"/>
      <c r="I1161" s="885"/>
      <c r="J1161" s="885"/>
      <c r="K1161" s="885"/>
      <c r="L1161" s="885"/>
      <c r="M1161" s="885"/>
      <c r="N1161" s="885"/>
      <c r="O1161" s="885"/>
      <c r="P1161" s="885"/>
      <c r="Q1161" s="885"/>
      <c r="R1161" s="885"/>
      <c r="S1161" s="885"/>
      <c r="T1161" s="885"/>
      <c r="U1161" s="885"/>
      <c r="V1161" s="885"/>
      <c r="W1161" s="885"/>
      <c r="X1161" s="885"/>
      <c r="Y1161" s="885"/>
      <c r="Z1161" s="885"/>
      <c r="AA1161" s="885"/>
      <c r="AB1161" s="885"/>
      <c r="AC1161" s="885"/>
      <c r="AD1161" s="885"/>
      <c r="AE1161" s="885"/>
      <c r="AF1161" s="885"/>
      <c r="AG1161" s="885"/>
      <c r="AH1161" s="885"/>
      <c r="AI1161" s="885"/>
      <c r="AJ1161" s="885"/>
      <c r="AK1161" s="885"/>
      <c r="AL1161" s="885"/>
      <c r="AM1161" s="885"/>
      <c r="AN1161" s="885"/>
      <c r="AO1161" s="885"/>
      <c r="AP1161" s="885"/>
      <c r="AQ1161" s="885"/>
      <c r="AR1161" s="885"/>
      <c r="AS1161" s="885"/>
      <c r="AT1161" s="885"/>
      <c r="AU1161" s="885"/>
      <c r="AV1161" s="885"/>
      <c r="AW1161" s="885"/>
      <c r="AX1161" s="885"/>
      <c r="AY1161" s="885"/>
      <c r="AZ1161" s="885"/>
      <c r="BA1161" s="885"/>
      <c r="BB1161" s="885"/>
      <c r="BC1161" s="885"/>
      <c r="BD1161" s="885"/>
      <c r="BE1161" s="885"/>
      <c r="BF1161" s="885"/>
      <c r="BG1161" s="885"/>
      <c r="BH1161" s="885"/>
      <c r="BI1161" s="885"/>
      <c r="BJ1161" s="885"/>
      <c r="BK1161" s="885"/>
      <c r="BL1161" s="885"/>
      <c r="BM1161" s="885"/>
      <c r="BN1161" s="885"/>
      <c r="BO1161" s="885"/>
      <c r="BP1161" s="885"/>
      <c r="BQ1161" s="885"/>
      <c r="BR1161" s="885"/>
      <c r="BS1161" s="885"/>
      <c r="BT1161" s="885"/>
      <c r="BU1161" s="885"/>
      <c r="BV1161" s="885"/>
      <c r="BW1161" s="885"/>
      <c r="BX1161" s="885"/>
      <c r="BY1161" s="885"/>
      <c r="BZ1161" s="885"/>
      <c r="CA1161" s="885"/>
      <c r="CB1161" s="885"/>
      <c r="CC1161" s="885"/>
      <c r="CD1161" s="885"/>
      <c r="CE1161" s="885"/>
      <c r="CF1161" s="885"/>
      <c r="CG1161" s="885"/>
      <c r="CH1161" s="885"/>
      <c r="CI1161" s="885"/>
      <c r="CJ1161" s="885"/>
      <c r="CK1161" s="885"/>
      <c r="CL1161" s="885"/>
      <c r="CM1161" s="885"/>
      <c r="CN1161" s="885"/>
      <c r="CO1161" s="885"/>
      <c r="CP1161" s="885"/>
      <c r="CQ1161" s="885"/>
      <c r="CR1161" s="885"/>
      <c r="CS1161" s="885"/>
      <c r="CT1161" s="885"/>
      <c r="CU1161" s="885"/>
      <c r="CV1161" s="885"/>
      <c r="CW1161" s="885"/>
      <c r="CX1161" s="885"/>
      <c r="CY1161" s="885"/>
      <c r="CZ1161" s="885"/>
      <c r="DA1161" s="885"/>
      <c r="DB1161" s="885"/>
      <c r="DC1161" s="885"/>
      <c r="DD1161" s="885"/>
      <c r="DE1161" s="885"/>
      <c r="DF1161" s="885"/>
      <c r="DG1161" s="885"/>
      <c r="DH1161" s="885"/>
      <c r="DI1161" s="885"/>
      <c r="DJ1161" s="885"/>
      <c r="DK1161" s="885"/>
      <c r="DL1161" s="885"/>
      <c r="DM1161" s="885"/>
      <c r="DN1161" s="885"/>
      <c r="DO1161" s="885"/>
      <c r="DP1161" s="885"/>
      <c r="DQ1161" s="885"/>
      <c r="DR1161" s="885"/>
      <c r="DS1161" s="885"/>
      <c r="DT1161" s="885"/>
      <c r="DU1161" s="885"/>
      <c r="DV1161" s="885"/>
      <c r="DW1161" s="885"/>
      <c r="DX1161" s="885"/>
      <c r="DY1161" s="885"/>
      <c r="DZ1161" s="885"/>
      <c r="EA1161" s="885"/>
      <c r="EB1161" s="885"/>
      <c r="EC1161" s="885"/>
      <c r="ED1161" s="885"/>
      <c r="EE1161" s="885"/>
      <c r="EF1161" s="885"/>
      <c r="EG1161" s="885"/>
      <c r="EH1161" s="885"/>
      <c r="EI1161" s="885"/>
      <c r="EJ1161" s="885"/>
      <c r="EK1161" s="885"/>
      <c r="EL1161" s="885"/>
      <c r="EM1161" s="885"/>
      <c r="EN1161" s="885"/>
      <c r="EO1161" s="885"/>
      <c r="EP1161" s="885"/>
      <c r="EQ1161" s="885"/>
      <c r="ER1161" s="885"/>
      <c r="ES1161" s="885"/>
      <c r="ET1161" s="885"/>
      <c r="EU1161" s="885"/>
      <c r="EV1161" s="885"/>
      <c r="EW1161" s="885"/>
      <c r="EX1161" s="885"/>
      <c r="EY1161" s="885"/>
      <c r="EZ1161" s="885"/>
      <c r="FA1161" s="885"/>
      <c r="FB1161" s="885"/>
      <c r="FC1161" s="885"/>
      <c r="FD1161" s="885"/>
      <c r="FE1161" s="885"/>
      <c r="FF1161" s="885"/>
      <c r="FG1161" s="885"/>
      <c r="FH1161" s="885"/>
      <c r="FI1161" s="885"/>
      <c r="FJ1161" s="885"/>
      <c r="FK1161" s="885"/>
      <c r="FL1161" s="885"/>
      <c r="FM1161" s="885"/>
      <c r="FN1161" s="885"/>
      <c r="FO1161" s="885"/>
      <c r="FP1161" s="885"/>
      <c r="FQ1161" s="885"/>
      <c r="FR1161" s="885"/>
      <c r="FS1161" s="885"/>
      <c r="FT1161" s="885"/>
      <c r="FU1161" s="885"/>
      <c r="FV1161" s="885"/>
      <c r="FW1161" s="885"/>
      <c r="FX1161" s="885"/>
      <c r="FY1161" s="885"/>
      <c r="FZ1161" s="885"/>
      <c r="GA1161" s="885"/>
      <c r="GB1161" s="885"/>
      <c r="GC1161" s="885"/>
      <c r="GD1161" s="885"/>
      <c r="GE1161" s="885"/>
      <c r="GF1161" s="885"/>
      <c r="GG1161" s="885"/>
      <c r="GH1161" s="885"/>
      <c r="GI1161" s="885"/>
      <c r="GJ1161" s="885"/>
      <c r="GK1161" s="885"/>
      <c r="GL1161" s="885"/>
      <c r="GM1161" s="885"/>
      <c r="GN1161" s="885"/>
      <c r="GO1161" s="885"/>
      <c r="GP1161" s="885"/>
      <c r="GQ1161" s="885"/>
      <c r="GR1161" s="885"/>
      <c r="GS1161" s="885"/>
      <c r="GT1161" s="885"/>
      <c r="GU1161" s="885"/>
      <c r="GV1161" s="885"/>
      <c r="GW1161" s="885"/>
      <c r="GX1161" s="885"/>
      <c r="GY1161" s="885"/>
      <c r="GZ1161" s="885"/>
      <c r="HA1161" s="885"/>
      <c r="HB1161" s="885"/>
      <c r="HC1161" s="885"/>
      <c r="HD1161" s="885"/>
      <c r="HE1161" s="885"/>
      <c r="HF1161" s="885"/>
      <c r="HG1161" s="885"/>
      <c r="HH1161" s="885"/>
      <c r="HI1161" s="885"/>
      <c r="HJ1161" s="885"/>
      <c r="HK1161" s="885"/>
      <c r="HL1161" s="885"/>
      <c r="HM1161" s="885"/>
      <c r="HN1161" s="885"/>
      <c r="HO1161" s="885"/>
      <c r="HP1161" s="885"/>
      <c r="HQ1161" s="885"/>
      <c r="HR1161" s="885"/>
      <c r="HS1161" s="885"/>
      <c r="HT1161" s="885"/>
      <c r="HU1161" s="885"/>
      <c r="HV1161" s="885"/>
      <c r="HW1161" s="885"/>
      <c r="HX1161" s="885"/>
      <c r="HY1161" s="885"/>
      <c r="HZ1161" s="885"/>
      <c r="IA1161" s="885"/>
      <c r="IB1161" s="885"/>
      <c r="IC1161" s="885"/>
      <c r="ID1161" s="885"/>
      <c r="IE1161" s="885"/>
      <c r="IF1161" s="885"/>
      <c r="IG1161" s="885"/>
      <c r="IH1161" s="885"/>
      <c r="II1161" s="885"/>
      <c r="IJ1161" s="885"/>
      <c r="IK1161" s="885"/>
      <c r="IL1161" s="885"/>
      <c r="IM1161" s="885"/>
      <c r="IN1161" s="885"/>
      <c r="IO1161" s="885"/>
      <c r="IP1161" s="885"/>
      <c r="IQ1161" s="885"/>
      <c r="IR1161" s="885"/>
      <c r="IS1161" s="885"/>
      <c r="IT1161" s="885"/>
      <c r="IU1161" s="885"/>
      <c r="IV1161" s="885"/>
      <c r="IW1161" s="885"/>
      <c r="IX1161" s="885"/>
    </row>
    <row r="1162" spans="1:258" x14ac:dyDescent="0.25">
      <c r="A1162" s="125">
        <f t="shared" si="128"/>
        <v>1122</v>
      </c>
      <c r="B1162" s="885"/>
      <c r="C1162" s="134" t="s">
        <v>119</v>
      </c>
      <c r="D1162" s="924">
        <v>239</v>
      </c>
      <c r="E1162" s="924">
        <f t="shared" si="131"/>
        <v>358.5</v>
      </c>
      <c r="F1162" s="129">
        <f>E1162/12</f>
        <v>29.875</v>
      </c>
      <c r="G1162" s="122" t="s">
        <v>1963</v>
      </c>
      <c r="H1162" s="885"/>
      <c r="I1162" s="885"/>
      <c r="J1162" s="885"/>
      <c r="K1162" s="885"/>
      <c r="L1162" s="885"/>
      <c r="M1162" s="885"/>
      <c r="N1162" s="885"/>
      <c r="O1162" s="885"/>
      <c r="P1162" s="885"/>
      <c r="Q1162" s="885"/>
      <c r="R1162" s="885"/>
      <c r="S1162" s="885"/>
      <c r="T1162" s="885"/>
      <c r="U1162" s="885"/>
      <c r="V1162" s="885"/>
      <c r="W1162" s="885"/>
      <c r="X1162" s="885"/>
      <c r="Y1162" s="885"/>
      <c r="Z1162" s="885"/>
      <c r="AA1162" s="885"/>
      <c r="AB1162" s="885"/>
      <c r="AC1162" s="885"/>
      <c r="AD1162" s="885"/>
      <c r="AE1162" s="885"/>
      <c r="AF1162" s="885"/>
      <c r="AG1162" s="885"/>
      <c r="AH1162" s="885"/>
      <c r="AI1162" s="885"/>
      <c r="AJ1162" s="885"/>
      <c r="AK1162" s="885"/>
      <c r="AL1162" s="885"/>
      <c r="AM1162" s="885"/>
      <c r="AN1162" s="885"/>
      <c r="AO1162" s="885"/>
      <c r="AP1162" s="885"/>
      <c r="AQ1162" s="885"/>
      <c r="AR1162" s="885"/>
      <c r="AS1162" s="885"/>
      <c r="AT1162" s="885"/>
      <c r="AU1162" s="885"/>
      <c r="AV1162" s="885"/>
      <c r="AW1162" s="885"/>
      <c r="AX1162" s="885"/>
      <c r="AY1162" s="885"/>
      <c r="AZ1162" s="885"/>
      <c r="BA1162" s="885"/>
      <c r="BB1162" s="885"/>
      <c r="BC1162" s="885"/>
      <c r="BD1162" s="885"/>
      <c r="BE1162" s="885"/>
      <c r="BF1162" s="885"/>
      <c r="BG1162" s="885"/>
      <c r="BH1162" s="885"/>
      <c r="BI1162" s="885"/>
      <c r="BJ1162" s="885"/>
      <c r="BK1162" s="885"/>
      <c r="BL1162" s="885"/>
      <c r="BM1162" s="885"/>
      <c r="BN1162" s="885"/>
      <c r="BO1162" s="885"/>
      <c r="BP1162" s="885"/>
      <c r="BQ1162" s="885"/>
      <c r="BR1162" s="885"/>
      <c r="BS1162" s="885"/>
      <c r="BT1162" s="885"/>
      <c r="BU1162" s="885"/>
      <c r="BV1162" s="885"/>
      <c r="BW1162" s="885"/>
      <c r="BX1162" s="885"/>
      <c r="BY1162" s="885"/>
      <c r="BZ1162" s="885"/>
      <c r="CA1162" s="885"/>
      <c r="CB1162" s="885"/>
      <c r="CC1162" s="885"/>
      <c r="CD1162" s="885"/>
      <c r="CE1162" s="885"/>
      <c r="CF1162" s="885"/>
      <c r="CG1162" s="885"/>
      <c r="CH1162" s="885"/>
      <c r="CI1162" s="885"/>
      <c r="CJ1162" s="885"/>
      <c r="CK1162" s="885"/>
      <c r="CL1162" s="885"/>
      <c r="CM1162" s="885"/>
      <c r="CN1162" s="885"/>
      <c r="CO1162" s="885"/>
      <c r="CP1162" s="885"/>
      <c r="CQ1162" s="885"/>
      <c r="CR1162" s="885"/>
      <c r="CS1162" s="885"/>
      <c r="CT1162" s="885"/>
      <c r="CU1162" s="885"/>
      <c r="CV1162" s="885"/>
      <c r="CW1162" s="885"/>
      <c r="CX1162" s="885"/>
      <c r="CY1162" s="885"/>
      <c r="CZ1162" s="885"/>
      <c r="DA1162" s="885"/>
      <c r="DB1162" s="885"/>
      <c r="DC1162" s="885"/>
      <c r="DD1162" s="885"/>
      <c r="DE1162" s="885"/>
      <c r="DF1162" s="885"/>
      <c r="DG1162" s="885"/>
      <c r="DH1162" s="885"/>
      <c r="DI1162" s="885"/>
      <c r="DJ1162" s="885"/>
      <c r="DK1162" s="885"/>
      <c r="DL1162" s="885"/>
      <c r="DM1162" s="885"/>
      <c r="DN1162" s="885"/>
      <c r="DO1162" s="885"/>
      <c r="DP1162" s="885"/>
      <c r="DQ1162" s="885"/>
      <c r="DR1162" s="885"/>
      <c r="DS1162" s="885"/>
      <c r="DT1162" s="885"/>
      <c r="DU1162" s="885"/>
      <c r="DV1162" s="885"/>
      <c r="DW1162" s="885"/>
      <c r="DX1162" s="885"/>
      <c r="DY1162" s="885"/>
      <c r="DZ1162" s="885"/>
      <c r="EA1162" s="885"/>
      <c r="EB1162" s="885"/>
      <c r="EC1162" s="885"/>
      <c r="ED1162" s="885"/>
      <c r="EE1162" s="885"/>
      <c r="EF1162" s="885"/>
      <c r="EG1162" s="885"/>
      <c r="EH1162" s="885"/>
      <c r="EI1162" s="885"/>
      <c r="EJ1162" s="885"/>
      <c r="EK1162" s="885"/>
      <c r="EL1162" s="885"/>
      <c r="EM1162" s="885"/>
      <c r="EN1162" s="885"/>
      <c r="EO1162" s="885"/>
      <c r="EP1162" s="885"/>
      <c r="EQ1162" s="885"/>
      <c r="ER1162" s="885"/>
      <c r="ES1162" s="885"/>
      <c r="ET1162" s="885"/>
      <c r="EU1162" s="885"/>
      <c r="EV1162" s="885"/>
      <c r="EW1162" s="885"/>
      <c r="EX1162" s="885"/>
      <c r="EY1162" s="885"/>
      <c r="EZ1162" s="885"/>
      <c r="FA1162" s="885"/>
      <c r="FB1162" s="885"/>
      <c r="FC1162" s="885"/>
      <c r="FD1162" s="885"/>
      <c r="FE1162" s="885"/>
      <c r="FF1162" s="885"/>
      <c r="FG1162" s="885"/>
      <c r="FH1162" s="885"/>
      <c r="FI1162" s="885"/>
      <c r="FJ1162" s="885"/>
      <c r="FK1162" s="885"/>
      <c r="FL1162" s="885"/>
      <c r="FM1162" s="885"/>
      <c r="FN1162" s="885"/>
      <c r="FO1162" s="885"/>
      <c r="FP1162" s="885"/>
      <c r="FQ1162" s="885"/>
      <c r="FR1162" s="885"/>
      <c r="FS1162" s="885"/>
      <c r="FT1162" s="885"/>
      <c r="FU1162" s="885"/>
      <c r="FV1162" s="885"/>
      <c r="FW1162" s="885"/>
      <c r="FX1162" s="885"/>
      <c r="FY1162" s="885"/>
      <c r="FZ1162" s="885"/>
      <c r="GA1162" s="885"/>
      <c r="GB1162" s="885"/>
      <c r="GC1162" s="885"/>
      <c r="GD1162" s="885"/>
      <c r="GE1162" s="885"/>
      <c r="GF1162" s="885"/>
      <c r="GG1162" s="885"/>
      <c r="GH1162" s="885"/>
      <c r="GI1162" s="885"/>
      <c r="GJ1162" s="885"/>
      <c r="GK1162" s="885"/>
      <c r="GL1162" s="885"/>
      <c r="GM1162" s="885"/>
      <c r="GN1162" s="885"/>
      <c r="GO1162" s="885"/>
      <c r="GP1162" s="885"/>
      <c r="GQ1162" s="885"/>
      <c r="GR1162" s="885"/>
      <c r="GS1162" s="885"/>
      <c r="GT1162" s="885"/>
      <c r="GU1162" s="885"/>
      <c r="GV1162" s="885"/>
      <c r="GW1162" s="885"/>
      <c r="GX1162" s="885"/>
      <c r="GY1162" s="885"/>
      <c r="GZ1162" s="885"/>
      <c r="HA1162" s="885"/>
      <c r="HB1162" s="885"/>
      <c r="HC1162" s="885"/>
      <c r="HD1162" s="885"/>
      <c r="HE1162" s="885"/>
      <c r="HF1162" s="885"/>
      <c r="HG1162" s="885"/>
      <c r="HH1162" s="885"/>
      <c r="HI1162" s="885"/>
      <c r="HJ1162" s="885"/>
      <c r="HK1162" s="885"/>
      <c r="HL1162" s="885"/>
      <c r="HM1162" s="885"/>
      <c r="HN1162" s="885"/>
      <c r="HO1162" s="885"/>
      <c r="HP1162" s="885"/>
      <c r="HQ1162" s="885"/>
      <c r="HR1162" s="885"/>
      <c r="HS1162" s="885"/>
      <c r="HT1162" s="885"/>
      <c r="HU1162" s="885"/>
      <c r="HV1162" s="885"/>
      <c r="HW1162" s="885"/>
      <c r="HX1162" s="885"/>
      <c r="HY1162" s="885"/>
      <c r="HZ1162" s="885"/>
      <c r="IA1162" s="885"/>
      <c r="IB1162" s="885"/>
      <c r="IC1162" s="885"/>
      <c r="ID1162" s="885"/>
      <c r="IE1162" s="885"/>
      <c r="IF1162" s="885"/>
      <c r="IG1162" s="885"/>
      <c r="IH1162" s="885"/>
      <c r="II1162" s="885"/>
      <c r="IJ1162" s="885"/>
      <c r="IK1162" s="885"/>
      <c r="IL1162" s="885"/>
      <c r="IM1162" s="885"/>
      <c r="IN1162" s="885"/>
      <c r="IO1162" s="885"/>
      <c r="IP1162" s="885"/>
      <c r="IQ1162" s="885"/>
      <c r="IR1162" s="885"/>
      <c r="IS1162" s="885"/>
      <c r="IT1162" s="885"/>
      <c r="IU1162" s="885"/>
      <c r="IV1162" s="885"/>
      <c r="IW1162" s="885"/>
      <c r="IX1162" s="885"/>
    </row>
    <row r="1163" spans="1:258" x14ac:dyDescent="0.25">
      <c r="A1163" s="125">
        <f t="shared" si="128"/>
        <v>1123</v>
      </c>
      <c r="B1163" s="885"/>
      <c r="C1163" s="134" t="s">
        <v>120</v>
      </c>
      <c r="D1163" s="924">
        <v>3851.45</v>
      </c>
      <c r="E1163" s="924">
        <f t="shared" si="131"/>
        <v>5777.1749999999993</v>
      </c>
      <c r="F1163" s="129">
        <f>E1163</f>
        <v>5777.1749999999993</v>
      </c>
      <c r="G1163" s="122" t="s">
        <v>1963</v>
      </c>
      <c r="H1163" s="885"/>
      <c r="I1163" s="885"/>
      <c r="J1163" s="885"/>
      <c r="K1163" s="885"/>
      <c r="L1163" s="885"/>
      <c r="M1163" s="885"/>
      <c r="N1163" s="885"/>
      <c r="O1163" s="885"/>
      <c r="P1163" s="885"/>
      <c r="Q1163" s="885"/>
      <c r="R1163" s="885"/>
      <c r="S1163" s="885"/>
      <c r="T1163" s="885"/>
      <c r="U1163" s="885"/>
      <c r="V1163" s="885"/>
      <c r="W1163" s="885"/>
      <c r="X1163" s="885"/>
      <c r="Y1163" s="885"/>
      <c r="Z1163" s="885"/>
      <c r="AA1163" s="885"/>
      <c r="AB1163" s="885"/>
      <c r="AC1163" s="885"/>
      <c r="AD1163" s="885"/>
      <c r="AE1163" s="885"/>
      <c r="AF1163" s="885"/>
      <c r="AG1163" s="885"/>
      <c r="AH1163" s="885"/>
      <c r="AI1163" s="885"/>
      <c r="AJ1163" s="885"/>
      <c r="AK1163" s="885"/>
      <c r="AL1163" s="885"/>
      <c r="AM1163" s="885"/>
      <c r="AN1163" s="885"/>
      <c r="AO1163" s="885"/>
      <c r="AP1163" s="885"/>
      <c r="AQ1163" s="885"/>
      <c r="AR1163" s="885"/>
      <c r="AS1163" s="885"/>
      <c r="AT1163" s="885"/>
      <c r="AU1163" s="885"/>
      <c r="AV1163" s="885"/>
      <c r="AW1163" s="885"/>
      <c r="AX1163" s="885"/>
      <c r="AY1163" s="885"/>
      <c r="AZ1163" s="885"/>
      <c r="BA1163" s="885"/>
      <c r="BB1163" s="885"/>
      <c r="BC1163" s="885"/>
      <c r="BD1163" s="885"/>
      <c r="BE1163" s="885"/>
      <c r="BF1163" s="885"/>
      <c r="BG1163" s="885"/>
      <c r="BH1163" s="885"/>
      <c r="BI1163" s="885"/>
      <c r="BJ1163" s="885"/>
      <c r="BK1163" s="885"/>
      <c r="BL1163" s="885"/>
      <c r="BM1163" s="885"/>
      <c r="BN1163" s="885"/>
      <c r="BO1163" s="885"/>
      <c r="BP1163" s="885"/>
      <c r="BQ1163" s="885"/>
      <c r="BR1163" s="885"/>
      <c r="BS1163" s="885"/>
      <c r="BT1163" s="885"/>
      <c r="BU1163" s="885"/>
      <c r="BV1163" s="885"/>
      <c r="BW1163" s="885"/>
      <c r="BX1163" s="885"/>
      <c r="BY1163" s="885"/>
      <c r="BZ1163" s="885"/>
      <c r="CA1163" s="885"/>
      <c r="CB1163" s="885"/>
      <c r="CC1163" s="885"/>
      <c r="CD1163" s="885"/>
      <c r="CE1163" s="885"/>
      <c r="CF1163" s="885"/>
      <c r="CG1163" s="885"/>
      <c r="CH1163" s="885"/>
      <c r="CI1163" s="885"/>
      <c r="CJ1163" s="885"/>
      <c r="CK1163" s="885"/>
      <c r="CL1163" s="885"/>
      <c r="CM1163" s="885"/>
      <c r="CN1163" s="885"/>
      <c r="CO1163" s="885"/>
      <c r="CP1163" s="885"/>
      <c r="CQ1163" s="885"/>
      <c r="CR1163" s="885"/>
      <c r="CS1163" s="885"/>
      <c r="CT1163" s="885"/>
      <c r="CU1163" s="885"/>
      <c r="CV1163" s="885"/>
      <c r="CW1163" s="885"/>
      <c r="CX1163" s="885"/>
      <c r="CY1163" s="885"/>
      <c r="CZ1163" s="885"/>
      <c r="DA1163" s="885"/>
      <c r="DB1163" s="885"/>
      <c r="DC1163" s="885"/>
      <c r="DD1163" s="885"/>
      <c r="DE1163" s="885"/>
      <c r="DF1163" s="885"/>
      <c r="DG1163" s="885"/>
      <c r="DH1163" s="885"/>
      <c r="DI1163" s="885"/>
      <c r="DJ1163" s="885"/>
      <c r="DK1163" s="885"/>
      <c r="DL1163" s="885"/>
      <c r="DM1163" s="885"/>
      <c r="DN1163" s="885"/>
      <c r="DO1163" s="885"/>
      <c r="DP1163" s="885"/>
      <c r="DQ1163" s="885"/>
      <c r="DR1163" s="885"/>
      <c r="DS1163" s="885"/>
      <c r="DT1163" s="885"/>
      <c r="DU1163" s="885"/>
      <c r="DV1163" s="885"/>
      <c r="DW1163" s="885"/>
      <c r="DX1163" s="885"/>
      <c r="DY1163" s="885"/>
      <c r="DZ1163" s="885"/>
      <c r="EA1163" s="885"/>
      <c r="EB1163" s="885"/>
      <c r="EC1163" s="885"/>
      <c r="ED1163" s="885"/>
      <c r="EE1163" s="885"/>
      <c r="EF1163" s="885"/>
      <c r="EG1163" s="885"/>
      <c r="EH1163" s="885"/>
      <c r="EI1163" s="885"/>
      <c r="EJ1163" s="885"/>
      <c r="EK1163" s="885"/>
      <c r="EL1163" s="885"/>
      <c r="EM1163" s="885"/>
      <c r="EN1163" s="885"/>
      <c r="EO1163" s="885"/>
      <c r="EP1163" s="885"/>
      <c r="EQ1163" s="885"/>
      <c r="ER1163" s="885"/>
      <c r="ES1163" s="885"/>
      <c r="ET1163" s="885"/>
      <c r="EU1163" s="885"/>
      <c r="EV1163" s="885"/>
      <c r="EW1163" s="885"/>
      <c r="EX1163" s="885"/>
      <c r="EY1163" s="885"/>
      <c r="EZ1163" s="885"/>
      <c r="FA1163" s="885"/>
      <c r="FB1163" s="885"/>
      <c r="FC1163" s="885"/>
      <c r="FD1163" s="885"/>
      <c r="FE1163" s="885"/>
      <c r="FF1163" s="885"/>
      <c r="FG1163" s="885"/>
      <c r="FH1163" s="885"/>
      <c r="FI1163" s="885"/>
      <c r="FJ1163" s="885"/>
      <c r="FK1163" s="885"/>
      <c r="FL1163" s="885"/>
      <c r="FM1163" s="885"/>
      <c r="FN1163" s="885"/>
      <c r="FO1163" s="885"/>
      <c r="FP1163" s="885"/>
      <c r="FQ1163" s="885"/>
      <c r="FR1163" s="885"/>
      <c r="FS1163" s="885"/>
      <c r="FT1163" s="885"/>
      <c r="FU1163" s="885"/>
      <c r="FV1163" s="885"/>
      <c r="FW1163" s="885"/>
      <c r="FX1163" s="885"/>
      <c r="FY1163" s="885"/>
      <c r="FZ1163" s="885"/>
      <c r="GA1163" s="885"/>
      <c r="GB1163" s="885"/>
      <c r="GC1163" s="885"/>
      <c r="GD1163" s="885"/>
      <c r="GE1163" s="885"/>
      <c r="GF1163" s="885"/>
      <c r="GG1163" s="885"/>
      <c r="GH1163" s="885"/>
      <c r="GI1163" s="885"/>
      <c r="GJ1163" s="885"/>
      <c r="GK1163" s="885"/>
      <c r="GL1163" s="885"/>
      <c r="GM1163" s="885"/>
      <c r="GN1163" s="885"/>
      <c r="GO1163" s="885"/>
      <c r="GP1163" s="885"/>
      <c r="GQ1163" s="885"/>
      <c r="GR1163" s="885"/>
      <c r="GS1163" s="885"/>
      <c r="GT1163" s="885"/>
      <c r="GU1163" s="885"/>
      <c r="GV1163" s="885"/>
      <c r="GW1163" s="885"/>
      <c r="GX1163" s="885"/>
      <c r="GY1163" s="885"/>
      <c r="GZ1163" s="885"/>
      <c r="HA1163" s="885"/>
      <c r="HB1163" s="885"/>
      <c r="HC1163" s="885"/>
      <c r="HD1163" s="885"/>
      <c r="HE1163" s="885"/>
      <c r="HF1163" s="885"/>
      <c r="HG1163" s="885"/>
      <c r="HH1163" s="885"/>
      <c r="HI1163" s="885"/>
      <c r="HJ1163" s="885"/>
      <c r="HK1163" s="885"/>
      <c r="HL1163" s="885"/>
      <c r="HM1163" s="885"/>
      <c r="HN1163" s="885"/>
      <c r="HO1163" s="885"/>
      <c r="HP1163" s="885"/>
      <c r="HQ1163" s="885"/>
      <c r="HR1163" s="885"/>
      <c r="HS1163" s="885"/>
      <c r="HT1163" s="885"/>
      <c r="HU1163" s="885"/>
      <c r="HV1163" s="885"/>
      <c r="HW1163" s="885"/>
      <c r="HX1163" s="885"/>
      <c r="HY1163" s="885"/>
      <c r="HZ1163" s="885"/>
      <c r="IA1163" s="885"/>
      <c r="IB1163" s="885"/>
      <c r="IC1163" s="885"/>
      <c r="ID1163" s="885"/>
      <c r="IE1163" s="885"/>
      <c r="IF1163" s="885"/>
      <c r="IG1163" s="885"/>
      <c r="IH1163" s="885"/>
      <c r="II1163" s="885"/>
      <c r="IJ1163" s="885"/>
      <c r="IK1163" s="885"/>
      <c r="IL1163" s="885"/>
      <c r="IM1163" s="885"/>
      <c r="IN1163" s="885"/>
      <c r="IO1163" s="885"/>
      <c r="IP1163" s="885"/>
      <c r="IQ1163" s="885"/>
      <c r="IR1163" s="885"/>
      <c r="IS1163" s="885"/>
      <c r="IT1163" s="885"/>
      <c r="IU1163" s="885"/>
      <c r="IV1163" s="885"/>
      <c r="IW1163" s="885"/>
      <c r="IX1163" s="885"/>
    </row>
    <row r="1164" spans="1:258" ht="17.25" customHeight="1" x14ac:dyDescent="0.25">
      <c r="A1164" s="125">
        <f t="shared" si="128"/>
        <v>1124</v>
      </c>
      <c r="B1164" s="885"/>
      <c r="C1164" s="134" t="s">
        <v>10707</v>
      </c>
      <c r="D1164" s="924">
        <v>0</v>
      </c>
      <c r="E1164" s="924">
        <f t="shared" si="131"/>
        <v>0</v>
      </c>
      <c r="F1164" s="129">
        <v>500</v>
      </c>
      <c r="G1164" s="122" t="s">
        <v>1963</v>
      </c>
      <c r="H1164" s="885"/>
      <c r="I1164" s="885"/>
      <c r="J1164" s="885"/>
      <c r="K1164" s="885"/>
      <c r="L1164" s="885"/>
      <c r="M1164" s="885"/>
      <c r="N1164" s="885"/>
      <c r="O1164" s="885"/>
      <c r="P1164" s="885"/>
      <c r="Q1164" s="885"/>
      <c r="R1164" s="885"/>
      <c r="S1164" s="885"/>
      <c r="T1164" s="885"/>
      <c r="U1164" s="885"/>
      <c r="V1164" s="885"/>
      <c r="W1164" s="885"/>
      <c r="X1164" s="885"/>
      <c r="Y1164" s="885"/>
      <c r="Z1164" s="885"/>
      <c r="AA1164" s="885"/>
      <c r="AB1164" s="885"/>
      <c r="AC1164" s="885"/>
      <c r="AD1164" s="885"/>
      <c r="AE1164" s="885"/>
      <c r="AF1164" s="885"/>
      <c r="AG1164" s="885"/>
      <c r="AH1164" s="885"/>
      <c r="AI1164" s="885"/>
      <c r="AJ1164" s="885"/>
      <c r="AK1164" s="885"/>
      <c r="AL1164" s="885"/>
      <c r="AM1164" s="885"/>
      <c r="AN1164" s="885"/>
      <c r="AO1164" s="885"/>
      <c r="AP1164" s="885"/>
      <c r="AQ1164" s="885"/>
      <c r="AR1164" s="885"/>
      <c r="AS1164" s="885"/>
      <c r="AT1164" s="885"/>
      <c r="AU1164" s="885"/>
      <c r="AV1164" s="885"/>
      <c r="AW1164" s="885"/>
      <c r="AX1164" s="885"/>
      <c r="AY1164" s="885"/>
      <c r="AZ1164" s="885"/>
      <c r="BA1164" s="885"/>
      <c r="BB1164" s="885"/>
      <c r="BC1164" s="885"/>
      <c r="BD1164" s="885"/>
      <c r="BE1164" s="885"/>
      <c r="BF1164" s="885"/>
      <c r="BG1164" s="885"/>
      <c r="BH1164" s="885"/>
      <c r="BI1164" s="885"/>
      <c r="BJ1164" s="885"/>
      <c r="BK1164" s="885"/>
      <c r="BL1164" s="885"/>
      <c r="BM1164" s="885"/>
      <c r="BN1164" s="885"/>
      <c r="BO1164" s="885"/>
      <c r="BP1164" s="885"/>
      <c r="BQ1164" s="885"/>
      <c r="BR1164" s="885"/>
      <c r="BS1164" s="885"/>
      <c r="BT1164" s="885"/>
      <c r="BU1164" s="885"/>
      <c r="BV1164" s="885"/>
      <c r="BW1164" s="885"/>
      <c r="BX1164" s="885"/>
      <c r="BY1164" s="885"/>
      <c r="BZ1164" s="885"/>
      <c r="CA1164" s="885"/>
      <c r="CB1164" s="885"/>
      <c r="CC1164" s="885"/>
      <c r="CD1164" s="885"/>
      <c r="CE1164" s="885"/>
      <c r="CF1164" s="885"/>
      <c r="CG1164" s="885"/>
      <c r="CH1164" s="885"/>
      <c r="CI1164" s="885"/>
      <c r="CJ1164" s="885"/>
      <c r="CK1164" s="885"/>
      <c r="CL1164" s="885"/>
      <c r="CM1164" s="885"/>
      <c r="CN1164" s="885"/>
      <c r="CO1164" s="885"/>
      <c r="CP1164" s="885"/>
      <c r="CQ1164" s="885"/>
      <c r="CR1164" s="885"/>
      <c r="CS1164" s="885"/>
      <c r="CT1164" s="885"/>
      <c r="CU1164" s="885"/>
      <c r="CV1164" s="885"/>
      <c r="CW1164" s="885"/>
      <c r="CX1164" s="885"/>
      <c r="CY1164" s="885"/>
      <c r="CZ1164" s="885"/>
      <c r="DA1164" s="885"/>
      <c r="DB1164" s="885"/>
      <c r="DC1164" s="885"/>
      <c r="DD1164" s="885"/>
      <c r="DE1164" s="885"/>
      <c r="DF1164" s="885"/>
      <c r="DG1164" s="885"/>
      <c r="DH1164" s="885"/>
      <c r="DI1164" s="885"/>
      <c r="DJ1164" s="885"/>
      <c r="DK1164" s="885"/>
      <c r="DL1164" s="885"/>
      <c r="DM1164" s="885"/>
      <c r="DN1164" s="885"/>
      <c r="DO1164" s="885"/>
      <c r="DP1164" s="885"/>
      <c r="DQ1164" s="885"/>
      <c r="DR1164" s="885"/>
      <c r="DS1164" s="885"/>
      <c r="DT1164" s="885"/>
      <c r="DU1164" s="885"/>
      <c r="DV1164" s="885"/>
      <c r="DW1164" s="885"/>
      <c r="DX1164" s="885"/>
      <c r="DY1164" s="885"/>
      <c r="DZ1164" s="885"/>
      <c r="EA1164" s="885"/>
      <c r="EB1164" s="885"/>
      <c r="EC1164" s="885"/>
      <c r="ED1164" s="885"/>
      <c r="EE1164" s="885"/>
      <c r="EF1164" s="885"/>
      <c r="EG1164" s="885"/>
      <c r="EH1164" s="885"/>
      <c r="EI1164" s="885"/>
      <c r="EJ1164" s="885"/>
      <c r="EK1164" s="885"/>
      <c r="EL1164" s="885"/>
      <c r="EM1164" s="885"/>
      <c r="EN1164" s="885"/>
      <c r="EO1164" s="885"/>
      <c r="EP1164" s="885"/>
      <c r="EQ1164" s="885"/>
      <c r="ER1164" s="885"/>
      <c r="ES1164" s="885"/>
      <c r="ET1164" s="885"/>
      <c r="EU1164" s="885"/>
      <c r="EV1164" s="885"/>
      <c r="EW1164" s="885"/>
      <c r="EX1164" s="885"/>
      <c r="EY1164" s="885"/>
      <c r="EZ1164" s="885"/>
      <c r="FA1164" s="885"/>
      <c r="FB1164" s="885"/>
      <c r="FC1164" s="885"/>
      <c r="FD1164" s="885"/>
      <c r="FE1164" s="885"/>
      <c r="FF1164" s="885"/>
      <c r="FG1164" s="885"/>
      <c r="FH1164" s="885"/>
      <c r="FI1164" s="885"/>
      <c r="FJ1164" s="885"/>
      <c r="FK1164" s="885"/>
      <c r="FL1164" s="885"/>
      <c r="FM1164" s="885"/>
      <c r="FN1164" s="885"/>
      <c r="FO1164" s="885"/>
      <c r="FP1164" s="885"/>
      <c r="FQ1164" s="885"/>
      <c r="FR1164" s="885"/>
      <c r="FS1164" s="885"/>
      <c r="FT1164" s="885"/>
      <c r="FU1164" s="885"/>
      <c r="FV1164" s="885"/>
      <c r="FW1164" s="885"/>
      <c r="FX1164" s="885"/>
      <c r="FY1164" s="885"/>
      <c r="FZ1164" s="885"/>
      <c r="GA1164" s="885"/>
      <c r="GB1164" s="885"/>
      <c r="GC1164" s="885"/>
      <c r="GD1164" s="885"/>
      <c r="GE1164" s="885"/>
      <c r="GF1164" s="885"/>
      <c r="GG1164" s="885"/>
      <c r="GH1164" s="885"/>
      <c r="GI1164" s="885"/>
      <c r="GJ1164" s="885"/>
      <c r="GK1164" s="885"/>
      <c r="GL1164" s="885"/>
      <c r="GM1164" s="885"/>
      <c r="GN1164" s="885"/>
      <c r="GO1164" s="885"/>
      <c r="GP1164" s="885"/>
      <c r="GQ1164" s="885"/>
      <c r="GR1164" s="885"/>
      <c r="GS1164" s="885"/>
      <c r="GT1164" s="885"/>
      <c r="GU1164" s="885"/>
      <c r="GV1164" s="885"/>
      <c r="GW1164" s="885"/>
      <c r="GX1164" s="885"/>
      <c r="GY1164" s="885"/>
      <c r="GZ1164" s="885"/>
      <c r="HA1164" s="885"/>
      <c r="HB1164" s="885"/>
      <c r="HC1164" s="885"/>
      <c r="HD1164" s="885"/>
      <c r="HE1164" s="885"/>
      <c r="HF1164" s="885"/>
      <c r="HG1164" s="885"/>
      <c r="HH1164" s="885"/>
      <c r="HI1164" s="885"/>
      <c r="HJ1164" s="885"/>
      <c r="HK1164" s="885"/>
      <c r="HL1164" s="885"/>
      <c r="HM1164" s="885"/>
      <c r="HN1164" s="885"/>
      <c r="HO1164" s="885"/>
      <c r="HP1164" s="885"/>
      <c r="HQ1164" s="885"/>
      <c r="HR1164" s="885"/>
      <c r="HS1164" s="885"/>
      <c r="HT1164" s="885"/>
      <c r="HU1164" s="885"/>
      <c r="HV1164" s="885"/>
      <c r="HW1164" s="885"/>
      <c r="HX1164" s="885"/>
      <c r="HY1164" s="885"/>
      <c r="HZ1164" s="885"/>
      <c r="IA1164" s="885"/>
      <c r="IB1164" s="885"/>
      <c r="IC1164" s="885"/>
      <c r="ID1164" s="885"/>
      <c r="IE1164" s="885"/>
      <c r="IF1164" s="885"/>
      <c r="IG1164" s="885"/>
      <c r="IH1164" s="885"/>
      <c r="II1164" s="885"/>
      <c r="IJ1164" s="885"/>
      <c r="IK1164" s="885"/>
      <c r="IL1164" s="885"/>
      <c r="IM1164" s="885"/>
      <c r="IN1164" s="885"/>
      <c r="IO1164" s="885"/>
      <c r="IP1164" s="885"/>
      <c r="IQ1164" s="885"/>
      <c r="IR1164" s="885"/>
      <c r="IS1164" s="885"/>
      <c r="IT1164" s="885"/>
      <c r="IU1164" s="885"/>
      <c r="IV1164" s="885"/>
      <c r="IW1164" s="885"/>
      <c r="IX1164" s="885"/>
    </row>
    <row r="1165" spans="1:258" x14ac:dyDescent="0.25">
      <c r="A1165" s="125">
        <f t="shared" si="128"/>
        <v>1125</v>
      </c>
      <c r="B1165" s="885"/>
      <c r="C1165" s="134" t="s">
        <v>1968</v>
      </c>
      <c r="D1165" s="924">
        <v>0</v>
      </c>
      <c r="E1165" s="924">
        <f t="shared" si="131"/>
        <v>0</v>
      </c>
      <c r="F1165" s="129">
        <v>500</v>
      </c>
      <c r="G1165" s="122" t="s">
        <v>1963</v>
      </c>
      <c r="H1165" s="885"/>
      <c r="I1165" s="885"/>
      <c r="J1165" s="885"/>
      <c r="K1165" s="885"/>
      <c r="L1165" s="885"/>
      <c r="M1165" s="885"/>
      <c r="N1165" s="885"/>
      <c r="O1165" s="885"/>
      <c r="P1165" s="885"/>
      <c r="Q1165" s="885"/>
      <c r="R1165" s="885"/>
      <c r="S1165" s="885"/>
      <c r="T1165" s="885"/>
      <c r="U1165" s="885"/>
      <c r="V1165" s="885"/>
      <c r="W1165" s="885"/>
      <c r="X1165" s="885"/>
      <c r="Y1165" s="885"/>
      <c r="Z1165" s="885"/>
      <c r="AA1165" s="885"/>
      <c r="AB1165" s="885"/>
      <c r="AC1165" s="885"/>
      <c r="AD1165" s="885"/>
      <c r="AE1165" s="885"/>
      <c r="AF1165" s="885"/>
      <c r="AG1165" s="885"/>
      <c r="AH1165" s="885"/>
      <c r="AI1165" s="885"/>
      <c r="AJ1165" s="885"/>
      <c r="AK1165" s="885"/>
      <c r="AL1165" s="885"/>
      <c r="AM1165" s="885"/>
      <c r="AN1165" s="885"/>
      <c r="AO1165" s="885"/>
      <c r="AP1165" s="885"/>
      <c r="AQ1165" s="885"/>
      <c r="AR1165" s="885"/>
      <c r="AS1165" s="885"/>
      <c r="AT1165" s="885"/>
      <c r="AU1165" s="885"/>
      <c r="AV1165" s="885"/>
      <c r="AW1165" s="885"/>
      <c r="AX1165" s="885"/>
      <c r="AY1165" s="885"/>
      <c r="AZ1165" s="885"/>
      <c r="BA1165" s="885"/>
      <c r="BB1165" s="885"/>
      <c r="BC1165" s="885"/>
      <c r="BD1165" s="885"/>
      <c r="BE1165" s="885"/>
      <c r="BF1165" s="885"/>
      <c r="BG1165" s="885"/>
      <c r="BH1165" s="885"/>
      <c r="BI1165" s="885"/>
      <c r="BJ1165" s="885"/>
      <c r="BK1165" s="885"/>
      <c r="BL1165" s="885"/>
      <c r="BM1165" s="885"/>
      <c r="BN1165" s="885"/>
      <c r="BO1165" s="885"/>
      <c r="BP1165" s="885"/>
      <c r="BQ1165" s="885"/>
      <c r="BR1165" s="885"/>
      <c r="BS1165" s="885"/>
      <c r="BT1165" s="885"/>
      <c r="BU1165" s="885"/>
      <c r="BV1165" s="885"/>
      <c r="BW1165" s="885"/>
      <c r="BX1165" s="885"/>
      <c r="BY1165" s="885"/>
      <c r="BZ1165" s="885"/>
      <c r="CA1165" s="885"/>
      <c r="CB1165" s="885"/>
      <c r="CC1165" s="885"/>
      <c r="CD1165" s="885"/>
      <c r="CE1165" s="885"/>
      <c r="CF1165" s="885"/>
      <c r="CG1165" s="885"/>
      <c r="CH1165" s="885"/>
      <c r="CI1165" s="885"/>
      <c r="CJ1165" s="885"/>
      <c r="CK1165" s="885"/>
      <c r="CL1165" s="885"/>
      <c r="CM1165" s="885"/>
      <c r="CN1165" s="885"/>
      <c r="CO1165" s="885"/>
      <c r="CP1165" s="885"/>
      <c r="CQ1165" s="885"/>
      <c r="CR1165" s="885"/>
      <c r="CS1165" s="885"/>
      <c r="CT1165" s="885"/>
      <c r="CU1165" s="885"/>
      <c r="CV1165" s="885"/>
      <c r="CW1165" s="885"/>
      <c r="CX1165" s="885"/>
      <c r="CY1165" s="885"/>
      <c r="CZ1165" s="885"/>
      <c r="DA1165" s="885"/>
      <c r="DB1165" s="885"/>
      <c r="DC1165" s="885"/>
      <c r="DD1165" s="885"/>
      <c r="DE1165" s="885"/>
      <c r="DF1165" s="885"/>
      <c r="DG1165" s="885"/>
      <c r="DH1165" s="885"/>
      <c r="DI1165" s="885"/>
      <c r="DJ1165" s="885"/>
      <c r="DK1165" s="885"/>
      <c r="DL1165" s="885"/>
      <c r="DM1165" s="885"/>
      <c r="DN1165" s="885"/>
      <c r="DO1165" s="885"/>
      <c r="DP1165" s="885"/>
      <c r="DQ1165" s="885"/>
      <c r="DR1165" s="885"/>
      <c r="DS1165" s="885"/>
      <c r="DT1165" s="885"/>
      <c r="DU1165" s="885"/>
      <c r="DV1165" s="885"/>
      <c r="DW1165" s="885"/>
      <c r="DX1165" s="885"/>
      <c r="DY1165" s="885"/>
      <c r="DZ1165" s="885"/>
      <c r="EA1165" s="885"/>
      <c r="EB1165" s="885"/>
      <c r="EC1165" s="885"/>
      <c r="ED1165" s="885"/>
      <c r="EE1165" s="885"/>
      <c r="EF1165" s="885"/>
      <c r="EG1165" s="885"/>
      <c r="EH1165" s="885"/>
      <c r="EI1165" s="885"/>
      <c r="EJ1165" s="885"/>
      <c r="EK1165" s="885"/>
      <c r="EL1165" s="885"/>
      <c r="EM1165" s="885"/>
      <c r="EN1165" s="885"/>
      <c r="EO1165" s="885"/>
      <c r="EP1165" s="885"/>
      <c r="EQ1165" s="885"/>
      <c r="ER1165" s="885"/>
      <c r="ES1165" s="885"/>
      <c r="ET1165" s="885"/>
      <c r="EU1165" s="885"/>
      <c r="EV1165" s="885"/>
      <c r="EW1165" s="885"/>
      <c r="EX1165" s="885"/>
      <c r="EY1165" s="885"/>
      <c r="EZ1165" s="885"/>
      <c r="FA1165" s="885"/>
      <c r="FB1165" s="885"/>
      <c r="FC1165" s="885"/>
      <c r="FD1165" s="885"/>
      <c r="FE1165" s="885"/>
      <c r="FF1165" s="885"/>
      <c r="FG1165" s="885"/>
      <c r="FH1165" s="885"/>
      <c r="FI1165" s="885"/>
      <c r="FJ1165" s="885"/>
      <c r="FK1165" s="885"/>
      <c r="FL1165" s="885"/>
      <c r="FM1165" s="885"/>
      <c r="FN1165" s="885"/>
      <c r="FO1165" s="885"/>
      <c r="FP1165" s="885"/>
      <c r="FQ1165" s="885"/>
      <c r="FR1165" s="885"/>
      <c r="FS1165" s="885"/>
      <c r="FT1165" s="885"/>
      <c r="FU1165" s="885"/>
      <c r="FV1165" s="885"/>
      <c r="FW1165" s="885"/>
      <c r="FX1165" s="885"/>
      <c r="FY1165" s="885"/>
      <c r="FZ1165" s="885"/>
      <c r="GA1165" s="885"/>
      <c r="GB1165" s="885"/>
      <c r="GC1165" s="885"/>
      <c r="GD1165" s="885"/>
      <c r="GE1165" s="885"/>
      <c r="GF1165" s="885"/>
      <c r="GG1165" s="885"/>
      <c r="GH1165" s="885"/>
      <c r="GI1165" s="885"/>
      <c r="GJ1165" s="885"/>
      <c r="GK1165" s="885"/>
      <c r="GL1165" s="885"/>
      <c r="GM1165" s="885"/>
      <c r="GN1165" s="885"/>
      <c r="GO1165" s="885"/>
      <c r="GP1165" s="885"/>
      <c r="GQ1165" s="885"/>
      <c r="GR1165" s="885"/>
      <c r="GS1165" s="885"/>
      <c r="GT1165" s="885"/>
      <c r="GU1165" s="885"/>
      <c r="GV1165" s="885"/>
      <c r="GW1165" s="885"/>
      <c r="GX1165" s="885"/>
      <c r="GY1165" s="885"/>
      <c r="GZ1165" s="885"/>
      <c r="HA1165" s="885"/>
      <c r="HB1165" s="885"/>
      <c r="HC1165" s="885"/>
      <c r="HD1165" s="885"/>
      <c r="HE1165" s="885"/>
      <c r="HF1165" s="885"/>
      <c r="HG1165" s="885"/>
      <c r="HH1165" s="885"/>
      <c r="HI1165" s="885"/>
      <c r="HJ1165" s="885"/>
      <c r="HK1165" s="885"/>
      <c r="HL1165" s="885"/>
      <c r="HM1165" s="885"/>
      <c r="HN1165" s="885"/>
      <c r="HO1165" s="885"/>
      <c r="HP1165" s="885"/>
      <c r="HQ1165" s="885"/>
      <c r="HR1165" s="885"/>
      <c r="HS1165" s="885"/>
      <c r="HT1165" s="885"/>
      <c r="HU1165" s="885"/>
      <c r="HV1165" s="885"/>
      <c r="HW1165" s="885"/>
      <c r="HX1165" s="885"/>
      <c r="HY1165" s="885"/>
      <c r="HZ1165" s="885"/>
      <c r="IA1165" s="885"/>
      <c r="IB1165" s="885"/>
      <c r="IC1165" s="885"/>
      <c r="ID1165" s="885"/>
      <c r="IE1165" s="885"/>
      <c r="IF1165" s="885"/>
      <c r="IG1165" s="885"/>
      <c r="IH1165" s="885"/>
      <c r="II1165" s="885"/>
      <c r="IJ1165" s="885"/>
      <c r="IK1165" s="885"/>
      <c r="IL1165" s="885"/>
      <c r="IM1165" s="885"/>
      <c r="IN1165" s="885"/>
      <c r="IO1165" s="885"/>
      <c r="IP1165" s="885"/>
      <c r="IQ1165" s="885"/>
      <c r="IR1165" s="885"/>
      <c r="IS1165" s="885"/>
      <c r="IT1165" s="885"/>
      <c r="IU1165" s="885"/>
      <c r="IV1165" s="885"/>
      <c r="IW1165" s="885"/>
      <c r="IX1165" s="885"/>
    </row>
    <row r="1166" spans="1:258" x14ac:dyDescent="0.25">
      <c r="A1166" s="125">
        <f t="shared" si="128"/>
        <v>1126</v>
      </c>
      <c r="B1166" s="885"/>
      <c r="C1166" s="134" t="s">
        <v>1969</v>
      </c>
      <c r="D1166" s="924">
        <v>0</v>
      </c>
      <c r="E1166" s="924">
        <f t="shared" si="131"/>
        <v>0</v>
      </c>
      <c r="F1166" s="129">
        <v>500</v>
      </c>
      <c r="G1166" s="122" t="s">
        <v>1963</v>
      </c>
      <c r="H1166" s="885"/>
      <c r="I1166" s="885"/>
      <c r="J1166" s="885"/>
      <c r="K1166" s="885"/>
      <c r="L1166" s="885"/>
      <c r="M1166" s="885"/>
      <c r="N1166" s="885"/>
      <c r="O1166" s="885"/>
      <c r="P1166" s="885"/>
      <c r="Q1166" s="885"/>
      <c r="R1166" s="885"/>
      <c r="S1166" s="885"/>
      <c r="T1166" s="885"/>
      <c r="U1166" s="885"/>
      <c r="V1166" s="885"/>
      <c r="W1166" s="885"/>
      <c r="X1166" s="885"/>
      <c r="Y1166" s="885"/>
      <c r="Z1166" s="885"/>
      <c r="AA1166" s="885"/>
      <c r="AB1166" s="885"/>
      <c r="AC1166" s="885"/>
      <c r="AD1166" s="885"/>
      <c r="AE1166" s="885"/>
      <c r="AF1166" s="885"/>
      <c r="AG1166" s="885"/>
      <c r="AH1166" s="885"/>
      <c r="AI1166" s="885"/>
      <c r="AJ1166" s="885"/>
      <c r="AK1166" s="885"/>
      <c r="AL1166" s="885"/>
      <c r="AM1166" s="885"/>
      <c r="AN1166" s="885"/>
      <c r="AO1166" s="885"/>
      <c r="AP1166" s="885"/>
      <c r="AQ1166" s="885"/>
      <c r="AR1166" s="885"/>
      <c r="AS1166" s="885"/>
      <c r="AT1166" s="885"/>
      <c r="AU1166" s="885"/>
      <c r="AV1166" s="885"/>
      <c r="AW1166" s="885"/>
      <c r="AX1166" s="885"/>
      <c r="AY1166" s="885"/>
      <c r="AZ1166" s="885"/>
      <c r="BA1166" s="885"/>
      <c r="BB1166" s="885"/>
      <c r="BC1166" s="885"/>
      <c r="BD1166" s="885"/>
      <c r="BE1166" s="885"/>
      <c r="BF1166" s="885"/>
      <c r="BG1166" s="885"/>
      <c r="BH1166" s="885"/>
      <c r="BI1166" s="885"/>
      <c r="BJ1166" s="885"/>
      <c r="BK1166" s="885"/>
      <c r="BL1166" s="885"/>
      <c r="BM1166" s="885"/>
      <c r="BN1166" s="885"/>
      <c r="BO1166" s="885"/>
      <c r="BP1166" s="885"/>
      <c r="BQ1166" s="885"/>
      <c r="BR1166" s="885"/>
      <c r="BS1166" s="885"/>
      <c r="BT1166" s="885"/>
      <c r="BU1166" s="885"/>
      <c r="BV1166" s="885"/>
      <c r="BW1166" s="885"/>
      <c r="BX1166" s="885"/>
      <c r="BY1166" s="885"/>
      <c r="BZ1166" s="885"/>
      <c r="CA1166" s="885"/>
      <c r="CB1166" s="885"/>
      <c r="CC1166" s="885"/>
      <c r="CD1166" s="885"/>
      <c r="CE1166" s="885"/>
      <c r="CF1166" s="885"/>
      <c r="CG1166" s="885"/>
      <c r="CH1166" s="885"/>
      <c r="CI1166" s="885"/>
      <c r="CJ1166" s="885"/>
      <c r="CK1166" s="885"/>
      <c r="CL1166" s="885"/>
      <c r="CM1166" s="885"/>
      <c r="CN1166" s="885"/>
      <c r="CO1166" s="885"/>
      <c r="CP1166" s="885"/>
      <c r="CQ1166" s="885"/>
      <c r="CR1166" s="885"/>
      <c r="CS1166" s="885"/>
      <c r="CT1166" s="885"/>
      <c r="CU1166" s="885"/>
      <c r="CV1166" s="885"/>
      <c r="CW1166" s="885"/>
      <c r="CX1166" s="885"/>
      <c r="CY1166" s="885"/>
      <c r="CZ1166" s="885"/>
      <c r="DA1166" s="885"/>
      <c r="DB1166" s="885"/>
      <c r="DC1166" s="885"/>
      <c r="DD1166" s="885"/>
      <c r="DE1166" s="885"/>
      <c r="DF1166" s="885"/>
      <c r="DG1166" s="885"/>
      <c r="DH1166" s="885"/>
      <c r="DI1166" s="885"/>
      <c r="DJ1166" s="885"/>
      <c r="DK1166" s="885"/>
      <c r="DL1166" s="885"/>
      <c r="DM1166" s="885"/>
      <c r="DN1166" s="885"/>
      <c r="DO1166" s="885"/>
      <c r="DP1166" s="885"/>
      <c r="DQ1166" s="885"/>
      <c r="DR1166" s="885"/>
      <c r="DS1166" s="885"/>
      <c r="DT1166" s="885"/>
      <c r="DU1166" s="885"/>
      <c r="DV1166" s="885"/>
      <c r="DW1166" s="885"/>
      <c r="DX1166" s="885"/>
      <c r="DY1166" s="885"/>
      <c r="DZ1166" s="885"/>
      <c r="EA1166" s="885"/>
      <c r="EB1166" s="885"/>
      <c r="EC1166" s="885"/>
      <c r="ED1166" s="885"/>
      <c r="EE1166" s="885"/>
      <c r="EF1166" s="885"/>
      <c r="EG1166" s="885"/>
      <c r="EH1166" s="885"/>
      <c r="EI1166" s="885"/>
      <c r="EJ1166" s="885"/>
      <c r="EK1166" s="885"/>
      <c r="EL1166" s="885"/>
      <c r="EM1166" s="885"/>
      <c r="EN1166" s="885"/>
      <c r="EO1166" s="885"/>
      <c r="EP1166" s="885"/>
      <c r="EQ1166" s="885"/>
      <c r="ER1166" s="885"/>
      <c r="ES1166" s="885"/>
      <c r="ET1166" s="885"/>
      <c r="EU1166" s="885"/>
      <c r="EV1166" s="885"/>
      <c r="EW1166" s="885"/>
      <c r="EX1166" s="885"/>
      <c r="EY1166" s="885"/>
      <c r="EZ1166" s="885"/>
      <c r="FA1166" s="885"/>
      <c r="FB1166" s="885"/>
      <c r="FC1166" s="885"/>
      <c r="FD1166" s="885"/>
      <c r="FE1166" s="885"/>
      <c r="FF1166" s="885"/>
      <c r="FG1166" s="885"/>
      <c r="FH1166" s="885"/>
      <c r="FI1166" s="885"/>
      <c r="FJ1166" s="885"/>
      <c r="FK1166" s="885"/>
      <c r="FL1166" s="885"/>
      <c r="FM1166" s="885"/>
      <c r="FN1166" s="885"/>
      <c r="FO1166" s="885"/>
      <c r="FP1166" s="885"/>
      <c r="FQ1166" s="885"/>
      <c r="FR1166" s="885"/>
      <c r="FS1166" s="885"/>
      <c r="FT1166" s="885"/>
      <c r="FU1166" s="885"/>
      <c r="FV1166" s="885"/>
      <c r="FW1166" s="885"/>
      <c r="FX1166" s="885"/>
      <c r="FY1166" s="885"/>
      <c r="FZ1166" s="885"/>
      <c r="GA1166" s="885"/>
      <c r="GB1166" s="885"/>
      <c r="GC1166" s="885"/>
      <c r="GD1166" s="885"/>
      <c r="GE1166" s="885"/>
      <c r="GF1166" s="885"/>
      <c r="GG1166" s="885"/>
      <c r="GH1166" s="885"/>
      <c r="GI1166" s="885"/>
      <c r="GJ1166" s="885"/>
      <c r="GK1166" s="885"/>
      <c r="GL1166" s="885"/>
      <c r="GM1166" s="885"/>
      <c r="GN1166" s="885"/>
      <c r="GO1166" s="885"/>
      <c r="GP1166" s="885"/>
      <c r="GQ1166" s="885"/>
      <c r="GR1166" s="885"/>
      <c r="GS1166" s="885"/>
      <c r="GT1166" s="885"/>
      <c r="GU1166" s="885"/>
      <c r="GV1166" s="885"/>
      <c r="GW1166" s="885"/>
      <c r="GX1166" s="885"/>
      <c r="GY1166" s="885"/>
      <c r="GZ1166" s="885"/>
      <c r="HA1166" s="885"/>
      <c r="HB1166" s="885"/>
      <c r="HC1166" s="885"/>
      <c r="HD1166" s="885"/>
      <c r="HE1166" s="885"/>
      <c r="HF1166" s="885"/>
      <c r="HG1166" s="885"/>
      <c r="HH1166" s="885"/>
      <c r="HI1166" s="885"/>
      <c r="HJ1166" s="885"/>
      <c r="HK1166" s="885"/>
      <c r="HL1166" s="885"/>
      <c r="HM1166" s="885"/>
      <c r="HN1166" s="885"/>
      <c r="HO1166" s="885"/>
      <c r="HP1166" s="885"/>
      <c r="HQ1166" s="885"/>
      <c r="HR1166" s="885"/>
      <c r="HS1166" s="885"/>
      <c r="HT1166" s="885"/>
      <c r="HU1166" s="885"/>
      <c r="HV1166" s="885"/>
      <c r="HW1166" s="885"/>
      <c r="HX1166" s="885"/>
      <c r="HY1166" s="885"/>
      <c r="HZ1166" s="885"/>
      <c r="IA1166" s="885"/>
      <c r="IB1166" s="885"/>
      <c r="IC1166" s="885"/>
      <c r="ID1166" s="885"/>
      <c r="IE1166" s="885"/>
      <c r="IF1166" s="885"/>
      <c r="IG1166" s="885"/>
      <c r="IH1166" s="885"/>
      <c r="II1166" s="885"/>
      <c r="IJ1166" s="885"/>
      <c r="IK1166" s="885"/>
      <c r="IL1166" s="885"/>
      <c r="IM1166" s="885"/>
      <c r="IN1166" s="885"/>
      <c r="IO1166" s="885"/>
      <c r="IP1166" s="885"/>
      <c r="IQ1166" s="885"/>
      <c r="IR1166" s="885"/>
      <c r="IS1166" s="885"/>
      <c r="IT1166" s="885"/>
      <c r="IU1166" s="885"/>
      <c r="IV1166" s="885"/>
      <c r="IW1166" s="885"/>
      <c r="IX1166" s="885"/>
    </row>
    <row r="1167" spans="1:258" x14ac:dyDescent="0.25">
      <c r="A1167" s="125">
        <f t="shared" si="128"/>
        <v>1127</v>
      </c>
      <c r="B1167" s="885"/>
      <c r="C1167" s="134" t="s">
        <v>1970</v>
      </c>
      <c r="D1167" s="924">
        <v>0</v>
      </c>
      <c r="E1167" s="924">
        <f t="shared" si="131"/>
        <v>0</v>
      </c>
      <c r="F1167" s="129">
        <v>500</v>
      </c>
      <c r="G1167" s="122" t="s">
        <v>1963</v>
      </c>
      <c r="H1167" s="885"/>
      <c r="I1167" s="885"/>
      <c r="J1167" s="885"/>
      <c r="K1167" s="885"/>
      <c r="L1167" s="885"/>
      <c r="M1167" s="885"/>
      <c r="N1167" s="885"/>
      <c r="O1167" s="885"/>
      <c r="P1167" s="885"/>
      <c r="Q1167" s="885"/>
      <c r="R1167" s="885"/>
      <c r="S1167" s="885"/>
      <c r="T1167" s="885"/>
      <c r="U1167" s="885"/>
      <c r="V1167" s="885"/>
      <c r="W1167" s="885"/>
      <c r="X1167" s="885"/>
      <c r="Y1167" s="885"/>
      <c r="Z1167" s="885"/>
      <c r="AA1167" s="885"/>
      <c r="AB1167" s="885"/>
      <c r="AC1167" s="885"/>
      <c r="AD1167" s="885"/>
      <c r="AE1167" s="885"/>
      <c r="AF1167" s="885"/>
      <c r="AG1167" s="885"/>
      <c r="AH1167" s="885"/>
      <c r="AI1167" s="885"/>
      <c r="AJ1167" s="885"/>
      <c r="AK1167" s="885"/>
      <c r="AL1167" s="885"/>
      <c r="AM1167" s="885"/>
      <c r="AN1167" s="885"/>
      <c r="AO1167" s="885"/>
      <c r="AP1167" s="885"/>
      <c r="AQ1167" s="885"/>
      <c r="AR1167" s="885"/>
      <c r="AS1167" s="885"/>
      <c r="AT1167" s="885"/>
      <c r="AU1167" s="885"/>
      <c r="AV1167" s="885"/>
      <c r="AW1167" s="885"/>
      <c r="AX1167" s="885"/>
      <c r="AY1167" s="885"/>
      <c r="AZ1167" s="885"/>
      <c r="BA1167" s="885"/>
      <c r="BB1167" s="885"/>
      <c r="BC1167" s="885"/>
      <c r="BD1167" s="885"/>
      <c r="BE1167" s="885"/>
      <c r="BF1167" s="885"/>
      <c r="BG1167" s="885"/>
      <c r="BH1167" s="885"/>
      <c r="BI1167" s="885"/>
      <c r="BJ1167" s="885"/>
      <c r="BK1167" s="885"/>
      <c r="BL1167" s="885"/>
      <c r="BM1167" s="885"/>
      <c r="BN1167" s="885"/>
      <c r="BO1167" s="885"/>
      <c r="BP1167" s="885"/>
      <c r="BQ1167" s="885"/>
      <c r="BR1167" s="885"/>
      <c r="BS1167" s="885"/>
      <c r="BT1167" s="885"/>
      <c r="BU1167" s="885"/>
      <c r="BV1167" s="885"/>
      <c r="BW1167" s="885"/>
      <c r="BX1167" s="885"/>
      <c r="BY1167" s="885"/>
      <c r="BZ1167" s="885"/>
      <c r="CA1167" s="885"/>
      <c r="CB1167" s="885"/>
      <c r="CC1167" s="885"/>
      <c r="CD1167" s="885"/>
      <c r="CE1167" s="885"/>
      <c r="CF1167" s="885"/>
      <c r="CG1167" s="885"/>
      <c r="CH1167" s="885"/>
      <c r="CI1167" s="885"/>
      <c r="CJ1167" s="885"/>
      <c r="CK1167" s="885"/>
      <c r="CL1167" s="885"/>
      <c r="CM1167" s="885"/>
      <c r="CN1167" s="885"/>
      <c r="CO1167" s="885"/>
      <c r="CP1167" s="885"/>
      <c r="CQ1167" s="885"/>
      <c r="CR1167" s="885"/>
      <c r="CS1167" s="885"/>
      <c r="CT1167" s="885"/>
      <c r="CU1167" s="885"/>
      <c r="CV1167" s="885"/>
      <c r="CW1167" s="885"/>
      <c r="CX1167" s="885"/>
      <c r="CY1167" s="885"/>
      <c r="CZ1167" s="885"/>
      <c r="DA1167" s="885"/>
      <c r="DB1167" s="885"/>
      <c r="DC1167" s="885"/>
      <c r="DD1167" s="885"/>
      <c r="DE1167" s="885"/>
      <c r="DF1167" s="885"/>
      <c r="DG1167" s="885"/>
      <c r="DH1167" s="885"/>
      <c r="DI1167" s="885"/>
      <c r="DJ1167" s="885"/>
      <c r="DK1167" s="885"/>
      <c r="DL1167" s="885"/>
      <c r="DM1167" s="885"/>
      <c r="DN1167" s="885"/>
      <c r="DO1167" s="885"/>
      <c r="DP1167" s="885"/>
      <c r="DQ1167" s="885"/>
      <c r="DR1167" s="885"/>
      <c r="DS1167" s="885"/>
      <c r="DT1167" s="885"/>
      <c r="DU1167" s="885"/>
      <c r="DV1167" s="885"/>
      <c r="DW1167" s="885"/>
      <c r="DX1167" s="885"/>
      <c r="DY1167" s="885"/>
      <c r="DZ1167" s="885"/>
      <c r="EA1167" s="885"/>
      <c r="EB1167" s="885"/>
      <c r="EC1167" s="885"/>
      <c r="ED1167" s="885"/>
      <c r="EE1167" s="885"/>
      <c r="EF1167" s="885"/>
      <c r="EG1167" s="885"/>
      <c r="EH1167" s="885"/>
      <c r="EI1167" s="885"/>
      <c r="EJ1167" s="885"/>
      <c r="EK1167" s="885"/>
      <c r="EL1167" s="885"/>
      <c r="EM1167" s="885"/>
      <c r="EN1167" s="885"/>
      <c r="EO1167" s="885"/>
      <c r="EP1167" s="885"/>
      <c r="EQ1167" s="885"/>
      <c r="ER1167" s="885"/>
      <c r="ES1167" s="885"/>
      <c r="ET1167" s="885"/>
      <c r="EU1167" s="885"/>
      <c r="EV1167" s="885"/>
      <c r="EW1167" s="885"/>
      <c r="EX1167" s="885"/>
      <c r="EY1167" s="885"/>
      <c r="EZ1167" s="885"/>
      <c r="FA1167" s="885"/>
      <c r="FB1167" s="885"/>
      <c r="FC1167" s="885"/>
      <c r="FD1167" s="885"/>
      <c r="FE1167" s="885"/>
      <c r="FF1167" s="885"/>
      <c r="FG1167" s="885"/>
      <c r="FH1167" s="885"/>
      <c r="FI1167" s="885"/>
      <c r="FJ1167" s="885"/>
      <c r="FK1167" s="885"/>
      <c r="FL1167" s="885"/>
      <c r="FM1167" s="885"/>
      <c r="FN1167" s="885"/>
      <c r="FO1167" s="885"/>
      <c r="FP1167" s="885"/>
      <c r="FQ1167" s="885"/>
      <c r="FR1167" s="885"/>
      <c r="FS1167" s="885"/>
      <c r="FT1167" s="885"/>
      <c r="FU1167" s="885"/>
      <c r="FV1167" s="885"/>
      <c r="FW1167" s="885"/>
      <c r="FX1167" s="885"/>
      <c r="FY1167" s="885"/>
      <c r="FZ1167" s="885"/>
      <c r="GA1167" s="885"/>
      <c r="GB1167" s="885"/>
      <c r="GC1167" s="885"/>
      <c r="GD1167" s="885"/>
      <c r="GE1167" s="885"/>
      <c r="GF1167" s="885"/>
      <c r="GG1167" s="885"/>
      <c r="GH1167" s="885"/>
      <c r="GI1167" s="885"/>
      <c r="GJ1167" s="885"/>
      <c r="GK1167" s="885"/>
      <c r="GL1167" s="885"/>
      <c r="GM1167" s="885"/>
      <c r="GN1167" s="885"/>
      <c r="GO1167" s="885"/>
      <c r="GP1167" s="885"/>
      <c r="GQ1167" s="885"/>
      <c r="GR1167" s="885"/>
      <c r="GS1167" s="885"/>
      <c r="GT1167" s="885"/>
      <c r="GU1167" s="885"/>
      <c r="GV1167" s="885"/>
      <c r="GW1167" s="885"/>
      <c r="GX1167" s="885"/>
      <c r="GY1167" s="885"/>
      <c r="GZ1167" s="885"/>
      <c r="HA1167" s="885"/>
      <c r="HB1167" s="885"/>
      <c r="HC1167" s="885"/>
      <c r="HD1167" s="885"/>
      <c r="HE1167" s="885"/>
      <c r="HF1167" s="885"/>
      <c r="HG1167" s="885"/>
      <c r="HH1167" s="885"/>
      <c r="HI1167" s="885"/>
      <c r="HJ1167" s="885"/>
      <c r="HK1167" s="885"/>
      <c r="HL1167" s="885"/>
      <c r="HM1167" s="885"/>
      <c r="HN1167" s="885"/>
      <c r="HO1167" s="885"/>
      <c r="HP1167" s="885"/>
      <c r="HQ1167" s="885"/>
      <c r="HR1167" s="885"/>
      <c r="HS1167" s="885"/>
      <c r="HT1167" s="885"/>
      <c r="HU1167" s="885"/>
      <c r="HV1167" s="885"/>
      <c r="HW1167" s="885"/>
      <c r="HX1167" s="885"/>
      <c r="HY1167" s="885"/>
      <c r="HZ1167" s="885"/>
      <c r="IA1167" s="885"/>
      <c r="IB1167" s="885"/>
      <c r="IC1167" s="885"/>
      <c r="ID1167" s="885"/>
      <c r="IE1167" s="885"/>
      <c r="IF1167" s="885"/>
      <c r="IG1167" s="885"/>
      <c r="IH1167" s="885"/>
      <c r="II1167" s="885"/>
      <c r="IJ1167" s="885"/>
      <c r="IK1167" s="885"/>
      <c r="IL1167" s="885"/>
      <c r="IM1167" s="885"/>
      <c r="IN1167" s="885"/>
      <c r="IO1167" s="885"/>
      <c r="IP1167" s="885"/>
      <c r="IQ1167" s="885"/>
      <c r="IR1167" s="885"/>
      <c r="IS1167" s="885"/>
      <c r="IT1167" s="885"/>
      <c r="IU1167" s="885"/>
      <c r="IV1167" s="885"/>
      <c r="IW1167" s="885"/>
      <c r="IX1167" s="885"/>
    </row>
    <row r="1168" spans="1:258" x14ac:dyDescent="0.25">
      <c r="A1168" s="125">
        <f t="shared" si="128"/>
        <v>1128</v>
      </c>
      <c r="B1168" s="885"/>
      <c r="C1168" s="134" t="s">
        <v>6</v>
      </c>
      <c r="D1168" s="924">
        <v>1825.2</v>
      </c>
      <c r="E1168" s="924">
        <f t="shared" si="131"/>
        <v>2737.8</v>
      </c>
      <c r="F1168" s="129">
        <f>E1168</f>
        <v>2737.8</v>
      </c>
      <c r="G1168" s="122" t="s">
        <v>1963</v>
      </c>
      <c r="H1168" s="885"/>
      <c r="I1168" s="885"/>
      <c r="J1168" s="885"/>
      <c r="K1168" s="885"/>
      <c r="L1168" s="885"/>
      <c r="M1168" s="885"/>
      <c r="N1168" s="885"/>
      <c r="O1168" s="885"/>
      <c r="P1168" s="885"/>
      <c r="Q1168" s="885"/>
      <c r="R1168" s="885"/>
      <c r="S1168" s="885"/>
      <c r="T1168" s="885"/>
      <c r="U1168" s="885"/>
      <c r="V1168" s="885"/>
      <c r="W1168" s="885"/>
      <c r="X1168" s="885"/>
      <c r="Y1168" s="885"/>
      <c r="Z1168" s="885"/>
      <c r="AA1168" s="885"/>
      <c r="AB1168" s="885"/>
      <c r="AC1168" s="885"/>
      <c r="AD1168" s="885"/>
      <c r="AE1168" s="885"/>
      <c r="AF1168" s="885"/>
      <c r="AG1168" s="885"/>
      <c r="AH1168" s="885"/>
      <c r="AI1168" s="885"/>
      <c r="AJ1168" s="885"/>
      <c r="AK1168" s="885"/>
      <c r="AL1168" s="885"/>
      <c r="AM1168" s="885"/>
      <c r="AN1168" s="885"/>
      <c r="AO1168" s="885"/>
      <c r="AP1168" s="885"/>
      <c r="AQ1168" s="885"/>
      <c r="AR1168" s="885"/>
      <c r="AS1168" s="885"/>
      <c r="AT1168" s="885"/>
      <c r="AU1168" s="885"/>
      <c r="AV1168" s="885"/>
      <c r="AW1168" s="885"/>
      <c r="AX1168" s="885"/>
      <c r="AY1168" s="885"/>
      <c r="AZ1168" s="885"/>
      <c r="BA1168" s="885"/>
      <c r="BB1168" s="885"/>
      <c r="BC1168" s="885"/>
      <c r="BD1168" s="885"/>
      <c r="BE1168" s="885"/>
      <c r="BF1168" s="885"/>
      <c r="BG1168" s="885"/>
      <c r="BH1168" s="885"/>
      <c r="BI1168" s="885"/>
      <c r="BJ1168" s="885"/>
      <c r="BK1168" s="885"/>
      <c r="BL1168" s="885"/>
      <c r="BM1168" s="885"/>
      <c r="BN1168" s="885"/>
      <c r="BO1168" s="885"/>
      <c r="BP1168" s="885"/>
      <c r="BQ1168" s="885"/>
      <c r="BR1168" s="885"/>
      <c r="BS1168" s="885"/>
      <c r="BT1168" s="885"/>
      <c r="BU1168" s="885"/>
      <c r="BV1168" s="885"/>
      <c r="BW1168" s="885"/>
      <c r="BX1168" s="885"/>
      <c r="BY1168" s="885"/>
      <c r="BZ1168" s="885"/>
      <c r="CA1168" s="885"/>
      <c r="CB1168" s="885"/>
      <c r="CC1168" s="885"/>
      <c r="CD1168" s="885"/>
      <c r="CE1168" s="885"/>
      <c r="CF1168" s="885"/>
      <c r="CG1168" s="885"/>
      <c r="CH1168" s="885"/>
      <c r="CI1168" s="885"/>
      <c r="CJ1168" s="885"/>
      <c r="CK1168" s="885"/>
      <c r="CL1168" s="885"/>
      <c r="CM1168" s="885"/>
      <c r="CN1168" s="885"/>
      <c r="CO1168" s="885"/>
      <c r="CP1168" s="885"/>
      <c r="CQ1168" s="885"/>
      <c r="CR1168" s="885"/>
      <c r="CS1168" s="885"/>
      <c r="CT1168" s="885"/>
      <c r="CU1168" s="885"/>
      <c r="CV1168" s="885"/>
      <c r="CW1168" s="885"/>
      <c r="CX1168" s="885"/>
      <c r="CY1168" s="885"/>
      <c r="CZ1168" s="885"/>
      <c r="DA1168" s="885"/>
      <c r="DB1168" s="885"/>
      <c r="DC1168" s="885"/>
      <c r="DD1168" s="885"/>
      <c r="DE1168" s="885"/>
      <c r="DF1168" s="885"/>
      <c r="DG1168" s="885"/>
      <c r="DH1168" s="885"/>
      <c r="DI1168" s="885"/>
      <c r="DJ1168" s="885"/>
      <c r="DK1168" s="885"/>
      <c r="DL1168" s="885"/>
      <c r="DM1168" s="885"/>
      <c r="DN1168" s="885"/>
      <c r="DO1168" s="885"/>
      <c r="DP1168" s="885"/>
      <c r="DQ1168" s="885"/>
      <c r="DR1168" s="885"/>
      <c r="DS1168" s="885"/>
      <c r="DT1168" s="885"/>
      <c r="DU1168" s="885"/>
      <c r="DV1168" s="885"/>
      <c r="DW1168" s="885"/>
      <c r="DX1168" s="885"/>
      <c r="DY1168" s="885"/>
      <c r="DZ1168" s="885"/>
      <c r="EA1168" s="885"/>
      <c r="EB1168" s="885"/>
      <c r="EC1168" s="885"/>
      <c r="ED1168" s="885"/>
      <c r="EE1168" s="885"/>
      <c r="EF1168" s="885"/>
      <c r="EG1168" s="885"/>
      <c r="EH1168" s="885"/>
      <c r="EI1168" s="885"/>
      <c r="EJ1168" s="885"/>
      <c r="EK1168" s="885"/>
      <c r="EL1168" s="885"/>
      <c r="EM1168" s="885"/>
      <c r="EN1168" s="885"/>
      <c r="EO1168" s="885"/>
      <c r="EP1168" s="885"/>
      <c r="EQ1168" s="885"/>
      <c r="ER1168" s="885"/>
      <c r="ES1168" s="885"/>
      <c r="ET1168" s="885"/>
      <c r="EU1168" s="885"/>
      <c r="EV1168" s="885"/>
      <c r="EW1168" s="885"/>
      <c r="EX1168" s="885"/>
      <c r="EY1168" s="885"/>
      <c r="EZ1168" s="885"/>
      <c r="FA1168" s="885"/>
      <c r="FB1168" s="885"/>
      <c r="FC1168" s="885"/>
      <c r="FD1168" s="885"/>
      <c r="FE1168" s="885"/>
      <c r="FF1168" s="885"/>
      <c r="FG1168" s="885"/>
      <c r="FH1168" s="885"/>
      <c r="FI1168" s="885"/>
      <c r="FJ1168" s="885"/>
      <c r="FK1168" s="885"/>
      <c r="FL1168" s="885"/>
      <c r="FM1168" s="885"/>
      <c r="FN1168" s="885"/>
      <c r="FO1168" s="885"/>
      <c r="FP1168" s="885"/>
      <c r="FQ1168" s="885"/>
      <c r="FR1168" s="885"/>
      <c r="FS1168" s="885"/>
      <c r="FT1168" s="885"/>
      <c r="FU1168" s="885"/>
      <c r="FV1168" s="885"/>
      <c r="FW1168" s="885"/>
      <c r="FX1168" s="885"/>
      <c r="FY1168" s="885"/>
      <c r="FZ1168" s="885"/>
      <c r="GA1168" s="885"/>
      <c r="GB1168" s="885"/>
      <c r="GC1168" s="885"/>
      <c r="GD1168" s="885"/>
      <c r="GE1168" s="885"/>
      <c r="GF1168" s="885"/>
      <c r="GG1168" s="885"/>
      <c r="GH1168" s="885"/>
      <c r="GI1168" s="885"/>
      <c r="GJ1168" s="885"/>
      <c r="GK1168" s="885"/>
      <c r="GL1168" s="885"/>
      <c r="GM1168" s="885"/>
      <c r="GN1168" s="885"/>
      <c r="GO1168" s="885"/>
      <c r="GP1168" s="885"/>
      <c r="GQ1168" s="885"/>
      <c r="GR1168" s="885"/>
      <c r="GS1168" s="885"/>
      <c r="GT1168" s="885"/>
      <c r="GU1168" s="885"/>
      <c r="GV1168" s="885"/>
      <c r="GW1168" s="885"/>
      <c r="GX1168" s="885"/>
      <c r="GY1168" s="885"/>
      <c r="GZ1168" s="885"/>
      <c r="HA1168" s="885"/>
      <c r="HB1168" s="885"/>
      <c r="HC1168" s="885"/>
      <c r="HD1168" s="885"/>
      <c r="HE1168" s="885"/>
      <c r="HF1168" s="885"/>
      <c r="HG1168" s="885"/>
      <c r="HH1168" s="885"/>
      <c r="HI1168" s="885"/>
      <c r="HJ1168" s="885"/>
      <c r="HK1168" s="885"/>
      <c r="HL1168" s="885"/>
      <c r="HM1168" s="885"/>
      <c r="HN1168" s="885"/>
      <c r="HO1168" s="885"/>
      <c r="HP1168" s="885"/>
      <c r="HQ1168" s="885"/>
      <c r="HR1168" s="885"/>
      <c r="HS1168" s="885"/>
      <c r="HT1168" s="885"/>
      <c r="HU1168" s="885"/>
      <c r="HV1168" s="885"/>
      <c r="HW1168" s="885"/>
      <c r="HX1168" s="885"/>
      <c r="HY1168" s="885"/>
      <c r="HZ1168" s="885"/>
      <c r="IA1168" s="885"/>
      <c r="IB1168" s="885"/>
      <c r="IC1168" s="885"/>
      <c r="ID1168" s="885"/>
      <c r="IE1168" s="885"/>
      <c r="IF1168" s="885"/>
      <c r="IG1168" s="885"/>
      <c r="IH1168" s="885"/>
      <c r="II1168" s="885"/>
      <c r="IJ1168" s="885"/>
      <c r="IK1168" s="885"/>
      <c r="IL1168" s="885"/>
      <c r="IM1168" s="885"/>
      <c r="IN1168" s="885"/>
      <c r="IO1168" s="885"/>
      <c r="IP1168" s="885"/>
      <c r="IQ1168" s="885"/>
      <c r="IR1168" s="885"/>
      <c r="IS1168" s="885"/>
      <c r="IT1168" s="885"/>
      <c r="IU1168" s="885"/>
      <c r="IV1168" s="885"/>
      <c r="IW1168" s="885"/>
      <c r="IX1168" s="885"/>
    </row>
    <row r="1169" spans="1:258" x14ac:dyDescent="0.25">
      <c r="A1169" s="125">
        <f t="shared" si="128"/>
        <v>1129</v>
      </c>
      <c r="B1169" s="954"/>
      <c r="C1169" s="842" t="s">
        <v>11532</v>
      </c>
      <c r="D1169" s="924">
        <v>0</v>
      </c>
      <c r="E1169" s="924">
        <f t="shared" si="131"/>
        <v>0</v>
      </c>
      <c r="F1169" s="129"/>
      <c r="H1169" s="954"/>
      <c r="I1169" s="954"/>
      <c r="J1169" s="954"/>
      <c r="K1169" s="954"/>
      <c r="L1169" s="954"/>
      <c r="M1169" s="954"/>
      <c r="N1169" s="954"/>
      <c r="O1169" s="954"/>
      <c r="P1169" s="954"/>
      <c r="Q1169" s="954"/>
      <c r="R1169" s="954"/>
      <c r="S1169" s="954"/>
      <c r="T1169" s="954"/>
      <c r="U1169" s="954"/>
      <c r="V1169" s="954"/>
      <c r="W1169" s="954"/>
      <c r="X1169" s="954"/>
      <c r="Y1169" s="954"/>
      <c r="Z1169" s="954"/>
      <c r="AA1169" s="954"/>
      <c r="AB1169" s="954"/>
      <c r="AC1169" s="954"/>
      <c r="AD1169" s="954"/>
      <c r="AE1169" s="954"/>
      <c r="AF1169" s="954"/>
      <c r="AG1169" s="954"/>
      <c r="AH1169" s="954"/>
      <c r="AI1169" s="954"/>
      <c r="AJ1169" s="954"/>
      <c r="AK1169" s="954"/>
      <c r="AL1169" s="954"/>
      <c r="AM1169" s="954"/>
      <c r="AN1169" s="954"/>
      <c r="AO1169" s="954"/>
      <c r="AP1169" s="954"/>
      <c r="AQ1169" s="954"/>
      <c r="AR1169" s="954"/>
      <c r="AS1169" s="954"/>
      <c r="AT1169" s="954"/>
      <c r="AU1169" s="954"/>
      <c r="AV1169" s="954"/>
      <c r="AW1169" s="954"/>
      <c r="AX1169" s="954"/>
      <c r="AY1169" s="954"/>
      <c r="AZ1169" s="954"/>
      <c r="BA1169" s="954"/>
      <c r="BB1169" s="954"/>
      <c r="BC1169" s="954"/>
      <c r="BD1169" s="954"/>
      <c r="BE1169" s="954"/>
      <c r="BF1169" s="954"/>
      <c r="BG1169" s="954"/>
      <c r="BH1169" s="954"/>
      <c r="BI1169" s="954"/>
      <c r="BJ1169" s="954"/>
      <c r="BK1169" s="954"/>
      <c r="BL1169" s="954"/>
      <c r="BM1169" s="954"/>
      <c r="BN1169" s="954"/>
      <c r="BO1169" s="954"/>
      <c r="BP1169" s="954"/>
      <c r="BQ1169" s="954"/>
      <c r="BR1169" s="954"/>
      <c r="BS1169" s="954"/>
      <c r="BT1169" s="954"/>
      <c r="BU1169" s="954"/>
      <c r="BV1169" s="954"/>
      <c r="BW1169" s="954"/>
      <c r="BX1169" s="954"/>
      <c r="BY1169" s="954"/>
      <c r="BZ1169" s="954"/>
      <c r="CA1169" s="954"/>
      <c r="CB1169" s="954"/>
      <c r="CC1169" s="954"/>
      <c r="CD1169" s="954"/>
      <c r="CE1169" s="954"/>
      <c r="CF1169" s="954"/>
      <c r="CG1169" s="954"/>
      <c r="CH1169" s="954"/>
      <c r="CI1169" s="954"/>
      <c r="CJ1169" s="954"/>
      <c r="CK1169" s="954"/>
      <c r="CL1169" s="954"/>
      <c r="CM1169" s="954"/>
      <c r="CN1169" s="954"/>
      <c r="CO1169" s="954"/>
      <c r="CP1169" s="954"/>
      <c r="CQ1169" s="954"/>
      <c r="CR1169" s="954"/>
      <c r="CS1169" s="954"/>
      <c r="CT1169" s="954"/>
      <c r="CU1169" s="954"/>
      <c r="CV1169" s="954"/>
      <c r="CW1169" s="954"/>
      <c r="CX1169" s="954"/>
      <c r="CY1169" s="954"/>
      <c r="CZ1169" s="954"/>
      <c r="DA1169" s="954"/>
      <c r="DB1169" s="954"/>
      <c r="DC1169" s="954"/>
      <c r="DD1169" s="954"/>
      <c r="DE1169" s="954"/>
      <c r="DF1169" s="954"/>
      <c r="DG1169" s="954"/>
      <c r="DH1169" s="954"/>
      <c r="DI1169" s="954"/>
      <c r="DJ1169" s="954"/>
      <c r="DK1169" s="954"/>
      <c r="DL1169" s="954"/>
      <c r="DM1169" s="954"/>
      <c r="DN1169" s="954"/>
      <c r="DO1169" s="954"/>
      <c r="DP1169" s="954"/>
      <c r="DQ1169" s="954"/>
      <c r="DR1169" s="954"/>
      <c r="DS1169" s="954"/>
      <c r="DT1169" s="954"/>
      <c r="DU1169" s="954"/>
      <c r="DV1169" s="954"/>
      <c r="DW1169" s="954"/>
      <c r="DX1169" s="954"/>
      <c r="DY1169" s="954"/>
      <c r="DZ1169" s="954"/>
      <c r="EA1169" s="954"/>
      <c r="EB1169" s="954"/>
      <c r="EC1169" s="954"/>
      <c r="ED1169" s="954"/>
      <c r="EE1169" s="954"/>
      <c r="EF1169" s="954"/>
      <c r="EG1169" s="954"/>
      <c r="EH1169" s="954"/>
      <c r="EI1169" s="954"/>
      <c r="EJ1169" s="954"/>
      <c r="EK1169" s="954"/>
      <c r="EL1169" s="954"/>
      <c r="EM1169" s="954"/>
      <c r="EN1169" s="954"/>
      <c r="EO1169" s="954"/>
      <c r="EP1169" s="954"/>
      <c r="EQ1169" s="954"/>
      <c r="ER1169" s="954"/>
      <c r="ES1169" s="954"/>
      <c r="ET1169" s="954"/>
      <c r="EU1169" s="954"/>
      <c r="EV1169" s="954"/>
      <c r="EW1169" s="954"/>
      <c r="EX1169" s="954"/>
      <c r="EY1169" s="954"/>
      <c r="EZ1169" s="954"/>
      <c r="FA1169" s="954"/>
      <c r="FB1169" s="954"/>
      <c r="FC1169" s="954"/>
      <c r="FD1169" s="954"/>
      <c r="FE1169" s="954"/>
      <c r="FF1169" s="954"/>
      <c r="FG1169" s="954"/>
      <c r="FH1169" s="954"/>
      <c r="FI1169" s="954"/>
      <c r="FJ1169" s="954"/>
      <c r="FK1169" s="954"/>
      <c r="FL1169" s="954"/>
      <c r="FM1169" s="954"/>
      <c r="FN1169" s="954"/>
      <c r="FO1169" s="954"/>
      <c r="FP1169" s="954"/>
      <c r="FQ1169" s="954"/>
      <c r="FR1169" s="954"/>
      <c r="FS1169" s="954"/>
      <c r="FT1169" s="954"/>
      <c r="FU1169" s="954"/>
      <c r="FV1169" s="954"/>
      <c r="FW1169" s="954"/>
      <c r="FX1169" s="954"/>
      <c r="FY1169" s="954"/>
      <c r="FZ1169" s="954"/>
      <c r="GA1169" s="954"/>
      <c r="GB1169" s="954"/>
      <c r="GC1169" s="954"/>
      <c r="GD1169" s="954"/>
      <c r="GE1169" s="954"/>
      <c r="GF1169" s="954"/>
      <c r="GG1169" s="954"/>
      <c r="GH1169" s="954"/>
      <c r="GI1169" s="954"/>
      <c r="GJ1169" s="954"/>
      <c r="GK1169" s="954"/>
      <c r="GL1169" s="954"/>
      <c r="GM1169" s="954"/>
      <c r="GN1169" s="954"/>
      <c r="GO1169" s="954"/>
      <c r="GP1169" s="954"/>
      <c r="GQ1169" s="954"/>
      <c r="GR1169" s="954"/>
      <c r="GS1169" s="954"/>
      <c r="GT1169" s="954"/>
      <c r="GU1169" s="954"/>
      <c r="GV1169" s="954"/>
      <c r="GW1169" s="954"/>
      <c r="GX1169" s="954"/>
      <c r="GY1169" s="954"/>
      <c r="GZ1169" s="954"/>
      <c r="HA1169" s="954"/>
      <c r="HB1169" s="954"/>
      <c r="HC1169" s="954"/>
      <c r="HD1169" s="954"/>
      <c r="HE1169" s="954"/>
      <c r="HF1169" s="954"/>
      <c r="HG1169" s="954"/>
      <c r="HH1169" s="954"/>
      <c r="HI1169" s="954"/>
      <c r="HJ1169" s="954"/>
      <c r="HK1169" s="954"/>
      <c r="HL1169" s="954"/>
      <c r="HM1169" s="954"/>
      <c r="HN1169" s="954"/>
      <c r="HO1169" s="954"/>
      <c r="HP1169" s="954"/>
      <c r="HQ1169" s="954"/>
      <c r="HR1169" s="954"/>
      <c r="HS1169" s="954"/>
      <c r="HT1169" s="954"/>
      <c r="HU1169" s="954"/>
      <c r="HV1169" s="954"/>
      <c r="HW1169" s="954"/>
      <c r="HX1169" s="954"/>
      <c r="HY1169" s="954"/>
      <c r="HZ1169" s="954"/>
      <c r="IA1169" s="954"/>
      <c r="IB1169" s="954"/>
      <c r="IC1169" s="954"/>
      <c r="ID1169" s="954"/>
      <c r="IE1169" s="954"/>
      <c r="IF1169" s="954"/>
      <c r="IG1169" s="954"/>
      <c r="IH1169" s="954"/>
      <c r="II1169" s="954"/>
      <c r="IJ1169" s="954"/>
      <c r="IK1169" s="954"/>
      <c r="IL1169" s="954"/>
      <c r="IM1169" s="954"/>
      <c r="IN1169" s="954"/>
      <c r="IO1169" s="954"/>
      <c r="IP1169" s="954"/>
      <c r="IQ1169" s="954"/>
      <c r="IR1169" s="954"/>
      <c r="IS1169" s="954"/>
      <c r="IT1169" s="954"/>
      <c r="IU1169" s="954"/>
      <c r="IV1169" s="954"/>
      <c r="IW1169" s="954"/>
      <c r="IX1169" s="954"/>
    </row>
    <row r="1170" spans="1:258" x14ac:dyDescent="0.25">
      <c r="A1170" s="125">
        <f t="shared" si="128"/>
        <v>1130</v>
      </c>
      <c r="B1170" s="885"/>
      <c r="C1170" s="134" t="s">
        <v>121</v>
      </c>
      <c r="D1170" s="924">
        <v>0</v>
      </c>
      <c r="E1170" s="924">
        <f t="shared" si="131"/>
        <v>0</v>
      </c>
      <c r="F1170" s="129">
        <f>1</f>
        <v>1</v>
      </c>
      <c r="G1170" s="122" t="s">
        <v>1963</v>
      </c>
      <c r="H1170" s="885"/>
      <c r="I1170" s="885"/>
      <c r="J1170" s="885"/>
      <c r="K1170" s="885"/>
      <c r="L1170" s="885"/>
      <c r="M1170" s="885"/>
      <c r="N1170" s="885"/>
      <c r="O1170" s="885"/>
      <c r="P1170" s="885"/>
      <c r="Q1170" s="885"/>
      <c r="R1170" s="885"/>
      <c r="S1170" s="885"/>
      <c r="T1170" s="885"/>
      <c r="U1170" s="885"/>
      <c r="V1170" s="885"/>
      <c r="W1170" s="885"/>
      <c r="X1170" s="885"/>
      <c r="Y1170" s="885"/>
      <c r="Z1170" s="885"/>
      <c r="AA1170" s="885"/>
      <c r="AB1170" s="885"/>
      <c r="AC1170" s="885"/>
      <c r="AD1170" s="885"/>
      <c r="AE1170" s="885"/>
      <c r="AF1170" s="885"/>
      <c r="AG1170" s="885"/>
      <c r="AH1170" s="885"/>
      <c r="AI1170" s="885"/>
      <c r="AJ1170" s="885"/>
      <c r="AK1170" s="885"/>
      <c r="AL1170" s="885"/>
      <c r="AM1170" s="885"/>
      <c r="AN1170" s="885"/>
      <c r="AO1170" s="885"/>
      <c r="AP1170" s="885"/>
      <c r="AQ1170" s="885"/>
      <c r="AR1170" s="885"/>
      <c r="AS1170" s="885"/>
      <c r="AT1170" s="885"/>
      <c r="AU1170" s="885"/>
      <c r="AV1170" s="885"/>
      <c r="AW1170" s="885"/>
      <c r="AX1170" s="885"/>
      <c r="AY1170" s="885"/>
      <c r="AZ1170" s="885"/>
      <c r="BA1170" s="885"/>
      <c r="BB1170" s="885"/>
      <c r="BC1170" s="885"/>
      <c r="BD1170" s="885"/>
      <c r="BE1170" s="885"/>
      <c r="BF1170" s="885"/>
      <c r="BG1170" s="885"/>
      <c r="BH1170" s="885"/>
      <c r="BI1170" s="885"/>
      <c r="BJ1170" s="885"/>
      <c r="BK1170" s="885"/>
      <c r="BL1170" s="885"/>
      <c r="BM1170" s="885"/>
      <c r="BN1170" s="885"/>
      <c r="BO1170" s="885"/>
      <c r="BP1170" s="885"/>
      <c r="BQ1170" s="885"/>
      <c r="BR1170" s="885"/>
      <c r="BS1170" s="885"/>
      <c r="BT1170" s="885"/>
      <c r="BU1170" s="885"/>
      <c r="BV1170" s="885"/>
      <c r="BW1170" s="885"/>
      <c r="BX1170" s="885"/>
      <c r="BY1170" s="885"/>
      <c r="BZ1170" s="885"/>
      <c r="CA1170" s="885"/>
      <c r="CB1170" s="885"/>
      <c r="CC1170" s="885"/>
      <c r="CD1170" s="885"/>
      <c r="CE1170" s="885"/>
      <c r="CF1170" s="885"/>
      <c r="CG1170" s="885"/>
      <c r="CH1170" s="885"/>
      <c r="CI1170" s="885"/>
      <c r="CJ1170" s="885"/>
      <c r="CK1170" s="885"/>
      <c r="CL1170" s="885"/>
      <c r="CM1170" s="885"/>
      <c r="CN1170" s="885"/>
      <c r="CO1170" s="885"/>
      <c r="CP1170" s="885"/>
      <c r="CQ1170" s="885"/>
      <c r="CR1170" s="885"/>
      <c r="CS1170" s="885"/>
      <c r="CT1170" s="885"/>
      <c r="CU1170" s="885"/>
      <c r="CV1170" s="885"/>
      <c r="CW1170" s="885"/>
      <c r="CX1170" s="885"/>
      <c r="CY1170" s="885"/>
      <c r="CZ1170" s="885"/>
      <c r="DA1170" s="885"/>
      <c r="DB1170" s="885"/>
      <c r="DC1170" s="885"/>
      <c r="DD1170" s="885"/>
      <c r="DE1170" s="885"/>
      <c r="DF1170" s="885"/>
      <c r="DG1170" s="885"/>
      <c r="DH1170" s="885"/>
      <c r="DI1170" s="885"/>
      <c r="DJ1170" s="885"/>
      <c r="DK1170" s="885"/>
      <c r="DL1170" s="885"/>
      <c r="DM1170" s="885"/>
      <c r="DN1170" s="885"/>
      <c r="DO1170" s="885"/>
      <c r="DP1170" s="885"/>
      <c r="DQ1170" s="885"/>
      <c r="DR1170" s="885"/>
      <c r="DS1170" s="885"/>
      <c r="DT1170" s="885"/>
      <c r="DU1170" s="885"/>
      <c r="DV1170" s="885"/>
      <c r="DW1170" s="885"/>
      <c r="DX1170" s="885"/>
      <c r="DY1170" s="885"/>
      <c r="DZ1170" s="885"/>
      <c r="EA1170" s="885"/>
      <c r="EB1170" s="885"/>
      <c r="EC1170" s="885"/>
      <c r="ED1170" s="885"/>
      <c r="EE1170" s="885"/>
      <c r="EF1170" s="885"/>
      <c r="EG1170" s="885"/>
      <c r="EH1170" s="885"/>
      <c r="EI1170" s="885"/>
      <c r="EJ1170" s="885"/>
      <c r="EK1170" s="885"/>
      <c r="EL1170" s="885"/>
      <c r="EM1170" s="885"/>
      <c r="EN1170" s="885"/>
      <c r="EO1170" s="885"/>
      <c r="EP1170" s="885"/>
      <c r="EQ1170" s="885"/>
      <c r="ER1170" s="885"/>
      <c r="ES1170" s="885"/>
      <c r="ET1170" s="885"/>
      <c r="EU1170" s="885"/>
      <c r="EV1170" s="885"/>
      <c r="EW1170" s="885"/>
      <c r="EX1170" s="885"/>
      <c r="EY1170" s="885"/>
      <c r="EZ1170" s="885"/>
      <c r="FA1170" s="885"/>
      <c r="FB1170" s="885"/>
      <c r="FC1170" s="885"/>
      <c r="FD1170" s="885"/>
      <c r="FE1170" s="885"/>
      <c r="FF1170" s="885"/>
      <c r="FG1170" s="885"/>
      <c r="FH1170" s="885"/>
      <c r="FI1170" s="885"/>
      <c r="FJ1170" s="885"/>
      <c r="FK1170" s="885"/>
      <c r="FL1170" s="885"/>
      <c r="FM1170" s="885"/>
      <c r="FN1170" s="885"/>
      <c r="FO1170" s="885"/>
      <c r="FP1170" s="885"/>
      <c r="FQ1170" s="885"/>
      <c r="FR1170" s="885"/>
      <c r="FS1170" s="885"/>
      <c r="FT1170" s="885"/>
      <c r="FU1170" s="885"/>
      <c r="FV1170" s="885"/>
      <c r="FW1170" s="885"/>
      <c r="FX1170" s="885"/>
      <c r="FY1170" s="885"/>
      <c r="FZ1170" s="885"/>
      <c r="GA1170" s="885"/>
      <c r="GB1170" s="885"/>
      <c r="GC1170" s="885"/>
      <c r="GD1170" s="885"/>
      <c r="GE1170" s="885"/>
      <c r="GF1170" s="885"/>
      <c r="GG1170" s="885"/>
      <c r="GH1170" s="885"/>
      <c r="GI1170" s="885"/>
      <c r="GJ1170" s="885"/>
      <c r="GK1170" s="885"/>
      <c r="GL1170" s="885"/>
      <c r="GM1170" s="885"/>
      <c r="GN1170" s="885"/>
      <c r="GO1170" s="885"/>
      <c r="GP1170" s="885"/>
      <c r="GQ1170" s="885"/>
      <c r="GR1170" s="885"/>
      <c r="GS1170" s="885"/>
      <c r="GT1170" s="885"/>
      <c r="GU1170" s="885"/>
      <c r="GV1170" s="885"/>
      <c r="GW1170" s="885"/>
      <c r="GX1170" s="885"/>
      <c r="GY1170" s="885"/>
      <c r="GZ1170" s="885"/>
      <c r="HA1170" s="885"/>
      <c r="HB1170" s="885"/>
      <c r="HC1170" s="885"/>
      <c r="HD1170" s="885"/>
      <c r="HE1170" s="885"/>
      <c r="HF1170" s="885"/>
      <c r="HG1170" s="885"/>
      <c r="HH1170" s="885"/>
      <c r="HI1170" s="885"/>
      <c r="HJ1170" s="885"/>
      <c r="HK1170" s="885"/>
      <c r="HL1170" s="885"/>
      <c r="HM1170" s="885"/>
      <c r="HN1170" s="885"/>
      <c r="HO1170" s="885"/>
      <c r="HP1170" s="885"/>
      <c r="HQ1170" s="885"/>
      <c r="HR1170" s="885"/>
      <c r="HS1170" s="885"/>
      <c r="HT1170" s="885"/>
      <c r="HU1170" s="885"/>
      <c r="HV1170" s="885"/>
      <c r="HW1170" s="885"/>
      <c r="HX1170" s="885"/>
      <c r="HY1170" s="885"/>
      <c r="HZ1170" s="885"/>
      <c r="IA1170" s="885"/>
      <c r="IB1170" s="885"/>
      <c r="IC1170" s="885"/>
      <c r="ID1170" s="885"/>
      <c r="IE1170" s="885"/>
      <c r="IF1170" s="885"/>
      <c r="IG1170" s="885"/>
      <c r="IH1170" s="885"/>
      <c r="II1170" s="885"/>
      <c r="IJ1170" s="885"/>
      <c r="IK1170" s="885"/>
      <c r="IL1170" s="885"/>
      <c r="IM1170" s="885"/>
      <c r="IN1170" s="885"/>
      <c r="IO1170" s="885"/>
      <c r="IP1170" s="885"/>
      <c r="IQ1170" s="885"/>
      <c r="IR1170" s="885"/>
      <c r="IS1170" s="885"/>
      <c r="IT1170" s="885"/>
      <c r="IU1170" s="885"/>
      <c r="IV1170" s="885"/>
      <c r="IW1170" s="885"/>
      <c r="IX1170" s="885"/>
    </row>
    <row r="1171" spans="1:258" x14ac:dyDescent="0.25">
      <c r="A1171" s="125">
        <f t="shared" si="128"/>
        <v>1131</v>
      </c>
      <c r="B1171" s="885"/>
      <c r="C1171" s="134" t="s">
        <v>3</v>
      </c>
      <c r="D1171" s="924">
        <v>0</v>
      </c>
      <c r="E1171" s="924">
        <f t="shared" si="131"/>
        <v>0</v>
      </c>
      <c r="F1171" s="129">
        <v>500</v>
      </c>
      <c r="G1171" s="122" t="s">
        <v>1963</v>
      </c>
      <c r="H1171" s="885"/>
      <c r="I1171" s="885"/>
      <c r="J1171" s="885"/>
      <c r="K1171" s="885"/>
      <c r="L1171" s="885"/>
      <c r="M1171" s="885"/>
      <c r="N1171" s="885"/>
      <c r="O1171" s="885"/>
      <c r="P1171" s="885"/>
      <c r="Q1171" s="885"/>
      <c r="R1171" s="885"/>
      <c r="S1171" s="885"/>
      <c r="T1171" s="885"/>
      <c r="U1171" s="885"/>
      <c r="V1171" s="885"/>
      <c r="W1171" s="885"/>
      <c r="X1171" s="885"/>
      <c r="Y1171" s="885"/>
      <c r="Z1171" s="885"/>
      <c r="AA1171" s="885"/>
      <c r="AB1171" s="885"/>
      <c r="AC1171" s="885"/>
      <c r="AD1171" s="885"/>
      <c r="AE1171" s="885"/>
      <c r="AF1171" s="885"/>
      <c r="AG1171" s="885"/>
      <c r="AH1171" s="885"/>
      <c r="AI1171" s="885"/>
      <c r="AJ1171" s="885"/>
      <c r="AK1171" s="885"/>
      <c r="AL1171" s="885"/>
      <c r="AM1171" s="885"/>
      <c r="AN1171" s="885"/>
      <c r="AO1171" s="885"/>
      <c r="AP1171" s="885"/>
      <c r="AQ1171" s="885"/>
      <c r="AR1171" s="885"/>
      <c r="AS1171" s="885"/>
      <c r="AT1171" s="885"/>
      <c r="AU1171" s="885"/>
      <c r="AV1171" s="885"/>
      <c r="AW1171" s="885"/>
      <c r="AX1171" s="885"/>
      <c r="AY1171" s="885"/>
      <c r="AZ1171" s="885"/>
      <c r="BA1171" s="885"/>
      <c r="BB1171" s="885"/>
      <c r="BC1171" s="885"/>
      <c r="BD1171" s="885"/>
      <c r="BE1171" s="885"/>
      <c r="BF1171" s="885"/>
      <c r="BG1171" s="885"/>
      <c r="BH1171" s="885"/>
      <c r="BI1171" s="885"/>
      <c r="BJ1171" s="885"/>
      <c r="BK1171" s="885"/>
      <c r="BL1171" s="885"/>
      <c r="BM1171" s="885"/>
      <c r="BN1171" s="885"/>
      <c r="BO1171" s="885"/>
      <c r="BP1171" s="885"/>
      <c r="BQ1171" s="885"/>
      <c r="BR1171" s="885"/>
      <c r="BS1171" s="885"/>
      <c r="BT1171" s="885"/>
      <c r="BU1171" s="885"/>
      <c r="BV1171" s="885"/>
      <c r="BW1171" s="885"/>
      <c r="BX1171" s="885"/>
      <c r="BY1171" s="885"/>
      <c r="BZ1171" s="885"/>
      <c r="CA1171" s="885"/>
      <c r="CB1171" s="885"/>
      <c r="CC1171" s="885"/>
      <c r="CD1171" s="885"/>
      <c r="CE1171" s="885"/>
      <c r="CF1171" s="885"/>
      <c r="CG1171" s="885"/>
      <c r="CH1171" s="885"/>
      <c r="CI1171" s="885"/>
      <c r="CJ1171" s="885"/>
      <c r="CK1171" s="885"/>
      <c r="CL1171" s="885"/>
      <c r="CM1171" s="885"/>
      <c r="CN1171" s="885"/>
      <c r="CO1171" s="885"/>
      <c r="CP1171" s="885"/>
      <c r="CQ1171" s="885"/>
      <c r="CR1171" s="885"/>
      <c r="CS1171" s="885"/>
      <c r="CT1171" s="885"/>
      <c r="CU1171" s="885"/>
      <c r="CV1171" s="885"/>
      <c r="CW1171" s="885"/>
      <c r="CX1171" s="885"/>
      <c r="CY1171" s="885"/>
      <c r="CZ1171" s="885"/>
      <c r="DA1171" s="885"/>
      <c r="DB1171" s="885"/>
      <c r="DC1171" s="885"/>
      <c r="DD1171" s="885"/>
      <c r="DE1171" s="885"/>
      <c r="DF1171" s="885"/>
      <c r="DG1171" s="885"/>
      <c r="DH1171" s="885"/>
      <c r="DI1171" s="885"/>
      <c r="DJ1171" s="885"/>
      <c r="DK1171" s="885"/>
      <c r="DL1171" s="885"/>
      <c r="DM1171" s="885"/>
      <c r="DN1171" s="885"/>
      <c r="DO1171" s="885"/>
      <c r="DP1171" s="885"/>
      <c r="DQ1171" s="885"/>
      <c r="DR1171" s="885"/>
      <c r="DS1171" s="885"/>
      <c r="DT1171" s="885"/>
      <c r="DU1171" s="885"/>
      <c r="DV1171" s="885"/>
      <c r="DW1171" s="885"/>
      <c r="DX1171" s="885"/>
      <c r="DY1171" s="885"/>
      <c r="DZ1171" s="885"/>
      <c r="EA1171" s="885"/>
      <c r="EB1171" s="885"/>
      <c r="EC1171" s="885"/>
      <c r="ED1171" s="885"/>
      <c r="EE1171" s="885"/>
      <c r="EF1171" s="885"/>
      <c r="EG1171" s="885"/>
      <c r="EH1171" s="885"/>
      <c r="EI1171" s="885"/>
      <c r="EJ1171" s="885"/>
      <c r="EK1171" s="885"/>
      <c r="EL1171" s="885"/>
      <c r="EM1171" s="885"/>
      <c r="EN1171" s="885"/>
      <c r="EO1171" s="885"/>
      <c r="EP1171" s="885"/>
      <c r="EQ1171" s="885"/>
      <c r="ER1171" s="885"/>
      <c r="ES1171" s="885"/>
      <c r="ET1171" s="885"/>
      <c r="EU1171" s="885"/>
      <c r="EV1171" s="885"/>
      <c r="EW1171" s="885"/>
      <c r="EX1171" s="885"/>
      <c r="EY1171" s="885"/>
      <c r="EZ1171" s="885"/>
      <c r="FA1171" s="885"/>
      <c r="FB1171" s="885"/>
      <c r="FC1171" s="885"/>
      <c r="FD1171" s="885"/>
      <c r="FE1171" s="885"/>
      <c r="FF1171" s="885"/>
      <c r="FG1171" s="885"/>
      <c r="FH1171" s="885"/>
      <c r="FI1171" s="885"/>
      <c r="FJ1171" s="885"/>
      <c r="FK1171" s="885"/>
      <c r="FL1171" s="885"/>
      <c r="FM1171" s="885"/>
      <c r="FN1171" s="885"/>
      <c r="FO1171" s="885"/>
      <c r="FP1171" s="885"/>
      <c r="FQ1171" s="885"/>
      <c r="FR1171" s="885"/>
      <c r="FS1171" s="885"/>
      <c r="FT1171" s="885"/>
      <c r="FU1171" s="885"/>
      <c r="FV1171" s="885"/>
      <c r="FW1171" s="885"/>
      <c r="FX1171" s="885"/>
      <c r="FY1171" s="885"/>
      <c r="FZ1171" s="885"/>
      <c r="GA1171" s="885"/>
      <c r="GB1171" s="885"/>
      <c r="GC1171" s="885"/>
      <c r="GD1171" s="885"/>
      <c r="GE1171" s="885"/>
      <c r="GF1171" s="885"/>
      <c r="GG1171" s="885"/>
      <c r="GH1171" s="885"/>
      <c r="GI1171" s="885"/>
      <c r="GJ1171" s="885"/>
      <c r="GK1171" s="885"/>
      <c r="GL1171" s="885"/>
      <c r="GM1171" s="885"/>
      <c r="GN1171" s="885"/>
      <c r="GO1171" s="885"/>
      <c r="GP1171" s="885"/>
      <c r="GQ1171" s="885"/>
      <c r="GR1171" s="885"/>
      <c r="GS1171" s="885"/>
      <c r="GT1171" s="885"/>
      <c r="GU1171" s="885"/>
      <c r="GV1171" s="885"/>
      <c r="GW1171" s="885"/>
      <c r="GX1171" s="885"/>
      <c r="GY1171" s="885"/>
      <c r="GZ1171" s="885"/>
      <c r="HA1171" s="885"/>
      <c r="HB1171" s="885"/>
      <c r="HC1171" s="885"/>
      <c r="HD1171" s="885"/>
      <c r="HE1171" s="885"/>
      <c r="HF1171" s="885"/>
      <c r="HG1171" s="885"/>
      <c r="HH1171" s="885"/>
      <c r="HI1171" s="885"/>
      <c r="HJ1171" s="885"/>
      <c r="HK1171" s="885"/>
      <c r="HL1171" s="885"/>
      <c r="HM1171" s="885"/>
      <c r="HN1171" s="885"/>
      <c r="HO1171" s="885"/>
      <c r="HP1171" s="885"/>
      <c r="HQ1171" s="885"/>
      <c r="HR1171" s="885"/>
      <c r="HS1171" s="885"/>
      <c r="HT1171" s="885"/>
      <c r="HU1171" s="885"/>
      <c r="HV1171" s="885"/>
      <c r="HW1171" s="885"/>
      <c r="HX1171" s="885"/>
      <c r="HY1171" s="885"/>
      <c r="HZ1171" s="885"/>
      <c r="IA1171" s="885"/>
      <c r="IB1171" s="885"/>
      <c r="IC1171" s="885"/>
      <c r="ID1171" s="885"/>
      <c r="IE1171" s="885"/>
      <c r="IF1171" s="885"/>
      <c r="IG1171" s="885"/>
      <c r="IH1171" s="885"/>
      <c r="II1171" s="885"/>
      <c r="IJ1171" s="885"/>
      <c r="IK1171" s="885"/>
      <c r="IL1171" s="885"/>
      <c r="IM1171" s="885"/>
      <c r="IN1171" s="885"/>
      <c r="IO1171" s="885"/>
      <c r="IP1171" s="885"/>
      <c r="IQ1171" s="885"/>
      <c r="IR1171" s="885"/>
      <c r="IS1171" s="885"/>
      <c r="IT1171" s="885"/>
      <c r="IU1171" s="885"/>
      <c r="IV1171" s="885"/>
      <c r="IW1171" s="885"/>
      <c r="IX1171" s="885"/>
    </row>
    <row r="1172" spans="1:258" x14ac:dyDescent="0.25">
      <c r="A1172" s="125">
        <f t="shared" si="128"/>
        <v>1132</v>
      </c>
      <c r="B1172" s="885"/>
      <c r="C1172" s="134" t="s">
        <v>10709</v>
      </c>
      <c r="D1172" s="924">
        <v>0</v>
      </c>
      <c r="E1172" s="924">
        <f t="shared" si="131"/>
        <v>0</v>
      </c>
      <c r="F1172" s="129">
        <v>500</v>
      </c>
      <c r="G1172" s="122" t="s">
        <v>1963</v>
      </c>
      <c r="H1172" s="885"/>
      <c r="I1172" s="885"/>
      <c r="J1172" s="885"/>
      <c r="K1172" s="885"/>
      <c r="L1172" s="885"/>
      <c r="M1172" s="885"/>
      <c r="N1172" s="885"/>
      <c r="O1172" s="885"/>
      <c r="P1172" s="885"/>
      <c r="Q1172" s="885"/>
      <c r="R1172" s="885"/>
      <c r="S1172" s="885"/>
      <c r="T1172" s="885"/>
      <c r="U1172" s="885"/>
      <c r="V1172" s="885"/>
      <c r="W1172" s="885"/>
      <c r="X1172" s="885"/>
      <c r="Y1172" s="885"/>
      <c r="Z1172" s="885"/>
      <c r="AA1172" s="885"/>
      <c r="AB1172" s="885"/>
      <c r="AC1172" s="885"/>
      <c r="AD1172" s="885"/>
      <c r="AE1172" s="885"/>
      <c r="AF1172" s="885"/>
      <c r="AG1172" s="885"/>
      <c r="AH1172" s="885"/>
      <c r="AI1172" s="885"/>
      <c r="AJ1172" s="885"/>
      <c r="AK1172" s="885"/>
      <c r="AL1172" s="885"/>
      <c r="AM1172" s="885"/>
      <c r="AN1172" s="885"/>
      <c r="AO1172" s="885"/>
      <c r="AP1172" s="885"/>
      <c r="AQ1172" s="885"/>
      <c r="AR1172" s="885"/>
      <c r="AS1172" s="885"/>
      <c r="AT1172" s="885"/>
      <c r="AU1172" s="885"/>
      <c r="AV1172" s="885"/>
      <c r="AW1172" s="885"/>
      <c r="AX1172" s="885"/>
      <c r="AY1172" s="885"/>
      <c r="AZ1172" s="885"/>
      <c r="BA1172" s="885"/>
      <c r="BB1172" s="885"/>
      <c r="BC1172" s="885"/>
      <c r="BD1172" s="885"/>
      <c r="BE1172" s="885"/>
      <c r="BF1172" s="885"/>
      <c r="BG1172" s="885"/>
      <c r="BH1172" s="885"/>
      <c r="BI1172" s="885"/>
      <c r="BJ1172" s="885"/>
      <c r="BK1172" s="885"/>
      <c r="BL1172" s="885"/>
      <c r="BM1172" s="885"/>
      <c r="BN1172" s="885"/>
      <c r="BO1172" s="885"/>
      <c r="BP1172" s="885"/>
      <c r="BQ1172" s="885"/>
      <c r="BR1172" s="885"/>
      <c r="BS1172" s="885"/>
      <c r="BT1172" s="885"/>
      <c r="BU1172" s="885"/>
      <c r="BV1172" s="885"/>
      <c r="BW1172" s="885"/>
      <c r="BX1172" s="885"/>
      <c r="BY1172" s="885"/>
      <c r="BZ1172" s="885"/>
      <c r="CA1172" s="885"/>
      <c r="CB1172" s="885"/>
      <c r="CC1172" s="885"/>
      <c r="CD1172" s="885"/>
      <c r="CE1172" s="885"/>
      <c r="CF1172" s="885"/>
      <c r="CG1172" s="885"/>
      <c r="CH1172" s="885"/>
      <c r="CI1172" s="885"/>
      <c r="CJ1172" s="885"/>
      <c r="CK1172" s="885"/>
      <c r="CL1172" s="885"/>
      <c r="CM1172" s="885"/>
      <c r="CN1172" s="885"/>
      <c r="CO1172" s="885"/>
      <c r="CP1172" s="885"/>
      <c r="CQ1172" s="885"/>
      <c r="CR1172" s="885"/>
      <c r="CS1172" s="885"/>
      <c r="CT1172" s="885"/>
      <c r="CU1172" s="885"/>
      <c r="CV1172" s="885"/>
      <c r="CW1172" s="885"/>
      <c r="CX1172" s="885"/>
      <c r="CY1172" s="885"/>
      <c r="CZ1172" s="885"/>
      <c r="DA1172" s="885"/>
      <c r="DB1172" s="885"/>
      <c r="DC1172" s="885"/>
      <c r="DD1172" s="885"/>
      <c r="DE1172" s="885"/>
      <c r="DF1172" s="885"/>
      <c r="DG1172" s="885"/>
      <c r="DH1172" s="885"/>
      <c r="DI1172" s="885"/>
      <c r="DJ1172" s="885"/>
      <c r="DK1172" s="885"/>
      <c r="DL1172" s="885"/>
      <c r="DM1172" s="885"/>
      <c r="DN1172" s="885"/>
      <c r="DO1172" s="885"/>
      <c r="DP1172" s="885"/>
      <c r="DQ1172" s="885"/>
      <c r="DR1172" s="885"/>
      <c r="DS1172" s="885"/>
      <c r="DT1172" s="885"/>
      <c r="DU1172" s="885"/>
      <c r="DV1172" s="885"/>
      <c r="DW1172" s="885"/>
      <c r="DX1172" s="885"/>
      <c r="DY1172" s="885"/>
      <c r="DZ1172" s="885"/>
      <c r="EA1172" s="885"/>
      <c r="EB1172" s="885"/>
      <c r="EC1172" s="885"/>
      <c r="ED1172" s="885"/>
      <c r="EE1172" s="885"/>
      <c r="EF1172" s="885"/>
      <c r="EG1172" s="885"/>
      <c r="EH1172" s="885"/>
      <c r="EI1172" s="885"/>
      <c r="EJ1172" s="885"/>
      <c r="EK1172" s="885"/>
      <c r="EL1172" s="885"/>
      <c r="EM1172" s="885"/>
      <c r="EN1172" s="885"/>
      <c r="EO1172" s="885"/>
      <c r="EP1172" s="885"/>
      <c r="EQ1172" s="885"/>
      <c r="ER1172" s="885"/>
      <c r="ES1172" s="885"/>
      <c r="ET1172" s="885"/>
      <c r="EU1172" s="885"/>
      <c r="EV1172" s="885"/>
      <c r="EW1172" s="885"/>
      <c r="EX1172" s="885"/>
      <c r="EY1172" s="885"/>
      <c r="EZ1172" s="885"/>
      <c r="FA1172" s="885"/>
      <c r="FB1172" s="885"/>
      <c r="FC1172" s="885"/>
      <c r="FD1172" s="885"/>
      <c r="FE1172" s="885"/>
      <c r="FF1172" s="885"/>
      <c r="FG1172" s="885"/>
      <c r="FH1172" s="885"/>
      <c r="FI1172" s="885"/>
      <c r="FJ1172" s="885"/>
      <c r="FK1172" s="885"/>
      <c r="FL1172" s="885"/>
      <c r="FM1172" s="885"/>
      <c r="FN1172" s="885"/>
      <c r="FO1172" s="885"/>
      <c r="FP1172" s="885"/>
      <c r="FQ1172" s="885"/>
      <c r="FR1172" s="885"/>
      <c r="FS1172" s="885"/>
      <c r="FT1172" s="885"/>
      <c r="FU1172" s="885"/>
      <c r="FV1172" s="885"/>
      <c r="FW1172" s="885"/>
      <c r="FX1172" s="885"/>
      <c r="FY1172" s="885"/>
      <c r="FZ1172" s="885"/>
      <c r="GA1172" s="885"/>
      <c r="GB1172" s="885"/>
      <c r="GC1172" s="885"/>
      <c r="GD1172" s="885"/>
      <c r="GE1172" s="885"/>
      <c r="GF1172" s="885"/>
      <c r="GG1172" s="885"/>
      <c r="GH1172" s="885"/>
      <c r="GI1172" s="885"/>
      <c r="GJ1172" s="885"/>
      <c r="GK1172" s="885"/>
      <c r="GL1172" s="885"/>
      <c r="GM1172" s="885"/>
      <c r="GN1172" s="885"/>
      <c r="GO1172" s="885"/>
      <c r="GP1172" s="885"/>
      <c r="GQ1172" s="885"/>
      <c r="GR1172" s="885"/>
      <c r="GS1172" s="885"/>
      <c r="GT1172" s="885"/>
      <c r="GU1172" s="885"/>
      <c r="GV1172" s="885"/>
      <c r="GW1172" s="885"/>
      <c r="GX1172" s="885"/>
      <c r="GY1172" s="885"/>
      <c r="GZ1172" s="885"/>
      <c r="HA1172" s="885"/>
      <c r="HB1172" s="885"/>
      <c r="HC1172" s="885"/>
      <c r="HD1172" s="885"/>
      <c r="HE1172" s="885"/>
      <c r="HF1172" s="885"/>
      <c r="HG1172" s="885"/>
      <c r="HH1172" s="885"/>
      <c r="HI1172" s="885"/>
      <c r="HJ1172" s="885"/>
      <c r="HK1172" s="885"/>
      <c r="HL1172" s="885"/>
      <c r="HM1172" s="885"/>
      <c r="HN1172" s="885"/>
      <c r="HO1172" s="885"/>
      <c r="HP1172" s="885"/>
      <c r="HQ1172" s="885"/>
      <c r="HR1172" s="885"/>
      <c r="HS1172" s="885"/>
      <c r="HT1172" s="885"/>
      <c r="HU1172" s="885"/>
      <c r="HV1172" s="885"/>
      <c r="HW1172" s="885"/>
      <c r="HX1172" s="885"/>
      <c r="HY1172" s="885"/>
      <c r="HZ1172" s="885"/>
      <c r="IA1172" s="885"/>
      <c r="IB1172" s="885"/>
      <c r="IC1172" s="885"/>
      <c r="ID1172" s="885"/>
      <c r="IE1172" s="885"/>
      <c r="IF1172" s="885"/>
      <c r="IG1172" s="885"/>
      <c r="IH1172" s="885"/>
      <c r="II1172" s="885"/>
      <c r="IJ1172" s="885"/>
      <c r="IK1172" s="885"/>
      <c r="IL1172" s="885"/>
      <c r="IM1172" s="885"/>
      <c r="IN1172" s="885"/>
      <c r="IO1172" s="885"/>
      <c r="IP1172" s="885"/>
      <c r="IQ1172" s="885"/>
      <c r="IR1172" s="885"/>
      <c r="IS1172" s="885"/>
      <c r="IT1172" s="885"/>
      <c r="IU1172" s="885"/>
      <c r="IV1172" s="885"/>
      <c r="IW1172" s="885"/>
      <c r="IX1172" s="885"/>
    </row>
    <row r="1173" spans="1:258" x14ac:dyDescent="0.25">
      <c r="A1173" s="125">
        <f t="shared" si="128"/>
        <v>1133</v>
      </c>
      <c r="B1173" s="804"/>
      <c r="C1173" s="804" t="s">
        <v>10710</v>
      </c>
      <c r="D1173" s="920"/>
      <c r="E1173" s="920"/>
      <c r="F1173" s="804"/>
      <c r="G1173" s="885"/>
      <c r="H1173" s="885"/>
      <c r="I1173" s="885"/>
      <c r="J1173" s="885"/>
      <c r="K1173" s="885"/>
      <c r="L1173" s="885"/>
      <c r="M1173" s="885"/>
      <c r="N1173" s="885"/>
      <c r="O1173" s="885"/>
      <c r="P1173" s="885"/>
      <c r="Q1173" s="885"/>
      <c r="R1173" s="885"/>
      <c r="S1173" s="885"/>
      <c r="T1173" s="885"/>
      <c r="U1173" s="885"/>
      <c r="V1173" s="885"/>
      <c r="W1173" s="885"/>
      <c r="X1173" s="885"/>
      <c r="Y1173" s="885"/>
      <c r="Z1173" s="885"/>
      <c r="AA1173" s="885"/>
      <c r="AB1173" s="885"/>
      <c r="AC1173" s="885"/>
      <c r="AD1173" s="885"/>
      <c r="AE1173" s="885"/>
      <c r="AF1173" s="885"/>
      <c r="AG1173" s="885"/>
      <c r="AH1173" s="885"/>
      <c r="AI1173" s="885"/>
      <c r="AJ1173" s="885"/>
      <c r="AK1173" s="885"/>
      <c r="AL1173" s="885"/>
      <c r="AM1173" s="885"/>
      <c r="AN1173" s="885"/>
      <c r="AO1173" s="885"/>
      <c r="AP1173" s="885"/>
      <c r="AQ1173" s="885"/>
      <c r="AR1173" s="885"/>
      <c r="AS1173" s="885"/>
      <c r="AT1173" s="885"/>
      <c r="AU1173" s="885"/>
      <c r="AV1173" s="885"/>
      <c r="AW1173" s="885"/>
      <c r="AX1173" s="885"/>
      <c r="AY1173" s="885"/>
      <c r="AZ1173" s="885"/>
      <c r="BA1173" s="885"/>
      <c r="BB1173" s="885"/>
      <c r="BC1173" s="885"/>
      <c r="BD1173" s="885"/>
      <c r="BE1173" s="885"/>
      <c r="BF1173" s="885"/>
      <c r="BG1173" s="885"/>
      <c r="BH1173" s="885"/>
      <c r="BI1173" s="885"/>
      <c r="BJ1173" s="885"/>
      <c r="BK1173" s="885"/>
      <c r="BL1173" s="885"/>
      <c r="BM1173" s="885"/>
      <c r="BN1173" s="885"/>
      <c r="BO1173" s="885"/>
      <c r="BP1173" s="885"/>
      <c r="BQ1173" s="885"/>
      <c r="BR1173" s="885"/>
      <c r="BS1173" s="885"/>
      <c r="BT1173" s="885"/>
      <c r="BU1173" s="885"/>
      <c r="BV1173" s="885"/>
      <c r="BW1173" s="885"/>
      <c r="BX1173" s="885"/>
      <c r="BY1173" s="885"/>
      <c r="BZ1173" s="885"/>
      <c r="CA1173" s="885"/>
      <c r="CB1173" s="885"/>
      <c r="CC1173" s="885"/>
      <c r="CD1173" s="885"/>
      <c r="CE1173" s="885"/>
      <c r="CF1173" s="885"/>
      <c r="CG1173" s="885"/>
      <c r="CH1173" s="885"/>
      <c r="CI1173" s="885"/>
      <c r="CJ1173" s="885"/>
      <c r="CK1173" s="885"/>
      <c r="CL1173" s="885"/>
      <c r="CM1173" s="885"/>
      <c r="CN1173" s="885"/>
      <c r="CO1173" s="885"/>
      <c r="CP1173" s="885"/>
      <c r="CQ1173" s="885"/>
      <c r="CR1173" s="885"/>
      <c r="CS1173" s="885"/>
      <c r="CT1173" s="885"/>
      <c r="CU1173" s="885"/>
      <c r="CV1173" s="885"/>
      <c r="CW1173" s="885"/>
      <c r="CX1173" s="885"/>
      <c r="CY1173" s="885"/>
      <c r="CZ1173" s="885"/>
      <c r="DA1173" s="885"/>
      <c r="DB1173" s="885"/>
      <c r="DC1173" s="885"/>
      <c r="DD1173" s="885"/>
      <c r="DE1173" s="885"/>
      <c r="DF1173" s="885"/>
      <c r="DG1173" s="885"/>
      <c r="DH1173" s="885"/>
      <c r="DI1173" s="885"/>
      <c r="DJ1173" s="885"/>
      <c r="DK1173" s="885"/>
      <c r="DL1173" s="885"/>
      <c r="DM1173" s="885"/>
      <c r="DN1173" s="885"/>
      <c r="DO1173" s="885"/>
      <c r="DP1173" s="885"/>
      <c r="DQ1173" s="885"/>
      <c r="DR1173" s="885"/>
      <c r="DS1173" s="885"/>
      <c r="DT1173" s="885"/>
      <c r="DU1173" s="885"/>
      <c r="DV1173" s="885"/>
      <c r="DW1173" s="885"/>
      <c r="DX1173" s="885"/>
      <c r="DY1173" s="885"/>
      <c r="DZ1173" s="885"/>
      <c r="EA1173" s="885"/>
      <c r="EB1173" s="885"/>
      <c r="EC1173" s="885"/>
      <c r="ED1173" s="885"/>
      <c r="EE1173" s="885"/>
      <c r="EF1173" s="885"/>
      <c r="EG1173" s="885"/>
      <c r="EH1173" s="885"/>
      <c r="EI1173" s="885"/>
      <c r="EJ1173" s="885"/>
      <c r="EK1173" s="885"/>
      <c r="EL1173" s="885"/>
      <c r="EM1173" s="885"/>
      <c r="EN1173" s="885"/>
      <c r="EO1173" s="885"/>
      <c r="EP1173" s="885"/>
      <c r="EQ1173" s="885"/>
      <c r="ER1173" s="885"/>
      <c r="ES1173" s="885"/>
      <c r="ET1173" s="885"/>
      <c r="EU1173" s="885"/>
      <c r="EV1173" s="885"/>
      <c r="EW1173" s="885"/>
      <c r="EX1173" s="885"/>
      <c r="EY1173" s="885"/>
      <c r="EZ1173" s="885"/>
      <c r="FA1173" s="885"/>
      <c r="FB1173" s="885"/>
      <c r="FC1173" s="885"/>
      <c r="FD1173" s="885"/>
      <c r="FE1173" s="885"/>
      <c r="FF1173" s="885"/>
      <c r="FG1173" s="885"/>
      <c r="FH1173" s="885"/>
      <c r="FI1173" s="885"/>
      <c r="FJ1173" s="885"/>
      <c r="FK1173" s="885"/>
      <c r="FL1173" s="885"/>
      <c r="FM1173" s="885"/>
      <c r="FN1173" s="885"/>
      <c r="FO1173" s="885"/>
      <c r="FP1173" s="885"/>
      <c r="FQ1173" s="885"/>
      <c r="FR1173" s="885"/>
      <c r="FS1173" s="885"/>
      <c r="FT1173" s="885"/>
      <c r="FU1173" s="885"/>
      <c r="FV1173" s="885"/>
      <c r="FW1173" s="885"/>
      <c r="FX1173" s="885"/>
      <c r="FY1173" s="885"/>
      <c r="FZ1173" s="885"/>
      <c r="GA1173" s="885"/>
      <c r="GB1173" s="885"/>
      <c r="GC1173" s="885"/>
      <c r="GD1173" s="885"/>
      <c r="GE1173" s="885"/>
      <c r="GF1173" s="885"/>
      <c r="GG1173" s="885"/>
      <c r="GH1173" s="885"/>
      <c r="GI1173" s="885"/>
      <c r="GJ1173" s="885"/>
      <c r="GK1173" s="885"/>
      <c r="GL1173" s="885"/>
      <c r="GM1173" s="885"/>
      <c r="GN1173" s="885"/>
      <c r="GO1173" s="885"/>
      <c r="GP1173" s="885"/>
      <c r="GQ1173" s="885"/>
      <c r="GR1173" s="885"/>
      <c r="GS1173" s="885"/>
      <c r="GT1173" s="885"/>
      <c r="GU1173" s="885"/>
      <c r="GV1173" s="885"/>
      <c r="GW1173" s="885"/>
      <c r="GX1173" s="885"/>
      <c r="GY1173" s="885"/>
      <c r="GZ1173" s="885"/>
      <c r="HA1173" s="885"/>
      <c r="HB1173" s="885"/>
      <c r="HC1173" s="885"/>
      <c r="HD1173" s="885"/>
      <c r="HE1173" s="885"/>
      <c r="HF1173" s="885"/>
      <c r="HG1173" s="885"/>
      <c r="HH1173" s="885"/>
      <c r="HI1173" s="885"/>
      <c r="HJ1173" s="885"/>
      <c r="HK1173" s="885"/>
      <c r="HL1173" s="885"/>
      <c r="HM1173" s="885"/>
      <c r="HN1173" s="885"/>
      <c r="HO1173" s="885"/>
      <c r="HP1173" s="885"/>
      <c r="HQ1173" s="885"/>
      <c r="HR1173" s="885"/>
      <c r="HS1173" s="885"/>
      <c r="HT1173" s="885"/>
      <c r="HU1173" s="885"/>
      <c r="HV1173" s="885"/>
      <c r="HW1173" s="885"/>
      <c r="HX1173" s="885"/>
      <c r="HY1173" s="885"/>
      <c r="HZ1173" s="885"/>
      <c r="IA1173" s="885"/>
      <c r="IB1173" s="885"/>
      <c r="IC1173" s="885"/>
      <c r="ID1173" s="885"/>
      <c r="IE1173" s="885"/>
      <c r="IF1173" s="885"/>
      <c r="IG1173" s="885"/>
      <c r="IH1173" s="885"/>
      <c r="II1173" s="885"/>
      <c r="IJ1173" s="885"/>
      <c r="IK1173" s="885"/>
      <c r="IL1173" s="885"/>
      <c r="IM1173" s="885"/>
      <c r="IN1173" s="885"/>
      <c r="IO1173" s="885"/>
      <c r="IP1173" s="885"/>
      <c r="IQ1173" s="885"/>
      <c r="IR1173" s="885"/>
      <c r="IS1173" s="885"/>
      <c r="IT1173" s="885"/>
      <c r="IU1173" s="885"/>
      <c r="IV1173" s="885"/>
      <c r="IW1173" s="885"/>
      <c r="IX1173" s="885"/>
    </row>
    <row r="1174" spans="1:258" x14ac:dyDescent="0.25">
      <c r="A1174" s="125">
        <f t="shared" si="128"/>
        <v>1134</v>
      </c>
      <c r="B1174" s="885"/>
      <c r="C1174" s="842" t="s">
        <v>10711</v>
      </c>
      <c r="D1174" s="924">
        <v>7736.38</v>
      </c>
      <c r="E1174" s="924">
        <f t="shared" si="131"/>
        <v>11604.57</v>
      </c>
      <c r="F1174" s="129">
        <f>E1174</f>
        <v>11604.57</v>
      </c>
      <c r="G1174" s="122" t="s">
        <v>1963</v>
      </c>
      <c r="H1174" s="885"/>
      <c r="I1174" s="885"/>
      <c r="J1174" s="885"/>
      <c r="K1174" s="885"/>
      <c r="L1174" s="885"/>
      <c r="M1174" s="885"/>
      <c r="N1174" s="885"/>
      <c r="O1174" s="885"/>
      <c r="P1174" s="885"/>
      <c r="Q1174" s="885"/>
      <c r="R1174" s="885"/>
      <c r="S1174" s="885"/>
      <c r="T1174" s="885"/>
      <c r="U1174" s="885"/>
      <c r="V1174" s="885"/>
      <c r="W1174" s="885"/>
      <c r="X1174" s="885"/>
      <c r="Y1174" s="885"/>
      <c r="Z1174" s="885"/>
      <c r="AA1174" s="885"/>
      <c r="AB1174" s="885"/>
      <c r="AC1174" s="885"/>
      <c r="AD1174" s="885"/>
      <c r="AE1174" s="885"/>
      <c r="AF1174" s="885"/>
      <c r="AG1174" s="885"/>
      <c r="AH1174" s="885"/>
      <c r="AI1174" s="885"/>
      <c r="AJ1174" s="885"/>
      <c r="AK1174" s="885"/>
      <c r="AL1174" s="885"/>
      <c r="AM1174" s="885"/>
      <c r="AN1174" s="885"/>
      <c r="AO1174" s="885"/>
      <c r="AP1174" s="885"/>
      <c r="AQ1174" s="885"/>
      <c r="AR1174" s="885"/>
      <c r="AS1174" s="885"/>
      <c r="AT1174" s="885"/>
      <c r="AU1174" s="885"/>
      <c r="AV1174" s="885"/>
      <c r="AW1174" s="885"/>
      <c r="AX1174" s="885"/>
      <c r="AY1174" s="885"/>
      <c r="AZ1174" s="885"/>
      <c r="BA1174" s="885"/>
      <c r="BB1174" s="885"/>
      <c r="BC1174" s="885"/>
      <c r="BD1174" s="885"/>
      <c r="BE1174" s="885"/>
      <c r="BF1174" s="885"/>
      <c r="BG1174" s="885"/>
      <c r="BH1174" s="885"/>
      <c r="BI1174" s="885"/>
      <c r="BJ1174" s="885"/>
      <c r="BK1174" s="885"/>
      <c r="BL1174" s="885"/>
      <c r="BM1174" s="885"/>
      <c r="BN1174" s="885"/>
      <c r="BO1174" s="885"/>
      <c r="BP1174" s="885"/>
      <c r="BQ1174" s="885"/>
      <c r="BR1174" s="885"/>
      <c r="BS1174" s="885"/>
      <c r="BT1174" s="885"/>
      <c r="BU1174" s="885"/>
      <c r="BV1174" s="885"/>
      <c r="BW1174" s="885"/>
      <c r="BX1174" s="885"/>
      <c r="BY1174" s="885"/>
      <c r="BZ1174" s="885"/>
      <c r="CA1174" s="885"/>
      <c r="CB1174" s="885"/>
      <c r="CC1174" s="885"/>
      <c r="CD1174" s="885"/>
      <c r="CE1174" s="885"/>
      <c r="CF1174" s="885"/>
      <c r="CG1174" s="885"/>
      <c r="CH1174" s="885"/>
      <c r="CI1174" s="885"/>
      <c r="CJ1174" s="885"/>
      <c r="CK1174" s="885"/>
      <c r="CL1174" s="885"/>
      <c r="CM1174" s="885"/>
      <c r="CN1174" s="885"/>
      <c r="CO1174" s="885"/>
      <c r="CP1174" s="885"/>
      <c r="CQ1174" s="885"/>
      <c r="CR1174" s="885"/>
      <c r="CS1174" s="885"/>
      <c r="CT1174" s="885"/>
      <c r="CU1174" s="885"/>
      <c r="CV1174" s="885"/>
      <c r="CW1174" s="885"/>
      <c r="CX1174" s="885"/>
      <c r="CY1174" s="885"/>
      <c r="CZ1174" s="885"/>
      <c r="DA1174" s="885"/>
      <c r="DB1174" s="885"/>
      <c r="DC1174" s="885"/>
      <c r="DD1174" s="885"/>
      <c r="DE1174" s="885"/>
      <c r="DF1174" s="885"/>
      <c r="DG1174" s="885"/>
      <c r="DH1174" s="885"/>
      <c r="DI1174" s="885"/>
      <c r="DJ1174" s="885"/>
      <c r="DK1174" s="885"/>
      <c r="DL1174" s="885"/>
      <c r="DM1174" s="885"/>
      <c r="DN1174" s="885"/>
      <c r="DO1174" s="885"/>
      <c r="DP1174" s="885"/>
      <c r="DQ1174" s="885"/>
      <c r="DR1174" s="885"/>
      <c r="DS1174" s="885"/>
      <c r="DT1174" s="885"/>
      <c r="DU1174" s="885"/>
      <c r="DV1174" s="885"/>
      <c r="DW1174" s="885"/>
      <c r="DX1174" s="885"/>
      <c r="DY1174" s="885"/>
      <c r="DZ1174" s="885"/>
      <c r="EA1174" s="885"/>
      <c r="EB1174" s="885"/>
      <c r="EC1174" s="885"/>
      <c r="ED1174" s="885"/>
      <c r="EE1174" s="885"/>
      <c r="EF1174" s="885"/>
      <c r="EG1174" s="885"/>
      <c r="EH1174" s="885"/>
      <c r="EI1174" s="885"/>
      <c r="EJ1174" s="885"/>
      <c r="EK1174" s="885"/>
      <c r="EL1174" s="885"/>
      <c r="EM1174" s="885"/>
      <c r="EN1174" s="885"/>
      <c r="EO1174" s="885"/>
      <c r="EP1174" s="885"/>
      <c r="EQ1174" s="885"/>
      <c r="ER1174" s="885"/>
      <c r="ES1174" s="885"/>
      <c r="ET1174" s="885"/>
      <c r="EU1174" s="885"/>
      <c r="EV1174" s="885"/>
      <c r="EW1174" s="885"/>
      <c r="EX1174" s="885"/>
      <c r="EY1174" s="885"/>
      <c r="EZ1174" s="885"/>
      <c r="FA1174" s="885"/>
      <c r="FB1174" s="885"/>
      <c r="FC1174" s="885"/>
      <c r="FD1174" s="885"/>
      <c r="FE1174" s="885"/>
      <c r="FF1174" s="885"/>
      <c r="FG1174" s="885"/>
      <c r="FH1174" s="885"/>
      <c r="FI1174" s="885"/>
      <c r="FJ1174" s="885"/>
      <c r="FK1174" s="885"/>
      <c r="FL1174" s="885"/>
      <c r="FM1174" s="885"/>
      <c r="FN1174" s="885"/>
      <c r="FO1174" s="885"/>
      <c r="FP1174" s="885"/>
      <c r="FQ1174" s="885"/>
      <c r="FR1174" s="885"/>
      <c r="FS1174" s="885"/>
      <c r="FT1174" s="885"/>
      <c r="FU1174" s="885"/>
      <c r="FV1174" s="885"/>
      <c r="FW1174" s="885"/>
      <c r="FX1174" s="885"/>
      <c r="FY1174" s="885"/>
      <c r="FZ1174" s="885"/>
      <c r="GA1174" s="885"/>
      <c r="GB1174" s="885"/>
      <c r="GC1174" s="885"/>
      <c r="GD1174" s="885"/>
      <c r="GE1174" s="885"/>
      <c r="GF1174" s="885"/>
      <c r="GG1174" s="885"/>
      <c r="GH1174" s="885"/>
      <c r="GI1174" s="885"/>
      <c r="GJ1174" s="885"/>
      <c r="GK1174" s="885"/>
      <c r="GL1174" s="885"/>
      <c r="GM1174" s="885"/>
      <c r="GN1174" s="885"/>
      <c r="GO1174" s="885"/>
      <c r="GP1174" s="885"/>
      <c r="GQ1174" s="885"/>
      <c r="GR1174" s="885"/>
      <c r="GS1174" s="885"/>
      <c r="GT1174" s="885"/>
      <c r="GU1174" s="885"/>
      <c r="GV1174" s="885"/>
      <c r="GW1174" s="885"/>
      <c r="GX1174" s="885"/>
      <c r="GY1174" s="885"/>
      <c r="GZ1174" s="885"/>
      <c r="HA1174" s="885"/>
      <c r="HB1174" s="885"/>
      <c r="HC1174" s="885"/>
      <c r="HD1174" s="885"/>
      <c r="HE1174" s="885"/>
      <c r="HF1174" s="885"/>
      <c r="HG1174" s="885"/>
      <c r="HH1174" s="885"/>
      <c r="HI1174" s="885"/>
      <c r="HJ1174" s="885"/>
      <c r="HK1174" s="885"/>
      <c r="HL1174" s="885"/>
      <c r="HM1174" s="885"/>
      <c r="HN1174" s="885"/>
      <c r="HO1174" s="885"/>
      <c r="HP1174" s="885"/>
      <c r="HQ1174" s="885"/>
      <c r="HR1174" s="885"/>
      <c r="HS1174" s="885"/>
      <c r="HT1174" s="885"/>
      <c r="HU1174" s="885"/>
      <c r="HV1174" s="885"/>
      <c r="HW1174" s="885"/>
      <c r="HX1174" s="885"/>
      <c r="HY1174" s="885"/>
      <c r="HZ1174" s="885"/>
      <c r="IA1174" s="885"/>
      <c r="IB1174" s="885"/>
      <c r="IC1174" s="885"/>
      <c r="ID1174" s="885"/>
      <c r="IE1174" s="885"/>
      <c r="IF1174" s="885"/>
      <c r="IG1174" s="885"/>
      <c r="IH1174" s="885"/>
      <c r="II1174" s="885"/>
      <c r="IJ1174" s="885"/>
      <c r="IK1174" s="885"/>
      <c r="IL1174" s="885"/>
      <c r="IM1174" s="885"/>
      <c r="IN1174" s="885"/>
      <c r="IO1174" s="885"/>
      <c r="IP1174" s="885"/>
      <c r="IQ1174" s="885"/>
      <c r="IR1174" s="885"/>
      <c r="IS1174" s="885"/>
      <c r="IT1174" s="885"/>
      <c r="IU1174" s="885"/>
      <c r="IV1174" s="885"/>
      <c r="IW1174" s="885"/>
      <c r="IX1174" s="885"/>
    </row>
    <row r="1175" spans="1:258" x14ac:dyDescent="0.25">
      <c r="A1175" s="125">
        <f t="shared" si="128"/>
        <v>1135</v>
      </c>
      <c r="B1175" s="885"/>
      <c r="C1175" s="842" t="s">
        <v>10712</v>
      </c>
      <c r="D1175" s="924">
        <v>0</v>
      </c>
      <c r="E1175" s="924">
        <f t="shared" si="131"/>
        <v>0</v>
      </c>
      <c r="F1175" s="129">
        <v>500</v>
      </c>
      <c r="G1175" s="122" t="s">
        <v>1963</v>
      </c>
      <c r="H1175" s="885"/>
      <c r="I1175" s="885"/>
      <c r="J1175" s="885"/>
      <c r="K1175" s="885"/>
      <c r="L1175" s="885"/>
      <c r="M1175" s="885"/>
      <c r="N1175" s="885"/>
      <c r="O1175" s="885"/>
      <c r="P1175" s="885"/>
      <c r="Q1175" s="885"/>
      <c r="R1175" s="885"/>
      <c r="S1175" s="885"/>
      <c r="T1175" s="885"/>
      <c r="U1175" s="885"/>
      <c r="V1175" s="885"/>
      <c r="W1175" s="885"/>
      <c r="X1175" s="885"/>
      <c r="Y1175" s="885"/>
      <c r="Z1175" s="885"/>
      <c r="AA1175" s="885"/>
      <c r="AB1175" s="885"/>
      <c r="AC1175" s="885"/>
      <c r="AD1175" s="885"/>
      <c r="AE1175" s="885"/>
      <c r="AF1175" s="885"/>
      <c r="AG1175" s="885"/>
      <c r="AH1175" s="885"/>
      <c r="AI1175" s="885"/>
      <c r="AJ1175" s="885"/>
      <c r="AK1175" s="885"/>
      <c r="AL1175" s="885"/>
      <c r="AM1175" s="885"/>
      <c r="AN1175" s="885"/>
      <c r="AO1175" s="885"/>
      <c r="AP1175" s="885"/>
      <c r="AQ1175" s="885"/>
      <c r="AR1175" s="885"/>
      <c r="AS1175" s="885"/>
      <c r="AT1175" s="885"/>
      <c r="AU1175" s="885"/>
      <c r="AV1175" s="885"/>
      <c r="AW1175" s="885"/>
      <c r="AX1175" s="885"/>
      <c r="AY1175" s="885"/>
      <c r="AZ1175" s="885"/>
      <c r="BA1175" s="885"/>
      <c r="BB1175" s="885"/>
      <c r="BC1175" s="885"/>
      <c r="BD1175" s="885"/>
      <c r="BE1175" s="885"/>
      <c r="BF1175" s="885"/>
      <c r="BG1175" s="885"/>
      <c r="BH1175" s="885"/>
      <c r="BI1175" s="885"/>
      <c r="BJ1175" s="885"/>
      <c r="BK1175" s="885"/>
      <c r="BL1175" s="885"/>
      <c r="BM1175" s="885"/>
      <c r="BN1175" s="885"/>
      <c r="BO1175" s="885"/>
      <c r="BP1175" s="885"/>
      <c r="BQ1175" s="885"/>
      <c r="BR1175" s="885"/>
      <c r="BS1175" s="885"/>
      <c r="BT1175" s="885"/>
      <c r="BU1175" s="885"/>
      <c r="BV1175" s="885"/>
      <c r="BW1175" s="885"/>
      <c r="BX1175" s="885"/>
      <c r="BY1175" s="885"/>
      <c r="BZ1175" s="885"/>
      <c r="CA1175" s="885"/>
      <c r="CB1175" s="885"/>
      <c r="CC1175" s="885"/>
      <c r="CD1175" s="885"/>
      <c r="CE1175" s="885"/>
      <c r="CF1175" s="885"/>
      <c r="CG1175" s="885"/>
      <c r="CH1175" s="885"/>
      <c r="CI1175" s="885"/>
      <c r="CJ1175" s="885"/>
      <c r="CK1175" s="885"/>
      <c r="CL1175" s="885"/>
      <c r="CM1175" s="885"/>
      <c r="CN1175" s="885"/>
      <c r="CO1175" s="885"/>
      <c r="CP1175" s="885"/>
      <c r="CQ1175" s="885"/>
      <c r="CR1175" s="885"/>
      <c r="CS1175" s="885"/>
      <c r="CT1175" s="885"/>
      <c r="CU1175" s="885"/>
      <c r="CV1175" s="885"/>
      <c r="CW1175" s="885"/>
      <c r="CX1175" s="885"/>
      <c r="CY1175" s="885"/>
      <c r="CZ1175" s="885"/>
      <c r="DA1175" s="885"/>
      <c r="DB1175" s="885"/>
      <c r="DC1175" s="885"/>
      <c r="DD1175" s="885"/>
      <c r="DE1175" s="885"/>
      <c r="DF1175" s="885"/>
      <c r="DG1175" s="885"/>
      <c r="DH1175" s="885"/>
      <c r="DI1175" s="885"/>
      <c r="DJ1175" s="885"/>
      <c r="DK1175" s="885"/>
      <c r="DL1175" s="885"/>
      <c r="DM1175" s="885"/>
      <c r="DN1175" s="885"/>
      <c r="DO1175" s="885"/>
      <c r="DP1175" s="885"/>
      <c r="DQ1175" s="885"/>
      <c r="DR1175" s="885"/>
      <c r="DS1175" s="885"/>
      <c r="DT1175" s="885"/>
      <c r="DU1175" s="885"/>
      <c r="DV1175" s="885"/>
      <c r="DW1175" s="885"/>
      <c r="DX1175" s="885"/>
      <c r="DY1175" s="885"/>
      <c r="DZ1175" s="885"/>
      <c r="EA1175" s="885"/>
      <c r="EB1175" s="885"/>
      <c r="EC1175" s="885"/>
      <c r="ED1175" s="885"/>
      <c r="EE1175" s="885"/>
      <c r="EF1175" s="885"/>
      <c r="EG1175" s="885"/>
      <c r="EH1175" s="885"/>
      <c r="EI1175" s="885"/>
      <c r="EJ1175" s="885"/>
      <c r="EK1175" s="885"/>
      <c r="EL1175" s="885"/>
      <c r="EM1175" s="885"/>
      <c r="EN1175" s="885"/>
      <c r="EO1175" s="885"/>
      <c r="EP1175" s="885"/>
      <c r="EQ1175" s="885"/>
      <c r="ER1175" s="885"/>
      <c r="ES1175" s="885"/>
      <c r="ET1175" s="885"/>
      <c r="EU1175" s="885"/>
      <c r="EV1175" s="885"/>
      <c r="EW1175" s="885"/>
      <c r="EX1175" s="885"/>
      <c r="EY1175" s="885"/>
      <c r="EZ1175" s="885"/>
      <c r="FA1175" s="885"/>
      <c r="FB1175" s="885"/>
      <c r="FC1175" s="885"/>
      <c r="FD1175" s="885"/>
      <c r="FE1175" s="885"/>
      <c r="FF1175" s="885"/>
      <c r="FG1175" s="885"/>
      <c r="FH1175" s="885"/>
      <c r="FI1175" s="885"/>
      <c r="FJ1175" s="885"/>
      <c r="FK1175" s="885"/>
      <c r="FL1175" s="885"/>
      <c r="FM1175" s="885"/>
      <c r="FN1175" s="885"/>
      <c r="FO1175" s="885"/>
      <c r="FP1175" s="885"/>
      <c r="FQ1175" s="885"/>
      <c r="FR1175" s="885"/>
      <c r="FS1175" s="885"/>
      <c r="FT1175" s="885"/>
      <c r="FU1175" s="885"/>
      <c r="FV1175" s="885"/>
      <c r="FW1175" s="885"/>
      <c r="FX1175" s="885"/>
      <c r="FY1175" s="885"/>
      <c r="FZ1175" s="885"/>
      <c r="GA1175" s="885"/>
      <c r="GB1175" s="885"/>
      <c r="GC1175" s="885"/>
      <c r="GD1175" s="885"/>
      <c r="GE1175" s="885"/>
      <c r="GF1175" s="885"/>
      <c r="GG1175" s="885"/>
      <c r="GH1175" s="885"/>
      <c r="GI1175" s="885"/>
      <c r="GJ1175" s="885"/>
      <c r="GK1175" s="885"/>
      <c r="GL1175" s="885"/>
      <c r="GM1175" s="885"/>
      <c r="GN1175" s="885"/>
      <c r="GO1175" s="885"/>
      <c r="GP1175" s="885"/>
      <c r="GQ1175" s="885"/>
      <c r="GR1175" s="885"/>
      <c r="GS1175" s="885"/>
      <c r="GT1175" s="885"/>
      <c r="GU1175" s="885"/>
      <c r="GV1175" s="885"/>
      <c r="GW1175" s="885"/>
      <c r="GX1175" s="885"/>
      <c r="GY1175" s="885"/>
      <c r="GZ1175" s="885"/>
      <c r="HA1175" s="885"/>
      <c r="HB1175" s="885"/>
      <c r="HC1175" s="885"/>
      <c r="HD1175" s="885"/>
      <c r="HE1175" s="885"/>
      <c r="HF1175" s="885"/>
      <c r="HG1175" s="885"/>
      <c r="HH1175" s="885"/>
      <c r="HI1175" s="885"/>
      <c r="HJ1175" s="885"/>
      <c r="HK1175" s="885"/>
      <c r="HL1175" s="885"/>
      <c r="HM1175" s="885"/>
      <c r="HN1175" s="885"/>
      <c r="HO1175" s="885"/>
      <c r="HP1175" s="885"/>
      <c r="HQ1175" s="885"/>
      <c r="HR1175" s="885"/>
      <c r="HS1175" s="885"/>
      <c r="HT1175" s="885"/>
      <c r="HU1175" s="885"/>
      <c r="HV1175" s="885"/>
      <c r="HW1175" s="885"/>
      <c r="HX1175" s="885"/>
      <c r="HY1175" s="885"/>
      <c r="HZ1175" s="885"/>
      <c r="IA1175" s="885"/>
      <c r="IB1175" s="885"/>
      <c r="IC1175" s="885"/>
      <c r="ID1175" s="885"/>
      <c r="IE1175" s="885"/>
      <c r="IF1175" s="885"/>
      <c r="IG1175" s="885"/>
      <c r="IH1175" s="885"/>
      <c r="II1175" s="885"/>
      <c r="IJ1175" s="885"/>
      <c r="IK1175" s="885"/>
      <c r="IL1175" s="885"/>
      <c r="IM1175" s="885"/>
      <c r="IN1175" s="885"/>
      <c r="IO1175" s="885"/>
      <c r="IP1175" s="885"/>
      <c r="IQ1175" s="885"/>
      <c r="IR1175" s="885"/>
      <c r="IS1175" s="885"/>
      <c r="IT1175" s="885"/>
      <c r="IU1175" s="885"/>
      <c r="IV1175" s="885"/>
      <c r="IW1175" s="885"/>
      <c r="IX1175" s="885"/>
    </row>
    <row r="1176" spans="1:258" x14ac:dyDescent="0.25">
      <c r="A1176" s="125">
        <f t="shared" si="128"/>
        <v>1136</v>
      </c>
      <c r="B1176" s="885"/>
      <c r="C1176" s="842" t="s">
        <v>10713</v>
      </c>
      <c r="D1176" s="924">
        <v>0</v>
      </c>
      <c r="E1176" s="924">
        <f t="shared" si="131"/>
        <v>0</v>
      </c>
      <c r="F1176" s="129">
        <v>500</v>
      </c>
      <c r="G1176" s="122" t="s">
        <v>1963</v>
      </c>
      <c r="H1176" s="885"/>
      <c r="I1176" s="885"/>
      <c r="J1176" s="885"/>
      <c r="K1176" s="885"/>
      <c r="L1176" s="885"/>
      <c r="M1176" s="885"/>
      <c r="N1176" s="885"/>
      <c r="O1176" s="885"/>
      <c r="P1176" s="885"/>
      <c r="Q1176" s="885"/>
      <c r="R1176" s="885"/>
      <c r="S1176" s="885"/>
      <c r="T1176" s="885"/>
      <c r="U1176" s="885"/>
      <c r="V1176" s="885"/>
      <c r="W1176" s="885"/>
      <c r="X1176" s="885"/>
      <c r="Y1176" s="885"/>
      <c r="Z1176" s="885"/>
      <c r="AA1176" s="885"/>
      <c r="AB1176" s="885"/>
      <c r="AC1176" s="885"/>
      <c r="AD1176" s="885"/>
      <c r="AE1176" s="885"/>
      <c r="AF1176" s="885"/>
      <c r="AG1176" s="885"/>
      <c r="AH1176" s="885"/>
      <c r="AI1176" s="885"/>
      <c r="AJ1176" s="885"/>
      <c r="AK1176" s="885"/>
      <c r="AL1176" s="885"/>
      <c r="AM1176" s="885"/>
      <c r="AN1176" s="885"/>
      <c r="AO1176" s="885"/>
      <c r="AP1176" s="885"/>
      <c r="AQ1176" s="885"/>
      <c r="AR1176" s="885"/>
      <c r="AS1176" s="885"/>
      <c r="AT1176" s="885"/>
      <c r="AU1176" s="885"/>
      <c r="AV1176" s="885"/>
      <c r="AW1176" s="885"/>
      <c r="AX1176" s="885"/>
      <c r="AY1176" s="885"/>
      <c r="AZ1176" s="885"/>
      <c r="BA1176" s="885"/>
      <c r="BB1176" s="885"/>
      <c r="BC1176" s="885"/>
      <c r="BD1176" s="885"/>
      <c r="BE1176" s="885"/>
      <c r="BF1176" s="885"/>
      <c r="BG1176" s="885"/>
      <c r="BH1176" s="885"/>
      <c r="BI1176" s="885"/>
      <c r="BJ1176" s="885"/>
      <c r="BK1176" s="885"/>
      <c r="BL1176" s="885"/>
      <c r="BM1176" s="885"/>
      <c r="BN1176" s="885"/>
      <c r="BO1176" s="885"/>
      <c r="BP1176" s="885"/>
      <c r="BQ1176" s="885"/>
      <c r="BR1176" s="885"/>
      <c r="BS1176" s="885"/>
      <c r="BT1176" s="885"/>
      <c r="BU1176" s="885"/>
      <c r="BV1176" s="885"/>
      <c r="BW1176" s="885"/>
      <c r="BX1176" s="885"/>
      <c r="BY1176" s="885"/>
      <c r="BZ1176" s="885"/>
      <c r="CA1176" s="885"/>
      <c r="CB1176" s="885"/>
      <c r="CC1176" s="885"/>
      <c r="CD1176" s="885"/>
      <c r="CE1176" s="885"/>
      <c r="CF1176" s="885"/>
      <c r="CG1176" s="885"/>
      <c r="CH1176" s="885"/>
      <c r="CI1176" s="885"/>
      <c r="CJ1176" s="885"/>
      <c r="CK1176" s="885"/>
      <c r="CL1176" s="885"/>
      <c r="CM1176" s="885"/>
      <c r="CN1176" s="885"/>
      <c r="CO1176" s="885"/>
      <c r="CP1176" s="885"/>
      <c r="CQ1176" s="885"/>
      <c r="CR1176" s="885"/>
      <c r="CS1176" s="885"/>
      <c r="CT1176" s="885"/>
      <c r="CU1176" s="885"/>
      <c r="CV1176" s="885"/>
      <c r="CW1176" s="885"/>
      <c r="CX1176" s="885"/>
      <c r="CY1176" s="885"/>
      <c r="CZ1176" s="885"/>
      <c r="DA1176" s="885"/>
      <c r="DB1176" s="885"/>
      <c r="DC1176" s="885"/>
      <c r="DD1176" s="885"/>
      <c r="DE1176" s="885"/>
      <c r="DF1176" s="885"/>
      <c r="DG1176" s="885"/>
      <c r="DH1176" s="885"/>
      <c r="DI1176" s="885"/>
      <c r="DJ1176" s="885"/>
      <c r="DK1176" s="885"/>
      <c r="DL1176" s="885"/>
      <c r="DM1176" s="885"/>
      <c r="DN1176" s="885"/>
      <c r="DO1176" s="885"/>
      <c r="DP1176" s="885"/>
      <c r="DQ1176" s="885"/>
      <c r="DR1176" s="885"/>
      <c r="DS1176" s="885"/>
      <c r="DT1176" s="885"/>
      <c r="DU1176" s="885"/>
      <c r="DV1176" s="885"/>
      <c r="DW1176" s="885"/>
      <c r="DX1176" s="885"/>
      <c r="DY1176" s="885"/>
      <c r="DZ1176" s="885"/>
      <c r="EA1176" s="885"/>
      <c r="EB1176" s="885"/>
      <c r="EC1176" s="885"/>
      <c r="ED1176" s="885"/>
      <c r="EE1176" s="885"/>
      <c r="EF1176" s="885"/>
      <c r="EG1176" s="885"/>
      <c r="EH1176" s="885"/>
      <c r="EI1176" s="885"/>
      <c r="EJ1176" s="885"/>
      <c r="EK1176" s="885"/>
      <c r="EL1176" s="885"/>
      <c r="EM1176" s="885"/>
      <c r="EN1176" s="885"/>
      <c r="EO1176" s="885"/>
      <c r="EP1176" s="885"/>
      <c r="EQ1176" s="885"/>
      <c r="ER1176" s="885"/>
      <c r="ES1176" s="885"/>
      <c r="ET1176" s="885"/>
      <c r="EU1176" s="885"/>
      <c r="EV1176" s="885"/>
      <c r="EW1176" s="885"/>
      <c r="EX1176" s="885"/>
      <c r="EY1176" s="885"/>
      <c r="EZ1176" s="885"/>
      <c r="FA1176" s="885"/>
      <c r="FB1176" s="885"/>
      <c r="FC1176" s="885"/>
      <c r="FD1176" s="885"/>
      <c r="FE1176" s="885"/>
      <c r="FF1176" s="885"/>
      <c r="FG1176" s="885"/>
      <c r="FH1176" s="885"/>
      <c r="FI1176" s="885"/>
      <c r="FJ1176" s="885"/>
      <c r="FK1176" s="885"/>
      <c r="FL1176" s="885"/>
      <c r="FM1176" s="885"/>
      <c r="FN1176" s="885"/>
      <c r="FO1176" s="885"/>
      <c r="FP1176" s="885"/>
      <c r="FQ1176" s="885"/>
      <c r="FR1176" s="885"/>
      <c r="FS1176" s="885"/>
      <c r="FT1176" s="885"/>
      <c r="FU1176" s="885"/>
      <c r="FV1176" s="885"/>
      <c r="FW1176" s="885"/>
      <c r="FX1176" s="885"/>
      <c r="FY1176" s="885"/>
      <c r="FZ1176" s="885"/>
      <c r="GA1176" s="885"/>
      <c r="GB1176" s="885"/>
      <c r="GC1176" s="885"/>
      <c r="GD1176" s="885"/>
      <c r="GE1176" s="885"/>
      <c r="GF1176" s="885"/>
      <c r="GG1176" s="885"/>
      <c r="GH1176" s="885"/>
      <c r="GI1176" s="885"/>
      <c r="GJ1176" s="885"/>
      <c r="GK1176" s="885"/>
      <c r="GL1176" s="885"/>
      <c r="GM1176" s="885"/>
      <c r="GN1176" s="885"/>
      <c r="GO1176" s="885"/>
      <c r="GP1176" s="885"/>
      <c r="GQ1176" s="885"/>
      <c r="GR1176" s="885"/>
      <c r="GS1176" s="885"/>
      <c r="GT1176" s="885"/>
      <c r="GU1176" s="885"/>
      <c r="GV1176" s="885"/>
      <c r="GW1176" s="885"/>
      <c r="GX1176" s="885"/>
      <c r="GY1176" s="885"/>
      <c r="GZ1176" s="885"/>
      <c r="HA1176" s="885"/>
      <c r="HB1176" s="885"/>
      <c r="HC1176" s="885"/>
      <c r="HD1176" s="885"/>
      <c r="HE1176" s="885"/>
      <c r="HF1176" s="885"/>
      <c r="HG1176" s="885"/>
      <c r="HH1176" s="885"/>
      <c r="HI1176" s="885"/>
      <c r="HJ1176" s="885"/>
      <c r="HK1176" s="885"/>
      <c r="HL1176" s="885"/>
      <c r="HM1176" s="885"/>
      <c r="HN1176" s="885"/>
      <c r="HO1176" s="885"/>
      <c r="HP1176" s="885"/>
      <c r="HQ1176" s="885"/>
      <c r="HR1176" s="885"/>
      <c r="HS1176" s="885"/>
      <c r="HT1176" s="885"/>
      <c r="HU1176" s="885"/>
      <c r="HV1176" s="885"/>
      <c r="HW1176" s="885"/>
      <c r="HX1176" s="885"/>
      <c r="HY1176" s="885"/>
      <c r="HZ1176" s="885"/>
      <c r="IA1176" s="885"/>
      <c r="IB1176" s="885"/>
      <c r="IC1176" s="885"/>
      <c r="ID1176" s="885"/>
      <c r="IE1176" s="885"/>
      <c r="IF1176" s="885"/>
      <c r="IG1176" s="885"/>
      <c r="IH1176" s="885"/>
      <c r="II1176" s="885"/>
      <c r="IJ1176" s="885"/>
      <c r="IK1176" s="885"/>
      <c r="IL1176" s="885"/>
      <c r="IM1176" s="885"/>
      <c r="IN1176" s="885"/>
      <c r="IO1176" s="885"/>
      <c r="IP1176" s="885"/>
      <c r="IQ1176" s="885"/>
      <c r="IR1176" s="885"/>
      <c r="IS1176" s="885"/>
      <c r="IT1176" s="885"/>
      <c r="IU1176" s="885"/>
      <c r="IV1176" s="885"/>
      <c r="IW1176" s="885"/>
      <c r="IX1176" s="885"/>
    </row>
    <row r="1177" spans="1:258" x14ac:dyDescent="0.25">
      <c r="A1177" s="125">
        <f t="shared" si="128"/>
        <v>1137</v>
      </c>
      <c r="B1177" s="885"/>
      <c r="C1177" s="842" t="s">
        <v>10714</v>
      </c>
      <c r="D1177" s="924">
        <v>4796</v>
      </c>
      <c r="E1177" s="924">
        <f t="shared" si="131"/>
        <v>7194</v>
      </c>
      <c r="F1177" s="129">
        <f>4796/8*12</f>
        <v>7194</v>
      </c>
      <c r="G1177" s="122" t="s">
        <v>1963</v>
      </c>
      <c r="H1177" s="885"/>
      <c r="I1177" s="885"/>
      <c r="J1177" s="885"/>
      <c r="K1177" s="885"/>
      <c r="L1177" s="885"/>
      <c r="M1177" s="885"/>
      <c r="N1177" s="885"/>
      <c r="O1177" s="885"/>
      <c r="P1177" s="885"/>
      <c r="Q1177" s="885"/>
      <c r="R1177" s="885"/>
      <c r="S1177" s="885"/>
      <c r="T1177" s="885"/>
      <c r="U1177" s="885"/>
      <c r="V1177" s="885"/>
      <c r="W1177" s="885"/>
      <c r="X1177" s="885"/>
      <c r="Y1177" s="885"/>
      <c r="Z1177" s="885"/>
      <c r="AA1177" s="885"/>
      <c r="AB1177" s="885"/>
      <c r="AC1177" s="885"/>
      <c r="AD1177" s="885"/>
      <c r="AE1177" s="885"/>
      <c r="AF1177" s="885"/>
      <c r="AG1177" s="885"/>
      <c r="AH1177" s="885"/>
      <c r="AI1177" s="885"/>
      <c r="AJ1177" s="885"/>
      <c r="AK1177" s="885"/>
      <c r="AL1177" s="885"/>
      <c r="AM1177" s="885"/>
      <c r="AN1177" s="885"/>
      <c r="AO1177" s="885"/>
      <c r="AP1177" s="885"/>
      <c r="AQ1177" s="885"/>
      <c r="AR1177" s="885"/>
      <c r="AS1177" s="885"/>
      <c r="AT1177" s="885"/>
      <c r="AU1177" s="885"/>
      <c r="AV1177" s="885"/>
      <c r="AW1177" s="885"/>
      <c r="AX1177" s="885"/>
      <c r="AY1177" s="885"/>
      <c r="AZ1177" s="885"/>
      <c r="BA1177" s="885"/>
      <c r="BB1177" s="885"/>
      <c r="BC1177" s="885"/>
      <c r="BD1177" s="885"/>
      <c r="BE1177" s="885"/>
      <c r="BF1177" s="885"/>
      <c r="BG1177" s="885"/>
      <c r="BH1177" s="885"/>
      <c r="BI1177" s="885"/>
      <c r="BJ1177" s="885"/>
      <c r="BK1177" s="885"/>
      <c r="BL1177" s="885"/>
      <c r="BM1177" s="885"/>
      <c r="BN1177" s="885"/>
      <c r="BO1177" s="885"/>
      <c r="BP1177" s="885"/>
      <c r="BQ1177" s="885"/>
      <c r="BR1177" s="885"/>
      <c r="BS1177" s="885"/>
      <c r="BT1177" s="885"/>
      <c r="BU1177" s="885"/>
      <c r="BV1177" s="885"/>
      <c r="BW1177" s="885"/>
      <c r="BX1177" s="885"/>
      <c r="BY1177" s="885"/>
      <c r="BZ1177" s="885"/>
      <c r="CA1177" s="885"/>
      <c r="CB1177" s="885"/>
      <c r="CC1177" s="885"/>
      <c r="CD1177" s="885"/>
      <c r="CE1177" s="885"/>
      <c r="CF1177" s="885"/>
      <c r="CG1177" s="885"/>
      <c r="CH1177" s="885"/>
      <c r="CI1177" s="885"/>
      <c r="CJ1177" s="885"/>
      <c r="CK1177" s="885"/>
      <c r="CL1177" s="885"/>
      <c r="CM1177" s="885"/>
      <c r="CN1177" s="885"/>
      <c r="CO1177" s="885"/>
      <c r="CP1177" s="885"/>
      <c r="CQ1177" s="885"/>
      <c r="CR1177" s="885"/>
      <c r="CS1177" s="885"/>
      <c r="CT1177" s="885"/>
      <c r="CU1177" s="885"/>
      <c r="CV1177" s="885"/>
      <c r="CW1177" s="885"/>
      <c r="CX1177" s="885"/>
      <c r="CY1177" s="885"/>
      <c r="CZ1177" s="885"/>
      <c r="DA1177" s="885"/>
      <c r="DB1177" s="885"/>
      <c r="DC1177" s="885"/>
      <c r="DD1177" s="885"/>
      <c r="DE1177" s="885"/>
      <c r="DF1177" s="885"/>
      <c r="DG1177" s="885"/>
      <c r="DH1177" s="885"/>
      <c r="DI1177" s="885"/>
      <c r="DJ1177" s="885"/>
      <c r="DK1177" s="885"/>
      <c r="DL1177" s="885"/>
      <c r="DM1177" s="885"/>
      <c r="DN1177" s="885"/>
      <c r="DO1177" s="885"/>
      <c r="DP1177" s="885"/>
      <c r="DQ1177" s="885"/>
      <c r="DR1177" s="885"/>
      <c r="DS1177" s="885"/>
      <c r="DT1177" s="885"/>
      <c r="DU1177" s="885"/>
      <c r="DV1177" s="885"/>
      <c r="DW1177" s="885"/>
      <c r="DX1177" s="885"/>
      <c r="DY1177" s="885"/>
      <c r="DZ1177" s="885"/>
      <c r="EA1177" s="885"/>
      <c r="EB1177" s="885"/>
      <c r="EC1177" s="885"/>
      <c r="ED1177" s="885"/>
      <c r="EE1177" s="885"/>
      <c r="EF1177" s="885"/>
      <c r="EG1177" s="885"/>
      <c r="EH1177" s="885"/>
      <c r="EI1177" s="885"/>
      <c r="EJ1177" s="885"/>
      <c r="EK1177" s="885"/>
      <c r="EL1177" s="885"/>
      <c r="EM1177" s="885"/>
      <c r="EN1177" s="885"/>
      <c r="EO1177" s="885"/>
      <c r="EP1177" s="885"/>
      <c r="EQ1177" s="885"/>
      <c r="ER1177" s="885"/>
      <c r="ES1177" s="885"/>
      <c r="ET1177" s="885"/>
      <c r="EU1177" s="885"/>
      <c r="EV1177" s="885"/>
      <c r="EW1177" s="885"/>
      <c r="EX1177" s="885"/>
      <c r="EY1177" s="885"/>
      <c r="EZ1177" s="885"/>
      <c r="FA1177" s="885"/>
      <c r="FB1177" s="885"/>
      <c r="FC1177" s="885"/>
      <c r="FD1177" s="885"/>
      <c r="FE1177" s="885"/>
      <c r="FF1177" s="885"/>
      <c r="FG1177" s="885"/>
      <c r="FH1177" s="885"/>
      <c r="FI1177" s="885"/>
      <c r="FJ1177" s="885"/>
      <c r="FK1177" s="885"/>
      <c r="FL1177" s="885"/>
      <c r="FM1177" s="885"/>
      <c r="FN1177" s="885"/>
      <c r="FO1177" s="885"/>
      <c r="FP1177" s="885"/>
      <c r="FQ1177" s="885"/>
      <c r="FR1177" s="885"/>
      <c r="FS1177" s="885"/>
      <c r="FT1177" s="885"/>
      <c r="FU1177" s="885"/>
      <c r="FV1177" s="885"/>
      <c r="FW1177" s="885"/>
      <c r="FX1177" s="885"/>
      <c r="FY1177" s="885"/>
      <c r="FZ1177" s="885"/>
      <c r="GA1177" s="885"/>
      <c r="GB1177" s="885"/>
      <c r="GC1177" s="885"/>
      <c r="GD1177" s="885"/>
      <c r="GE1177" s="885"/>
      <c r="GF1177" s="885"/>
      <c r="GG1177" s="885"/>
      <c r="GH1177" s="885"/>
      <c r="GI1177" s="885"/>
      <c r="GJ1177" s="885"/>
      <c r="GK1177" s="885"/>
      <c r="GL1177" s="885"/>
      <c r="GM1177" s="885"/>
      <c r="GN1177" s="885"/>
      <c r="GO1177" s="885"/>
      <c r="GP1177" s="885"/>
      <c r="GQ1177" s="885"/>
      <c r="GR1177" s="885"/>
      <c r="GS1177" s="885"/>
      <c r="GT1177" s="885"/>
      <c r="GU1177" s="885"/>
      <c r="GV1177" s="885"/>
      <c r="GW1177" s="885"/>
      <c r="GX1177" s="885"/>
      <c r="GY1177" s="885"/>
      <c r="GZ1177" s="885"/>
      <c r="HA1177" s="885"/>
      <c r="HB1177" s="885"/>
      <c r="HC1177" s="885"/>
      <c r="HD1177" s="885"/>
      <c r="HE1177" s="885"/>
      <c r="HF1177" s="885"/>
      <c r="HG1177" s="885"/>
      <c r="HH1177" s="885"/>
      <c r="HI1177" s="885"/>
      <c r="HJ1177" s="885"/>
      <c r="HK1177" s="885"/>
      <c r="HL1177" s="885"/>
      <c r="HM1177" s="885"/>
      <c r="HN1177" s="885"/>
      <c r="HO1177" s="885"/>
      <c r="HP1177" s="885"/>
      <c r="HQ1177" s="885"/>
      <c r="HR1177" s="885"/>
      <c r="HS1177" s="885"/>
      <c r="HT1177" s="885"/>
      <c r="HU1177" s="885"/>
      <c r="HV1177" s="885"/>
      <c r="HW1177" s="885"/>
      <c r="HX1177" s="885"/>
      <c r="HY1177" s="885"/>
      <c r="HZ1177" s="885"/>
      <c r="IA1177" s="885"/>
      <c r="IB1177" s="885"/>
      <c r="IC1177" s="885"/>
      <c r="ID1177" s="885"/>
      <c r="IE1177" s="885"/>
      <c r="IF1177" s="885"/>
      <c r="IG1177" s="885"/>
      <c r="IH1177" s="885"/>
      <c r="II1177" s="885"/>
      <c r="IJ1177" s="885"/>
      <c r="IK1177" s="885"/>
      <c r="IL1177" s="885"/>
      <c r="IM1177" s="885"/>
      <c r="IN1177" s="885"/>
      <c r="IO1177" s="885"/>
      <c r="IP1177" s="885"/>
      <c r="IQ1177" s="885"/>
      <c r="IR1177" s="885"/>
      <c r="IS1177" s="885"/>
      <c r="IT1177" s="885"/>
      <c r="IU1177" s="885"/>
      <c r="IV1177" s="885"/>
      <c r="IW1177" s="885"/>
      <c r="IX1177" s="885"/>
    </row>
    <row r="1178" spans="1:258" x14ac:dyDescent="0.25">
      <c r="A1178" s="125">
        <f t="shared" si="128"/>
        <v>1138</v>
      </c>
      <c r="B1178" s="954"/>
      <c r="C1178" s="842" t="s">
        <v>11532</v>
      </c>
      <c r="D1178" s="924">
        <v>0</v>
      </c>
      <c r="E1178" s="924">
        <f t="shared" si="131"/>
        <v>0</v>
      </c>
      <c r="F1178" s="129"/>
      <c r="H1178" s="954"/>
      <c r="I1178" s="954"/>
      <c r="J1178" s="954"/>
      <c r="K1178" s="954"/>
      <c r="L1178" s="954"/>
      <c r="M1178" s="954"/>
      <c r="N1178" s="954"/>
      <c r="O1178" s="954"/>
      <c r="P1178" s="954"/>
      <c r="Q1178" s="954"/>
      <c r="R1178" s="954"/>
      <c r="S1178" s="954"/>
      <c r="T1178" s="954"/>
      <c r="U1178" s="954"/>
      <c r="V1178" s="954"/>
      <c r="W1178" s="954"/>
      <c r="X1178" s="954"/>
      <c r="Y1178" s="954"/>
      <c r="Z1178" s="954"/>
      <c r="AA1178" s="954"/>
      <c r="AB1178" s="954"/>
      <c r="AC1178" s="954"/>
      <c r="AD1178" s="954"/>
      <c r="AE1178" s="954"/>
      <c r="AF1178" s="954"/>
      <c r="AG1178" s="954"/>
      <c r="AH1178" s="954"/>
      <c r="AI1178" s="954"/>
      <c r="AJ1178" s="954"/>
      <c r="AK1178" s="954"/>
      <c r="AL1178" s="954"/>
      <c r="AM1178" s="954"/>
      <c r="AN1178" s="954"/>
      <c r="AO1178" s="954"/>
      <c r="AP1178" s="954"/>
      <c r="AQ1178" s="954"/>
      <c r="AR1178" s="954"/>
      <c r="AS1178" s="954"/>
      <c r="AT1178" s="954"/>
      <c r="AU1178" s="954"/>
      <c r="AV1178" s="954"/>
      <c r="AW1178" s="954"/>
      <c r="AX1178" s="954"/>
      <c r="AY1178" s="954"/>
      <c r="AZ1178" s="954"/>
      <c r="BA1178" s="954"/>
      <c r="BB1178" s="954"/>
      <c r="BC1178" s="954"/>
      <c r="BD1178" s="954"/>
      <c r="BE1178" s="954"/>
      <c r="BF1178" s="954"/>
      <c r="BG1178" s="954"/>
      <c r="BH1178" s="954"/>
      <c r="BI1178" s="954"/>
      <c r="BJ1178" s="954"/>
      <c r="BK1178" s="954"/>
      <c r="BL1178" s="954"/>
      <c r="BM1178" s="954"/>
      <c r="BN1178" s="954"/>
      <c r="BO1178" s="954"/>
      <c r="BP1178" s="954"/>
      <c r="BQ1178" s="954"/>
      <c r="BR1178" s="954"/>
      <c r="BS1178" s="954"/>
      <c r="BT1178" s="954"/>
      <c r="BU1178" s="954"/>
      <c r="BV1178" s="954"/>
      <c r="BW1178" s="954"/>
      <c r="BX1178" s="954"/>
      <c r="BY1178" s="954"/>
      <c r="BZ1178" s="954"/>
      <c r="CA1178" s="954"/>
      <c r="CB1178" s="954"/>
      <c r="CC1178" s="954"/>
      <c r="CD1178" s="954"/>
      <c r="CE1178" s="954"/>
      <c r="CF1178" s="954"/>
      <c r="CG1178" s="954"/>
      <c r="CH1178" s="954"/>
      <c r="CI1178" s="954"/>
      <c r="CJ1178" s="954"/>
      <c r="CK1178" s="954"/>
      <c r="CL1178" s="954"/>
      <c r="CM1178" s="954"/>
      <c r="CN1178" s="954"/>
      <c r="CO1178" s="954"/>
      <c r="CP1178" s="954"/>
      <c r="CQ1178" s="954"/>
      <c r="CR1178" s="954"/>
      <c r="CS1178" s="954"/>
      <c r="CT1178" s="954"/>
      <c r="CU1178" s="954"/>
      <c r="CV1178" s="954"/>
      <c r="CW1178" s="954"/>
      <c r="CX1178" s="954"/>
      <c r="CY1178" s="954"/>
      <c r="CZ1178" s="954"/>
      <c r="DA1178" s="954"/>
      <c r="DB1178" s="954"/>
      <c r="DC1178" s="954"/>
      <c r="DD1178" s="954"/>
      <c r="DE1178" s="954"/>
      <c r="DF1178" s="954"/>
      <c r="DG1178" s="954"/>
      <c r="DH1178" s="954"/>
      <c r="DI1178" s="954"/>
      <c r="DJ1178" s="954"/>
      <c r="DK1178" s="954"/>
      <c r="DL1178" s="954"/>
      <c r="DM1178" s="954"/>
      <c r="DN1178" s="954"/>
      <c r="DO1178" s="954"/>
      <c r="DP1178" s="954"/>
      <c r="DQ1178" s="954"/>
      <c r="DR1178" s="954"/>
      <c r="DS1178" s="954"/>
      <c r="DT1178" s="954"/>
      <c r="DU1178" s="954"/>
      <c r="DV1178" s="954"/>
      <c r="DW1178" s="954"/>
      <c r="DX1178" s="954"/>
      <c r="DY1178" s="954"/>
      <c r="DZ1178" s="954"/>
      <c r="EA1178" s="954"/>
      <c r="EB1178" s="954"/>
      <c r="EC1178" s="954"/>
      <c r="ED1178" s="954"/>
      <c r="EE1178" s="954"/>
      <c r="EF1178" s="954"/>
      <c r="EG1178" s="954"/>
      <c r="EH1178" s="954"/>
      <c r="EI1178" s="954"/>
      <c r="EJ1178" s="954"/>
      <c r="EK1178" s="954"/>
      <c r="EL1178" s="954"/>
      <c r="EM1178" s="954"/>
      <c r="EN1178" s="954"/>
      <c r="EO1178" s="954"/>
      <c r="EP1178" s="954"/>
      <c r="EQ1178" s="954"/>
      <c r="ER1178" s="954"/>
      <c r="ES1178" s="954"/>
      <c r="ET1178" s="954"/>
      <c r="EU1178" s="954"/>
      <c r="EV1178" s="954"/>
      <c r="EW1178" s="954"/>
      <c r="EX1178" s="954"/>
      <c r="EY1178" s="954"/>
      <c r="EZ1178" s="954"/>
      <c r="FA1178" s="954"/>
      <c r="FB1178" s="954"/>
      <c r="FC1178" s="954"/>
      <c r="FD1178" s="954"/>
      <c r="FE1178" s="954"/>
      <c r="FF1178" s="954"/>
      <c r="FG1178" s="954"/>
      <c r="FH1178" s="954"/>
      <c r="FI1178" s="954"/>
      <c r="FJ1178" s="954"/>
      <c r="FK1178" s="954"/>
      <c r="FL1178" s="954"/>
      <c r="FM1178" s="954"/>
      <c r="FN1178" s="954"/>
      <c r="FO1178" s="954"/>
      <c r="FP1178" s="954"/>
      <c r="FQ1178" s="954"/>
      <c r="FR1178" s="954"/>
      <c r="FS1178" s="954"/>
      <c r="FT1178" s="954"/>
      <c r="FU1178" s="954"/>
      <c r="FV1178" s="954"/>
      <c r="FW1178" s="954"/>
      <c r="FX1178" s="954"/>
      <c r="FY1178" s="954"/>
      <c r="FZ1178" s="954"/>
      <c r="GA1178" s="954"/>
      <c r="GB1178" s="954"/>
      <c r="GC1178" s="954"/>
      <c r="GD1178" s="954"/>
      <c r="GE1178" s="954"/>
      <c r="GF1178" s="954"/>
      <c r="GG1178" s="954"/>
      <c r="GH1178" s="954"/>
      <c r="GI1178" s="954"/>
      <c r="GJ1178" s="954"/>
      <c r="GK1178" s="954"/>
      <c r="GL1178" s="954"/>
      <c r="GM1178" s="954"/>
      <c r="GN1178" s="954"/>
      <c r="GO1178" s="954"/>
      <c r="GP1178" s="954"/>
      <c r="GQ1178" s="954"/>
      <c r="GR1178" s="954"/>
      <c r="GS1178" s="954"/>
      <c r="GT1178" s="954"/>
      <c r="GU1178" s="954"/>
      <c r="GV1178" s="954"/>
      <c r="GW1178" s="954"/>
      <c r="GX1178" s="954"/>
      <c r="GY1178" s="954"/>
      <c r="GZ1178" s="954"/>
      <c r="HA1178" s="954"/>
      <c r="HB1178" s="954"/>
      <c r="HC1178" s="954"/>
      <c r="HD1178" s="954"/>
      <c r="HE1178" s="954"/>
      <c r="HF1178" s="954"/>
      <c r="HG1178" s="954"/>
      <c r="HH1178" s="954"/>
      <c r="HI1178" s="954"/>
      <c r="HJ1178" s="954"/>
      <c r="HK1178" s="954"/>
      <c r="HL1178" s="954"/>
      <c r="HM1178" s="954"/>
      <c r="HN1178" s="954"/>
      <c r="HO1178" s="954"/>
      <c r="HP1178" s="954"/>
      <c r="HQ1178" s="954"/>
      <c r="HR1178" s="954"/>
      <c r="HS1178" s="954"/>
      <c r="HT1178" s="954"/>
      <c r="HU1178" s="954"/>
      <c r="HV1178" s="954"/>
      <c r="HW1178" s="954"/>
      <c r="HX1178" s="954"/>
      <c r="HY1178" s="954"/>
      <c r="HZ1178" s="954"/>
      <c r="IA1178" s="954"/>
      <c r="IB1178" s="954"/>
      <c r="IC1178" s="954"/>
      <c r="ID1178" s="954"/>
      <c r="IE1178" s="954"/>
      <c r="IF1178" s="954"/>
      <c r="IG1178" s="954"/>
      <c r="IH1178" s="954"/>
      <c r="II1178" s="954"/>
      <c r="IJ1178" s="954"/>
      <c r="IK1178" s="954"/>
      <c r="IL1178" s="954"/>
      <c r="IM1178" s="954"/>
      <c r="IN1178" s="954"/>
      <c r="IO1178" s="954"/>
      <c r="IP1178" s="954"/>
      <c r="IQ1178" s="954"/>
      <c r="IR1178" s="954"/>
      <c r="IS1178" s="954"/>
      <c r="IT1178" s="954"/>
      <c r="IU1178" s="954"/>
      <c r="IV1178" s="954"/>
      <c r="IW1178" s="954"/>
      <c r="IX1178" s="954"/>
    </row>
    <row r="1179" spans="1:258" x14ac:dyDescent="0.25">
      <c r="A1179" s="125">
        <f t="shared" si="128"/>
        <v>1139</v>
      </c>
      <c r="B1179" s="885"/>
      <c r="C1179" s="842" t="s">
        <v>10715</v>
      </c>
      <c r="D1179" s="924">
        <v>0</v>
      </c>
      <c r="E1179" s="924">
        <f t="shared" si="131"/>
        <v>0</v>
      </c>
      <c r="F1179" s="129">
        <v>500</v>
      </c>
      <c r="G1179" s="122" t="s">
        <v>1963</v>
      </c>
      <c r="H1179" s="885"/>
      <c r="I1179" s="885"/>
      <c r="J1179" s="885"/>
      <c r="K1179" s="885"/>
      <c r="L1179" s="885"/>
      <c r="M1179" s="885"/>
      <c r="N1179" s="885"/>
      <c r="O1179" s="885"/>
      <c r="P1179" s="885"/>
      <c r="Q1179" s="885"/>
      <c r="R1179" s="885"/>
      <c r="S1179" s="885"/>
      <c r="T1179" s="885"/>
      <c r="U1179" s="885"/>
      <c r="V1179" s="885"/>
      <c r="W1179" s="885"/>
      <c r="X1179" s="885"/>
      <c r="Y1179" s="885"/>
      <c r="Z1179" s="885"/>
      <c r="AA1179" s="885"/>
      <c r="AB1179" s="885"/>
      <c r="AC1179" s="885"/>
      <c r="AD1179" s="885"/>
      <c r="AE1179" s="885"/>
      <c r="AF1179" s="885"/>
      <c r="AG1179" s="885"/>
      <c r="AH1179" s="885"/>
      <c r="AI1179" s="885"/>
      <c r="AJ1179" s="885"/>
      <c r="AK1179" s="885"/>
      <c r="AL1179" s="885"/>
      <c r="AM1179" s="885"/>
      <c r="AN1179" s="885"/>
      <c r="AO1179" s="885"/>
      <c r="AP1179" s="885"/>
      <c r="AQ1179" s="885"/>
      <c r="AR1179" s="885"/>
      <c r="AS1179" s="885"/>
      <c r="AT1179" s="885"/>
      <c r="AU1179" s="885"/>
      <c r="AV1179" s="885"/>
      <c r="AW1179" s="885"/>
      <c r="AX1179" s="885"/>
      <c r="AY1179" s="885"/>
      <c r="AZ1179" s="885"/>
      <c r="BA1179" s="885"/>
      <c r="BB1179" s="885"/>
      <c r="BC1179" s="885"/>
      <c r="BD1179" s="885"/>
      <c r="BE1179" s="885"/>
      <c r="BF1179" s="885"/>
      <c r="BG1179" s="885"/>
      <c r="BH1179" s="885"/>
      <c r="BI1179" s="885"/>
      <c r="BJ1179" s="885"/>
      <c r="BK1179" s="885"/>
      <c r="BL1179" s="885"/>
      <c r="BM1179" s="885"/>
      <c r="BN1179" s="885"/>
      <c r="BO1179" s="885"/>
      <c r="BP1179" s="885"/>
      <c r="BQ1179" s="885"/>
      <c r="BR1179" s="885"/>
      <c r="BS1179" s="885"/>
      <c r="BT1179" s="885"/>
      <c r="BU1179" s="885"/>
      <c r="BV1179" s="885"/>
      <c r="BW1179" s="885"/>
      <c r="BX1179" s="885"/>
      <c r="BY1179" s="885"/>
      <c r="BZ1179" s="885"/>
      <c r="CA1179" s="885"/>
      <c r="CB1179" s="885"/>
      <c r="CC1179" s="885"/>
      <c r="CD1179" s="885"/>
      <c r="CE1179" s="885"/>
      <c r="CF1179" s="885"/>
      <c r="CG1179" s="885"/>
      <c r="CH1179" s="885"/>
      <c r="CI1179" s="885"/>
      <c r="CJ1179" s="885"/>
      <c r="CK1179" s="885"/>
      <c r="CL1179" s="885"/>
      <c r="CM1179" s="885"/>
      <c r="CN1179" s="885"/>
      <c r="CO1179" s="885"/>
      <c r="CP1179" s="885"/>
      <c r="CQ1179" s="885"/>
      <c r="CR1179" s="885"/>
      <c r="CS1179" s="885"/>
      <c r="CT1179" s="885"/>
      <c r="CU1179" s="885"/>
      <c r="CV1179" s="885"/>
      <c r="CW1179" s="885"/>
      <c r="CX1179" s="885"/>
      <c r="CY1179" s="885"/>
      <c r="CZ1179" s="885"/>
      <c r="DA1179" s="885"/>
      <c r="DB1179" s="885"/>
      <c r="DC1179" s="885"/>
      <c r="DD1179" s="885"/>
      <c r="DE1179" s="885"/>
      <c r="DF1179" s="885"/>
      <c r="DG1179" s="885"/>
      <c r="DH1179" s="885"/>
      <c r="DI1179" s="885"/>
      <c r="DJ1179" s="885"/>
      <c r="DK1179" s="885"/>
      <c r="DL1179" s="885"/>
      <c r="DM1179" s="885"/>
      <c r="DN1179" s="885"/>
      <c r="DO1179" s="885"/>
      <c r="DP1179" s="885"/>
      <c r="DQ1179" s="885"/>
      <c r="DR1179" s="885"/>
      <c r="DS1179" s="885"/>
      <c r="DT1179" s="885"/>
      <c r="DU1179" s="885"/>
      <c r="DV1179" s="885"/>
      <c r="DW1179" s="885"/>
      <c r="DX1179" s="885"/>
      <c r="DY1179" s="885"/>
      <c r="DZ1179" s="885"/>
      <c r="EA1179" s="885"/>
      <c r="EB1179" s="885"/>
      <c r="EC1179" s="885"/>
      <c r="ED1179" s="885"/>
      <c r="EE1179" s="885"/>
      <c r="EF1179" s="885"/>
      <c r="EG1179" s="885"/>
      <c r="EH1179" s="885"/>
      <c r="EI1179" s="885"/>
      <c r="EJ1179" s="885"/>
      <c r="EK1179" s="885"/>
      <c r="EL1179" s="885"/>
      <c r="EM1179" s="885"/>
      <c r="EN1179" s="885"/>
      <c r="EO1179" s="885"/>
      <c r="EP1179" s="885"/>
      <c r="EQ1179" s="885"/>
      <c r="ER1179" s="885"/>
      <c r="ES1179" s="885"/>
      <c r="ET1179" s="885"/>
      <c r="EU1179" s="885"/>
      <c r="EV1179" s="885"/>
      <c r="EW1179" s="885"/>
      <c r="EX1179" s="885"/>
      <c r="EY1179" s="885"/>
      <c r="EZ1179" s="885"/>
      <c r="FA1179" s="885"/>
      <c r="FB1179" s="885"/>
      <c r="FC1179" s="885"/>
      <c r="FD1179" s="885"/>
      <c r="FE1179" s="885"/>
      <c r="FF1179" s="885"/>
      <c r="FG1179" s="885"/>
      <c r="FH1179" s="885"/>
      <c r="FI1179" s="885"/>
      <c r="FJ1179" s="885"/>
      <c r="FK1179" s="885"/>
      <c r="FL1179" s="885"/>
      <c r="FM1179" s="885"/>
      <c r="FN1179" s="885"/>
      <c r="FO1179" s="885"/>
      <c r="FP1179" s="885"/>
      <c r="FQ1179" s="885"/>
      <c r="FR1179" s="885"/>
      <c r="FS1179" s="885"/>
      <c r="FT1179" s="885"/>
      <c r="FU1179" s="885"/>
      <c r="FV1179" s="885"/>
      <c r="FW1179" s="885"/>
      <c r="FX1179" s="885"/>
      <c r="FY1179" s="885"/>
      <c r="FZ1179" s="885"/>
      <c r="GA1179" s="885"/>
      <c r="GB1179" s="885"/>
      <c r="GC1179" s="885"/>
      <c r="GD1179" s="885"/>
      <c r="GE1179" s="885"/>
      <c r="GF1179" s="885"/>
      <c r="GG1179" s="885"/>
      <c r="GH1179" s="885"/>
      <c r="GI1179" s="885"/>
      <c r="GJ1179" s="885"/>
      <c r="GK1179" s="885"/>
      <c r="GL1179" s="885"/>
      <c r="GM1179" s="885"/>
      <c r="GN1179" s="885"/>
      <c r="GO1179" s="885"/>
      <c r="GP1179" s="885"/>
      <c r="GQ1179" s="885"/>
      <c r="GR1179" s="885"/>
      <c r="GS1179" s="885"/>
      <c r="GT1179" s="885"/>
      <c r="GU1179" s="885"/>
      <c r="GV1179" s="885"/>
      <c r="GW1179" s="885"/>
      <c r="GX1179" s="885"/>
      <c r="GY1179" s="885"/>
      <c r="GZ1179" s="885"/>
      <c r="HA1179" s="885"/>
      <c r="HB1179" s="885"/>
      <c r="HC1179" s="885"/>
      <c r="HD1179" s="885"/>
      <c r="HE1179" s="885"/>
      <c r="HF1179" s="885"/>
      <c r="HG1179" s="885"/>
      <c r="HH1179" s="885"/>
      <c r="HI1179" s="885"/>
      <c r="HJ1179" s="885"/>
      <c r="HK1179" s="885"/>
      <c r="HL1179" s="885"/>
      <c r="HM1179" s="885"/>
      <c r="HN1179" s="885"/>
      <c r="HO1179" s="885"/>
      <c r="HP1179" s="885"/>
      <c r="HQ1179" s="885"/>
      <c r="HR1179" s="885"/>
      <c r="HS1179" s="885"/>
      <c r="HT1179" s="885"/>
      <c r="HU1179" s="885"/>
      <c r="HV1179" s="885"/>
      <c r="HW1179" s="885"/>
      <c r="HX1179" s="885"/>
      <c r="HY1179" s="885"/>
      <c r="HZ1179" s="885"/>
      <c r="IA1179" s="885"/>
      <c r="IB1179" s="885"/>
      <c r="IC1179" s="885"/>
      <c r="ID1179" s="885"/>
      <c r="IE1179" s="885"/>
      <c r="IF1179" s="885"/>
      <c r="IG1179" s="885"/>
      <c r="IH1179" s="885"/>
      <c r="II1179" s="885"/>
      <c r="IJ1179" s="885"/>
      <c r="IK1179" s="885"/>
      <c r="IL1179" s="885"/>
      <c r="IM1179" s="885"/>
      <c r="IN1179" s="885"/>
      <c r="IO1179" s="885"/>
      <c r="IP1179" s="885"/>
      <c r="IQ1179" s="885"/>
      <c r="IR1179" s="885"/>
      <c r="IS1179" s="885"/>
      <c r="IT1179" s="885"/>
      <c r="IU1179" s="885"/>
      <c r="IV1179" s="885"/>
      <c r="IW1179" s="885"/>
      <c r="IX1179" s="885"/>
    </row>
    <row r="1180" spans="1:258" x14ac:dyDescent="0.25">
      <c r="A1180" s="125">
        <f t="shared" si="128"/>
        <v>1140</v>
      </c>
      <c r="B1180" s="885"/>
      <c r="C1180" s="842" t="s">
        <v>10716</v>
      </c>
      <c r="D1180" s="924">
        <v>0</v>
      </c>
      <c r="E1180" s="924">
        <f t="shared" si="131"/>
        <v>0</v>
      </c>
      <c r="F1180" s="129">
        <v>500</v>
      </c>
      <c r="G1180" s="122" t="s">
        <v>1963</v>
      </c>
      <c r="H1180" s="885"/>
      <c r="I1180" s="885"/>
      <c r="J1180" s="885"/>
      <c r="K1180" s="885"/>
      <c r="L1180" s="885"/>
      <c r="M1180" s="885"/>
      <c r="N1180" s="885"/>
      <c r="O1180" s="885"/>
      <c r="P1180" s="885"/>
      <c r="Q1180" s="885"/>
      <c r="R1180" s="885"/>
      <c r="S1180" s="885"/>
      <c r="T1180" s="885"/>
      <c r="U1180" s="885"/>
      <c r="V1180" s="885"/>
      <c r="W1180" s="885"/>
      <c r="X1180" s="885"/>
      <c r="Y1180" s="885"/>
      <c r="Z1180" s="885"/>
      <c r="AA1180" s="885"/>
      <c r="AB1180" s="885"/>
      <c r="AC1180" s="885"/>
      <c r="AD1180" s="885"/>
      <c r="AE1180" s="885"/>
      <c r="AF1180" s="885"/>
      <c r="AG1180" s="885"/>
      <c r="AH1180" s="885"/>
      <c r="AI1180" s="885"/>
      <c r="AJ1180" s="885"/>
      <c r="AK1180" s="885"/>
      <c r="AL1180" s="885"/>
      <c r="AM1180" s="885"/>
      <c r="AN1180" s="885"/>
      <c r="AO1180" s="885"/>
      <c r="AP1180" s="885"/>
      <c r="AQ1180" s="885"/>
      <c r="AR1180" s="885"/>
      <c r="AS1180" s="885"/>
      <c r="AT1180" s="885"/>
      <c r="AU1180" s="885"/>
      <c r="AV1180" s="885"/>
      <c r="AW1180" s="885"/>
      <c r="AX1180" s="885"/>
      <c r="AY1180" s="885"/>
      <c r="AZ1180" s="885"/>
      <c r="BA1180" s="885"/>
      <c r="BB1180" s="885"/>
      <c r="BC1180" s="885"/>
      <c r="BD1180" s="885"/>
      <c r="BE1180" s="885"/>
      <c r="BF1180" s="885"/>
      <c r="BG1180" s="885"/>
      <c r="BH1180" s="885"/>
      <c r="BI1180" s="885"/>
      <c r="BJ1180" s="885"/>
      <c r="BK1180" s="885"/>
      <c r="BL1180" s="885"/>
      <c r="BM1180" s="885"/>
      <c r="BN1180" s="885"/>
      <c r="BO1180" s="885"/>
      <c r="BP1180" s="885"/>
      <c r="BQ1180" s="885"/>
      <c r="BR1180" s="885"/>
      <c r="BS1180" s="885"/>
      <c r="BT1180" s="885"/>
      <c r="BU1180" s="885"/>
      <c r="BV1180" s="885"/>
      <c r="BW1180" s="885"/>
      <c r="BX1180" s="885"/>
      <c r="BY1180" s="885"/>
      <c r="BZ1180" s="885"/>
      <c r="CA1180" s="885"/>
      <c r="CB1180" s="885"/>
      <c r="CC1180" s="885"/>
      <c r="CD1180" s="885"/>
      <c r="CE1180" s="885"/>
      <c r="CF1180" s="885"/>
      <c r="CG1180" s="885"/>
      <c r="CH1180" s="885"/>
      <c r="CI1180" s="885"/>
      <c r="CJ1180" s="885"/>
      <c r="CK1180" s="885"/>
      <c r="CL1180" s="885"/>
      <c r="CM1180" s="885"/>
      <c r="CN1180" s="885"/>
      <c r="CO1180" s="885"/>
      <c r="CP1180" s="885"/>
      <c r="CQ1180" s="885"/>
      <c r="CR1180" s="885"/>
      <c r="CS1180" s="885"/>
      <c r="CT1180" s="885"/>
      <c r="CU1180" s="885"/>
      <c r="CV1180" s="885"/>
      <c r="CW1180" s="885"/>
      <c r="CX1180" s="885"/>
      <c r="CY1180" s="885"/>
      <c r="CZ1180" s="885"/>
      <c r="DA1180" s="885"/>
      <c r="DB1180" s="885"/>
      <c r="DC1180" s="885"/>
      <c r="DD1180" s="885"/>
      <c r="DE1180" s="885"/>
      <c r="DF1180" s="885"/>
      <c r="DG1180" s="885"/>
      <c r="DH1180" s="885"/>
      <c r="DI1180" s="885"/>
      <c r="DJ1180" s="885"/>
      <c r="DK1180" s="885"/>
      <c r="DL1180" s="885"/>
      <c r="DM1180" s="885"/>
      <c r="DN1180" s="885"/>
      <c r="DO1180" s="885"/>
      <c r="DP1180" s="885"/>
      <c r="DQ1180" s="885"/>
      <c r="DR1180" s="885"/>
      <c r="DS1180" s="885"/>
      <c r="DT1180" s="885"/>
      <c r="DU1180" s="885"/>
      <c r="DV1180" s="885"/>
      <c r="DW1180" s="885"/>
      <c r="DX1180" s="885"/>
      <c r="DY1180" s="885"/>
      <c r="DZ1180" s="885"/>
      <c r="EA1180" s="885"/>
      <c r="EB1180" s="885"/>
      <c r="EC1180" s="885"/>
      <c r="ED1180" s="885"/>
      <c r="EE1180" s="885"/>
      <c r="EF1180" s="885"/>
      <c r="EG1180" s="885"/>
      <c r="EH1180" s="885"/>
      <c r="EI1180" s="885"/>
      <c r="EJ1180" s="885"/>
      <c r="EK1180" s="885"/>
      <c r="EL1180" s="885"/>
      <c r="EM1180" s="885"/>
      <c r="EN1180" s="885"/>
      <c r="EO1180" s="885"/>
      <c r="EP1180" s="885"/>
      <c r="EQ1180" s="885"/>
      <c r="ER1180" s="885"/>
      <c r="ES1180" s="885"/>
      <c r="ET1180" s="885"/>
      <c r="EU1180" s="885"/>
      <c r="EV1180" s="885"/>
      <c r="EW1180" s="885"/>
      <c r="EX1180" s="885"/>
      <c r="EY1180" s="885"/>
      <c r="EZ1180" s="885"/>
      <c r="FA1180" s="885"/>
      <c r="FB1180" s="885"/>
      <c r="FC1180" s="885"/>
      <c r="FD1180" s="885"/>
      <c r="FE1180" s="885"/>
      <c r="FF1180" s="885"/>
      <c r="FG1180" s="885"/>
      <c r="FH1180" s="885"/>
      <c r="FI1180" s="885"/>
      <c r="FJ1180" s="885"/>
      <c r="FK1180" s="885"/>
      <c r="FL1180" s="885"/>
      <c r="FM1180" s="885"/>
      <c r="FN1180" s="885"/>
      <c r="FO1180" s="885"/>
      <c r="FP1180" s="885"/>
      <c r="FQ1180" s="885"/>
      <c r="FR1180" s="885"/>
      <c r="FS1180" s="885"/>
      <c r="FT1180" s="885"/>
      <c r="FU1180" s="885"/>
      <c r="FV1180" s="885"/>
      <c r="FW1180" s="885"/>
      <c r="FX1180" s="885"/>
      <c r="FY1180" s="885"/>
      <c r="FZ1180" s="885"/>
      <c r="GA1180" s="885"/>
      <c r="GB1180" s="885"/>
      <c r="GC1180" s="885"/>
      <c r="GD1180" s="885"/>
      <c r="GE1180" s="885"/>
      <c r="GF1180" s="885"/>
      <c r="GG1180" s="885"/>
      <c r="GH1180" s="885"/>
      <c r="GI1180" s="885"/>
      <c r="GJ1180" s="885"/>
      <c r="GK1180" s="885"/>
      <c r="GL1180" s="885"/>
      <c r="GM1180" s="885"/>
      <c r="GN1180" s="885"/>
      <c r="GO1180" s="885"/>
      <c r="GP1180" s="885"/>
      <c r="GQ1180" s="885"/>
      <c r="GR1180" s="885"/>
      <c r="GS1180" s="885"/>
      <c r="GT1180" s="885"/>
      <c r="GU1180" s="885"/>
      <c r="GV1180" s="885"/>
      <c r="GW1180" s="885"/>
      <c r="GX1180" s="885"/>
      <c r="GY1180" s="885"/>
      <c r="GZ1180" s="885"/>
      <c r="HA1180" s="885"/>
      <c r="HB1180" s="885"/>
      <c r="HC1180" s="885"/>
      <c r="HD1180" s="885"/>
      <c r="HE1180" s="885"/>
      <c r="HF1180" s="885"/>
      <c r="HG1180" s="885"/>
      <c r="HH1180" s="885"/>
      <c r="HI1180" s="885"/>
      <c r="HJ1180" s="885"/>
      <c r="HK1180" s="885"/>
      <c r="HL1180" s="885"/>
      <c r="HM1180" s="885"/>
      <c r="HN1180" s="885"/>
      <c r="HO1180" s="885"/>
      <c r="HP1180" s="885"/>
      <c r="HQ1180" s="885"/>
      <c r="HR1180" s="885"/>
      <c r="HS1180" s="885"/>
      <c r="HT1180" s="885"/>
      <c r="HU1180" s="885"/>
      <c r="HV1180" s="885"/>
      <c r="HW1180" s="885"/>
      <c r="HX1180" s="885"/>
      <c r="HY1180" s="885"/>
      <c r="HZ1180" s="885"/>
      <c r="IA1180" s="885"/>
      <c r="IB1180" s="885"/>
      <c r="IC1180" s="885"/>
      <c r="ID1180" s="885"/>
      <c r="IE1180" s="885"/>
      <c r="IF1180" s="885"/>
      <c r="IG1180" s="885"/>
      <c r="IH1180" s="885"/>
      <c r="II1180" s="885"/>
      <c r="IJ1180" s="885"/>
      <c r="IK1180" s="885"/>
      <c r="IL1180" s="885"/>
      <c r="IM1180" s="885"/>
      <c r="IN1180" s="885"/>
      <c r="IO1180" s="885"/>
      <c r="IP1180" s="885"/>
      <c r="IQ1180" s="885"/>
      <c r="IR1180" s="885"/>
      <c r="IS1180" s="885"/>
      <c r="IT1180" s="885"/>
      <c r="IU1180" s="885"/>
      <c r="IV1180" s="885"/>
      <c r="IW1180" s="885"/>
      <c r="IX1180" s="885"/>
    </row>
    <row r="1181" spans="1:258" x14ac:dyDescent="0.25">
      <c r="A1181" s="125">
        <f t="shared" si="128"/>
        <v>1141</v>
      </c>
      <c r="B1181" s="885"/>
      <c r="C1181" s="842" t="s">
        <v>10717</v>
      </c>
      <c r="D1181" s="924">
        <v>0</v>
      </c>
      <c r="E1181" s="924">
        <f t="shared" si="131"/>
        <v>0</v>
      </c>
      <c r="F1181" s="129">
        <v>2000</v>
      </c>
      <c r="G1181" s="122" t="s">
        <v>1963</v>
      </c>
      <c r="H1181" s="885"/>
      <c r="I1181" s="885"/>
      <c r="J1181" s="885"/>
      <c r="K1181" s="885"/>
      <c r="L1181" s="885"/>
      <c r="M1181" s="885"/>
      <c r="N1181" s="885"/>
      <c r="O1181" s="885"/>
      <c r="P1181" s="885"/>
      <c r="Q1181" s="885"/>
      <c r="R1181" s="885"/>
      <c r="S1181" s="885"/>
      <c r="T1181" s="885"/>
      <c r="U1181" s="885"/>
      <c r="V1181" s="885"/>
      <c r="W1181" s="885"/>
      <c r="X1181" s="885"/>
      <c r="Y1181" s="885"/>
      <c r="Z1181" s="885"/>
      <c r="AA1181" s="885"/>
      <c r="AB1181" s="885"/>
      <c r="AC1181" s="885"/>
      <c r="AD1181" s="885"/>
      <c r="AE1181" s="885"/>
      <c r="AF1181" s="885"/>
      <c r="AG1181" s="885"/>
      <c r="AH1181" s="885"/>
      <c r="AI1181" s="885"/>
      <c r="AJ1181" s="885"/>
      <c r="AK1181" s="885"/>
      <c r="AL1181" s="885"/>
      <c r="AM1181" s="885"/>
      <c r="AN1181" s="885"/>
      <c r="AO1181" s="885"/>
      <c r="AP1181" s="885"/>
      <c r="AQ1181" s="885"/>
      <c r="AR1181" s="885"/>
      <c r="AS1181" s="885"/>
      <c r="AT1181" s="885"/>
      <c r="AU1181" s="885"/>
      <c r="AV1181" s="885"/>
      <c r="AW1181" s="885"/>
      <c r="AX1181" s="885"/>
      <c r="AY1181" s="885"/>
      <c r="AZ1181" s="885"/>
      <c r="BA1181" s="885"/>
      <c r="BB1181" s="885"/>
      <c r="BC1181" s="885"/>
      <c r="BD1181" s="885"/>
      <c r="BE1181" s="885"/>
      <c r="BF1181" s="885"/>
      <c r="BG1181" s="885"/>
      <c r="BH1181" s="885"/>
      <c r="BI1181" s="885"/>
      <c r="BJ1181" s="885"/>
      <c r="BK1181" s="885"/>
      <c r="BL1181" s="885"/>
      <c r="BM1181" s="885"/>
      <c r="BN1181" s="885"/>
      <c r="BO1181" s="885"/>
      <c r="BP1181" s="885"/>
      <c r="BQ1181" s="885"/>
      <c r="BR1181" s="885"/>
      <c r="BS1181" s="885"/>
      <c r="BT1181" s="885"/>
      <c r="BU1181" s="885"/>
      <c r="BV1181" s="885"/>
      <c r="BW1181" s="885"/>
      <c r="BX1181" s="885"/>
      <c r="BY1181" s="885"/>
      <c r="BZ1181" s="885"/>
      <c r="CA1181" s="885"/>
      <c r="CB1181" s="885"/>
      <c r="CC1181" s="885"/>
      <c r="CD1181" s="885"/>
      <c r="CE1181" s="885"/>
      <c r="CF1181" s="885"/>
      <c r="CG1181" s="885"/>
      <c r="CH1181" s="885"/>
      <c r="CI1181" s="885"/>
      <c r="CJ1181" s="885"/>
      <c r="CK1181" s="885"/>
      <c r="CL1181" s="885"/>
      <c r="CM1181" s="885"/>
      <c r="CN1181" s="885"/>
      <c r="CO1181" s="885"/>
      <c r="CP1181" s="885"/>
      <c r="CQ1181" s="885"/>
      <c r="CR1181" s="885"/>
      <c r="CS1181" s="885"/>
      <c r="CT1181" s="885"/>
      <c r="CU1181" s="885"/>
      <c r="CV1181" s="885"/>
      <c r="CW1181" s="885"/>
      <c r="CX1181" s="885"/>
      <c r="CY1181" s="885"/>
      <c r="CZ1181" s="885"/>
      <c r="DA1181" s="885"/>
      <c r="DB1181" s="885"/>
      <c r="DC1181" s="885"/>
      <c r="DD1181" s="885"/>
      <c r="DE1181" s="885"/>
      <c r="DF1181" s="885"/>
      <c r="DG1181" s="885"/>
      <c r="DH1181" s="885"/>
      <c r="DI1181" s="885"/>
      <c r="DJ1181" s="885"/>
      <c r="DK1181" s="885"/>
      <c r="DL1181" s="885"/>
      <c r="DM1181" s="885"/>
      <c r="DN1181" s="885"/>
      <c r="DO1181" s="885"/>
      <c r="DP1181" s="885"/>
      <c r="DQ1181" s="885"/>
      <c r="DR1181" s="885"/>
      <c r="DS1181" s="885"/>
      <c r="DT1181" s="885"/>
      <c r="DU1181" s="885"/>
      <c r="DV1181" s="885"/>
      <c r="DW1181" s="885"/>
      <c r="DX1181" s="885"/>
      <c r="DY1181" s="885"/>
      <c r="DZ1181" s="885"/>
      <c r="EA1181" s="885"/>
      <c r="EB1181" s="885"/>
      <c r="EC1181" s="885"/>
      <c r="ED1181" s="885"/>
      <c r="EE1181" s="885"/>
      <c r="EF1181" s="885"/>
      <c r="EG1181" s="885"/>
      <c r="EH1181" s="885"/>
      <c r="EI1181" s="885"/>
      <c r="EJ1181" s="885"/>
      <c r="EK1181" s="885"/>
      <c r="EL1181" s="885"/>
      <c r="EM1181" s="885"/>
      <c r="EN1181" s="885"/>
      <c r="EO1181" s="885"/>
      <c r="EP1181" s="885"/>
      <c r="EQ1181" s="885"/>
      <c r="ER1181" s="885"/>
      <c r="ES1181" s="885"/>
      <c r="ET1181" s="885"/>
      <c r="EU1181" s="885"/>
      <c r="EV1181" s="885"/>
      <c r="EW1181" s="885"/>
      <c r="EX1181" s="885"/>
      <c r="EY1181" s="885"/>
      <c r="EZ1181" s="885"/>
      <c r="FA1181" s="885"/>
      <c r="FB1181" s="885"/>
      <c r="FC1181" s="885"/>
      <c r="FD1181" s="885"/>
      <c r="FE1181" s="885"/>
      <c r="FF1181" s="885"/>
      <c r="FG1181" s="885"/>
      <c r="FH1181" s="885"/>
      <c r="FI1181" s="885"/>
      <c r="FJ1181" s="885"/>
      <c r="FK1181" s="885"/>
      <c r="FL1181" s="885"/>
      <c r="FM1181" s="885"/>
      <c r="FN1181" s="885"/>
      <c r="FO1181" s="885"/>
      <c r="FP1181" s="885"/>
      <c r="FQ1181" s="885"/>
      <c r="FR1181" s="885"/>
      <c r="FS1181" s="885"/>
      <c r="FT1181" s="885"/>
      <c r="FU1181" s="885"/>
      <c r="FV1181" s="885"/>
      <c r="FW1181" s="885"/>
      <c r="FX1181" s="885"/>
      <c r="FY1181" s="885"/>
      <c r="FZ1181" s="885"/>
      <c r="GA1181" s="885"/>
      <c r="GB1181" s="885"/>
      <c r="GC1181" s="885"/>
      <c r="GD1181" s="885"/>
      <c r="GE1181" s="885"/>
      <c r="GF1181" s="885"/>
      <c r="GG1181" s="885"/>
      <c r="GH1181" s="885"/>
      <c r="GI1181" s="885"/>
      <c r="GJ1181" s="885"/>
      <c r="GK1181" s="885"/>
      <c r="GL1181" s="885"/>
      <c r="GM1181" s="885"/>
      <c r="GN1181" s="885"/>
      <c r="GO1181" s="885"/>
      <c r="GP1181" s="885"/>
      <c r="GQ1181" s="885"/>
      <c r="GR1181" s="885"/>
      <c r="GS1181" s="885"/>
      <c r="GT1181" s="885"/>
      <c r="GU1181" s="885"/>
      <c r="GV1181" s="885"/>
      <c r="GW1181" s="885"/>
      <c r="GX1181" s="885"/>
      <c r="GY1181" s="885"/>
      <c r="GZ1181" s="885"/>
      <c r="HA1181" s="885"/>
      <c r="HB1181" s="885"/>
      <c r="HC1181" s="885"/>
      <c r="HD1181" s="885"/>
      <c r="HE1181" s="885"/>
      <c r="HF1181" s="885"/>
      <c r="HG1181" s="885"/>
      <c r="HH1181" s="885"/>
      <c r="HI1181" s="885"/>
      <c r="HJ1181" s="885"/>
      <c r="HK1181" s="885"/>
      <c r="HL1181" s="885"/>
      <c r="HM1181" s="885"/>
      <c r="HN1181" s="885"/>
      <c r="HO1181" s="885"/>
      <c r="HP1181" s="885"/>
      <c r="HQ1181" s="885"/>
      <c r="HR1181" s="885"/>
      <c r="HS1181" s="885"/>
      <c r="HT1181" s="885"/>
      <c r="HU1181" s="885"/>
      <c r="HV1181" s="885"/>
      <c r="HW1181" s="885"/>
      <c r="HX1181" s="885"/>
      <c r="HY1181" s="885"/>
      <c r="HZ1181" s="885"/>
      <c r="IA1181" s="885"/>
      <c r="IB1181" s="885"/>
      <c r="IC1181" s="885"/>
      <c r="ID1181" s="885"/>
      <c r="IE1181" s="885"/>
      <c r="IF1181" s="885"/>
      <c r="IG1181" s="885"/>
      <c r="IH1181" s="885"/>
      <c r="II1181" s="885"/>
      <c r="IJ1181" s="885"/>
      <c r="IK1181" s="885"/>
      <c r="IL1181" s="885"/>
      <c r="IM1181" s="885"/>
      <c r="IN1181" s="885"/>
      <c r="IO1181" s="885"/>
      <c r="IP1181" s="885"/>
      <c r="IQ1181" s="885"/>
      <c r="IR1181" s="885"/>
      <c r="IS1181" s="885"/>
      <c r="IT1181" s="885"/>
      <c r="IU1181" s="885"/>
      <c r="IV1181" s="885"/>
      <c r="IW1181" s="885"/>
      <c r="IX1181" s="885"/>
    </row>
    <row r="1182" spans="1:258" x14ac:dyDescent="0.25">
      <c r="A1182" s="125">
        <f t="shared" ref="A1182:A1245" si="132">A1181+1</f>
        <v>1142</v>
      </c>
      <c r="B1182" s="885"/>
      <c r="C1182" s="232" t="s">
        <v>10718</v>
      </c>
      <c r="D1182" s="915"/>
      <c r="E1182" s="915"/>
      <c r="F1182" s="129"/>
      <c r="H1182" s="885"/>
      <c r="I1182" s="885"/>
      <c r="J1182" s="885"/>
      <c r="K1182" s="885"/>
      <c r="L1182" s="885"/>
      <c r="M1182" s="885"/>
      <c r="N1182" s="885"/>
      <c r="O1182" s="885"/>
      <c r="P1182" s="885"/>
      <c r="Q1182" s="885"/>
      <c r="R1182" s="885"/>
      <c r="S1182" s="885"/>
      <c r="T1182" s="885"/>
      <c r="U1182" s="885"/>
      <c r="V1182" s="885"/>
      <c r="W1182" s="885"/>
      <c r="X1182" s="885"/>
      <c r="Y1182" s="885"/>
      <c r="Z1182" s="885"/>
      <c r="AA1182" s="885"/>
      <c r="AB1182" s="885"/>
      <c r="AC1182" s="885"/>
      <c r="AD1182" s="885"/>
      <c r="AE1182" s="885"/>
      <c r="AF1182" s="885"/>
      <c r="AG1182" s="885"/>
      <c r="AH1182" s="885"/>
      <c r="AI1182" s="885"/>
      <c r="AJ1182" s="885"/>
      <c r="AK1182" s="885"/>
      <c r="AL1182" s="885"/>
      <c r="AM1182" s="885"/>
      <c r="AN1182" s="885"/>
      <c r="AO1182" s="885"/>
      <c r="AP1182" s="885"/>
      <c r="AQ1182" s="885"/>
      <c r="AR1182" s="885"/>
      <c r="AS1182" s="885"/>
      <c r="AT1182" s="885"/>
      <c r="AU1182" s="885"/>
      <c r="AV1182" s="885"/>
      <c r="AW1182" s="885"/>
      <c r="AX1182" s="885"/>
      <c r="AY1182" s="885"/>
      <c r="AZ1182" s="885"/>
      <c r="BA1182" s="885"/>
      <c r="BB1182" s="885"/>
      <c r="BC1182" s="885"/>
      <c r="BD1182" s="885"/>
      <c r="BE1182" s="885"/>
      <c r="BF1182" s="885"/>
      <c r="BG1182" s="885"/>
      <c r="BH1182" s="885"/>
      <c r="BI1182" s="885"/>
      <c r="BJ1182" s="885"/>
      <c r="BK1182" s="885"/>
      <c r="BL1182" s="885"/>
      <c r="BM1182" s="885"/>
      <c r="BN1182" s="885"/>
      <c r="BO1182" s="885"/>
      <c r="BP1182" s="885"/>
      <c r="BQ1182" s="885"/>
      <c r="BR1182" s="885"/>
      <c r="BS1182" s="885"/>
      <c r="BT1182" s="885"/>
      <c r="BU1182" s="885"/>
      <c r="BV1182" s="885"/>
      <c r="BW1182" s="885"/>
      <c r="BX1182" s="885"/>
      <c r="BY1182" s="885"/>
      <c r="BZ1182" s="885"/>
      <c r="CA1182" s="885"/>
      <c r="CB1182" s="885"/>
      <c r="CC1182" s="885"/>
      <c r="CD1182" s="885"/>
      <c r="CE1182" s="885"/>
      <c r="CF1182" s="885"/>
      <c r="CG1182" s="885"/>
      <c r="CH1182" s="885"/>
      <c r="CI1182" s="885"/>
      <c r="CJ1182" s="885"/>
      <c r="CK1182" s="885"/>
      <c r="CL1182" s="885"/>
      <c r="CM1182" s="885"/>
      <c r="CN1182" s="885"/>
      <c r="CO1182" s="885"/>
      <c r="CP1182" s="885"/>
      <c r="CQ1182" s="885"/>
      <c r="CR1182" s="885"/>
      <c r="CS1182" s="885"/>
      <c r="CT1182" s="885"/>
      <c r="CU1182" s="885"/>
      <c r="CV1182" s="885"/>
      <c r="CW1182" s="885"/>
      <c r="CX1182" s="885"/>
      <c r="CY1182" s="885"/>
      <c r="CZ1182" s="885"/>
      <c r="DA1182" s="885"/>
      <c r="DB1182" s="885"/>
      <c r="DC1182" s="885"/>
      <c r="DD1182" s="885"/>
      <c r="DE1182" s="885"/>
      <c r="DF1182" s="885"/>
      <c r="DG1182" s="885"/>
      <c r="DH1182" s="885"/>
      <c r="DI1182" s="885"/>
      <c r="DJ1182" s="885"/>
      <c r="DK1182" s="885"/>
      <c r="DL1182" s="885"/>
      <c r="DM1182" s="885"/>
      <c r="DN1182" s="885"/>
      <c r="DO1182" s="885"/>
      <c r="DP1182" s="885"/>
      <c r="DQ1182" s="885"/>
      <c r="DR1182" s="885"/>
      <c r="DS1182" s="885"/>
      <c r="DT1182" s="885"/>
      <c r="DU1182" s="885"/>
      <c r="DV1182" s="885"/>
      <c r="DW1182" s="885"/>
      <c r="DX1182" s="885"/>
      <c r="DY1182" s="885"/>
      <c r="DZ1182" s="885"/>
      <c r="EA1182" s="885"/>
      <c r="EB1182" s="885"/>
      <c r="EC1182" s="885"/>
      <c r="ED1182" s="885"/>
      <c r="EE1182" s="885"/>
      <c r="EF1182" s="885"/>
      <c r="EG1182" s="885"/>
      <c r="EH1182" s="885"/>
      <c r="EI1182" s="885"/>
      <c r="EJ1182" s="885"/>
      <c r="EK1182" s="885"/>
      <c r="EL1182" s="885"/>
      <c r="EM1182" s="885"/>
      <c r="EN1182" s="885"/>
      <c r="EO1182" s="885"/>
      <c r="EP1182" s="885"/>
      <c r="EQ1182" s="885"/>
      <c r="ER1182" s="885"/>
      <c r="ES1182" s="885"/>
      <c r="ET1182" s="885"/>
      <c r="EU1182" s="885"/>
      <c r="EV1182" s="885"/>
      <c r="EW1182" s="885"/>
      <c r="EX1182" s="885"/>
      <c r="EY1182" s="885"/>
      <c r="EZ1182" s="885"/>
      <c r="FA1182" s="885"/>
      <c r="FB1182" s="885"/>
      <c r="FC1182" s="885"/>
      <c r="FD1182" s="885"/>
      <c r="FE1182" s="885"/>
      <c r="FF1182" s="885"/>
      <c r="FG1182" s="885"/>
      <c r="FH1182" s="885"/>
      <c r="FI1182" s="885"/>
      <c r="FJ1182" s="885"/>
      <c r="FK1182" s="885"/>
      <c r="FL1182" s="885"/>
      <c r="FM1182" s="885"/>
      <c r="FN1182" s="885"/>
      <c r="FO1182" s="885"/>
      <c r="FP1182" s="885"/>
      <c r="FQ1182" s="885"/>
      <c r="FR1182" s="885"/>
      <c r="FS1182" s="885"/>
      <c r="FT1182" s="885"/>
      <c r="FU1182" s="885"/>
      <c r="FV1182" s="885"/>
      <c r="FW1182" s="885"/>
      <c r="FX1182" s="885"/>
      <c r="FY1182" s="885"/>
      <c r="FZ1182" s="885"/>
      <c r="GA1182" s="885"/>
      <c r="GB1182" s="885"/>
      <c r="GC1182" s="885"/>
      <c r="GD1182" s="885"/>
      <c r="GE1182" s="885"/>
      <c r="GF1182" s="885"/>
      <c r="GG1182" s="885"/>
      <c r="GH1182" s="885"/>
      <c r="GI1182" s="885"/>
      <c r="GJ1182" s="885"/>
      <c r="GK1182" s="885"/>
      <c r="GL1182" s="885"/>
      <c r="GM1182" s="885"/>
      <c r="GN1182" s="885"/>
      <c r="GO1182" s="885"/>
      <c r="GP1182" s="885"/>
      <c r="GQ1182" s="885"/>
      <c r="GR1182" s="885"/>
      <c r="GS1182" s="885"/>
      <c r="GT1182" s="885"/>
      <c r="GU1182" s="885"/>
      <c r="GV1182" s="885"/>
      <c r="GW1182" s="885"/>
      <c r="GX1182" s="885"/>
      <c r="GY1182" s="885"/>
      <c r="GZ1182" s="885"/>
      <c r="HA1182" s="885"/>
      <c r="HB1182" s="885"/>
      <c r="HC1182" s="885"/>
      <c r="HD1182" s="885"/>
      <c r="HE1182" s="885"/>
      <c r="HF1182" s="885"/>
      <c r="HG1182" s="885"/>
      <c r="HH1182" s="885"/>
      <c r="HI1182" s="885"/>
      <c r="HJ1182" s="885"/>
      <c r="HK1182" s="885"/>
      <c r="HL1182" s="885"/>
      <c r="HM1182" s="885"/>
      <c r="HN1182" s="885"/>
      <c r="HO1182" s="885"/>
      <c r="HP1182" s="885"/>
      <c r="HQ1182" s="885"/>
      <c r="HR1182" s="885"/>
      <c r="HS1182" s="885"/>
      <c r="HT1182" s="885"/>
      <c r="HU1182" s="885"/>
      <c r="HV1182" s="885"/>
      <c r="HW1182" s="885"/>
      <c r="HX1182" s="885"/>
      <c r="HY1182" s="885"/>
      <c r="HZ1182" s="885"/>
      <c r="IA1182" s="885"/>
      <c r="IB1182" s="885"/>
      <c r="IC1182" s="885"/>
      <c r="ID1182" s="885"/>
      <c r="IE1182" s="885"/>
      <c r="IF1182" s="885"/>
      <c r="IG1182" s="885"/>
      <c r="IH1182" s="885"/>
      <c r="II1182" s="885"/>
      <c r="IJ1182" s="885"/>
      <c r="IK1182" s="885"/>
      <c r="IL1182" s="885"/>
      <c r="IM1182" s="885"/>
      <c r="IN1182" s="885"/>
      <c r="IO1182" s="885"/>
      <c r="IP1182" s="885"/>
      <c r="IQ1182" s="885"/>
      <c r="IR1182" s="885"/>
      <c r="IS1182" s="885"/>
      <c r="IT1182" s="885"/>
      <c r="IU1182" s="885"/>
      <c r="IV1182" s="885"/>
      <c r="IW1182" s="885"/>
      <c r="IX1182" s="885"/>
    </row>
    <row r="1183" spans="1:258" x14ac:dyDescent="0.25">
      <c r="A1183" s="125">
        <f t="shared" si="132"/>
        <v>1143</v>
      </c>
      <c r="B1183" s="885"/>
      <c r="C1183" s="842" t="s">
        <v>10719</v>
      </c>
      <c r="D1183" s="924">
        <v>0</v>
      </c>
      <c r="E1183" s="924">
        <f t="shared" si="131"/>
        <v>0</v>
      </c>
      <c r="F1183" s="129">
        <v>500</v>
      </c>
      <c r="G1183" s="122" t="s">
        <v>1963</v>
      </c>
      <c r="H1183" s="885"/>
      <c r="I1183" s="885"/>
      <c r="J1183" s="885"/>
      <c r="K1183" s="885"/>
      <c r="L1183" s="885"/>
      <c r="M1183" s="885"/>
      <c r="N1183" s="885"/>
      <c r="O1183" s="885"/>
      <c r="P1183" s="885"/>
      <c r="Q1183" s="885"/>
      <c r="R1183" s="885"/>
      <c r="S1183" s="885"/>
      <c r="T1183" s="885"/>
      <c r="U1183" s="885"/>
      <c r="V1183" s="885"/>
      <c r="W1183" s="885"/>
      <c r="X1183" s="885"/>
      <c r="Y1183" s="885"/>
      <c r="Z1183" s="885"/>
      <c r="AA1183" s="885"/>
      <c r="AB1183" s="885"/>
      <c r="AC1183" s="885"/>
      <c r="AD1183" s="885"/>
      <c r="AE1183" s="885"/>
      <c r="AF1183" s="885"/>
      <c r="AG1183" s="885"/>
      <c r="AH1183" s="885"/>
      <c r="AI1183" s="885"/>
      <c r="AJ1183" s="885"/>
      <c r="AK1183" s="885"/>
      <c r="AL1183" s="885"/>
      <c r="AM1183" s="885"/>
      <c r="AN1183" s="885"/>
      <c r="AO1183" s="885"/>
      <c r="AP1183" s="885"/>
      <c r="AQ1183" s="885"/>
      <c r="AR1183" s="885"/>
      <c r="AS1183" s="885"/>
      <c r="AT1183" s="885"/>
      <c r="AU1183" s="885"/>
      <c r="AV1183" s="885"/>
      <c r="AW1183" s="885"/>
      <c r="AX1183" s="885"/>
      <c r="AY1183" s="885"/>
      <c r="AZ1183" s="885"/>
      <c r="BA1183" s="885"/>
      <c r="BB1183" s="885"/>
      <c r="BC1183" s="885"/>
      <c r="BD1183" s="885"/>
      <c r="BE1183" s="885"/>
      <c r="BF1183" s="885"/>
      <c r="BG1183" s="885"/>
      <c r="BH1183" s="885"/>
      <c r="BI1183" s="885"/>
      <c r="BJ1183" s="885"/>
      <c r="BK1183" s="885"/>
      <c r="BL1183" s="885"/>
      <c r="BM1183" s="885"/>
      <c r="BN1183" s="885"/>
      <c r="BO1183" s="885"/>
      <c r="BP1183" s="885"/>
      <c r="BQ1183" s="885"/>
      <c r="BR1183" s="885"/>
      <c r="BS1183" s="885"/>
      <c r="BT1183" s="885"/>
      <c r="BU1183" s="885"/>
      <c r="BV1183" s="885"/>
      <c r="BW1183" s="885"/>
      <c r="BX1183" s="885"/>
      <c r="BY1183" s="885"/>
      <c r="BZ1183" s="885"/>
      <c r="CA1183" s="885"/>
      <c r="CB1183" s="885"/>
      <c r="CC1183" s="885"/>
      <c r="CD1183" s="885"/>
      <c r="CE1183" s="885"/>
      <c r="CF1183" s="885"/>
      <c r="CG1183" s="885"/>
      <c r="CH1183" s="885"/>
      <c r="CI1183" s="885"/>
      <c r="CJ1183" s="885"/>
      <c r="CK1183" s="885"/>
      <c r="CL1183" s="885"/>
      <c r="CM1183" s="885"/>
      <c r="CN1183" s="885"/>
      <c r="CO1183" s="885"/>
      <c r="CP1183" s="885"/>
      <c r="CQ1183" s="885"/>
      <c r="CR1183" s="885"/>
      <c r="CS1183" s="885"/>
      <c r="CT1183" s="885"/>
      <c r="CU1183" s="885"/>
      <c r="CV1183" s="885"/>
      <c r="CW1183" s="885"/>
      <c r="CX1183" s="885"/>
      <c r="CY1183" s="885"/>
      <c r="CZ1183" s="885"/>
      <c r="DA1183" s="885"/>
      <c r="DB1183" s="885"/>
      <c r="DC1183" s="885"/>
      <c r="DD1183" s="885"/>
      <c r="DE1183" s="885"/>
      <c r="DF1183" s="885"/>
      <c r="DG1183" s="885"/>
      <c r="DH1183" s="885"/>
      <c r="DI1183" s="885"/>
      <c r="DJ1183" s="885"/>
      <c r="DK1183" s="885"/>
      <c r="DL1183" s="885"/>
      <c r="DM1183" s="885"/>
      <c r="DN1183" s="885"/>
      <c r="DO1183" s="885"/>
      <c r="DP1183" s="885"/>
      <c r="DQ1183" s="885"/>
      <c r="DR1183" s="885"/>
      <c r="DS1183" s="885"/>
      <c r="DT1183" s="885"/>
      <c r="DU1183" s="885"/>
      <c r="DV1183" s="885"/>
      <c r="DW1183" s="885"/>
      <c r="DX1183" s="885"/>
      <c r="DY1183" s="885"/>
      <c r="DZ1183" s="885"/>
      <c r="EA1183" s="885"/>
      <c r="EB1183" s="885"/>
      <c r="EC1183" s="885"/>
      <c r="ED1183" s="885"/>
      <c r="EE1183" s="885"/>
      <c r="EF1183" s="885"/>
      <c r="EG1183" s="885"/>
      <c r="EH1183" s="885"/>
      <c r="EI1183" s="885"/>
      <c r="EJ1183" s="885"/>
      <c r="EK1183" s="885"/>
      <c r="EL1183" s="885"/>
      <c r="EM1183" s="885"/>
      <c r="EN1183" s="885"/>
      <c r="EO1183" s="885"/>
      <c r="EP1183" s="885"/>
      <c r="EQ1183" s="885"/>
      <c r="ER1183" s="885"/>
      <c r="ES1183" s="885"/>
      <c r="ET1183" s="885"/>
      <c r="EU1183" s="885"/>
      <c r="EV1183" s="885"/>
      <c r="EW1183" s="885"/>
      <c r="EX1183" s="885"/>
      <c r="EY1183" s="885"/>
      <c r="EZ1183" s="885"/>
      <c r="FA1183" s="885"/>
      <c r="FB1183" s="885"/>
      <c r="FC1183" s="885"/>
      <c r="FD1183" s="885"/>
      <c r="FE1183" s="885"/>
      <c r="FF1183" s="885"/>
      <c r="FG1183" s="885"/>
      <c r="FH1183" s="885"/>
      <c r="FI1183" s="885"/>
      <c r="FJ1183" s="885"/>
      <c r="FK1183" s="885"/>
      <c r="FL1183" s="885"/>
      <c r="FM1183" s="885"/>
      <c r="FN1183" s="885"/>
      <c r="FO1183" s="885"/>
      <c r="FP1183" s="885"/>
      <c r="FQ1183" s="885"/>
      <c r="FR1183" s="885"/>
      <c r="FS1183" s="885"/>
      <c r="FT1183" s="885"/>
      <c r="FU1183" s="885"/>
      <c r="FV1183" s="885"/>
      <c r="FW1183" s="885"/>
      <c r="FX1183" s="885"/>
      <c r="FY1183" s="885"/>
      <c r="FZ1183" s="885"/>
      <c r="GA1183" s="885"/>
      <c r="GB1183" s="885"/>
      <c r="GC1183" s="885"/>
      <c r="GD1183" s="885"/>
      <c r="GE1183" s="885"/>
      <c r="GF1183" s="885"/>
      <c r="GG1183" s="885"/>
      <c r="GH1183" s="885"/>
      <c r="GI1183" s="885"/>
      <c r="GJ1183" s="885"/>
      <c r="GK1183" s="885"/>
      <c r="GL1183" s="885"/>
      <c r="GM1183" s="885"/>
      <c r="GN1183" s="885"/>
      <c r="GO1183" s="885"/>
      <c r="GP1183" s="885"/>
      <c r="GQ1183" s="885"/>
      <c r="GR1183" s="885"/>
      <c r="GS1183" s="885"/>
      <c r="GT1183" s="885"/>
      <c r="GU1183" s="885"/>
      <c r="GV1183" s="885"/>
      <c r="GW1183" s="885"/>
      <c r="GX1183" s="885"/>
      <c r="GY1183" s="885"/>
      <c r="GZ1183" s="885"/>
      <c r="HA1183" s="885"/>
      <c r="HB1183" s="885"/>
      <c r="HC1183" s="885"/>
      <c r="HD1183" s="885"/>
      <c r="HE1183" s="885"/>
      <c r="HF1183" s="885"/>
      <c r="HG1183" s="885"/>
      <c r="HH1183" s="885"/>
      <c r="HI1183" s="885"/>
      <c r="HJ1183" s="885"/>
      <c r="HK1183" s="885"/>
      <c r="HL1183" s="885"/>
      <c r="HM1183" s="885"/>
      <c r="HN1183" s="885"/>
      <c r="HO1183" s="885"/>
      <c r="HP1183" s="885"/>
      <c r="HQ1183" s="885"/>
      <c r="HR1183" s="885"/>
      <c r="HS1183" s="885"/>
      <c r="HT1183" s="885"/>
      <c r="HU1183" s="885"/>
      <c r="HV1183" s="885"/>
      <c r="HW1183" s="885"/>
      <c r="HX1183" s="885"/>
      <c r="HY1183" s="885"/>
      <c r="HZ1183" s="885"/>
      <c r="IA1183" s="885"/>
      <c r="IB1183" s="885"/>
      <c r="IC1183" s="885"/>
      <c r="ID1183" s="885"/>
      <c r="IE1183" s="885"/>
      <c r="IF1183" s="885"/>
      <c r="IG1183" s="885"/>
      <c r="IH1183" s="885"/>
      <c r="II1183" s="885"/>
      <c r="IJ1183" s="885"/>
      <c r="IK1183" s="885"/>
      <c r="IL1183" s="885"/>
      <c r="IM1183" s="885"/>
      <c r="IN1183" s="885"/>
      <c r="IO1183" s="885"/>
      <c r="IP1183" s="885"/>
      <c r="IQ1183" s="885"/>
      <c r="IR1183" s="885"/>
      <c r="IS1183" s="885"/>
      <c r="IT1183" s="885"/>
      <c r="IU1183" s="885"/>
      <c r="IV1183" s="885"/>
      <c r="IW1183" s="885"/>
      <c r="IX1183" s="885"/>
    </row>
    <row r="1184" spans="1:258" x14ac:dyDescent="0.25">
      <c r="A1184" s="125">
        <f t="shared" si="132"/>
        <v>1144</v>
      </c>
      <c r="B1184" s="885"/>
      <c r="C1184" s="842" t="s">
        <v>10720</v>
      </c>
      <c r="D1184" s="924">
        <v>0</v>
      </c>
      <c r="E1184" s="924">
        <f t="shared" si="131"/>
        <v>0</v>
      </c>
      <c r="F1184" s="129">
        <v>500</v>
      </c>
      <c r="G1184" s="122" t="s">
        <v>1963</v>
      </c>
      <c r="H1184" s="885"/>
      <c r="I1184" s="885"/>
      <c r="J1184" s="885"/>
      <c r="K1184" s="885"/>
      <c r="L1184" s="885"/>
      <c r="M1184" s="885"/>
      <c r="N1184" s="885"/>
      <c r="O1184" s="885"/>
      <c r="P1184" s="885"/>
      <c r="Q1184" s="885"/>
      <c r="R1184" s="885"/>
      <c r="S1184" s="885"/>
      <c r="T1184" s="885"/>
      <c r="U1184" s="885"/>
      <c r="V1184" s="885"/>
      <c r="W1184" s="885"/>
      <c r="X1184" s="885"/>
      <c r="Y1184" s="885"/>
      <c r="Z1184" s="885"/>
      <c r="AA1184" s="885"/>
      <c r="AB1184" s="885"/>
      <c r="AC1184" s="885"/>
      <c r="AD1184" s="885"/>
      <c r="AE1184" s="885"/>
      <c r="AF1184" s="885"/>
      <c r="AG1184" s="885"/>
      <c r="AH1184" s="885"/>
      <c r="AI1184" s="885"/>
      <c r="AJ1184" s="885"/>
      <c r="AK1184" s="885"/>
      <c r="AL1184" s="885"/>
      <c r="AM1184" s="885"/>
      <c r="AN1184" s="885"/>
      <c r="AO1184" s="885"/>
      <c r="AP1184" s="885"/>
      <c r="AQ1184" s="885"/>
      <c r="AR1184" s="885"/>
      <c r="AS1184" s="885"/>
      <c r="AT1184" s="885"/>
      <c r="AU1184" s="885"/>
      <c r="AV1184" s="885"/>
      <c r="AW1184" s="885"/>
      <c r="AX1184" s="885"/>
      <c r="AY1184" s="885"/>
      <c r="AZ1184" s="885"/>
      <c r="BA1184" s="885"/>
      <c r="BB1184" s="885"/>
      <c r="BC1184" s="885"/>
      <c r="BD1184" s="885"/>
      <c r="BE1184" s="885"/>
      <c r="BF1184" s="885"/>
      <c r="BG1184" s="885"/>
      <c r="BH1184" s="885"/>
      <c r="BI1184" s="885"/>
      <c r="BJ1184" s="885"/>
      <c r="BK1184" s="885"/>
      <c r="BL1184" s="885"/>
      <c r="BM1184" s="885"/>
      <c r="BN1184" s="885"/>
      <c r="BO1184" s="885"/>
      <c r="BP1184" s="885"/>
      <c r="BQ1184" s="885"/>
      <c r="BR1184" s="885"/>
      <c r="BS1184" s="885"/>
      <c r="BT1184" s="885"/>
      <c r="BU1184" s="885"/>
      <c r="BV1184" s="885"/>
      <c r="BW1184" s="885"/>
      <c r="BX1184" s="885"/>
      <c r="BY1184" s="885"/>
      <c r="BZ1184" s="885"/>
      <c r="CA1184" s="885"/>
      <c r="CB1184" s="885"/>
      <c r="CC1184" s="885"/>
      <c r="CD1184" s="885"/>
      <c r="CE1184" s="885"/>
      <c r="CF1184" s="885"/>
      <c r="CG1184" s="885"/>
      <c r="CH1184" s="885"/>
      <c r="CI1184" s="885"/>
      <c r="CJ1184" s="885"/>
      <c r="CK1184" s="885"/>
      <c r="CL1184" s="885"/>
      <c r="CM1184" s="885"/>
      <c r="CN1184" s="885"/>
      <c r="CO1184" s="885"/>
      <c r="CP1184" s="885"/>
      <c r="CQ1184" s="885"/>
      <c r="CR1184" s="885"/>
      <c r="CS1184" s="885"/>
      <c r="CT1184" s="885"/>
      <c r="CU1184" s="885"/>
      <c r="CV1184" s="885"/>
      <c r="CW1184" s="885"/>
      <c r="CX1184" s="885"/>
      <c r="CY1184" s="885"/>
      <c r="CZ1184" s="885"/>
      <c r="DA1184" s="885"/>
      <c r="DB1184" s="885"/>
      <c r="DC1184" s="885"/>
      <c r="DD1184" s="885"/>
      <c r="DE1184" s="885"/>
      <c r="DF1184" s="885"/>
      <c r="DG1184" s="885"/>
      <c r="DH1184" s="885"/>
      <c r="DI1184" s="885"/>
      <c r="DJ1184" s="885"/>
      <c r="DK1184" s="885"/>
      <c r="DL1184" s="885"/>
      <c r="DM1184" s="885"/>
      <c r="DN1184" s="885"/>
      <c r="DO1184" s="885"/>
      <c r="DP1184" s="885"/>
      <c r="DQ1184" s="885"/>
      <c r="DR1184" s="885"/>
      <c r="DS1184" s="885"/>
      <c r="DT1184" s="885"/>
      <c r="DU1184" s="885"/>
      <c r="DV1184" s="885"/>
      <c r="DW1184" s="885"/>
      <c r="DX1184" s="885"/>
      <c r="DY1184" s="885"/>
      <c r="DZ1184" s="885"/>
      <c r="EA1184" s="885"/>
      <c r="EB1184" s="885"/>
      <c r="EC1184" s="885"/>
      <c r="ED1184" s="885"/>
      <c r="EE1184" s="885"/>
      <c r="EF1184" s="885"/>
      <c r="EG1184" s="885"/>
      <c r="EH1184" s="885"/>
      <c r="EI1184" s="885"/>
      <c r="EJ1184" s="885"/>
      <c r="EK1184" s="885"/>
      <c r="EL1184" s="885"/>
      <c r="EM1184" s="885"/>
      <c r="EN1184" s="885"/>
      <c r="EO1184" s="885"/>
      <c r="EP1184" s="885"/>
      <c r="EQ1184" s="885"/>
      <c r="ER1184" s="885"/>
      <c r="ES1184" s="885"/>
      <c r="ET1184" s="885"/>
      <c r="EU1184" s="885"/>
      <c r="EV1184" s="885"/>
      <c r="EW1184" s="885"/>
      <c r="EX1184" s="885"/>
      <c r="EY1184" s="885"/>
      <c r="EZ1184" s="885"/>
      <c r="FA1184" s="885"/>
      <c r="FB1184" s="885"/>
      <c r="FC1184" s="885"/>
      <c r="FD1184" s="885"/>
      <c r="FE1184" s="885"/>
      <c r="FF1184" s="885"/>
      <c r="FG1184" s="885"/>
      <c r="FH1184" s="885"/>
      <c r="FI1184" s="885"/>
      <c r="FJ1184" s="885"/>
      <c r="FK1184" s="885"/>
      <c r="FL1184" s="885"/>
      <c r="FM1184" s="885"/>
      <c r="FN1184" s="885"/>
      <c r="FO1184" s="885"/>
      <c r="FP1184" s="885"/>
      <c r="FQ1184" s="885"/>
      <c r="FR1184" s="885"/>
      <c r="FS1184" s="885"/>
      <c r="FT1184" s="885"/>
      <c r="FU1184" s="885"/>
      <c r="FV1184" s="885"/>
      <c r="FW1184" s="885"/>
      <c r="FX1184" s="885"/>
      <c r="FY1184" s="885"/>
      <c r="FZ1184" s="885"/>
      <c r="GA1184" s="885"/>
      <c r="GB1184" s="885"/>
      <c r="GC1184" s="885"/>
      <c r="GD1184" s="885"/>
      <c r="GE1184" s="885"/>
      <c r="GF1184" s="885"/>
      <c r="GG1184" s="885"/>
      <c r="GH1184" s="885"/>
      <c r="GI1184" s="885"/>
      <c r="GJ1184" s="885"/>
      <c r="GK1184" s="885"/>
      <c r="GL1184" s="885"/>
      <c r="GM1184" s="885"/>
      <c r="GN1184" s="885"/>
      <c r="GO1184" s="885"/>
      <c r="GP1184" s="885"/>
      <c r="GQ1184" s="885"/>
      <c r="GR1184" s="885"/>
      <c r="GS1184" s="885"/>
      <c r="GT1184" s="885"/>
      <c r="GU1184" s="885"/>
      <c r="GV1184" s="885"/>
      <c r="GW1184" s="885"/>
      <c r="GX1184" s="885"/>
      <c r="GY1184" s="885"/>
      <c r="GZ1184" s="885"/>
      <c r="HA1184" s="885"/>
      <c r="HB1184" s="885"/>
      <c r="HC1184" s="885"/>
      <c r="HD1184" s="885"/>
      <c r="HE1184" s="885"/>
      <c r="HF1184" s="885"/>
      <c r="HG1184" s="885"/>
      <c r="HH1184" s="885"/>
      <c r="HI1184" s="885"/>
      <c r="HJ1184" s="885"/>
      <c r="HK1184" s="885"/>
      <c r="HL1184" s="885"/>
      <c r="HM1184" s="885"/>
      <c r="HN1184" s="885"/>
      <c r="HO1184" s="885"/>
      <c r="HP1184" s="885"/>
      <c r="HQ1184" s="885"/>
      <c r="HR1184" s="885"/>
      <c r="HS1184" s="885"/>
      <c r="HT1184" s="885"/>
      <c r="HU1184" s="885"/>
      <c r="HV1184" s="885"/>
      <c r="HW1184" s="885"/>
      <c r="HX1184" s="885"/>
      <c r="HY1184" s="885"/>
      <c r="HZ1184" s="885"/>
      <c r="IA1184" s="885"/>
      <c r="IB1184" s="885"/>
      <c r="IC1184" s="885"/>
      <c r="ID1184" s="885"/>
      <c r="IE1184" s="885"/>
      <c r="IF1184" s="885"/>
      <c r="IG1184" s="885"/>
      <c r="IH1184" s="885"/>
      <c r="II1184" s="885"/>
      <c r="IJ1184" s="885"/>
      <c r="IK1184" s="885"/>
      <c r="IL1184" s="885"/>
      <c r="IM1184" s="885"/>
      <c r="IN1184" s="885"/>
      <c r="IO1184" s="885"/>
      <c r="IP1184" s="885"/>
      <c r="IQ1184" s="885"/>
      <c r="IR1184" s="885"/>
      <c r="IS1184" s="885"/>
      <c r="IT1184" s="885"/>
      <c r="IU1184" s="885"/>
      <c r="IV1184" s="885"/>
      <c r="IW1184" s="885"/>
      <c r="IX1184" s="885"/>
    </row>
    <row r="1185" spans="1:258" x14ac:dyDescent="0.25">
      <c r="A1185" s="125">
        <f t="shared" si="132"/>
        <v>1145</v>
      </c>
      <c r="B1185" s="885"/>
      <c r="C1185" s="842" t="s">
        <v>10721</v>
      </c>
      <c r="D1185" s="924">
        <v>0</v>
      </c>
      <c r="E1185" s="924">
        <f t="shared" si="131"/>
        <v>0</v>
      </c>
      <c r="F1185" s="129">
        <v>500</v>
      </c>
      <c r="G1185" s="122" t="s">
        <v>1963</v>
      </c>
      <c r="H1185" s="885"/>
      <c r="I1185" s="885"/>
      <c r="J1185" s="885"/>
      <c r="K1185" s="885"/>
      <c r="L1185" s="885"/>
      <c r="M1185" s="885"/>
      <c r="N1185" s="885"/>
      <c r="O1185" s="885"/>
      <c r="P1185" s="885"/>
      <c r="Q1185" s="885"/>
      <c r="R1185" s="885"/>
      <c r="S1185" s="885"/>
      <c r="T1185" s="885"/>
      <c r="U1185" s="885"/>
      <c r="V1185" s="885"/>
      <c r="W1185" s="885"/>
      <c r="X1185" s="885"/>
      <c r="Y1185" s="885"/>
      <c r="Z1185" s="885"/>
      <c r="AA1185" s="885"/>
      <c r="AB1185" s="885"/>
      <c r="AC1185" s="885"/>
      <c r="AD1185" s="885"/>
      <c r="AE1185" s="885"/>
      <c r="AF1185" s="885"/>
      <c r="AG1185" s="885"/>
      <c r="AH1185" s="885"/>
      <c r="AI1185" s="885"/>
      <c r="AJ1185" s="885"/>
      <c r="AK1185" s="885"/>
      <c r="AL1185" s="885"/>
      <c r="AM1185" s="885"/>
      <c r="AN1185" s="885"/>
      <c r="AO1185" s="885"/>
      <c r="AP1185" s="885"/>
      <c r="AQ1185" s="885"/>
      <c r="AR1185" s="885"/>
      <c r="AS1185" s="885"/>
      <c r="AT1185" s="885"/>
      <c r="AU1185" s="885"/>
      <c r="AV1185" s="885"/>
      <c r="AW1185" s="885"/>
      <c r="AX1185" s="885"/>
      <c r="AY1185" s="885"/>
      <c r="AZ1185" s="885"/>
      <c r="BA1185" s="885"/>
      <c r="BB1185" s="885"/>
      <c r="BC1185" s="885"/>
      <c r="BD1185" s="885"/>
      <c r="BE1185" s="885"/>
      <c r="BF1185" s="885"/>
      <c r="BG1185" s="885"/>
      <c r="BH1185" s="885"/>
      <c r="BI1185" s="885"/>
      <c r="BJ1185" s="885"/>
      <c r="BK1185" s="885"/>
      <c r="BL1185" s="885"/>
      <c r="BM1185" s="885"/>
      <c r="BN1185" s="885"/>
      <c r="BO1185" s="885"/>
      <c r="BP1185" s="885"/>
      <c r="BQ1185" s="885"/>
      <c r="BR1185" s="885"/>
      <c r="BS1185" s="885"/>
      <c r="BT1185" s="885"/>
      <c r="BU1185" s="885"/>
      <c r="BV1185" s="885"/>
      <c r="BW1185" s="885"/>
      <c r="BX1185" s="885"/>
      <c r="BY1185" s="885"/>
      <c r="BZ1185" s="885"/>
      <c r="CA1185" s="885"/>
      <c r="CB1185" s="885"/>
      <c r="CC1185" s="885"/>
      <c r="CD1185" s="885"/>
      <c r="CE1185" s="885"/>
      <c r="CF1185" s="885"/>
      <c r="CG1185" s="885"/>
      <c r="CH1185" s="885"/>
      <c r="CI1185" s="885"/>
      <c r="CJ1185" s="885"/>
      <c r="CK1185" s="885"/>
      <c r="CL1185" s="885"/>
      <c r="CM1185" s="885"/>
      <c r="CN1185" s="885"/>
      <c r="CO1185" s="885"/>
      <c r="CP1185" s="885"/>
      <c r="CQ1185" s="885"/>
      <c r="CR1185" s="885"/>
      <c r="CS1185" s="885"/>
      <c r="CT1185" s="885"/>
      <c r="CU1185" s="885"/>
      <c r="CV1185" s="885"/>
      <c r="CW1185" s="885"/>
      <c r="CX1185" s="885"/>
      <c r="CY1185" s="885"/>
      <c r="CZ1185" s="885"/>
      <c r="DA1185" s="885"/>
      <c r="DB1185" s="885"/>
      <c r="DC1185" s="885"/>
      <c r="DD1185" s="885"/>
      <c r="DE1185" s="885"/>
      <c r="DF1185" s="885"/>
      <c r="DG1185" s="885"/>
      <c r="DH1185" s="885"/>
      <c r="DI1185" s="885"/>
      <c r="DJ1185" s="885"/>
      <c r="DK1185" s="885"/>
      <c r="DL1185" s="885"/>
      <c r="DM1185" s="885"/>
      <c r="DN1185" s="885"/>
      <c r="DO1185" s="885"/>
      <c r="DP1185" s="885"/>
      <c r="DQ1185" s="885"/>
      <c r="DR1185" s="885"/>
      <c r="DS1185" s="885"/>
      <c r="DT1185" s="885"/>
      <c r="DU1185" s="885"/>
      <c r="DV1185" s="885"/>
      <c r="DW1185" s="885"/>
      <c r="DX1185" s="885"/>
      <c r="DY1185" s="885"/>
      <c r="DZ1185" s="885"/>
      <c r="EA1185" s="885"/>
      <c r="EB1185" s="885"/>
      <c r="EC1185" s="885"/>
      <c r="ED1185" s="885"/>
      <c r="EE1185" s="885"/>
      <c r="EF1185" s="885"/>
      <c r="EG1185" s="885"/>
      <c r="EH1185" s="885"/>
      <c r="EI1185" s="885"/>
      <c r="EJ1185" s="885"/>
      <c r="EK1185" s="885"/>
      <c r="EL1185" s="885"/>
      <c r="EM1185" s="885"/>
      <c r="EN1185" s="885"/>
      <c r="EO1185" s="885"/>
      <c r="EP1185" s="885"/>
      <c r="EQ1185" s="885"/>
      <c r="ER1185" s="885"/>
      <c r="ES1185" s="885"/>
      <c r="ET1185" s="885"/>
      <c r="EU1185" s="885"/>
      <c r="EV1185" s="885"/>
      <c r="EW1185" s="885"/>
      <c r="EX1185" s="885"/>
      <c r="EY1185" s="885"/>
      <c r="EZ1185" s="885"/>
      <c r="FA1185" s="885"/>
      <c r="FB1185" s="885"/>
      <c r="FC1185" s="885"/>
      <c r="FD1185" s="885"/>
      <c r="FE1185" s="885"/>
      <c r="FF1185" s="885"/>
      <c r="FG1185" s="885"/>
      <c r="FH1185" s="885"/>
      <c r="FI1185" s="885"/>
      <c r="FJ1185" s="885"/>
      <c r="FK1185" s="885"/>
      <c r="FL1185" s="885"/>
      <c r="FM1185" s="885"/>
      <c r="FN1185" s="885"/>
      <c r="FO1185" s="885"/>
      <c r="FP1185" s="885"/>
      <c r="FQ1185" s="885"/>
      <c r="FR1185" s="885"/>
      <c r="FS1185" s="885"/>
      <c r="FT1185" s="885"/>
      <c r="FU1185" s="885"/>
      <c r="FV1185" s="885"/>
      <c r="FW1185" s="885"/>
      <c r="FX1185" s="885"/>
      <c r="FY1185" s="885"/>
      <c r="FZ1185" s="885"/>
      <c r="GA1185" s="885"/>
      <c r="GB1185" s="885"/>
      <c r="GC1185" s="885"/>
      <c r="GD1185" s="885"/>
      <c r="GE1185" s="885"/>
      <c r="GF1185" s="885"/>
      <c r="GG1185" s="885"/>
      <c r="GH1185" s="885"/>
      <c r="GI1185" s="885"/>
      <c r="GJ1185" s="885"/>
      <c r="GK1185" s="885"/>
      <c r="GL1185" s="885"/>
      <c r="GM1185" s="885"/>
      <c r="GN1185" s="885"/>
      <c r="GO1185" s="885"/>
      <c r="GP1185" s="885"/>
      <c r="GQ1185" s="885"/>
      <c r="GR1185" s="885"/>
      <c r="GS1185" s="885"/>
      <c r="GT1185" s="885"/>
      <c r="GU1185" s="885"/>
      <c r="GV1185" s="885"/>
      <c r="GW1185" s="885"/>
      <c r="GX1185" s="885"/>
      <c r="GY1185" s="885"/>
      <c r="GZ1185" s="885"/>
      <c r="HA1185" s="885"/>
      <c r="HB1185" s="885"/>
      <c r="HC1185" s="885"/>
      <c r="HD1185" s="885"/>
      <c r="HE1185" s="885"/>
      <c r="HF1185" s="885"/>
      <c r="HG1185" s="885"/>
      <c r="HH1185" s="885"/>
      <c r="HI1185" s="885"/>
      <c r="HJ1185" s="885"/>
      <c r="HK1185" s="885"/>
      <c r="HL1185" s="885"/>
      <c r="HM1185" s="885"/>
      <c r="HN1185" s="885"/>
      <c r="HO1185" s="885"/>
      <c r="HP1185" s="885"/>
      <c r="HQ1185" s="885"/>
      <c r="HR1185" s="885"/>
      <c r="HS1185" s="885"/>
      <c r="HT1185" s="885"/>
      <c r="HU1185" s="885"/>
      <c r="HV1185" s="885"/>
      <c r="HW1185" s="885"/>
      <c r="HX1185" s="885"/>
      <c r="HY1185" s="885"/>
      <c r="HZ1185" s="885"/>
      <c r="IA1185" s="885"/>
      <c r="IB1185" s="885"/>
      <c r="IC1185" s="885"/>
      <c r="ID1185" s="885"/>
      <c r="IE1185" s="885"/>
      <c r="IF1185" s="885"/>
      <c r="IG1185" s="885"/>
      <c r="IH1185" s="885"/>
      <c r="II1185" s="885"/>
      <c r="IJ1185" s="885"/>
      <c r="IK1185" s="885"/>
      <c r="IL1185" s="885"/>
      <c r="IM1185" s="885"/>
      <c r="IN1185" s="885"/>
      <c r="IO1185" s="885"/>
      <c r="IP1185" s="885"/>
      <c r="IQ1185" s="885"/>
      <c r="IR1185" s="885"/>
      <c r="IS1185" s="885"/>
      <c r="IT1185" s="885"/>
      <c r="IU1185" s="885"/>
      <c r="IV1185" s="885"/>
      <c r="IW1185" s="885"/>
      <c r="IX1185" s="885"/>
    </row>
    <row r="1186" spans="1:258" x14ac:dyDescent="0.25">
      <c r="A1186" s="125">
        <f t="shared" si="132"/>
        <v>1146</v>
      </c>
      <c r="B1186" s="885"/>
      <c r="C1186" s="842" t="s">
        <v>10722</v>
      </c>
      <c r="D1186" s="924">
        <v>0</v>
      </c>
      <c r="E1186" s="924">
        <f t="shared" si="131"/>
        <v>0</v>
      </c>
      <c r="F1186" s="129">
        <v>2000</v>
      </c>
      <c r="G1186" s="122" t="s">
        <v>1963</v>
      </c>
      <c r="H1186" s="885"/>
      <c r="I1186" s="885"/>
      <c r="J1186" s="885"/>
      <c r="K1186" s="885"/>
      <c r="L1186" s="885"/>
      <c r="M1186" s="885"/>
      <c r="N1186" s="885"/>
      <c r="O1186" s="885"/>
      <c r="P1186" s="885"/>
      <c r="Q1186" s="885"/>
      <c r="R1186" s="885"/>
      <c r="S1186" s="885"/>
      <c r="T1186" s="885"/>
      <c r="U1186" s="885"/>
      <c r="V1186" s="885"/>
      <c r="W1186" s="885"/>
      <c r="X1186" s="885"/>
      <c r="Y1186" s="885"/>
      <c r="Z1186" s="885"/>
      <c r="AA1186" s="885"/>
      <c r="AB1186" s="885"/>
      <c r="AC1186" s="885"/>
      <c r="AD1186" s="885"/>
      <c r="AE1186" s="885"/>
      <c r="AF1186" s="885"/>
      <c r="AG1186" s="885"/>
      <c r="AH1186" s="885"/>
      <c r="AI1186" s="885"/>
      <c r="AJ1186" s="885"/>
      <c r="AK1186" s="885"/>
      <c r="AL1186" s="885"/>
      <c r="AM1186" s="885"/>
      <c r="AN1186" s="885"/>
      <c r="AO1186" s="885"/>
      <c r="AP1186" s="885"/>
      <c r="AQ1186" s="885"/>
      <c r="AR1186" s="885"/>
      <c r="AS1186" s="885"/>
      <c r="AT1186" s="885"/>
      <c r="AU1186" s="885"/>
      <c r="AV1186" s="885"/>
      <c r="AW1186" s="885"/>
      <c r="AX1186" s="885"/>
      <c r="AY1186" s="885"/>
      <c r="AZ1186" s="885"/>
      <c r="BA1186" s="885"/>
      <c r="BB1186" s="885"/>
      <c r="BC1186" s="885"/>
      <c r="BD1186" s="885"/>
      <c r="BE1186" s="885"/>
      <c r="BF1186" s="885"/>
      <c r="BG1186" s="885"/>
      <c r="BH1186" s="885"/>
      <c r="BI1186" s="885"/>
      <c r="BJ1186" s="885"/>
      <c r="BK1186" s="885"/>
      <c r="BL1186" s="885"/>
      <c r="BM1186" s="885"/>
      <c r="BN1186" s="885"/>
      <c r="BO1186" s="885"/>
      <c r="BP1186" s="885"/>
      <c r="BQ1186" s="885"/>
      <c r="BR1186" s="885"/>
      <c r="BS1186" s="885"/>
      <c r="BT1186" s="885"/>
      <c r="BU1186" s="885"/>
      <c r="BV1186" s="885"/>
      <c r="BW1186" s="885"/>
      <c r="BX1186" s="885"/>
      <c r="BY1186" s="885"/>
      <c r="BZ1186" s="885"/>
      <c r="CA1186" s="885"/>
      <c r="CB1186" s="885"/>
      <c r="CC1186" s="885"/>
      <c r="CD1186" s="885"/>
      <c r="CE1186" s="885"/>
      <c r="CF1186" s="885"/>
      <c r="CG1186" s="885"/>
      <c r="CH1186" s="885"/>
      <c r="CI1186" s="885"/>
      <c r="CJ1186" s="885"/>
      <c r="CK1186" s="885"/>
      <c r="CL1186" s="885"/>
      <c r="CM1186" s="885"/>
      <c r="CN1186" s="885"/>
      <c r="CO1186" s="885"/>
      <c r="CP1186" s="885"/>
      <c r="CQ1186" s="885"/>
      <c r="CR1186" s="885"/>
      <c r="CS1186" s="885"/>
      <c r="CT1186" s="885"/>
      <c r="CU1186" s="885"/>
      <c r="CV1186" s="885"/>
      <c r="CW1186" s="885"/>
      <c r="CX1186" s="885"/>
      <c r="CY1186" s="885"/>
      <c r="CZ1186" s="885"/>
      <c r="DA1186" s="885"/>
      <c r="DB1186" s="885"/>
      <c r="DC1186" s="885"/>
      <c r="DD1186" s="885"/>
      <c r="DE1186" s="885"/>
      <c r="DF1186" s="885"/>
      <c r="DG1186" s="885"/>
      <c r="DH1186" s="885"/>
      <c r="DI1186" s="885"/>
      <c r="DJ1186" s="885"/>
      <c r="DK1186" s="885"/>
      <c r="DL1186" s="885"/>
      <c r="DM1186" s="885"/>
      <c r="DN1186" s="885"/>
      <c r="DO1186" s="885"/>
      <c r="DP1186" s="885"/>
      <c r="DQ1186" s="885"/>
      <c r="DR1186" s="885"/>
      <c r="DS1186" s="885"/>
      <c r="DT1186" s="885"/>
      <c r="DU1186" s="885"/>
      <c r="DV1186" s="885"/>
      <c r="DW1186" s="885"/>
      <c r="DX1186" s="885"/>
      <c r="DY1186" s="885"/>
      <c r="DZ1186" s="885"/>
      <c r="EA1186" s="885"/>
      <c r="EB1186" s="885"/>
      <c r="EC1186" s="885"/>
      <c r="ED1186" s="885"/>
      <c r="EE1186" s="885"/>
      <c r="EF1186" s="885"/>
      <c r="EG1186" s="885"/>
      <c r="EH1186" s="885"/>
      <c r="EI1186" s="885"/>
      <c r="EJ1186" s="885"/>
      <c r="EK1186" s="885"/>
      <c r="EL1186" s="885"/>
      <c r="EM1186" s="885"/>
      <c r="EN1186" s="885"/>
      <c r="EO1186" s="885"/>
      <c r="EP1186" s="885"/>
      <c r="EQ1186" s="885"/>
      <c r="ER1186" s="885"/>
      <c r="ES1186" s="885"/>
      <c r="ET1186" s="885"/>
      <c r="EU1186" s="885"/>
      <c r="EV1186" s="885"/>
      <c r="EW1186" s="885"/>
      <c r="EX1186" s="885"/>
      <c r="EY1186" s="885"/>
      <c r="EZ1186" s="885"/>
      <c r="FA1186" s="885"/>
      <c r="FB1186" s="885"/>
      <c r="FC1186" s="885"/>
      <c r="FD1186" s="885"/>
      <c r="FE1186" s="885"/>
      <c r="FF1186" s="885"/>
      <c r="FG1186" s="885"/>
      <c r="FH1186" s="885"/>
      <c r="FI1186" s="885"/>
      <c r="FJ1186" s="885"/>
      <c r="FK1186" s="885"/>
      <c r="FL1186" s="885"/>
      <c r="FM1186" s="885"/>
      <c r="FN1186" s="885"/>
      <c r="FO1186" s="885"/>
      <c r="FP1186" s="885"/>
      <c r="FQ1186" s="885"/>
      <c r="FR1186" s="885"/>
      <c r="FS1186" s="885"/>
      <c r="FT1186" s="885"/>
      <c r="FU1186" s="885"/>
      <c r="FV1186" s="885"/>
      <c r="FW1186" s="885"/>
      <c r="FX1186" s="885"/>
      <c r="FY1186" s="885"/>
      <c r="FZ1186" s="885"/>
      <c r="GA1186" s="885"/>
      <c r="GB1186" s="885"/>
      <c r="GC1186" s="885"/>
      <c r="GD1186" s="885"/>
      <c r="GE1186" s="885"/>
      <c r="GF1186" s="885"/>
      <c r="GG1186" s="885"/>
      <c r="GH1186" s="885"/>
      <c r="GI1186" s="885"/>
      <c r="GJ1186" s="885"/>
      <c r="GK1186" s="885"/>
      <c r="GL1186" s="885"/>
      <c r="GM1186" s="885"/>
      <c r="GN1186" s="885"/>
      <c r="GO1186" s="885"/>
      <c r="GP1186" s="885"/>
      <c r="GQ1186" s="885"/>
      <c r="GR1186" s="885"/>
      <c r="GS1186" s="885"/>
      <c r="GT1186" s="885"/>
      <c r="GU1186" s="885"/>
      <c r="GV1186" s="885"/>
      <c r="GW1186" s="885"/>
      <c r="GX1186" s="885"/>
      <c r="GY1186" s="885"/>
      <c r="GZ1186" s="885"/>
      <c r="HA1186" s="885"/>
      <c r="HB1186" s="885"/>
      <c r="HC1186" s="885"/>
      <c r="HD1186" s="885"/>
      <c r="HE1186" s="885"/>
      <c r="HF1186" s="885"/>
      <c r="HG1186" s="885"/>
      <c r="HH1186" s="885"/>
      <c r="HI1186" s="885"/>
      <c r="HJ1186" s="885"/>
      <c r="HK1186" s="885"/>
      <c r="HL1186" s="885"/>
      <c r="HM1186" s="885"/>
      <c r="HN1186" s="885"/>
      <c r="HO1186" s="885"/>
      <c r="HP1186" s="885"/>
      <c r="HQ1186" s="885"/>
      <c r="HR1186" s="885"/>
      <c r="HS1186" s="885"/>
      <c r="HT1186" s="885"/>
      <c r="HU1186" s="885"/>
      <c r="HV1186" s="885"/>
      <c r="HW1186" s="885"/>
      <c r="HX1186" s="885"/>
      <c r="HY1186" s="885"/>
      <c r="HZ1186" s="885"/>
      <c r="IA1186" s="885"/>
      <c r="IB1186" s="885"/>
      <c r="IC1186" s="885"/>
      <c r="ID1186" s="885"/>
      <c r="IE1186" s="885"/>
      <c r="IF1186" s="885"/>
      <c r="IG1186" s="885"/>
      <c r="IH1186" s="885"/>
      <c r="II1186" s="885"/>
      <c r="IJ1186" s="885"/>
      <c r="IK1186" s="885"/>
      <c r="IL1186" s="885"/>
      <c r="IM1186" s="885"/>
      <c r="IN1186" s="885"/>
      <c r="IO1186" s="885"/>
      <c r="IP1186" s="885"/>
      <c r="IQ1186" s="885"/>
      <c r="IR1186" s="885"/>
      <c r="IS1186" s="885"/>
      <c r="IT1186" s="885"/>
      <c r="IU1186" s="885"/>
      <c r="IV1186" s="885"/>
      <c r="IW1186" s="885"/>
      <c r="IX1186" s="885"/>
    </row>
    <row r="1187" spans="1:258" x14ac:dyDescent="0.25">
      <c r="A1187" s="125">
        <f t="shared" si="132"/>
        <v>1147</v>
      </c>
      <c r="B1187" s="954"/>
      <c r="C1187" s="842" t="s">
        <v>11532</v>
      </c>
      <c r="D1187" s="924">
        <v>0</v>
      </c>
      <c r="E1187" s="924">
        <f t="shared" si="131"/>
        <v>0</v>
      </c>
      <c r="F1187" s="129"/>
      <c r="H1187" s="954"/>
      <c r="I1187" s="954"/>
      <c r="J1187" s="954"/>
      <c r="K1187" s="954"/>
      <c r="L1187" s="954"/>
      <c r="M1187" s="954"/>
      <c r="N1187" s="954"/>
      <c r="O1187" s="954"/>
      <c r="P1187" s="954"/>
      <c r="Q1187" s="954"/>
      <c r="R1187" s="954"/>
      <c r="S1187" s="954"/>
      <c r="T1187" s="954"/>
      <c r="U1187" s="954"/>
      <c r="V1187" s="954"/>
      <c r="W1187" s="954"/>
      <c r="X1187" s="954"/>
      <c r="Y1187" s="954"/>
      <c r="Z1187" s="954"/>
      <c r="AA1187" s="954"/>
      <c r="AB1187" s="954"/>
      <c r="AC1187" s="954"/>
      <c r="AD1187" s="954"/>
      <c r="AE1187" s="954"/>
      <c r="AF1187" s="954"/>
      <c r="AG1187" s="954"/>
      <c r="AH1187" s="954"/>
      <c r="AI1187" s="954"/>
      <c r="AJ1187" s="954"/>
      <c r="AK1187" s="954"/>
      <c r="AL1187" s="954"/>
      <c r="AM1187" s="954"/>
      <c r="AN1187" s="954"/>
      <c r="AO1187" s="954"/>
      <c r="AP1187" s="954"/>
      <c r="AQ1187" s="954"/>
      <c r="AR1187" s="954"/>
      <c r="AS1187" s="954"/>
      <c r="AT1187" s="954"/>
      <c r="AU1187" s="954"/>
      <c r="AV1187" s="954"/>
      <c r="AW1187" s="954"/>
      <c r="AX1187" s="954"/>
      <c r="AY1187" s="954"/>
      <c r="AZ1187" s="954"/>
      <c r="BA1187" s="954"/>
      <c r="BB1187" s="954"/>
      <c r="BC1187" s="954"/>
      <c r="BD1187" s="954"/>
      <c r="BE1187" s="954"/>
      <c r="BF1187" s="954"/>
      <c r="BG1187" s="954"/>
      <c r="BH1187" s="954"/>
      <c r="BI1187" s="954"/>
      <c r="BJ1187" s="954"/>
      <c r="BK1187" s="954"/>
      <c r="BL1187" s="954"/>
      <c r="BM1187" s="954"/>
      <c r="BN1187" s="954"/>
      <c r="BO1187" s="954"/>
      <c r="BP1187" s="954"/>
      <c r="BQ1187" s="954"/>
      <c r="BR1187" s="954"/>
      <c r="BS1187" s="954"/>
      <c r="BT1187" s="954"/>
      <c r="BU1187" s="954"/>
      <c r="BV1187" s="954"/>
      <c r="BW1187" s="954"/>
      <c r="BX1187" s="954"/>
      <c r="BY1187" s="954"/>
      <c r="BZ1187" s="954"/>
      <c r="CA1187" s="954"/>
      <c r="CB1187" s="954"/>
      <c r="CC1187" s="954"/>
      <c r="CD1187" s="954"/>
      <c r="CE1187" s="954"/>
      <c r="CF1187" s="954"/>
      <c r="CG1187" s="954"/>
      <c r="CH1187" s="954"/>
      <c r="CI1187" s="954"/>
      <c r="CJ1187" s="954"/>
      <c r="CK1187" s="954"/>
      <c r="CL1187" s="954"/>
      <c r="CM1187" s="954"/>
      <c r="CN1187" s="954"/>
      <c r="CO1187" s="954"/>
      <c r="CP1187" s="954"/>
      <c r="CQ1187" s="954"/>
      <c r="CR1187" s="954"/>
      <c r="CS1187" s="954"/>
      <c r="CT1187" s="954"/>
      <c r="CU1187" s="954"/>
      <c r="CV1187" s="954"/>
      <c r="CW1187" s="954"/>
      <c r="CX1187" s="954"/>
      <c r="CY1187" s="954"/>
      <c r="CZ1187" s="954"/>
      <c r="DA1187" s="954"/>
      <c r="DB1187" s="954"/>
      <c r="DC1187" s="954"/>
      <c r="DD1187" s="954"/>
      <c r="DE1187" s="954"/>
      <c r="DF1187" s="954"/>
      <c r="DG1187" s="954"/>
      <c r="DH1187" s="954"/>
      <c r="DI1187" s="954"/>
      <c r="DJ1187" s="954"/>
      <c r="DK1187" s="954"/>
      <c r="DL1187" s="954"/>
      <c r="DM1187" s="954"/>
      <c r="DN1187" s="954"/>
      <c r="DO1187" s="954"/>
      <c r="DP1187" s="954"/>
      <c r="DQ1187" s="954"/>
      <c r="DR1187" s="954"/>
      <c r="DS1187" s="954"/>
      <c r="DT1187" s="954"/>
      <c r="DU1187" s="954"/>
      <c r="DV1187" s="954"/>
      <c r="DW1187" s="954"/>
      <c r="DX1187" s="954"/>
      <c r="DY1187" s="954"/>
      <c r="DZ1187" s="954"/>
      <c r="EA1187" s="954"/>
      <c r="EB1187" s="954"/>
      <c r="EC1187" s="954"/>
      <c r="ED1187" s="954"/>
      <c r="EE1187" s="954"/>
      <c r="EF1187" s="954"/>
      <c r="EG1187" s="954"/>
      <c r="EH1187" s="954"/>
      <c r="EI1187" s="954"/>
      <c r="EJ1187" s="954"/>
      <c r="EK1187" s="954"/>
      <c r="EL1187" s="954"/>
      <c r="EM1187" s="954"/>
      <c r="EN1187" s="954"/>
      <c r="EO1187" s="954"/>
      <c r="EP1187" s="954"/>
      <c r="EQ1187" s="954"/>
      <c r="ER1187" s="954"/>
      <c r="ES1187" s="954"/>
      <c r="ET1187" s="954"/>
      <c r="EU1187" s="954"/>
      <c r="EV1187" s="954"/>
      <c r="EW1187" s="954"/>
      <c r="EX1187" s="954"/>
      <c r="EY1187" s="954"/>
      <c r="EZ1187" s="954"/>
      <c r="FA1187" s="954"/>
      <c r="FB1187" s="954"/>
      <c r="FC1187" s="954"/>
      <c r="FD1187" s="954"/>
      <c r="FE1187" s="954"/>
      <c r="FF1187" s="954"/>
      <c r="FG1187" s="954"/>
      <c r="FH1187" s="954"/>
      <c r="FI1187" s="954"/>
      <c r="FJ1187" s="954"/>
      <c r="FK1187" s="954"/>
      <c r="FL1187" s="954"/>
      <c r="FM1187" s="954"/>
      <c r="FN1187" s="954"/>
      <c r="FO1187" s="954"/>
      <c r="FP1187" s="954"/>
      <c r="FQ1187" s="954"/>
      <c r="FR1187" s="954"/>
      <c r="FS1187" s="954"/>
      <c r="FT1187" s="954"/>
      <c r="FU1187" s="954"/>
      <c r="FV1187" s="954"/>
      <c r="FW1187" s="954"/>
      <c r="FX1187" s="954"/>
      <c r="FY1187" s="954"/>
      <c r="FZ1187" s="954"/>
      <c r="GA1187" s="954"/>
      <c r="GB1187" s="954"/>
      <c r="GC1187" s="954"/>
      <c r="GD1187" s="954"/>
      <c r="GE1187" s="954"/>
      <c r="GF1187" s="954"/>
      <c r="GG1187" s="954"/>
      <c r="GH1187" s="954"/>
      <c r="GI1187" s="954"/>
      <c r="GJ1187" s="954"/>
      <c r="GK1187" s="954"/>
      <c r="GL1187" s="954"/>
      <c r="GM1187" s="954"/>
      <c r="GN1187" s="954"/>
      <c r="GO1187" s="954"/>
      <c r="GP1187" s="954"/>
      <c r="GQ1187" s="954"/>
      <c r="GR1187" s="954"/>
      <c r="GS1187" s="954"/>
      <c r="GT1187" s="954"/>
      <c r="GU1187" s="954"/>
      <c r="GV1187" s="954"/>
      <c r="GW1187" s="954"/>
      <c r="GX1187" s="954"/>
      <c r="GY1187" s="954"/>
      <c r="GZ1187" s="954"/>
      <c r="HA1187" s="954"/>
      <c r="HB1187" s="954"/>
      <c r="HC1187" s="954"/>
      <c r="HD1187" s="954"/>
      <c r="HE1187" s="954"/>
      <c r="HF1187" s="954"/>
      <c r="HG1187" s="954"/>
      <c r="HH1187" s="954"/>
      <c r="HI1187" s="954"/>
      <c r="HJ1187" s="954"/>
      <c r="HK1187" s="954"/>
      <c r="HL1187" s="954"/>
      <c r="HM1187" s="954"/>
      <c r="HN1187" s="954"/>
      <c r="HO1187" s="954"/>
      <c r="HP1187" s="954"/>
      <c r="HQ1187" s="954"/>
      <c r="HR1187" s="954"/>
      <c r="HS1187" s="954"/>
      <c r="HT1187" s="954"/>
      <c r="HU1187" s="954"/>
      <c r="HV1187" s="954"/>
      <c r="HW1187" s="954"/>
      <c r="HX1187" s="954"/>
      <c r="HY1187" s="954"/>
      <c r="HZ1187" s="954"/>
      <c r="IA1187" s="954"/>
      <c r="IB1187" s="954"/>
      <c r="IC1187" s="954"/>
      <c r="ID1187" s="954"/>
      <c r="IE1187" s="954"/>
      <c r="IF1187" s="954"/>
      <c r="IG1187" s="954"/>
      <c r="IH1187" s="954"/>
      <c r="II1187" s="954"/>
      <c r="IJ1187" s="954"/>
      <c r="IK1187" s="954"/>
      <c r="IL1187" s="954"/>
      <c r="IM1187" s="954"/>
      <c r="IN1187" s="954"/>
      <c r="IO1187" s="954"/>
      <c r="IP1187" s="954"/>
      <c r="IQ1187" s="954"/>
      <c r="IR1187" s="954"/>
      <c r="IS1187" s="954"/>
      <c r="IT1187" s="954"/>
      <c r="IU1187" s="954"/>
      <c r="IV1187" s="954"/>
      <c r="IW1187" s="954"/>
      <c r="IX1187" s="954"/>
    </row>
    <row r="1188" spans="1:258" x14ac:dyDescent="0.25">
      <c r="A1188" s="125">
        <f t="shared" si="132"/>
        <v>1148</v>
      </c>
      <c r="B1188" s="885"/>
      <c r="C1188" s="842" t="s">
        <v>10723</v>
      </c>
      <c r="D1188" s="924">
        <v>0</v>
      </c>
      <c r="E1188" s="924">
        <f t="shared" si="131"/>
        <v>0</v>
      </c>
      <c r="F1188" s="129">
        <v>500</v>
      </c>
      <c r="G1188" s="122" t="s">
        <v>1963</v>
      </c>
      <c r="H1188" s="885"/>
      <c r="I1188" s="885"/>
      <c r="J1188" s="885"/>
      <c r="K1188" s="885"/>
      <c r="L1188" s="885"/>
      <c r="M1188" s="885"/>
      <c r="N1188" s="885"/>
      <c r="O1188" s="885"/>
      <c r="P1188" s="885"/>
      <c r="Q1188" s="885"/>
      <c r="R1188" s="885"/>
      <c r="S1188" s="885"/>
      <c r="T1188" s="885"/>
      <c r="U1188" s="885"/>
      <c r="V1188" s="885"/>
      <c r="W1188" s="885"/>
      <c r="X1188" s="885"/>
      <c r="Y1188" s="885"/>
      <c r="Z1188" s="885"/>
      <c r="AA1188" s="885"/>
      <c r="AB1188" s="885"/>
      <c r="AC1188" s="885"/>
      <c r="AD1188" s="885"/>
      <c r="AE1188" s="885"/>
      <c r="AF1188" s="885"/>
      <c r="AG1188" s="885"/>
      <c r="AH1188" s="885"/>
      <c r="AI1188" s="885"/>
      <c r="AJ1188" s="885"/>
      <c r="AK1188" s="885"/>
      <c r="AL1188" s="885"/>
      <c r="AM1188" s="885"/>
      <c r="AN1188" s="885"/>
      <c r="AO1188" s="885"/>
      <c r="AP1188" s="885"/>
      <c r="AQ1188" s="885"/>
      <c r="AR1188" s="885"/>
      <c r="AS1188" s="885"/>
      <c r="AT1188" s="885"/>
      <c r="AU1188" s="885"/>
      <c r="AV1188" s="885"/>
      <c r="AW1188" s="885"/>
      <c r="AX1188" s="885"/>
      <c r="AY1188" s="885"/>
      <c r="AZ1188" s="885"/>
      <c r="BA1188" s="885"/>
      <c r="BB1188" s="885"/>
      <c r="BC1188" s="885"/>
      <c r="BD1188" s="885"/>
      <c r="BE1188" s="885"/>
      <c r="BF1188" s="885"/>
      <c r="BG1188" s="885"/>
      <c r="BH1188" s="885"/>
      <c r="BI1188" s="885"/>
      <c r="BJ1188" s="885"/>
      <c r="BK1188" s="885"/>
      <c r="BL1188" s="885"/>
      <c r="BM1188" s="885"/>
      <c r="BN1188" s="885"/>
      <c r="BO1188" s="885"/>
      <c r="BP1188" s="885"/>
      <c r="BQ1188" s="885"/>
      <c r="BR1188" s="885"/>
      <c r="BS1188" s="885"/>
      <c r="BT1188" s="885"/>
      <c r="BU1188" s="885"/>
      <c r="BV1188" s="885"/>
      <c r="BW1188" s="885"/>
      <c r="BX1188" s="885"/>
      <c r="BY1188" s="885"/>
      <c r="BZ1188" s="885"/>
      <c r="CA1188" s="885"/>
      <c r="CB1188" s="885"/>
      <c r="CC1188" s="885"/>
      <c r="CD1188" s="885"/>
      <c r="CE1188" s="885"/>
      <c r="CF1188" s="885"/>
      <c r="CG1188" s="885"/>
      <c r="CH1188" s="885"/>
      <c r="CI1188" s="885"/>
      <c r="CJ1188" s="885"/>
      <c r="CK1188" s="885"/>
      <c r="CL1188" s="885"/>
      <c r="CM1188" s="885"/>
      <c r="CN1188" s="885"/>
      <c r="CO1188" s="885"/>
      <c r="CP1188" s="885"/>
      <c r="CQ1188" s="885"/>
      <c r="CR1188" s="885"/>
      <c r="CS1188" s="885"/>
      <c r="CT1188" s="885"/>
      <c r="CU1188" s="885"/>
      <c r="CV1188" s="885"/>
      <c r="CW1188" s="885"/>
      <c r="CX1188" s="885"/>
      <c r="CY1188" s="885"/>
      <c r="CZ1188" s="885"/>
      <c r="DA1188" s="885"/>
      <c r="DB1188" s="885"/>
      <c r="DC1188" s="885"/>
      <c r="DD1188" s="885"/>
      <c r="DE1188" s="885"/>
      <c r="DF1188" s="885"/>
      <c r="DG1188" s="885"/>
      <c r="DH1188" s="885"/>
      <c r="DI1188" s="885"/>
      <c r="DJ1188" s="885"/>
      <c r="DK1188" s="885"/>
      <c r="DL1188" s="885"/>
      <c r="DM1188" s="885"/>
      <c r="DN1188" s="885"/>
      <c r="DO1188" s="885"/>
      <c r="DP1188" s="885"/>
      <c r="DQ1188" s="885"/>
      <c r="DR1188" s="885"/>
      <c r="DS1188" s="885"/>
      <c r="DT1188" s="885"/>
      <c r="DU1188" s="885"/>
      <c r="DV1188" s="885"/>
      <c r="DW1188" s="885"/>
      <c r="DX1188" s="885"/>
      <c r="DY1188" s="885"/>
      <c r="DZ1188" s="885"/>
      <c r="EA1188" s="885"/>
      <c r="EB1188" s="885"/>
      <c r="EC1188" s="885"/>
      <c r="ED1188" s="885"/>
      <c r="EE1188" s="885"/>
      <c r="EF1188" s="885"/>
      <c r="EG1188" s="885"/>
      <c r="EH1188" s="885"/>
      <c r="EI1188" s="885"/>
      <c r="EJ1188" s="885"/>
      <c r="EK1188" s="885"/>
      <c r="EL1188" s="885"/>
      <c r="EM1188" s="885"/>
      <c r="EN1188" s="885"/>
      <c r="EO1188" s="885"/>
      <c r="EP1188" s="885"/>
      <c r="EQ1188" s="885"/>
      <c r="ER1188" s="885"/>
      <c r="ES1188" s="885"/>
      <c r="ET1188" s="885"/>
      <c r="EU1188" s="885"/>
      <c r="EV1188" s="885"/>
      <c r="EW1188" s="885"/>
      <c r="EX1188" s="885"/>
      <c r="EY1188" s="885"/>
      <c r="EZ1188" s="885"/>
      <c r="FA1188" s="885"/>
      <c r="FB1188" s="885"/>
      <c r="FC1188" s="885"/>
      <c r="FD1188" s="885"/>
      <c r="FE1188" s="885"/>
      <c r="FF1188" s="885"/>
      <c r="FG1188" s="885"/>
      <c r="FH1188" s="885"/>
      <c r="FI1188" s="885"/>
      <c r="FJ1188" s="885"/>
      <c r="FK1188" s="885"/>
      <c r="FL1188" s="885"/>
      <c r="FM1188" s="885"/>
      <c r="FN1188" s="885"/>
      <c r="FO1188" s="885"/>
      <c r="FP1188" s="885"/>
      <c r="FQ1188" s="885"/>
      <c r="FR1188" s="885"/>
      <c r="FS1188" s="885"/>
      <c r="FT1188" s="885"/>
      <c r="FU1188" s="885"/>
      <c r="FV1188" s="885"/>
      <c r="FW1188" s="885"/>
      <c r="FX1188" s="885"/>
      <c r="FY1188" s="885"/>
      <c r="FZ1188" s="885"/>
      <c r="GA1188" s="885"/>
      <c r="GB1188" s="885"/>
      <c r="GC1188" s="885"/>
      <c r="GD1188" s="885"/>
      <c r="GE1188" s="885"/>
      <c r="GF1188" s="885"/>
      <c r="GG1188" s="885"/>
      <c r="GH1188" s="885"/>
      <c r="GI1188" s="885"/>
      <c r="GJ1188" s="885"/>
      <c r="GK1188" s="885"/>
      <c r="GL1188" s="885"/>
      <c r="GM1188" s="885"/>
      <c r="GN1188" s="885"/>
      <c r="GO1188" s="885"/>
      <c r="GP1188" s="885"/>
      <c r="GQ1188" s="885"/>
      <c r="GR1188" s="885"/>
      <c r="GS1188" s="885"/>
      <c r="GT1188" s="885"/>
      <c r="GU1188" s="885"/>
      <c r="GV1188" s="885"/>
      <c r="GW1188" s="885"/>
      <c r="GX1188" s="885"/>
      <c r="GY1188" s="885"/>
      <c r="GZ1188" s="885"/>
      <c r="HA1188" s="885"/>
      <c r="HB1188" s="885"/>
      <c r="HC1188" s="885"/>
      <c r="HD1188" s="885"/>
      <c r="HE1188" s="885"/>
      <c r="HF1188" s="885"/>
      <c r="HG1188" s="885"/>
      <c r="HH1188" s="885"/>
      <c r="HI1188" s="885"/>
      <c r="HJ1188" s="885"/>
      <c r="HK1188" s="885"/>
      <c r="HL1188" s="885"/>
      <c r="HM1188" s="885"/>
      <c r="HN1188" s="885"/>
      <c r="HO1188" s="885"/>
      <c r="HP1188" s="885"/>
      <c r="HQ1188" s="885"/>
      <c r="HR1188" s="885"/>
      <c r="HS1188" s="885"/>
      <c r="HT1188" s="885"/>
      <c r="HU1188" s="885"/>
      <c r="HV1188" s="885"/>
      <c r="HW1188" s="885"/>
      <c r="HX1188" s="885"/>
      <c r="HY1188" s="885"/>
      <c r="HZ1188" s="885"/>
      <c r="IA1188" s="885"/>
      <c r="IB1188" s="885"/>
      <c r="IC1188" s="885"/>
      <c r="ID1188" s="885"/>
      <c r="IE1188" s="885"/>
      <c r="IF1188" s="885"/>
      <c r="IG1188" s="885"/>
      <c r="IH1188" s="885"/>
      <c r="II1188" s="885"/>
      <c r="IJ1188" s="885"/>
      <c r="IK1188" s="885"/>
      <c r="IL1188" s="885"/>
      <c r="IM1188" s="885"/>
      <c r="IN1188" s="885"/>
      <c r="IO1188" s="885"/>
      <c r="IP1188" s="885"/>
      <c r="IQ1188" s="885"/>
      <c r="IR1188" s="885"/>
      <c r="IS1188" s="885"/>
      <c r="IT1188" s="885"/>
      <c r="IU1188" s="885"/>
      <c r="IV1188" s="885"/>
      <c r="IW1188" s="885"/>
      <c r="IX1188" s="885"/>
    </row>
    <row r="1189" spans="1:258" x14ac:dyDescent="0.25">
      <c r="A1189" s="125">
        <f t="shared" si="132"/>
        <v>1149</v>
      </c>
      <c r="B1189" s="885"/>
      <c r="C1189" s="842" t="s">
        <v>10724</v>
      </c>
      <c r="D1189" s="924">
        <v>0</v>
      </c>
      <c r="E1189" s="924">
        <f t="shared" si="131"/>
        <v>0</v>
      </c>
      <c r="F1189" s="129">
        <v>1000</v>
      </c>
      <c r="G1189" s="122" t="s">
        <v>1963</v>
      </c>
      <c r="H1189" s="885"/>
      <c r="I1189" s="885"/>
      <c r="J1189" s="885"/>
      <c r="K1189" s="885"/>
      <c r="L1189" s="885"/>
      <c r="M1189" s="885"/>
      <c r="N1189" s="885"/>
      <c r="O1189" s="885"/>
      <c r="P1189" s="885"/>
      <c r="Q1189" s="885"/>
      <c r="R1189" s="885"/>
      <c r="S1189" s="885"/>
      <c r="T1189" s="885"/>
      <c r="U1189" s="885"/>
      <c r="V1189" s="885"/>
      <c r="W1189" s="885"/>
      <c r="X1189" s="885"/>
      <c r="Y1189" s="885"/>
      <c r="Z1189" s="885"/>
      <c r="AA1189" s="885"/>
      <c r="AB1189" s="885"/>
      <c r="AC1189" s="885"/>
      <c r="AD1189" s="885"/>
      <c r="AE1189" s="885"/>
      <c r="AF1189" s="885"/>
      <c r="AG1189" s="885"/>
      <c r="AH1189" s="885"/>
      <c r="AI1189" s="885"/>
      <c r="AJ1189" s="885"/>
      <c r="AK1189" s="885"/>
      <c r="AL1189" s="885"/>
      <c r="AM1189" s="885"/>
      <c r="AN1189" s="885"/>
      <c r="AO1189" s="885"/>
      <c r="AP1189" s="885"/>
      <c r="AQ1189" s="885"/>
      <c r="AR1189" s="885"/>
      <c r="AS1189" s="885"/>
      <c r="AT1189" s="885"/>
      <c r="AU1189" s="885"/>
      <c r="AV1189" s="885"/>
      <c r="AW1189" s="885"/>
      <c r="AX1189" s="885"/>
      <c r="AY1189" s="885"/>
      <c r="AZ1189" s="885"/>
      <c r="BA1189" s="885"/>
      <c r="BB1189" s="885"/>
      <c r="BC1189" s="885"/>
      <c r="BD1189" s="885"/>
      <c r="BE1189" s="885"/>
      <c r="BF1189" s="885"/>
      <c r="BG1189" s="885"/>
      <c r="BH1189" s="885"/>
      <c r="BI1189" s="885"/>
      <c r="BJ1189" s="885"/>
      <c r="BK1189" s="885"/>
      <c r="BL1189" s="885"/>
      <c r="BM1189" s="885"/>
      <c r="BN1189" s="885"/>
      <c r="BO1189" s="885"/>
      <c r="BP1189" s="885"/>
      <c r="BQ1189" s="885"/>
      <c r="BR1189" s="885"/>
      <c r="BS1189" s="885"/>
      <c r="BT1189" s="885"/>
      <c r="BU1189" s="885"/>
      <c r="BV1189" s="885"/>
      <c r="BW1189" s="885"/>
      <c r="BX1189" s="885"/>
      <c r="BY1189" s="885"/>
      <c r="BZ1189" s="885"/>
      <c r="CA1189" s="885"/>
      <c r="CB1189" s="885"/>
      <c r="CC1189" s="885"/>
      <c r="CD1189" s="885"/>
      <c r="CE1189" s="885"/>
      <c r="CF1189" s="885"/>
      <c r="CG1189" s="885"/>
      <c r="CH1189" s="885"/>
      <c r="CI1189" s="885"/>
      <c r="CJ1189" s="885"/>
      <c r="CK1189" s="885"/>
      <c r="CL1189" s="885"/>
      <c r="CM1189" s="885"/>
      <c r="CN1189" s="885"/>
      <c r="CO1189" s="885"/>
      <c r="CP1189" s="885"/>
      <c r="CQ1189" s="885"/>
      <c r="CR1189" s="885"/>
      <c r="CS1189" s="885"/>
      <c r="CT1189" s="885"/>
      <c r="CU1189" s="885"/>
      <c r="CV1189" s="885"/>
      <c r="CW1189" s="885"/>
      <c r="CX1189" s="885"/>
      <c r="CY1189" s="885"/>
      <c r="CZ1189" s="885"/>
      <c r="DA1189" s="885"/>
      <c r="DB1189" s="885"/>
      <c r="DC1189" s="885"/>
      <c r="DD1189" s="885"/>
      <c r="DE1189" s="885"/>
      <c r="DF1189" s="885"/>
      <c r="DG1189" s="885"/>
      <c r="DH1189" s="885"/>
      <c r="DI1189" s="885"/>
      <c r="DJ1189" s="885"/>
      <c r="DK1189" s="885"/>
      <c r="DL1189" s="885"/>
      <c r="DM1189" s="885"/>
      <c r="DN1189" s="885"/>
      <c r="DO1189" s="885"/>
      <c r="DP1189" s="885"/>
      <c r="DQ1189" s="885"/>
      <c r="DR1189" s="885"/>
      <c r="DS1189" s="885"/>
      <c r="DT1189" s="885"/>
      <c r="DU1189" s="885"/>
      <c r="DV1189" s="885"/>
      <c r="DW1189" s="885"/>
      <c r="DX1189" s="885"/>
      <c r="DY1189" s="885"/>
      <c r="DZ1189" s="885"/>
      <c r="EA1189" s="885"/>
      <c r="EB1189" s="885"/>
      <c r="EC1189" s="885"/>
      <c r="ED1189" s="885"/>
      <c r="EE1189" s="885"/>
      <c r="EF1189" s="885"/>
      <c r="EG1189" s="885"/>
      <c r="EH1189" s="885"/>
      <c r="EI1189" s="885"/>
      <c r="EJ1189" s="885"/>
      <c r="EK1189" s="885"/>
      <c r="EL1189" s="885"/>
      <c r="EM1189" s="885"/>
      <c r="EN1189" s="885"/>
      <c r="EO1189" s="885"/>
      <c r="EP1189" s="885"/>
      <c r="EQ1189" s="885"/>
      <c r="ER1189" s="885"/>
      <c r="ES1189" s="885"/>
      <c r="ET1189" s="885"/>
      <c r="EU1189" s="885"/>
      <c r="EV1189" s="885"/>
      <c r="EW1189" s="885"/>
      <c r="EX1189" s="885"/>
      <c r="EY1189" s="885"/>
      <c r="EZ1189" s="885"/>
      <c r="FA1189" s="885"/>
      <c r="FB1189" s="885"/>
      <c r="FC1189" s="885"/>
      <c r="FD1189" s="885"/>
      <c r="FE1189" s="885"/>
      <c r="FF1189" s="885"/>
      <c r="FG1189" s="885"/>
      <c r="FH1189" s="885"/>
      <c r="FI1189" s="885"/>
      <c r="FJ1189" s="885"/>
      <c r="FK1189" s="885"/>
      <c r="FL1189" s="885"/>
      <c r="FM1189" s="885"/>
      <c r="FN1189" s="885"/>
      <c r="FO1189" s="885"/>
      <c r="FP1189" s="885"/>
      <c r="FQ1189" s="885"/>
      <c r="FR1189" s="885"/>
      <c r="FS1189" s="885"/>
      <c r="FT1189" s="885"/>
      <c r="FU1189" s="885"/>
      <c r="FV1189" s="885"/>
      <c r="FW1189" s="885"/>
      <c r="FX1189" s="885"/>
      <c r="FY1189" s="885"/>
      <c r="FZ1189" s="885"/>
      <c r="GA1189" s="885"/>
      <c r="GB1189" s="885"/>
      <c r="GC1189" s="885"/>
      <c r="GD1189" s="885"/>
      <c r="GE1189" s="885"/>
      <c r="GF1189" s="885"/>
      <c r="GG1189" s="885"/>
      <c r="GH1189" s="885"/>
      <c r="GI1189" s="885"/>
      <c r="GJ1189" s="885"/>
      <c r="GK1189" s="885"/>
      <c r="GL1189" s="885"/>
      <c r="GM1189" s="885"/>
      <c r="GN1189" s="885"/>
      <c r="GO1189" s="885"/>
      <c r="GP1189" s="885"/>
      <c r="GQ1189" s="885"/>
      <c r="GR1189" s="885"/>
      <c r="GS1189" s="885"/>
      <c r="GT1189" s="885"/>
      <c r="GU1189" s="885"/>
      <c r="GV1189" s="885"/>
      <c r="GW1189" s="885"/>
      <c r="GX1189" s="885"/>
      <c r="GY1189" s="885"/>
      <c r="GZ1189" s="885"/>
      <c r="HA1189" s="885"/>
      <c r="HB1189" s="885"/>
      <c r="HC1189" s="885"/>
      <c r="HD1189" s="885"/>
      <c r="HE1189" s="885"/>
      <c r="HF1189" s="885"/>
      <c r="HG1189" s="885"/>
      <c r="HH1189" s="885"/>
      <c r="HI1189" s="885"/>
      <c r="HJ1189" s="885"/>
      <c r="HK1189" s="885"/>
      <c r="HL1189" s="885"/>
      <c r="HM1189" s="885"/>
      <c r="HN1189" s="885"/>
      <c r="HO1189" s="885"/>
      <c r="HP1189" s="885"/>
      <c r="HQ1189" s="885"/>
      <c r="HR1189" s="885"/>
      <c r="HS1189" s="885"/>
      <c r="HT1189" s="885"/>
      <c r="HU1189" s="885"/>
      <c r="HV1189" s="885"/>
      <c r="HW1189" s="885"/>
      <c r="HX1189" s="885"/>
      <c r="HY1189" s="885"/>
      <c r="HZ1189" s="885"/>
      <c r="IA1189" s="885"/>
      <c r="IB1189" s="885"/>
      <c r="IC1189" s="885"/>
      <c r="ID1189" s="885"/>
      <c r="IE1189" s="885"/>
      <c r="IF1189" s="885"/>
      <c r="IG1189" s="885"/>
      <c r="IH1189" s="885"/>
      <c r="II1189" s="885"/>
      <c r="IJ1189" s="885"/>
      <c r="IK1189" s="885"/>
      <c r="IL1189" s="885"/>
      <c r="IM1189" s="885"/>
      <c r="IN1189" s="885"/>
      <c r="IO1189" s="885"/>
      <c r="IP1189" s="885"/>
      <c r="IQ1189" s="885"/>
      <c r="IR1189" s="885"/>
      <c r="IS1189" s="885"/>
      <c r="IT1189" s="885"/>
      <c r="IU1189" s="885"/>
      <c r="IV1189" s="885"/>
      <c r="IW1189" s="885"/>
      <c r="IX1189" s="885"/>
    </row>
    <row r="1190" spans="1:258" x14ac:dyDescent="0.25">
      <c r="A1190" s="125">
        <f t="shared" si="132"/>
        <v>1150</v>
      </c>
      <c r="B1190" s="885"/>
      <c r="C1190" s="232" t="s">
        <v>10725</v>
      </c>
      <c r="D1190" s="915"/>
      <c r="E1190" s="915"/>
      <c r="F1190" s="129"/>
      <c r="H1190" s="885"/>
      <c r="I1190" s="885"/>
      <c r="J1190" s="885"/>
      <c r="K1190" s="885"/>
      <c r="L1190" s="885"/>
      <c r="M1190" s="885"/>
      <c r="N1190" s="885"/>
      <c r="O1190" s="885"/>
      <c r="P1190" s="885"/>
      <c r="Q1190" s="885"/>
      <c r="R1190" s="885"/>
      <c r="S1190" s="885"/>
      <c r="T1190" s="885"/>
      <c r="U1190" s="885"/>
      <c r="V1190" s="885"/>
      <c r="W1190" s="885"/>
      <c r="X1190" s="885"/>
      <c r="Y1190" s="885"/>
      <c r="Z1190" s="885"/>
      <c r="AA1190" s="885"/>
      <c r="AB1190" s="885"/>
      <c r="AC1190" s="885"/>
      <c r="AD1190" s="885"/>
      <c r="AE1190" s="885"/>
      <c r="AF1190" s="885"/>
      <c r="AG1190" s="885"/>
      <c r="AH1190" s="885"/>
      <c r="AI1190" s="885"/>
      <c r="AJ1190" s="885"/>
      <c r="AK1190" s="885"/>
      <c r="AL1190" s="885"/>
      <c r="AM1190" s="885"/>
      <c r="AN1190" s="885"/>
      <c r="AO1190" s="885"/>
      <c r="AP1190" s="885"/>
      <c r="AQ1190" s="885"/>
      <c r="AR1190" s="885"/>
      <c r="AS1190" s="885"/>
      <c r="AT1190" s="885"/>
      <c r="AU1190" s="885"/>
      <c r="AV1190" s="885"/>
      <c r="AW1190" s="885"/>
      <c r="AX1190" s="885"/>
      <c r="AY1190" s="885"/>
      <c r="AZ1190" s="885"/>
      <c r="BA1190" s="885"/>
      <c r="BB1190" s="885"/>
      <c r="BC1190" s="885"/>
      <c r="BD1190" s="885"/>
      <c r="BE1190" s="885"/>
      <c r="BF1190" s="885"/>
      <c r="BG1190" s="885"/>
      <c r="BH1190" s="885"/>
      <c r="BI1190" s="885"/>
      <c r="BJ1190" s="885"/>
      <c r="BK1190" s="885"/>
      <c r="BL1190" s="885"/>
      <c r="BM1190" s="885"/>
      <c r="BN1190" s="885"/>
      <c r="BO1190" s="885"/>
      <c r="BP1190" s="885"/>
      <c r="BQ1190" s="885"/>
      <c r="BR1190" s="885"/>
      <c r="BS1190" s="885"/>
      <c r="BT1190" s="885"/>
      <c r="BU1190" s="885"/>
      <c r="BV1190" s="885"/>
      <c r="BW1190" s="885"/>
      <c r="BX1190" s="885"/>
      <c r="BY1190" s="885"/>
      <c r="BZ1190" s="885"/>
      <c r="CA1190" s="885"/>
      <c r="CB1190" s="885"/>
      <c r="CC1190" s="885"/>
      <c r="CD1190" s="885"/>
      <c r="CE1190" s="885"/>
      <c r="CF1190" s="885"/>
      <c r="CG1190" s="885"/>
      <c r="CH1190" s="885"/>
      <c r="CI1190" s="885"/>
      <c r="CJ1190" s="885"/>
      <c r="CK1190" s="885"/>
      <c r="CL1190" s="885"/>
      <c r="CM1190" s="885"/>
      <c r="CN1190" s="885"/>
      <c r="CO1190" s="885"/>
      <c r="CP1190" s="885"/>
      <c r="CQ1190" s="885"/>
      <c r="CR1190" s="885"/>
      <c r="CS1190" s="885"/>
      <c r="CT1190" s="885"/>
      <c r="CU1190" s="885"/>
      <c r="CV1190" s="885"/>
      <c r="CW1190" s="885"/>
      <c r="CX1190" s="885"/>
      <c r="CY1190" s="885"/>
      <c r="CZ1190" s="885"/>
      <c r="DA1190" s="885"/>
      <c r="DB1190" s="885"/>
      <c r="DC1190" s="885"/>
      <c r="DD1190" s="885"/>
      <c r="DE1190" s="885"/>
      <c r="DF1190" s="885"/>
      <c r="DG1190" s="885"/>
      <c r="DH1190" s="885"/>
      <c r="DI1190" s="885"/>
      <c r="DJ1190" s="885"/>
      <c r="DK1190" s="885"/>
      <c r="DL1190" s="885"/>
      <c r="DM1190" s="885"/>
      <c r="DN1190" s="885"/>
      <c r="DO1190" s="885"/>
      <c r="DP1190" s="885"/>
      <c r="DQ1190" s="885"/>
      <c r="DR1190" s="885"/>
      <c r="DS1190" s="885"/>
      <c r="DT1190" s="885"/>
      <c r="DU1190" s="885"/>
      <c r="DV1190" s="885"/>
      <c r="DW1190" s="885"/>
      <c r="DX1190" s="885"/>
      <c r="DY1190" s="885"/>
      <c r="DZ1190" s="885"/>
      <c r="EA1190" s="885"/>
      <c r="EB1190" s="885"/>
      <c r="EC1190" s="885"/>
      <c r="ED1190" s="885"/>
      <c r="EE1190" s="885"/>
      <c r="EF1190" s="885"/>
      <c r="EG1190" s="885"/>
      <c r="EH1190" s="885"/>
      <c r="EI1190" s="885"/>
      <c r="EJ1190" s="885"/>
      <c r="EK1190" s="885"/>
      <c r="EL1190" s="885"/>
      <c r="EM1190" s="885"/>
      <c r="EN1190" s="885"/>
      <c r="EO1190" s="885"/>
      <c r="EP1190" s="885"/>
      <c r="EQ1190" s="885"/>
      <c r="ER1190" s="885"/>
      <c r="ES1190" s="885"/>
      <c r="ET1190" s="885"/>
      <c r="EU1190" s="885"/>
      <c r="EV1190" s="885"/>
      <c r="EW1190" s="885"/>
      <c r="EX1190" s="885"/>
      <c r="EY1190" s="885"/>
      <c r="EZ1190" s="885"/>
      <c r="FA1190" s="885"/>
      <c r="FB1190" s="885"/>
      <c r="FC1190" s="885"/>
      <c r="FD1190" s="885"/>
      <c r="FE1190" s="885"/>
      <c r="FF1190" s="885"/>
      <c r="FG1190" s="885"/>
      <c r="FH1190" s="885"/>
      <c r="FI1190" s="885"/>
      <c r="FJ1190" s="885"/>
      <c r="FK1190" s="885"/>
      <c r="FL1190" s="885"/>
      <c r="FM1190" s="885"/>
      <c r="FN1190" s="885"/>
      <c r="FO1190" s="885"/>
      <c r="FP1190" s="885"/>
      <c r="FQ1190" s="885"/>
      <c r="FR1190" s="885"/>
      <c r="FS1190" s="885"/>
      <c r="FT1190" s="885"/>
      <c r="FU1190" s="885"/>
      <c r="FV1190" s="885"/>
      <c r="FW1190" s="885"/>
      <c r="FX1190" s="885"/>
      <c r="FY1190" s="885"/>
      <c r="FZ1190" s="885"/>
      <c r="GA1190" s="885"/>
      <c r="GB1190" s="885"/>
      <c r="GC1190" s="885"/>
      <c r="GD1190" s="885"/>
      <c r="GE1190" s="885"/>
      <c r="GF1190" s="885"/>
      <c r="GG1190" s="885"/>
      <c r="GH1190" s="885"/>
      <c r="GI1190" s="885"/>
      <c r="GJ1190" s="885"/>
      <c r="GK1190" s="885"/>
      <c r="GL1190" s="885"/>
      <c r="GM1190" s="885"/>
      <c r="GN1190" s="885"/>
      <c r="GO1190" s="885"/>
      <c r="GP1190" s="885"/>
      <c r="GQ1190" s="885"/>
      <c r="GR1190" s="885"/>
      <c r="GS1190" s="885"/>
      <c r="GT1190" s="885"/>
      <c r="GU1190" s="885"/>
      <c r="GV1190" s="885"/>
      <c r="GW1190" s="885"/>
      <c r="GX1190" s="885"/>
      <c r="GY1190" s="885"/>
      <c r="GZ1190" s="885"/>
      <c r="HA1190" s="885"/>
      <c r="HB1190" s="885"/>
      <c r="HC1190" s="885"/>
      <c r="HD1190" s="885"/>
      <c r="HE1190" s="885"/>
      <c r="HF1190" s="885"/>
      <c r="HG1190" s="885"/>
      <c r="HH1190" s="885"/>
      <c r="HI1190" s="885"/>
      <c r="HJ1190" s="885"/>
      <c r="HK1190" s="885"/>
      <c r="HL1190" s="885"/>
      <c r="HM1190" s="885"/>
      <c r="HN1190" s="885"/>
      <c r="HO1190" s="885"/>
      <c r="HP1190" s="885"/>
      <c r="HQ1190" s="885"/>
      <c r="HR1190" s="885"/>
      <c r="HS1190" s="885"/>
      <c r="HT1190" s="885"/>
      <c r="HU1190" s="885"/>
      <c r="HV1190" s="885"/>
      <c r="HW1190" s="885"/>
      <c r="HX1190" s="885"/>
      <c r="HY1190" s="885"/>
      <c r="HZ1190" s="885"/>
      <c r="IA1190" s="885"/>
      <c r="IB1190" s="885"/>
      <c r="IC1190" s="885"/>
      <c r="ID1190" s="885"/>
      <c r="IE1190" s="885"/>
      <c r="IF1190" s="885"/>
      <c r="IG1190" s="885"/>
      <c r="IH1190" s="885"/>
      <c r="II1190" s="885"/>
      <c r="IJ1190" s="885"/>
      <c r="IK1190" s="885"/>
      <c r="IL1190" s="885"/>
      <c r="IM1190" s="885"/>
      <c r="IN1190" s="885"/>
      <c r="IO1190" s="885"/>
      <c r="IP1190" s="885"/>
      <c r="IQ1190" s="885"/>
      <c r="IR1190" s="885"/>
      <c r="IS1190" s="885"/>
      <c r="IT1190" s="885"/>
      <c r="IU1190" s="885"/>
      <c r="IV1190" s="885"/>
      <c r="IW1190" s="885"/>
      <c r="IX1190" s="885"/>
    </row>
    <row r="1191" spans="1:258" x14ac:dyDescent="0.25">
      <c r="A1191" s="125">
        <f t="shared" si="132"/>
        <v>1151</v>
      </c>
      <c r="B1191" s="885"/>
      <c r="C1191" s="842" t="s">
        <v>10727</v>
      </c>
      <c r="D1191" s="924">
        <v>0</v>
      </c>
      <c r="E1191" s="924">
        <f t="shared" si="131"/>
        <v>0</v>
      </c>
      <c r="F1191" s="129">
        <v>0</v>
      </c>
      <c r="G1191" s="122" t="s">
        <v>1963</v>
      </c>
      <c r="H1191" s="885"/>
      <c r="I1191" s="885"/>
      <c r="J1191" s="885"/>
      <c r="K1191" s="885"/>
      <c r="L1191" s="885"/>
      <c r="M1191" s="885"/>
      <c r="N1191" s="885"/>
      <c r="O1191" s="885"/>
      <c r="P1191" s="885"/>
      <c r="Q1191" s="885"/>
      <c r="R1191" s="885"/>
      <c r="S1191" s="885"/>
      <c r="T1191" s="885"/>
      <c r="U1191" s="885"/>
      <c r="V1191" s="885"/>
      <c r="W1191" s="885"/>
      <c r="X1191" s="885"/>
      <c r="Y1191" s="885"/>
      <c r="Z1191" s="885"/>
      <c r="AA1191" s="885"/>
      <c r="AB1191" s="885"/>
      <c r="AC1191" s="885"/>
      <c r="AD1191" s="885"/>
      <c r="AE1191" s="885"/>
      <c r="AF1191" s="885"/>
      <c r="AG1191" s="885"/>
      <c r="AH1191" s="885"/>
      <c r="AI1191" s="885"/>
      <c r="AJ1191" s="885"/>
      <c r="AK1191" s="885"/>
      <c r="AL1191" s="885"/>
      <c r="AM1191" s="885"/>
      <c r="AN1191" s="885"/>
      <c r="AO1191" s="885"/>
      <c r="AP1191" s="885"/>
      <c r="AQ1191" s="885"/>
      <c r="AR1191" s="885"/>
      <c r="AS1191" s="885"/>
      <c r="AT1191" s="885"/>
      <c r="AU1191" s="885"/>
      <c r="AV1191" s="885"/>
      <c r="AW1191" s="885"/>
      <c r="AX1191" s="885"/>
      <c r="AY1191" s="885"/>
      <c r="AZ1191" s="885"/>
      <c r="BA1191" s="885"/>
      <c r="BB1191" s="885"/>
      <c r="BC1191" s="885"/>
      <c r="BD1191" s="885"/>
      <c r="BE1191" s="885"/>
      <c r="BF1191" s="885"/>
      <c r="BG1191" s="885"/>
      <c r="BH1191" s="885"/>
      <c r="BI1191" s="885"/>
      <c r="BJ1191" s="885"/>
      <c r="BK1191" s="885"/>
      <c r="BL1191" s="885"/>
      <c r="BM1191" s="885"/>
      <c r="BN1191" s="885"/>
      <c r="BO1191" s="885"/>
      <c r="BP1191" s="885"/>
      <c r="BQ1191" s="885"/>
      <c r="BR1191" s="885"/>
      <c r="BS1191" s="885"/>
      <c r="BT1191" s="885"/>
      <c r="BU1191" s="885"/>
      <c r="BV1191" s="885"/>
      <c r="BW1191" s="885"/>
      <c r="BX1191" s="885"/>
      <c r="BY1191" s="885"/>
      <c r="BZ1191" s="885"/>
      <c r="CA1191" s="885"/>
      <c r="CB1191" s="885"/>
      <c r="CC1191" s="885"/>
      <c r="CD1191" s="885"/>
      <c r="CE1191" s="885"/>
      <c r="CF1191" s="885"/>
      <c r="CG1191" s="885"/>
      <c r="CH1191" s="885"/>
      <c r="CI1191" s="885"/>
      <c r="CJ1191" s="885"/>
      <c r="CK1191" s="885"/>
      <c r="CL1191" s="885"/>
      <c r="CM1191" s="885"/>
      <c r="CN1191" s="885"/>
      <c r="CO1191" s="885"/>
      <c r="CP1191" s="885"/>
      <c r="CQ1191" s="885"/>
      <c r="CR1191" s="885"/>
      <c r="CS1191" s="885"/>
      <c r="CT1191" s="885"/>
      <c r="CU1191" s="885"/>
      <c r="CV1191" s="885"/>
      <c r="CW1191" s="885"/>
      <c r="CX1191" s="885"/>
      <c r="CY1191" s="885"/>
      <c r="CZ1191" s="885"/>
      <c r="DA1191" s="885"/>
      <c r="DB1191" s="885"/>
      <c r="DC1191" s="885"/>
      <c r="DD1191" s="885"/>
      <c r="DE1191" s="885"/>
      <c r="DF1191" s="885"/>
      <c r="DG1191" s="885"/>
      <c r="DH1191" s="885"/>
      <c r="DI1191" s="885"/>
      <c r="DJ1191" s="885"/>
      <c r="DK1191" s="885"/>
      <c r="DL1191" s="885"/>
      <c r="DM1191" s="885"/>
      <c r="DN1191" s="885"/>
      <c r="DO1191" s="885"/>
      <c r="DP1191" s="885"/>
      <c r="DQ1191" s="885"/>
      <c r="DR1191" s="885"/>
      <c r="DS1191" s="885"/>
      <c r="DT1191" s="885"/>
      <c r="DU1191" s="885"/>
      <c r="DV1191" s="885"/>
      <c r="DW1191" s="885"/>
      <c r="DX1191" s="885"/>
      <c r="DY1191" s="885"/>
      <c r="DZ1191" s="885"/>
      <c r="EA1191" s="885"/>
      <c r="EB1191" s="885"/>
      <c r="EC1191" s="885"/>
      <c r="ED1191" s="885"/>
      <c r="EE1191" s="885"/>
      <c r="EF1191" s="885"/>
      <c r="EG1191" s="885"/>
      <c r="EH1191" s="885"/>
      <c r="EI1191" s="885"/>
      <c r="EJ1191" s="885"/>
      <c r="EK1191" s="885"/>
      <c r="EL1191" s="885"/>
      <c r="EM1191" s="885"/>
      <c r="EN1191" s="885"/>
      <c r="EO1191" s="885"/>
      <c r="EP1191" s="885"/>
      <c r="EQ1191" s="885"/>
      <c r="ER1191" s="885"/>
      <c r="ES1191" s="885"/>
      <c r="ET1191" s="885"/>
      <c r="EU1191" s="885"/>
      <c r="EV1191" s="885"/>
      <c r="EW1191" s="885"/>
      <c r="EX1191" s="885"/>
      <c r="EY1191" s="885"/>
      <c r="EZ1191" s="885"/>
      <c r="FA1191" s="885"/>
      <c r="FB1191" s="885"/>
      <c r="FC1191" s="885"/>
      <c r="FD1191" s="885"/>
      <c r="FE1191" s="885"/>
      <c r="FF1191" s="885"/>
      <c r="FG1191" s="885"/>
      <c r="FH1191" s="885"/>
      <c r="FI1191" s="885"/>
      <c r="FJ1191" s="885"/>
      <c r="FK1191" s="885"/>
      <c r="FL1191" s="885"/>
      <c r="FM1191" s="885"/>
      <c r="FN1191" s="885"/>
      <c r="FO1191" s="885"/>
      <c r="FP1191" s="885"/>
      <c r="FQ1191" s="885"/>
      <c r="FR1191" s="885"/>
      <c r="FS1191" s="885"/>
      <c r="FT1191" s="885"/>
      <c r="FU1191" s="885"/>
      <c r="FV1191" s="885"/>
      <c r="FW1191" s="885"/>
      <c r="FX1191" s="885"/>
      <c r="FY1191" s="885"/>
      <c r="FZ1191" s="885"/>
      <c r="GA1191" s="885"/>
      <c r="GB1191" s="885"/>
      <c r="GC1191" s="885"/>
      <c r="GD1191" s="885"/>
      <c r="GE1191" s="885"/>
      <c r="GF1191" s="885"/>
      <c r="GG1191" s="885"/>
      <c r="GH1191" s="885"/>
      <c r="GI1191" s="885"/>
      <c r="GJ1191" s="885"/>
      <c r="GK1191" s="885"/>
      <c r="GL1191" s="885"/>
      <c r="GM1191" s="885"/>
      <c r="GN1191" s="885"/>
      <c r="GO1191" s="885"/>
      <c r="GP1191" s="885"/>
      <c r="GQ1191" s="885"/>
      <c r="GR1191" s="885"/>
      <c r="GS1191" s="885"/>
      <c r="GT1191" s="885"/>
      <c r="GU1191" s="885"/>
      <c r="GV1191" s="885"/>
      <c r="GW1191" s="885"/>
      <c r="GX1191" s="885"/>
      <c r="GY1191" s="885"/>
      <c r="GZ1191" s="885"/>
      <c r="HA1191" s="885"/>
      <c r="HB1191" s="885"/>
      <c r="HC1191" s="885"/>
      <c r="HD1191" s="885"/>
      <c r="HE1191" s="885"/>
      <c r="HF1191" s="885"/>
      <c r="HG1191" s="885"/>
      <c r="HH1191" s="885"/>
      <c r="HI1191" s="885"/>
      <c r="HJ1191" s="885"/>
      <c r="HK1191" s="885"/>
      <c r="HL1191" s="885"/>
      <c r="HM1191" s="885"/>
      <c r="HN1191" s="885"/>
      <c r="HO1191" s="885"/>
      <c r="HP1191" s="885"/>
      <c r="HQ1191" s="885"/>
      <c r="HR1191" s="885"/>
      <c r="HS1191" s="885"/>
      <c r="HT1191" s="885"/>
      <c r="HU1191" s="885"/>
      <c r="HV1191" s="885"/>
      <c r="HW1191" s="885"/>
      <c r="HX1191" s="885"/>
      <c r="HY1191" s="885"/>
      <c r="HZ1191" s="885"/>
      <c r="IA1191" s="885"/>
      <c r="IB1191" s="885"/>
      <c r="IC1191" s="885"/>
      <c r="ID1191" s="885"/>
      <c r="IE1191" s="885"/>
      <c r="IF1191" s="885"/>
      <c r="IG1191" s="885"/>
      <c r="IH1191" s="885"/>
      <c r="II1191" s="885"/>
      <c r="IJ1191" s="885"/>
      <c r="IK1191" s="885"/>
      <c r="IL1191" s="885"/>
      <c r="IM1191" s="885"/>
      <c r="IN1191" s="885"/>
      <c r="IO1191" s="885"/>
      <c r="IP1191" s="885"/>
      <c r="IQ1191" s="885"/>
      <c r="IR1191" s="885"/>
      <c r="IS1191" s="885"/>
      <c r="IT1191" s="885"/>
      <c r="IU1191" s="885"/>
      <c r="IV1191" s="885"/>
      <c r="IW1191" s="885"/>
      <c r="IX1191" s="885"/>
    </row>
    <row r="1192" spans="1:258" x14ac:dyDescent="0.25">
      <c r="A1192" s="125">
        <f t="shared" si="132"/>
        <v>1152</v>
      </c>
      <c r="B1192" s="885"/>
      <c r="C1192" s="842" t="s">
        <v>10728</v>
      </c>
      <c r="D1192" s="924">
        <v>0</v>
      </c>
      <c r="E1192" s="924">
        <f t="shared" si="131"/>
        <v>0</v>
      </c>
      <c r="F1192" s="129">
        <v>0</v>
      </c>
      <c r="G1192" s="122" t="s">
        <v>1963</v>
      </c>
      <c r="H1192" s="885"/>
      <c r="I1192" s="885"/>
      <c r="J1192" s="885"/>
      <c r="K1192" s="885"/>
      <c r="L1192" s="885"/>
      <c r="M1192" s="885"/>
      <c r="N1192" s="885"/>
      <c r="O1192" s="885"/>
      <c r="P1192" s="885"/>
      <c r="Q1192" s="885"/>
      <c r="R1192" s="885"/>
      <c r="S1192" s="885"/>
      <c r="T1192" s="885"/>
      <c r="U1192" s="885"/>
      <c r="V1192" s="885"/>
      <c r="W1192" s="885"/>
      <c r="X1192" s="885"/>
      <c r="Y1192" s="885"/>
      <c r="Z1192" s="885"/>
      <c r="AA1192" s="885"/>
      <c r="AB1192" s="885"/>
      <c r="AC1192" s="885"/>
      <c r="AD1192" s="885"/>
      <c r="AE1192" s="885"/>
      <c r="AF1192" s="885"/>
      <c r="AG1192" s="885"/>
      <c r="AH1192" s="885"/>
      <c r="AI1192" s="885"/>
      <c r="AJ1192" s="885"/>
      <c r="AK1192" s="885"/>
      <c r="AL1192" s="885"/>
      <c r="AM1192" s="885"/>
      <c r="AN1192" s="885"/>
      <c r="AO1192" s="885"/>
      <c r="AP1192" s="885"/>
      <c r="AQ1192" s="885"/>
      <c r="AR1192" s="885"/>
      <c r="AS1192" s="885"/>
      <c r="AT1192" s="885"/>
      <c r="AU1192" s="885"/>
      <c r="AV1192" s="885"/>
      <c r="AW1192" s="885"/>
      <c r="AX1192" s="885"/>
      <c r="AY1192" s="885"/>
      <c r="AZ1192" s="885"/>
      <c r="BA1192" s="885"/>
      <c r="BB1192" s="885"/>
      <c r="BC1192" s="885"/>
      <c r="BD1192" s="885"/>
      <c r="BE1192" s="885"/>
      <c r="BF1192" s="885"/>
      <c r="BG1192" s="885"/>
      <c r="BH1192" s="885"/>
      <c r="BI1192" s="885"/>
      <c r="BJ1192" s="885"/>
      <c r="BK1192" s="885"/>
      <c r="BL1192" s="885"/>
      <c r="BM1192" s="885"/>
      <c r="BN1192" s="885"/>
      <c r="BO1192" s="885"/>
      <c r="BP1192" s="885"/>
      <c r="BQ1192" s="885"/>
      <c r="BR1192" s="885"/>
      <c r="BS1192" s="885"/>
      <c r="BT1192" s="885"/>
      <c r="BU1192" s="885"/>
      <c r="BV1192" s="885"/>
      <c r="BW1192" s="885"/>
      <c r="BX1192" s="885"/>
      <c r="BY1192" s="885"/>
      <c r="BZ1192" s="885"/>
      <c r="CA1192" s="885"/>
      <c r="CB1192" s="885"/>
      <c r="CC1192" s="885"/>
      <c r="CD1192" s="885"/>
      <c r="CE1192" s="885"/>
      <c r="CF1192" s="885"/>
      <c r="CG1192" s="885"/>
      <c r="CH1192" s="885"/>
      <c r="CI1192" s="885"/>
      <c r="CJ1192" s="885"/>
      <c r="CK1192" s="885"/>
      <c r="CL1192" s="885"/>
      <c r="CM1192" s="885"/>
      <c r="CN1192" s="885"/>
      <c r="CO1192" s="885"/>
      <c r="CP1192" s="885"/>
      <c r="CQ1192" s="885"/>
      <c r="CR1192" s="885"/>
      <c r="CS1192" s="885"/>
      <c r="CT1192" s="885"/>
      <c r="CU1192" s="885"/>
      <c r="CV1192" s="885"/>
      <c r="CW1192" s="885"/>
      <c r="CX1192" s="885"/>
      <c r="CY1192" s="885"/>
      <c r="CZ1192" s="885"/>
      <c r="DA1192" s="885"/>
      <c r="DB1192" s="885"/>
      <c r="DC1192" s="885"/>
      <c r="DD1192" s="885"/>
      <c r="DE1192" s="885"/>
      <c r="DF1192" s="885"/>
      <c r="DG1192" s="885"/>
      <c r="DH1192" s="885"/>
      <c r="DI1192" s="885"/>
      <c r="DJ1192" s="885"/>
      <c r="DK1192" s="885"/>
      <c r="DL1192" s="885"/>
      <c r="DM1192" s="885"/>
      <c r="DN1192" s="885"/>
      <c r="DO1192" s="885"/>
      <c r="DP1192" s="885"/>
      <c r="DQ1192" s="885"/>
      <c r="DR1192" s="885"/>
      <c r="DS1192" s="885"/>
      <c r="DT1192" s="885"/>
      <c r="DU1192" s="885"/>
      <c r="DV1192" s="885"/>
      <c r="DW1192" s="885"/>
      <c r="DX1192" s="885"/>
      <c r="DY1192" s="885"/>
      <c r="DZ1192" s="885"/>
      <c r="EA1192" s="885"/>
      <c r="EB1192" s="885"/>
      <c r="EC1192" s="885"/>
      <c r="ED1192" s="885"/>
      <c r="EE1192" s="885"/>
      <c r="EF1192" s="885"/>
      <c r="EG1192" s="885"/>
      <c r="EH1192" s="885"/>
      <c r="EI1192" s="885"/>
      <c r="EJ1192" s="885"/>
      <c r="EK1192" s="885"/>
      <c r="EL1192" s="885"/>
      <c r="EM1192" s="885"/>
      <c r="EN1192" s="885"/>
      <c r="EO1192" s="885"/>
      <c r="EP1192" s="885"/>
      <c r="EQ1192" s="885"/>
      <c r="ER1192" s="885"/>
      <c r="ES1192" s="885"/>
      <c r="ET1192" s="885"/>
      <c r="EU1192" s="885"/>
      <c r="EV1192" s="885"/>
      <c r="EW1192" s="885"/>
      <c r="EX1192" s="885"/>
      <c r="EY1192" s="885"/>
      <c r="EZ1192" s="885"/>
      <c r="FA1192" s="885"/>
      <c r="FB1192" s="885"/>
      <c r="FC1192" s="885"/>
      <c r="FD1192" s="885"/>
      <c r="FE1192" s="885"/>
      <c r="FF1192" s="885"/>
      <c r="FG1192" s="885"/>
      <c r="FH1192" s="885"/>
      <c r="FI1192" s="885"/>
      <c r="FJ1192" s="885"/>
      <c r="FK1192" s="885"/>
      <c r="FL1192" s="885"/>
      <c r="FM1192" s="885"/>
      <c r="FN1192" s="885"/>
      <c r="FO1192" s="885"/>
      <c r="FP1192" s="885"/>
      <c r="FQ1192" s="885"/>
      <c r="FR1192" s="885"/>
      <c r="FS1192" s="885"/>
      <c r="FT1192" s="885"/>
      <c r="FU1192" s="885"/>
      <c r="FV1192" s="885"/>
      <c r="FW1192" s="885"/>
      <c r="FX1192" s="885"/>
      <c r="FY1192" s="885"/>
      <c r="FZ1192" s="885"/>
      <c r="GA1192" s="885"/>
      <c r="GB1192" s="885"/>
      <c r="GC1192" s="885"/>
      <c r="GD1192" s="885"/>
      <c r="GE1192" s="885"/>
      <c r="GF1192" s="885"/>
      <c r="GG1192" s="885"/>
      <c r="GH1192" s="885"/>
      <c r="GI1192" s="885"/>
      <c r="GJ1192" s="885"/>
      <c r="GK1192" s="885"/>
      <c r="GL1192" s="885"/>
      <c r="GM1192" s="885"/>
      <c r="GN1192" s="885"/>
      <c r="GO1192" s="885"/>
      <c r="GP1192" s="885"/>
      <c r="GQ1192" s="885"/>
      <c r="GR1192" s="885"/>
      <c r="GS1192" s="885"/>
      <c r="GT1192" s="885"/>
      <c r="GU1192" s="885"/>
      <c r="GV1192" s="885"/>
      <c r="GW1192" s="885"/>
      <c r="GX1192" s="885"/>
      <c r="GY1192" s="885"/>
      <c r="GZ1192" s="885"/>
      <c r="HA1192" s="885"/>
      <c r="HB1192" s="885"/>
      <c r="HC1192" s="885"/>
      <c r="HD1192" s="885"/>
      <c r="HE1192" s="885"/>
      <c r="HF1192" s="885"/>
      <c r="HG1192" s="885"/>
      <c r="HH1192" s="885"/>
      <c r="HI1192" s="885"/>
      <c r="HJ1192" s="885"/>
      <c r="HK1192" s="885"/>
      <c r="HL1192" s="885"/>
      <c r="HM1192" s="885"/>
      <c r="HN1192" s="885"/>
      <c r="HO1192" s="885"/>
      <c r="HP1192" s="885"/>
      <c r="HQ1192" s="885"/>
      <c r="HR1192" s="885"/>
      <c r="HS1192" s="885"/>
      <c r="HT1192" s="885"/>
      <c r="HU1192" s="885"/>
      <c r="HV1192" s="885"/>
      <c r="HW1192" s="885"/>
      <c r="HX1192" s="885"/>
      <c r="HY1192" s="885"/>
      <c r="HZ1192" s="885"/>
      <c r="IA1192" s="885"/>
      <c r="IB1192" s="885"/>
      <c r="IC1192" s="885"/>
      <c r="ID1192" s="885"/>
      <c r="IE1192" s="885"/>
      <c r="IF1192" s="885"/>
      <c r="IG1192" s="885"/>
      <c r="IH1192" s="885"/>
      <c r="II1192" s="885"/>
      <c r="IJ1192" s="885"/>
      <c r="IK1192" s="885"/>
      <c r="IL1192" s="885"/>
      <c r="IM1192" s="885"/>
      <c r="IN1192" s="885"/>
      <c r="IO1192" s="885"/>
      <c r="IP1192" s="885"/>
      <c r="IQ1192" s="885"/>
      <c r="IR1192" s="885"/>
      <c r="IS1192" s="885"/>
      <c r="IT1192" s="885"/>
      <c r="IU1192" s="885"/>
      <c r="IV1192" s="885"/>
      <c r="IW1192" s="885"/>
      <c r="IX1192" s="885"/>
    </row>
    <row r="1193" spans="1:258" x14ac:dyDescent="0.25">
      <c r="A1193" s="125">
        <f t="shared" si="132"/>
        <v>1153</v>
      </c>
      <c r="B1193" s="885"/>
      <c r="C1193" s="842" t="s">
        <v>10729</v>
      </c>
      <c r="D1193" s="924">
        <v>0</v>
      </c>
      <c r="E1193" s="924">
        <f t="shared" si="131"/>
        <v>0</v>
      </c>
      <c r="F1193" s="129">
        <v>0</v>
      </c>
      <c r="G1193" s="122" t="s">
        <v>1963</v>
      </c>
      <c r="H1193" s="885"/>
      <c r="I1193" s="885"/>
      <c r="J1193" s="885"/>
      <c r="K1193" s="885"/>
      <c r="L1193" s="885"/>
      <c r="M1193" s="885"/>
      <c r="N1193" s="885"/>
      <c r="O1193" s="885"/>
      <c r="P1193" s="885"/>
      <c r="Q1193" s="885"/>
      <c r="R1193" s="885"/>
      <c r="S1193" s="885"/>
      <c r="T1193" s="885"/>
      <c r="U1193" s="885"/>
      <c r="V1193" s="885"/>
      <c r="W1193" s="885"/>
      <c r="X1193" s="885"/>
      <c r="Y1193" s="885"/>
      <c r="Z1193" s="885"/>
      <c r="AA1193" s="885"/>
      <c r="AB1193" s="885"/>
      <c r="AC1193" s="885"/>
      <c r="AD1193" s="885"/>
      <c r="AE1193" s="885"/>
      <c r="AF1193" s="885"/>
      <c r="AG1193" s="885"/>
      <c r="AH1193" s="885"/>
      <c r="AI1193" s="885"/>
      <c r="AJ1193" s="885"/>
      <c r="AK1193" s="885"/>
      <c r="AL1193" s="885"/>
      <c r="AM1193" s="885"/>
      <c r="AN1193" s="885"/>
      <c r="AO1193" s="885"/>
      <c r="AP1193" s="885"/>
      <c r="AQ1193" s="885"/>
      <c r="AR1193" s="885"/>
      <c r="AS1193" s="885"/>
      <c r="AT1193" s="885"/>
      <c r="AU1193" s="885"/>
      <c r="AV1193" s="885"/>
      <c r="AW1193" s="885"/>
      <c r="AX1193" s="885"/>
      <c r="AY1193" s="885"/>
      <c r="AZ1193" s="885"/>
      <c r="BA1193" s="885"/>
      <c r="BB1193" s="885"/>
      <c r="BC1193" s="885"/>
      <c r="BD1193" s="885"/>
      <c r="BE1193" s="885"/>
      <c r="BF1193" s="885"/>
      <c r="BG1193" s="885"/>
      <c r="BH1193" s="885"/>
      <c r="BI1193" s="885"/>
      <c r="BJ1193" s="885"/>
      <c r="BK1193" s="885"/>
      <c r="BL1193" s="885"/>
      <c r="BM1193" s="885"/>
      <c r="BN1193" s="885"/>
      <c r="BO1193" s="885"/>
      <c r="BP1193" s="885"/>
      <c r="BQ1193" s="885"/>
      <c r="BR1193" s="885"/>
      <c r="BS1193" s="885"/>
      <c r="BT1193" s="885"/>
      <c r="BU1193" s="885"/>
      <c r="BV1193" s="885"/>
      <c r="BW1193" s="885"/>
      <c r="BX1193" s="885"/>
      <c r="BY1193" s="885"/>
      <c r="BZ1193" s="885"/>
      <c r="CA1193" s="885"/>
      <c r="CB1193" s="885"/>
      <c r="CC1193" s="885"/>
      <c r="CD1193" s="885"/>
      <c r="CE1193" s="885"/>
      <c r="CF1193" s="885"/>
      <c r="CG1193" s="885"/>
      <c r="CH1193" s="885"/>
      <c r="CI1193" s="885"/>
      <c r="CJ1193" s="885"/>
      <c r="CK1193" s="885"/>
      <c r="CL1193" s="885"/>
      <c r="CM1193" s="885"/>
      <c r="CN1193" s="885"/>
      <c r="CO1193" s="885"/>
      <c r="CP1193" s="885"/>
      <c r="CQ1193" s="885"/>
      <c r="CR1193" s="885"/>
      <c r="CS1193" s="885"/>
      <c r="CT1193" s="885"/>
      <c r="CU1193" s="885"/>
      <c r="CV1193" s="885"/>
      <c r="CW1193" s="885"/>
      <c r="CX1193" s="885"/>
      <c r="CY1193" s="885"/>
      <c r="CZ1193" s="885"/>
      <c r="DA1193" s="885"/>
      <c r="DB1193" s="885"/>
      <c r="DC1193" s="885"/>
      <c r="DD1193" s="885"/>
      <c r="DE1193" s="885"/>
      <c r="DF1193" s="885"/>
      <c r="DG1193" s="885"/>
      <c r="DH1193" s="885"/>
      <c r="DI1193" s="885"/>
      <c r="DJ1193" s="885"/>
      <c r="DK1193" s="885"/>
      <c r="DL1193" s="885"/>
      <c r="DM1193" s="885"/>
      <c r="DN1193" s="885"/>
      <c r="DO1193" s="885"/>
      <c r="DP1193" s="885"/>
      <c r="DQ1193" s="885"/>
      <c r="DR1193" s="885"/>
      <c r="DS1193" s="885"/>
      <c r="DT1193" s="885"/>
      <c r="DU1193" s="885"/>
      <c r="DV1193" s="885"/>
      <c r="DW1193" s="885"/>
      <c r="DX1193" s="885"/>
      <c r="DY1193" s="885"/>
      <c r="DZ1193" s="885"/>
      <c r="EA1193" s="885"/>
      <c r="EB1193" s="885"/>
      <c r="EC1193" s="885"/>
      <c r="ED1193" s="885"/>
      <c r="EE1193" s="885"/>
      <c r="EF1193" s="885"/>
      <c r="EG1193" s="885"/>
      <c r="EH1193" s="885"/>
      <c r="EI1193" s="885"/>
      <c r="EJ1193" s="885"/>
      <c r="EK1193" s="885"/>
      <c r="EL1193" s="885"/>
      <c r="EM1193" s="885"/>
      <c r="EN1193" s="885"/>
      <c r="EO1193" s="885"/>
      <c r="EP1193" s="885"/>
      <c r="EQ1193" s="885"/>
      <c r="ER1193" s="885"/>
      <c r="ES1193" s="885"/>
      <c r="ET1193" s="885"/>
      <c r="EU1193" s="885"/>
      <c r="EV1193" s="885"/>
      <c r="EW1193" s="885"/>
      <c r="EX1193" s="885"/>
      <c r="EY1193" s="885"/>
      <c r="EZ1193" s="885"/>
      <c r="FA1193" s="885"/>
      <c r="FB1193" s="885"/>
      <c r="FC1193" s="885"/>
      <c r="FD1193" s="885"/>
      <c r="FE1193" s="885"/>
      <c r="FF1193" s="885"/>
      <c r="FG1193" s="885"/>
      <c r="FH1193" s="885"/>
      <c r="FI1193" s="885"/>
      <c r="FJ1193" s="885"/>
      <c r="FK1193" s="885"/>
      <c r="FL1193" s="885"/>
      <c r="FM1193" s="885"/>
      <c r="FN1193" s="885"/>
      <c r="FO1193" s="885"/>
      <c r="FP1193" s="885"/>
      <c r="FQ1193" s="885"/>
      <c r="FR1193" s="885"/>
      <c r="FS1193" s="885"/>
      <c r="FT1193" s="885"/>
      <c r="FU1193" s="885"/>
      <c r="FV1193" s="885"/>
      <c r="FW1193" s="885"/>
      <c r="FX1193" s="885"/>
      <c r="FY1193" s="885"/>
      <c r="FZ1193" s="885"/>
      <c r="GA1193" s="885"/>
      <c r="GB1193" s="885"/>
      <c r="GC1193" s="885"/>
      <c r="GD1193" s="885"/>
      <c r="GE1193" s="885"/>
      <c r="GF1193" s="885"/>
      <c r="GG1193" s="885"/>
      <c r="GH1193" s="885"/>
      <c r="GI1193" s="885"/>
      <c r="GJ1193" s="885"/>
      <c r="GK1193" s="885"/>
      <c r="GL1193" s="885"/>
      <c r="GM1193" s="885"/>
      <c r="GN1193" s="885"/>
      <c r="GO1193" s="885"/>
      <c r="GP1193" s="885"/>
      <c r="GQ1193" s="885"/>
      <c r="GR1193" s="885"/>
      <c r="GS1193" s="885"/>
      <c r="GT1193" s="885"/>
      <c r="GU1193" s="885"/>
      <c r="GV1193" s="885"/>
      <c r="GW1193" s="885"/>
      <c r="GX1193" s="885"/>
      <c r="GY1193" s="885"/>
      <c r="GZ1193" s="885"/>
      <c r="HA1193" s="885"/>
      <c r="HB1193" s="885"/>
      <c r="HC1193" s="885"/>
      <c r="HD1193" s="885"/>
      <c r="HE1193" s="885"/>
      <c r="HF1193" s="885"/>
      <c r="HG1193" s="885"/>
      <c r="HH1193" s="885"/>
      <c r="HI1193" s="885"/>
      <c r="HJ1193" s="885"/>
      <c r="HK1193" s="885"/>
      <c r="HL1193" s="885"/>
      <c r="HM1193" s="885"/>
      <c r="HN1193" s="885"/>
      <c r="HO1193" s="885"/>
      <c r="HP1193" s="885"/>
      <c r="HQ1193" s="885"/>
      <c r="HR1193" s="885"/>
      <c r="HS1193" s="885"/>
      <c r="HT1193" s="885"/>
      <c r="HU1193" s="885"/>
      <c r="HV1193" s="885"/>
      <c r="HW1193" s="885"/>
      <c r="HX1193" s="885"/>
      <c r="HY1193" s="885"/>
      <c r="HZ1193" s="885"/>
      <c r="IA1193" s="885"/>
      <c r="IB1193" s="885"/>
      <c r="IC1193" s="885"/>
      <c r="ID1193" s="885"/>
      <c r="IE1193" s="885"/>
      <c r="IF1193" s="885"/>
      <c r="IG1193" s="885"/>
      <c r="IH1193" s="885"/>
      <c r="II1193" s="885"/>
      <c r="IJ1193" s="885"/>
      <c r="IK1193" s="885"/>
      <c r="IL1193" s="885"/>
      <c r="IM1193" s="885"/>
      <c r="IN1193" s="885"/>
      <c r="IO1193" s="885"/>
      <c r="IP1193" s="885"/>
      <c r="IQ1193" s="885"/>
      <c r="IR1193" s="885"/>
      <c r="IS1193" s="885"/>
      <c r="IT1193" s="885"/>
      <c r="IU1193" s="885"/>
      <c r="IV1193" s="885"/>
      <c r="IW1193" s="885"/>
      <c r="IX1193" s="885"/>
    </row>
    <row r="1194" spans="1:258" x14ac:dyDescent="0.25">
      <c r="A1194" s="125">
        <f t="shared" si="132"/>
        <v>1154</v>
      </c>
      <c r="B1194" s="885"/>
      <c r="C1194" s="842" t="s">
        <v>10730</v>
      </c>
      <c r="D1194" s="924">
        <v>0</v>
      </c>
      <c r="E1194" s="924">
        <f t="shared" si="131"/>
        <v>0</v>
      </c>
      <c r="F1194" s="129">
        <v>0</v>
      </c>
      <c r="G1194" s="122" t="s">
        <v>1963</v>
      </c>
      <c r="H1194" s="885"/>
      <c r="I1194" s="885"/>
      <c r="J1194" s="885"/>
      <c r="K1194" s="885"/>
      <c r="L1194" s="885"/>
      <c r="M1194" s="885"/>
      <c r="N1194" s="885"/>
      <c r="O1194" s="885"/>
      <c r="P1194" s="885"/>
      <c r="Q1194" s="885"/>
      <c r="R1194" s="885"/>
      <c r="S1194" s="885"/>
      <c r="T1194" s="885"/>
      <c r="U1194" s="885"/>
      <c r="V1194" s="885"/>
      <c r="W1194" s="885"/>
      <c r="X1194" s="885"/>
      <c r="Y1194" s="885"/>
      <c r="Z1194" s="885"/>
      <c r="AA1194" s="885"/>
      <c r="AB1194" s="885"/>
      <c r="AC1194" s="885"/>
      <c r="AD1194" s="885"/>
      <c r="AE1194" s="885"/>
      <c r="AF1194" s="885"/>
      <c r="AG1194" s="885"/>
      <c r="AH1194" s="885"/>
      <c r="AI1194" s="885"/>
      <c r="AJ1194" s="885"/>
      <c r="AK1194" s="885"/>
      <c r="AL1194" s="885"/>
      <c r="AM1194" s="885"/>
      <c r="AN1194" s="885"/>
      <c r="AO1194" s="885"/>
      <c r="AP1194" s="885"/>
      <c r="AQ1194" s="885"/>
      <c r="AR1194" s="885"/>
      <c r="AS1194" s="885"/>
      <c r="AT1194" s="885"/>
      <c r="AU1194" s="885"/>
      <c r="AV1194" s="885"/>
      <c r="AW1194" s="885"/>
      <c r="AX1194" s="885"/>
      <c r="AY1194" s="885"/>
      <c r="AZ1194" s="885"/>
      <c r="BA1194" s="885"/>
      <c r="BB1194" s="885"/>
      <c r="BC1194" s="885"/>
      <c r="BD1194" s="885"/>
      <c r="BE1194" s="885"/>
      <c r="BF1194" s="885"/>
      <c r="BG1194" s="885"/>
      <c r="BH1194" s="885"/>
      <c r="BI1194" s="885"/>
      <c r="BJ1194" s="885"/>
      <c r="BK1194" s="885"/>
      <c r="BL1194" s="885"/>
      <c r="BM1194" s="885"/>
      <c r="BN1194" s="885"/>
      <c r="BO1194" s="885"/>
      <c r="BP1194" s="885"/>
      <c r="BQ1194" s="885"/>
      <c r="BR1194" s="885"/>
      <c r="BS1194" s="885"/>
      <c r="BT1194" s="885"/>
      <c r="BU1194" s="885"/>
      <c r="BV1194" s="885"/>
      <c r="BW1194" s="885"/>
      <c r="BX1194" s="885"/>
      <c r="BY1194" s="885"/>
      <c r="BZ1194" s="885"/>
      <c r="CA1194" s="885"/>
      <c r="CB1194" s="885"/>
      <c r="CC1194" s="885"/>
      <c r="CD1194" s="885"/>
      <c r="CE1194" s="885"/>
      <c r="CF1194" s="885"/>
      <c r="CG1194" s="885"/>
      <c r="CH1194" s="885"/>
      <c r="CI1194" s="885"/>
      <c r="CJ1194" s="885"/>
      <c r="CK1194" s="885"/>
      <c r="CL1194" s="885"/>
      <c r="CM1194" s="885"/>
      <c r="CN1194" s="885"/>
      <c r="CO1194" s="885"/>
      <c r="CP1194" s="885"/>
      <c r="CQ1194" s="885"/>
      <c r="CR1194" s="885"/>
      <c r="CS1194" s="885"/>
      <c r="CT1194" s="885"/>
      <c r="CU1194" s="885"/>
      <c r="CV1194" s="885"/>
      <c r="CW1194" s="885"/>
      <c r="CX1194" s="885"/>
      <c r="CY1194" s="885"/>
      <c r="CZ1194" s="885"/>
      <c r="DA1194" s="885"/>
      <c r="DB1194" s="885"/>
      <c r="DC1194" s="885"/>
      <c r="DD1194" s="885"/>
      <c r="DE1194" s="885"/>
      <c r="DF1194" s="885"/>
      <c r="DG1194" s="885"/>
      <c r="DH1194" s="885"/>
      <c r="DI1194" s="885"/>
      <c r="DJ1194" s="885"/>
      <c r="DK1194" s="885"/>
      <c r="DL1194" s="885"/>
      <c r="DM1194" s="885"/>
      <c r="DN1194" s="885"/>
      <c r="DO1194" s="885"/>
      <c r="DP1194" s="885"/>
      <c r="DQ1194" s="885"/>
      <c r="DR1194" s="885"/>
      <c r="DS1194" s="885"/>
      <c r="DT1194" s="885"/>
      <c r="DU1194" s="885"/>
      <c r="DV1194" s="885"/>
      <c r="DW1194" s="885"/>
      <c r="DX1194" s="885"/>
      <c r="DY1194" s="885"/>
      <c r="DZ1194" s="885"/>
      <c r="EA1194" s="885"/>
      <c r="EB1194" s="885"/>
      <c r="EC1194" s="885"/>
      <c r="ED1194" s="885"/>
      <c r="EE1194" s="885"/>
      <c r="EF1194" s="885"/>
      <c r="EG1194" s="885"/>
      <c r="EH1194" s="885"/>
      <c r="EI1194" s="885"/>
      <c r="EJ1194" s="885"/>
      <c r="EK1194" s="885"/>
      <c r="EL1194" s="885"/>
      <c r="EM1194" s="885"/>
      <c r="EN1194" s="885"/>
      <c r="EO1194" s="885"/>
      <c r="EP1194" s="885"/>
      <c r="EQ1194" s="885"/>
      <c r="ER1194" s="885"/>
      <c r="ES1194" s="885"/>
      <c r="ET1194" s="885"/>
      <c r="EU1194" s="885"/>
      <c r="EV1194" s="885"/>
      <c r="EW1194" s="885"/>
      <c r="EX1194" s="885"/>
      <c r="EY1194" s="885"/>
      <c r="EZ1194" s="885"/>
      <c r="FA1194" s="885"/>
      <c r="FB1194" s="885"/>
      <c r="FC1194" s="885"/>
      <c r="FD1194" s="885"/>
      <c r="FE1194" s="885"/>
      <c r="FF1194" s="885"/>
      <c r="FG1194" s="885"/>
      <c r="FH1194" s="885"/>
      <c r="FI1194" s="885"/>
      <c r="FJ1194" s="885"/>
      <c r="FK1194" s="885"/>
      <c r="FL1194" s="885"/>
      <c r="FM1194" s="885"/>
      <c r="FN1194" s="885"/>
      <c r="FO1194" s="885"/>
      <c r="FP1194" s="885"/>
      <c r="FQ1194" s="885"/>
      <c r="FR1194" s="885"/>
      <c r="FS1194" s="885"/>
      <c r="FT1194" s="885"/>
      <c r="FU1194" s="885"/>
      <c r="FV1194" s="885"/>
      <c r="FW1194" s="885"/>
      <c r="FX1194" s="885"/>
      <c r="FY1194" s="885"/>
      <c r="FZ1194" s="885"/>
      <c r="GA1194" s="885"/>
      <c r="GB1194" s="885"/>
      <c r="GC1194" s="885"/>
      <c r="GD1194" s="885"/>
      <c r="GE1194" s="885"/>
      <c r="GF1194" s="885"/>
      <c r="GG1194" s="885"/>
      <c r="GH1194" s="885"/>
      <c r="GI1194" s="885"/>
      <c r="GJ1194" s="885"/>
      <c r="GK1194" s="885"/>
      <c r="GL1194" s="885"/>
      <c r="GM1194" s="885"/>
      <c r="GN1194" s="885"/>
      <c r="GO1194" s="885"/>
      <c r="GP1194" s="885"/>
      <c r="GQ1194" s="885"/>
      <c r="GR1194" s="885"/>
      <c r="GS1194" s="885"/>
      <c r="GT1194" s="885"/>
      <c r="GU1194" s="885"/>
      <c r="GV1194" s="885"/>
      <c r="GW1194" s="885"/>
      <c r="GX1194" s="885"/>
      <c r="GY1194" s="885"/>
      <c r="GZ1194" s="885"/>
      <c r="HA1194" s="885"/>
      <c r="HB1194" s="885"/>
      <c r="HC1194" s="885"/>
      <c r="HD1194" s="885"/>
      <c r="HE1194" s="885"/>
      <c r="HF1194" s="885"/>
      <c r="HG1194" s="885"/>
      <c r="HH1194" s="885"/>
      <c r="HI1194" s="885"/>
      <c r="HJ1194" s="885"/>
      <c r="HK1194" s="885"/>
      <c r="HL1194" s="885"/>
      <c r="HM1194" s="885"/>
      <c r="HN1194" s="885"/>
      <c r="HO1194" s="885"/>
      <c r="HP1194" s="885"/>
      <c r="HQ1194" s="885"/>
      <c r="HR1194" s="885"/>
      <c r="HS1194" s="885"/>
      <c r="HT1194" s="885"/>
      <c r="HU1194" s="885"/>
      <c r="HV1194" s="885"/>
      <c r="HW1194" s="885"/>
      <c r="HX1194" s="885"/>
      <c r="HY1194" s="885"/>
      <c r="HZ1194" s="885"/>
      <c r="IA1194" s="885"/>
      <c r="IB1194" s="885"/>
      <c r="IC1194" s="885"/>
      <c r="ID1194" s="885"/>
      <c r="IE1194" s="885"/>
      <c r="IF1194" s="885"/>
      <c r="IG1194" s="885"/>
      <c r="IH1194" s="885"/>
      <c r="II1194" s="885"/>
      <c r="IJ1194" s="885"/>
      <c r="IK1194" s="885"/>
      <c r="IL1194" s="885"/>
      <c r="IM1194" s="885"/>
      <c r="IN1194" s="885"/>
      <c r="IO1194" s="885"/>
      <c r="IP1194" s="885"/>
      <c r="IQ1194" s="885"/>
      <c r="IR1194" s="885"/>
      <c r="IS1194" s="885"/>
      <c r="IT1194" s="885"/>
      <c r="IU1194" s="885"/>
      <c r="IV1194" s="885"/>
      <c r="IW1194" s="885"/>
      <c r="IX1194" s="885"/>
    </row>
    <row r="1195" spans="1:258" x14ac:dyDescent="0.25">
      <c r="A1195" s="125">
        <f t="shared" si="132"/>
        <v>1155</v>
      </c>
      <c r="B1195" s="954"/>
      <c r="C1195" s="842" t="s">
        <v>11532</v>
      </c>
      <c r="D1195" s="924">
        <v>0</v>
      </c>
      <c r="E1195" s="924">
        <f t="shared" si="131"/>
        <v>0</v>
      </c>
      <c r="F1195" s="129">
        <v>0</v>
      </c>
      <c r="H1195" s="954"/>
      <c r="I1195" s="954"/>
      <c r="J1195" s="954"/>
      <c r="K1195" s="954"/>
      <c r="L1195" s="954"/>
      <c r="M1195" s="954"/>
      <c r="N1195" s="954"/>
      <c r="O1195" s="954"/>
      <c r="P1195" s="954"/>
      <c r="Q1195" s="954"/>
      <c r="R1195" s="954"/>
      <c r="S1195" s="954"/>
      <c r="T1195" s="954"/>
      <c r="U1195" s="954"/>
      <c r="V1195" s="954"/>
      <c r="W1195" s="954"/>
      <c r="X1195" s="954"/>
      <c r="Y1195" s="954"/>
      <c r="Z1195" s="954"/>
      <c r="AA1195" s="954"/>
      <c r="AB1195" s="954"/>
      <c r="AC1195" s="954"/>
      <c r="AD1195" s="954"/>
      <c r="AE1195" s="954"/>
      <c r="AF1195" s="954"/>
      <c r="AG1195" s="954"/>
      <c r="AH1195" s="954"/>
      <c r="AI1195" s="954"/>
      <c r="AJ1195" s="954"/>
      <c r="AK1195" s="954"/>
      <c r="AL1195" s="954"/>
      <c r="AM1195" s="954"/>
      <c r="AN1195" s="954"/>
      <c r="AO1195" s="954"/>
      <c r="AP1195" s="954"/>
      <c r="AQ1195" s="954"/>
      <c r="AR1195" s="954"/>
      <c r="AS1195" s="954"/>
      <c r="AT1195" s="954"/>
      <c r="AU1195" s="954"/>
      <c r="AV1195" s="954"/>
      <c r="AW1195" s="954"/>
      <c r="AX1195" s="954"/>
      <c r="AY1195" s="954"/>
      <c r="AZ1195" s="954"/>
      <c r="BA1195" s="954"/>
      <c r="BB1195" s="954"/>
      <c r="BC1195" s="954"/>
      <c r="BD1195" s="954"/>
      <c r="BE1195" s="954"/>
      <c r="BF1195" s="954"/>
      <c r="BG1195" s="954"/>
      <c r="BH1195" s="954"/>
      <c r="BI1195" s="954"/>
      <c r="BJ1195" s="954"/>
      <c r="BK1195" s="954"/>
      <c r="BL1195" s="954"/>
      <c r="BM1195" s="954"/>
      <c r="BN1195" s="954"/>
      <c r="BO1195" s="954"/>
      <c r="BP1195" s="954"/>
      <c r="BQ1195" s="954"/>
      <c r="BR1195" s="954"/>
      <c r="BS1195" s="954"/>
      <c r="BT1195" s="954"/>
      <c r="BU1195" s="954"/>
      <c r="BV1195" s="954"/>
      <c r="BW1195" s="954"/>
      <c r="BX1195" s="954"/>
      <c r="BY1195" s="954"/>
      <c r="BZ1195" s="954"/>
      <c r="CA1195" s="954"/>
      <c r="CB1195" s="954"/>
      <c r="CC1195" s="954"/>
      <c r="CD1195" s="954"/>
      <c r="CE1195" s="954"/>
      <c r="CF1195" s="954"/>
      <c r="CG1195" s="954"/>
      <c r="CH1195" s="954"/>
      <c r="CI1195" s="954"/>
      <c r="CJ1195" s="954"/>
      <c r="CK1195" s="954"/>
      <c r="CL1195" s="954"/>
      <c r="CM1195" s="954"/>
      <c r="CN1195" s="954"/>
      <c r="CO1195" s="954"/>
      <c r="CP1195" s="954"/>
      <c r="CQ1195" s="954"/>
      <c r="CR1195" s="954"/>
      <c r="CS1195" s="954"/>
      <c r="CT1195" s="954"/>
      <c r="CU1195" s="954"/>
      <c r="CV1195" s="954"/>
      <c r="CW1195" s="954"/>
      <c r="CX1195" s="954"/>
      <c r="CY1195" s="954"/>
      <c r="CZ1195" s="954"/>
      <c r="DA1195" s="954"/>
      <c r="DB1195" s="954"/>
      <c r="DC1195" s="954"/>
      <c r="DD1195" s="954"/>
      <c r="DE1195" s="954"/>
      <c r="DF1195" s="954"/>
      <c r="DG1195" s="954"/>
      <c r="DH1195" s="954"/>
      <c r="DI1195" s="954"/>
      <c r="DJ1195" s="954"/>
      <c r="DK1195" s="954"/>
      <c r="DL1195" s="954"/>
      <c r="DM1195" s="954"/>
      <c r="DN1195" s="954"/>
      <c r="DO1195" s="954"/>
      <c r="DP1195" s="954"/>
      <c r="DQ1195" s="954"/>
      <c r="DR1195" s="954"/>
      <c r="DS1195" s="954"/>
      <c r="DT1195" s="954"/>
      <c r="DU1195" s="954"/>
      <c r="DV1195" s="954"/>
      <c r="DW1195" s="954"/>
      <c r="DX1195" s="954"/>
      <c r="DY1195" s="954"/>
      <c r="DZ1195" s="954"/>
      <c r="EA1195" s="954"/>
      <c r="EB1195" s="954"/>
      <c r="EC1195" s="954"/>
      <c r="ED1195" s="954"/>
      <c r="EE1195" s="954"/>
      <c r="EF1195" s="954"/>
      <c r="EG1195" s="954"/>
      <c r="EH1195" s="954"/>
      <c r="EI1195" s="954"/>
      <c r="EJ1195" s="954"/>
      <c r="EK1195" s="954"/>
      <c r="EL1195" s="954"/>
      <c r="EM1195" s="954"/>
      <c r="EN1195" s="954"/>
      <c r="EO1195" s="954"/>
      <c r="EP1195" s="954"/>
      <c r="EQ1195" s="954"/>
      <c r="ER1195" s="954"/>
      <c r="ES1195" s="954"/>
      <c r="ET1195" s="954"/>
      <c r="EU1195" s="954"/>
      <c r="EV1195" s="954"/>
      <c r="EW1195" s="954"/>
      <c r="EX1195" s="954"/>
      <c r="EY1195" s="954"/>
      <c r="EZ1195" s="954"/>
      <c r="FA1195" s="954"/>
      <c r="FB1195" s="954"/>
      <c r="FC1195" s="954"/>
      <c r="FD1195" s="954"/>
      <c r="FE1195" s="954"/>
      <c r="FF1195" s="954"/>
      <c r="FG1195" s="954"/>
      <c r="FH1195" s="954"/>
      <c r="FI1195" s="954"/>
      <c r="FJ1195" s="954"/>
      <c r="FK1195" s="954"/>
      <c r="FL1195" s="954"/>
      <c r="FM1195" s="954"/>
      <c r="FN1195" s="954"/>
      <c r="FO1195" s="954"/>
      <c r="FP1195" s="954"/>
      <c r="FQ1195" s="954"/>
      <c r="FR1195" s="954"/>
      <c r="FS1195" s="954"/>
      <c r="FT1195" s="954"/>
      <c r="FU1195" s="954"/>
      <c r="FV1195" s="954"/>
      <c r="FW1195" s="954"/>
      <c r="FX1195" s="954"/>
      <c r="FY1195" s="954"/>
      <c r="FZ1195" s="954"/>
      <c r="GA1195" s="954"/>
      <c r="GB1195" s="954"/>
      <c r="GC1195" s="954"/>
      <c r="GD1195" s="954"/>
      <c r="GE1195" s="954"/>
      <c r="GF1195" s="954"/>
      <c r="GG1195" s="954"/>
      <c r="GH1195" s="954"/>
      <c r="GI1195" s="954"/>
      <c r="GJ1195" s="954"/>
      <c r="GK1195" s="954"/>
      <c r="GL1195" s="954"/>
      <c r="GM1195" s="954"/>
      <c r="GN1195" s="954"/>
      <c r="GO1195" s="954"/>
      <c r="GP1195" s="954"/>
      <c r="GQ1195" s="954"/>
      <c r="GR1195" s="954"/>
      <c r="GS1195" s="954"/>
      <c r="GT1195" s="954"/>
      <c r="GU1195" s="954"/>
      <c r="GV1195" s="954"/>
      <c r="GW1195" s="954"/>
      <c r="GX1195" s="954"/>
      <c r="GY1195" s="954"/>
      <c r="GZ1195" s="954"/>
      <c r="HA1195" s="954"/>
      <c r="HB1195" s="954"/>
      <c r="HC1195" s="954"/>
      <c r="HD1195" s="954"/>
      <c r="HE1195" s="954"/>
      <c r="HF1195" s="954"/>
      <c r="HG1195" s="954"/>
      <c r="HH1195" s="954"/>
      <c r="HI1195" s="954"/>
      <c r="HJ1195" s="954"/>
      <c r="HK1195" s="954"/>
      <c r="HL1195" s="954"/>
      <c r="HM1195" s="954"/>
      <c r="HN1195" s="954"/>
      <c r="HO1195" s="954"/>
      <c r="HP1195" s="954"/>
      <c r="HQ1195" s="954"/>
      <c r="HR1195" s="954"/>
      <c r="HS1195" s="954"/>
      <c r="HT1195" s="954"/>
      <c r="HU1195" s="954"/>
      <c r="HV1195" s="954"/>
      <c r="HW1195" s="954"/>
      <c r="HX1195" s="954"/>
      <c r="HY1195" s="954"/>
      <c r="HZ1195" s="954"/>
      <c r="IA1195" s="954"/>
      <c r="IB1195" s="954"/>
      <c r="IC1195" s="954"/>
      <c r="ID1195" s="954"/>
      <c r="IE1195" s="954"/>
      <c r="IF1195" s="954"/>
      <c r="IG1195" s="954"/>
      <c r="IH1195" s="954"/>
      <c r="II1195" s="954"/>
      <c r="IJ1195" s="954"/>
      <c r="IK1195" s="954"/>
      <c r="IL1195" s="954"/>
      <c r="IM1195" s="954"/>
      <c r="IN1195" s="954"/>
      <c r="IO1195" s="954"/>
      <c r="IP1195" s="954"/>
      <c r="IQ1195" s="954"/>
      <c r="IR1195" s="954"/>
      <c r="IS1195" s="954"/>
      <c r="IT1195" s="954"/>
      <c r="IU1195" s="954"/>
      <c r="IV1195" s="954"/>
      <c r="IW1195" s="954"/>
      <c r="IX1195" s="954"/>
    </row>
    <row r="1196" spans="1:258" x14ac:dyDescent="0.25">
      <c r="A1196" s="125">
        <f t="shared" si="132"/>
        <v>1156</v>
      </c>
      <c r="B1196" s="885"/>
      <c r="C1196" s="842" t="s">
        <v>10731</v>
      </c>
      <c r="D1196" s="924">
        <v>0</v>
      </c>
      <c r="E1196" s="924">
        <f t="shared" si="131"/>
        <v>0</v>
      </c>
      <c r="F1196" s="129">
        <v>0</v>
      </c>
      <c r="G1196" s="122" t="s">
        <v>1963</v>
      </c>
      <c r="H1196" s="885"/>
      <c r="I1196" s="885"/>
      <c r="J1196" s="885"/>
      <c r="K1196" s="885"/>
      <c r="L1196" s="885"/>
      <c r="M1196" s="885"/>
      <c r="N1196" s="885"/>
      <c r="O1196" s="885"/>
      <c r="P1196" s="885"/>
      <c r="Q1196" s="885"/>
      <c r="R1196" s="885"/>
      <c r="S1196" s="885"/>
      <c r="T1196" s="885"/>
      <c r="U1196" s="885"/>
      <c r="V1196" s="885"/>
      <c r="W1196" s="885"/>
      <c r="X1196" s="885"/>
      <c r="Y1196" s="885"/>
      <c r="Z1196" s="885"/>
      <c r="AA1196" s="885"/>
      <c r="AB1196" s="885"/>
      <c r="AC1196" s="885"/>
      <c r="AD1196" s="885"/>
      <c r="AE1196" s="885"/>
      <c r="AF1196" s="885"/>
      <c r="AG1196" s="885"/>
      <c r="AH1196" s="885"/>
      <c r="AI1196" s="885"/>
      <c r="AJ1196" s="885"/>
      <c r="AK1196" s="885"/>
      <c r="AL1196" s="885"/>
      <c r="AM1196" s="885"/>
      <c r="AN1196" s="885"/>
      <c r="AO1196" s="885"/>
      <c r="AP1196" s="885"/>
      <c r="AQ1196" s="885"/>
      <c r="AR1196" s="885"/>
      <c r="AS1196" s="885"/>
      <c r="AT1196" s="885"/>
      <c r="AU1196" s="885"/>
      <c r="AV1196" s="885"/>
      <c r="AW1196" s="885"/>
      <c r="AX1196" s="885"/>
      <c r="AY1196" s="885"/>
      <c r="AZ1196" s="885"/>
      <c r="BA1196" s="885"/>
      <c r="BB1196" s="885"/>
      <c r="BC1196" s="885"/>
      <c r="BD1196" s="885"/>
      <c r="BE1196" s="885"/>
      <c r="BF1196" s="885"/>
      <c r="BG1196" s="885"/>
      <c r="BH1196" s="885"/>
      <c r="BI1196" s="885"/>
      <c r="BJ1196" s="885"/>
      <c r="BK1196" s="885"/>
      <c r="BL1196" s="885"/>
      <c r="BM1196" s="885"/>
      <c r="BN1196" s="885"/>
      <c r="BO1196" s="885"/>
      <c r="BP1196" s="885"/>
      <c r="BQ1196" s="885"/>
      <c r="BR1196" s="885"/>
      <c r="BS1196" s="885"/>
      <c r="BT1196" s="885"/>
      <c r="BU1196" s="885"/>
      <c r="BV1196" s="885"/>
      <c r="BW1196" s="885"/>
      <c r="BX1196" s="885"/>
      <c r="BY1196" s="885"/>
      <c r="BZ1196" s="885"/>
      <c r="CA1196" s="885"/>
      <c r="CB1196" s="885"/>
      <c r="CC1196" s="885"/>
      <c r="CD1196" s="885"/>
      <c r="CE1196" s="885"/>
      <c r="CF1196" s="885"/>
      <c r="CG1196" s="885"/>
      <c r="CH1196" s="885"/>
      <c r="CI1196" s="885"/>
      <c r="CJ1196" s="885"/>
      <c r="CK1196" s="885"/>
      <c r="CL1196" s="885"/>
      <c r="CM1196" s="885"/>
      <c r="CN1196" s="885"/>
      <c r="CO1196" s="885"/>
      <c r="CP1196" s="885"/>
      <c r="CQ1196" s="885"/>
      <c r="CR1196" s="885"/>
      <c r="CS1196" s="885"/>
      <c r="CT1196" s="885"/>
      <c r="CU1196" s="885"/>
      <c r="CV1196" s="885"/>
      <c r="CW1196" s="885"/>
      <c r="CX1196" s="885"/>
      <c r="CY1196" s="885"/>
      <c r="CZ1196" s="885"/>
      <c r="DA1196" s="885"/>
      <c r="DB1196" s="885"/>
      <c r="DC1196" s="885"/>
      <c r="DD1196" s="885"/>
      <c r="DE1196" s="885"/>
      <c r="DF1196" s="885"/>
      <c r="DG1196" s="885"/>
      <c r="DH1196" s="885"/>
      <c r="DI1196" s="885"/>
      <c r="DJ1196" s="885"/>
      <c r="DK1196" s="885"/>
      <c r="DL1196" s="885"/>
      <c r="DM1196" s="885"/>
      <c r="DN1196" s="885"/>
      <c r="DO1196" s="885"/>
      <c r="DP1196" s="885"/>
      <c r="DQ1196" s="885"/>
      <c r="DR1196" s="885"/>
      <c r="DS1196" s="885"/>
      <c r="DT1196" s="885"/>
      <c r="DU1196" s="885"/>
      <c r="DV1196" s="885"/>
      <c r="DW1196" s="885"/>
      <c r="DX1196" s="885"/>
      <c r="DY1196" s="885"/>
      <c r="DZ1196" s="885"/>
      <c r="EA1196" s="885"/>
      <c r="EB1196" s="885"/>
      <c r="EC1196" s="885"/>
      <c r="ED1196" s="885"/>
      <c r="EE1196" s="885"/>
      <c r="EF1196" s="885"/>
      <c r="EG1196" s="885"/>
      <c r="EH1196" s="885"/>
      <c r="EI1196" s="885"/>
      <c r="EJ1196" s="885"/>
      <c r="EK1196" s="885"/>
      <c r="EL1196" s="885"/>
      <c r="EM1196" s="885"/>
      <c r="EN1196" s="885"/>
      <c r="EO1196" s="885"/>
      <c r="EP1196" s="885"/>
      <c r="EQ1196" s="885"/>
      <c r="ER1196" s="885"/>
      <c r="ES1196" s="885"/>
      <c r="ET1196" s="885"/>
      <c r="EU1196" s="885"/>
      <c r="EV1196" s="885"/>
      <c r="EW1196" s="885"/>
      <c r="EX1196" s="885"/>
      <c r="EY1196" s="885"/>
      <c r="EZ1196" s="885"/>
      <c r="FA1196" s="885"/>
      <c r="FB1196" s="885"/>
      <c r="FC1196" s="885"/>
      <c r="FD1196" s="885"/>
      <c r="FE1196" s="885"/>
      <c r="FF1196" s="885"/>
      <c r="FG1196" s="885"/>
      <c r="FH1196" s="885"/>
      <c r="FI1196" s="885"/>
      <c r="FJ1196" s="885"/>
      <c r="FK1196" s="885"/>
      <c r="FL1196" s="885"/>
      <c r="FM1196" s="885"/>
      <c r="FN1196" s="885"/>
      <c r="FO1196" s="885"/>
      <c r="FP1196" s="885"/>
      <c r="FQ1196" s="885"/>
      <c r="FR1196" s="885"/>
      <c r="FS1196" s="885"/>
      <c r="FT1196" s="885"/>
      <c r="FU1196" s="885"/>
      <c r="FV1196" s="885"/>
      <c r="FW1196" s="885"/>
      <c r="FX1196" s="885"/>
      <c r="FY1196" s="885"/>
      <c r="FZ1196" s="885"/>
      <c r="GA1196" s="885"/>
      <c r="GB1196" s="885"/>
      <c r="GC1196" s="885"/>
      <c r="GD1196" s="885"/>
      <c r="GE1196" s="885"/>
      <c r="GF1196" s="885"/>
      <c r="GG1196" s="885"/>
      <c r="GH1196" s="885"/>
      <c r="GI1196" s="885"/>
      <c r="GJ1196" s="885"/>
      <c r="GK1196" s="885"/>
      <c r="GL1196" s="885"/>
      <c r="GM1196" s="885"/>
      <c r="GN1196" s="885"/>
      <c r="GO1196" s="885"/>
      <c r="GP1196" s="885"/>
      <c r="GQ1196" s="885"/>
      <c r="GR1196" s="885"/>
      <c r="GS1196" s="885"/>
      <c r="GT1196" s="885"/>
      <c r="GU1196" s="885"/>
      <c r="GV1196" s="885"/>
      <c r="GW1196" s="885"/>
      <c r="GX1196" s="885"/>
      <c r="GY1196" s="885"/>
      <c r="GZ1196" s="885"/>
      <c r="HA1196" s="885"/>
      <c r="HB1196" s="885"/>
      <c r="HC1196" s="885"/>
      <c r="HD1196" s="885"/>
      <c r="HE1196" s="885"/>
      <c r="HF1196" s="885"/>
      <c r="HG1196" s="885"/>
      <c r="HH1196" s="885"/>
      <c r="HI1196" s="885"/>
      <c r="HJ1196" s="885"/>
      <c r="HK1196" s="885"/>
      <c r="HL1196" s="885"/>
      <c r="HM1196" s="885"/>
      <c r="HN1196" s="885"/>
      <c r="HO1196" s="885"/>
      <c r="HP1196" s="885"/>
      <c r="HQ1196" s="885"/>
      <c r="HR1196" s="885"/>
      <c r="HS1196" s="885"/>
      <c r="HT1196" s="885"/>
      <c r="HU1196" s="885"/>
      <c r="HV1196" s="885"/>
      <c r="HW1196" s="885"/>
      <c r="HX1196" s="885"/>
      <c r="HY1196" s="885"/>
      <c r="HZ1196" s="885"/>
      <c r="IA1196" s="885"/>
      <c r="IB1196" s="885"/>
      <c r="IC1196" s="885"/>
      <c r="ID1196" s="885"/>
      <c r="IE1196" s="885"/>
      <c r="IF1196" s="885"/>
      <c r="IG1196" s="885"/>
      <c r="IH1196" s="885"/>
      <c r="II1196" s="885"/>
      <c r="IJ1196" s="885"/>
      <c r="IK1196" s="885"/>
      <c r="IL1196" s="885"/>
      <c r="IM1196" s="885"/>
      <c r="IN1196" s="885"/>
      <c r="IO1196" s="885"/>
      <c r="IP1196" s="885"/>
      <c r="IQ1196" s="885"/>
      <c r="IR1196" s="885"/>
      <c r="IS1196" s="885"/>
      <c r="IT1196" s="885"/>
      <c r="IU1196" s="885"/>
      <c r="IV1196" s="885"/>
      <c r="IW1196" s="885"/>
      <c r="IX1196" s="885"/>
    </row>
    <row r="1197" spans="1:258" x14ac:dyDescent="0.25">
      <c r="A1197" s="125">
        <f t="shared" si="132"/>
        <v>1157</v>
      </c>
      <c r="B1197" s="885"/>
      <c r="C1197" s="842" t="s">
        <v>10732</v>
      </c>
      <c r="D1197" s="924">
        <v>0</v>
      </c>
      <c r="E1197" s="924">
        <f t="shared" si="131"/>
        <v>0</v>
      </c>
      <c r="F1197" s="129">
        <v>0</v>
      </c>
      <c r="G1197" s="122" t="s">
        <v>1963</v>
      </c>
      <c r="H1197" s="885"/>
      <c r="I1197" s="885"/>
      <c r="J1197" s="885"/>
      <c r="K1197" s="885"/>
      <c r="L1197" s="885"/>
      <c r="M1197" s="885"/>
      <c r="N1197" s="885"/>
      <c r="O1197" s="885"/>
      <c r="P1197" s="885"/>
      <c r="Q1197" s="885"/>
      <c r="R1197" s="885"/>
      <c r="S1197" s="885"/>
      <c r="T1197" s="885"/>
      <c r="U1197" s="885"/>
      <c r="V1197" s="885"/>
      <c r="W1197" s="885"/>
      <c r="X1197" s="885"/>
      <c r="Y1197" s="885"/>
      <c r="Z1197" s="885"/>
      <c r="AA1197" s="885"/>
      <c r="AB1197" s="885"/>
      <c r="AC1197" s="885"/>
      <c r="AD1197" s="885"/>
      <c r="AE1197" s="885"/>
      <c r="AF1197" s="885"/>
      <c r="AG1197" s="885"/>
      <c r="AH1197" s="885"/>
      <c r="AI1197" s="885"/>
      <c r="AJ1197" s="885"/>
      <c r="AK1197" s="885"/>
      <c r="AL1197" s="885"/>
      <c r="AM1197" s="885"/>
      <c r="AN1197" s="885"/>
      <c r="AO1197" s="885"/>
      <c r="AP1197" s="885"/>
      <c r="AQ1197" s="885"/>
      <c r="AR1197" s="885"/>
      <c r="AS1197" s="885"/>
      <c r="AT1197" s="885"/>
      <c r="AU1197" s="885"/>
      <c r="AV1197" s="885"/>
      <c r="AW1197" s="885"/>
      <c r="AX1197" s="885"/>
      <c r="AY1197" s="885"/>
      <c r="AZ1197" s="885"/>
      <c r="BA1197" s="885"/>
      <c r="BB1197" s="885"/>
      <c r="BC1197" s="885"/>
      <c r="BD1197" s="885"/>
      <c r="BE1197" s="885"/>
      <c r="BF1197" s="885"/>
      <c r="BG1197" s="885"/>
      <c r="BH1197" s="885"/>
      <c r="BI1197" s="885"/>
      <c r="BJ1197" s="885"/>
      <c r="BK1197" s="885"/>
      <c r="BL1197" s="885"/>
      <c r="BM1197" s="885"/>
      <c r="BN1197" s="885"/>
      <c r="BO1197" s="885"/>
      <c r="BP1197" s="885"/>
      <c r="BQ1197" s="885"/>
      <c r="BR1197" s="885"/>
      <c r="BS1197" s="885"/>
      <c r="BT1197" s="885"/>
      <c r="BU1197" s="885"/>
      <c r="BV1197" s="885"/>
      <c r="BW1197" s="885"/>
      <c r="BX1197" s="885"/>
      <c r="BY1197" s="885"/>
      <c r="BZ1197" s="885"/>
      <c r="CA1197" s="885"/>
      <c r="CB1197" s="885"/>
      <c r="CC1197" s="885"/>
      <c r="CD1197" s="885"/>
      <c r="CE1197" s="885"/>
      <c r="CF1197" s="885"/>
      <c r="CG1197" s="885"/>
      <c r="CH1197" s="885"/>
      <c r="CI1197" s="885"/>
      <c r="CJ1197" s="885"/>
      <c r="CK1197" s="885"/>
      <c r="CL1197" s="885"/>
      <c r="CM1197" s="885"/>
      <c r="CN1197" s="885"/>
      <c r="CO1197" s="885"/>
      <c r="CP1197" s="885"/>
      <c r="CQ1197" s="885"/>
      <c r="CR1197" s="885"/>
      <c r="CS1197" s="885"/>
      <c r="CT1197" s="885"/>
      <c r="CU1197" s="885"/>
      <c r="CV1197" s="885"/>
      <c r="CW1197" s="885"/>
      <c r="CX1197" s="885"/>
      <c r="CY1197" s="885"/>
      <c r="CZ1197" s="885"/>
      <c r="DA1197" s="885"/>
      <c r="DB1197" s="885"/>
      <c r="DC1197" s="885"/>
      <c r="DD1197" s="885"/>
      <c r="DE1197" s="885"/>
      <c r="DF1197" s="885"/>
      <c r="DG1197" s="885"/>
      <c r="DH1197" s="885"/>
      <c r="DI1197" s="885"/>
      <c r="DJ1197" s="885"/>
      <c r="DK1197" s="885"/>
      <c r="DL1197" s="885"/>
      <c r="DM1197" s="885"/>
      <c r="DN1197" s="885"/>
      <c r="DO1197" s="885"/>
      <c r="DP1197" s="885"/>
      <c r="DQ1197" s="885"/>
      <c r="DR1197" s="885"/>
      <c r="DS1197" s="885"/>
      <c r="DT1197" s="885"/>
      <c r="DU1197" s="885"/>
      <c r="DV1197" s="885"/>
      <c r="DW1197" s="885"/>
      <c r="DX1197" s="885"/>
      <c r="DY1197" s="885"/>
      <c r="DZ1197" s="885"/>
      <c r="EA1197" s="885"/>
      <c r="EB1197" s="885"/>
      <c r="EC1197" s="885"/>
      <c r="ED1197" s="885"/>
      <c r="EE1197" s="885"/>
      <c r="EF1197" s="885"/>
      <c r="EG1197" s="885"/>
      <c r="EH1197" s="885"/>
      <c r="EI1197" s="885"/>
      <c r="EJ1197" s="885"/>
      <c r="EK1197" s="885"/>
      <c r="EL1197" s="885"/>
      <c r="EM1197" s="885"/>
      <c r="EN1197" s="885"/>
      <c r="EO1197" s="885"/>
      <c r="EP1197" s="885"/>
      <c r="EQ1197" s="885"/>
      <c r="ER1197" s="885"/>
      <c r="ES1197" s="885"/>
      <c r="ET1197" s="885"/>
      <c r="EU1197" s="885"/>
      <c r="EV1197" s="885"/>
      <c r="EW1197" s="885"/>
      <c r="EX1197" s="885"/>
      <c r="EY1197" s="885"/>
      <c r="EZ1197" s="885"/>
      <c r="FA1197" s="885"/>
      <c r="FB1197" s="885"/>
      <c r="FC1197" s="885"/>
      <c r="FD1197" s="885"/>
      <c r="FE1197" s="885"/>
      <c r="FF1197" s="885"/>
      <c r="FG1197" s="885"/>
      <c r="FH1197" s="885"/>
      <c r="FI1197" s="885"/>
      <c r="FJ1197" s="885"/>
      <c r="FK1197" s="885"/>
      <c r="FL1197" s="885"/>
      <c r="FM1197" s="885"/>
      <c r="FN1197" s="885"/>
      <c r="FO1197" s="885"/>
      <c r="FP1197" s="885"/>
      <c r="FQ1197" s="885"/>
      <c r="FR1197" s="885"/>
      <c r="FS1197" s="885"/>
      <c r="FT1197" s="885"/>
      <c r="FU1197" s="885"/>
      <c r="FV1197" s="885"/>
      <c r="FW1197" s="885"/>
      <c r="FX1197" s="885"/>
      <c r="FY1197" s="885"/>
      <c r="FZ1197" s="885"/>
      <c r="GA1197" s="885"/>
      <c r="GB1197" s="885"/>
      <c r="GC1197" s="885"/>
      <c r="GD1197" s="885"/>
      <c r="GE1197" s="885"/>
      <c r="GF1197" s="885"/>
      <c r="GG1197" s="885"/>
      <c r="GH1197" s="885"/>
      <c r="GI1197" s="885"/>
      <c r="GJ1197" s="885"/>
      <c r="GK1197" s="885"/>
      <c r="GL1197" s="885"/>
      <c r="GM1197" s="885"/>
      <c r="GN1197" s="885"/>
      <c r="GO1197" s="885"/>
      <c r="GP1197" s="885"/>
      <c r="GQ1197" s="885"/>
      <c r="GR1197" s="885"/>
      <c r="GS1197" s="885"/>
      <c r="GT1197" s="885"/>
      <c r="GU1197" s="885"/>
      <c r="GV1197" s="885"/>
      <c r="GW1197" s="885"/>
      <c r="GX1197" s="885"/>
      <c r="GY1197" s="885"/>
      <c r="GZ1197" s="885"/>
      <c r="HA1197" s="885"/>
      <c r="HB1197" s="885"/>
      <c r="HC1197" s="885"/>
      <c r="HD1197" s="885"/>
      <c r="HE1197" s="885"/>
      <c r="HF1197" s="885"/>
      <c r="HG1197" s="885"/>
      <c r="HH1197" s="885"/>
      <c r="HI1197" s="885"/>
      <c r="HJ1197" s="885"/>
      <c r="HK1197" s="885"/>
      <c r="HL1197" s="885"/>
      <c r="HM1197" s="885"/>
      <c r="HN1197" s="885"/>
      <c r="HO1197" s="885"/>
      <c r="HP1197" s="885"/>
      <c r="HQ1197" s="885"/>
      <c r="HR1197" s="885"/>
      <c r="HS1197" s="885"/>
      <c r="HT1197" s="885"/>
      <c r="HU1197" s="885"/>
      <c r="HV1197" s="885"/>
      <c r="HW1197" s="885"/>
      <c r="HX1197" s="885"/>
      <c r="HY1197" s="885"/>
      <c r="HZ1197" s="885"/>
      <c r="IA1197" s="885"/>
      <c r="IB1197" s="885"/>
      <c r="IC1197" s="885"/>
      <c r="ID1197" s="885"/>
      <c r="IE1197" s="885"/>
      <c r="IF1197" s="885"/>
      <c r="IG1197" s="885"/>
      <c r="IH1197" s="885"/>
      <c r="II1197" s="885"/>
      <c r="IJ1197" s="885"/>
      <c r="IK1197" s="885"/>
      <c r="IL1197" s="885"/>
      <c r="IM1197" s="885"/>
      <c r="IN1197" s="885"/>
      <c r="IO1197" s="885"/>
      <c r="IP1197" s="885"/>
      <c r="IQ1197" s="885"/>
      <c r="IR1197" s="885"/>
      <c r="IS1197" s="885"/>
      <c r="IT1197" s="885"/>
      <c r="IU1197" s="885"/>
      <c r="IV1197" s="885"/>
      <c r="IW1197" s="885"/>
      <c r="IX1197" s="885"/>
    </row>
    <row r="1198" spans="1:258" x14ac:dyDescent="0.25">
      <c r="A1198" s="125">
        <f t="shared" si="132"/>
        <v>1158</v>
      </c>
      <c r="B1198" s="885"/>
      <c r="C1198" s="927" t="s">
        <v>10726</v>
      </c>
      <c r="D1198" s="928"/>
      <c r="E1198" s="928"/>
      <c r="F1198" s="129"/>
      <c r="H1198" s="885"/>
      <c r="I1198" s="885"/>
      <c r="J1198" s="885"/>
      <c r="K1198" s="885"/>
      <c r="L1198" s="885"/>
      <c r="M1198" s="885"/>
      <c r="N1198" s="885"/>
      <c r="O1198" s="885"/>
      <c r="P1198" s="885"/>
      <c r="Q1198" s="885"/>
      <c r="R1198" s="885"/>
      <c r="S1198" s="885"/>
      <c r="T1198" s="885"/>
      <c r="U1198" s="885"/>
      <c r="V1198" s="885"/>
      <c r="W1198" s="885"/>
      <c r="X1198" s="885"/>
      <c r="Y1198" s="885"/>
      <c r="Z1198" s="885"/>
      <c r="AA1198" s="885"/>
      <c r="AB1198" s="885"/>
      <c r="AC1198" s="885"/>
      <c r="AD1198" s="885"/>
      <c r="AE1198" s="885"/>
      <c r="AF1198" s="885"/>
      <c r="AG1198" s="885"/>
      <c r="AH1198" s="885"/>
      <c r="AI1198" s="885"/>
      <c r="AJ1198" s="885"/>
      <c r="AK1198" s="885"/>
      <c r="AL1198" s="885"/>
      <c r="AM1198" s="885"/>
      <c r="AN1198" s="885"/>
      <c r="AO1198" s="885"/>
      <c r="AP1198" s="885"/>
      <c r="AQ1198" s="885"/>
      <c r="AR1198" s="885"/>
      <c r="AS1198" s="885"/>
      <c r="AT1198" s="885"/>
      <c r="AU1198" s="885"/>
      <c r="AV1198" s="885"/>
      <c r="AW1198" s="885"/>
      <c r="AX1198" s="885"/>
      <c r="AY1198" s="885"/>
      <c r="AZ1198" s="885"/>
      <c r="BA1198" s="885"/>
      <c r="BB1198" s="885"/>
      <c r="BC1198" s="885"/>
      <c r="BD1198" s="885"/>
      <c r="BE1198" s="885"/>
      <c r="BF1198" s="885"/>
      <c r="BG1198" s="885"/>
      <c r="BH1198" s="885"/>
      <c r="BI1198" s="885"/>
      <c r="BJ1198" s="885"/>
      <c r="BK1198" s="885"/>
      <c r="BL1198" s="885"/>
      <c r="BM1198" s="885"/>
      <c r="BN1198" s="885"/>
      <c r="BO1198" s="885"/>
      <c r="BP1198" s="885"/>
      <c r="BQ1198" s="885"/>
      <c r="BR1198" s="885"/>
      <c r="BS1198" s="885"/>
      <c r="BT1198" s="885"/>
      <c r="BU1198" s="885"/>
      <c r="BV1198" s="885"/>
      <c r="BW1198" s="885"/>
      <c r="BX1198" s="885"/>
      <c r="BY1198" s="885"/>
      <c r="BZ1198" s="885"/>
      <c r="CA1198" s="885"/>
      <c r="CB1198" s="885"/>
      <c r="CC1198" s="885"/>
      <c r="CD1198" s="885"/>
      <c r="CE1198" s="885"/>
      <c r="CF1198" s="885"/>
      <c r="CG1198" s="885"/>
      <c r="CH1198" s="885"/>
      <c r="CI1198" s="885"/>
      <c r="CJ1198" s="885"/>
      <c r="CK1198" s="885"/>
      <c r="CL1198" s="885"/>
      <c r="CM1198" s="885"/>
      <c r="CN1198" s="885"/>
      <c r="CO1198" s="885"/>
      <c r="CP1198" s="885"/>
      <c r="CQ1198" s="885"/>
      <c r="CR1198" s="885"/>
      <c r="CS1198" s="885"/>
      <c r="CT1198" s="885"/>
      <c r="CU1198" s="885"/>
      <c r="CV1198" s="885"/>
      <c r="CW1198" s="885"/>
      <c r="CX1198" s="885"/>
      <c r="CY1198" s="885"/>
      <c r="CZ1198" s="885"/>
      <c r="DA1198" s="885"/>
      <c r="DB1198" s="885"/>
      <c r="DC1198" s="885"/>
      <c r="DD1198" s="885"/>
      <c r="DE1198" s="885"/>
      <c r="DF1198" s="885"/>
      <c r="DG1198" s="885"/>
      <c r="DH1198" s="885"/>
      <c r="DI1198" s="885"/>
      <c r="DJ1198" s="885"/>
      <c r="DK1198" s="885"/>
      <c r="DL1198" s="885"/>
      <c r="DM1198" s="885"/>
      <c r="DN1198" s="885"/>
      <c r="DO1198" s="885"/>
      <c r="DP1198" s="885"/>
      <c r="DQ1198" s="885"/>
      <c r="DR1198" s="885"/>
      <c r="DS1198" s="885"/>
      <c r="DT1198" s="885"/>
      <c r="DU1198" s="885"/>
      <c r="DV1198" s="885"/>
      <c r="DW1198" s="885"/>
      <c r="DX1198" s="885"/>
      <c r="DY1198" s="885"/>
      <c r="DZ1198" s="885"/>
      <c r="EA1198" s="885"/>
      <c r="EB1198" s="885"/>
      <c r="EC1198" s="885"/>
      <c r="ED1198" s="885"/>
      <c r="EE1198" s="885"/>
      <c r="EF1198" s="885"/>
      <c r="EG1198" s="885"/>
      <c r="EH1198" s="885"/>
      <c r="EI1198" s="885"/>
      <c r="EJ1198" s="885"/>
      <c r="EK1198" s="885"/>
      <c r="EL1198" s="885"/>
      <c r="EM1198" s="885"/>
      <c r="EN1198" s="885"/>
      <c r="EO1198" s="885"/>
      <c r="EP1198" s="885"/>
      <c r="EQ1198" s="885"/>
      <c r="ER1198" s="885"/>
      <c r="ES1198" s="885"/>
      <c r="ET1198" s="885"/>
      <c r="EU1198" s="885"/>
      <c r="EV1198" s="885"/>
      <c r="EW1198" s="885"/>
      <c r="EX1198" s="885"/>
      <c r="EY1198" s="885"/>
      <c r="EZ1198" s="885"/>
      <c r="FA1198" s="885"/>
      <c r="FB1198" s="885"/>
      <c r="FC1198" s="885"/>
      <c r="FD1198" s="885"/>
      <c r="FE1198" s="885"/>
      <c r="FF1198" s="885"/>
      <c r="FG1198" s="885"/>
      <c r="FH1198" s="885"/>
      <c r="FI1198" s="885"/>
      <c r="FJ1198" s="885"/>
      <c r="FK1198" s="885"/>
      <c r="FL1198" s="885"/>
      <c r="FM1198" s="885"/>
      <c r="FN1198" s="885"/>
      <c r="FO1198" s="885"/>
      <c r="FP1198" s="885"/>
      <c r="FQ1198" s="885"/>
      <c r="FR1198" s="885"/>
      <c r="FS1198" s="885"/>
      <c r="FT1198" s="885"/>
      <c r="FU1198" s="885"/>
      <c r="FV1198" s="885"/>
      <c r="FW1198" s="885"/>
      <c r="FX1198" s="885"/>
      <c r="FY1198" s="885"/>
      <c r="FZ1198" s="885"/>
      <c r="GA1198" s="885"/>
      <c r="GB1198" s="885"/>
      <c r="GC1198" s="885"/>
      <c r="GD1198" s="885"/>
      <c r="GE1198" s="885"/>
      <c r="GF1198" s="885"/>
      <c r="GG1198" s="885"/>
      <c r="GH1198" s="885"/>
      <c r="GI1198" s="885"/>
      <c r="GJ1198" s="885"/>
      <c r="GK1198" s="885"/>
      <c r="GL1198" s="885"/>
      <c r="GM1198" s="885"/>
      <c r="GN1198" s="885"/>
      <c r="GO1198" s="885"/>
      <c r="GP1198" s="885"/>
      <c r="GQ1198" s="885"/>
      <c r="GR1198" s="885"/>
      <c r="GS1198" s="885"/>
      <c r="GT1198" s="885"/>
      <c r="GU1198" s="885"/>
      <c r="GV1198" s="885"/>
      <c r="GW1198" s="885"/>
      <c r="GX1198" s="885"/>
      <c r="GY1198" s="885"/>
      <c r="GZ1198" s="885"/>
      <c r="HA1198" s="885"/>
      <c r="HB1198" s="885"/>
      <c r="HC1198" s="885"/>
      <c r="HD1198" s="885"/>
      <c r="HE1198" s="885"/>
      <c r="HF1198" s="885"/>
      <c r="HG1198" s="885"/>
      <c r="HH1198" s="885"/>
      <c r="HI1198" s="885"/>
      <c r="HJ1198" s="885"/>
      <c r="HK1198" s="885"/>
      <c r="HL1198" s="885"/>
      <c r="HM1198" s="885"/>
      <c r="HN1198" s="885"/>
      <c r="HO1198" s="885"/>
      <c r="HP1198" s="885"/>
      <c r="HQ1198" s="885"/>
      <c r="HR1198" s="885"/>
      <c r="HS1198" s="885"/>
      <c r="HT1198" s="885"/>
      <c r="HU1198" s="885"/>
      <c r="HV1198" s="885"/>
      <c r="HW1198" s="885"/>
      <c r="HX1198" s="885"/>
      <c r="HY1198" s="885"/>
      <c r="HZ1198" s="885"/>
      <c r="IA1198" s="885"/>
      <c r="IB1198" s="885"/>
      <c r="IC1198" s="885"/>
      <c r="ID1198" s="885"/>
      <c r="IE1198" s="885"/>
      <c r="IF1198" s="885"/>
      <c r="IG1198" s="885"/>
      <c r="IH1198" s="885"/>
      <c r="II1198" s="885"/>
      <c r="IJ1198" s="885"/>
      <c r="IK1198" s="885"/>
      <c r="IL1198" s="885"/>
      <c r="IM1198" s="885"/>
      <c r="IN1198" s="885"/>
      <c r="IO1198" s="885"/>
      <c r="IP1198" s="885"/>
      <c r="IQ1198" s="885"/>
      <c r="IR1198" s="885"/>
      <c r="IS1198" s="885"/>
      <c r="IT1198" s="885"/>
      <c r="IU1198" s="885"/>
      <c r="IV1198" s="885"/>
      <c r="IW1198" s="885"/>
      <c r="IX1198" s="885"/>
    </row>
    <row r="1199" spans="1:258" x14ac:dyDescent="0.25">
      <c r="A1199" s="125">
        <f t="shared" si="132"/>
        <v>1159</v>
      </c>
      <c r="B1199" s="885"/>
      <c r="C1199" s="842" t="s">
        <v>10733</v>
      </c>
      <c r="D1199" s="924">
        <v>0</v>
      </c>
      <c r="E1199" s="924">
        <f t="shared" si="131"/>
        <v>0</v>
      </c>
      <c r="F1199" s="129">
        <v>500</v>
      </c>
      <c r="G1199" s="122" t="s">
        <v>1963</v>
      </c>
      <c r="H1199" s="885"/>
      <c r="I1199" s="885"/>
      <c r="J1199" s="885"/>
      <c r="K1199" s="885"/>
      <c r="L1199" s="885"/>
      <c r="M1199" s="885"/>
      <c r="N1199" s="885"/>
      <c r="O1199" s="885"/>
      <c r="P1199" s="885"/>
      <c r="Q1199" s="885"/>
      <c r="R1199" s="885"/>
      <c r="S1199" s="885"/>
      <c r="T1199" s="885"/>
      <c r="U1199" s="885"/>
      <c r="V1199" s="885"/>
      <c r="W1199" s="885"/>
      <c r="X1199" s="885"/>
      <c r="Y1199" s="885"/>
      <c r="Z1199" s="885"/>
      <c r="AA1199" s="885"/>
      <c r="AB1199" s="885"/>
      <c r="AC1199" s="885"/>
      <c r="AD1199" s="885"/>
      <c r="AE1199" s="885"/>
      <c r="AF1199" s="885"/>
      <c r="AG1199" s="885"/>
      <c r="AH1199" s="885"/>
      <c r="AI1199" s="885"/>
      <c r="AJ1199" s="885"/>
      <c r="AK1199" s="885"/>
      <c r="AL1199" s="885"/>
      <c r="AM1199" s="885"/>
      <c r="AN1199" s="885"/>
      <c r="AO1199" s="885"/>
      <c r="AP1199" s="885"/>
      <c r="AQ1199" s="885"/>
      <c r="AR1199" s="885"/>
      <c r="AS1199" s="885"/>
      <c r="AT1199" s="885"/>
      <c r="AU1199" s="885"/>
      <c r="AV1199" s="885"/>
      <c r="AW1199" s="885"/>
      <c r="AX1199" s="885"/>
      <c r="AY1199" s="885"/>
      <c r="AZ1199" s="885"/>
      <c r="BA1199" s="885"/>
      <c r="BB1199" s="885"/>
      <c r="BC1199" s="885"/>
      <c r="BD1199" s="885"/>
      <c r="BE1199" s="885"/>
      <c r="BF1199" s="885"/>
      <c r="BG1199" s="885"/>
      <c r="BH1199" s="885"/>
      <c r="BI1199" s="885"/>
      <c r="BJ1199" s="885"/>
      <c r="BK1199" s="885"/>
      <c r="BL1199" s="885"/>
      <c r="BM1199" s="885"/>
      <c r="BN1199" s="885"/>
      <c r="BO1199" s="885"/>
      <c r="BP1199" s="885"/>
      <c r="BQ1199" s="885"/>
      <c r="BR1199" s="885"/>
      <c r="BS1199" s="885"/>
      <c r="BT1199" s="885"/>
      <c r="BU1199" s="885"/>
      <c r="BV1199" s="885"/>
      <c r="BW1199" s="885"/>
      <c r="BX1199" s="885"/>
      <c r="BY1199" s="885"/>
      <c r="BZ1199" s="885"/>
      <c r="CA1199" s="885"/>
      <c r="CB1199" s="885"/>
      <c r="CC1199" s="885"/>
      <c r="CD1199" s="885"/>
      <c r="CE1199" s="885"/>
      <c r="CF1199" s="885"/>
      <c r="CG1199" s="885"/>
      <c r="CH1199" s="885"/>
      <c r="CI1199" s="885"/>
      <c r="CJ1199" s="885"/>
      <c r="CK1199" s="885"/>
      <c r="CL1199" s="885"/>
      <c r="CM1199" s="885"/>
      <c r="CN1199" s="885"/>
      <c r="CO1199" s="885"/>
      <c r="CP1199" s="885"/>
      <c r="CQ1199" s="885"/>
      <c r="CR1199" s="885"/>
      <c r="CS1199" s="885"/>
      <c r="CT1199" s="885"/>
      <c r="CU1199" s="885"/>
      <c r="CV1199" s="885"/>
      <c r="CW1199" s="885"/>
      <c r="CX1199" s="885"/>
      <c r="CY1199" s="885"/>
      <c r="CZ1199" s="885"/>
      <c r="DA1199" s="885"/>
      <c r="DB1199" s="885"/>
      <c r="DC1199" s="885"/>
      <c r="DD1199" s="885"/>
      <c r="DE1199" s="885"/>
      <c r="DF1199" s="885"/>
      <c r="DG1199" s="885"/>
      <c r="DH1199" s="885"/>
      <c r="DI1199" s="885"/>
      <c r="DJ1199" s="885"/>
      <c r="DK1199" s="885"/>
      <c r="DL1199" s="885"/>
      <c r="DM1199" s="885"/>
      <c r="DN1199" s="885"/>
      <c r="DO1199" s="885"/>
      <c r="DP1199" s="885"/>
      <c r="DQ1199" s="885"/>
      <c r="DR1199" s="885"/>
      <c r="DS1199" s="885"/>
      <c r="DT1199" s="885"/>
      <c r="DU1199" s="885"/>
      <c r="DV1199" s="885"/>
      <c r="DW1199" s="885"/>
      <c r="DX1199" s="885"/>
      <c r="DY1199" s="885"/>
      <c r="DZ1199" s="885"/>
      <c r="EA1199" s="885"/>
      <c r="EB1199" s="885"/>
      <c r="EC1199" s="885"/>
      <c r="ED1199" s="885"/>
      <c r="EE1199" s="885"/>
      <c r="EF1199" s="885"/>
      <c r="EG1199" s="885"/>
      <c r="EH1199" s="885"/>
      <c r="EI1199" s="885"/>
      <c r="EJ1199" s="885"/>
      <c r="EK1199" s="885"/>
      <c r="EL1199" s="885"/>
      <c r="EM1199" s="885"/>
      <c r="EN1199" s="885"/>
      <c r="EO1199" s="885"/>
      <c r="EP1199" s="885"/>
      <c r="EQ1199" s="885"/>
      <c r="ER1199" s="885"/>
      <c r="ES1199" s="885"/>
      <c r="ET1199" s="885"/>
      <c r="EU1199" s="885"/>
      <c r="EV1199" s="885"/>
      <c r="EW1199" s="885"/>
      <c r="EX1199" s="885"/>
      <c r="EY1199" s="885"/>
      <c r="EZ1199" s="885"/>
      <c r="FA1199" s="885"/>
      <c r="FB1199" s="885"/>
      <c r="FC1199" s="885"/>
      <c r="FD1199" s="885"/>
      <c r="FE1199" s="885"/>
      <c r="FF1199" s="885"/>
      <c r="FG1199" s="885"/>
      <c r="FH1199" s="885"/>
      <c r="FI1199" s="885"/>
      <c r="FJ1199" s="885"/>
      <c r="FK1199" s="885"/>
      <c r="FL1199" s="885"/>
      <c r="FM1199" s="885"/>
      <c r="FN1199" s="885"/>
      <c r="FO1199" s="885"/>
      <c r="FP1199" s="885"/>
      <c r="FQ1199" s="885"/>
      <c r="FR1199" s="885"/>
      <c r="FS1199" s="885"/>
      <c r="FT1199" s="885"/>
      <c r="FU1199" s="885"/>
      <c r="FV1199" s="885"/>
      <c r="FW1199" s="885"/>
      <c r="FX1199" s="885"/>
      <c r="FY1199" s="885"/>
      <c r="FZ1199" s="885"/>
      <c r="GA1199" s="885"/>
      <c r="GB1199" s="885"/>
      <c r="GC1199" s="885"/>
      <c r="GD1199" s="885"/>
      <c r="GE1199" s="885"/>
      <c r="GF1199" s="885"/>
      <c r="GG1199" s="885"/>
      <c r="GH1199" s="885"/>
      <c r="GI1199" s="885"/>
      <c r="GJ1199" s="885"/>
      <c r="GK1199" s="885"/>
      <c r="GL1199" s="885"/>
      <c r="GM1199" s="885"/>
      <c r="GN1199" s="885"/>
      <c r="GO1199" s="885"/>
      <c r="GP1199" s="885"/>
      <c r="GQ1199" s="885"/>
      <c r="GR1199" s="885"/>
      <c r="GS1199" s="885"/>
      <c r="GT1199" s="885"/>
      <c r="GU1199" s="885"/>
      <c r="GV1199" s="885"/>
      <c r="GW1199" s="885"/>
      <c r="GX1199" s="885"/>
      <c r="GY1199" s="885"/>
      <c r="GZ1199" s="885"/>
      <c r="HA1199" s="885"/>
      <c r="HB1199" s="885"/>
      <c r="HC1199" s="885"/>
      <c r="HD1199" s="885"/>
      <c r="HE1199" s="885"/>
      <c r="HF1199" s="885"/>
      <c r="HG1199" s="885"/>
      <c r="HH1199" s="885"/>
      <c r="HI1199" s="885"/>
      <c r="HJ1199" s="885"/>
      <c r="HK1199" s="885"/>
      <c r="HL1199" s="885"/>
      <c r="HM1199" s="885"/>
      <c r="HN1199" s="885"/>
      <c r="HO1199" s="885"/>
      <c r="HP1199" s="885"/>
      <c r="HQ1199" s="885"/>
      <c r="HR1199" s="885"/>
      <c r="HS1199" s="885"/>
      <c r="HT1199" s="885"/>
      <c r="HU1199" s="885"/>
      <c r="HV1199" s="885"/>
      <c r="HW1199" s="885"/>
      <c r="HX1199" s="885"/>
      <c r="HY1199" s="885"/>
      <c r="HZ1199" s="885"/>
      <c r="IA1199" s="885"/>
      <c r="IB1199" s="885"/>
      <c r="IC1199" s="885"/>
      <c r="ID1199" s="885"/>
      <c r="IE1199" s="885"/>
      <c r="IF1199" s="885"/>
      <c r="IG1199" s="885"/>
      <c r="IH1199" s="885"/>
      <c r="II1199" s="885"/>
      <c r="IJ1199" s="885"/>
      <c r="IK1199" s="885"/>
      <c r="IL1199" s="885"/>
      <c r="IM1199" s="885"/>
      <c r="IN1199" s="885"/>
      <c r="IO1199" s="885"/>
      <c r="IP1199" s="885"/>
      <c r="IQ1199" s="885"/>
      <c r="IR1199" s="885"/>
      <c r="IS1199" s="885"/>
      <c r="IT1199" s="885"/>
      <c r="IU1199" s="885"/>
      <c r="IV1199" s="885"/>
      <c r="IW1199" s="885"/>
      <c r="IX1199" s="885"/>
    </row>
    <row r="1200" spans="1:258" x14ac:dyDescent="0.25">
      <c r="A1200" s="125">
        <f t="shared" si="132"/>
        <v>1160</v>
      </c>
      <c r="B1200" s="885"/>
      <c r="C1200" s="842" t="s">
        <v>10734</v>
      </c>
      <c r="D1200" s="924">
        <v>0</v>
      </c>
      <c r="E1200" s="924">
        <f t="shared" si="131"/>
        <v>0</v>
      </c>
      <c r="F1200" s="129">
        <v>1000</v>
      </c>
      <c r="G1200" s="122" t="s">
        <v>1963</v>
      </c>
      <c r="H1200" s="885"/>
      <c r="I1200" s="885"/>
      <c r="J1200" s="885"/>
      <c r="K1200" s="885"/>
      <c r="L1200" s="885"/>
      <c r="M1200" s="885"/>
      <c r="N1200" s="885"/>
      <c r="O1200" s="885"/>
      <c r="P1200" s="885"/>
      <c r="Q1200" s="885"/>
      <c r="R1200" s="885"/>
      <c r="S1200" s="885"/>
      <c r="T1200" s="885"/>
      <c r="U1200" s="885"/>
      <c r="V1200" s="885"/>
      <c r="W1200" s="885"/>
      <c r="X1200" s="885"/>
      <c r="Y1200" s="885"/>
      <c r="Z1200" s="885"/>
      <c r="AA1200" s="885"/>
      <c r="AB1200" s="885"/>
      <c r="AC1200" s="885"/>
      <c r="AD1200" s="885"/>
      <c r="AE1200" s="885"/>
      <c r="AF1200" s="885"/>
      <c r="AG1200" s="885"/>
      <c r="AH1200" s="885"/>
      <c r="AI1200" s="885"/>
      <c r="AJ1200" s="885"/>
      <c r="AK1200" s="885"/>
      <c r="AL1200" s="885"/>
      <c r="AM1200" s="885"/>
      <c r="AN1200" s="885"/>
      <c r="AO1200" s="885"/>
      <c r="AP1200" s="885"/>
      <c r="AQ1200" s="885"/>
      <c r="AR1200" s="885"/>
      <c r="AS1200" s="885"/>
      <c r="AT1200" s="885"/>
      <c r="AU1200" s="885"/>
      <c r="AV1200" s="885"/>
      <c r="AW1200" s="885"/>
      <c r="AX1200" s="885"/>
      <c r="AY1200" s="885"/>
      <c r="AZ1200" s="885"/>
      <c r="BA1200" s="885"/>
      <c r="BB1200" s="885"/>
      <c r="BC1200" s="885"/>
      <c r="BD1200" s="885"/>
      <c r="BE1200" s="885"/>
      <c r="BF1200" s="885"/>
      <c r="BG1200" s="885"/>
      <c r="BH1200" s="885"/>
      <c r="BI1200" s="885"/>
      <c r="BJ1200" s="885"/>
      <c r="BK1200" s="885"/>
      <c r="BL1200" s="885"/>
      <c r="BM1200" s="885"/>
      <c r="BN1200" s="885"/>
      <c r="BO1200" s="885"/>
      <c r="BP1200" s="885"/>
      <c r="BQ1200" s="885"/>
      <c r="BR1200" s="885"/>
      <c r="BS1200" s="885"/>
      <c r="BT1200" s="885"/>
      <c r="BU1200" s="885"/>
      <c r="BV1200" s="885"/>
      <c r="BW1200" s="885"/>
      <c r="BX1200" s="885"/>
      <c r="BY1200" s="885"/>
      <c r="BZ1200" s="885"/>
      <c r="CA1200" s="885"/>
      <c r="CB1200" s="885"/>
      <c r="CC1200" s="885"/>
      <c r="CD1200" s="885"/>
      <c r="CE1200" s="885"/>
      <c r="CF1200" s="885"/>
      <c r="CG1200" s="885"/>
      <c r="CH1200" s="885"/>
      <c r="CI1200" s="885"/>
      <c r="CJ1200" s="885"/>
      <c r="CK1200" s="885"/>
      <c r="CL1200" s="885"/>
      <c r="CM1200" s="885"/>
      <c r="CN1200" s="885"/>
      <c r="CO1200" s="885"/>
      <c r="CP1200" s="885"/>
      <c r="CQ1200" s="885"/>
      <c r="CR1200" s="885"/>
      <c r="CS1200" s="885"/>
      <c r="CT1200" s="885"/>
      <c r="CU1200" s="885"/>
      <c r="CV1200" s="885"/>
      <c r="CW1200" s="885"/>
      <c r="CX1200" s="885"/>
      <c r="CY1200" s="885"/>
      <c r="CZ1200" s="885"/>
      <c r="DA1200" s="885"/>
      <c r="DB1200" s="885"/>
      <c r="DC1200" s="885"/>
      <c r="DD1200" s="885"/>
      <c r="DE1200" s="885"/>
      <c r="DF1200" s="885"/>
      <c r="DG1200" s="885"/>
      <c r="DH1200" s="885"/>
      <c r="DI1200" s="885"/>
      <c r="DJ1200" s="885"/>
      <c r="DK1200" s="885"/>
      <c r="DL1200" s="885"/>
      <c r="DM1200" s="885"/>
      <c r="DN1200" s="885"/>
      <c r="DO1200" s="885"/>
      <c r="DP1200" s="885"/>
      <c r="DQ1200" s="885"/>
      <c r="DR1200" s="885"/>
      <c r="DS1200" s="885"/>
      <c r="DT1200" s="885"/>
      <c r="DU1200" s="885"/>
      <c r="DV1200" s="885"/>
      <c r="DW1200" s="885"/>
      <c r="DX1200" s="885"/>
      <c r="DY1200" s="885"/>
      <c r="DZ1200" s="885"/>
      <c r="EA1200" s="885"/>
      <c r="EB1200" s="885"/>
      <c r="EC1200" s="885"/>
      <c r="ED1200" s="885"/>
      <c r="EE1200" s="885"/>
      <c r="EF1200" s="885"/>
      <c r="EG1200" s="885"/>
      <c r="EH1200" s="885"/>
      <c r="EI1200" s="885"/>
      <c r="EJ1200" s="885"/>
      <c r="EK1200" s="885"/>
      <c r="EL1200" s="885"/>
      <c r="EM1200" s="885"/>
      <c r="EN1200" s="885"/>
      <c r="EO1200" s="885"/>
      <c r="EP1200" s="885"/>
      <c r="EQ1200" s="885"/>
      <c r="ER1200" s="885"/>
      <c r="ES1200" s="885"/>
      <c r="ET1200" s="885"/>
      <c r="EU1200" s="885"/>
      <c r="EV1200" s="885"/>
      <c r="EW1200" s="885"/>
      <c r="EX1200" s="885"/>
      <c r="EY1200" s="885"/>
      <c r="EZ1200" s="885"/>
      <c r="FA1200" s="885"/>
      <c r="FB1200" s="885"/>
      <c r="FC1200" s="885"/>
      <c r="FD1200" s="885"/>
      <c r="FE1200" s="885"/>
      <c r="FF1200" s="885"/>
      <c r="FG1200" s="885"/>
      <c r="FH1200" s="885"/>
      <c r="FI1200" s="885"/>
      <c r="FJ1200" s="885"/>
      <c r="FK1200" s="885"/>
      <c r="FL1200" s="885"/>
      <c r="FM1200" s="885"/>
      <c r="FN1200" s="885"/>
      <c r="FO1200" s="885"/>
      <c r="FP1200" s="885"/>
      <c r="FQ1200" s="885"/>
      <c r="FR1200" s="885"/>
      <c r="FS1200" s="885"/>
      <c r="FT1200" s="885"/>
      <c r="FU1200" s="885"/>
      <c r="FV1200" s="885"/>
      <c r="FW1200" s="885"/>
      <c r="FX1200" s="885"/>
      <c r="FY1200" s="885"/>
      <c r="FZ1200" s="885"/>
      <c r="GA1200" s="885"/>
      <c r="GB1200" s="885"/>
      <c r="GC1200" s="885"/>
      <c r="GD1200" s="885"/>
      <c r="GE1200" s="885"/>
      <c r="GF1200" s="885"/>
      <c r="GG1200" s="885"/>
      <c r="GH1200" s="885"/>
      <c r="GI1200" s="885"/>
      <c r="GJ1200" s="885"/>
      <c r="GK1200" s="885"/>
      <c r="GL1200" s="885"/>
      <c r="GM1200" s="885"/>
      <c r="GN1200" s="885"/>
      <c r="GO1200" s="885"/>
      <c r="GP1200" s="885"/>
      <c r="GQ1200" s="885"/>
      <c r="GR1200" s="885"/>
      <c r="GS1200" s="885"/>
      <c r="GT1200" s="885"/>
      <c r="GU1200" s="885"/>
      <c r="GV1200" s="885"/>
      <c r="GW1200" s="885"/>
      <c r="GX1200" s="885"/>
      <c r="GY1200" s="885"/>
      <c r="GZ1200" s="885"/>
      <c r="HA1200" s="885"/>
      <c r="HB1200" s="885"/>
      <c r="HC1200" s="885"/>
      <c r="HD1200" s="885"/>
      <c r="HE1200" s="885"/>
      <c r="HF1200" s="885"/>
      <c r="HG1200" s="885"/>
      <c r="HH1200" s="885"/>
      <c r="HI1200" s="885"/>
      <c r="HJ1200" s="885"/>
      <c r="HK1200" s="885"/>
      <c r="HL1200" s="885"/>
      <c r="HM1200" s="885"/>
      <c r="HN1200" s="885"/>
      <c r="HO1200" s="885"/>
      <c r="HP1200" s="885"/>
      <c r="HQ1200" s="885"/>
      <c r="HR1200" s="885"/>
      <c r="HS1200" s="885"/>
      <c r="HT1200" s="885"/>
      <c r="HU1200" s="885"/>
      <c r="HV1200" s="885"/>
      <c r="HW1200" s="885"/>
      <c r="HX1200" s="885"/>
      <c r="HY1200" s="885"/>
      <c r="HZ1200" s="885"/>
      <c r="IA1200" s="885"/>
      <c r="IB1200" s="885"/>
      <c r="IC1200" s="885"/>
      <c r="ID1200" s="885"/>
      <c r="IE1200" s="885"/>
      <c r="IF1200" s="885"/>
      <c r="IG1200" s="885"/>
      <c r="IH1200" s="885"/>
      <c r="II1200" s="885"/>
      <c r="IJ1200" s="885"/>
      <c r="IK1200" s="885"/>
      <c r="IL1200" s="885"/>
      <c r="IM1200" s="885"/>
      <c r="IN1200" s="885"/>
      <c r="IO1200" s="885"/>
      <c r="IP1200" s="885"/>
      <c r="IQ1200" s="885"/>
      <c r="IR1200" s="885"/>
      <c r="IS1200" s="885"/>
      <c r="IT1200" s="885"/>
      <c r="IU1200" s="885"/>
      <c r="IV1200" s="885"/>
      <c r="IW1200" s="885"/>
      <c r="IX1200" s="885"/>
    </row>
    <row r="1201" spans="1:258" x14ac:dyDescent="0.25">
      <c r="A1201" s="125">
        <f t="shared" si="132"/>
        <v>1161</v>
      </c>
      <c r="B1201" s="885"/>
      <c r="C1201" s="842" t="s">
        <v>10735</v>
      </c>
      <c r="D1201" s="924">
        <v>0</v>
      </c>
      <c r="E1201" s="924">
        <f t="shared" si="131"/>
        <v>0</v>
      </c>
      <c r="F1201" s="129">
        <v>500</v>
      </c>
      <c r="G1201" s="122" t="s">
        <v>1963</v>
      </c>
      <c r="H1201" s="885"/>
      <c r="I1201" s="885"/>
      <c r="J1201" s="885"/>
      <c r="K1201" s="885"/>
      <c r="L1201" s="885"/>
      <c r="M1201" s="885"/>
      <c r="N1201" s="885"/>
      <c r="O1201" s="885"/>
      <c r="P1201" s="885"/>
      <c r="Q1201" s="885"/>
      <c r="R1201" s="885"/>
      <c r="S1201" s="885"/>
      <c r="T1201" s="885"/>
      <c r="U1201" s="885"/>
      <c r="V1201" s="885"/>
      <c r="W1201" s="885"/>
      <c r="X1201" s="885"/>
      <c r="Y1201" s="885"/>
      <c r="Z1201" s="885"/>
      <c r="AA1201" s="885"/>
      <c r="AB1201" s="885"/>
      <c r="AC1201" s="885"/>
      <c r="AD1201" s="885"/>
      <c r="AE1201" s="885"/>
      <c r="AF1201" s="885"/>
      <c r="AG1201" s="885"/>
      <c r="AH1201" s="885"/>
      <c r="AI1201" s="885"/>
      <c r="AJ1201" s="885"/>
      <c r="AK1201" s="885"/>
      <c r="AL1201" s="885"/>
      <c r="AM1201" s="885"/>
      <c r="AN1201" s="885"/>
      <c r="AO1201" s="885"/>
      <c r="AP1201" s="885"/>
      <c r="AQ1201" s="885"/>
      <c r="AR1201" s="885"/>
      <c r="AS1201" s="885"/>
      <c r="AT1201" s="885"/>
      <c r="AU1201" s="885"/>
      <c r="AV1201" s="885"/>
      <c r="AW1201" s="885"/>
      <c r="AX1201" s="885"/>
      <c r="AY1201" s="885"/>
      <c r="AZ1201" s="885"/>
      <c r="BA1201" s="885"/>
      <c r="BB1201" s="885"/>
      <c r="BC1201" s="885"/>
      <c r="BD1201" s="885"/>
      <c r="BE1201" s="885"/>
      <c r="BF1201" s="885"/>
      <c r="BG1201" s="885"/>
      <c r="BH1201" s="885"/>
      <c r="BI1201" s="885"/>
      <c r="BJ1201" s="885"/>
      <c r="BK1201" s="885"/>
      <c r="BL1201" s="885"/>
      <c r="BM1201" s="885"/>
      <c r="BN1201" s="885"/>
      <c r="BO1201" s="885"/>
      <c r="BP1201" s="885"/>
      <c r="BQ1201" s="885"/>
      <c r="BR1201" s="885"/>
      <c r="BS1201" s="885"/>
      <c r="BT1201" s="885"/>
      <c r="BU1201" s="885"/>
      <c r="BV1201" s="885"/>
      <c r="BW1201" s="885"/>
      <c r="BX1201" s="885"/>
      <c r="BY1201" s="885"/>
      <c r="BZ1201" s="885"/>
      <c r="CA1201" s="885"/>
      <c r="CB1201" s="885"/>
      <c r="CC1201" s="885"/>
      <c r="CD1201" s="885"/>
      <c r="CE1201" s="885"/>
      <c r="CF1201" s="885"/>
      <c r="CG1201" s="885"/>
      <c r="CH1201" s="885"/>
      <c r="CI1201" s="885"/>
      <c r="CJ1201" s="885"/>
      <c r="CK1201" s="885"/>
      <c r="CL1201" s="885"/>
      <c r="CM1201" s="885"/>
      <c r="CN1201" s="885"/>
      <c r="CO1201" s="885"/>
      <c r="CP1201" s="885"/>
      <c r="CQ1201" s="885"/>
      <c r="CR1201" s="885"/>
      <c r="CS1201" s="885"/>
      <c r="CT1201" s="885"/>
      <c r="CU1201" s="885"/>
      <c r="CV1201" s="885"/>
      <c r="CW1201" s="885"/>
      <c r="CX1201" s="885"/>
      <c r="CY1201" s="885"/>
      <c r="CZ1201" s="885"/>
      <c r="DA1201" s="885"/>
      <c r="DB1201" s="885"/>
      <c r="DC1201" s="885"/>
      <c r="DD1201" s="885"/>
      <c r="DE1201" s="885"/>
      <c r="DF1201" s="885"/>
      <c r="DG1201" s="885"/>
      <c r="DH1201" s="885"/>
      <c r="DI1201" s="885"/>
      <c r="DJ1201" s="885"/>
      <c r="DK1201" s="885"/>
      <c r="DL1201" s="885"/>
      <c r="DM1201" s="885"/>
      <c r="DN1201" s="885"/>
      <c r="DO1201" s="885"/>
      <c r="DP1201" s="885"/>
      <c r="DQ1201" s="885"/>
      <c r="DR1201" s="885"/>
      <c r="DS1201" s="885"/>
      <c r="DT1201" s="885"/>
      <c r="DU1201" s="885"/>
      <c r="DV1201" s="885"/>
      <c r="DW1201" s="885"/>
      <c r="DX1201" s="885"/>
      <c r="DY1201" s="885"/>
      <c r="DZ1201" s="885"/>
      <c r="EA1201" s="885"/>
      <c r="EB1201" s="885"/>
      <c r="EC1201" s="885"/>
      <c r="ED1201" s="885"/>
      <c r="EE1201" s="885"/>
      <c r="EF1201" s="885"/>
      <c r="EG1201" s="885"/>
      <c r="EH1201" s="885"/>
      <c r="EI1201" s="885"/>
      <c r="EJ1201" s="885"/>
      <c r="EK1201" s="885"/>
      <c r="EL1201" s="885"/>
      <c r="EM1201" s="885"/>
      <c r="EN1201" s="885"/>
      <c r="EO1201" s="885"/>
      <c r="EP1201" s="885"/>
      <c r="EQ1201" s="885"/>
      <c r="ER1201" s="885"/>
      <c r="ES1201" s="885"/>
      <c r="ET1201" s="885"/>
      <c r="EU1201" s="885"/>
      <c r="EV1201" s="885"/>
      <c r="EW1201" s="885"/>
      <c r="EX1201" s="885"/>
      <c r="EY1201" s="885"/>
      <c r="EZ1201" s="885"/>
      <c r="FA1201" s="885"/>
      <c r="FB1201" s="885"/>
      <c r="FC1201" s="885"/>
      <c r="FD1201" s="885"/>
      <c r="FE1201" s="885"/>
      <c r="FF1201" s="885"/>
      <c r="FG1201" s="885"/>
      <c r="FH1201" s="885"/>
      <c r="FI1201" s="885"/>
      <c r="FJ1201" s="885"/>
      <c r="FK1201" s="885"/>
      <c r="FL1201" s="885"/>
      <c r="FM1201" s="885"/>
      <c r="FN1201" s="885"/>
      <c r="FO1201" s="885"/>
      <c r="FP1201" s="885"/>
      <c r="FQ1201" s="885"/>
      <c r="FR1201" s="885"/>
      <c r="FS1201" s="885"/>
      <c r="FT1201" s="885"/>
      <c r="FU1201" s="885"/>
      <c r="FV1201" s="885"/>
      <c r="FW1201" s="885"/>
      <c r="FX1201" s="885"/>
      <c r="FY1201" s="885"/>
      <c r="FZ1201" s="885"/>
      <c r="GA1201" s="885"/>
      <c r="GB1201" s="885"/>
      <c r="GC1201" s="885"/>
      <c r="GD1201" s="885"/>
      <c r="GE1201" s="885"/>
      <c r="GF1201" s="885"/>
      <c r="GG1201" s="885"/>
      <c r="GH1201" s="885"/>
      <c r="GI1201" s="885"/>
      <c r="GJ1201" s="885"/>
      <c r="GK1201" s="885"/>
      <c r="GL1201" s="885"/>
      <c r="GM1201" s="885"/>
      <c r="GN1201" s="885"/>
      <c r="GO1201" s="885"/>
      <c r="GP1201" s="885"/>
      <c r="GQ1201" s="885"/>
      <c r="GR1201" s="885"/>
      <c r="GS1201" s="885"/>
      <c r="GT1201" s="885"/>
      <c r="GU1201" s="885"/>
      <c r="GV1201" s="885"/>
      <c r="GW1201" s="885"/>
      <c r="GX1201" s="885"/>
      <c r="GY1201" s="885"/>
      <c r="GZ1201" s="885"/>
      <c r="HA1201" s="885"/>
      <c r="HB1201" s="885"/>
      <c r="HC1201" s="885"/>
      <c r="HD1201" s="885"/>
      <c r="HE1201" s="885"/>
      <c r="HF1201" s="885"/>
      <c r="HG1201" s="885"/>
      <c r="HH1201" s="885"/>
      <c r="HI1201" s="885"/>
      <c r="HJ1201" s="885"/>
      <c r="HK1201" s="885"/>
      <c r="HL1201" s="885"/>
      <c r="HM1201" s="885"/>
      <c r="HN1201" s="885"/>
      <c r="HO1201" s="885"/>
      <c r="HP1201" s="885"/>
      <c r="HQ1201" s="885"/>
      <c r="HR1201" s="885"/>
      <c r="HS1201" s="885"/>
      <c r="HT1201" s="885"/>
      <c r="HU1201" s="885"/>
      <c r="HV1201" s="885"/>
      <c r="HW1201" s="885"/>
      <c r="HX1201" s="885"/>
      <c r="HY1201" s="885"/>
      <c r="HZ1201" s="885"/>
      <c r="IA1201" s="885"/>
      <c r="IB1201" s="885"/>
      <c r="IC1201" s="885"/>
      <c r="ID1201" s="885"/>
      <c r="IE1201" s="885"/>
      <c r="IF1201" s="885"/>
      <c r="IG1201" s="885"/>
      <c r="IH1201" s="885"/>
      <c r="II1201" s="885"/>
      <c r="IJ1201" s="885"/>
      <c r="IK1201" s="885"/>
      <c r="IL1201" s="885"/>
      <c r="IM1201" s="885"/>
      <c r="IN1201" s="885"/>
      <c r="IO1201" s="885"/>
      <c r="IP1201" s="885"/>
      <c r="IQ1201" s="885"/>
      <c r="IR1201" s="885"/>
      <c r="IS1201" s="885"/>
      <c r="IT1201" s="885"/>
      <c r="IU1201" s="885"/>
      <c r="IV1201" s="885"/>
      <c r="IW1201" s="885"/>
      <c r="IX1201" s="885"/>
    </row>
    <row r="1202" spans="1:258" x14ac:dyDescent="0.25">
      <c r="A1202" s="125">
        <f t="shared" si="132"/>
        <v>1162</v>
      </c>
      <c r="B1202" s="885"/>
      <c r="C1202" s="842" t="s">
        <v>10736</v>
      </c>
      <c r="D1202" s="924">
        <v>0</v>
      </c>
      <c r="E1202" s="924">
        <f t="shared" si="131"/>
        <v>0</v>
      </c>
      <c r="F1202" s="129">
        <v>500</v>
      </c>
      <c r="G1202" s="122" t="s">
        <v>1963</v>
      </c>
      <c r="H1202" s="885"/>
      <c r="I1202" s="885"/>
      <c r="J1202" s="885"/>
      <c r="K1202" s="885"/>
      <c r="L1202" s="885"/>
      <c r="M1202" s="885"/>
      <c r="N1202" s="885"/>
      <c r="O1202" s="885"/>
      <c r="P1202" s="885"/>
      <c r="Q1202" s="885"/>
      <c r="R1202" s="885"/>
      <c r="S1202" s="885"/>
      <c r="T1202" s="885"/>
      <c r="U1202" s="885"/>
      <c r="V1202" s="885"/>
      <c r="W1202" s="885"/>
      <c r="X1202" s="885"/>
      <c r="Y1202" s="885"/>
      <c r="Z1202" s="885"/>
      <c r="AA1202" s="885"/>
      <c r="AB1202" s="885"/>
      <c r="AC1202" s="885"/>
      <c r="AD1202" s="885"/>
      <c r="AE1202" s="885"/>
      <c r="AF1202" s="885"/>
      <c r="AG1202" s="885"/>
      <c r="AH1202" s="885"/>
      <c r="AI1202" s="885"/>
      <c r="AJ1202" s="885"/>
      <c r="AK1202" s="885"/>
      <c r="AL1202" s="885"/>
      <c r="AM1202" s="885"/>
      <c r="AN1202" s="885"/>
      <c r="AO1202" s="885"/>
      <c r="AP1202" s="885"/>
      <c r="AQ1202" s="885"/>
      <c r="AR1202" s="885"/>
      <c r="AS1202" s="885"/>
      <c r="AT1202" s="885"/>
      <c r="AU1202" s="885"/>
      <c r="AV1202" s="885"/>
      <c r="AW1202" s="885"/>
      <c r="AX1202" s="885"/>
      <c r="AY1202" s="885"/>
      <c r="AZ1202" s="885"/>
      <c r="BA1202" s="885"/>
      <c r="BB1202" s="885"/>
      <c r="BC1202" s="885"/>
      <c r="BD1202" s="885"/>
      <c r="BE1202" s="885"/>
      <c r="BF1202" s="885"/>
      <c r="BG1202" s="885"/>
      <c r="BH1202" s="885"/>
      <c r="BI1202" s="885"/>
      <c r="BJ1202" s="885"/>
      <c r="BK1202" s="885"/>
      <c r="BL1202" s="885"/>
      <c r="BM1202" s="885"/>
      <c r="BN1202" s="885"/>
      <c r="BO1202" s="885"/>
      <c r="BP1202" s="885"/>
      <c r="BQ1202" s="885"/>
      <c r="BR1202" s="885"/>
      <c r="BS1202" s="885"/>
      <c r="BT1202" s="885"/>
      <c r="BU1202" s="885"/>
      <c r="BV1202" s="885"/>
      <c r="BW1202" s="885"/>
      <c r="BX1202" s="885"/>
      <c r="BY1202" s="885"/>
      <c r="BZ1202" s="885"/>
      <c r="CA1202" s="885"/>
      <c r="CB1202" s="885"/>
      <c r="CC1202" s="885"/>
      <c r="CD1202" s="885"/>
      <c r="CE1202" s="885"/>
      <c r="CF1202" s="885"/>
      <c r="CG1202" s="885"/>
      <c r="CH1202" s="885"/>
      <c r="CI1202" s="885"/>
      <c r="CJ1202" s="885"/>
      <c r="CK1202" s="885"/>
      <c r="CL1202" s="885"/>
      <c r="CM1202" s="885"/>
      <c r="CN1202" s="885"/>
      <c r="CO1202" s="885"/>
      <c r="CP1202" s="885"/>
      <c r="CQ1202" s="885"/>
      <c r="CR1202" s="885"/>
      <c r="CS1202" s="885"/>
      <c r="CT1202" s="885"/>
      <c r="CU1202" s="885"/>
      <c r="CV1202" s="885"/>
      <c r="CW1202" s="885"/>
      <c r="CX1202" s="885"/>
      <c r="CY1202" s="885"/>
      <c r="CZ1202" s="885"/>
      <c r="DA1202" s="885"/>
      <c r="DB1202" s="885"/>
      <c r="DC1202" s="885"/>
      <c r="DD1202" s="885"/>
      <c r="DE1202" s="885"/>
      <c r="DF1202" s="885"/>
      <c r="DG1202" s="885"/>
      <c r="DH1202" s="885"/>
      <c r="DI1202" s="885"/>
      <c r="DJ1202" s="885"/>
      <c r="DK1202" s="885"/>
      <c r="DL1202" s="885"/>
      <c r="DM1202" s="885"/>
      <c r="DN1202" s="885"/>
      <c r="DO1202" s="885"/>
      <c r="DP1202" s="885"/>
      <c r="DQ1202" s="885"/>
      <c r="DR1202" s="885"/>
      <c r="DS1202" s="885"/>
      <c r="DT1202" s="885"/>
      <c r="DU1202" s="885"/>
      <c r="DV1202" s="885"/>
      <c r="DW1202" s="885"/>
      <c r="DX1202" s="885"/>
      <c r="DY1202" s="885"/>
      <c r="DZ1202" s="885"/>
      <c r="EA1202" s="885"/>
      <c r="EB1202" s="885"/>
      <c r="EC1202" s="885"/>
      <c r="ED1202" s="885"/>
      <c r="EE1202" s="885"/>
      <c r="EF1202" s="885"/>
      <c r="EG1202" s="885"/>
      <c r="EH1202" s="885"/>
      <c r="EI1202" s="885"/>
      <c r="EJ1202" s="885"/>
      <c r="EK1202" s="885"/>
      <c r="EL1202" s="885"/>
      <c r="EM1202" s="885"/>
      <c r="EN1202" s="885"/>
      <c r="EO1202" s="885"/>
      <c r="EP1202" s="885"/>
      <c r="EQ1202" s="885"/>
      <c r="ER1202" s="885"/>
      <c r="ES1202" s="885"/>
      <c r="ET1202" s="885"/>
      <c r="EU1202" s="885"/>
      <c r="EV1202" s="885"/>
      <c r="EW1202" s="885"/>
      <c r="EX1202" s="885"/>
      <c r="EY1202" s="885"/>
      <c r="EZ1202" s="885"/>
      <c r="FA1202" s="885"/>
      <c r="FB1202" s="885"/>
      <c r="FC1202" s="885"/>
      <c r="FD1202" s="885"/>
      <c r="FE1202" s="885"/>
      <c r="FF1202" s="885"/>
      <c r="FG1202" s="885"/>
      <c r="FH1202" s="885"/>
      <c r="FI1202" s="885"/>
      <c r="FJ1202" s="885"/>
      <c r="FK1202" s="885"/>
      <c r="FL1202" s="885"/>
      <c r="FM1202" s="885"/>
      <c r="FN1202" s="885"/>
      <c r="FO1202" s="885"/>
      <c r="FP1202" s="885"/>
      <c r="FQ1202" s="885"/>
      <c r="FR1202" s="885"/>
      <c r="FS1202" s="885"/>
      <c r="FT1202" s="885"/>
      <c r="FU1202" s="885"/>
      <c r="FV1202" s="885"/>
      <c r="FW1202" s="885"/>
      <c r="FX1202" s="885"/>
      <c r="FY1202" s="885"/>
      <c r="FZ1202" s="885"/>
      <c r="GA1202" s="885"/>
      <c r="GB1202" s="885"/>
      <c r="GC1202" s="885"/>
      <c r="GD1202" s="885"/>
      <c r="GE1202" s="885"/>
      <c r="GF1202" s="885"/>
      <c r="GG1202" s="885"/>
      <c r="GH1202" s="885"/>
      <c r="GI1202" s="885"/>
      <c r="GJ1202" s="885"/>
      <c r="GK1202" s="885"/>
      <c r="GL1202" s="885"/>
      <c r="GM1202" s="885"/>
      <c r="GN1202" s="885"/>
      <c r="GO1202" s="885"/>
      <c r="GP1202" s="885"/>
      <c r="GQ1202" s="885"/>
      <c r="GR1202" s="885"/>
      <c r="GS1202" s="885"/>
      <c r="GT1202" s="885"/>
      <c r="GU1202" s="885"/>
      <c r="GV1202" s="885"/>
      <c r="GW1202" s="885"/>
      <c r="GX1202" s="885"/>
      <c r="GY1202" s="885"/>
      <c r="GZ1202" s="885"/>
      <c r="HA1202" s="885"/>
      <c r="HB1202" s="885"/>
      <c r="HC1202" s="885"/>
      <c r="HD1202" s="885"/>
      <c r="HE1202" s="885"/>
      <c r="HF1202" s="885"/>
      <c r="HG1202" s="885"/>
      <c r="HH1202" s="885"/>
      <c r="HI1202" s="885"/>
      <c r="HJ1202" s="885"/>
      <c r="HK1202" s="885"/>
      <c r="HL1202" s="885"/>
      <c r="HM1202" s="885"/>
      <c r="HN1202" s="885"/>
      <c r="HO1202" s="885"/>
      <c r="HP1202" s="885"/>
      <c r="HQ1202" s="885"/>
      <c r="HR1202" s="885"/>
      <c r="HS1202" s="885"/>
      <c r="HT1202" s="885"/>
      <c r="HU1202" s="885"/>
      <c r="HV1202" s="885"/>
      <c r="HW1202" s="885"/>
      <c r="HX1202" s="885"/>
      <c r="HY1202" s="885"/>
      <c r="HZ1202" s="885"/>
      <c r="IA1202" s="885"/>
      <c r="IB1202" s="885"/>
      <c r="IC1202" s="885"/>
      <c r="ID1202" s="885"/>
      <c r="IE1202" s="885"/>
      <c r="IF1202" s="885"/>
      <c r="IG1202" s="885"/>
      <c r="IH1202" s="885"/>
      <c r="II1202" s="885"/>
      <c r="IJ1202" s="885"/>
      <c r="IK1202" s="885"/>
      <c r="IL1202" s="885"/>
      <c r="IM1202" s="885"/>
      <c r="IN1202" s="885"/>
      <c r="IO1202" s="885"/>
      <c r="IP1202" s="885"/>
      <c r="IQ1202" s="885"/>
      <c r="IR1202" s="885"/>
      <c r="IS1202" s="885"/>
      <c r="IT1202" s="885"/>
      <c r="IU1202" s="885"/>
      <c r="IV1202" s="885"/>
      <c r="IW1202" s="885"/>
      <c r="IX1202" s="885"/>
    </row>
    <row r="1203" spans="1:258" x14ac:dyDescent="0.25">
      <c r="A1203" s="125">
        <f t="shared" si="132"/>
        <v>1163</v>
      </c>
      <c r="B1203" s="954"/>
      <c r="C1203" s="842" t="s">
        <v>11532</v>
      </c>
      <c r="D1203" s="924">
        <v>0</v>
      </c>
      <c r="E1203" s="924">
        <f t="shared" si="131"/>
        <v>0</v>
      </c>
      <c r="F1203" s="129"/>
      <c r="H1203" s="954"/>
      <c r="I1203" s="954"/>
      <c r="J1203" s="954"/>
      <c r="K1203" s="954"/>
      <c r="L1203" s="954"/>
      <c r="M1203" s="954"/>
      <c r="N1203" s="954"/>
      <c r="O1203" s="954"/>
      <c r="P1203" s="954"/>
      <c r="Q1203" s="954"/>
      <c r="R1203" s="954"/>
      <c r="S1203" s="954"/>
      <c r="T1203" s="954"/>
      <c r="U1203" s="954"/>
      <c r="V1203" s="954"/>
      <c r="W1203" s="954"/>
      <c r="X1203" s="954"/>
      <c r="Y1203" s="954"/>
      <c r="Z1203" s="954"/>
      <c r="AA1203" s="954"/>
      <c r="AB1203" s="954"/>
      <c r="AC1203" s="954"/>
      <c r="AD1203" s="954"/>
      <c r="AE1203" s="954"/>
      <c r="AF1203" s="954"/>
      <c r="AG1203" s="954"/>
      <c r="AH1203" s="954"/>
      <c r="AI1203" s="954"/>
      <c r="AJ1203" s="954"/>
      <c r="AK1203" s="954"/>
      <c r="AL1203" s="954"/>
      <c r="AM1203" s="954"/>
      <c r="AN1203" s="954"/>
      <c r="AO1203" s="954"/>
      <c r="AP1203" s="954"/>
      <c r="AQ1203" s="954"/>
      <c r="AR1203" s="954"/>
      <c r="AS1203" s="954"/>
      <c r="AT1203" s="954"/>
      <c r="AU1203" s="954"/>
      <c r="AV1203" s="954"/>
      <c r="AW1203" s="954"/>
      <c r="AX1203" s="954"/>
      <c r="AY1203" s="954"/>
      <c r="AZ1203" s="954"/>
      <c r="BA1203" s="954"/>
      <c r="BB1203" s="954"/>
      <c r="BC1203" s="954"/>
      <c r="BD1203" s="954"/>
      <c r="BE1203" s="954"/>
      <c r="BF1203" s="954"/>
      <c r="BG1203" s="954"/>
      <c r="BH1203" s="954"/>
      <c r="BI1203" s="954"/>
      <c r="BJ1203" s="954"/>
      <c r="BK1203" s="954"/>
      <c r="BL1203" s="954"/>
      <c r="BM1203" s="954"/>
      <c r="BN1203" s="954"/>
      <c r="BO1203" s="954"/>
      <c r="BP1203" s="954"/>
      <c r="BQ1203" s="954"/>
      <c r="BR1203" s="954"/>
      <c r="BS1203" s="954"/>
      <c r="BT1203" s="954"/>
      <c r="BU1203" s="954"/>
      <c r="BV1203" s="954"/>
      <c r="BW1203" s="954"/>
      <c r="BX1203" s="954"/>
      <c r="BY1203" s="954"/>
      <c r="BZ1203" s="954"/>
      <c r="CA1203" s="954"/>
      <c r="CB1203" s="954"/>
      <c r="CC1203" s="954"/>
      <c r="CD1203" s="954"/>
      <c r="CE1203" s="954"/>
      <c r="CF1203" s="954"/>
      <c r="CG1203" s="954"/>
      <c r="CH1203" s="954"/>
      <c r="CI1203" s="954"/>
      <c r="CJ1203" s="954"/>
      <c r="CK1203" s="954"/>
      <c r="CL1203" s="954"/>
      <c r="CM1203" s="954"/>
      <c r="CN1203" s="954"/>
      <c r="CO1203" s="954"/>
      <c r="CP1203" s="954"/>
      <c r="CQ1203" s="954"/>
      <c r="CR1203" s="954"/>
      <c r="CS1203" s="954"/>
      <c r="CT1203" s="954"/>
      <c r="CU1203" s="954"/>
      <c r="CV1203" s="954"/>
      <c r="CW1203" s="954"/>
      <c r="CX1203" s="954"/>
      <c r="CY1203" s="954"/>
      <c r="CZ1203" s="954"/>
      <c r="DA1203" s="954"/>
      <c r="DB1203" s="954"/>
      <c r="DC1203" s="954"/>
      <c r="DD1203" s="954"/>
      <c r="DE1203" s="954"/>
      <c r="DF1203" s="954"/>
      <c r="DG1203" s="954"/>
      <c r="DH1203" s="954"/>
      <c r="DI1203" s="954"/>
      <c r="DJ1203" s="954"/>
      <c r="DK1203" s="954"/>
      <c r="DL1203" s="954"/>
      <c r="DM1203" s="954"/>
      <c r="DN1203" s="954"/>
      <c r="DO1203" s="954"/>
      <c r="DP1203" s="954"/>
      <c r="DQ1203" s="954"/>
      <c r="DR1203" s="954"/>
      <c r="DS1203" s="954"/>
      <c r="DT1203" s="954"/>
      <c r="DU1203" s="954"/>
      <c r="DV1203" s="954"/>
      <c r="DW1203" s="954"/>
      <c r="DX1203" s="954"/>
      <c r="DY1203" s="954"/>
      <c r="DZ1203" s="954"/>
      <c r="EA1203" s="954"/>
      <c r="EB1203" s="954"/>
      <c r="EC1203" s="954"/>
      <c r="ED1203" s="954"/>
      <c r="EE1203" s="954"/>
      <c r="EF1203" s="954"/>
      <c r="EG1203" s="954"/>
      <c r="EH1203" s="954"/>
      <c r="EI1203" s="954"/>
      <c r="EJ1203" s="954"/>
      <c r="EK1203" s="954"/>
      <c r="EL1203" s="954"/>
      <c r="EM1203" s="954"/>
      <c r="EN1203" s="954"/>
      <c r="EO1203" s="954"/>
      <c r="EP1203" s="954"/>
      <c r="EQ1203" s="954"/>
      <c r="ER1203" s="954"/>
      <c r="ES1203" s="954"/>
      <c r="ET1203" s="954"/>
      <c r="EU1203" s="954"/>
      <c r="EV1203" s="954"/>
      <c r="EW1203" s="954"/>
      <c r="EX1203" s="954"/>
      <c r="EY1203" s="954"/>
      <c r="EZ1203" s="954"/>
      <c r="FA1203" s="954"/>
      <c r="FB1203" s="954"/>
      <c r="FC1203" s="954"/>
      <c r="FD1203" s="954"/>
      <c r="FE1203" s="954"/>
      <c r="FF1203" s="954"/>
      <c r="FG1203" s="954"/>
      <c r="FH1203" s="954"/>
      <c r="FI1203" s="954"/>
      <c r="FJ1203" s="954"/>
      <c r="FK1203" s="954"/>
      <c r="FL1203" s="954"/>
      <c r="FM1203" s="954"/>
      <c r="FN1203" s="954"/>
      <c r="FO1203" s="954"/>
      <c r="FP1203" s="954"/>
      <c r="FQ1203" s="954"/>
      <c r="FR1203" s="954"/>
      <c r="FS1203" s="954"/>
      <c r="FT1203" s="954"/>
      <c r="FU1203" s="954"/>
      <c r="FV1203" s="954"/>
      <c r="FW1203" s="954"/>
      <c r="FX1203" s="954"/>
      <c r="FY1203" s="954"/>
      <c r="FZ1203" s="954"/>
      <c r="GA1203" s="954"/>
      <c r="GB1203" s="954"/>
      <c r="GC1203" s="954"/>
      <c r="GD1203" s="954"/>
      <c r="GE1203" s="954"/>
      <c r="GF1203" s="954"/>
      <c r="GG1203" s="954"/>
      <c r="GH1203" s="954"/>
      <c r="GI1203" s="954"/>
      <c r="GJ1203" s="954"/>
      <c r="GK1203" s="954"/>
      <c r="GL1203" s="954"/>
      <c r="GM1203" s="954"/>
      <c r="GN1203" s="954"/>
      <c r="GO1203" s="954"/>
      <c r="GP1203" s="954"/>
      <c r="GQ1203" s="954"/>
      <c r="GR1203" s="954"/>
      <c r="GS1203" s="954"/>
      <c r="GT1203" s="954"/>
      <c r="GU1203" s="954"/>
      <c r="GV1203" s="954"/>
      <c r="GW1203" s="954"/>
      <c r="GX1203" s="954"/>
      <c r="GY1203" s="954"/>
      <c r="GZ1203" s="954"/>
      <c r="HA1203" s="954"/>
      <c r="HB1203" s="954"/>
      <c r="HC1203" s="954"/>
      <c r="HD1203" s="954"/>
      <c r="HE1203" s="954"/>
      <c r="HF1203" s="954"/>
      <c r="HG1203" s="954"/>
      <c r="HH1203" s="954"/>
      <c r="HI1203" s="954"/>
      <c r="HJ1203" s="954"/>
      <c r="HK1203" s="954"/>
      <c r="HL1203" s="954"/>
      <c r="HM1203" s="954"/>
      <c r="HN1203" s="954"/>
      <c r="HO1203" s="954"/>
      <c r="HP1203" s="954"/>
      <c r="HQ1203" s="954"/>
      <c r="HR1203" s="954"/>
      <c r="HS1203" s="954"/>
      <c r="HT1203" s="954"/>
      <c r="HU1203" s="954"/>
      <c r="HV1203" s="954"/>
      <c r="HW1203" s="954"/>
      <c r="HX1203" s="954"/>
      <c r="HY1203" s="954"/>
      <c r="HZ1203" s="954"/>
      <c r="IA1203" s="954"/>
      <c r="IB1203" s="954"/>
      <c r="IC1203" s="954"/>
      <c r="ID1203" s="954"/>
      <c r="IE1203" s="954"/>
      <c r="IF1203" s="954"/>
      <c r="IG1203" s="954"/>
      <c r="IH1203" s="954"/>
      <c r="II1203" s="954"/>
      <c r="IJ1203" s="954"/>
      <c r="IK1203" s="954"/>
      <c r="IL1203" s="954"/>
      <c r="IM1203" s="954"/>
      <c r="IN1203" s="954"/>
      <c r="IO1203" s="954"/>
      <c r="IP1203" s="954"/>
      <c r="IQ1203" s="954"/>
      <c r="IR1203" s="954"/>
      <c r="IS1203" s="954"/>
      <c r="IT1203" s="954"/>
      <c r="IU1203" s="954"/>
      <c r="IV1203" s="954"/>
      <c r="IW1203" s="954"/>
      <c r="IX1203" s="954"/>
    </row>
    <row r="1204" spans="1:258" x14ac:dyDescent="0.25">
      <c r="A1204" s="125">
        <f t="shared" si="132"/>
        <v>1164</v>
      </c>
      <c r="B1204" s="885"/>
      <c r="C1204" s="842" t="s">
        <v>10737</v>
      </c>
      <c r="D1204" s="924">
        <v>0</v>
      </c>
      <c r="E1204" s="924">
        <f t="shared" si="131"/>
        <v>0</v>
      </c>
      <c r="F1204" s="129">
        <v>1000</v>
      </c>
      <c r="G1204" s="122" t="s">
        <v>1963</v>
      </c>
      <c r="H1204" s="885"/>
      <c r="I1204" s="885"/>
      <c r="J1204" s="885"/>
      <c r="K1204" s="885"/>
      <c r="L1204" s="885"/>
      <c r="M1204" s="885"/>
      <c r="N1204" s="885"/>
      <c r="O1204" s="885"/>
      <c r="P1204" s="885"/>
      <c r="Q1204" s="885"/>
      <c r="R1204" s="885"/>
      <c r="S1204" s="885"/>
      <c r="T1204" s="885"/>
      <c r="U1204" s="885"/>
      <c r="V1204" s="885"/>
      <c r="W1204" s="885"/>
      <c r="X1204" s="885"/>
      <c r="Y1204" s="885"/>
      <c r="Z1204" s="885"/>
      <c r="AA1204" s="885"/>
      <c r="AB1204" s="885"/>
      <c r="AC1204" s="885"/>
      <c r="AD1204" s="885"/>
      <c r="AE1204" s="885"/>
      <c r="AF1204" s="885"/>
      <c r="AG1204" s="885"/>
      <c r="AH1204" s="885"/>
      <c r="AI1204" s="885"/>
      <c r="AJ1204" s="885"/>
      <c r="AK1204" s="885"/>
      <c r="AL1204" s="885"/>
      <c r="AM1204" s="885"/>
      <c r="AN1204" s="885"/>
      <c r="AO1204" s="885"/>
      <c r="AP1204" s="885"/>
      <c r="AQ1204" s="885"/>
      <c r="AR1204" s="885"/>
      <c r="AS1204" s="885"/>
      <c r="AT1204" s="885"/>
      <c r="AU1204" s="885"/>
      <c r="AV1204" s="885"/>
      <c r="AW1204" s="885"/>
      <c r="AX1204" s="885"/>
      <c r="AY1204" s="885"/>
      <c r="AZ1204" s="885"/>
      <c r="BA1204" s="885"/>
      <c r="BB1204" s="885"/>
      <c r="BC1204" s="885"/>
      <c r="BD1204" s="885"/>
      <c r="BE1204" s="885"/>
      <c r="BF1204" s="885"/>
      <c r="BG1204" s="885"/>
      <c r="BH1204" s="885"/>
      <c r="BI1204" s="885"/>
      <c r="BJ1204" s="885"/>
      <c r="BK1204" s="885"/>
      <c r="BL1204" s="885"/>
      <c r="BM1204" s="885"/>
      <c r="BN1204" s="885"/>
      <c r="BO1204" s="885"/>
      <c r="BP1204" s="885"/>
      <c r="BQ1204" s="885"/>
      <c r="BR1204" s="885"/>
      <c r="BS1204" s="885"/>
      <c r="BT1204" s="885"/>
      <c r="BU1204" s="885"/>
      <c r="BV1204" s="885"/>
      <c r="BW1204" s="885"/>
      <c r="BX1204" s="885"/>
      <c r="BY1204" s="885"/>
      <c r="BZ1204" s="885"/>
      <c r="CA1204" s="885"/>
      <c r="CB1204" s="885"/>
      <c r="CC1204" s="885"/>
      <c r="CD1204" s="885"/>
      <c r="CE1204" s="885"/>
      <c r="CF1204" s="885"/>
      <c r="CG1204" s="885"/>
      <c r="CH1204" s="885"/>
      <c r="CI1204" s="885"/>
      <c r="CJ1204" s="885"/>
      <c r="CK1204" s="885"/>
      <c r="CL1204" s="885"/>
      <c r="CM1204" s="885"/>
      <c r="CN1204" s="885"/>
      <c r="CO1204" s="885"/>
      <c r="CP1204" s="885"/>
      <c r="CQ1204" s="885"/>
      <c r="CR1204" s="885"/>
      <c r="CS1204" s="885"/>
      <c r="CT1204" s="885"/>
      <c r="CU1204" s="885"/>
      <c r="CV1204" s="885"/>
      <c r="CW1204" s="885"/>
      <c r="CX1204" s="885"/>
      <c r="CY1204" s="885"/>
      <c r="CZ1204" s="885"/>
      <c r="DA1204" s="885"/>
      <c r="DB1204" s="885"/>
      <c r="DC1204" s="885"/>
      <c r="DD1204" s="885"/>
      <c r="DE1204" s="885"/>
      <c r="DF1204" s="885"/>
      <c r="DG1204" s="885"/>
      <c r="DH1204" s="885"/>
      <c r="DI1204" s="885"/>
      <c r="DJ1204" s="885"/>
      <c r="DK1204" s="885"/>
      <c r="DL1204" s="885"/>
      <c r="DM1204" s="885"/>
      <c r="DN1204" s="885"/>
      <c r="DO1204" s="885"/>
      <c r="DP1204" s="885"/>
      <c r="DQ1204" s="885"/>
      <c r="DR1204" s="885"/>
      <c r="DS1204" s="885"/>
      <c r="DT1204" s="885"/>
      <c r="DU1204" s="885"/>
      <c r="DV1204" s="885"/>
      <c r="DW1204" s="885"/>
      <c r="DX1204" s="885"/>
      <c r="DY1204" s="885"/>
      <c r="DZ1204" s="885"/>
      <c r="EA1204" s="885"/>
      <c r="EB1204" s="885"/>
      <c r="EC1204" s="885"/>
      <c r="ED1204" s="885"/>
      <c r="EE1204" s="885"/>
      <c r="EF1204" s="885"/>
      <c r="EG1204" s="885"/>
      <c r="EH1204" s="885"/>
      <c r="EI1204" s="885"/>
      <c r="EJ1204" s="885"/>
      <c r="EK1204" s="885"/>
      <c r="EL1204" s="885"/>
      <c r="EM1204" s="885"/>
      <c r="EN1204" s="885"/>
      <c r="EO1204" s="885"/>
      <c r="EP1204" s="885"/>
      <c r="EQ1204" s="885"/>
      <c r="ER1204" s="885"/>
      <c r="ES1204" s="885"/>
      <c r="ET1204" s="885"/>
      <c r="EU1204" s="885"/>
      <c r="EV1204" s="885"/>
      <c r="EW1204" s="885"/>
      <c r="EX1204" s="885"/>
      <c r="EY1204" s="885"/>
      <c r="EZ1204" s="885"/>
      <c r="FA1204" s="885"/>
      <c r="FB1204" s="885"/>
      <c r="FC1204" s="885"/>
      <c r="FD1204" s="885"/>
      <c r="FE1204" s="885"/>
      <c r="FF1204" s="885"/>
      <c r="FG1204" s="885"/>
      <c r="FH1204" s="885"/>
      <c r="FI1204" s="885"/>
      <c r="FJ1204" s="885"/>
      <c r="FK1204" s="885"/>
      <c r="FL1204" s="885"/>
      <c r="FM1204" s="885"/>
      <c r="FN1204" s="885"/>
      <c r="FO1204" s="885"/>
      <c r="FP1204" s="885"/>
      <c r="FQ1204" s="885"/>
      <c r="FR1204" s="885"/>
      <c r="FS1204" s="885"/>
      <c r="FT1204" s="885"/>
      <c r="FU1204" s="885"/>
      <c r="FV1204" s="885"/>
      <c r="FW1204" s="885"/>
      <c r="FX1204" s="885"/>
      <c r="FY1204" s="885"/>
      <c r="FZ1204" s="885"/>
      <c r="GA1204" s="885"/>
      <c r="GB1204" s="885"/>
      <c r="GC1204" s="885"/>
      <c r="GD1204" s="885"/>
      <c r="GE1204" s="885"/>
      <c r="GF1204" s="885"/>
      <c r="GG1204" s="885"/>
      <c r="GH1204" s="885"/>
      <c r="GI1204" s="885"/>
      <c r="GJ1204" s="885"/>
      <c r="GK1204" s="885"/>
      <c r="GL1204" s="885"/>
      <c r="GM1204" s="885"/>
      <c r="GN1204" s="885"/>
      <c r="GO1204" s="885"/>
      <c r="GP1204" s="885"/>
      <c r="GQ1204" s="885"/>
      <c r="GR1204" s="885"/>
      <c r="GS1204" s="885"/>
      <c r="GT1204" s="885"/>
      <c r="GU1204" s="885"/>
      <c r="GV1204" s="885"/>
      <c r="GW1204" s="885"/>
      <c r="GX1204" s="885"/>
      <c r="GY1204" s="885"/>
      <c r="GZ1204" s="885"/>
      <c r="HA1204" s="885"/>
      <c r="HB1204" s="885"/>
      <c r="HC1204" s="885"/>
      <c r="HD1204" s="885"/>
      <c r="HE1204" s="885"/>
      <c r="HF1204" s="885"/>
      <c r="HG1204" s="885"/>
      <c r="HH1204" s="885"/>
      <c r="HI1204" s="885"/>
      <c r="HJ1204" s="885"/>
      <c r="HK1204" s="885"/>
      <c r="HL1204" s="885"/>
      <c r="HM1204" s="885"/>
      <c r="HN1204" s="885"/>
      <c r="HO1204" s="885"/>
      <c r="HP1204" s="885"/>
      <c r="HQ1204" s="885"/>
      <c r="HR1204" s="885"/>
      <c r="HS1204" s="885"/>
      <c r="HT1204" s="885"/>
      <c r="HU1204" s="885"/>
      <c r="HV1204" s="885"/>
      <c r="HW1204" s="885"/>
      <c r="HX1204" s="885"/>
      <c r="HY1204" s="885"/>
      <c r="HZ1204" s="885"/>
      <c r="IA1204" s="885"/>
      <c r="IB1204" s="885"/>
      <c r="IC1204" s="885"/>
      <c r="ID1204" s="885"/>
      <c r="IE1204" s="885"/>
      <c r="IF1204" s="885"/>
      <c r="IG1204" s="885"/>
      <c r="IH1204" s="885"/>
      <c r="II1204" s="885"/>
      <c r="IJ1204" s="885"/>
      <c r="IK1204" s="885"/>
      <c r="IL1204" s="885"/>
      <c r="IM1204" s="885"/>
      <c r="IN1204" s="885"/>
      <c r="IO1204" s="885"/>
      <c r="IP1204" s="885"/>
      <c r="IQ1204" s="885"/>
      <c r="IR1204" s="885"/>
      <c r="IS1204" s="885"/>
      <c r="IT1204" s="885"/>
      <c r="IU1204" s="885"/>
      <c r="IV1204" s="885"/>
      <c r="IW1204" s="885"/>
      <c r="IX1204" s="885"/>
    </row>
    <row r="1205" spans="1:258" ht="31.5" x14ac:dyDescent="0.25">
      <c r="A1205" s="125">
        <f t="shared" si="132"/>
        <v>1165</v>
      </c>
      <c r="B1205" s="885"/>
      <c r="C1205" s="842" t="s">
        <v>10738</v>
      </c>
      <c r="D1205" s="924">
        <v>0</v>
      </c>
      <c r="E1205" s="924">
        <f t="shared" si="131"/>
        <v>0</v>
      </c>
      <c r="F1205" s="129">
        <v>500</v>
      </c>
      <c r="G1205" s="122" t="s">
        <v>1963</v>
      </c>
      <c r="H1205" s="885"/>
      <c r="I1205" s="885"/>
      <c r="J1205" s="885"/>
      <c r="K1205" s="885"/>
      <c r="L1205" s="885"/>
      <c r="M1205" s="885"/>
      <c r="N1205" s="885"/>
      <c r="O1205" s="885"/>
      <c r="P1205" s="885"/>
      <c r="Q1205" s="885"/>
      <c r="R1205" s="885"/>
      <c r="S1205" s="885"/>
      <c r="T1205" s="885"/>
      <c r="U1205" s="885"/>
      <c r="V1205" s="885"/>
      <c r="W1205" s="885"/>
      <c r="X1205" s="885"/>
      <c r="Y1205" s="885"/>
      <c r="Z1205" s="885"/>
      <c r="AA1205" s="885"/>
      <c r="AB1205" s="885"/>
      <c r="AC1205" s="885"/>
      <c r="AD1205" s="885"/>
      <c r="AE1205" s="885"/>
      <c r="AF1205" s="885"/>
      <c r="AG1205" s="885"/>
      <c r="AH1205" s="885"/>
      <c r="AI1205" s="885"/>
      <c r="AJ1205" s="885"/>
      <c r="AK1205" s="885"/>
      <c r="AL1205" s="885"/>
      <c r="AM1205" s="885"/>
      <c r="AN1205" s="885"/>
      <c r="AO1205" s="885"/>
      <c r="AP1205" s="885"/>
      <c r="AQ1205" s="885"/>
      <c r="AR1205" s="885"/>
      <c r="AS1205" s="885"/>
      <c r="AT1205" s="885"/>
      <c r="AU1205" s="885"/>
      <c r="AV1205" s="885"/>
      <c r="AW1205" s="885"/>
      <c r="AX1205" s="885"/>
      <c r="AY1205" s="885"/>
      <c r="AZ1205" s="885"/>
      <c r="BA1205" s="885"/>
      <c r="BB1205" s="885"/>
      <c r="BC1205" s="885"/>
      <c r="BD1205" s="885"/>
      <c r="BE1205" s="885"/>
      <c r="BF1205" s="885"/>
      <c r="BG1205" s="885"/>
      <c r="BH1205" s="885"/>
      <c r="BI1205" s="885"/>
      <c r="BJ1205" s="885"/>
      <c r="BK1205" s="885"/>
      <c r="BL1205" s="885"/>
      <c r="BM1205" s="885"/>
      <c r="BN1205" s="885"/>
      <c r="BO1205" s="885"/>
      <c r="BP1205" s="885"/>
      <c r="BQ1205" s="885"/>
      <c r="BR1205" s="885"/>
      <c r="BS1205" s="885"/>
      <c r="BT1205" s="885"/>
      <c r="BU1205" s="885"/>
      <c r="BV1205" s="885"/>
      <c r="BW1205" s="885"/>
      <c r="BX1205" s="885"/>
      <c r="BY1205" s="885"/>
      <c r="BZ1205" s="885"/>
      <c r="CA1205" s="885"/>
      <c r="CB1205" s="885"/>
      <c r="CC1205" s="885"/>
      <c r="CD1205" s="885"/>
      <c r="CE1205" s="885"/>
      <c r="CF1205" s="885"/>
      <c r="CG1205" s="885"/>
      <c r="CH1205" s="885"/>
      <c r="CI1205" s="885"/>
      <c r="CJ1205" s="885"/>
      <c r="CK1205" s="885"/>
      <c r="CL1205" s="885"/>
      <c r="CM1205" s="885"/>
      <c r="CN1205" s="885"/>
      <c r="CO1205" s="885"/>
      <c r="CP1205" s="885"/>
      <c r="CQ1205" s="885"/>
      <c r="CR1205" s="885"/>
      <c r="CS1205" s="885"/>
      <c r="CT1205" s="885"/>
      <c r="CU1205" s="885"/>
      <c r="CV1205" s="885"/>
      <c r="CW1205" s="885"/>
      <c r="CX1205" s="885"/>
      <c r="CY1205" s="885"/>
      <c r="CZ1205" s="885"/>
      <c r="DA1205" s="885"/>
      <c r="DB1205" s="885"/>
      <c r="DC1205" s="885"/>
      <c r="DD1205" s="885"/>
      <c r="DE1205" s="885"/>
      <c r="DF1205" s="885"/>
      <c r="DG1205" s="885"/>
      <c r="DH1205" s="885"/>
      <c r="DI1205" s="885"/>
      <c r="DJ1205" s="885"/>
      <c r="DK1205" s="885"/>
      <c r="DL1205" s="885"/>
      <c r="DM1205" s="885"/>
      <c r="DN1205" s="885"/>
      <c r="DO1205" s="885"/>
      <c r="DP1205" s="885"/>
      <c r="DQ1205" s="885"/>
      <c r="DR1205" s="885"/>
      <c r="DS1205" s="885"/>
      <c r="DT1205" s="885"/>
      <c r="DU1205" s="885"/>
      <c r="DV1205" s="885"/>
      <c r="DW1205" s="885"/>
      <c r="DX1205" s="885"/>
      <c r="DY1205" s="885"/>
      <c r="DZ1205" s="885"/>
      <c r="EA1205" s="885"/>
      <c r="EB1205" s="885"/>
      <c r="EC1205" s="885"/>
      <c r="ED1205" s="885"/>
      <c r="EE1205" s="885"/>
      <c r="EF1205" s="885"/>
      <c r="EG1205" s="885"/>
      <c r="EH1205" s="885"/>
      <c r="EI1205" s="885"/>
      <c r="EJ1205" s="885"/>
      <c r="EK1205" s="885"/>
      <c r="EL1205" s="885"/>
      <c r="EM1205" s="885"/>
      <c r="EN1205" s="885"/>
      <c r="EO1205" s="885"/>
      <c r="EP1205" s="885"/>
      <c r="EQ1205" s="885"/>
      <c r="ER1205" s="885"/>
      <c r="ES1205" s="885"/>
      <c r="ET1205" s="885"/>
      <c r="EU1205" s="885"/>
      <c r="EV1205" s="885"/>
      <c r="EW1205" s="885"/>
      <c r="EX1205" s="885"/>
      <c r="EY1205" s="885"/>
      <c r="EZ1205" s="885"/>
      <c r="FA1205" s="885"/>
      <c r="FB1205" s="885"/>
      <c r="FC1205" s="885"/>
      <c r="FD1205" s="885"/>
      <c r="FE1205" s="885"/>
      <c r="FF1205" s="885"/>
      <c r="FG1205" s="885"/>
      <c r="FH1205" s="885"/>
      <c r="FI1205" s="885"/>
      <c r="FJ1205" s="885"/>
      <c r="FK1205" s="885"/>
      <c r="FL1205" s="885"/>
      <c r="FM1205" s="885"/>
      <c r="FN1205" s="885"/>
      <c r="FO1205" s="885"/>
      <c r="FP1205" s="885"/>
      <c r="FQ1205" s="885"/>
      <c r="FR1205" s="885"/>
      <c r="FS1205" s="885"/>
      <c r="FT1205" s="885"/>
      <c r="FU1205" s="885"/>
      <c r="FV1205" s="885"/>
      <c r="FW1205" s="885"/>
      <c r="FX1205" s="885"/>
      <c r="FY1205" s="885"/>
      <c r="FZ1205" s="885"/>
      <c r="GA1205" s="885"/>
      <c r="GB1205" s="885"/>
      <c r="GC1205" s="885"/>
      <c r="GD1205" s="885"/>
      <c r="GE1205" s="885"/>
      <c r="GF1205" s="885"/>
      <c r="GG1205" s="885"/>
      <c r="GH1205" s="885"/>
      <c r="GI1205" s="885"/>
      <c r="GJ1205" s="885"/>
      <c r="GK1205" s="885"/>
      <c r="GL1205" s="885"/>
      <c r="GM1205" s="885"/>
      <c r="GN1205" s="885"/>
      <c r="GO1205" s="885"/>
      <c r="GP1205" s="885"/>
      <c r="GQ1205" s="885"/>
      <c r="GR1205" s="885"/>
      <c r="GS1205" s="885"/>
      <c r="GT1205" s="885"/>
      <c r="GU1205" s="885"/>
      <c r="GV1205" s="885"/>
      <c r="GW1205" s="885"/>
      <c r="GX1205" s="885"/>
      <c r="GY1205" s="885"/>
      <c r="GZ1205" s="885"/>
      <c r="HA1205" s="885"/>
      <c r="HB1205" s="885"/>
      <c r="HC1205" s="885"/>
      <c r="HD1205" s="885"/>
      <c r="HE1205" s="885"/>
      <c r="HF1205" s="885"/>
      <c r="HG1205" s="885"/>
      <c r="HH1205" s="885"/>
      <c r="HI1205" s="885"/>
      <c r="HJ1205" s="885"/>
      <c r="HK1205" s="885"/>
      <c r="HL1205" s="885"/>
      <c r="HM1205" s="885"/>
      <c r="HN1205" s="885"/>
      <c r="HO1205" s="885"/>
      <c r="HP1205" s="885"/>
      <c r="HQ1205" s="885"/>
      <c r="HR1205" s="885"/>
      <c r="HS1205" s="885"/>
      <c r="HT1205" s="885"/>
      <c r="HU1205" s="885"/>
      <c r="HV1205" s="885"/>
      <c r="HW1205" s="885"/>
      <c r="HX1205" s="885"/>
      <c r="HY1205" s="885"/>
      <c r="HZ1205" s="885"/>
      <c r="IA1205" s="885"/>
      <c r="IB1205" s="885"/>
      <c r="IC1205" s="885"/>
      <c r="ID1205" s="885"/>
      <c r="IE1205" s="885"/>
      <c r="IF1205" s="885"/>
      <c r="IG1205" s="885"/>
      <c r="IH1205" s="885"/>
      <c r="II1205" s="885"/>
      <c r="IJ1205" s="885"/>
      <c r="IK1205" s="885"/>
      <c r="IL1205" s="885"/>
      <c r="IM1205" s="885"/>
      <c r="IN1205" s="885"/>
      <c r="IO1205" s="885"/>
      <c r="IP1205" s="885"/>
      <c r="IQ1205" s="885"/>
      <c r="IR1205" s="885"/>
      <c r="IS1205" s="885"/>
      <c r="IT1205" s="885"/>
      <c r="IU1205" s="885"/>
      <c r="IV1205" s="885"/>
      <c r="IW1205" s="885"/>
      <c r="IX1205" s="885"/>
    </row>
    <row r="1206" spans="1:258" x14ac:dyDescent="0.25">
      <c r="A1206" s="125">
        <f t="shared" si="132"/>
        <v>1166</v>
      </c>
      <c r="B1206" s="885"/>
      <c r="C1206" s="842" t="s">
        <v>10739</v>
      </c>
      <c r="D1206" s="924">
        <v>0</v>
      </c>
      <c r="E1206" s="924">
        <f t="shared" si="131"/>
        <v>0</v>
      </c>
      <c r="F1206" s="129">
        <v>500</v>
      </c>
      <c r="G1206" s="122" t="s">
        <v>1963</v>
      </c>
      <c r="H1206" s="885"/>
      <c r="I1206" s="885"/>
      <c r="J1206" s="885"/>
      <c r="K1206" s="885"/>
      <c r="L1206" s="885"/>
      <c r="M1206" s="885"/>
      <c r="N1206" s="885"/>
      <c r="O1206" s="885"/>
      <c r="P1206" s="885"/>
      <c r="Q1206" s="885"/>
      <c r="R1206" s="885"/>
      <c r="S1206" s="885"/>
      <c r="T1206" s="885"/>
      <c r="U1206" s="885"/>
      <c r="V1206" s="885"/>
      <c r="W1206" s="885"/>
      <c r="X1206" s="885"/>
      <c r="Y1206" s="885"/>
      <c r="Z1206" s="885"/>
      <c r="AA1206" s="885"/>
      <c r="AB1206" s="885"/>
      <c r="AC1206" s="885"/>
      <c r="AD1206" s="885"/>
      <c r="AE1206" s="885"/>
      <c r="AF1206" s="885"/>
      <c r="AG1206" s="885"/>
      <c r="AH1206" s="885"/>
      <c r="AI1206" s="885"/>
      <c r="AJ1206" s="885"/>
      <c r="AK1206" s="885"/>
      <c r="AL1206" s="885"/>
      <c r="AM1206" s="885"/>
      <c r="AN1206" s="885"/>
      <c r="AO1206" s="885"/>
      <c r="AP1206" s="885"/>
      <c r="AQ1206" s="885"/>
      <c r="AR1206" s="885"/>
      <c r="AS1206" s="885"/>
      <c r="AT1206" s="885"/>
      <c r="AU1206" s="885"/>
      <c r="AV1206" s="885"/>
      <c r="AW1206" s="885"/>
      <c r="AX1206" s="885"/>
      <c r="AY1206" s="885"/>
      <c r="AZ1206" s="885"/>
      <c r="BA1206" s="885"/>
      <c r="BB1206" s="885"/>
      <c r="BC1206" s="885"/>
      <c r="BD1206" s="885"/>
      <c r="BE1206" s="885"/>
      <c r="BF1206" s="885"/>
      <c r="BG1206" s="885"/>
      <c r="BH1206" s="885"/>
      <c r="BI1206" s="885"/>
      <c r="BJ1206" s="885"/>
      <c r="BK1206" s="885"/>
      <c r="BL1206" s="885"/>
      <c r="BM1206" s="885"/>
      <c r="BN1206" s="885"/>
      <c r="BO1206" s="885"/>
      <c r="BP1206" s="885"/>
      <c r="BQ1206" s="885"/>
      <c r="BR1206" s="885"/>
      <c r="BS1206" s="885"/>
      <c r="BT1206" s="885"/>
      <c r="BU1206" s="885"/>
      <c r="BV1206" s="885"/>
      <c r="BW1206" s="885"/>
      <c r="BX1206" s="885"/>
      <c r="BY1206" s="885"/>
      <c r="BZ1206" s="885"/>
      <c r="CA1206" s="885"/>
      <c r="CB1206" s="885"/>
      <c r="CC1206" s="885"/>
      <c r="CD1206" s="885"/>
      <c r="CE1206" s="885"/>
      <c r="CF1206" s="885"/>
      <c r="CG1206" s="885"/>
      <c r="CH1206" s="885"/>
      <c r="CI1206" s="885"/>
      <c r="CJ1206" s="885"/>
      <c r="CK1206" s="885"/>
      <c r="CL1206" s="885"/>
      <c r="CM1206" s="885"/>
      <c r="CN1206" s="885"/>
      <c r="CO1206" s="885"/>
      <c r="CP1206" s="885"/>
      <c r="CQ1206" s="885"/>
      <c r="CR1206" s="885"/>
      <c r="CS1206" s="885"/>
      <c r="CT1206" s="885"/>
      <c r="CU1206" s="885"/>
      <c r="CV1206" s="885"/>
      <c r="CW1206" s="885"/>
      <c r="CX1206" s="885"/>
      <c r="CY1206" s="885"/>
      <c r="CZ1206" s="885"/>
      <c r="DA1206" s="885"/>
      <c r="DB1206" s="885"/>
      <c r="DC1206" s="885"/>
      <c r="DD1206" s="885"/>
      <c r="DE1206" s="885"/>
      <c r="DF1206" s="885"/>
      <c r="DG1206" s="885"/>
      <c r="DH1206" s="885"/>
      <c r="DI1206" s="885"/>
      <c r="DJ1206" s="885"/>
      <c r="DK1206" s="885"/>
      <c r="DL1206" s="885"/>
      <c r="DM1206" s="885"/>
      <c r="DN1206" s="885"/>
      <c r="DO1206" s="885"/>
      <c r="DP1206" s="885"/>
      <c r="DQ1206" s="885"/>
      <c r="DR1206" s="885"/>
      <c r="DS1206" s="885"/>
      <c r="DT1206" s="885"/>
      <c r="DU1206" s="885"/>
      <c r="DV1206" s="885"/>
      <c r="DW1206" s="885"/>
      <c r="DX1206" s="885"/>
      <c r="DY1206" s="885"/>
      <c r="DZ1206" s="885"/>
      <c r="EA1206" s="885"/>
      <c r="EB1206" s="885"/>
      <c r="EC1206" s="885"/>
      <c r="ED1206" s="885"/>
      <c r="EE1206" s="885"/>
      <c r="EF1206" s="885"/>
      <c r="EG1206" s="885"/>
      <c r="EH1206" s="885"/>
      <c r="EI1206" s="885"/>
      <c r="EJ1206" s="885"/>
      <c r="EK1206" s="885"/>
      <c r="EL1206" s="885"/>
      <c r="EM1206" s="885"/>
      <c r="EN1206" s="885"/>
      <c r="EO1206" s="885"/>
      <c r="EP1206" s="885"/>
      <c r="EQ1206" s="885"/>
      <c r="ER1206" s="885"/>
      <c r="ES1206" s="885"/>
      <c r="ET1206" s="885"/>
      <c r="EU1206" s="885"/>
      <c r="EV1206" s="885"/>
      <c r="EW1206" s="885"/>
      <c r="EX1206" s="885"/>
      <c r="EY1206" s="885"/>
      <c r="EZ1206" s="885"/>
      <c r="FA1206" s="885"/>
      <c r="FB1206" s="885"/>
      <c r="FC1206" s="885"/>
      <c r="FD1206" s="885"/>
      <c r="FE1206" s="885"/>
      <c r="FF1206" s="885"/>
      <c r="FG1206" s="885"/>
      <c r="FH1206" s="885"/>
      <c r="FI1206" s="885"/>
      <c r="FJ1206" s="885"/>
      <c r="FK1206" s="885"/>
      <c r="FL1206" s="885"/>
      <c r="FM1206" s="885"/>
      <c r="FN1206" s="885"/>
      <c r="FO1206" s="885"/>
      <c r="FP1206" s="885"/>
      <c r="FQ1206" s="885"/>
      <c r="FR1206" s="885"/>
      <c r="FS1206" s="885"/>
      <c r="FT1206" s="885"/>
      <c r="FU1206" s="885"/>
      <c r="FV1206" s="885"/>
      <c r="FW1206" s="885"/>
      <c r="FX1206" s="885"/>
      <c r="FY1206" s="885"/>
      <c r="FZ1206" s="885"/>
      <c r="GA1206" s="885"/>
      <c r="GB1206" s="885"/>
      <c r="GC1206" s="885"/>
      <c r="GD1206" s="885"/>
      <c r="GE1206" s="885"/>
      <c r="GF1206" s="885"/>
      <c r="GG1206" s="885"/>
      <c r="GH1206" s="885"/>
      <c r="GI1206" s="885"/>
      <c r="GJ1206" s="885"/>
      <c r="GK1206" s="885"/>
      <c r="GL1206" s="885"/>
      <c r="GM1206" s="885"/>
      <c r="GN1206" s="885"/>
      <c r="GO1206" s="885"/>
      <c r="GP1206" s="885"/>
      <c r="GQ1206" s="885"/>
      <c r="GR1206" s="885"/>
      <c r="GS1206" s="885"/>
      <c r="GT1206" s="885"/>
      <c r="GU1206" s="885"/>
      <c r="GV1206" s="885"/>
      <c r="GW1206" s="885"/>
      <c r="GX1206" s="885"/>
      <c r="GY1206" s="885"/>
      <c r="GZ1206" s="885"/>
      <c r="HA1206" s="885"/>
      <c r="HB1206" s="885"/>
      <c r="HC1206" s="885"/>
      <c r="HD1206" s="885"/>
      <c r="HE1206" s="885"/>
      <c r="HF1206" s="885"/>
      <c r="HG1206" s="885"/>
      <c r="HH1206" s="885"/>
      <c r="HI1206" s="885"/>
      <c r="HJ1206" s="885"/>
      <c r="HK1206" s="885"/>
      <c r="HL1206" s="885"/>
      <c r="HM1206" s="885"/>
      <c r="HN1206" s="885"/>
      <c r="HO1206" s="885"/>
      <c r="HP1206" s="885"/>
      <c r="HQ1206" s="885"/>
      <c r="HR1206" s="885"/>
      <c r="HS1206" s="885"/>
      <c r="HT1206" s="885"/>
      <c r="HU1206" s="885"/>
      <c r="HV1206" s="885"/>
      <c r="HW1206" s="885"/>
      <c r="HX1206" s="885"/>
      <c r="HY1206" s="885"/>
      <c r="HZ1206" s="885"/>
      <c r="IA1206" s="885"/>
      <c r="IB1206" s="885"/>
      <c r="IC1206" s="885"/>
      <c r="ID1206" s="885"/>
      <c r="IE1206" s="885"/>
      <c r="IF1206" s="885"/>
      <c r="IG1206" s="885"/>
      <c r="IH1206" s="885"/>
      <c r="II1206" s="885"/>
      <c r="IJ1206" s="885"/>
      <c r="IK1206" s="885"/>
      <c r="IL1206" s="885"/>
      <c r="IM1206" s="885"/>
      <c r="IN1206" s="885"/>
      <c r="IO1206" s="885"/>
      <c r="IP1206" s="885"/>
      <c r="IQ1206" s="885"/>
      <c r="IR1206" s="885"/>
      <c r="IS1206" s="885"/>
      <c r="IT1206" s="885"/>
      <c r="IU1206" s="885"/>
      <c r="IV1206" s="885"/>
      <c r="IW1206" s="885"/>
      <c r="IX1206" s="885"/>
    </row>
    <row r="1207" spans="1:258" x14ac:dyDescent="0.25">
      <c r="A1207" s="125">
        <f t="shared" si="132"/>
        <v>1167</v>
      </c>
      <c r="B1207" s="885"/>
      <c r="C1207" s="927" t="s">
        <v>10740</v>
      </c>
      <c r="D1207" s="928"/>
      <c r="E1207" s="928"/>
      <c r="F1207" s="129"/>
      <c r="H1207" s="885"/>
      <c r="I1207" s="885"/>
      <c r="J1207" s="885"/>
      <c r="K1207" s="885"/>
      <c r="L1207" s="885"/>
      <c r="M1207" s="885"/>
      <c r="N1207" s="885"/>
      <c r="O1207" s="885"/>
      <c r="P1207" s="885"/>
      <c r="Q1207" s="885"/>
      <c r="R1207" s="885"/>
      <c r="S1207" s="885"/>
      <c r="T1207" s="885"/>
      <c r="U1207" s="885"/>
      <c r="V1207" s="885"/>
      <c r="W1207" s="885"/>
      <c r="X1207" s="885"/>
      <c r="Y1207" s="885"/>
      <c r="Z1207" s="885"/>
      <c r="AA1207" s="885"/>
      <c r="AB1207" s="885"/>
      <c r="AC1207" s="885"/>
      <c r="AD1207" s="885"/>
      <c r="AE1207" s="885"/>
      <c r="AF1207" s="885"/>
      <c r="AG1207" s="885"/>
      <c r="AH1207" s="885"/>
      <c r="AI1207" s="885"/>
      <c r="AJ1207" s="885"/>
      <c r="AK1207" s="885"/>
      <c r="AL1207" s="885"/>
      <c r="AM1207" s="885"/>
      <c r="AN1207" s="885"/>
      <c r="AO1207" s="885"/>
      <c r="AP1207" s="885"/>
      <c r="AQ1207" s="885"/>
      <c r="AR1207" s="885"/>
      <c r="AS1207" s="885"/>
      <c r="AT1207" s="885"/>
      <c r="AU1207" s="885"/>
      <c r="AV1207" s="885"/>
      <c r="AW1207" s="885"/>
      <c r="AX1207" s="885"/>
      <c r="AY1207" s="885"/>
      <c r="AZ1207" s="885"/>
      <c r="BA1207" s="885"/>
      <c r="BB1207" s="885"/>
      <c r="BC1207" s="885"/>
      <c r="BD1207" s="885"/>
      <c r="BE1207" s="885"/>
      <c r="BF1207" s="885"/>
      <c r="BG1207" s="885"/>
      <c r="BH1207" s="885"/>
      <c r="BI1207" s="885"/>
      <c r="BJ1207" s="885"/>
      <c r="BK1207" s="885"/>
      <c r="BL1207" s="885"/>
      <c r="BM1207" s="885"/>
      <c r="BN1207" s="885"/>
      <c r="BO1207" s="885"/>
      <c r="BP1207" s="885"/>
      <c r="BQ1207" s="885"/>
      <c r="BR1207" s="885"/>
      <c r="BS1207" s="885"/>
      <c r="BT1207" s="885"/>
      <c r="BU1207" s="885"/>
      <c r="BV1207" s="885"/>
      <c r="BW1207" s="885"/>
      <c r="BX1207" s="885"/>
      <c r="BY1207" s="885"/>
      <c r="BZ1207" s="885"/>
      <c r="CA1207" s="885"/>
      <c r="CB1207" s="885"/>
      <c r="CC1207" s="885"/>
      <c r="CD1207" s="885"/>
      <c r="CE1207" s="885"/>
      <c r="CF1207" s="885"/>
      <c r="CG1207" s="885"/>
      <c r="CH1207" s="885"/>
      <c r="CI1207" s="885"/>
      <c r="CJ1207" s="885"/>
      <c r="CK1207" s="885"/>
      <c r="CL1207" s="885"/>
      <c r="CM1207" s="885"/>
      <c r="CN1207" s="885"/>
      <c r="CO1207" s="885"/>
      <c r="CP1207" s="885"/>
      <c r="CQ1207" s="885"/>
      <c r="CR1207" s="885"/>
      <c r="CS1207" s="885"/>
      <c r="CT1207" s="885"/>
      <c r="CU1207" s="885"/>
      <c r="CV1207" s="885"/>
      <c r="CW1207" s="885"/>
      <c r="CX1207" s="885"/>
      <c r="CY1207" s="885"/>
      <c r="CZ1207" s="885"/>
      <c r="DA1207" s="885"/>
      <c r="DB1207" s="885"/>
      <c r="DC1207" s="885"/>
      <c r="DD1207" s="885"/>
      <c r="DE1207" s="885"/>
      <c r="DF1207" s="885"/>
      <c r="DG1207" s="885"/>
      <c r="DH1207" s="885"/>
      <c r="DI1207" s="885"/>
      <c r="DJ1207" s="885"/>
      <c r="DK1207" s="885"/>
      <c r="DL1207" s="885"/>
      <c r="DM1207" s="885"/>
      <c r="DN1207" s="885"/>
      <c r="DO1207" s="885"/>
      <c r="DP1207" s="885"/>
      <c r="DQ1207" s="885"/>
      <c r="DR1207" s="885"/>
      <c r="DS1207" s="885"/>
      <c r="DT1207" s="885"/>
      <c r="DU1207" s="885"/>
      <c r="DV1207" s="885"/>
      <c r="DW1207" s="885"/>
      <c r="DX1207" s="885"/>
      <c r="DY1207" s="885"/>
      <c r="DZ1207" s="885"/>
      <c r="EA1207" s="885"/>
      <c r="EB1207" s="885"/>
      <c r="EC1207" s="885"/>
      <c r="ED1207" s="885"/>
      <c r="EE1207" s="885"/>
      <c r="EF1207" s="885"/>
      <c r="EG1207" s="885"/>
      <c r="EH1207" s="885"/>
      <c r="EI1207" s="885"/>
      <c r="EJ1207" s="885"/>
      <c r="EK1207" s="885"/>
      <c r="EL1207" s="885"/>
      <c r="EM1207" s="885"/>
      <c r="EN1207" s="885"/>
      <c r="EO1207" s="885"/>
      <c r="EP1207" s="885"/>
      <c r="EQ1207" s="885"/>
      <c r="ER1207" s="885"/>
      <c r="ES1207" s="885"/>
      <c r="ET1207" s="885"/>
      <c r="EU1207" s="885"/>
      <c r="EV1207" s="885"/>
      <c r="EW1207" s="885"/>
      <c r="EX1207" s="885"/>
      <c r="EY1207" s="885"/>
      <c r="EZ1207" s="885"/>
      <c r="FA1207" s="885"/>
      <c r="FB1207" s="885"/>
      <c r="FC1207" s="885"/>
      <c r="FD1207" s="885"/>
      <c r="FE1207" s="885"/>
      <c r="FF1207" s="885"/>
      <c r="FG1207" s="885"/>
      <c r="FH1207" s="885"/>
      <c r="FI1207" s="885"/>
      <c r="FJ1207" s="885"/>
      <c r="FK1207" s="885"/>
      <c r="FL1207" s="885"/>
      <c r="FM1207" s="885"/>
      <c r="FN1207" s="885"/>
      <c r="FO1207" s="885"/>
      <c r="FP1207" s="885"/>
      <c r="FQ1207" s="885"/>
      <c r="FR1207" s="885"/>
      <c r="FS1207" s="885"/>
      <c r="FT1207" s="885"/>
      <c r="FU1207" s="885"/>
      <c r="FV1207" s="885"/>
      <c r="FW1207" s="885"/>
      <c r="FX1207" s="885"/>
      <c r="FY1207" s="885"/>
      <c r="FZ1207" s="885"/>
      <c r="GA1207" s="885"/>
      <c r="GB1207" s="885"/>
      <c r="GC1207" s="885"/>
      <c r="GD1207" s="885"/>
      <c r="GE1207" s="885"/>
      <c r="GF1207" s="885"/>
      <c r="GG1207" s="885"/>
      <c r="GH1207" s="885"/>
      <c r="GI1207" s="885"/>
      <c r="GJ1207" s="885"/>
      <c r="GK1207" s="885"/>
      <c r="GL1207" s="885"/>
      <c r="GM1207" s="885"/>
      <c r="GN1207" s="885"/>
      <c r="GO1207" s="885"/>
      <c r="GP1207" s="885"/>
      <c r="GQ1207" s="885"/>
      <c r="GR1207" s="885"/>
      <c r="GS1207" s="885"/>
      <c r="GT1207" s="885"/>
      <c r="GU1207" s="885"/>
      <c r="GV1207" s="885"/>
      <c r="GW1207" s="885"/>
      <c r="GX1207" s="885"/>
      <c r="GY1207" s="885"/>
      <c r="GZ1207" s="885"/>
      <c r="HA1207" s="885"/>
      <c r="HB1207" s="885"/>
      <c r="HC1207" s="885"/>
      <c r="HD1207" s="885"/>
      <c r="HE1207" s="885"/>
      <c r="HF1207" s="885"/>
      <c r="HG1207" s="885"/>
      <c r="HH1207" s="885"/>
      <c r="HI1207" s="885"/>
      <c r="HJ1207" s="885"/>
      <c r="HK1207" s="885"/>
      <c r="HL1207" s="885"/>
      <c r="HM1207" s="885"/>
      <c r="HN1207" s="885"/>
      <c r="HO1207" s="885"/>
      <c r="HP1207" s="885"/>
      <c r="HQ1207" s="885"/>
      <c r="HR1207" s="885"/>
      <c r="HS1207" s="885"/>
      <c r="HT1207" s="885"/>
      <c r="HU1207" s="885"/>
      <c r="HV1207" s="885"/>
      <c r="HW1207" s="885"/>
      <c r="HX1207" s="885"/>
      <c r="HY1207" s="885"/>
      <c r="HZ1207" s="885"/>
      <c r="IA1207" s="885"/>
      <c r="IB1207" s="885"/>
      <c r="IC1207" s="885"/>
      <c r="ID1207" s="885"/>
      <c r="IE1207" s="885"/>
      <c r="IF1207" s="885"/>
      <c r="IG1207" s="885"/>
      <c r="IH1207" s="885"/>
      <c r="II1207" s="885"/>
      <c r="IJ1207" s="885"/>
      <c r="IK1207" s="885"/>
      <c r="IL1207" s="885"/>
      <c r="IM1207" s="885"/>
      <c r="IN1207" s="885"/>
      <c r="IO1207" s="885"/>
      <c r="IP1207" s="885"/>
      <c r="IQ1207" s="885"/>
      <c r="IR1207" s="885"/>
      <c r="IS1207" s="885"/>
      <c r="IT1207" s="885"/>
      <c r="IU1207" s="885"/>
      <c r="IV1207" s="885"/>
      <c r="IW1207" s="885"/>
      <c r="IX1207" s="885"/>
    </row>
    <row r="1208" spans="1:258" x14ac:dyDescent="0.25">
      <c r="A1208" s="125">
        <f t="shared" si="132"/>
        <v>1168</v>
      </c>
      <c r="B1208" s="885"/>
      <c r="C1208" s="842" t="s">
        <v>10741</v>
      </c>
      <c r="D1208" s="924">
        <v>0</v>
      </c>
      <c r="E1208" s="924">
        <f t="shared" si="131"/>
        <v>0</v>
      </c>
      <c r="F1208" s="129">
        <v>3000</v>
      </c>
      <c r="G1208" s="122" t="s">
        <v>1963</v>
      </c>
      <c r="H1208" s="885"/>
      <c r="I1208" s="885"/>
      <c r="J1208" s="885"/>
      <c r="K1208" s="885"/>
      <c r="L1208" s="885"/>
      <c r="M1208" s="885"/>
      <c r="N1208" s="885"/>
      <c r="O1208" s="885"/>
      <c r="P1208" s="885"/>
      <c r="Q1208" s="885"/>
      <c r="R1208" s="885"/>
      <c r="S1208" s="885"/>
      <c r="T1208" s="885"/>
      <c r="U1208" s="885"/>
      <c r="V1208" s="885"/>
      <c r="W1208" s="885"/>
      <c r="X1208" s="885"/>
      <c r="Y1208" s="885"/>
      <c r="Z1208" s="885"/>
      <c r="AA1208" s="885"/>
      <c r="AB1208" s="885"/>
      <c r="AC1208" s="885"/>
      <c r="AD1208" s="885"/>
      <c r="AE1208" s="885"/>
      <c r="AF1208" s="885"/>
      <c r="AG1208" s="885"/>
      <c r="AH1208" s="885"/>
      <c r="AI1208" s="885"/>
      <c r="AJ1208" s="885"/>
      <c r="AK1208" s="885"/>
      <c r="AL1208" s="885"/>
      <c r="AM1208" s="885"/>
      <c r="AN1208" s="885"/>
      <c r="AO1208" s="885"/>
      <c r="AP1208" s="885"/>
      <c r="AQ1208" s="885"/>
      <c r="AR1208" s="885"/>
      <c r="AS1208" s="885"/>
      <c r="AT1208" s="885"/>
      <c r="AU1208" s="885"/>
      <c r="AV1208" s="885"/>
      <c r="AW1208" s="885"/>
      <c r="AX1208" s="885"/>
      <c r="AY1208" s="885"/>
      <c r="AZ1208" s="885"/>
      <c r="BA1208" s="885"/>
      <c r="BB1208" s="885"/>
      <c r="BC1208" s="885"/>
      <c r="BD1208" s="885"/>
      <c r="BE1208" s="885"/>
      <c r="BF1208" s="885"/>
      <c r="BG1208" s="885"/>
      <c r="BH1208" s="885"/>
      <c r="BI1208" s="885"/>
      <c r="BJ1208" s="885"/>
      <c r="BK1208" s="885"/>
      <c r="BL1208" s="885"/>
      <c r="BM1208" s="885"/>
      <c r="BN1208" s="885"/>
      <c r="BO1208" s="885"/>
      <c r="BP1208" s="885"/>
      <c r="BQ1208" s="885"/>
      <c r="BR1208" s="885"/>
      <c r="BS1208" s="885"/>
      <c r="BT1208" s="885"/>
      <c r="BU1208" s="885"/>
      <c r="BV1208" s="885"/>
      <c r="BW1208" s="885"/>
      <c r="BX1208" s="885"/>
      <c r="BY1208" s="885"/>
      <c r="BZ1208" s="885"/>
      <c r="CA1208" s="885"/>
      <c r="CB1208" s="885"/>
      <c r="CC1208" s="885"/>
      <c r="CD1208" s="885"/>
      <c r="CE1208" s="885"/>
      <c r="CF1208" s="885"/>
      <c r="CG1208" s="885"/>
      <c r="CH1208" s="885"/>
      <c r="CI1208" s="885"/>
      <c r="CJ1208" s="885"/>
      <c r="CK1208" s="885"/>
      <c r="CL1208" s="885"/>
      <c r="CM1208" s="885"/>
      <c r="CN1208" s="885"/>
      <c r="CO1208" s="885"/>
      <c r="CP1208" s="885"/>
      <c r="CQ1208" s="885"/>
      <c r="CR1208" s="885"/>
      <c r="CS1208" s="885"/>
      <c r="CT1208" s="885"/>
      <c r="CU1208" s="885"/>
      <c r="CV1208" s="885"/>
      <c r="CW1208" s="885"/>
      <c r="CX1208" s="885"/>
      <c r="CY1208" s="885"/>
      <c r="CZ1208" s="885"/>
      <c r="DA1208" s="885"/>
      <c r="DB1208" s="885"/>
      <c r="DC1208" s="885"/>
      <c r="DD1208" s="885"/>
      <c r="DE1208" s="885"/>
      <c r="DF1208" s="885"/>
      <c r="DG1208" s="885"/>
      <c r="DH1208" s="885"/>
      <c r="DI1208" s="885"/>
      <c r="DJ1208" s="885"/>
      <c r="DK1208" s="885"/>
      <c r="DL1208" s="885"/>
      <c r="DM1208" s="885"/>
      <c r="DN1208" s="885"/>
      <c r="DO1208" s="885"/>
      <c r="DP1208" s="885"/>
      <c r="DQ1208" s="885"/>
      <c r="DR1208" s="885"/>
      <c r="DS1208" s="885"/>
      <c r="DT1208" s="885"/>
      <c r="DU1208" s="885"/>
      <c r="DV1208" s="885"/>
      <c r="DW1208" s="885"/>
      <c r="DX1208" s="885"/>
      <c r="DY1208" s="885"/>
      <c r="DZ1208" s="885"/>
      <c r="EA1208" s="885"/>
      <c r="EB1208" s="885"/>
      <c r="EC1208" s="885"/>
      <c r="ED1208" s="885"/>
      <c r="EE1208" s="885"/>
      <c r="EF1208" s="885"/>
      <c r="EG1208" s="885"/>
      <c r="EH1208" s="885"/>
      <c r="EI1208" s="885"/>
      <c r="EJ1208" s="885"/>
      <c r="EK1208" s="885"/>
      <c r="EL1208" s="885"/>
      <c r="EM1208" s="885"/>
      <c r="EN1208" s="885"/>
      <c r="EO1208" s="885"/>
      <c r="EP1208" s="885"/>
      <c r="EQ1208" s="885"/>
      <c r="ER1208" s="885"/>
      <c r="ES1208" s="885"/>
      <c r="ET1208" s="885"/>
      <c r="EU1208" s="885"/>
      <c r="EV1208" s="885"/>
      <c r="EW1208" s="885"/>
      <c r="EX1208" s="885"/>
      <c r="EY1208" s="885"/>
      <c r="EZ1208" s="885"/>
      <c r="FA1208" s="885"/>
      <c r="FB1208" s="885"/>
      <c r="FC1208" s="885"/>
      <c r="FD1208" s="885"/>
      <c r="FE1208" s="885"/>
      <c r="FF1208" s="885"/>
      <c r="FG1208" s="885"/>
      <c r="FH1208" s="885"/>
      <c r="FI1208" s="885"/>
      <c r="FJ1208" s="885"/>
      <c r="FK1208" s="885"/>
      <c r="FL1208" s="885"/>
      <c r="FM1208" s="885"/>
      <c r="FN1208" s="885"/>
      <c r="FO1208" s="885"/>
      <c r="FP1208" s="885"/>
      <c r="FQ1208" s="885"/>
      <c r="FR1208" s="885"/>
      <c r="FS1208" s="885"/>
      <c r="FT1208" s="885"/>
      <c r="FU1208" s="885"/>
      <c r="FV1208" s="885"/>
      <c r="FW1208" s="885"/>
      <c r="FX1208" s="885"/>
      <c r="FY1208" s="885"/>
      <c r="FZ1208" s="885"/>
      <c r="GA1208" s="885"/>
      <c r="GB1208" s="885"/>
      <c r="GC1208" s="885"/>
      <c r="GD1208" s="885"/>
      <c r="GE1208" s="885"/>
      <c r="GF1208" s="885"/>
      <c r="GG1208" s="885"/>
      <c r="GH1208" s="885"/>
      <c r="GI1208" s="885"/>
      <c r="GJ1208" s="885"/>
      <c r="GK1208" s="885"/>
      <c r="GL1208" s="885"/>
      <c r="GM1208" s="885"/>
      <c r="GN1208" s="885"/>
      <c r="GO1208" s="885"/>
      <c r="GP1208" s="885"/>
      <c r="GQ1208" s="885"/>
      <c r="GR1208" s="885"/>
      <c r="GS1208" s="885"/>
      <c r="GT1208" s="885"/>
      <c r="GU1208" s="885"/>
      <c r="GV1208" s="885"/>
      <c r="GW1208" s="885"/>
      <c r="GX1208" s="885"/>
      <c r="GY1208" s="885"/>
      <c r="GZ1208" s="885"/>
      <c r="HA1208" s="885"/>
      <c r="HB1208" s="885"/>
      <c r="HC1208" s="885"/>
      <c r="HD1208" s="885"/>
      <c r="HE1208" s="885"/>
      <c r="HF1208" s="885"/>
      <c r="HG1208" s="885"/>
      <c r="HH1208" s="885"/>
      <c r="HI1208" s="885"/>
      <c r="HJ1208" s="885"/>
      <c r="HK1208" s="885"/>
      <c r="HL1208" s="885"/>
      <c r="HM1208" s="885"/>
      <c r="HN1208" s="885"/>
      <c r="HO1208" s="885"/>
      <c r="HP1208" s="885"/>
      <c r="HQ1208" s="885"/>
      <c r="HR1208" s="885"/>
      <c r="HS1208" s="885"/>
      <c r="HT1208" s="885"/>
      <c r="HU1208" s="885"/>
      <c r="HV1208" s="885"/>
      <c r="HW1208" s="885"/>
      <c r="HX1208" s="885"/>
      <c r="HY1208" s="885"/>
      <c r="HZ1208" s="885"/>
      <c r="IA1208" s="885"/>
      <c r="IB1208" s="885"/>
      <c r="IC1208" s="885"/>
      <c r="ID1208" s="885"/>
      <c r="IE1208" s="885"/>
      <c r="IF1208" s="885"/>
      <c r="IG1208" s="885"/>
      <c r="IH1208" s="885"/>
      <c r="II1208" s="885"/>
      <c r="IJ1208" s="885"/>
      <c r="IK1208" s="885"/>
      <c r="IL1208" s="885"/>
      <c r="IM1208" s="885"/>
      <c r="IN1208" s="885"/>
      <c r="IO1208" s="885"/>
      <c r="IP1208" s="885"/>
      <c r="IQ1208" s="885"/>
      <c r="IR1208" s="885"/>
      <c r="IS1208" s="885"/>
      <c r="IT1208" s="885"/>
      <c r="IU1208" s="885"/>
      <c r="IV1208" s="885"/>
      <c r="IW1208" s="885"/>
      <c r="IX1208" s="885"/>
    </row>
    <row r="1209" spans="1:258" x14ac:dyDescent="0.25">
      <c r="A1209" s="125">
        <f t="shared" si="132"/>
        <v>1169</v>
      </c>
      <c r="B1209" s="885"/>
      <c r="C1209" s="842" t="s">
        <v>10742</v>
      </c>
      <c r="D1209" s="924">
        <v>0</v>
      </c>
      <c r="E1209" s="924">
        <f t="shared" si="131"/>
        <v>0</v>
      </c>
      <c r="F1209" s="129">
        <v>2000</v>
      </c>
      <c r="G1209" s="122" t="s">
        <v>1963</v>
      </c>
      <c r="H1209" s="885"/>
      <c r="I1209" s="885"/>
      <c r="J1209" s="885"/>
      <c r="K1209" s="885"/>
      <c r="L1209" s="885"/>
      <c r="M1209" s="885"/>
      <c r="N1209" s="885"/>
      <c r="O1209" s="885"/>
      <c r="P1209" s="885"/>
      <c r="Q1209" s="885"/>
      <c r="R1209" s="885"/>
      <c r="S1209" s="885"/>
      <c r="T1209" s="885"/>
      <c r="U1209" s="885"/>
      <c r="V1209" s="885"/>
      <c r="W1209" s="885"/>
      <c r="X1209" s="885"/>
      <c r="Y1209" s="885"/>
      <c r="Z1209" s="885"/>
      <c r="AA1209" s="885"/>
      <c r="AB1209" s="885"/>
      <c r="AC1209" s="885"/>
      <c r="AD1209" s="885"/>
      <c r="AE1209" s="885"/>
      <c r="AF1209" s="885"/>
      <c r="AG1209" s="885"/>
      <c r="AH1209" s="885"/>
      <c r="AI1209" s="885"/>
      <c r="AJ1209" s="885"/>
      <c r="AK1209" s="885"/>
      <c r="AL1209" s="885"/>
      <c r="AM1209" s="885"/>
      <c r="AN1209" s="885"/>
      <c r="AO1209" s="885"/>
      <c r="AP1209" s="885"/>
      <c r="AQ1209" s="885"/>
      <c r="AR1209" s="885"/>
      <c r="AS1209" s="885"/>
      <c r="AT1209" s="885"/>
      <c r="AU1209" s="885"/>
      <c r="AV1209" s="885"/>
      <c r="AW1209" s="885"/>
      <c r="AX1209" s="885"/>
      <c r="AY1209" s="885"/>
      <c r="AZ1209" s="885"/>
      <c r="BA1209" s="885"/>
      <c r="BB1209" s="885"/>
      <c r="BC1209" s="885"/>
      <c r="BD1209" s="885"/>
      <c r="BE1209" s="885"/>
      <c r="BF1209" s="885"/>
      <c r="BG1209" s="885"/>
      <c r="BH1209" s="885"/>
      <c r="BI1209" s="885"/>
      <c r="BJ1209" s="885"/>
      <c r="BK1209" s="885"/>
      <c r="BL1209" s="885"/>
      <c r="BM1209" s="885"/>
      <c r="BN1209" s="885"/>
      <c r="BO1209" s="885"/>
      <c r="BP1209" s="885"/>
      <c r="BQ1209" s="885"/>
      <c r="BR1209" s="885"/>
      <c r="BS1209" s="885"/>
      <c r="BT1209" s="885"/>
      <c r="BU1209" s="885"/>
      <c r="BV1209" s="885"/>
      <c r="BW1209" s="885"/>
      <c r="BX1209" s="885"/>
      <c r="BY1209" s="885"/>
      <c r="BZ1209" s="885"/>
      <c r="CA1209" s="885"/>
      <c r="CB1209" s="885"/>
      <c r="CC1209" s="885"/>
      <c r="CD1209" s="885"/>
      <c r="CE1209" s="885"/>
      <c r="CF1209" s="885"/>
      <c r="CG1209" s="885"/>
      <c r="CH1209" s="885"/>
      <c r="CI1209" s="885"/>
      <c r="CJ1209" s="885"/>
      <c r="CK1209" s="885"/>
      <c r="CL1209" s="885"/>
      <c r="CM1209" s="885"/>
      <c r="CN1209" s="885"/>
      <c r="CO1209" s="885"/>
      <c r="CP1209" s="885"/>
      <c r="CQ1209" s="885"/>
      <c r="CR1209" s="885"/>
      <c r="CS1209" s="885"/>
      <c r="CT1209" s="885"/>
      <c r="CU1209" s="885"/>
      <c r="CV1209" s="885"/>
      <c r="CW1209" s="885"/>
      <c r="CX1209" s="885"/>
      <c r="CY1209" s="885"/>
      <c r="CZ1209" s="885"/>
      <c r="DA1209" s="885"/>
      <c r="DB1209" s="885"/>
      <c r="DC1209" s="885"/>
      <c r="DD1209" s="885"/>
      <c r="DE1209" s="885"/>
      <c r="DF1209" s="885"/>
      <c r="DG1209" s="885"/>
      <c r="DH1209" s="885"/>
      <c r="DI1209" s="885"/>
      <c r="DJ1209" s="885"/>
      <c r="DK1209" s="885"/>
      <c r="DL1209" s="885"/>
      <c r="DM1209" s="885"/>
      <c r="DN1209" s="885"/>
      <c r="DO1209" s="885"/>
      <c r="DP1209" s="885"/>
      <c r="DQ1209" s="885"/>
      <c r="DR1209" s="885"/>
      <c r="DS1209" s="885"/>
      <c r="DT1209" s="885"/>
      <c r="DU1209" s="885"/>
      <c r="DV1209" s="885"/>
      <c r="DW1209" s="885"/>
      <c r="DX1209" s="885"/>
      <c r="DY1209" s="885"/>
      <c r="DZ1209" s="885"/>
      <c r="EA1209" s="885"/>
      <c r="EB1209" s="885"/>
      <c r="EC1209" s="885"/>
      <c r="ED1209" s="885"/>
      <c r="EE1209" s="885"/>
      <c r="EF1209" s="885"/>
      <c r="EG1209" s="885"/>
      <c r="EH1209" s="885"/>
      <c r="EI1209" s="885"/>
      <c r="EJ1209" s="885"/>
      <c r="EK1209" s="885"/>
      <c r="EL1209" s="885"/>
      <c r="EM1209" s="885"/>
      <c r="EN1209" s="885"/>
      <c r="EO1209" s="885"/>
      <c r="EP1209" s="885"/>
      <c r="EQ1209" s="885"/>
      <c r="ER1209" s="885"/>
      <c r="ES1209" s="885"/>
      <c r="ET1209" s="885"/>
      <c r="EU1209" s="885"/>
      <c r="EV1209" s="885"/>
      <c r="EW1209" s="885"/>
      <c r="EX1209" s="885"/>
      <c r="EY1209" s="885"/>
      <c r="EZ1209" s="885"/>
      <c r="FA1209" s="885"/>
      <c r="FB1209" s="885"/>
      <c r="FC1209" s="885"/>
      <c r="FD1209" s="885"/>
      <c r="FE1209" s="885"/>
      <c r="FF1209" s="885"/>
      <c r="FG1209" s="885"/>
      <c r="FH1209" s="885"/>
      <c r="FI1209" s="885"/>
      <c r="FJ1209" s="885"/>
      <c r="FK1209" s="885"/>
      <c r="FL1209" s="885"/>
      <c r="FM1209" s="885"/>
      <c r="FN1209" s="885"/>
      <c r="FO1209" s="885"/>
      <c r="FP1209" s="885"/>
      <c r="FQ1209" s="885"/>
      <c r="FR1209" s="885"/>
      <c r="FS1209" s="885"/>
      <c r="FT1209" s="885"/>
      <c r="FU1209" s="885"/>
      <c r="FV1209" s="885"/>
      <c r="FW1209" s="885"/>
      <c r="FX1209" s="885"/>
      <c r="FY1209" s="885"/>
      <c r="FZ1209" s="885"/>
      <c r="GA1209" s="885"/>
      <c r="GB1209" s="885"/>
      <c r="GC1209" s="885"/>
      <c r="GD1209" s="885"/>
      <c r="GE1209" s="885"/>
      <c r="GF1209" s="885"/>
      <c r="GG1209" s="885"/>
      <c r="GH1209" s="885"/>
      <c r="GI1209" s="885"/>
      <c r="GJ1209" s="885"/>
      <c r="GK1209" s="885"/>
      <c r="GL1209" s="885"/>
      <c r="GM1209" s="885"/>
      <c r="GN1209" s="885"/>
      <c r="GO1209" s="885"/>
      <c r="GP1209" s="885"/>
      <c r="GQ1209" s="885"/>
      <c r="GR1209" s="885"/>
      <c r="GS1209" s="885"/>
      <c r="GT1209" s="885"/>
      <c r="GU1209" s="885"/>
      <c r="GV1209" s="885"/>
      <c r="GW1209" s="885"/>
      <c r="GX1209" s="885"/>
      <c r="GY1209" s="885"/>
      <c r="GZ1209" s="885"/>
      <c r="HA1209" s="885"/>
      <c r="HB1209" s="885"/>
      <c r="HC1209" s="885"/>
      <c r="HD1209" s="885"/>
      <c r="HE1209" s="885"/>
      <c r="HF1209" s="885"/>
      <c r="HG1209" s="885"/>
      <c r="HH1209" s="885"/>
      <c r="HI1209" s="885"/>
      <c r="HJ1209" s="885"/>
      <c r="HK1209" s="885"/>
      <c r="HL1209" s="885"/>
      <c r="HM1209" s="885"/>
      <c r="HN1209" s="885"/>
      <c r="HO1209" s="885"/>
      <c r="HP1209" s="885"/>
      <c r="HQ1209" s="885"/>
      <c r="HR1209" s="885"/>
      <c r="HS1209" s="885"/>
      <c r="HT1209" s="885"/>
      <c r="HU1209" s="885"/>
      <c r="HV1209" s="885"/>
      <c r="HW1209" s="885"/>
      <c r="HX1209" s="885"/>
      <c r="HY1209" s="885"/>
      <c r="HZ1209" s="885"/>
      <c r="IA1209" s="885"/>
      <c r="IB1209" s="885"/>
      <c r="IC1209" s="885"/>
      <c r="ID1209" s="885"/>
      <c r="IE1209" s="885"/>
      <c r="IF1209" s="885"/>
      <c r="IG1209" s="885"/>
      <c r="IH1209" s="885"/>
      <c r="II1209" s="885"/>
      <c r="IJ1209" s="885"/>
      <c r="IK1209" s="885"/>
      <c r="IL1209" s="885"/>
      <c r="IM1209" s="885"/>
      <c r="IN1209" s="885"/>
      <c r="IO1209" s="885"/>
      <c r="IP1209" s="885"/>
      <c r="IQ1209" s="885"/>
      <c r="IR1209" s="885"/>
      <c r="IS1209" s="885"/>
      <c r="IT1209" s="885"/>
      <c r="IU1209" s="885"/>
      <c r="IV1209" s="885"/>
      <c r="IW1209" s="885"/>
      <c r="IX1209" s="885"/>
    </row>
    <row r="1210" spans="1:258" ht="31.5" x14ac:dyDescent="0.25">
      <c r="A1210" s="125">
        <f t="shared" si="132"/>
        <v>1170</v>
      </c>
      <c r="B1210" s="885"/>
      <c r="C1210" s="842" t="s">
        <v>10743</v>
      </c>
      <c r="D1210" s="924">
        <v>0</v>
      </c>
      <c r="E1210" s="924">
        <f t="shared" si="131"/>
        <v>0</v>
      </c>
      <c r="F1210" s="129">
        <v>1000</v>
      </c>
      <c r="G1210" s="122" t="s">
        <v>1963</v>
      </c>
      <c r="H1210" s="885"/>
      <c r="I1210" s="885"/>
      <c r="J1210" s="885"/>
      <c r="K1210" s="885"/>
      <c r="L1210" s="885"/>
      <c r="M1210" s="885"/>
      <c r="N1210" s="885"/>
      <c r="O1210" s="885"/>
      <c r="P1210" s="885"/>
      <c r="Q1210" s="885"/>
      <c r="R1210" s="885"/>
      <c r="S1210" s="885"/>
      <c r="T1210" s="885"/>
      <c r="U1210" s="885"/>
      <c r="V1210" s="885"/>
      <c r="W1210" s="885"/>
      <c r="X1210" s="885"/>
      <c r="Y1210" s="885"/>
      <c r="Z1210" s="885"/>
      <c r="AA1210" s="885"/>
      <c r="AB1210" s="885"/>
      <c r="AC1210" s="885"/>
      <c r="AD1210" s="885"/>
      <c r="AE1210" s="885"/>
      <c r="AF1210" s="885"/>
      <c r="AG1210" s="885"/>
      <c r="AH1210" s="885"/>
      <c r="AI1210" s="885"/>
      <c r="AJ1210" s="885"/>
      <c r="AK1210" s="885"/>
      <c r="AL1210" s="885"/>
      <c r="AM1210" s="885"/>
      <c r="AN1210" s="885"/>
      <c r="AO1210" s="885"/>
      <c r="AP1210" s="885"/>
      <c r="AQ1210" s="885"/>
      <c r="AR1210" s="885"/>
      <c r="AS1210" s="885"/>
      <c r="AT1210" s="885"/>
      <c r="AU1210" s="885"/>
      <c r="AV1210" s="885"/>
      <c r="AW1210" s="885"/>
      <c r="AX1210" s="885"/>
      <c r="AY1210" s="885"/>
      <c r="AZ1210" s="885"/>
      <c r="BA1210" s="885"/>
      <c r="BB1210" s="885"/>
      <c r="BC1210" s="885"/>
      <c r="BD1210" s="885"/>
      <c r="BE1210" s="885"/>
      <c r="BF1210" s="885"/>
      <c r="BG1210" s="885"/>
      <c r="BH1210" s="885"/>
      <c r="BI1210" s="885"/>
      <c r="BJ1210" s="885"/>
      <c r="BK1210" s="885"/>
      <c r="BL1210" s="885"/>
      <c r="BM1210" s="885"/>
      <c r="BN1210" s="885"/>
      <c r="BO1210" s="885"/>
      <c r="BP1210" s="885"/>
      <c r="BQ1210" s="885"/>
      <c r="BR1210" s="885"/>
      <c r="BS1210" s="885"/>
      <c r="BT1210" s="885"/>
      <c r="BU1210" s="885"/>
      <c r="BV1210" s="885"/>
      <c r="BW1210" s="885"/>
      <c r="BX1210" s="885"/>
      <c r="BY1210" s="885"/>
      <c r="BZ1210" s="885"/>
      <c r="CA1210" s="885"/>
      <c r="CB1210" s="885"/>
      <c r="CC1210" s="885"/>
      <c r="CD1210" s="885"/>
      <c r="CE1210" s="885"/>
      <c r="CF1210" s="885"/>
      <c r="CG1210" s="885"/>
      <c r="CH1210" s="885"/>
      <c r="CI1210" s="885"/>
      <c r="CJ1210" s="885"/>
      <c r="CK1210" s="885"/>
      <c r="CL1210" s="885"/>
      <c r="CM1210" s="885"/>
      <c r="CN1210" s="885"/>
      <c r="CO1210" s="885"/>
      <c r="CP1210" s="885"/>
      <c r="CQ1210" s="885"/>
      <c r="CR1210" s="885"/>
      <c r="CS1210" s="885"/>
      <c r="CT1210" s="885"/>
      <c r="CU1210" s="885"/>
      <c r="CV1210" s="885"/>
      <c r="CW1210" s="885"/>
      <c r="CX1210" s="885"/>
      <c r="CY1210" s="885"/>
      <c r="CZ1210" s="885"/>
      <c r="DA1210" s="885"/>
      <c r="DB1210" s="885"/>
      <c r="DC1210" s="885"/>
      <c r="DD1210" s="885"/>
      <c r="DE1210" s="885"/>
      <c r="DF1210" s="885"/>
      <c r="DG1210" s="885"/>
      <c r="DH1210" s="885"/>
      <c r="DI1210" s="885"/>
      <c r="DJ1210" s="885"/>
      <c r="DK1210" s="885"/>
      <c r="DL1210" s="885"/>
      <c r="DM1210" s="885"/>
      <c r="DN1210" s="885"/>
      <c r="DO1210" s="885"/>
      <c r="DP1210" s="885"/>
      <c r="DQ1210" s="885"/>
      <c r="DR1210" s="885"/>
      <c r="DS1210" s="885"/>
      <c r="DT1210" s="885"/>
      <c r="DU1210" s="885"/>
      <c r="DV1210" s="885"/>
      <c r="DW1210" s="885"/>
      <c r="DX1210" s="885"/>
      <c r="DY1210" s="885"/>
      <c r="DZ1210" s="885"/>
      <c r="EA1210" s="885"/>
      <c r="EB1210" s="885"/>
      <c r="EC1210" s="885"/>
      <c r="ED1210" s="885"/>
      <c r="EE1210" s="885"/>
      <c r="EF1210" s="885"/>
      <c r="EG1210" s="885"/>
      <c r="EH1210" s="885"/>
      <c r="EI1210" s="885"/>
      <c r="EJ1210" s="885"/>
      <c r="EK1210" s="885"/>
      <c r="EL1210" s="885"/>
      <c r="EM1210" s="885"/>
      <c r="EN1210" s="885"/>
      <c r="EO1210" s="885"/>
      <c r="EP1210" s="885"/>
      <c r="EQ1210" s="885"/>
      <c r="ER1210" s="885"/>
      <c r="ES1210" s="885"/>
      <c r="ET1210" s="885"/>
      <c r="EU1210" s="885"/>
      <c r="EV1210" s="885"/>
      <c r="EW1210" s="885"/>
      <c r="EX1210" s="885"/>
      <c r="EY1210" s="885"/>
      <c r="EZ1210" s="885"/>
      <c r="FA1210" s="885"/>
      <c r="FB1210" s="885"/>
      <c r="FC1210" s="885"/>
      <c r="FD1210" s="885"/>
      <c r="FE1210" s="885"/>
      <c r="FF1210" s="885"/>
      <c r="FG1210" s="885"/>
      <c r="FH1210" s="885"/>
      <c r="FI1210" s="885"/>
      <c r="FJ1210" s="885"/>
      <c r="FK1210" s="885"/>
      <c r="FL1210" s="885"/>
      <c r="FM1210" s="885"/>
      <c r="FN1210" s="885"/>
      <c r="FO1210" s="885"/>
      <c r="FP1210" s="885"/>
      <c r="FQ1210" s="885"/>
      <c r="FR1210" s="885"/>
      <c r="FS1210" s="885"/>
      <c r="FT1210" s="885"/>
      <c r="FU1210" s="885"/>
      <c r="FV1210" s="885"/>
      <c r="FW1210" s="885"/>
      <c r="FX1210" s="885"/>
      <c r="FY1210" s="885"/>
      <c r="FZ1210" s="885"/>
      <c r="GA1210" s="885"/>
      <c r="GB1210" s="885"/>
      <c r="GC1210" s="885"/>
      <c r="GD1210" s="885"/>
      <c r="GE1210" s="885"/>
      <c r="GF1210" s="885"/>
      <c r="GG1210" s="885"/>
      <c r="GH1210" s="885"/>
      <c r="GI1210" s="885"/>
      <c r="GJ1210" s="885"/>
      <c r="GK1210" s="885"/>
      <c r="GL1210" s="885"/>
      <c r="GM1210" s="885"/>
      <c r="GN1210" s="885"/>
      <c r="GO1210" s="885"/>
      <c r="GP1210" s="885"/>
      <c r="GQ1210" s="885"/>
      <c r="GR1210" s="885"/>
      <c r="GS1210" s="885"/>
      <c r="GT1210" s="885"/>
      <c r="GU1210" s="885"/>
      <c r="GV1210" s="885"/>
      <c r="GW1210" s="885"/>
      <c r="GX1210" s="885"/>
      <c r="GY1210" s="885"/>
      <c r="GZ1210" s="885"/>
      <c r="HA1210" s="885"/>
      <c r="HB1210" s="885"/>
      <c r="HC1210" s="885"/>
      <c r="HD1210" s="885"/>
      <c r="HE1210" s="885"/>
      <c r="HF1210" s="885"/>
      <c r="HG1210" s="885"/>
      <c r="HH1210" s="885"/>
      <c r="HI1210" s="885"/>
      <c r="HJ1210" s="885"/>
      <c r="HK1210" s="885"/>
      <c r="HL1210" s="885"/>
      <c r="HM1210" s="885"/>
      <c r="HN1210" s="885"/>
      <c r="HO1210" s="885"/>
      <c r="HP1210" s="885"/>
      <c r="HQ1210" s="885"/>
      <c r="HR1210" s="885"/>
      <c r="HS1210" s="885"/>
      <c r="HT1210" s="885"/>
      <c r="HU1210" s="885"/>
      <c r="HV1210" s="885"/>
      <c r="HW1210" s="885"/>
      <c r="HX1210" s="885"/>
      <c r="HY1210" s="885"/>
      <c r="HZ1210" s="885"/>
      <c r="IA1210" s="885"/>
      <c r="IB1210" s="885"/>
      <c r="IC1210" s="885"/>
      <c r="ID1210" s="885"/>
      <c r="IE1210" s="885"/>
      <c r="IF1210" s="885"/>
      <c r="IG1210" s="885"/>
      <c r="IH1210" s="885"/>
      <c r="II1210" s="885"/>
      <c r="IJ1210" s="885"/>
      <c r="IK1210" s="885"/>
      <c r="IL1210" s="885"/>
      <c r="IM1210" s="885"/>
      <c r="IN1210" s="885"/>
      <c r="IO1210" s="885"/>
      <c r="IP1210" s="885"/>
      <c r="IQ1210" s="885"/>
      <c r="IR1210" s="885"/>
      <c r="IS1210" s="885"/>
      <c r="IT1210" s="885"/>
      <c r="IU1210" s="885"/>
      <c r="IV1210" s="885"/>
      <c r="IW1210" s="885"/>
      <c r="IX1210" s="885"/>
    </row>
    <row r="1211" spans="1:258" x14ac:dyDescent="0.25">
      <c r="A1211" s="125">
        <f t="shared" si="132"/>
        <v>1171</v>
      </c>
      <c r="B1211" s="885"/>
      <c r="C1211" s="842" t="s">
        <v>10744</v>
      </c>
      <c r="D1211" s="924">
        <v>0</v>
      </c>
      <c r="E1211" s="924">
        <f t="shared" si="131"/>
        <v>0</v>
      </c>
      <c r="F1211" s="129">
        <v>1000</v>
      </c>
      <c r="G1211" s="122" t="s">
        <v>1963</v>
      </c>
      <c r="H1211" s="885"/>
      <c r="I1211" s="885"/>
      <c r="J1211" s="885"/>
      <c r="K1211" s="885"/>
      <c r="L1211" s="885"/>
      <c r="M1211" s="885"/>
      <c r="N1211" s="885"/>
      <c r="O1211" s="885"/>
      <c r="P1211" s="885"/>
      <c r="Q1211" s="885"/>
      <c r="R1211" s="885"/>
      <c r="S1211" s="885"/>
      <c r="T1211" s="885"/>
      <c r="U1211" s="885"/>
      <c r="V1211" s="885"/>
      <c r="W1211" s="885"/>
      <c r="X1211" s="885"/>
      <c r="Y1211" s="885"/>
      <c r="Z1211" s="885"/>
      <c r="AA1211" s="885"/>
      <c r="AB1211" s="885"/>
      <c r="AC1211" s="885"/>
      <c r="AD1211" s="885"/>
      <c r="AE1211" s="885"/>
      <c r="AF1211" s="885"/>
      <c r="AG1211" s="885"/>
      <c r="AH1211" s="885"/>
      <c r="AI1211" s="885"/>
      <c r="AJ1211" s="885"/>
      <c r="AK1211" s="885"/>
      <c r="AL1211" s="885"/>
      <c r="AM1211" s="885"/>
      <c r="AN1211" s="885"/>
      <c r="AO1211" s="885"/>
      <c r="AP1211" s="885"/>
      <c r="AQ1211" s="885"/>
      <c r="AR1211" s="885"/>
      <c r="AS1211" s="885"/>
      <c r="AT1211" s="885"/>
      <c r="AU1211" s="885"/>
      <c r="AV1211" s="885"/>
      <c r="AW1211" s="885"/>
      <c r="AX1211" s="885"/>
      <c r="AY1211" s="885"/>
      <c r="AZ1211" s="885"/>
      <c r="BA1211" s="885"/>
      <c r="BB1211" s="885"/>
      <c r="BC1211" s="885"/>
      <c r="BD1211" s="885"/>
      <c r="BE1211" s="885"/>
      <c r="BF1211" s="885"/>
      <c r="BG1211" s="885"/>
      <c r="BH1211" s="885"/>
      <c r="BI1211" s="885"/>
      <c r="BJ1211" s="885"/>
      <c r="BK1211" s="885"/>
      <c r="BL1211" s="885"/>
      <c r="BM1211" s="885"/>
      <c r="BN1211" s="885"/>
      <c r="BO1211" s="885"/>
      <c r="BP1211" s="885"/>
      <c r="BQ1211" s="885"/>
      <c r="BR1211" s="885"/>
      <c r="BS1211" s="885"/>
      <c r="BT1211" s="885"/>
      <c r="BU1211" s="885"/>
      <c r="BV1211" s="885"/>
      <c r="BW1211" s="885"/>
      <c r="BX1211" s="885"/>
      <c r="BY1211" s="885"/>
      <c r="BZ1211" s="885"/>
      <c r="CA1211" s="885"/>
      <c r="CB1211" s="885"/>
      <c r="CC1211" s="885"/>
      <c r="CD1211" s="885"/>
      <c r="CE1211" s="885"/>
      <c r="CF1211" s="885"/>
      <c r="CG1211" s="885"/>
      <c r="CH1211" s="885"/>
      <c r="CI1211" s="885"/>
      <c r="CJ1211" s="885"/>
      <c r="CK1211" s="885"/>
      <c r="CL1211" s="885"/>
      <c r="CM1211" s="885"/>
      <c r="CN1211" s="885"/>
      <c r="CO1211" s="885"/>
      <c r="CP1211" s="885"/>
      <c r="CQ1211" s="885"/>
      <c r="CR1211" s="885"/>
      <c r="CS1211" s="885"/>
      <c r="CT1211" s="885"/>
      <c r="CU1211" s="885"/>
      <c r="CV1211" s="885"/>
      <c r="CW1211" s="885"/>
      <c r="CX1211" s="885"/>
      <c r="CY1211" s="885"/>
      <c r="CZ1211" s="885"/>
      <c r="DA1211" s="885"/>
      <c r="DB1211" s="885"/>
      <c r="DC1211" s="885"/>
      <c r="DD1211" s="885"/>
      <c r="DE1211" s="885"/>
      <c r="DF1211" s="885"/>
      <c r="DG1211" s="885"/>
      <c r="DH1211" s="885"/>
      <c r="DI1211" s="885"/>
      <c r="DJ1211" s="885"/>
      <c r="DK1211" s="885"/>
      <c r="DL1211" s="885"/>
      <c r="DM1211" s="885"/>
      <c r="DN1211" s="885"/>
      <c r="DO1211" s="885"/>
      <c r="DP1211" s="885"/>
      <c r="DQ1211" s="885"/>
      <c r="DR1211" s="885"/>
      <c r="DS1211" s="885"/>
      <c r="DT1211" s="885"/>
      <c r="DU1211" s="885"/>
      <c r="DV1211" s="885"/>
      <c r="DW1211" s="885"/>
      <c r="DX1211" s="885"/>
      <c r="DY1211" s="885"/>
      <c r="DZ1211" s="885"/>
      <c r="EA1211" s="885"/>
      <c r="EB1211" s="885"/>
      <c r="EC1211" s="885"/>
      <c r="ED1211" s="885"/>
      <c r="EE1211" s="885"/>
      <c r="EF1211" s="885"/>
      <c r="EG1211" s="885"/>
      <c r="EH1211" s="885"/>
      <c r="EI1211" s="885"/>
      <c r="EJ1211" s="885"/>
      <c r="EK1211" s="885"/>
      <c r="EL1211" s="885"/>
      <c r="EM1211" s="885"/>
      <c r="EN1211" s="885"/>
      <c r="EO1211" s="885"/>
      <c r="EP1211" s="885"/>
      <c r="EQ1211" s="885"/>
      <c r="ER1211" s="885"/>
      <c r="ES1211" s="885"/>
      <c r="ET1211" s="885"/>
      <c r="EU1211" s="885"/>
      <c r="EV1211" s="885"/>
      <c r="EW1211" s="885"/>
      <c r="EX1211" s="885"/>
      <c r="EY1211" s="885"/>
      <c r="EZ1211" s="885"/>
      <c r="FA1211" s="885"/>
      <c r="FB1211" s="885"/>
      <c r="FC1211" s="885"/>
      <c r="FD1211" s="885"/>
      <c r="FE1211" s="885"/>
      <c r="FF1211" s="885"/>
      <c r="FG1211" s="885"/>
      <c r="FH1211" s="885"/>
      <c r="FI1211" s="885"/>
      <c r="FJ1211" s="885"/>
      <c r="FK1211" s="885"/>
      <c r="FL1211" s="885"/>
      <c r="FM1211" s="885"/>
      <c r="FN1211" s="885"/>
      <c r="FO1211" s="885"/>
      <c r="FP1211" s="885"/>
      <c r="FQ1211" s="885"/>
      <c r="FR1211" s="885"/>
      <c r="FS1211" s="885"/>
      <c r="FT1211" s="885"/>
      <c r="FU1211" s="885"/>
      <c r="FV1211" s="885"/>
      <c r="FW1211" s="885"/>
      <c r="FX1211" s="885"/>
      <c r="FY1211" s="885"/>
      <c r="FZ1211" s="885"/>
      <c r="GA1211" s="885"/>
      <c r="GB1211" s="885"/>
      <c r="GC1211" s="885"/>
      <c r="GD1211" s="885"/>
      <c r="GE1211" s="885"/>
      <c r="GF1211" s="885"/>
      <c r="GG1211" s="885"/>
      <c r="GH1211" s="885"/>
      <c r="GI1211" s="885"/>
      <c r="GJ1211" s="885"/>
      <c r="GK1211" s="885"/>
      <c r="GL1211" s="885"/>
      <c r="GM1211" s="885"/>
      <c r="GN1211" s="885"/>
      <c r="GO1211" s="885"/>
      <c r="GP1211" s="885"/>
      <c r="GQ1211" s="885"/>
      <c r="GR1211" s="885"/>
      <c r="GS1211" s="885"/>
      <c r="GT1211" s="885"/>
      <c r="GU1211" s="885"/>
      <c r="GV1211" s="885"/>
      <c r="GW1211" s="885"/>
      <c r="GX1211" s="885"/>
      <c r="GY1211" s="885"/>
      <c r="GZ1211" s="885"/>
      <c r="HA1211" s="885"/>
      <c r="HB1211" s="885"/>
      <c r="HC1211" s="885"/>
      <c r="HD1211" s="885"/>
      <c r="HE1211" s="885"/>
      <c r="HF1211" s="885"/>
      <c r="HG1211" s="885"/>
      <c r="HH1211" s="885"/>
      <c r="HI1211" s="885"/>
      <c r="HJ1211" s="885"/>
      <c r="HK1211" s="885"/>
      <c r="HL1211" s="885"/>
      <c r="HM1211" s="885"/>
      <c r="HN1211" s="885"/>
      <c r="HO1211" s="885"/>
      <c r="HP1211" s="885"/>
      <c r="HQ1211" s="885"/>
      <c r="HR1211" s="885"/>
      <c r="HS1211" s="885"/>
      <c r="HT1211" s="885"/>
      <c r="HU1211" s="885"/>
      <c r="HV1211" s="885"/>
      <c r="HW1211" s="885"/>
      <c r="HX1211" s="885"/>
      <c r="HY1211" s="885"/>
      <c r="HZ1211" s="885"/>
      <c r="IA1211" s="885"/>
      <c r="IB1211" s="885"/>
      <c r="IC1211" s="885"/>
      <c r="ID1211" s="885"/>
      <c r="IE1211" s="885"/>
      <c r="IF1211" s="885"/>
      <c r="IG1211" s="885"/>
      <c r="IH1211" s="885"/>
      <c r="II1211" s="885"/>
      <c r="IJ1211" s="885"/>
      <c r="IK1211" s="885"/>
      <c r="IL1211" s="885"/>
      <c r="IM1211" s="885"/>
      <c r="IN1211" s="885"/>
      <c r="IO1211" s="885"/>
      <c r="IP1211" s="885"/>
      <c r="IQ1211" s="885"/>
      <c r="IR1211" s="885"/>
      <c r="IS1211" s="885"/>
      <c r="IT1211" s="885"/>
      <c r="IU1211" s="885"/>
      <c r="IV1211" s="885"/>
      <c r="IW1211" s="885"/>
      <c r="IX1211" s="885"/>
    </row>
    <row r="1212" spans="1:258" ht="31.5" x14ac:dyDescent="0.25">
      <c r="A1212" s="125">
        <f t="shared" si="132"/>
        <v>1172</v>
      </c>
      <c r="B1212" s="885"/>
      <c r="C1212" s="842" t="s">
        <v>10745</v>
      </c>
      <c r="D1212" s="924">
        <v>0</v>
      </c>
      <c r="E1212" s="924">
        <f t="shared" si="131"/>
        <v>0</v>
      </c>
      <c r="F1212" s="129">
        <v>6000</v>
      </c>
      <c r="G1212" s="122" t="s">
        <v>1963</v>
      </c>
      <c r="H1212" s="885"/>
      <c r="I1212" s="885"/>
      <c r="J1212" s="885"/>
      <c r="K1212" s="885"/>
      <c r="L1212" s="885"/>
      <c r="M1212" s="885"/>
      <c r="N1212" s="885"/>
      <c r="O1212" s="885"/>
      <c r="P1212" s="885"/>
      <c r="Q1212" s="885"/>
      <c r="R1212" s="885"/>
      <c r="S1212" s="885"/>
      <c r="T1212" s="885"/>
      <c r="U1212" s="885"/>
      <c r="V1212" s="885"/>
      <c r="W1212" s="885"/>
      <c r="X1212" s="885"/>
      <c r="Y1212" s="885"/>
      <c r="Z1212" s="885"/>
      <c r="AA1212" s="885"/>
      <c r="AB1212" s="885"/>
      <c r="AC1212" s="885"/>
      <c r="AD1212" s="885"/>
      <c r="AE1212" s="885"/>
      <c r="AF1212" s="885"/>
      <c r="AG1212" s="885"/>
      <c r="AH1212" s="885"/>
      <c r="AI1212" s="885"/>
      <c r="AJ1212" s="885"/>
      <c r="AK1212" s="885"/>
      <c r="AL1212" s="885"/>
      <c r="AM1212" s="885"/>
      <c r="AN1212" s="885"/>
      <c r="AO1212" s="885"/>
      <c r="AP1212" s="885"/>
      <c r="AQ1212" s="885"/>
      <c r="AR1212" s="885"/>
      <c r="AS1212" s="885"/>
      <c r="AT1212" s="885"/>
      <c r="AU1212" s="885"/>
      <c r="AV1212" s="885"/>
      <c r="AW1212" s="885"/>
      <c r="AX1212" s="885"/>
      <c r="AY1212" s="885"/>
      <c r="AZ1212" s="885"/>
      <c r="BA1212" s="885"/>
      <c r="BB1212" s="885"/>
      <c r="BC1212" s="885"/>
      <c r="BD1212" s="885"/>
      <c r="BE1212" s="885"/>
      <c r="BF1212" s="885"/>
      <c r="BG1212" s="885"/>
      <c r="BH1212" s="885"/>
      <c r="BI1212" s="885"/>
      <c r="BJ1212" s="885"/>
      <c r="BK1212" s="885"/>
      <c r="BL1212" s="885"/>
      <c r="BM1212" s="885"/>
      <c r="BN1212" s="885"/>
      <c r="BO1212" s="885"/>
      <c r="BP1212" s="885"/>
      <c r="BQ1212" s="885"/>
      <c r="BR1212" s="885"/>
      <c r="BS1212" s="885"/>
      <c r="BT1212" s="885"/>
      <c r="BU1212" s="885"/>
      <c r="BV1212" s="885"/>
      <c r="BW1212" s="885"/>
      <c r="BX1212" s="885"/>
      <c r="BY1212" s="885"/>
      <c r="BZ1212" s="885"/>
      <c r="CA1212" s="885"/>
      <c r="CB1212" s="885"/>
      <c r="CC1212" s="885"/>
      <c r="CD1212" s="885"/>
      <c r="CE1212" s="885"/>
      <c r="CF1212" s="885"/>
      <c r="CG1212" s="885"/>
      <c r="CH1212" s="885"/>
      <c r="CI1212" s="885"/>
      <c r="CJ1212" s="885"/>
      <c r="CK1212" s="885"/>
      <c r="CL1212" s="885"/>
      <c r="CM1212" s="885"/>
      <c r="CN1212" s="885"/>
      <c r="CO1212" s="885"/>
      <c r="CP1212" s="885"/>
      <c r="CQ1212" s="885"/>
      <c r="CR1212" s="885"/>
      <c r="CS1212" s="885"/>
      <c r="CT1212" s="885"/>
      <c r="CU1212" s="885"/>
      <c r="CV1212" s="885"/>
      <c r="CW1212" s="885"/>
      <c r="CX1212" s="885"/>
      <c r="CY1212" s="885"/>
      <c r="CZ1212" s="885"/>
      <c r="DA1212" s="885"/>
      <c r="DB1212" s="885"/>
      <c r="DC1212" s="885"/>
      <c r="DD1212" s="885"/>
      <c r="DE1212" s="885"/>
      <c r="DF1212" s="885"/>
      <c r="DG1212" s="885"/>
      <c r="DH1212" s="885"/>
      <c r="DI1212" s="885"/>
      <c r="DJ1212" s="885"/>
      <c r="DK1212" s="885"/>
      <c r="DL1212" s="885"/>
      <c r="DM1212" s="885"/>
      <c r="DN1212" s="885"/>
      <c r="DO1212" s="885"/>
      <c r="DP1212" s="885"/>
      <c r="DQ1212" s="885"/>
      <c r="DR1212" s="885"/>
      <c r="DS1212" s="885"/>
      <c r="DT1212" s="885"/>
      <c r="DU1212" s="885"/>
      <c r="DV1212" s="885"/>
      <c r="DW1212" s="885"/>
      <c r="DX1212" s="885"/>
      <c r="DY1212" s="885"/>
      <c r="DZ1212" s="885"/>
      <c r="EA1212" s="885"/>
      <c r="EB1212" s="885"/>
      <c r="EC1212" s="885"/>
      <c r="ED1212" s="885"/>
      <c r="EE1212" s="885"/>
      <c r="EF1212" s="885"/>
      <c r="EG1212" s="885"/>
      <c r="EH1212" s="885"/>
      <c r="EI1212" s="885"/>
      <c r="EJ1212" s="885"/>
      <c r="EK1212" s="885"/>
      <c r="EL1212" s="885"/>
      <c r="EM1212" s="885"/>
      <c r="EN1212" s="885"/>
      <c r="EO1212" s="885"/>
      <c r="EP1212" s="885"/>
      <c r="EQ1212" s="885"/>
      <c r="ER1212" s="885"/>
      <c r="ES1212" s="885"/>
      <c r="ET1212" s="885"/>
      <c r="EU1212" s="885"/>
      <c r="EV1212" s="885"/>
      <c r="EW1212" s="885"/>
      <c r="EX1212" s="885"/>
      <c r="EY1212" s="885"/>
      <c r="EZ1212" s="885"/>
      <c r="FA1212" s="885"/>
      <c r="FB1212" s="885"/>
      <c r="FC1212" s="885"/>
      <c r="FD1212" s="885"/>
      <c r="FE1212" s="885"/>
      <c r="FF1212" s="885"/>
      <c r="FG1212" s="885"/>
      <c r="FH1212" s="885"/>
      <c r="FI1212" s="885"/>
      <c r="FJ1212" s="885"/>
      <c r="FK1212" s="885"/>
      <c r="FL1212" s="885"/>
      <c r="FM1212" s="885"/>
      <c r="FN1212" s="885"/>
      <c r="FO1212" s="885"/>
      <c r="FP1212" s="885"/>
      <c r="FQ1212" s="885"/>
      <c r="FR1212" s="885"/>
      <c r="FS1212" s="885"/>
      <c r="FT1212" s="885"/>
      <c r="FU1212" s="885"/>
      <c r="FV1212" s="885"/>
      <c r="FW1212" s="885"/>
      <c r="FX1212" s="885"/>
      <c r="FY1212" s="885"/>
      <c r="FZ1212" s="885"/>
      <c r="GA1212" s="885"/>
      <c r="GB1212" s="885"/>
      <c r="GC1212" s="885"/>
      <c r="GD1212" s="885"/>
      <c r="GE1212" s="885"/>
      <c r="GF1212" s="885"/>
      <c r="GG1212" s="885"/>
      <c r="GH1212" s="885"/>
      <c r="GI1212" s="885"/>
      <c r="GJ1212" s="885"/>
      <c r="GK1212" s="885"/>
      <c r="GL1212" s="885"/>
      <c r="GM1212" s="885"/>
      <c r="GN1212" s="885"/>
      <c r="GO1212" s="885"/>
      <c r="GP1212" s="885"/>
      <c r="GQ1212" s="885"/>
      <c r="GR1212" s="885"/>
      <c r="GS1212" s="885"/>
      <c r="GT1212" s="885"/>
      <c r="GU1212" s="885"/>
      <c r="GV1212" s="885"/>
      <c r="GW1212" s="885"/>
      <c r="GX1212" s="885"/>
      <c r="GY1212" s="885"/>
      <c r="GZ1212" s="885"/>
      <c r="HA1212" s="885"/>
      <c r="HB1212" s="885"/>
      <c r="HC1212" s="885"/>
      <c r="HD1212" s="885"/>
      <c r="HE1212" s="885"/>
      <c r="HF1212" s="885"/>
      <c r="HG1212" s="885"/>
      <c r="HH1212" s="885"/>
      <c r="HI1212" s="885"/>
      <c r="HJ1212" s="885"/>
      <c r="HK1212" s="885"/>
      <c r="HL1212" s="885"/>
      <c r="HM1212" s="885"/>
      <c r="HN1212" s="885"/>
      <c r="HO1212" s="885"/>
      <c r="HP1212" s="885"/>
      <c r="HQ1212" s="885"/>
      <c r="HR1212" s="885"/>
      <c r="HS1212" s="885"/>
      <c r="HT1212" s="885"/>
      <c r="HU1212" s="885"/>
      <c r="HV1212" s="885"/>
      <c r="HW1212" s="885"/>
      <c r="HX1212" s="885"/>
      <c r="HY1212" s="885"/>
      <c r="HZ1212" s="885"/>
      <c r="IA1212" s="885"/>
      <c r="IB1212" s="885"/>
      <c r="IC1212" s="885"/>
      <c r="ID1212" s="885"/>
      <c r="IE1212" s="885"/>
      <c r="IF1212" s="885"/>
      <c r="IG1212" s="885"/>
      <c r="IH1212" s="885"/>
      <c r="II1212" s="885"/>
      <c r="IJ1212" s="885"/>
      <c r="IK1212" s="885"/>
      <c r="IL1212" s="885"/>
      <c r="IM1212" s="885"/>
      <c r="IN1212" s="885"/>
      <c r="IO1212" s="885"/>
      <c r="IP1212" s="885"/>
      <c r="IQ1212" s="885"/>
      <c r="IR1212" s="885"/>
      <c r="IS1212" s="885"/>
      <c r="IT1212" s="885"/>
      <c r="IU1212" s="885"/>
      <c r="IV1212" s="885"/>
      <c r="IW1212" s="885"/>
      <c r="IX1212" s="885"/>
    </row>
    <row r="1213" spans="1:258" x14ac:dyDescent="0.25">
      <c r="A1213" s="125">
        <f t="shared" si="132"/>
        <v>1173</v>
      </c>
      <c r="B1213" s="885"/>
      <c r="C1213" s="842" t="s">
        <v>10746</v>
      </c>
      <c r="D1213" s="924">
        <v>0</v>
      </c>
      <c r="E1213" s="924">
        <f t="shared" si="131"/>
        <v>0</v>
      </c>
      <c r="F1213" s="129">
        <f>F1211*F83</f>
        <v>200</v>
      </c>
      <c r="G1213" s="122" t="s">
        <v>1963</v>
      </c>
      <c r="H1213" s="885"/>
      <c r="I1213" s="885"/>
      <c r="J1213" s="885"/>
      <c r="K1213" s="885"/>
      <c r="L1213" s="885"/>
      <c r="M1213" s="885"/>
      <c r="N1213" s="885"/>
      <c r="O1213" s="885"/>
      <c r="P1213" s="885"/>
      <c r="Q1213" s="885"/>
      <c r="R1213" s="885"/>
      <c r="S1213" s="885"/>
      <c r="T1213" s="885"/>
      <c r="U1213" s="885"/>
      <c r="V1213" s="885"/>
      <c r="W1213" s="885"/>
      <c r="X1213" s="885"/>
      <c r="Y1213" s="885"/>
      <c r="Z1213" s="885"/>
      <c r="AA1213" s="885"/>
      <c r="AB1213" s="885"/>
      <c r="AC1213" s="885"/>
      <c r="AD1213" s="885"/>
      <c r="AE1213" s="885"/>
      <c r="AF1213" s="885"/>
      <c r="AG1213" s="885"/>
      <c r="AH1213" s="885"/>
      <c r="AI1213" s="885"/>
      <c r="AJ1213" s="885"/>
      <c r="AK1213" s="885"/>
      <c r="AL1213" s="885"/>
      <c r="AM1213" s="885"/>
      <c r="AN1213" s="885"/>
      <c r="AO1213" s="885"/>
      <c r="AP1213" s="885"/>
      <c r="AQ1213" s="885"/>
      <c r="AR1213" s="885"/>
      <c r="AS1213" s="885"/>
      <c r="AT1213" s="885"/>
      <c r="AU1213" s="885"/>
      <c r="AV1213" s="885"/>
      <c r="AW1213" s="885"/>
      <c r="AX1213" s="885"/>
      <c r="AY1213" s="885"/>
      <c r="AZ1213" s="885"/>
      <c r="BA1213" s="885"/>
      <c r="BB1213" s="885"/>
      <c r="BC1213" s="885"/>
      <c r="BD1213" s="885"/>
      <c r="BE1213" s="885"/>
      <c r="BF1213" s="885"/>
      <c r="BG1213" s="885"/>
      <c r="BH1213" s="885"/>
      <c r="BI1213" s="885"/>
      <c r="BJ1213" s="885"/>
      <c r="BK1213" s="885"/>
      <c r="BL1213" s="885"/>
      <c r="BM1213" s="885"/>
      <c r="BN1213" s="885"/>
      <c r="BO1213" s="885"/>
      <c r="BP1213" s="885"/>
      <c r="BQ1213" s="885"/>
      <c r="BR1213" s="885"/>
      <c r="BS1213" s="885"/>
      <c r="BT1213" s="885"/>
      <c r="BU1213" s="885"/>
      <c r="BV1213" s="885"/>
      <c r="BW1213" s="885"/>
      <c r="BX1213" s="885"/>
      <c r="BY1213" s="885"/>
      <c r="BZ1213" s="885"/>
      <c r="CA1213" s="885"/>
      <c r="CB1213" s="885"/>
      <c r="CC1213" s="885"/>
      <c r="CD1213" s="885"/>
      <c r="CE1213" s="885"/>
      <c r="CF1213" s="885"/>
      <c r="CG1213" s="885"/>
      <c r="CH1213" s="885"/>
      <c r="CI1213" s="885"/>
      <c r="CJ1213" s="885"/>
      <c r="CK1213" s="885"/>
      <c r="CL1213" s="885"/>
      <c r="CM1213" s="885"/>
      <c r="CN1213" s="885"/>
      <c r="CO1213" s="885"/>
      <c r="CP1213" s="885"/>
      <c r="CQ1213" s="885"/>
      <c r="CR1213" s="885"/>
      <c r="CS1213" s="885"/>
      <c r="CT1213" s="885"/>
      <c r="CU1213" s="885"/>
      <c r="CV1213" s="885"/>
      <c r="CW1213" s="885"/>
      <c r="CX1213" s="885"/>
      <c r="CY1213" s="885"/>
      <c r="CZ1213" s="885"/>
      <c r="DA1213" s="885"/>
      <c r="DB1213" s="885"/>
      <c r="DC1213" s="885"/>
      <c r="DD1213" s="885"/>
      <c r="DE1213" s="885"/>
      <c r="DF1213" s="885"/>
      <c r="DG1213" s="885"/>
      <c r="DH1213" s="885"/>
      <c r="DI1213" s="885"/>
      <c r="DJ1213" s="885"/>
      <c r="DK1213" s="885"/>
      <c r="DL1213" s="885"/>
      <c r="DM1213" s="885"/>
      <c r="DN1213" s="885"/>
      <c r="DO1213" s="885"/>
      <c r="DP1213" s="885"/>
      <c r="DQ1213" s="885"/>
      <c r="DR1213" s="885"/>
      <c r="DS1213" s="885"/>
      <c r="DT1213" s="885"/>
      <c r="DU1213" s="885"/>
      <c r="DV1213" s="885"/>
      <c r="DW1213" s="885"/>
      <c r="DX1213" s="885"/>
      <c r="DY1213" s="885"/>
      <c r="DZ1213" s="885"/>
      <c r="EA1213" s="885"/>
      <c r="EB1213" s="885"/>
      <c r="EC1213" s="885"/>
      <c r="ED1213" s="885"/>
      <c r="EE1213" s="885"/>
      <c r="EF1213" s="885"/>
      <c r="EG1213" s="885"/>
      <c r="EH1213" s="885"/>
      <c r="EI1213" s="885"/>
      <c r="EJ1213" s="885"/>
      <c r="EK1213" s="885"/>
      <c r="EL1213" s="885"/>
      <c r="EM1213" s="885"/>
      <c r="EN1213" s="885"/>
      <c r="EO1213" s="885"/>
      <c r="EP1213" s="885"/>
      <c r="EQ1213" s="885"/>
      <c r="ER1213" s="885"/>
      <c r="ES1213" s="885"/>
      <c r="ET1213" s="885"/>
      <c r="EU1213" s="885"/>
      <c r="EV1213" s="885"/>
      <c r="EW1213" s="885"/>
      <c r="EX1213" s="885"/>
      <c r="EY1213" s="885"/>
      <c r="EZ1213" s="885"/>
      <c r="FA1213" s="885"/>
      <c r="FB1213" s="885"/>
      <c r="FC1213" s="885"/>
      <c r="FD1213" s="885"/>
      <c r="FE1213" s="885"/>
      <c r="FF1213" s="885"/>
      <c r="FG1213" s="885"/>
      <c r="FH1213" s="885"/>
      <c r="FI1213" s="885"/>
      <c r="FJ1213" s="885"/>
      <c r="FK1213" s="885"/>
      <c r="FL1213" s="885"/>
      <c r="FM1213" s="885"/>
      <c r="FN1213" s="885"/>
      <c r="FO1213" s="885"/>
      <c r="FP1213" s="885"/>
      <c r="FQ1213" s="885"/>
      <c r="FR1213" s="885"/>
      <c r="FS1213" s="885"/>
      <c r="FT1213" s="885"/>
      <c r="FU1213" s="885"/>
      <c r="FV1213" s="885"/>
      <c r="FW1213" s="885"/>
      <c r="FX1213" s="885"/>
      <c r="FY1213" s="885"/>
      <c r="FZ1213" s="885"/>
      <c r="GA1213" s="885"/>
      <c r="GB1213" s="885"/>
      <c r="GC1213" s="885"/>
      <c r="GD1213" s="885"/>
      <c r="GE1213" s="885"/>
      <c r="GF1213" s="885"/>
      <c r="GG1213" s="885"/>
      <c r="GH1213" s="885"/>
      <c r="GI1213" s="885"/>
      <c r="GJ1213" s="885"/>
      <c r="GK1213" s="885"/>
      <c r="GL1213" s="885"/>
      <c r="GM1213" s="885"/>
      <c r="GN1213" s="885"/>
      <c r="GO1213" s="885"/>
      <c r="GP1213" s="885"/>
      <c r="GQ1213" s="885"/>
      <c r="GR1213" s="885"/>
      <c r="GS1213" s="885"/>
      <c r="GT1213" s="885"/>
      <c r="GU1213" s="885"/>
      <c r="GV1213" s="885"/>
      <c r="GW1213" s="885"/>
      <c r="GX1213" s="885"/>
      <c r="GY1213" s="885"/>
      <c r="GZ1213" s="885"/>
      <c r="HA1213" s="885"/>
      <c r="HB1213" s="885"/>
      <c r="HC1213" s="885"/>
      <c r="HD1213" s="885"/>
      <c r="HE1213" s="885"/>
      <c r="HF1213" s="885"/>
      <c r="HG1213" s="885"/>
      <c r="HH1213" s="885"/>
      <c r="HI1213" s="885"/>
      <c r="HJ1213" s="885"/>
      <c r="HK1213" s="885"/>
      <c r="HL1213" s="885"/>
      <c r="HM1213" s="885"/>
      <c r="HN1213" s="885"/>
      <c r="HO1213" s="885"/>
      <c r="HP1213" s="885"/>
      <c r="HQ1213" s="885"/>
      <c r="HR1213" s="885"/>
      <c r="HS1213" s="885"/>
      <c r="HT1213" s="885"/>
      <c r="HU1213" s="885"/>
      <c r="HV1213" s="885"/>
      <c r="HW1213" s="885"/>
      <c r="HX1213" s="885"/>
      <c r="HY1213" s="885"/>
      <c r="HZ1213" s="885"/>
      <c r="IA1213" s="885"/>
      <c r="IB1213" s="885"/>
      <c r="IC1213" s="885"/>
      <c r="ID1213" s="885"/>
      <c r="IE1213" s="885"/>
      <c r="IF1213" s="885"/>
      <c r="IG1213" s="885"/>
      <c r="IH1213" s="885"/>
      <c r="II1213" s="885"/>
      <c r="IJ1213" s="885"/>
      <c r="IK1213" s="885"/>
      <c r="IL1213" s="885"/>
      <c r="IM1213" s="885"/>
      <c r="IN1213" s="885"/>
      <c r="IO1213" s="885"/>
      <c r="IP1213" s="885"/>
      <c r="IQ1213" s="885"/>
      <c r="IR1213" s="885"/>
      <c r="IS1213" s="885"/>
      <c r="IT1213" s="885"/>
      <c r="IU1213" s="885"/>
      <c r="IV1213" s="885"/>
      <c r="IW1213" s="885"/>
      <c r="IX1213" s="885"/>
    </row>
    <row r="1214" spans="1:258" ht="31.5" x14ac:dyDescent="0.25">
      <c r="A1214" s="125">
        <f t="shared" si="132"/>
        <v>1174</v>
      </c>
      <c r="B1214" s="885"/>
      <c r="C1214" s="842" t="s">
        <v>10747</v>
      </c>
      <c r="D1214" s="924">
        <v>0</v>
      </c>
      <c r="E1214" s="924">
        <f t="shared" si="131"/>
        <v>0</v>
      </c>
      <c r="F1214" s="129">
        <v>500</v>
      </c>
      <c r="G1214" s="122" t="s">
        <v>1963</v>
      </c>
      <c r="H1214" s="885"/>
      <c r="I1214" s="885"/>
      <c r="J1214" s="885"/>
      <c r="K1214" s="885"/>
      <c r="L1214" s="885"/>
      <c r="M1214" s="885"/>
      <c r="N1214" s="885"/>
      <c r="O1214" s="885"/>
      <c r="P1214" s="885"/>
      <c r="Q1214" s="885"/>
      <c r="R1214" s="885"/>
      <c r="S1214" s="885"/>
      <c r="T1214" s="885"/>
      <c r="U1214" s="885"/>
      <c r="V1214" s="885"/>
      <c r="W1214" s="885"/>
      <c r="X1214" s="885"/>
      <c r="Y1214" s="885"/>
      <c r="Z1214" s="885"/>
      <c r="AA1214" s="885"/>
      <c r="AB1214" s="885"/>
      <c r="AC1214" s="885"/>
      <c r="AD1214" s="885"/>
      <c r="AE1214" s="885"/>
      <c r="AF1214" s="885"/>
      <c r="AG1214" s="885"/>
      <c r="AH1214" s="885"/>
      <c r="AI1214" s="885"/>
      <c r="AJ1214" s="885"/>
      <c r="AK1214" s="885"/>
      <c r="AL1214" s="885"/>
      <c r="AM1214" s="885"/>
      <c r="AN1214" s="885"/>
      <c r="AO1214" s="885"/>
      <c r="AP1214" s="885"/>
      <c r="AQ1214" s="885"/>
      <c r="AR1214" s="885"/>
      <c r="AS1214" s="885"/>
      <c r="AT1214" s="885"/>
      <c r="AU1214" s="885"/>
      <c r="AV1214" s="885"/>
      <c r="AW1214" s="885"/>
      <c r="AX1214" s="885"/>
      <c r="AY1214" s="885"/>
      <c r="AZ1214" s="885"/>
      <c r="BA1214" s="885"/>
      <c r="BB1214" s="885"/>
      <c r="BC1214" s="885"/>
      <c r="BD1214" s="885"/>
      <c r="BE1214" s="885"/>
      <c r="BF1214" s="885"/>
      <c r="BG1214" s="885"/>
      <c r="BH1214" s="885"/>
      <c r="BI1214" s="885"/>
      <c r="BJ1214" s="885"/>
      <c r="BK1214" s="885"/>
      <c r="BL1214" s="885"/>
      <c r="BM1214" s="885"/>
      <c r="BN1214" s="885"/>
      <c r="BO1214" s="885"/>
      <c r="BP1214" s="885"/>
      <c r="BQ1214" s="885"/>
      <c r="BR1214" s="885"/>
      <c r="BS1214" s="885"/>
      <c r="BT1214" s="885"/>
      <c r="BU1214" s="885"/>
      <c r="BV1214" s="885"/>
      <c r="BW1214" s="885"/>
      <c r="BX1214" s="885"/>
      <c r="BY1214" s="885"/>
      <c r="BZ1214" s="885"/>
      <c r="CA1214" s="885"/>
      <c r="CB1214" s="885"/>
      <c r="CC1214" s="885"/>
      <c r="CD1214" s="885"/>
      <c r="CE1214" s="885"/>
      <c r="CF1214" s="885"/>
      <c r="CG1214" s="885"/>
      <c r="CH1214" s="885"/>
      <c r="CI1214" s="885"/>
      <c r="CJ1214" s="885"/>
      <c r="CK1214" s="885"/>
      <c r="CL1214" s="885"/>
      <c r="CM1214" s="885"/>
      <c r="CN1214" s="885"/>
      <c r="CO1214" s="885"/>
      <c r="CP1214" s="885"/>
      <c r="CQ1214" s="885"/>
      <c r="CR1214" s="885"/>
      <c r="CS1214" s="885"/>
      <c r="CT1214" s="885"/>
      <c r="CU1214" s="885"/>
      <c r="CV1214" s="885"/>
      <c r="CW1214" s="885"/>
      <c r="CX1214" s="885"/>
      <c r="CY1214" s="885"/>
      <c r="CZ1214" s="885"/>
      <c r="DA1214" s="885"/>
      <c r="DB1214" s="885"/>
      <c r="DC1214" s="885"/>
      <c r="DD1214" s="885"/>
      <c r="DE1214" s="885"/>
      <c r="DF1214" s="885"/>
      <c r="DG1214" s="885"/>
      <c r="DH1214" s="885"/>
      <c r="DI1214" s="885"/>
      <c r="DJ1214" s="885"/>
      <c r="DK1214" s="885"/>
      <c r="DL1214" s="885"/>
      <c r="DM1214" s="885"/>
      <c r="DN1214" s="885"/>
      <c r="DO1214" s="885"/>
      <c r="DP1214" s="885"/>
      <c r="DQ1214" s="885"/>
      <c r="DR1214" s="885"/>
      <c r="DS1214" s="885"/>
      <c r="DT1214" s="885"/>
      <c r="DU1214" s="885"/>
      <c r="DV1214" s="885"/>
      <c r="DW1214" s="885"/>
      <c r="DX1214" s="885"/>
      <c r="DY1214" s="885"/>
      <c r="DZ1214" s="885"/>
      <c r="EA1214" s="885"/>
      <c r="EB1214" s="885"/>
      <c r="EC1214" s="885"/>
      <c r="ED1214" s="885"/>
      <c r="EE1214" s="885"/>
      <c r="EF1214" s="885"/>
      <c r="EG1214" s="885"/>
      <c r="EH1214" s="885"/>
      <c r="EI1214" s="885"/>
      <c r="EJ1214" s="885"/>
      <c r="EK1214" s="885"/>
      <c r="EL1214" s="885"/>
      <c r="EM1214" s="885"/>
      <c r="EN1214" s="885"/>
      <c r="EO1214" s="885"/>
      <c r="EP1214" s="885"/>
      <c r="EQ1214" s="885"/>
      <c r="ER1214" s="885"/>
      <c r="ES1214" s="885"/>
      <c r="ET1214" s="885"/>
      <c r="EU1214" s="885"/>
      <c r="EV1214" s="885"/>
      <c r="EW1214" s="885"/>
      <c r="EX1214" s="885"/>
      <c r="EY1214" s="885"/>
      <c r="EZ1214" s="885"/>
      <c r="FA1214" s="885"/>
      <c r="FB1214" s="885"/>
      <c r="FC1214" s="885"/>
      <c r="FD1214" s="885"/>
      <c r="FE1214" s="885"/>
      <c r="FF1214" s="885"/>
      <c r="FG1214" s="885"/>
      <c r="FH1214" s="885"/>
      <c r="FI1214" s="885"/>
      <c r="FJ1214" s="885"/>
      <c r="FK1214" s="885"/>
      <c r="FL1214" s="885"/>
      <c r="FM1214" s="885"/>
      <c r="FN1214" s="885"/>
      <c r="FO1214" s="885"/>
      <c r="FP1214" s="885"/>
      <c r="FQ1214" s="885"/>
      <c r="FR1214" s="885"/>
      <c r="FS1214" s="885"/>
      <c r="FT1214" s="885"/>
      <c r="FU1214" s="885"/>
      <c r="FV1214" s="885"/>
      <c r="FW1214" s="885"/>
      <c r="FX1214" s="885"/>
      <c r="FY1214" s="885"/>
      <c r="FZ1214" s="885"/>
      <c r="GA1214" s="885"/>
      <c r="GB1214" s="885"/>
      <c r="GC1214" s="885"/>
      <c r="GD1214" s="885"/>
      <c r="GE1214" s="885"/>
      <c r="GF1214" s="885"/>
      <c r="GG1214" s="885"/>
      <c r="GH1214" s="885"/>
      <c r="GI1214" s="885"/>
      <c r="GJ1214" s="885"/>
      <c r="GK1214" s="885"/>
      <c r="GL1214" s="885"/>
      <c r="GM1214" s="885"/>
      <c r="GN1214" s="885"/>
      <c r="GO1214" s="885"/>
      <c r="GP1214" s="885"/>
      <c r="GQ1214" s="885"/>
      <c r="GR1214" s="885"/>
      <c r="GS1214" s="885"/>
      <c r="GT1214" s="885"/>
      <c r="GU1214" s="885"/>
      <c r="GV1214" s="885"/>
      <c r="GW1214" s="885"/>
      <c r="GX1214" s="885"/>
      <c r="GY1214" s="885"/>
      <c r="GZ1214" s="885"/>
      <c r="HA1214" s="885"/>
      <c r="HB1214" s="885"/>
      <c r="HC1214" s="885"/>
      <c r="HD1214" s="885"/>
      <c r="HE1214" s="885"/>
      <c r="HF1214" s="885"/>
      <c r="HG1214" s="885"/>
      <c r="HH1214" s="885"/>
      <c r="HI1214" s="885"/>
      <c r="HJ1214" s="885"/>
      <c r="HK1214" s="885"/>
      <c r="HL1214" s="885"/>
      <c r="HM1214" s="885"/>
      <c r="HN1214" s="885"/>
      <c r="HO1214" s="885"/>
      <c r="HP1214" s="885"/>
      <c r="HQ1214" s="885"/>
      <c r="HR1214" s="885"/>
      <c r="HS1214" s="885"/>
      <c r="HT1214" s="885"/>
      <c r="HU1214" s="885"/>
      <c r="HV1214" s="885"/>
      <c r="HW1214" s="885"/>
      <c r="HX1214" s="885"/>
      <c r="HY1214" s="885"/>
      <c r="HZ1214" s="885"/>
      <c r="IA1214" s="885"/>
      <c r="IB1214" s="885"/>
      <c r="IC1214" s="885"/>
      <c r="ID1214" s="885"/>
      <c r="IE1214" s="885"/>
      <c r="IF1214" s="885"/>
      <c r="IG1214" s="885"/>
      <c r="IH1214" s="885"/>
      <c r="II1214" s="885"/>
      <c r="IJ1214" s="885"/>
      <c r="IK1214" s="885"/>
      <c r="IL1214" s="885"/>
      <c r="IM1214" s="885"/>
      <c r="IN1214" s="885"/>
      <c r="IO1214" s="885"/>
      <c r="IP1214" s="885"/>
      <c r="IQ1214" s="885"/>
      <c r="IR1214" s="885"/>
      <c r="IS1214" s="885"/>
      <c r="IT1214" s="885"/>
      <c r="IU1214" s="885"/>
      <c r="IV1214" s="885"/>
      <c r="IW1214" s="885"/>
      <c r="IX1214" s="885"/>
    </row>
    <row r="1215" spans="1:258" ht="31.5" x14ac:dyDescent="0.25">
      <c r="A1215" s="125">
        <f t="shared" si="132"/>
        <v>1175</v>
      </c>
      <c r="B1215" s="885"/>
      <c r="C1215" s="842" t="s">
        <v>10748</v>
      </c>
      <c r="D1215" s="924">
        <v>0</v>
      </c>
      <c r="E1215" s="924">
        <f t="shared" si="131"/>
        <v>0</v>
      </c>
      <c r="F1215" s="129">
        <v>1000</v>
      </c>
      <c r="G1215" s="122" t="s">
        <v>1963</v>
      </c>
      <c r="H1215" s="885"/>
      <c r="I1215" s="885"/>
      <c r="J1215" s="885"/>
      <c r="K1215" s="885"/>
      <c r="L1215" s="885"/>
      <c r="M1215" s="885"/>
      <c r="N1215" s="885"/>
      <c r="O1215" s="885"/>
      <c r="P1215" s="885"/>
      <c r="Q1215" s="885"/>
      <c r="R1215" s="885"/>
      <c r="S1215" s="885"/>
      <c r="T1215" s="885"/>
      <c r="U1215" s="885"/>
      <c r="V1215" s="885"/>
      <c r="W1215" s="885"/>
      <c r="X1215" s="885"/>
      <c r="Y1215" s="885"/>
      <c r="Z1215" s="885"/>
      <c r="AA1215" s="885"/>
      <c r="AB1215" s="885"/>
      <c r="AC1215" s="885"/>
      <c r="AD1215" s="885"/>
      <c r="AE1215" s="885"/>
      <c r="AF1215" s="885"/>
      <c r="AG1215" s="885"/>
      <c r="AH1215" s="885"/>
      <c r="AI1215" s="885"/>
      <c r="AJ1215" s="885"/>
      <c r="AK1215" s="885"/>
      <c r="AL1215" s="885"/>
      <c r="AM1215" s="885"/>
      <c r="AN1215" s="885"/>
      <c r="AO1215" s="885"/>
      <c r="AP1215" s="885"/>
      <c r="AQ1215" s="885"/>
      <c r="AR1215" s="885"/>
      <c r="AS1215" s="885"/>
      <c r="AT1215" s="885"/>
      <c r="AU1215" s="885"/>
      <c r="AV1215" s="885"/>
      <c r="AW1215" s="885"/>
      <c r="AX1215" s="885"/>
      <c r="AY1215" s="885"/>
      <c r="AZ1215" s="885"/>
      <c r="BA1215" s="885"/>
      <c r="BB1215" s="885"/>
      <c r="BC1215" s="885"/>
      <c r="BD1215" s="885"/>
      <c r="BE1215" s="885"/>
      <c r="BF1215" s="885"/>
      <c r="BG1215" s="885"/>
      <c r="BH1215" s="885"/>
      <c r="BI1215" s="885"/>
      <c r="BJ1215" s="885"/>
      <c r="BK1215" s="885"/>
      <c r="BL1215" s="885"/>
      <c r="BM1215" s="885"/>
      <c r="BN1215" s="885"/>
      <c r="BO1215" s="885"/>
      <c r="BP1215" s="885"/>
      <c r="BQ1215" s="885"/>
      <c r="BR1215" s="885"/>
      <c r="BS1215" s="885"/>
      <c r="BT1215" s="885"/>
      <c r="BU1215" s="885"/>
      <c r="BV1215" s="885"/>
      <c r="BW1215" s="885"/>
      <c r="BX1215" s="885"/>
      <c r="BY1215" s="885"/>
      <c r="BZ1215" s="885"/>
      <c r="CA1215" s="885"/>
      <c r="CB1215" s="885"/>
      <c r="CC1215" s="885"/>
      <c r="CD1215" s="885"/>
      <c r="CE1215" s="885"/>
      <c r="CF1215" s="885"/>
      <c r="CG1215" s="885"/>
      <c r="CH1215" s="885"/>
      <c r="CI1215" s="885"/>
      <c r="CJ1215" s="885"/>
      <c r="CK1215" s="885"/>
      <c r="CL1215" s="885"/>
      <c r="CM1215" s="885"/>
      <c r="CN1215" s="885"/>
      <c r="CO1215" s="885"/>
      <c r="CP1215" s="885"/>
      <c r="CQ1215" s="885"/>
      <c r="CR1215" s="885"/>
      <c r="CS1215" s="885"/>
      <c r="CT1215" s="885"/>
      <c r="CU1215" s="885"/>
      <c r="CV1215" s="885"/>
      <c r="CW1215" s="885"/>
      <c r="CX1215" s="885"/>
      <c r="CY1215" s="885"/>
      <c r="CZ1215" s="885"/>
      <c r="DA1215" s="885"/>
      <c r="DB1215" s="885"/>
      <c r="DC1215" s="885"/>
      <c r="DD1215" s="885"/>
      <c r="DE1215" s="885"/>
      <c r="DF1215" s="885"/>
      <c r="DG1215" s="885"/>
      <c r="DH1215" s="885"/>
      <c r="DI1215" s="885"/>
      <c r="DJ1215" s="885"/>
      <c r="DK1215" s="885"/>
      <c r="DL1215" s="885"/>
      <c r="DM1215" s="885"/>
      <c r="DN1215" s="885"/>
      <c r="DO1215" s="885"/>
      <c r="DP1215" s="885"/>
      <c r="DQ1215" s="885"/>
      <c r="DR1215" s="885"/>
      <c r="DS1215" s="885"/>
      <c r="DT1215" s="885"/>
      <c r="DU1215" s="885"/>
      <c r="DV1215" s="885"/>
      <c r="DW1215" s="885"/>
      <c r="DX1215" s="885"/>
      <c r="DY1215" s="885"/>
      <c r="DZ1215" s="885"/>
      <c r="EA1215" s="885"/>
      <c r="EB1215" s="885"/>
      <c r="EC1215" s="885"/>
      <c r="ED1215" s="885"/>
      <c r="EE1215" s="885"/>
      <c r="EF1215" s="885"/>
      <c r="EG1215" s="885"/>
      <c r="EH1215" s="885"/>
      <c r="EI1215" s="885"/>
      <c r="EJ1215" s="885"/>
      <c r="EK1215" s="885"/>
      <c r="EL1215" s="885"/>
      <c r="EM1215" s="885"/>
      <c r="EN1215" s="885"/>
      <c r="EO1215" s="885"/>
      <c r="EP1215" s="885"/>
      <c r="EQ1215" s="885"/>
      <c r="ER1215" s="885"/>
      <c r="ES1215" s="885"/>
      <c r="ET1215" s="885"/>
      <c r="EU1215" s="885"/>
      <c r="EV1215" s="885"/>
      <c r="EW1215" s="885"/>
      <c r="EX1215" s="885"/>
      <c r="EY1215" s="885"/>
      <c r="EZ1215" s="885"/>
      <c r="FA1215" s="885"/>
      <c r="FB1215" s="885"/>
      <c r="FC1215" s="885"/>
      <c r="FD1215" s="885"/>
      <c r="FE1215" s="885"/>
      <c r="FF1215" s="885"/>
      <c r="FG1215" s="885"/>
      <c r="FH1215" s="885"/>
      <c r="FI1215" s="885"/>
      <c r="FJ1215" s="885"/>
      <c r="FK1215" s="885"/>
      <c r="FL1215" s="885"/>
      <c r="FM1215" s="885"/>
      <c r="FN1215" s="885"/>
      <c r="FO1215" s="885"/>
      <c r="FP1215" s="885"/>
      <c r="FQ1215" s="885"/>
      <c r="FR1215" s="885"/>
      <c r="FS1215" s="885"/>
      <c r="FT1215" s="885"/>
      <c r="FU1215" s="885"/>
      <c r="FV1215" s="885"/>
      <c r="FW1215" s="885"/>
      <c r="FX1215" s="885"/>
      <c r="FY1215" s="885"/>
      <c r="FZ1215" s="885"/>
      <c r="GA1215" s="885"/>
      <c r="GB1215" s="885"/>
      <c r="GC1215" s="885"/>
      <c r="GD1215" s="885"/>
      <c r="GE1215" s="885"/>
      <c r="GF1215" s="885"/>
      <c r="GG1215" s="885"/>
      <c r="GH1215" s="885"/>
      <c r="GI1215" s="885"/>
      <c r="GJ1215" s="885"/>
      <c r="GK1215" s="885"/>
      <c r="GL1215" s="885"/>
      <c r="GM1215" s="885"/>
      <c r="GN1215" s="885"/>
      <c r="GO1215" s="885"/>
      <c r="GP1215" s="885"/>
      <c r="GQ1215" s="885"/>
      <c r="GR1215" s="885"/>
      <c r="GS1215" s="885"/>
      <c r="GT1215" s="885"/>
      <c r="GU1215" s="885"/>
      <c r="GV1215" s="885"/>
      <c r="GW1215" s="885"/>
      <c r="GX1215" s="885"/>
      <c r="GY1215" s="885"/>
      <c r="GZ1215" s="885"/>
      <c r="HA1215" s="885"/>
      <c r="HB1215" s="885"/>
      <c r="HC1215" s="885"/>
      <c r="HD1215" s="885"/>
      <c r="HE1215" s="885"/>
      <c r="HF1215" s="885"/>
      <c r="HG1215" s="885"/>
      <c r="HH1215" s="885"/>
      <c r="HI1215" s="885"/>
      <c r="HJ1215" s="885"/>
      <c r="HK1215" s="885"/>
      <c r="HL1215" s="885"/>
      <c r="HM1215" s="885"/>
      <c r="HN1215" s="885"/>
      <c r="HO1215" s="885"/>
      <c r="HP1215" s="885"/>
      <c r="HQ1215" s="885"/>
      <c r="HR1215" s="885"/>
      <c r="HS1215" s="885"/>
      <c r="HT1215" s="885"/>
      <c r="HU1215" s="885"/>
      <c r="HV1215" s="885"/>
      <c r="HW1215" s="885"/>
      <c r="HX1215" s="885"/>
      <c r="HY1215" s="885"/>
      <c r="HZ1215" s="885"/>
      <c r="IA1215" s="885"/>
      <c r="IB1215" s="885"/>
      <c r="IC1215" s="885"/>
      <c r="ID1215" s="885"/>
      <c r="IE1215" s="885"/>
      <c r="IF1215" s="885"/>
      <c r="IG1215" s="885"/>
      <c r="IH1215" s="885"/>
      <c r="II1215" s="885"/>
      <c r="IJ1215" s="885"/>
      <c r="IK1215" s="885"/>
      <c r="IL1215" s="885"/>
      <c r="IM1215" s="885"/>
      <c r="IN1215" s="885"/>
      <c r="IO1215" s="885"/>
      <c r="IP1215" s="885"/>
      <c r="IQ1215" s="885"/>
      <c r="IR1215" s="885"/>
      <c r="IS1215" s="885"/>
      <c r="IT1215" s="885"/>
      <c r="IU1215" s="885"/>
      <c r="IV1215" s="885"/>
      <c r="IW1215" s="885"/>
      <c r="IX1215" s="885"/>
    </row>
    <row r="1216" spans="1:258" x14ac:dyDescent="0.25">
      <c r="A1216" s="125">
        <f t="shared" si="132"/>
        <v>1176</v>
      </c>
      <c r="B1216" s="885"/>
      <c r="C1216" s="927" t="s">
        <v>10749</v>
      </c>
      <c r="D1216" s="928"/>
      <c r="E1216" s="928"/>
      <c r="F1216" s="129"/>
      <c r="H1216" s="885"/>
      <c r="I1216" s="885"/>
      <c r="J1216" s="885"/>
      <c r="K1216" s="885"/>
      <c r="L1216" s="885"/>
      <c r="M1216" s="885"/>
      <c r="N1216" s="885"/>
      <c r="O1216" s="885"/>
      <c r="P1216" s="885"/>
      <c r="Q1216" s="885"/>
      <c r="R1216" s="885"/>
      <c r="S1216" s="885"/>
      <c r="T1216" s="885"/>
      <c r="U1216" s="885"/>
      <c r="V1216" s="885"/>
      <c r="W1216" s="885"/>
      <c r="X1216" s="885"/>
      <c r="Y1216" s="885"/>
      <c r="Z1216" s="885"/>
      <c r="AA1216" s="885"/>
      <c r="AB1216" s="885"/>
      <c r="AC1216" s="885"/>
      <c r="AD1216" s="885"/>
      <c r="AE1216" s="885"/>
      <c r="AF1216" s="885"/>
      <c r="AG1216" s="885"/>
      <c r="AH1216" s="885"/>
      <c r="AI1216" s="885"/>
      <c r="AJ1216" s="885"/>
      <c r="AK1216" s="885"/>
      <c r="AL1216" s="885"/>
      <c r="AM1216" s="885"/>
      <c r="AN1216" s="885"/>
      <c r="AO1216" s="885"/>
      <c r="AP1216" s="885"/>
      <c r="AQ1216" s="885"/>
      <c r="AR1216" s="885"/>
      <c r="AS1216" s="885"/>
      <c r="AT1216" s="885"/>
      <c r="AU1216" s="885"/>
      <c r="AV1216" s="885"/>
      <c r="AW1216" s="885"/>
      <c r="AX1216" s="885"/>
      <c r="AY1216" s="885"/>
      <c r="AZ1216" s="885"/>
      <c r="BA1216" s="885"/>
      <c r="BB1216" s="885"/>
      <c r="BC1216" s="885"/>
      <c r="BD1216" s="885"/>
      <c r="BE1216" s="885"/>
      <c r="BF1216" s="885"/>
      <c r="BG1216" s="885"/>
      <c r="BH1216" s="885"/>
      <c r="BI1216" s="885"/>
      <c r="BJ1216" s="885"/>
      <c r="BK1216" s="885"/>
      <c r="BL1216" s="885"/>
      <c r="BM1216" s="885"/>
      <c r="BN1216" s="885"/>
      <c r="BO1216" s="885"/>
      <c r="BP1216" s="885"/>
      <c r="BQ1216" s="885"/>
      <c r="BR1216" s="885"/>
      <c r="BS1216" s="885"/>
      <c r="BT1216" s="885"/>
      <c r="BU1216" s="885"/>
      <c r="BV1216" s="885"/>
      <c r="BW1216" s="885"/>
      <c r="BX1216" s="885"/>
      <c r="BY1216" s="885"/>
      <c r="BZ1216" s="885"/>
      <c r="CA1216" s="885"/>
      <c r="CB1216" s="885"/>
      <c r="CC1216" s="885"/>
      <c r="CD1216" s="885"/>
      <c r="CE1216" s="885"/>
      <c r="CF1216" s="885"/>
      <c r="CG1216" s="885"/>
      <c r="CH1216" s="885"/>
      <c r="CI1216" s="885"/>
      <c r="CJ1216" s="885"/>
      <c r="CK1216" s="885"/>
      <c r="CL1216" s="885"/>
      <c r="CM1216" s="885"/>
      <c r="CN1216" s="885"/>
      <c r="CO1216" s="885"/>
      <c r="CP1216" s="885"/>
      <c r="CQ1216" s="885"/>
      <c r="CR1216" s="885"/>
      <c r="CS1216" s="885"/>
      <c r="CT1216" s="885"/>
      <c r="CU1216" s="885"/>
      <c r="CV1216" s="885"/>
      <c r="CW1216" s="885"/>
      <c r="CX1216" s="885"/>
      <c r="CY1216" s="885"/>
      <c r="CZ1216" s="885"/>
      <c r="DA1216" s="885"/>
      <c r="DB1216" s="885"/>
      <c r="DC1216" s="885"/>
      <c r="DD1216" s="885"/>
      <c r="DE1216" s="885"/>
      <c r="DF1216" s="885"/>
      <c r="DG1216" s="885"/>
      <c r="DH1216" s="885"/>
      <c r="DI1216" s="885"/>
      <c r="DJ1216" s="885"/>
      <c r="DK1216" s="885"/>
      <c r="DL1216" s="885"/>
      <c r="DM1216" s="885"/>
      <c r="DN1216" s="885"/>
      <c r="DO1216" s="885"/>
      <c r="DP1216" s="885"/>
      <c r="DQ1216" s="885"/>
      <c r="DR1216" s="885"/>
      <c r="DS1216" s="885"/>
      <c r="DT1216" s="885"/>
      <c r="DU1216" s="885"/>
      <c r="DV1216" s="885"/>
      <c r="DW1216" s="885"/>
      <c r="DX1216" s="885"/>
      <c r="DY1216" s="885"/>
      <c r="DZ1216" s="885"/>
      <c r="EA1216" s="885"/>
      <c r="EB1216" s="885"/>
      <c r="EC1216" s="885"/>
      <c r="ED1216" s="885"/>
      <c r="EE1216" s="885"/>
      <c r="EF1216" s="885"/>
      <c r="EG1216" s="885"/>
      <c r="EH1216" s="885"/>
      <c r="EI1216" s="885"/>
      <c r="EJ1216" s="885"/>
      <c r="EK1216" s="885"/>
      <c r="EL1216" s="885"/>
      <c r="EM1216" s="885"/>
      <c r="EN1216" s="885"/>
      <c r="EO1216" s="885"/>
      <c r="EP1216" s="885"/>
      <c r="EQ1216" s="885"/>
      <c r="ER1216" s="885"/>
      <c r="ES1216" s="885"/>
      <c r="ET1216" s="885"/>
      <c r="EU1216" s="885"/>
      <c r="EV1216" s="885"/>
      <c r="EW1216" s="885"/>
      <c r="EX1216" s="885"/>
      <c r="EY1216" s="885"/>
      <c r="EZ1216" s="885"/>
      <c r="FA1216" s="885"/>
      <c r="FB1216" s="885"/>
      <c r="FC1216" s="885"/>
      <c r="FD1216" s="885"/>
      <c r="FE1216" s="885"/>
      <c r="FF1216" s="885"/>
      <c r="FG1216" s="885"/>
      <c r="FH1216" s="885"/>
      <c r="FI1216" s="885"/>
      <c r="FJ1216" s="885"/>
      <c r="FK1216" s="885"/>
      <c r="FL1216" s="885"/>
      <c r="FM1216" s="885"/>
      <c r="FN1216" s="885"/>
      <c r="FO1216" s="885"/>
      <c r="FP1216" s="885"/>
      <c r="FQ1216" s="885"/>
      <c r="FR1216" s="885"/>
      <c r="FS1216" s="885"/>
      <c r="FT1216" s="885"/>
      <c r="FU1216" s="885"/>
      <c r="FV1216" s="885"/>
      <c r="FW1216" s="885"/>
      <c r="FX1216" s="885"/>
      <c r="FY1216" s="885"/>
      <c r="FZ1216" s="885"/>
      <c r="GA1216" s="885"/>
      <c r="GB1216" s="885"/>
      <c r="GC1216" s="885"/>
      <c r="GD1216" s="885"/>
      <c r="GE1216" s="885"/>
      <c r="GF1216" s="885"/>
      <c r="GG1216" s="885"/>
      <c r="GH1216" s="885"/>
      <c r="GI1216" s="885"/>
      <c r="GJ1216" s="885"/>
      <c r="GK1216" s="885"/>
      <c r="GL1216" s="885"/>
      <c r="GM1216" s="885"/>
      <c r="GN1216" s="885"/>
      <c r="GO1216" s="885"/>
      <c r="GP1216" s="885"/>
      <c r="GQ1216" s="885"/>
      <c r="GR1216" s="885"/>
      <c r="GS1216" s="885"/>
      <c r="GT1216" s="885"/>
      <c r="GU1216" s="885"/>
      <c r="GV1216" s="885"/>
      <c r="GW1216" s="885"/>
      <c r="GX1216" s="885"/>
      <c r="GY1216" s="885"/>
      <c r="GZ1216" s="885"/>
      <c r="HA1216" s="885"/>
      <c r="HB1216" s="885"/>
      <c r="HC1216" s="885"/>
      <c r="HD1216" s="885"/>
      <c r="HE1216" s="885"/>
      <c r="HF1216" s="885"/>
      <c r="HG1216" s="885"/>
      <c r="HH1216" s="885"/>
      <c r="HI1216" s="885"/>
      <c r="HJ1216" s="885"/>
      <c r="HK1216" s="885"/>
      <c r="HL1216" s="885"/>
      <c r="HM1216" s="885"/>
      <c r="HN1216" s="885"/>
      <c r="HO1216" s="885"/>
      <c r="HP1216" s="885"/>
      <c r="HQ1216" s="885"/>
      <c r="HR1216" s="885"/>
      <c r="HS1216" s="885"/>
      <c r="HT1216" s="885"/>
      <c r="HU1216" s="885"/>
      <c r="HV1216" s="885"/>
      <c r="HW1216" s="885"/>
      <c r="HX1216" s="885"/>
      <c r="HY1216" s="885"/>
      <c r="HZ1216" s="885"/>
      <c r="IA1216" s="885"/>
      <c r="IB1216" s="885"/>
      <c r="IC1216" s="885"/>
      <c r="ID1216" s="885"/>
      <c r="IE1216" s="885"/>
      <c r="IF1216" s="885"/>
      <c r="IG1216" s="885"/>
      <c r="IH1216" s="885"/>
      <c r="II1216" s="885"/>
      <c r="IJ1216" s="885"/>
      <c r="IK1216" s="885"/>
      <c r="IL1216" s="885"/>
      <c r="IM1216" s="885"/>
      <c r="IN1216" s="885"/>
      <c r="IO1216" s="885"/>
      <c r="IP1216" s="885"/>
      <c r="IQ1216" s="885"/>
      <c r="IR1216" s="885"/>
      <c r="IS1216" s="885"/>
      <c r="IT1216" s="885"/>
      <c r="IU1216" s="885"/>
      <c r="IV1216" s="885"/>
      <c r="IW1216" s="885"/>
      <c r="IX1216" s="885"/>
    </row>
    <row r="1217" spans="1:258" x14ac:dyDescent="0.25">
      <c r="A1217" s="125">
        <f t="shared" si="132"/>
        <v>1177</v>
      </c>
      <c r="B1217" s="885"/>
      <c r="C1217" s="842" t="s">
        <v>10750</v>
      </c>
      <c r="D1217" s="924">
        <v>0</v>
      </c>
      <c r="E1217" s="924">
        <f t="shared" si="131"/>
        <v>0</v>
      </c>
      <c r="F1217" s="129">
        <v>500</v>
      </c>
      <c r="G1217" s="122" t="s">
        <v>1963</v>
      </c>
      <c r="H1217" s="885"/>
      <c r="I1217" s="885"/>
      <c r="J1217" s="885"/>
      <c r="K1217" s="885"/>
      <c r="L1217" s="885"/>
      <c r="M1217" s="885"/>
      <c r="N1217" s="885"/>
      <c r="O1217" s="885"/>
      <c r="P1217" s="885"/>
      <c r="Q1217" s="885"/>
      <c r="R1217" s="885"/>
      <c r="S1217" s="885"/>
      <c r="T1217" s="885"/>
      <c r="U1217" s="885"/>
      <c r="V1217" s="885"/>
      <c r="W1217" s="885"/>
      <c r="X1217" s="885"/>
      <c r="Y1217" s="885"/>
      <c r="Z1217" s="885"/>
      <c r="AA1217" s="885"/>
      <c r="AB1217" s="885"/>
      <c r="AC1217" s="885"/>
      <c r="AD1217" s="885"/>
      <c r="AE1217" s="885"/>
      <c r="AF1217" s="885"/>
      <c r="AG1217" s="885"/>
      <c r="AH1217" s="885"/>
      <c r="AI1217" s="885"/>
      <c r="AJ1217" s="885"/>
      <c r="AK1217" s="885"/>
      <c r="AL1217" s="885"/>
      <c r="AM1217" s="885"/>
      <c r="AN1217" s="885"/>
      <c r="AO1217" s="885"/>
      <c r="AP1217" s="885"/>
      <c r="AQ1217" s="885"/>
      <c r="AR1217" s="885"/>
      <c r="AS1217" s="885"/>
      <c r="AT1217" s="885"/>
      <c r="AU1217" s="885"/>
      <c r="AV1217" s="885"/>
      <c r="AW1217" s="885"/>
      <c r="AX1217" s="885"/>
      <c r="AY1217" s="885"/>
      <c r="AZ1217" s="885"/>
      <c r="BA1217" s="885"/>
      <c r="BB1217" s="885"/>
      <c r="BC1217" s="885"/>
      <c r="BD1217" s="885"/>
      <c r="BE1217" s="885"/>
      <c r="BF1217" s="885"/>
      <c r="BG1217" s="885"/>
      <c r="BH1217" s="885"/>
      <c r="BI1217" s="885"/>
      <c r="BJ1217" s="885"/>
      <c r="BK1217" s="885"/>
      <c r="BL1217" s="885"/>
      <c r="BM1217" s="885"/>
      <c r="BN1217" s="885"/>
      <c r="BO1217" s="885"/>
      <c r="BP1217" s="885"/>
      <c r="BQ1217" s="885"/>
      <c r="BR1217" s="885"/>
      <c r="BS1217" s="885"/>
      <c r="BT1217" s="885"/>
      <c r="BU1217" s="885"/>
      <c r="BV1217" s="885"/>
      <c r="BW1217" s="885"/>
      <c r="BX1217" s="885"/>
      <c r="BY1217" s="885"/>
      <c r="BZ1217" s="885"/>
      <c r="CA1217" s="885"/>
      <c r="CB1217" s="885"/>
      <c r="CC1217" s="885"/>
      <c r="CD1217" s="885"/>
      <c r="CE1217" s="885"/>
      <c r="CF1217" s="885"/>
      <c r="CG1217" s="885"/>
      <c r="CH1217" s="885"/>
      <c r="CI1217" s="885"/>
      <c r="CJ1217" s="885"/>
      <c r="CK1217" s="885"/>
      <c r="CL1217" s="885"/>
      <c r="CM1217" s="885"/>
      <c r="CN1217" s="885"/>
      <c r="CO1217" s="885"/>
      <c r="CP1217" s="885"/>
      <c r="CQ1217" s="885"/>
      <c r="CR1217" s="885"/>
      <c r="CS1217" s="885"/>
      <c r="CT1217" s="885"/>
      <c r="CU1217" s="885"/>
      <c r="CV1217" s="885"/>
      <c r="CW1217" s="885"/>
      <c r="CX1217" s="885"/>
      <c r="CY1217" s="885"/>
      <c r="CZ1217" s="885"/>
      <c r="DA1217" s="885"/>
      <c r="DB1217" s="885"/>
      <c r="DC1217" s="885"/>
      <c r="DD1217" s="885"/>
      <c r="DE1217" s="885"/>
      <c r="DF1217" s="885"/>
      <c r="DG1217" s="885"/>
      <c r="DH1217" s="885"/>
      <c r="DI1217" s="885"/>
      <c r="DJ1217" s="885"/>
      <c r="DK1217" s="885"/>
      <c r="DL1217" s="885"/>
      <c r="DM1217" s="885"/>
      <c r="DN1217" s="885"/>
      <c r="DO1217" s="885"/>
      <c r="DP1217" s="885"/>
      <c r="DQ1217" s="885"/>
      <c r="DR1217" s="885"/>
      <c r="DS1217" s="885"/>
      <c r="DT1217" s="885"/>
      <c r="DU1217" s="885"/>
      <c r="DV1217" s="885"/>
      <c r="DW1217" s="885"/>
      <c r="DX1217" s="885"/>
      <c r="DY1217" s="885"/>
      <c r="DZ1217" s="885"/>
      <c r="EA1217" s="885"/>
      <c r="EB1217" s="885"/>
      <c r="EC1217" s="885"/>
      <c r="ED1217" s="885"/>
      <c r="EE1217" s="885"/>
      <c r="EF1217" s="885"/>
      <c r="EG1217" s="885"/>
      <c r="EH1217" s="885"/>
      <c r="EI1217" s="885"/>
      <c r="EJ1217" s="885"/>
      <c r="EK1217" s="885"/>
      <c r="EL1217" s="885"/>
      <c r="EM1217" s="885"/>
      <c r="EN1217" s="885"/>
      <c r="EO1217" s="885"/>
      <c r="EP1217" s="885"/>
      <c r="EQ1217" s="885"/>
      <c r="ER1217" s="885"/>
      <c r="ES1217" s="885"/>
      <c r="ET1217" s="885"/>
      <c r="EU1217" s="885"/>
      <c r="EV1217" s="885"/>
      <c r="EW1217" s="885"/>
      <c r="EX1217" s="885"/>
      <c r="EY1217" s="885"/>
      <c r="EZ1217" s="885"/>
      <c r="FA1217" s="885"/>
      <c r="FB1217" s="885"/>
      <c r="FC1217" s="885"/>
      <c r="FD1217" s="885"/>
      <c r="FE1217" s="885"/>
      <c r="FF1217" s="885"/>
      <c r="FG1217" s="885"/>
      <c r="FH1217" s="885"/>
      <c r="FI1217" s="885"/>
      <c r="FJ1217" s="885"/>
      <c r="FK1217" s="885"/>
      <c r="FL1217" s="885"/>
      <c r="FM1217" s="885"/>
      <c r="FN1217" s="885"/>
      <c r="FO1217" s="885"/>
      <c r="FP1217" s="885"/>
      <c r="FQ1217" s="885"/>
      <c r="FR1217" s="885"/>
      <c r="FS1217" s="885"/>
      <c r="FT1217" s="885"/>
      <c r="FU1217" s="885"/>
      <c r="FV1217" s="885"/>
      <c r="FW1217" s="885"/>
      <c r="FX1217" s="885"/>
      <c r="FY1217" s="885"/>
      <c r="FZ1217" s="885"/>
      <c r="GA1217" s="885"/>
      <c r="GB1217" s="885"/>
      <c r="GC1217" s="885"/>
      <c r="GD1217" s="885"/>
      <c r="GE1217" s="885"/>
      <c r="GF1217" s="885"/>
      <c r="GG1217" s="885"/>
      <c r="GH1217" s="885"/>
      <c r="GI1217" s="885"/>
      <c r="GJ1217" s="885"/>
      <c r="GK1217" s="885"/>
      <c r="GL1217" s="885"/>
      <c r="GM1217" s="885"/>
      <c r="GN1217" s="885"/>
      <c r="GO1217" s="885"/>
      <c r="GP1217" s="885"/>
      <c r="GQ1217" s="885"/>
      <c r="GR1217" s="885"/>
      <c r="GS1217" s="885"/>
      <c r="GT1217" s="885"/>
      <c r="GU1217" s="885"/>
      <c r="GV1217" s="885"/>
      <c r="GW1217" s="885"/>
      <c r="GX1217" s="885"/>
      <c r="GY1217" s="885"/>
      <c r="GZ1217" s="885"/>
      <c r="HA1217" s="885"/>
      <c r="HB1217" s="885"/>
      <c r="HC1217" s="885"/>
      <c r="HD1217" s="885"/>
      <c r="HE1217" s="885"/>
      <c r="HF1217" s="885"/>
      <c r="HG1217" s="885"/>
      <c r="HH1217" s="885"/>
      <c r="HI1217" s="885"/>
      <c r="HJ1217" s="885"/>
      <c r="HK1217" s="885"/>
      <c r="HL1217" s="885"/>
      <c r="HM1217" s="885"/>
      <c r="HN1217" s="885"/>
      <c r="HO1217" s="885"/>
      <c r="HP1217" s="885"/>
      <c r="HQ1217" s="885"/>
      <c r="HR1217" s="885"/>
      <c r="HS1217" s="885"/>
      <c r="HT1217" s="885"/>
      <c r="HU1217" s="885"/>
      <c r="HV1217" s="885"/>
      <c r="HW1217" s="885"/>
      <c r="HX1217" s="885"/>
      <c r="HY1217" s="885"/>
      <c r="HZ1217" s="885"/>
      <c r="IA1217" s="885"/>
      <c r="IB1217" s="885"/>
      <c r="IC1217" s="885"/>
      <c r="ID1217" s="885"/>
      <c r="IE1217" s="885"/>
      <c r="IF1217" s="885"/>
      <c r="IG1217" s="885"/>
      <c r="IH1217" s="885"/>
      <c r="II1217" s="885"/>
      <c r="IJ1217" s="885"/>
      <c r="IK1217" s="885"/>
      <c r="IL1217" s="885"/>
      <c r="IM1217" s="885"/>
      <c r="IN1217" s="885"/>
      <c r="IO1217" s="885"/>
      <c r="IP1217" s="885"/>
      <c r="IQ1217" s="885"/>
      <c r="IR1217" s="885"/>
      <c r="IS1217" s="885"/>
      <c r="IT1217" s="885"/>
      <c r="IU1217" s="885"/>
      <c r="IV1217" s="885"/>
      <c r="IW1217" s="885"/>
      <c r="IX1217" s="885"/>
    </row>
    <row r="1218" spans="1:258" x14ac:dyDescent="0.25">
      <c r="A1218" s="125">
        <f t="shared" si="132"/>
        <v>1178</v>
      </c>
      <c r="B1218" s="885"/>
      <c r="C1218" s="842" t="s">
        <v>10751</v>
      </c>
      <c r="D1218" s="924">
        <v>0</v>
      </c>
      <c r="E1218" s="924">
        <f t="shared" si="131"/>
        <v>0</v>
      </c>
      <c r="F1218" s="129">
        <v>500</v>
      </c>
      <c r="G1218" s="122" t="s">
        <v>1963</v>
      </c>
      <c r="H1218" s="885"/>
      <c r="I1218" s="885"/>
      <c r="J1218" s="885"/>
      <c r="K1218" s="885"/>
      <c r="L1218" s="885"/>
      <c r="M1218" s="885"/>
      <c r="N1218" s="885"/>
      <c r="O1218" s="885"/>
      <c r="P1218" s="885"/>
      <c r="Q1218" s="885"/>
      <c r="R1218" s="885"/>
      <c r="S1218" s="885"/>
      <c r="T1218" s="885"/>
      <c r="U1218" s="885"/>
      <c r="V1218" s="885"/>
      <c r="W1218" s="885"/>
      <c r="X1218" s="885"/>
      <c r="Y1218" s="885"/>
      <c r="Z1218" s="885"/>
      <c r="AA1218" s="885"/>
      <c r="AB1218" s="885"/>
      <c r="AC1218" s="885"/>
      <c r="AD1218" s="885"/>
      <c r="AE1218" s="885"/>
      <c r="AF1218" s="885"/>
      <c r="AG1218" s="885"/>
      <c r="AH1218" s="885"/>
      <c r="AI1218" s="885"/>
      <c r="AJ1218" s="885"/>
      <c r="AK1218" s="885"/>
      <c r="AL1218" s="885"/>
      <c r="AM1218" s="885"/>
      <c r="AN1218" s="885"/>
      <c r="AO1218" s="885"/>
      <c r="AP1218" s="885"/>
      <c r="AQ1218" s="885"/>
      <c r="AR1218" s="885"/>
      <c r="AS1218" s="885"/>
      <c r="AT1218" s="885"/>
      <c r="AU1218" s="885"/>
      <c r="AV1218" s="885"/>
      <c r="AW1218" s="885"/>
      <c r="AX1218" s="885"/>
      <c r="AY1218" s="885"/>
      <c r="AZ1218" s="885"/>
      <c r="BA1218" s="885"/>
      <c r="BB1218" s="885"/>
      <c r="BC1218" s="885"/>
      <c r="BD1218" s="885"/>
      <c r="BE1218" s="885"/>
      <c r="BF1218" s="885"/>
      <c r="BG1218" s="885"/>
      <c r="BH1218" s="885"/>
      <c r="BI1218" s="885"/>
      <c r="BJ1218" s="885"/>
      <c r="BK1218" s="885"/>
      <c r="BL1218" s="885"/>
      <c r="BM1218" s="885"/>
      <c r="BN1218" s="885"/>
      <c r="BO1218" s="885"/>
      <c r="BP1218" s="885"/>
      <c r="BQ1218" s="885"/>
      <c r="BR1218" s="885"/>
      <c r="BS1218" s="885"/>
      <c r="BT1218" s="885"/>
      <c r="BU1218" s="885"/>
      <c r="BV1218" s="885"/>
      <c r="BW1218" s="885"/>
      <c r="BX1218" s="885"/>
      <c r="BY1218" s="885"/>
      <c r="BZ1218" s="885"/>
      <c r="CA1218" s="885"/>
      <c r="CB1218" s="885"/>
      <c r="CC1218" s="885"/>
      <c r="CD1218" s="885"/>
      <c r="CE1218" s="885"/>
      <c r="CF1218" s="885"/>
      <c r="CG1218" s="885"/>
      <c r="CH1218" s="885"/>
      <c r="CI1218" s="885"/>
      <c r="CJ1218" s="885"/>
      <c r="CK1218" s="885"/>
      <c r="CL1218" s="885"/>
      <c r="CM1218" s="885"/>
      <c r="CN1218" s="885"/>
      <c r="CO1218" s="885"/>
      <c r="CP1218" s="885"/>
      <c r="CQ1218" s="885"/>
      <c r="CR1218" s="885"/>
      <c r="CS1218" s="885"/>
      <c r="CT1218" s="885"/>
      <c r="CU1218" s="885"/>
      <c r="CV1218" s="885"/>
      <c r="CW1218" s="885"/>
      <c r="CX1218" s="885"/>
      <c r="CY1218" s="885"/>
      <c r="CZ1218" s="885"/>
      <c r="DA1218" s="885"/>
      <c r="DB1218" s="885"/>
      <c r="DC1218" s="885"/>
      <c r="DD1218" s="885"/>
      <c r="DE1218" s="885"/>
      <c r="DF1218" s="885"/>
      <c r="DG1218" s="885"/>
      <c r="DH1218" s="885"/>
      <c r="DI1218" s="885"/>
      <c r="DJ1218" s="885"/>
      <c r="DK1218" s="885"/>
      <c r="DL1218" s="885"/>
      <c r="DM1218" s="885"/>
      <c r="DN1218" s="885"/>
      <c r="DO1218" s="885"/>
      <c r="DP1218" s="885"/>
      <c r="DQ1218" s="885"/>
      <c r="DR1218" s="885"/>
      <c r="DS1218" s="885"/>
      <c r="DT1218" s="885"/>
      <c r="DU1218" s="885"/>
      <c r="DV1218" s="885"/>
      <c r="DW1218" s="885"/>
      <c r="DX1218" s="885"/>
      <c r="DY1218" s="885"/>
      <c r="DZ1218" s="885"/>
      <c r="EA1218" s="885"/>
      <c r="EB1218" s="885"/>
      <c r="EC1218" s="885"/>
      <c r="ED1218" s="885"/>
      <c r="EE1218" s="885"/>
      <c r="EF1218" s="885"/>
      <c r="EG1218" s="885"/>
      <c r="EH1218" s="885"/>
      <c r="EI1218" s="885"/>
      <c r="EJ1218" s="885"/>
      <c r="EK1218" s="885"/>
      <c r="EL1218" s="885"/>
      <c r="EM1218" s="885"/>
      <c r="EN1218" s="885"/>
      <c r="EO1218" s="885"/>
      <c r="EP1218" s="885"/>
      <c r="EQ1218" s="885"/>
      <c r="ER1218" s="885"/>
      <c r="ES1218" s="885"/>
      <c r="ET1218" s="885"/>
      <c r="EU1218" s="885"/>
      <c r="EV1218" s="885"/>
      <c r="EW1218" s="885"/>
      <c r="EX1218" s="885"/>
      <c r="EY1218" s="885"/>
      <c r="EZ1218" s="885"/>
      <c r="FA1218" s="885"/>
      <c r="FB1218" s="885"/>
      <c r="FC1218" s="885"/>
      <c r="FD1218" s="885"/>
      <c r="FE1218" s="885"/>
      <c r="FF1218" s="885"/>
      <c r="FG1218" s="885"/>
      <c r="FH1218" s="885"/>
      <c r="FI1218" s="885"/>
      <c r="FJ1218" s="885"/>
      <c r="FK1218" s="885"/>
      <c r="FL1218" s="885"/>
      <c r="FM1218" s="885"/>
      <c r="FN1218" s="885"/>
      <c r="FO1218" s="885"/>
      <c r="FP1218" s="885"/>
      <c r="FQ1218" s="885"/>
      <c r="FR1218" s="885"/>
      <c r="FS1218" s="885"/>
      <c r="FT1218" s="885"/>
      <c r="FU1218" s="885"/>
      <c r="FV1218" s="885"/>
      <c r="FW1218" s="885"/>
      <c r="FX1218" s="885"/>
      <c r="FY1218" s="885"/>
      <c r="FZ1218" s="885"/>
      <c r="GA1218" s="885"/>
      <c r="GB1218" s="885"/>
      <c r="GC1218" s="885"/>
      <c r="GD1218" s="885"/>
      <c r="GE1218" s="885"/>
      <c r="GF1218" s="885"/>
      <c r="GG1218" s="885"/>
      <c r="GH1218" s="885"/>
      <c r="GI1218" s="885"/>
      <c r="GJ1218" s="885"/>
      <c r="GK1218" s="885"/>
      <c r="GL1218" s="885"/>
      <c r="GM1218" s="885"/>
      <c r="GN1218" s="885"/>
      <c r="GO1218" s="885"/>
      <c r="GP1218" s="885"/>
      <c r="GQ1218" s="885"/>
      <c r="GR1218" s="885"/>
      <c r="GS1218" s="885"/>
      <c r="GT1218" s="885"/>
      <c r="GU1218" s="885"/>
      <c r="GV1218" s="885"/>
      <c r="GW1218" s="885"/>
      <c r="GX1218" s="885"/>
      <c r="GY1218" s="885"/>
      <c r="GZ1218" s="885"/>
      <c r="HA1218" s="885"/>
      <c r="HB1218" s="885"/>
      <c r="HC1218" s="885"/>
      <c r="HD1218" s="885"/>
      <c r="HE1218" s="885"/>
      <c r="HF1218" s="885"/>
      <c r="HG1218" s="885"/>
      <c r="HH1218" s="885"/>
      <c r="HI1218" s="885"/>
      <c r="HJ1218" s="885"/>
      <c r="HK1218" s="885"/>
      <c r="HL1218" s="885"/>
      <c r="HM1218" s="885"/>
      <c r="HN1218" s="885"/>
      <c r="HO1218" s="885"/>
      <c r="HP1218" s="885"/>
      <c r="HQ1218" s="885"/>
      <c r="HR1218" s="885"/>
      <c r="HS1218" s="885"/>
      <c r="HT1218" s="885"/>
      <c r="HU1218" s="885"/>
      <c r="HV1218" s="885"/>
      <c r="HW1218" s="885"/>
      <c r="HX1218" s="885"/>
      <c r="HY1218" s="885"/>
      <c r="HZ1218" s="885"/>
      <c r="IA1218" s="885"/>
      <c r="IB1218" s="885"/>
      <c r="IC1218" s="885"/>
      <c r="ID1218" s="885"/>
      <c r="IE1218" s="885"/>
      <c r="IF1218" s="885"/>
      <c r="IG1218" s="885"/>
      <c r="IH1218" s="885"/>
      <c r="II1218" s="885"/>
      <c r="IJ1218" s="885"/>
      <c r="IK1218" s="885"/>
      <c r="IL1218" s="885"/>
      <c r="IM1218" s="885"/>
      <c r="IN1218" s="885"/>
      <c r="IO1218" s="885"/>
      <c r="IP1218" s="885"/>
      <c r="IQ1218" s="885"/>
      <c r="IR1218" s="885"/>
      <c r="IS1218" s="885"/>
      <c r="IT1218" s="885"/>
      <c r="IU1218" s="885"/>
      <c r="IV1218" s="885"/>
      <c r="IW1218" s="885"/>
      <c r="IX1218" s="885"/>
    </row>
    <row r="1219" spans="1:258" x14ac:dyDescent="0.25">
      <c r="A1219" s="125">
        <f t="shared" si="132"/>
        <v>1179</v>
      </c>
      <c r="B1219" s="885"/>
      <c r="C1219" s="842" t="s">
        <v>10752</v>
      </c>
      <c r="D1219" s="924">
        <v>0</v>
      </c>
      <c r="E1219" s="924">
        <f t="shared" si="131"/>
        <v>0</v>
      </c>
      <c r="F1219" s="129">
        <v>500</v>
      </c>
      <c r="G1219" s="122" t="s">
        <v>1963</v>
      </c>
      <c r="H1219" s="885"/>
      <c r="I1219" s="885"/>
      <c r="J1219" s="885"/>
      <c r="K1219" s="885"/>
      <c r="L1219" s="885"/>
      <c r="M1219" s="885"/>
      <c r="N1219" s="885"/>
      <c r="O1219" s="885"/>
      <c r="P1219" s="885"/>
      <c r="Q1219" s="885"/>
      <c r="R1219" s="885"/>
      <c r="S1219" s="885"/>
      <c r="T1219" s="885"/>
      <c r="U1219" s="885"/>
      <c r="V1219" s="885"/>
      <c r="W1219" s="885"/>
      <c r="X1219" s="885"/>
      <c r="Y1219" s="885"/>
      <c r="Z1219" s="885"/>
      <c r="AA1219" s="885"/>
      <c r="AB1219" s="885"/>
      <c r="AC1219" s="885"/>
      <c r="AD1219" s="885"/>
      <c r="AE1219" s="885"/>
      <c r="AF1219" s="885"/>
      <c r="AG1219" s="885"/>
      <c r="AH1219" s="885"/>
      <c r="AI1219" s="885"/>
      <c r="AJ1219" s="885"/>
      <c r="AK1219" s="885"/>
      <c r="AL1219" s="885"/>
      <c r="AM1219" s="885"/>
      <c r="AN1219" s="885"/>
      <c r="AO1219" s="885"/>
      <c r="AP1219" s="885"/>
      <c r="AQ1219" s="885"/>
      <c r="AR1219" s="885"/>
      <c r="AS1219" s="885"/>
      <c r="AT1219" s="885"/>
      <c r="AU1219" s="885"/>
      <c r="AV1219" s="885"/>
      <c r="AW1219" s="885"/>
      <c r="AX1219" s="885"/>
      <c r="AY1219" s="885"/>
      <c r="AZ1219" s="885"/>
      <c r="BA1219" s="885"/>
      <c r="BB1219" s="885"/>
      <c r="BC1219" s="885"/>
      <c r="BD1219" s="885"/>
      <c r="BE1219" s="885"/>
      <c r="BF1219" s="885"/>
      <c r="BG1219" s="885"/>
      <c r="BH1219" s="885"/>
      <c r="BI1219" s="885"/>
      <c r="BJ1219" s="885"/>
      <c r="BK1219" s="885"/>
      <c r="BL1219" s="885"/>
      <c r="BM1219" s="885"/>
      <c r="BN1219" s="885"/>
      <c r="BO1219" s="885"/>
      <c r="BP1219" s="885"/>
      <c r="BQ1219" s="885"/>
      <c r="BR1219" s="885"/>
      <c r="BS1219" s="885"/>
      <c r="BT1219" s="885"/>
      <c r="BU1219" s="885"/>
      <c r="BV1219" s="885"/>
      <c r="BW1219" s="885"/>
      <c r="BX1219" s="885"/>
      <c r="BY1219" s="885"/>
      <c r="BZ1219" s="885"/>
      <c r="CA1219" s="885"/>
      <c r="CB1219" s="885"/>
      <c r="CC1219" s="885"/>
      <c r="CD1219" s="885"/>
      <c r="CE1219" s="885"/>
      <c r="CF1219" s="885"/>
      <c r="CG1219" s="885"/>
      <c r="CH1219" s="885"/>
      <c r="CI1219" s="885"/>
      <c r="CJ1219" s="885"/>
      <c r="CK1219" s="885"/>
      <c r="CL1219" s="885"/>
      <c r="CM1219" s="885"/>
      <c r="CN1219" s="885"/>
      <c r="CO1219" s="885"/>
      <c r="CP1219" s="885"/>
      <c r="CQ1219" s="885"/>
      <c r="CR1219" s="885"/>
      <c r="CS1219" s="885"/>
      <c r="CT1219" s="885"/>
      <c r="CU1219" s="885"/>
      <c r="CV1219" s="885"/>
      <c r="CW1219" s="885"/>
      <c r="CX1219" s="885"/>
      <c r="CY1219" s="885"/>
      <c r="CZ1219" s="885"/>
      <c r="DA1219" s="885"/>
      <c r="DB1219" s="885"/>
      <c r="DC1219" s="885"/>
      <c r="DD1219" s="885"/>
      <c r="DE1219" s="885"/>
      <c r="DF1219" s="885"/>
      <c r="DG1219" s="885"/>
      <c r="DH1219" s="885"/>
      <c r="DI1219" s="885"/>
      <c r="DJ1219" s="885"/>
      <c r="DK1219" s="885"/>
      <c r="DL1219" s="885"/>
      <c r="DM1219" s="885"/>
      <c r="DN1219" s="885"/>
      <c r="DO1219" s="885"/>
      <c r="DP1219" s="885"/>
      <c r="DQ1219" s="885"/>
      <c r="DR1219" s="885"/>
      <c r="DS1219" s="885"/>
      <c r="DT1219" s="885"/>
      <c r="DU1219" s="885"/>
      <c r="DV1219" s="885"/>
      <c r="DW1219" s="885"/>
      <c r="DX1219" s="885"/>
      <c r="DY1219" s="885"/>
      <c r="DZ1219" s="885"/>
      <c r="EA1219" s="885"/>
      <c r="EB1219" s="885"/>
      <c r="EC1219" s="885"/>
      <c r="ED1219" s="885"/>
      <c r="EE1219" s="885"/>
      <c r="EF1219" s="885"/>
      <c r="EG1219" s="885"/>
      <c r="EH1219" s="885"/>
      <c r="EI1219" s="885"/>
      <c r="EJ1219" s="885"/>
      <c r="EK1219" s="885"/>
      <c r="EL1219" s="885"/>
      <c r="EM1219" s="885"/>
      <c r="EN1219" s="885"/>
      <c r="EO1219" s="885"/>
      <c r="EP1219" s="885"/>
      <c r="EQ1219" s="885"/>
      <c r="ER1219" s="885"/>
      <c r="ES1219" s="885"/>
      <c r="ET1219" s="885"/>
      <c r="EU1219" s="885"/>
      <c r="EV1219" s="885"/>
      <c r="EW1219" s="885"/>
      <c r="EX1219" s="885"/>
      <c r="EY1219" s="885"/>
      <c r="EZ1219" s="885"/>
      <c r="FA1219" s="885"/>
      <c r="FB1219" s="885"/>
      <c r="FC1219" s="885"/>
      <c r="FD1219" s="885"/>
      <c r="FE1219" s="885"/>
      <c r="FF1219" s="885"/>
      <c r="FG1219" s="885"/>
      <c r="FH1219" s="885"/>
      <c r="FI1219" s="885"/>
      <c r="FJ1219" s="885"/>
      <c r="FK1219" s="885"/>
      <c r="FL1219" s="885"/>
      <c r="FM1219" s="885"/>
      <c r="FN1219" s="885"/>
      <c r="FO1219" s="885"/>
      <c r="FP1219" s="885"/>
      <c r="FQ1219" s="885"/>
      <c r="FR1219" s="885"/>
      <c r="FS1219" s="885"/>
      <c r="FT1219" s="885"/>
      <c r="FU1219" s="885"/>
      <c r="FV1219" s="885"/>
      <c r="FW1219" s="885"/>
      <c r="FX1219" s="885"/>
      <c r="FY1219" s="885"/>
      <c r="FZ1219" s="885"/>
      <c r="GA1219" s="885"/>
      <c r="GB1219" s="885"/>
      <c r="GC1219" s="885"/>
      <c r="GD1219" s="885"/>
      <c r="GE1219" s="885"/>
      <c r="GF1219" s="885"/>
      <c r="GG1219" s="885"/>
      <c r="GH1219" s="885"/>
      <c r="GI1219" s="885"/>
      <c r="GJ1219" s="885"/>
      <c r="GK1219" s="885"/>
      <c r="GL1219" s="885"/>
      <c r="GM1219" s="885"/>
      <c r="GN1219" s="885"/>
      <c r="GO1219" s="885"/>
      <c r="GP1219" s="885"/>
      <c r="GQ1219" s="885"/>
      <c r="GR1219" s="885"/>
      <c r="GS1219" s="885"/>
      <c r="GT1219" s="885"/>
      <c r="GU1219" s="885"/>
      <c r="GV1219" s="885"/>
      <c r="GW1219" s="885"/>
      <c r="GX1219" s="885"/>
      <c r="GY1219" s="885"/>
      <c r="GZ1219" s="885"/>
      <c r="HA1219" s="885"/>
      <c r="HB1219" s="885"/>
      <c r="HC1219" s="885"/>
      <c r="HD1219" s="885"/>
      <c r="HE1219" s="885"/>
      <c r="HF1219" s="885"/>
      <c r="HG1219" s="885"/>
      <c r="HH1219" s="885"/>
      <c r="HI1219" s="885"/>
      <c r="HJ1219" s="885"/>
      <c r="HK1219" s="885"/>
      <c r="HL1219" s="885"/>
      <c r="HM1219" s="885"/>
      <c r="HN1219" s="885"/>
      <c r="HO1219" s="885"/>
      <c r="HP1219" s="885"/>
      <c r="HQ1219" s="885"/>
      <c r="HR1219" s="885"/>
      <c r="HS1219" s="885"/>
      <c r="HT1219" s="885"/>
      <c r="HU1219" s="885"/>
      <c r="HV1219" s="885"/>
      <c r="HW1219" s="885"/>
      <c r="HX1219" s="885"/>
      <c r="HY1219" s="885"/>
      <c r="HZ1219" s="885"/>
      <c r="IA1219" s="885"/>
      <c r="IB1219" s="885"/>
      <c r="IC1219" s="885"/>
      <c r="ID1219" s="885"/>
      <c r="IE1219" s="885"/>
      <c r="IF1219" s="885"/>
      <c r="IG1219" s="885"/>
      <c r="IH1219" s="885"/>
      <c r="II1219" s="885"/>
      <c r="IJ1219" s="885"/>
      <c r="IK1219" s="885"/>
      <c r="IL1219" s="885"/>
      <c r="IM1219" s="885"/>
      <c r="IN1219" s="885"/>
      <c r="IO1219" s="885"/>
      <c r="IP1219" s="885"/>
      <c r="IQ1219" s="885"/>
      <c r="IR1219" s="885"/>
      <c r="IS1219" s="885"/>
      <c r="IT1219" s="885"/>
      <c r="IU1219" s="885"/>
      <c r="IV1219" s="885"/>
      <c r="IW1219" s="885"/>
      <c r="IX1219" s="885"/>
    </row>
    <row r="1220" spans="1:258" x14ac:dyDescent="0.25">
      <c r="A1220" s="125">
        <f t="shared" si="132"/>
        <v>1180</v>
      </c>
      <c r="B1220" s="885"/>
      <c r="C1220" s="842" t="s">
        <v>10753</v>
      </c>
      <c r="D1220" s="924">
        <v>0</v>
      </c>
      <c r="E1220" s="924">
        <f t="shared" si="131"/>
        <v>0</v>
      </c>
      <c r="F1220" s="129">
        <v>500</v>
      </c>
      <c r="G1220" s="122" t="s">
        <v>1963</v>
      </c>
      <c r="H1220" s="885"/>
      <c r="I1220" s="885"/>
      <c r="J1220" s="885"/>
      <c r="K1220" s="885"/>
      <c r="L1220" s="885"/>
      <c r="M1220" s="885"/>
      <c r="N1220" s="885"/>
      <c r="O1220" s="885"/>
      <c r="P1220" s="885"/>
      <c r="Q1220" s="885"/>
      <c r="R1220" s="885"/>
      <c r="S1220" s="885"/>
      <c r="T1220" s="885"/>
      <c r="U1220" s="885"/>
      <c r="V1220" s="885"/>
      <c r="W1220" s="885"/>
      <c r="X1220" s="885"/>
      <c r="Y1220" s="885"/>
      <c r="Z1220" s="885"/>
      <c r="AA1220" s="885"/>
      <c r="AB1220" s="885"/>
      <c r="AC1220" s="885"/>
      <c r="AD1220" s="885"/>
      <c r="AE1220" s="885"/>
      <c r="AF1220" s="885"/>
      <c r="AG1220" s="885"/>
      <c r="AH1220" s="885"/>
      <c r="AI1220" s="885"/>
      <c r="AJ1220" s="885"/>
      <c r="AK1220" s="885"/>
      <c r="AL1220" s="885"/>
      <c r="AM1220" s="885"/>
      <c r="AN1220" s="885"/>
      <c r="AO1220" s="885"/>
      <c r="AP1220" s="885"/>
      <c r="AQ1220" s="885"/>
      <c r="AR1220" s="885"/>
      <c r="AS1220" s="885"/>
      <c r="AT1220" s="885"/>
      <c r="AU1220" s="885"/>
      <c r="AV1220" s="885"/>
      <c r="AW1220" s="885"/>
      <c r="AX1220" s="885"/>
      <c r="AY1220" s="885"/>
      <c r="AZ1220" s="885"/>
      <c r="BA1220" s="885"/>
      <c r="BB1220" s="885"/>
      <c r="BC1220" s="885"/>
      <c r="BD1220" s="885"/>
      <c r="BE1220" s="885"/>
      <c r="BF1220" s="885"/>
      <c r="BG1220" s="885"/>
      <c r="BH1220" s="885"/>
      <c r="BI1220" s="885"/>
      <c r="BJ1220" s="885"/>
      <c r="BK1220" s="885"/>
      <c r="BL1220" s="885"/>
      <c r="BM1220" s="885"/>
      <c r="BN1220" s="885"/>
      <c r="BO1220" s="885"/>
      <c r="BP1220" s="885"/>
      <c r="BQ1220" s="885"/>
      <c r="BR1220" s="885"/>
      <c r="BS1220" s="885"/>
      <c r="BT1220" s="885"/>
      <c r="BU1220" s="885"/>
      <c r="BV1220" s="885"/>
      <c r="BW1220" s="885"/>
      <c r="BX1220" s="885"/>
      <c r="BY1220" s="885"/>
      <c r="BZ1220" s="885"/>
      <c r="CA1220" s="885"/>
      <c r="CB1220" s="885"/>
      <c r="CC1220" s="885"/>
      <c r="CD1220" s="885"/>
      <c r="CE1220" s="885"/>
      <c r="CF1220" s="885"/>
      <c r="CG1220" s="885"/>
      <c r="CH1220" s="885"/>
      <c r="CI1220" s="885"/>
      <c r="CJ1220" s="885"/>
      <c r="CK1220" s="885"/>
      <c r="CL1220" s="885"/>
      <c r="CM1220" s="885"/>
      <c r="CN1220" s="885"/>
      <c r="CO1220" s="885"/>
      <c r="CP1220" s="885"/>
      <c r="CQ1220" s="885"/>
      <c r="CR1220" s="885"/>
      <c r="CS1220" s="885"/>
      <c r="CT1220" s="885"/>
      <c r="CU1220" s="885"/>
      <c r="CV1220" s="885"/>
      <c r="CW1220" s="885"/>
      <c r="CX1220" s="885"/>
      <c r="CY1220" s="885"/>
      <c r="CZ1220" s="885"/>
      <c r="DA1220" s="885"/>
      <c r="DB1220" s="885"/>
      <c r="DC1220" s="885"/>
      <c r="DD1220" s="885"/>
      <c r="DE1220" s="885"/>
      <c r="DF1220" s="885"/>
      <c r="DG1220" s="885"/>
      <c r="DH1220" s="885"/>
      <c r="DI1220" s="885"/>
      <c r="DJ1220" s="885"/>
      <c r="DK1220" s="885"/>
      <c r="DL1220" s="885"/>
      <c r="DM1220" s="885"/>
      <c r="DN1220" s="885"/>
      <c r="DO1220" s="885"/>
      <c r="DP1220" s="885"/>
      <c r="DQ1220" s="885"/>
      <c r="DR1220" s="885"/>
      <c r="DS1220" s="885"/>
      <c r="DT1220" s="885"/>
      <c r="DU1220" s="885"/>
      <c r="DV1220" s="885"/>
      <c r="DW1220" s="885"/>
      <c r="DX1220" s="885"/>
      <c r="DY1220" s="885"/>
      <c r="DZ1220" s="885"/>
      <c r="EA1220" s="885"/>
      <c r="EB1220" s="885"/>
      <c r="EC1220" s="885"/>
      <c r="ED1220" s="885"/>
      <c r="EE1220" s="885"/>
      <c r="EF1220" s="885"/>
      <c r="EG1220" s="885"/>
      <c r="EH1220" s="885"/>
      <c r="EI1220" s="885"/>
      <c r="EJ1220" s="885"/>
      <c r="EK1220" s="885"/>
      <c r="EL1220" s="885"/>
      <c r="EM1220" s="885"/>
      <c r="EN1220" s="885"/>
      <c r="EO1220" s="885"/>
      <c r="EP1220" s="885"/>
      <c r="EQ1220" s="885"/>
      <c r="ER1220" s="885"/>
      <c r="ES1220" s="885"/>
      <c r="ET1220" s="885"/>
      <c r="EU1220" s="885"/>
      <c r="EV1220" s="885"/>
      <c r="EW1220" s="885"/>
      <c r="EX1220" s="885"/>
      <c r="EY1220" s="885"/>
      <c r="EZ1220" s="885"/>
      <c r="FA1220" s="885"/>
      <c r="FB1220" s="885"/>
      <c r="FC1220" s="885"/>
      <c r="FD1220" s="885"/>
      <c r="FE1220" s="885"/>
      <c r="FF1220" s="885"/>
      <c r="FG1220" s="885"/>
      <c r="FH1220" s="885"/>
      <c r="FI1220" s="885"/>
      <c r="FJ1220" s="885"/>
      <c r="FK1220" s="885"/>
      <c r="FL1220" s="885"/>
      <c r="FM1220" s="885"/>
      <c r="FN1220" s="885"/>
      <c r="FO1220" s="885"/>
      <c r="FP1220" s="885"/>
      <c r="FQ1220" s="885"/>
      <c r="FR1220" s="885"/>
      <c r="FS1220" s="885"/>
      <c r="FT1220" s="885"/>
      <c r="FU1220" s="885"/>
      <c r="FV1220" s="885"/>
      <c r="FW1220" s="885"/>
      <c r="FX1220" s="885"/>
      <c r="FY1220" s="885"/>
      <c r="FZ1220" s="885"/>
      <c r="GA1220" s="885"/>
      <c r="GB1220" s="885"/>
      <c r="GC1220" s="885"/>
      <c r="GD1220" s="885"/>
      <c r="GE1220" s="885"/>
      <c r="GF1220" s="885"/>
      <c r="GG1220" s="885"/>
      <c r="GH1220" s="885"/>
      <c r="GI1220" s="885"/>
      <c r="GJ1220" s="885"/>
      <c r="GK1220" s="885"/>
      <c r="GL1220" s="885"/>
      <c r="GM1220" s="885"/>
      <c r="GN1220" s="885"/>
      <c r="GO1220" s="885"/>
      <c r="GP1220" s="885"/>
      <c r="GQ1220" s="885"/>
      <c r="GR1220" s="885"/>
      <c r="GS1220" s="885"/>
      <c r="GT1220" s="885"/>
      <c r="GU1220" s="885"/>
      <c r="GV1220" s="885"/>
      <c r="GW1220" s="885"/>
      <c r="GX1220" s="885"/>
      <c r="GY1220" s="885"/>
      <c r="GZ1220" s="885"/>
      <c r="HA1220" s="885"/>
      <c r="HB1220" s="885"/>
      <c r="HC1220" s="885"/>
      <c r="HD1220" s="885"/>
      <c r="HE1220" s="885"/>
      <c r="HF1220" s="885"/>
      <c r="HG1220" s="885"/>
      <c r="HH1220" s="885"/>
      <c r="HI1220" s="885"/>
      <c r="HJ1220" s="885"/>
      <c r="HK1220" s="885"/>
      <c r="HL1220" s="885"/>
      <c r="HM1220" s="885"/>
      <c r="HN1220" s="885"/>
      <c r="HO1220" s="885"/>
      <c r="HP1220" s="885"/>
      <c r="HQ1220" s="885"/>
      <c r="HR1220" s="885"/>
      <c r="HS1220" s="885"/>
      <c r="HT1220" s="885"/>
      <c r="HU1220" s="885"/>
      <c r="HV1220" s="885"/>
      <c r="HW1220" s="885"/>
      <c r="HX1220" s="885"/>
      <c r="HY1220" s="885"/>
      <c r="HZ1220" s="885"/>
      <c r="IA1220" s="885"/>
      <c r="IB1220" s="885"/>
      <c r="IC1220" s="885"/>
      <c r="ID1220" s="885"/>
      <c r="IE1220" s="885"/>
      <c r="IF1220" s="885"/>
      <c r="IG1220" s="885"/>
      <c r="IH1220" s="885"/>
      <c r="II1220" s="885"/>
      <c r="IJ1220" s="885"/>
      <c r="IK1220" s="885"/>
      <c r="IL1220" s="885"/>
      <c r="IM1220" s="885"/>
      <c r="IN1220" s="885"/>
      <c r="IO1220" s="885"/>
      <c r="IP1220" s="885"/>
      <c r="IQ1220" s="885"/>
      <c r="IR1220" s="885"/>
      <c r="IS1220" s="885"/>
      <c r="IT1220" s="885"/>
      <c r="IU1220" s="885"/>
      <c r="IV1220" s="885"/>
      <c r="IW1220" s="885"/>
      <c r="IX1220" s="885"/>
    </row>
    <row r="1221" spans="1:258" x14ac:dyDescent="0.25">
      <c r="A1221" s="125">
        <f t="shared" si="132"/>
        <v>1181</v>
      </c>
      <c r="B1221" s="885"/>
      <c r="C1221" s="842" t="s">
        <v>10754</v>
      </c>
      <c r="D1221" s="924">
        <v>0</v>
      </c>
      <c r="E1221" s="924">
        <f t="shared" si="131"/>
        <v>0</v>
      </c>
      <c r="F1221" s="129">
        <v>500</v>
      </c>
      <c r="G1221" s="122" t="s">
        <v>1963</v>
      </c>
      <c r="H1221" s="885"/>
      <c r="I1221" s="885"/>
      <c r="J1221" s="885"/>
      <c r="K1221" s="885"/>
      <c r="L1221" s="885"/>
      <c r="M1221" s="885"/>
      <c r="N1221" s="885"/>
      <c r="O1221" s="885"/>
      <c r="P1221" s="885"/>
      <c r="Q1221" s="885"/>
      <c r="R1221" s="885"/>
      <c r="S1221" s="885"/>
      <c r="T1221" s="885"/>
      <c r="U1221" s="885"/>
      <c r="V1221" s="885"/>
      <c r="W1221" s="885"/>
      <c r="X1221" s="885"/>
      <c r="Y1221" s="885"/>
      <c r="Z1221" s="885"/>
      <c r="AA1221" s="885"/>
      <c r="AB1221" s="885"/>
      <c r="AC1221" s="885"/>
      <c r="AD1221" s="885"/>
      <c r="AE1221" s="885"/>
      <c r="AF1221" s="885"/>
      <c r="AG1221" s="885"/>
      <c r="AH1221" s="885"/>
      <c r="AI1221" s="885"/>
      <c r="AJ1221" s="885"/>
      <c r="AK1221" s="885"/>
      <c r="AL1221" s="885"/>
      <c r="AM1221" s="885"/>
      <c r="AN1221" s="885"/>
      <c r="AO1221" s="885"/>
      <c r="AP1221" s="885"/>
      <c r="AQ1221" s="885"/>
      <c r="AR1221" s="885"/>
      <c r="AS1221" s="885"/>
      <c r="AT1221" s="885"/>
      <c r="AU1221" s="885"/>
      <c r="AV1221" s="885"/>
      <c r="AW1221" s="885"/>
      <c r="AX1221" s="885"/>
      <c r="AY1221" s="885"/>
      <c r="AZ1221" s="885"/>
      <c r="BA1221" s="885"/>
      <c r="BB1221" s="885"/>
      <c r="BC1221" s="885"/>
      <c r="BD1221" s="885"/>
      <c r="BE1221" s="885"/>
      <c r="BF1221" s="885"/>
      <c r="BG1221" s="885"/>
      <c r="BH1221" s="885"/>
      <c r="BI1221" s="885"/>
      <c r="BJ1221" s="885"/>
      <c r="BK1221" s="885"/>
      <c r="BL1221" s="885"/>
      <c r="BM1221" s="885"/>
      <c r="BN1221" s="885"/>
      <c r="BO1221" s="885"/>
      <c r="BP1221" s="885"/>
      <c r="BQ1221" s="885"/>
      <c r="BR1221" s="885"/>
      <c r="BS1221" s="885"/>
      <c r="BT1221" s="885"/>
      <c r="BU1221" s="885"/>
      <c r="BV1221" s="885"/>
      <c r="BW1221" s="885"/>
      <c r="BX1221" s="885"/>
      <c r="BY1221" s="885"/>
      <c r="BZ1221" s="885"/>
      <c r="CA1221" s="885"/>
      <c r="CB1221" s="885"/>
      <c r="CC1221" s="885"/>
      <c r="CD1221" s="885"/>
      <c r="CE1221" s="885"/>
      <c r="CF1221" s="885"/>
      <c r="CG1221" s="885"/>
      <c r="CH1221" s="885"/>
      <c r="CI1221" s="885"/>
      <c r="CJ1221" s="885"/>
      <c r="CK1221" s="885"/>
      <c r="CL1221" s="885"/>
      <c r="CM1221" s="885"/>
      <c r="CN1221" s="885"/>
      <c r="CO1221" s="885"/>
      <c r="CP1221" s="885"/>
      <c r="CQ1221" s="885"/>
      <c r="CR1221" s="885"/>
      <c r="CS1221" s="885"/>
      <c r="CT1221" s="885"/>
      <c r="CU1221" s="885"/>
      <c r="CV1221" s="885"/>
      <c r="CW1221" s="885"/>
      <c r="CX1221" s="885"/>
      <c r="CY1221" s="885"/>
      <c r="CZ1221" s="885"/>
      <c r="DA1221" s="885"/>
      <c r="DB1221" s="885"/>
      <c r="DC1221" s="885"/>
      <c r="DD1221" s="885"/>
      <c r="DE1221" s="885"/>
      <c r="DF1221" s="885"/>
      <c r="DG1221" s="885"/>
      <c r="DH1221" s="885"/>
      <c r="DI1221" s="885"/>
      <c r="DJ1221" s="885"/>
      <c r="DK1221" s="885"/>
      <c r="DL1221" s="885"/>
      <c r="DM1221" s="885"/>
      <c r="DN1221" s="885"/>
      <c r="DO1221" s="885"/>
      <c r="DP1221" s="885"/>
      <c r="DQ1221" s="885"/>
      <c r="DR1221" s="885"/>
      <c r="DS1221" s="885"/>
      <c r="DT1221" s="885"/>
      <c r="DU1221" s="885"/>
      <c r="DV1221" s="885"/>
      <c r="DW1221" s="885"/>
      <c r="DX1221" s="885"/>
      <c r="DY1221" s="885"/>
      <c r="DZ1221" s="885"/>
      <c r="EA1221" s="885"/>
      <c r="EB1221" s="885"/>
      <c r="EC1221" s="885"/>
      <c r="ED1221" s="885"/>
      <c r="EE1221" s="885"/>
      <c r="EF1221" s="885"/>
      <c r="EG1221" s="885"/>
      <c r="EH1221" s="885"/>
      <c r="EI1221" s="885"/>
      <c r="EJ1221" s="885"/>
      <c r="EK1221" s="885"/>
      <c r="EL1221" s="885"/>
      <c r="EM1221" s="885"/>
      <c r="EN1221" s="885"/>
      <c r="EO1221" s="885"/>
      <c r="EP1221" s="885"/>
      <c r="EQ1221" s="885"/>
      <c r="ER1221" s="885"/>
      <c r="ES1221" s="885"/>
      <c r="ET1221" s="885"/>
      <c r="EU1221" s="885"/>
      <c r="EV1221" s="885"/>
      <c r="EW1221" s="885"/>
      <c r="EX1221" s="885"/>
      <c r="EY1221" s="885"/>
      <c r="EZ1221" s="885"/>
      <c r="FA1221" s="885"/>
      <c r="FB1221" s="885"/>
      <c r="FC1221" s="885"/>
      <c r="FD1221" s="885"/>
      <c r="FE1221" s="885"/>
      <c r="FF1221" s="885"/>
      <c r="FG1221" s="885"/>
      <c r="FH1221" s="885"/>
      <c r="FI1221" s="885"/>
      <c r="FJ1221" s="885"/>
      <c r="FK1221" s="885"/>
      <c r="FL1221" s="885"/>
      <c r="FM1221" s="885"/>
      <c r="FN1221" s="885"/>
      <c r="FO1221" s="885"/>
      <c r="FP1221" s="885"/>
      <c r="FQ1221" s="885"/>
      <c r="FR1221" s="885"/>
      <c r="FS1221" s="885"/>
      <c r="FT1221" s="885"/>
      <c r="FU1221" s="885"/>
      <c r="FV1221" s="885"/>
      <c r="FW1221" s="885"/>
      <c r="FX1221" s="885"/>
      <c r="FY1221" s="885"/>
      <c r="FZ1221" s="885"/>
      <c r="GA1221" s="885"/>
      <c r="GB1221" s="885"/>
      <c r="GC1221" s="885"/>
      <c r="GD1221" s="885"/>
      <c r="GE1221" s="885"/>
      <c r="GF1221" s="885"/>
      <c r="GG1221" s="885"/>
      <c r="GH1221" s="885"/>
      <c r="GI1221" s="885"/>
      <c r="GJ1221" s="885"/>
      <c r="GK1221" s="885"/>
      <c r="GL1221" s="885"/>
      <c r="GM1221" s="885"/>
      <c r="GN1221" s="885"/>
      <c r="GO1221" s="885"/>
      <c r="GP1221" s="885"/>
      <c r="GQ1221" s="885"/>
      <c r="GR1221" s="885"/>
      <c r="GS1221" s="885"/>
      <c r="GT1221" s="885"/>
      <c r="GU1221" s="885"/>
      <c r="GV1221" s="885"/>
      <c r="GW1221" s="885"/>
      <c r="GX1221" s="885"/>
      <c r="GY1221" s="885"/>
      <c r="GZ1221" s="885"/>
      <c r="HA1221" s="885"/>
      <c r="HB1221" s="885"/>
      <c r="HC1221" s="885"/>
      <c r="HD1221" s="885"/>
      <c r="HE1221" s="885"/>
      <c r="HF1221" s="885"/>
      <c r="HG1221" s="885"/>
      <c r="HH1221" s="885"/>
      <c r="HI1221" s="885"/>
      <c r="HJ1221" s="885"/>
      <c r="HK1221" s="885"/>
      <c r="HL1221" s="885"/>
      <c r="HM1221" s="885"/>
      <c r="HN1221" s="885"/>
      <c r="HO1221" s="885"/>
      <c r="HP1221" s="885"/>
      <c r="HQ1221" s="885"/>
      <c r="HR1221" s="885"/>
      <c r="HS1221" s="885"/>
      <c r="HT1221" s="885"/>
      <c r="HU1221" s="885"/>
      <c r="HV1221" s="885"/>
      <c r="HW1221" s="885"/>
      <c r="HX1221" s="885"/>
      <c r="HY1221" s="885"/>
      <c r="HZ1221" s="885"/>
      <c r="IA1221" s="885"/>
      <c r="IB1221" s="885"/>
      <c r="IC1221" s="885"/>
      <c r="ID1221" s="885"/>
      <c r="IE1221" s="885"/>
      <c r="IF1221" s="885"/>
      <c r="IG1221" s="885"/>
      <c r="IH1221" s="885"/>
      <c r="II1221" s="885"/>
      <c r="IJ1221" s="885"/>
      <c r="IK1221" s="885"/>
      <c r="IL1221" s="885"/>
      <c r="IM1221" s="885"/>
      <c r="IN1221" s="885"/>
      <c r="IO1221" s="885"/>
      <c r="IP1221" s="885"/>
      <c r="IQ1221" s="885"/>
      <c r="IR1221" s="885"/>
      <c r="IS1221" s="885"/>
      <c r="IT1221" s="885"/>
      <c r="IU1221" s="885"/>
      <c r="IV1221" s="885"/>
      <c r="IW1221" s="885"/>
      <c r="IX1221" s="885"/>
    </row>
    <row r="1222" spans="1:258" x14ac:dyDescent="0.25">
      <c r="A1222" s="125">
        <f t="shared" si="132"/>
        <v>1182</v>
      </c>
      <c r="B1222" s="885"/>
      <c r="C1222" s="842" t="s">
        <v>10755</v>
      </c>
      <c r="D1222" s="924">
        <v>0</v>
      </c>
      <c r="E1222" s="924">
        <f t="shared" ref="E1222:E1267" si="133">D1222/8*12</f>
        <v>0</v>
      </c>
      <c r="F1222" s="129">
        <f>F1220*F83</f>
        <v>100</v>
      </c>
      <c r="G1222" s="122" t="s">
        <v>1963</v>
      </c>
      <c r="H1222" s="885"/>
      <c r="I1222" s="885"/>
      <c r="J1222" s="885"/>
      <c r="K1222" s="885"/>
      <c r="L1222" s="885"/>
      <c r="M1222" s="885"/>
      <c r="N1222" s="885"/>
      <c r="O1222" s="885"/>
      <c r="P1222" s="885"/>
      <c r="Q1222" s="885"/>
      <c r="R1222" s="885"/>
      <c r="S1222" s="885"/>
      <c r="T1222" s="885"/>
      <c r="U1222" s="885"/>
      <c r="V1222" s="885"/>
      <c r="W1222" s="885"/>
      <c r="X1222" s="885"/>
      <c r="Y1222" s="885"/>
      <c r="Z1222" s="885"/>
      <c r="AA1222" s="885"/>
      <c r="AB1222" s="885"/>
      <c r="AC1222" s="885"/>
      <c r="AD1222" s="885"/>
      <c r="AE1222" s="885"/>
      <c r="AF1222" s="885"/>
      <c r="AG1222" s="885"/>
      <c r="AH1222" s="885"/>
      <c r="AI1222" s="885"/>
      <c r="AJ1222" s="885"/>
      <c r="AK1222" s="885"/>
      <c r="AL1222" s="885"/>
      <c r="AM1222" s="885"/>
      <c r="AN1222" s="885"/>
      <c r="AO1222" s="885"/>
      <c r="AP1222" s="885"/>
      <c r="AQ1222" s="885"/>
      <c r="AR1222" s="885"/>
      <c r="AS1222" s="885"/>
      <c r="AT1222" s="885"/>
      <c r="AU1222" s="885"/>
      <c r="AV1222" s="885"/>
      <c r="AW1222" s="885"/>
      <c r="AX1222" s="885"/>
      <c r="AY1222" s="885"/>
      <c r="AZ1222" s="885"/>
      <c r="BA1222" s="885"/>
      <c r="BB1222" s="885"/>
      <c r="BC1222" s="885"/>
      <c r="BD1222" s="885"/>
      <c r="BE1222" s="885"/>
      <c r="BF1222" s="885"/>
      <c r="BG1222" s="885"/>
      <c r="BH1222" s="885"/>
      <c r="BI1222" s="885"/>
      <c r="BJ1222" s="885"/>
      <c r="BK1222" s="885"/>
      <c r="BL1222" s="885"/>
      <c r="BM1222" s="885"/>
      <c r="BN1222" s="885"/>
      <c r="BO1222" s="885"/>
      <c r="BP1222" s="885"/>
      <c r="BQ1222" s="885"/>
      <c r="BR1222" s="885"/>
      <c r="BS1222" s="885"/>
      <c r="BT1222" s="885"/>
      <c r="BU1222" s="885"/>
      <c r="BV1222" s="885"/>
      <c r="BW1222" s="885"/>
      <c r="BX1222" s="885"/>
      <c r="BY1222" s="885"/>
      <c r="BZ1222" s="885"/>
      <c r="CA1222" s="885"/>
      <c r="CB1222" s="885"/>
      <c r="CC1222" s="885"/>
      <c r="CD1222" s="885"/>
      <c r="CE1222" s="885"/>
      <c r="CF1222" s="885"/>
      <c r="CG1222" s="885"/>
      <c r="CH1222" s="885"/>
      <c r="CI1222" s="885"/>
      <c r="CJ1222" s="885"/>
      <c r="CK1222" s="885"/>
      <c r="CL1222" s="885"/>
      <c r="CM1222" s="885"/>
      <c r="CN1222" s="885"/>
      <c r="CO1222" s="885"/>
      <c r="CP1222" s="885"/>
      <c r="CQ1222" s="885"/>
      <c r="CR1222" s="885"/>
      <c r="CS1222" s="885"/>
      <c r="CT1222" s="885"/>
      <c r="CU1222" s="885"/>
      <c r="CV1222" s="885"/>
      <c r="CW1222" s="885"/>
      <c r="CX1222" s="885"/>
      <c r="CY1222" s="885"/>
      <c r="CZ1222" s="885"/>
      <c r="DA1222" s="885"/>
      <c r="DB1222" s="885"/>
      <c r="DC1222" s="885"/>
      <c r="DD1222" s="885"/>
      <c r="DE1222" s="885"/>
      <c r="DF1222" s="885"/>
      <c r="DG1222" s="885"/>
      <c r="DH1222" s="885"/>
      <c r="DI1222" s="885"/>
      <c r="DJ1222" s="885"/>
      <c r="DK1222" s="885"/>
      <c r="DL1222" s="885"/>
      <c r="DM1222" s="885"/>
      <c r="DN1222" s="885"/>
      <c r="DO1222" s="885"/>
      <c r="DP1222" s="885"/>
      <c r="DQ1222" s="885"/>
      <c r="DR1222" s="885"/>
      <c r="DS1222" s="885"/>
      <c r="DT1222" s="885"/>
      <c r="DU1222" s="885"/>
      <c r="DV1222" s="885"/>
      <c r="DW1222" s="885"/>
      <c r="DX1222" s="885"/>
      <c r="DY1222" s="885"/>
      <c r="DZ1222" s="885"/>
      <c r="EA1222" s="885"/>
      <c r="EB1222" s="885"/>
      <c r="EC1222" s="885"/>
      <c r="ED1222" s="885"/>
      <c r="EE1222" s="885"/>
      <c r="EF1222" s="885"/>
      <c r="EG1222" s="885"/>
      <c r="EH1222" s="885"/>
      <c r="EI1222" s="885"/>
      <c r="EJ1222" s="885"/>
      <c r="EK1222" s="885"/>
      <c r="EL1222" s="885"/>
      <c r="EM1222" s="885"/>
      <c r="EN1222" s="885"/>
      <c r="EO1222" s="885"/>
      <c r="EP1222" s="885"/>
      <c r="EQ1222" s="885"/>
      <c r="ER1222" s="885"/>
      <c r="ES1222" s="885"/>
      <c r="ET1222" s="885"/>
      <c r="EU1222" s="885"/>
      <c r="EV1222" s="885"/>
      <c r="EW1222" s="885"/>
      <c r="EX1222" s="885"/>
      <c r="EY1222" s="885"/>
      <c r="EZ1222" s="885"/>
      <c r="FA1222" s="885"/>
      <c r="FB1222" s="885"/>
      <c r="FC1222" s="885"/>
      <c r="FD1222" s="885"/>
      <c r="FE1222" s="885"/>
      <c r="FF1222" s="885"/>
      <c r="FG1222" s="885"/>
      <c r="FH1222" s="885"/>
      <c r="FI1222" s="885"/>
      <c r="FJ1222" s="885"/>
      <c r="FK1222" s="885"/>
      <c r="FL1222" s="885"/>
      <c r="FM1222" s="885"/>
      <c r="FN1222" s="885"/>
      <c r="FO1222" s="885"/>
      <c r="FP1222" s="885"/>
      <c r="FQ1222" s="885"/>
      <c r="FR1222" s="885"/>
      <c r="FS1222" s="885"/>
      <c r="FT1222" s="885"/>
      <c r="FU1222" s="885"/>
      <c r="FV1222" s="885"/>
      <c r="FW1222" s="885"/>
      <c r="FX1222" s="885"/>
      <c r="FY1222" s="885"/>
      <c r="FZ1222" s="885"/>
      <c r="GA1222" s="885"/>
      <c r="GB1222" s="885"/>
      <c r="GC1222" s="885"/>
      <c r="GD1222" s="885"/>
      <c r="GE1222" s="885"/>
      <c r="GF1222" s="885"/>
      <c r="GG1222" s="885"/>
      <c r="GH1222" s="885"/>
      <c r="GI1222" s="885"/>
      <c r="GJ1222" s="885"/>
      <c r="GK1222" s="885"/>
      <c r="GL1222" s="885"/>
      <c r="GM1222" s="885"/>
      <c r="GN1222" s="885"/>
      <c r="GO1222" s="885"/>
      <c r="GP1222" s="885"/>
      <c r="GQ1222" s="885"/>
      <c r="GR1222" s="885"/>
      <c r="GS1222" s="885"/>
      <c r="GT1222" s="885"/>
      <c r="GU1222" s="885"/>
      <c r="GV1222" s="885"/>
      <c r="GW1222" s="885"/>
      <c r="GX1222" s="885"/>
      <c r="GY1222" s="885"/>
      <c r="GZ1222" s="885"/>
      <c r="HA1222" s="885"/>
      <c r="HB1222" s="885"/>
      <c r="HC1222" s="885"/>
      <c r="HD1222" s="885"/>
      <c r="HE1222" s="885"/>
      <c r="HF1222" s="885"/>
      <c r="HG1222" s="885"/>
      <c r="HH1222" s="885"/>
      <c r="HI1222" s="885"/>
      <c r="HJ1222" s="885"/>
      <c r="HK1222" s="885"/>
      <c r="HL1222" s="885"/>
      <c r="HM1222" s="885"/>
      <c r="HN1222" s="885"/>
      <c r="HO1222" s="885"/>
      <c r="HP1222" s="885"/>
      <c r="HQ1222" s="885"/>
      <c r="HR1222" s="885"/>
      <c r="HS1222" s="885"/>
      <c r="HT1222" s="885"/>
      <c r="HU1222" s="885"/>
      <c r="HV1222" s="885"/>
      <c r="HW1222" s="885"/>
      <c r="HX1222" s="885"/>
      <c r="HY1222" s="885"/>
      <c r="HZ1222" s="885"/>
      <c r="IA1222" s="885"/>
      <c r="IB1222" s="885"/>
      <c r="IC1222" s="885"/>
      <c r="ID1222" s="885"/>
      <c r="IE1222" s="885"/>
      <c r="IF1222" s="885"/>
      <c r="IG1222" s="885"/>
      <c r="IH1222" s="885"/>
      <c r="II1222" s="885"/>
      <c r="IJ1222" s="885"/>
      <c r="IK1222" s="885"/>
      <c r="IL1222" s="885"/>
      <c r="IM1222" s="885"/>
      <c r="IN1222" s="885"/>
      <c r="IO1222" s="885"/>
      <c r="IP1222" s="885"/>
      <c r="IQ1222" s="885"/>
      <c r="IR1222" s="885"/>
      <c r="IS1222" s="885"/>
      <c r="IT1222" s="885"/>
      <c r="IU1222" s="885"/>
      <c r="IV1222" s="885"/>
      <c r="IW1222" s="885"/>
      <c r="IX1222" s="885"/>
    </row>
    <row r="1223" spans="1:258" ht="31.5" x14ac:dyDescent="0.25">
      <c r="A1223" s="125">
        <f t="shared" si="132"/>
        <v>1183</v>
      </c>
      <c r="B1223" s="885"/>
      <c r="C1223" s="842" t="s">
        <v>10756</v>
      </c>
      <c r="D1223" s="924">
        <v>0</v>
      </c>
      <c r="E1223" s="924">
        <f t="shared" si="133"/>
        <v>0</v>
      </c>
      <c r="F1223" s="129">
        <v>500</v>
      </c>
      <c r="G1223" s="122" t="s">
        <v>1963</v>
      </c>
      <c r="H1223" s="885"/>
      <c r="I1223" s="885"/>
      <c r="J1223" s="885"/>
      <c r="K1223" s="885"/>
      <c r="L1223" s="885"/>
      <c r="M1223" s="885"/>
      <c r="N1223" s="885"/>
      <c r="O1223" s="885"/>
      <c r="P1223" s="885"/>
      <c r="Q1223" s="885"/>
      <c r="R1223" s="885"/>
      <c r="S1223" s="885"/>
      <c r="T1223" s="885"/>
      <c r="U1223" s="885"/>
      <c r="V1223" s="885"/>
      <c r="W1223" s="885"/>
      <c r="X1223" s="885"/>
      <c r="Y1223" s="885"/>
      <c r="Z1223" s="885"/>
      <c r="AA1223" s="885"/>
      <c r="AB1223" s="885"/>
      <c r="AC1223" s="885"/>
      <c r="AD1223" s="885"/>
      <c r="AE1223" s="885"/>
      <c r="AF1223" s="885"/>
      <c r="AG1223" s="885"/>
      <c r="AH1223" s="885"/>
      <c r="AI1223" s="885"/>
      <c r="AJ1223" s="885"/>
      <c r="AK1223" s="885"/>
      <c r="AL1223" s="885"/>
      <c r="AM1223" s="885"/>
      <c r="AN1223" s="885"/>
      <c r="AO1223" s="885"/>
      <c r="AP1223" s="885"/>
      <c r="AQ1223" s="885"/>
      <c r="AR1223" s="885"/>
      <c r="AS1223" s="885"/>
      <c r="AT1223" s="885"/>
      <c r="AU1223" s="885"/>
      <c r="AV1223" s="885"/>
      <c r="AW1223" s="885"/>
      <c r="AX1223" s="885"/>
      <c r="AY1223" s="885"/>
      <c r="AZ1223" s="885"/>
      <c r="BA1223" s="885"/>
      <c r="BB1223" s="885"/>
      <c r="BC1223" s="885"/>
      <c r="BD1223" s="885"/>
      <c r="BE1223" s="885"/>
      <c r="BF1223" s="885"/>
      <c r="BG1223" s="885"/>
      <c r="BH1223" s="885"/>
      <c r="BI1223" s="885"/>
      <c r="BJ1223" s="885"/>
      <c r="BK1223" s="885"/>
      <c r="BL1223" s="885"/>
      <c r="BM1223" s="885"/>
      <c r="BN1223" s="885"/>
      <c r="BO1223" s="885"/>
      <c r="BP1223" s="885"/>
      <c r="BQ1223" s="885"/>
      <c r="BR1223" s="885"/>
      <c r="BS1223" s="885"/>
      <c r="BT1223" s="885"/>
      <c r="BU1223" s="885"/>
      <c r="BV1223" s="885"/>
      <c r="BW1223" s="885"/>
      <c r="BX1223" s="885"/>
      <c r="BY1223" s="885"/>
      <c r="BZ1223" s="885"/>
      <c r="CA1223" s="885"/>
      <c r="CB1223" s="885"/>
      <c r="CC1223" s="885"/>
      <c r="CD1223" s="885"/>
      <c r="CE1223" s="885"/>
      <c r="CF1223" s="885"/>
      <c r="CG1223" s="885"/>
      <c r="CH1223" s="885"/>
      <c r="CI1223" s="885"/>
      <c r="CJ1223" s="885"/>
      <c r="CK1223" s="885"/>
      <c r="CL1223" s="885"/>
      <c r="CM1223" s="885"/>
      <c r="CN1223" s="885"/>
      <c r="CO1223" s="885"/>
      <c r="CP1223" s="885"/>
      <c r="CQ1223" s="885"/>
      <c r="CR1223" s="885"/>
      <c r="CS1223" s="885"/>
      <c r="CT1223" s="885"/>
      <c r="CU1223" s="885"/>
      <c r="CV1223" s="885"/>
      <c r="CW1223" s="885"/>
      <c r="CX1223" s="885"/>
      <c r="CY1223" s="885"/>
      <c r="CZ1223" s="885"/>
      <c r="DA1223" s="885"/>
      <c r="DB1223" s="885"/>
      <c r="DC1223" s="885"/>
      <c r="DD1223" s="885"/>
      <c r="DE1223" s="885"/>
      <c r="DF1223" s="885"/>
      <c r="DG1223" s="885"/>
      <c r="DH1223" s="885"/>
      <c r="DI1223" s="885"/>
      <c r="DJ1223" s="885"/>
      <c r="DK1223" s="885"/>
      <c r="DL1223" s="885"/>
      <c r="DM1223" s="885"/>
      <c r="DN1223" s="885"/>
      <c r="DO1223" s="885"/>
      <c r="DP1223" s="885"/>
      <c r="DQ1223" s="885"/>
      <c r="DR1223" s="885"/>
      <c r="DS1223" s="885"/>
      <c r="DT1223" s="885"/>
      <c r="DU1223" s="885"/>
      <c r="DV1223" s="885"/>
      <c r="DW1223" s="885"/>
      <c r="DX1223" s="885"/>
      <c r="DY1223" s="885"/>
      <c r="DZ1223" s="885"/>
      <c r="EA1223" s="885"/>
      <c r="EB1223" s="885"/>
      <c r="EC1223" s="885"/>
      <c r="ED1223" s="885"/>
      <c r="EE1223" s="885"/>
      <c r="EF1223" s="885"/>
      <c r="EG1223" s="885"/>
      <c r="EH1223" s="885"/>
      <c r="EI1223" s="885"/>
      <c r="EJ1223" s="885"/>
      <c r="EK1223" s="885"/>
      <c r="EL1223" s="885"/>
      <c r="EM1223" s="885"/>
      <c r="EN1223" s="885"/>
      <c r="EO1223" s="885"/>
      <c r="EP1223" s="885"/>
      <c r="EQ1223" s="885"/>
      <c r="ER1223" s="885"/>
      <c r="ES1223" s="885"/>
      <c r="ET1223" s="885"/>
      <c r="EU1223" s="885"/>
      <c r="EV1223" s="885"/>
      <c r="EW1223" s="885"/>
      <c r="EX1223" s="885"/>
      <c r="EY1223" s="885"/>
      <c r="EZ1223" s="885"/>
      <c r="FA1223" s="885"/>
      <c r="FB1223" s="885"/>
      <c r="FC1223" s="885"/>
      <c r="FD1223" s="885"/>
      <c r="FE1223" s="885"/>
      <c r="FF1223" s="885"/>
      <c r="FG1223" s="885"/>
      <c r="FH1223" s="885"/>
      <c r="FI1223" s="885"/>
      <c r="FJ1223" s="885"/>
      <c r="FK1223" s="885"/>
      <c r="FL1223" s="885"/>
      <c r="FM1223" s="885"/>
      <c r="FN1223" s="885"/>
      <c r="FO1223" s="885"/>
      <c r="FP1223" s="885"/>
      <c r="FQ1223" s="885"/>
      <c r="FR1223" s="885"/>
      <c r="FS1223" s="885"/>
      <c r="FT1223" s="885"/>
      <c r="FU1223" s="885"/>
      <c r="FV1223" s="885"/>
      <c r="FW1223" s="885"/>
      <c r="FX1223" s="885"/>
      <c r="FY1223" s="885"/>
      <c r="FZ1223" s="885"/>
      <c r="GA1223" s="885"/>
      <c r="GB1223" s="885"/>
      <c r="GC1223" s="885"/>
      <c r="GD1223" s="885"/>
      <c r="GE1223" s="885"/>
      <c r="GF1223" s="885"/>
      <c r="GG1223" s="885"/>
      <c r="GH1223" s="885"/>
      <c r="GI1223" s="885"/>
      <c r="GJ1223" s="885"/>
      <c r="GK1223" s="885"/>
      <c r="GL1223" s="885"/>
      <c r="GM1223" s="885"/>
      <c r="GN1223" s="885"/>
      <c r="GO1223" s="885"/>
      <c r="GP1223" s="885"/>
      <c r="GQ1223" s="885"/>
      <c r="GR1223" s="885"/>
      <c r="GS1223" s="885"/>
      <c r="GT1223" s="885"/>
      <c r="GU1223" s="885"/>
      <c r="GV1223" s="885"/>
      <c r="GW1223" s="885"/>
      <c r="GX1223" s="885"/>
      <c r="GY1223" s="885"/>
      <c r="GZ1223" s="885"/>
      <c r="HA1223" s="885"/>
      <c r="HB1223" s="885"/>
      <c r="HC1223" s="885"/>
      <c r="HD1223" s="885"/>
      <c r="HE1223" s="885"/>
      <c r="HF1223" s="885"/>
      <c r="HG1223" s="885"/>
      <c r="HH1223" s="885"/>
      <c r="HI1223" s="885"/>
      <c r="HJ1223" s="885"/>
      <c r="HK1223" s="885"/>
      <c r="HL1223" s="885"/>
      <c r="HM1223" s="885"/>
      <c r="HN1223" s="885"/>
      <c r="HO1223" s="885"/>
      <c r="HP1223" s="885"/>
      <c r="HQ1223" s="885"/>
      <c r="HR1223" s="885"/>
      <c r="HS1223" s="885"/>
      <c r="HT1223" s="885"/>
      <c r="HU1223" s="885"/>
      <c r="HV1223" s="885"/>
      <c r="HW1223" s="885"/>
      <c r="HX1223" s="885"/>
      <c r="HY1223" s="885"/>
      <c r="HZ1223" s="885"/>
      <c r="IA1223" s="885"/>
      <c r="IB1223" s="885"/>
      <c r="IC1223" s="885"/>
      <c r="ID1223" s="885"/>
      <c r="IE1223" s="885"/>
      <c r="IF1223" s="885"/>
      <c r="IG1223" s="885"/>
      <c r="IH1223" s="885"/>
      <c r="II1223" s="885"/>
      <c r="IJ1223" s="885"/>
      <c r="IK1223" s="885"/>
      <c r="IL1223" s="885"/>
      <c r="IM1223" s="885"/>
      <c r="IN1223" s="885"/>
      <c r="IO1223" s="885"/>
      <c r="IP1223" s="885"/>
      <c r="IQ1223" s="885"/>
      <c r="IR1223" s="885"/>
      <c r="IS1223" s="885"/>
      <c r="IT1223" s="885"/>
      <c r="IU1223" s="885"/>
      <c r="IV1223" s="885"/>
      <c r="IW1223" s="885"/>
      <c r="IX1223" s="885"/>
    </row>
    <row r="1224" spans="1:258" x14ac:dyDescent="0.25">
      <c r="A1224" s="125">
        <f t="shared" si="132"/>
        <v>1184</v>
      </c>
      <c r="B1224" s="885"/>
      <c r="C1224" s="842" t="s">
        <v>10757</v>
      </c>
      <c r="D1224" s="924">
        <v>0</v>
      </c>
      <c r="E1224" s="924">
        <f t="shared" si="133"/>
        <v>0</v>
      </c>
      <c r="F1224" s="129">
        <v>500</v>
      </c>
      <c r="G1224" s="122" t="s">
        <v>1963</v>
      </c>
      <c r="H1224" s="885"/>
      <c r="I1224" s="885"/>
      <c r="J1224" s="885"/>
      <c r="K1224" s="885"/>
      <c r="L1224" s="885"/>
      <c r="M1224" s="885"/>
      <c r="N1224" s="885"/>
      <c r="O1224" s="885"/>
      <c r="P1224" s="885"/>
      <c r="Q1224" s="885"/>
      <c r="R1224" s="885"/>
      <c r="S1224" s="885"/>
      <c r="T1224" s="885"/>
      <c r="U1224" s="885"/>
      <c r="V1224" s="885"/>
      <c r="W1224" s="885"/>
      <c r="X1224" s="885"/>
      <c r="Y1224" s="885"/>
      <c r="Z1224" s="885"/>
      <c r="AA1224" s="885"/>
      <c r="AB1224" s="885"/>
      <c r="AC1224" s="885"/>
      <c r="AD1224" s="885"/>
      <c r="AE1224" s="885"/>
      <c r="AF1224" s="885"/>
      <c r="AG1224" s="885"/>
      <c r="AH1224" s="885"/>
      <c r="AI1224" s="885"/>
      <c r="AJ1224" s="885"/>
      <c r="AK1224" s="885"/>
      <c r="AL1224" s="885"/>
      <c r="AM1224" s="885"/>
      <c r="AN1224" s="885"/>
      <c r="AO1224" s="885"/>
      <c r="AP1224" s="885"/>
      <c r="AQ1224" s="885"/>
      <c r="AR1224" s="885"/>
      <c r="AS1224" s="885"/>
      <c r="AT1224" s="885"/>
      <c r="AU1224" s="885"/>
      <c r="AV1224" s="885"/>
      <c r="AW1224" s="885"/>
      <c r="AX1224" s="885"/>
      <c r="AY1224" s="885"/>
      <c r="AZ1224" s="885"/>
      <c r="BA1224" s="885"/>
      <c r="BB1224" s="885"/>
      <c r="BC1224" s="885"/>
      <c r="BD1224" s="885"/>
      <c r="BE1224" s="885"/>
      <c r="BF1224" s="885"/>
      <c r="BG1224" s="885"/>
      <c r="BH1224" s="885"/>
      <c r="BI1224" s="885"/>
      <c r="BJ1224" s="885"/>
      <c r="BK1224" s="885"/>
      <c r="BL1224" s="885"/>
      <c r="BM1224" s="885"/>
      <c r="BN1224" s="885"/>
      <c r="BO1224" s="885"/>
      <c r="BP1224" s="885"/>
      <c r="BQ1224" s="885"/>
      <c r="BR1224" s="885"/>
      <c r="BS1224" s="885"/>
      <c r="BT1224" s="885"/>
      <c r="BU1224" s="885"/>
      <c r="BV1224" s="885"/>
      <c r="BW1224" s="885"/>
      <c r="BX1224" s="885"/>
      <c r="BY1224" s="885"/>
      <c r="BZ1224" s="885"/>
      <c r="CA1224" s="885"/>
      <c r="CB1224" s="885"/>
      <c r="CC1224" s="885"/>
      <c r="CD1224" s="885"/>
      <c r="CE1224" s="885"/>
      <c r="CF1224" s="885"/>
      <c r="CG1224" s="885"/>
      <c r="CH1224" s="885"/>
      <c r="CI1224" s="885"/>
      <c r="CJ1224" s="885"/>
      <c r="CK1224" s="885"/>
      <c r="CL1224" s="885"/>
      <c r="CM1224" s="885"/>
      <c r="CN1224" s="885"/>
      <c r="CO1224" s="885"/>
      <c r="CP1224" s="885"/>
      <c r="CQ1224" s="885"/>
      <c r="CR1224" s="885"/>
      <c r="CS1224" s="885"/>
      <c r="CT1224" s="885"/>
      <c r="CU1224" s="885"/>
      <c r="CV1224" s="885"/>
      <c r="CW1224" s="885"/>
      <c r="CX1224" s="885"/>
      <c r="CY1224" s="885"/>
      <c r="CZ1224" s="885"/>
      <c r="DA1224" s="885"/>
      <c r="DB1224" s="885"/>
      <c r="DC1224" s="885"/>
      <c r="DD1224" s="885"/>
      <c r="DE1224" s="885"/>
      <c r="DF1224" s="885"/>
      <c r="DG1224" s="885"/>
      <c r="DH1224" s="885"/>
      <c r="DI1224" s="885"/>
      <c r="DJ1224" s="885"/>
      <c r="DK1224" s="885"/>
      <c r="DL1224" s="885"/>
      <c r="DM1224" s="885"/>
      <c r="DN1224" s="885"/>
      <c r="DO1224" s="885"/>
      <c r="DP1224" s="885"/>
      <c r="DQ1224" s="885"/>
      <c r="DR1224" s="885"/>
      <c r="DS1224" s="885"/>
      <c r="DT1224" s="885"/>
      <c r="DU1224" s="885"/>
      <c r="DV1224" s="885"/>
      <c r="DW1224" s="885"/>
      <c r="DX1224" s="885"/>
      <c r="DY1224" s="885"/>
      <c r="DZ1224" s="885"/>
      <c r="EA1224" s="885"/>
      <c r="EB1224" s="885"/>
      <c r="EC1224" s="885"/>
      <c r="ED1224" s="885"/>
      <c r="EE1224" s="885"/>
      <c r="EF1224" s="885"/>
      <c r="EG1224" s="885"/>
      <c r="EH1224" s="885"/>
      <c r="EI1224" s="885"/>
      <c r="EJ1224" s="885"/>
      <c r="EK1224" s="885"/>
      <c r="EL1224" s="885"/>
      <c r="EM1224" s="885"/>
      <c r="EN1224" s="885"/>
      <c r="EO1224" s="885"/>
      <c r="EP1224" s="885"/>
      <c r="EQ1224" s="885"/>
      <c r="ER1224" s="885"/>
      <c r="ES1224" s="885"/>
      <c r="ET1224" s="885"/>
      <c r="EU1224" s="885"/>
      <c r="EV1224" s="885"/>
      <c r="EW1224" s="885"/>
      <c r="EX1224" s="885"/>
      <c r="EY1224" s="885"/>
      <c r="EZ1224" s="885"/>
      <c r="FA1224" s="885"/>
      <c r="FB1224" s="885"/>
      <c r="FC1224" s="885"/>
      <c r="FD1224" s="885"/>
      <c r="FE1224" s="885"/>
      <c r="FF1224" s="885"/>
      <c r="FG1224" s="885"/>
      <c r="FH1224" s="885"/>
      <c r="FI1224" s="885"/>
      <c r="FJ1224" s="885"/>
      <c r="FK1224" s="885"/>
      <c r="FL1224" s="885"/>
      <c r="FM1224" s="885"/>
      <c r="FN1224" s="885"/>
      <c r="FO1224" s="885"/>
      <c r="FP1224" s="885"/>
      <c r="FQ1224" s="885"/>
      <c r="FR1224" s="885"/>
      <c r="FS1224" s="885"/>
      <c r="FT1224" s="885"/>
      <c r="FU1224" s="885"/>
      <c r="FV1224" s="885"/>
      <c r="FW1224" s="885"/>
      <c r="FX1224" s="885"/>
      <c r="FY1224" s="885"/>
      <c r="FZ1224" s="885"/>
      <c r="GA1224" s="885"/>
      <c r="GB1224" s="885"/>
      <c r="GC1224" s="885"/>
      <c r="GD1224" s="885"/>
      <c r="GE1224" s="885"/>
      <c r="GF1224" s="885"/>
      <c r="GG1224" s="885"/>
      <c r="GH1224" s="885"/>
      <c r="GI1224" s="885"/>
      <c r="GJ1224" s="885"/>
      <c r="GK1224" s="885"/>
      <c r="GL1224" s="885"/>
      <c r="GM1224" s="885"/>
      <c r="GN1224" s="885"/>
      <c r="GO1224" s="885"/>
      <c r="GP1224" s="885"/>
      <c r="GQ1224" s="885"/>
      <c r="GR1224" s="885"/>
      <c r="GS1224" s="885"/>
      <c r="GT1224" s="885"/>
      <c r="GU1224" s="885"/>
      <c r="GV1224" s="885"/>
      <c r="GW1224" s="885"/>
      <c r="GX1224" s="885"/>
      <c r="GY1224" s="885"/>
      <c r="GZ1224" s="885"/>
      <c r="HA1224" s="885"/>
      <c r="HB1224" s="885"/>
      <c r="HC1224" s="885"/>
      <c r="HD1224" s="885"/>
      <c r="HE1224" s="885"/>
      <c r="HF1224" s="885"/>
      <c r="HG1224" s="885"/>
      <c r="HH1224" s="885"/>
      <c r="HI1224" s="885"/>
      <c r="HJ1224" s="885"/>
      <c r="HK1224" s="885"/>
      <c r="HL1224" s="885"/>
      <c r="HM1224" s="885"/>
      <c r="HN1224" s="885"/>
      <c r="HO1224" s="885"/>
      <c r="HP1224" s="885"/>
      <c r="HQ1224" s="885"/>
      <c r="HR1224" s="885"/>
      <c r="HS1224" s="885"/>
      <c r="HT1224" s="885"/>
      <c r="HU1224" s="885"/>
      <c r="HV1224" s="885"/>
      <c r="HW1224" s="885"/>
      <c r="HX1224" s="885"/>
      <c r="HY1224" s="885"/>
      <c r="HZ1224" s="885"/>
      <c r="IA1224" s="885"/>
      <c r="IB1224" s="885"/>
      <c r="IC1224" s="885"/>
      <c r="ID1224" s="885"/>
      <c r="IE1224" s="885"/>
      <c r="IF1224" s="885"/>
      <c r="IG1224" s="885"/>
      <c r="IH1224" s="885"/>
      <c r="II1224" s="885"/>
      <c r="IJ1224" s="885"/>
      <c r="IK1224" s="885"/>
      <c r="IL1224" s="885"/>
      <c r="IM1224" s="885"/>
      <c r="IN1224" s="885"/>
      <c r="IO1224" s="885"/>
      <c r="IP1224" s="885"/>
      <c r="IQ1224" s="885"/>
      <c r="IR1224" s="885"/>
      <c r="IS1224" s="885"/>
      <c r="IT1224" s="885"/>
      <c r="IU1224" s="885"/>
      <c r="IV1224" s="885"/>
      <c r="IW1224" s="885"/>
      <c r="IX1224" s="885"/>
    </row>
    <row r="1225" spans="1:258" x14ac:dyDescent="0.25">
      <c r="A1225" s="125">
        <f t="shared" si="132"/>
        <v>1185</v>
      </c>
      <c r="B1225" s="885"/>
      <c r="C1225" s="927" t="s">
        <v>10758</v>
      </c>
      <c r="D1225" s="928"/>
      <c r="E1225" s="928"/>
      <c r="F1225" s="129"/>
      <c r="H1225" s="885"/>
      <c r="I1225" s="885"/>
      <c r="J1225" s="885"/>
      <c r="K1225" s="885"/>
      <c r="L1225" s="885"/>
      <c r="M1225" s="885"/>
      <c r="N1225" s="885"/>
      <c r="O1225" s="885"/>
      <c r="P1225" s="885"/>
      <c r="Q1225" s="885"/>
      <c r="R1225" s="885"/>
      <c r="S1225" s="885"/>
      <c r="T1225" s="885"/>
      <c r="U1225" s="885"/>
      <c r="V1225" s="885"/>
      <c r="W1225" s="885"/>
      <c r="X1225" s="885"/>
      <c r="Y1225" s="885"/>
      <c r="Z1225" s="885"/>
      <c r="AA1225" s="885"/>
      <c r="AB1225" s="885"/>
      <c r="AC1225" s="885"/>
      <c r="AD1225" s="885"/>
      <c r="AE1225" s="885"/>
      <c r="AF1225" s="885"/>
      <c r="AG1225" s="885"/>
      <c r="AH1225" s="885"/>
      <c r="AI1225" s="885"/>
      <c r="AJ1225" s="885"/>
      <c r="AK1225" s="885"/>
      <c r="AL1225" s="885"/>
      <c r="AM1225" s="885"/>
      <c r="AN1225" s="885"/>
      <c r="AO1225" s="885"/>
      <c r="AP1225" s="885"/>
      <c r="AQ1225" s="885"/>
      <c r="AR1225" s="885"/>
      <c r="AS1225" s="885"/>
      <c r="AT1225" s="885"/>
      <c r="AU1225" s="885"/>
      <c r="AV1225" s="885"/>
      <c r="AW1225" s="885"/>
      <c r="AX1225" s="885"/>
      <c r="AY1225" s="885"/>
      <c r="AZ1225" s="885"/>
      <c r="BA1225" s="885"/>
      <c r="BB1225" s="885"/>
      <c r="BC1225" s="885"/>
      <c r="BD1225" s="885"/>
      <c r="BE1225" s="885"/>
      <c r="BF1225" s="885"/>
      <c r="BG1225" s="885"/>
      <c r="BH1225" s="885"/>
      <c r="BI1225" s="885"/>
      <c r="BJ1225" s="885"/>
      <c r="BK1225" s="885"/>
      <c r="BL1225" s="885"/>
      <c r="BM1225" s="885"/>
      <c r="BN1225" s="885"/>
      <c r="BO1225" s="885"/>
      <c r="BP1225" s="885"/>
      <c r="BQ1225" s="885"/>
      <c r="BR1225" s="885"/>
      <c r="BS1225" s="885"/>
      <c r="BT1225" s="885"/>
      <c r="BU1225" s="885"/>
      <c r="BV1225" s="885"/>
      <c r="BW1225" s="885"/>
      <c r="BX1225" s="885"/>
      <c r="BY1225" s="885"/>
      <c r="BZ1225" s="885"/>
      <c r="CA1225" s="885"/>
      <c r="CB1225" s="885"/>
      <c r="CC1225" s="885"/>
      <c r="CD1225" s="885"/>
      <c r="CE1225" s="885"/>
      <c r="CF1225" s="885"/>
      <c r="CG1225" s="885"/>
      <c r="CH1225" s="885"/>
      <c r="CI1225" s="885"/>
      <c r="CJ1225" s="885"/>
      <c r="CK1225" s="885"/>
      <c r="CL1225" s="885"/>
      <c r="CM1225" s="885"/>
      <c r="CN1225" s="885"/>
      <c r="CO1225" s="885"/>
      <c r="CP1225" s="885"/>
      <c r="CQ1225" s="885"/>
      <c r="CR1225" s="885"/>
      <c r="CS1225" s="885"/>
      <c r="CT1225" s="885"/>
      <c r="CU1225" s="885"/>
      <c r="CV1225" s="885"/>
      <c r="CW1225" s="885"/>
      <c r="CX1225" s="885"/>
      <c r="CY1225" s="885"/>
      <c r="CZ1225" s="885"/>
      <c r="DA1225" s="885"/>
      <c r="DB1225" s="885"/>
      <c r="DC1225" s="885"/>
      <c r="DD1225" s="885"/>
      <c r="DE1225" s="885"/>
      <c r="DF1225" s="885"/>
      <c r="DG1225" s="885"/>
      <c r="DH1225" s="885"/>
      <c r="DI1225" s="885"/>
      <c r="DJ1225" s="885"/>
      <c r="DK1225" s="885"/>
      <c r="DL1225" s="885"/>
      <c r="DM1225" s="885"/>
      <c r="DN1225" s="885"/>
      <c r="DO1225" s="885"/>
      <c r="DP1225" s="885"/>
      <c r="DQ1225" s="885"/>
      <c r="DR1225" s="885"/>
      <c r="DS1225" s="885"/>
      <c r="DT1225" s="885"/>
      <c r="DU1225" s="885"/>
      <c r="DV1225" s="885"/>
      <c r="DW1225" s="885"/>
      <c r="DX1225" s="885"/>
      <c r="DY1225" s="885"/>
      <c r="DZ1225" s="885"/>
      <c r="EA1225" s="885"/>
      <c r="EB1225" s="885"/>
      <c r="EC1225" s="885"/>
      <c r="ED1225" s="885"/>
      <c r="EE1225" s="885"/>
      <c r="EF1225" s="885"/>
      <c r="EG1225" s="885"/>
      <c r="EH1225" s="885"/>
      <c r="EI1225" s="885"/>
      <c r="EJ1225" s="885"/>
      <c r="EK1225" s="885"/>
      <c r="EL1225" s="885"/>
      <c r="EM1225" s="885"/>
      <c r="EN1225" s="885"/>
      <c r="EO1225" s="885"/>
      <c r="EP1225" s="885"/>
      <c r="EQ1225" s="885"/>
      <c r="ER1225" s="885"/>
      <c r="ES1225" s="885"/>
      <c r="ET1225" s="885"/>
      <c r="EU1225" s="885"/>
      <c r="EV1225" s="885"/>
      <c r="EW1225" s="885"/>
      <c r="EX1225" s="885"/>
      <c r="EY1225" s="885"/>
      <c r="EZ1225" s="885"/>
      <c r="FA1225" s="885"/>
      <c r="FB1225" s="885"/>
      <c r="FC1225" s="885"/>
      <c r="FD1225" s="885"/>
      <c r="FE1225" s="885"/>
      <c r="FF1225" s="885"/>
      <c r="FG1225" s="885"/>
      <c r="FH1225" s="885"/>
      <c r="FI1225" s="885"/>
      <c r="FJ1225" s="885"/>
      <c r="FK1225" s="885"/>
      <c r="FL1225" s="885"/>
      <c r="FM1225" s="885"/>
      <c r="FN1225" s="885"/>
      <c r="FO1225" s="885"/>
      <c r="FP1225" s="885"/>
      <c r="FQ1225" s="885"/>
      <c r="FR1225" s="885"/>
      <c r="FS1225" s="885"/>
      <c r="FT1225" s="885"/>
      <c r="FU1225" s="885"/>
      <c r="FV1225" s="885"/>
      <c r="FW1225" s="885"/>
      <c r="FX1225" s="885"/>
      <c r="FY1225" s="885"/>
      <c r="FZ1225" s="885"/>
      <c r="GA1225" s="885"/>
      <c r="GB1225" s="885"/>
      <c r="GC1225" s="885"/>
      <c r="GD1225" s="885"/>
      <c r="GE1225" s="885"/>
      <c r="GF1225" s="885"/>
      <c r="GG1225" s="885"/>
      <c r="GH1225" s="885"/>
      <c r="GI1225" s="885"/>
      <c r="GJ1225" s="885"/>
      <c r="GK1225" s="885"/>
      <c r="GL1225" s="885"/>
      <c r="GM1225" s="885"/>
      <c r="GN1225" s="885"/>
      <c r="GO1225" s="885"/>
      <c r="GP1225" s="885"/>
      <c r="GQ1225" s="885"/>
      <c r="GR1225" s="885"/>
      <c r="GS1225" s="885"/>
      <c r="GT1225" s="885"/>
      <c r="GU1225" s="885"/>
      <c r="GV1225" s="885"/>
      <c r="GW1225" s="885"/>
      <c r="GX1225" s="885"/>
      <c r="GY1225" s="885"/>
      <c r="GZ1225" s="885"/>
      <c r="HA1225" s="885"/>
      <c r="HB1225" s="885"/>
      <c r="HC1225" s="885"/>
      <c r="HD1225" s="885"/>
      <c r="HE1225" s="885"/>
      <c r="HF1225" s="885"/>
      <c r="HG1225" s="885"/>
      <c r="HH1225" s="885"/>
      <c r="HI1225" s="885"/>
      <c r="HJ1225" s="885"/>
      <c r="HK1225" s="885"/>
      <c r="HL1225" s="885"/>
      <c r="HM1225" s="885"/>
      <c r="HN1225" s="885"/>
      <c r="HO1225" s="885"/>
      <c r="HP1225" s="885"/>
      <c r="HQ1225" s="885"/>
      <c r="HR1225" s="885"/>
      <c r="HS1225" s="885"/>
      <c r="HT1225" s="885"/>
      <c r="HU1225" s="885"/>
      <c r="HV1225" s="885"/>
      <c r="HW1225" s="885"/>
      <c r="HX1225" s="885"/>
      <c r="HY1225" s="885"/>
      <c r="HZ1225" s="885"/>
      <c r="IA1225" s="885"/>
      <c r="IB1225" s="885"/>
      <c r="IC1225" s="885"/>
      <c r="ID1225" s="885"/>
      <c r="IE1225" s="885"/>
      <c r="IF1225" s="885"/>
      <c r="IG1225" s="885"/>
      <c r="IH1225" s="885"/>
      <c r="II1225" s="885"/>
      <c r="IJ1225" s="885"/>
      <c r="IK1225" s="885"/>
      <c r="IL1225" s="885"/>
      <c r="IM1225" s="885"/>
      <c r="IN1225" s="885"/>
      <c r="IO1225" s="885"/>
      <c r="IP1225" s="885"/>
      <c r="IQ1225" s="885"/>
      <c r="IR1225" s="885"/>
      <c r="IS1225" s="885"/>
      <c r="IT1225" s="885"/>
      <c r="IU1225" s="885"/>
      <c r="IV1225" s="885"/>
      <c r="IW1225" s="885"/>
      <c r="IX1225" s="885"/>
    </row>
    <row r="1226" spans="1:258" x14ac:dyDescent="0.25">
      <c r="A1226" s="125">
        <f t="shared" si="132"/>
        <v>1186</v>
      </c>
      <c r="B1226" s="885"/>
      <c r="C1226" s="842" t="s">
        <v>10759</v>
      </c>
      <c r="D1226" s="924">
        <v>3904.8</v>
      </c>
      <c r="E1226" s="924">
        <v>3904.8</v>
      </c>
      <c r="F1226" s="129">
        <v>2000</v>
      </c>
      <c r="G1226" s="122" t="s">
        <v>1963</v>
      </c>
      <c r="H1226" s="885"/>
      <c r="I1226" s="885"/>
      <c r="J1226" s="885"/>
      <c r="K1226" s="885"/>
      <c r="L1226" s="885"/>
      <c r="M1226" s="885"/>
      <c r="N1226" s="885"/>
      <c r="O1226" s="885"/>
      <c r="P1226" s="885"/>
      <c r="Q1226" s="885"/>
      <c r="R1226" s="885"/>
      <c r="S1226" s="885"/>
      <c r="T1226" s="885"/>
      <c r="U1226" s="885"/>
      <c r="V1226" s="885"/>
      <c r="W1226" s="885"/>
      <c r="X1226" s="885"/>
      <c r="Y1226" s="885"/>
      <c r="Z1226" s="885"/>
      <c r="AA1226" s="885"/>
      <c r="AB1226" s="885"/>
      <c r="AC1226" s="885"/>
      <c r="AD1226" s="885"/>
      <c r="AE1226" s="885"/>
      <c r="AF1226" s="885"/>
      <c r="AG1226" s="885"/>
      <c r="AH1226" s="885"/>
      <c r="AI1226" s="885"/>
      <c r="AJ1226" s="885"/>
      <c r="AK1226" s="885"/>
      <c r="AL1226" s="885"/>
      <c r="AM1226" s="885"/>
      <c r="AN1226" s="885"/>
      <c r="AO1226" s="885"/>
      <c r="AP1226" s="885"/>
      <c r="AQ1226" s="885"/>
      <c r="AR1226" s="885"/>
      <c r="AS1226" s="885"/>
      <c r="AT1226" s="885"/>
      <c r="AU1226" s="885"/>
      <c r="AV1226" s="885"/>
      <c r="AW1226" s="885"/>
      <c r="AX1226" s="885"/>
      <c r="AY1226" s="885"/>
      <c r="AZ1226" s="885"/>
      <c r="BA1226" s="885"/>
      <c r="BB1226" s="885"/>
      <c r="BC1226" s="885"/>
      <c r="BD1226" s="885"/>
      <c r="BE1226" s="885"/>
      <c r="BF1226" s="885"/>
      <c r="BG1226" s="885"/>
      <c r="BH1226" s="885"/>
      <c r="BI1226" s="885"/>
      <c r="BJ1226" s="885"/>
      <c r="BK1226" s="885"/>
      <c r="BL1226" s="885"/>
      <c r="BM1226" s="885"/>
      <c r="BN1226" s="885"/>
      <c r="BO1226" s="885"/>
      <c r="BP1226" s="885"/>
      <c r="BQ1226" s="885"/>
      <c r="BR1226" s="885"/>
      <c r="BS1226" s="885"/>
      <c r="BT1226" s="885"/>
      <c r="BU1226" s="885"/>
      <c r="BV1226" s="885"/>
      <c r="BW1226" s="885"/>
      <c r="BX1226" s="885"/>
      <c r="BY1226" s="885"/>
      <c r="BZ1226" s="885"/>
      <c r="CA1226" s="885"/>
      <c r="CB1226" s="885"/>
      <c r="CC1226" s="885"/>
      <c r="CD1226" s="885"/>
      <c r="CE1226" s="885"/>
      <c r="CF1226" s="885"/>
      <c r="CG1226" s="885"/>
      <c r="CH1226" s="885"/>
      <c r="CI1226" s="885"/>
      <c r="CJ1226" s="885"/>
      <c r="CK1226" s="885"/>
      <c r="CL1226" s="885"/>
      <c r="CM1226" s="885"/>
      <c r="CN1226" s="885"/>
      <c r="CO1226" s="885"/>
      <c r="CP1226" s="885"/>
      <c r="CQ1226" s="885"/>
      <c r="CR1226" s="885"/>
      <c r="CS1226" s="885"/>
      <c r="CT1226" s="885"/>
      <c r="CU1226" s="885"/>
      <c r="CV1226" s="885"/>
      <c r="CW1226" s="885"/>
      <c r="CX1226" s="885"/>
      <c r="CY1226" s="885"/>
      <c r="CZ1226" s="885"/>
      <c r="DA1226" s="885"/>
      <c r="DB1226" s="885"/>
      <c r="DC1226" s="885"/>
      <c r="DD1226" s="885"/>
      <c r="DE1226" s="885"/>
      <c r="DF1226" s="885"/>
      <c r="DG1226" s="885"/>
      <c r="DH1226" s="885"/>
      <c r="DI1226" s="885"/>
      <c r="DJ1226" s="885"/>
      <c r="DK1226" s="885"/>
      <c r="DL1226" s="885"/>
      <c r="DM1226" s="885"/>
      <c r="DN1226" s="885"/>
      <c r="DO1226" s="885"/>
      <c r="DP1226" s="885"/>
      <c r="DQ1226" s="885"/>
      <c r="DR1226" s="885"/>
      <c r="DS1226" s="885"/>
      <c r="DT1226" s="885"/>
      <c r="DU1226" s="885"/>
      <c r="DV1226" s="885"/>
      <c r="DW1226" s="885"/>
      <c r="DX1226" s="885"/>
      <c r="DY1226" s="885"/>
      <c r="DZ1226" s="885"/>
      <c r="EA1226" s="885"/>
      <c r="EB1226" s="885"/>
      <c r="EC1226" s="885"/>
      <c r="ED1226" s="885"/>
      <c r="EE1226" s="885"/>
      <c r="EF1226" s="885"/>
      <c r="EG1226" s="885"/>
      <c r="EH1226" s="885"/>
      <c r="EI1226" s="885"/>
      <c r="EJ1226" s="885"/>
      <c r="EK1226" s="885"/>
      <c r="EL1226" s="885"/>
      <c r="EM1226" s="885"/>
      <c r="EN1226" s="885"/>
      <c r="EO1226" s="885"/>
      <c r="EP1226" s="885"/>
      <c r="EQ1226" s="885"/>
      <c r="ER1226" s="885"/>
      <c r="ES1226" s="885"/>
      <c r="ET1226" s="885"/>
      <c r="EU1226" s="885"/>
      <c r="EV1226" s="885"/>
      <c r="EW1226" s="885"/>
      <c r="EX1226" s="885"/>
      <c r="EY1226" s="885"/>
      <c r="EZ1226" s="885"/>
      <c r="FA1226" s="885"/>
      <c r="FB1226" s="885"/>
      <c r="FC1226" s="885"/>
      <c r="FD1226" s="885"/>
      <c r="FE1226" s="885"/>
      <c r="FF1226" s="885"/>
      <c r="FG1226" s="885"/>
      <c r="FH1226" s="885"/>
      <c r="FI1226" s="885"/>
      <c r="FJ1226" s="885"/>
      <c r="FK1226" s="885"/>
      <c r="FL1226" s="885"/>
      <c r="FM1226" s="885"/>
      <c r="FN1226" s="885"/>
      <c r="FO1226" s="885"/>
      <c r="FP1226" s="885"/>
      <c r="FQ1226" s="885"/>
      <c r="FR1226" s="885"/>
      <c r="FS1226" s="885"/>
      <c r="FT1226" s="885"/>
      <c r="FU1226" s="885"/>
      <c r="FV1226" s="885"/>
      <c r="FW1226" s="885"/>
      <c r="FX1226" s="885"/>
      <c r="FY1226" s="885"/>
      <c r="FZ1226" s="885"/>
      <c r="GA1226" s="885"/>
      <c r="GB1226" s="885"/>
      <c r="GC1226" s="885"/>
      <c r="GD1226" s="885"/>
      <c r="GE1226" s="885"/>
      <c r="GF1226" s="885"/>
      <c r="GG1226" s="885"/>
      <c r="GH1226" s="885"/>
      <c r="GI1226" s="885"/>
      <c r="GJ1226" s="885"/>
      <c r="GK1226" s="885"/>
      <c r="GL1226" s="885"/>
      <c r="GM1226" s="885"/>
      <c r="GN1226" s="885"/>
      <c r="GO1226" s="885"/>
      <c r="GP1226" s="885"/>
      <c r="GQ1226" s="885"/>
      <c r="GR1226" s="885"/>
      <c r="GS1226" s="885"/>
      <c r="GT1226" s="885"/>
      <c r="GU1226" s="885"/>
      <c r="GV1226" s="885"/>
      <c r="GW1226" s="885"/>
      <c r="GX1226" s="885"/>
      <c r="GY1226" s="885"/>
      <c r="GZ1226" s="885"/>
      <c r="HA1226" s="885"/>
      <c r="HB1226" s="885"/>
      <c r="HC1226" s="885"/>
      <c r="HD1226" s="885"/>
      <c r="HE1226" s="885"/>
      <c r="HF1226" s="885"/>
      <c r="HG1226" s="885"/>
      <c r="HH1226" s="885"/>
      <c r="HI1226" s="885"/>
      <c r="HJ1226" s="885"/>
      <c r="HK1226" s="885"/>
      <c r="HL1226" s="885"/>
      <c r="HM1226" s="885"/>
      <c r="HN1226" s="885"/>
      <c r="HO1226" s="885"/>
      <c r="HP1226" s="885"/>
      <c r="HQ1226" s="885"/>
      <c r="HR1226" s="885"/>
      <c r="HS1226" s="885"/>
      <c r="HT1226" s="885"/>
      <c r="HU1226" s="885"/>
      <c r="HV1226" s="885"/>
      <c r="HW1226" s="885"/>
      <c r="HX1226" s="885"/>
      <c r="HY1226" s="885"/>
      <c r="HZ1226" s="885"/>
      <c r="IA1226" s="885"/>
      <c r="IB1226" s="885"/>
      <c r="IC1226" s="885"/>
      <c r="ID1226" s="885"/>
      <c r="IE1226" s="885"/>
      <c r="IF1226" s="885"/>
      <c r="IG1226" s="885"/>
      <c r="IH1226" s="885"/>
      <c r="II1226" s="885"/>
      <c r="IJ1226" s="885"/>
      <c r="IK1226" s="885"/>
      <c r="IL1226" s="885"/>
      <c r="IM1226" s="885"/>
      <c r="IN1226" s="885"/>
      <c r="IO1226" s="885"/>
      <c r="IP1226" s="885"/>
      <c r="IQ1226" s="885"/>
      <c r="IR1226" s="885"/>
      <c r="IS1226" s="885"/>
      <c r="IT1226" s="885"/>
      <c r="IU1226" s="885"/>
      <c r="IV1226" s="885"/>
      <c r="IW1226" s="885"/>
      <c r="IX1226" s="885"/>
    </row>
    <row r="1227" spans="1:258" x14ac:dyDescent="0.25">
      <c r="A1227" s="125">
        <f t="shared" si="132"/>
        <v>1187</v>
      </c>
      <c r="B1227" s="885"/>
      <c r="C1227" s="842" t="s">
        <v>10760</v>
      </c>
      <c r="D1227" s="924">
        <v>0</v>
      </c>
      <c r="E1227" s="924">
        <f t="shared" si="133"/>
        <v>0</v>
      </c>
      <c r="F1227" s="129">
        <v>500</v>
      </c>
      <c r="G1227" s="122" t="s">
        <v>1963</v>
      </c>
      <c r="H1227" s="885"/>
      <c r="I1227" s="885"/>
      <c r="J1227" s="885"/>
      <c r="K1227" s="885"/>
      <c r="L1227" s="885"/>
      <c r="M1227" s="885"/>
      <c r="N1227" s="885"/>
      <c r="O1227" s="885"/>
      <c r="P1227" s="885"/>
      <c r="Q1227" s="885"/>
      <c r="R1227" s="885"/>
      <c r="S1227" s="885"/>
      <c r="T1227" s="885"/>
      <c r="U1227" s="885"/>
      <c r="V1227" s="885"/>
      <c r="W1227" s="885"/>
      <c r="X1227" s="885"/>
      <c r="Y1227" s="885"/>
      <c r="Z1227" s="885"/>
      <c r="AA1227" s="885"/>
      <c r="AB1227" s="885"/>
      <c r="AC1227" s="885"/>
      <c r="AD1227" s="885"/>
      <c r="AE1227" s="885"/>
      <c r="AF1227" s="885"/>
      <c r="AG1227" s="885"/>
      <c r="AH1227" s="885"/>
      <c r="AI1227" s="885"/>
      <c r="AJ1227" s="885"/>
      <c r="AK1227" s="885"/>
      <c r="AL1227" s="885"/>
      <c r="AM1227" s="885"/>
      <c r="AN1227" s="885"/>
      <c r="AO1227" s="885"/>
      <c r="AP1227" s="885"/>
      <c r="AQ1227" s="885"/>
      <c r="AR1227" s="885"/>
      <c r="AS1227" s="885"/>
      <c r="AT1227" s="885"/>
      <c r="AU1227" s="885"/>
      <c r="AV1227" s="885"/>
      <c r="AW1227" s="885"/>
      <c r="AX1227" s="885"/>
      <c r="AY1227" s="885"/>
      <c r="AZ1227" s="885"/>
      <c r="BA1227" s="885"/>
      <c r="BB1227" s="885"/>
      <c r="BC1227" s="885"/>
      <c r="BD1227" s="885"/>
      <c r="BE1227" s="885"/>
      <c r="BF1227" s="885"/>
      <c r="BG1227" s="885"/>
      <c r="BH1227" s="885"/>
      <c r="BI1227" s="885"/>
      <c r="BJ1227" s="885"/>
      <c r="BK1227" s="885"/>
      <c r="BL1227" s="885"/>
      <c r="BM1227" s="885"/>
      <c r="BN1227" s="885"/>
      <c r="BO1227" s="885"/>
      <c r="BP1227" s="885"/>
      <c r="BQ1227" s="885"/>
      <c r="BR1227" s="885"/>
      <c r="BS1227" s="885"/>
      <c r="BT1227" s="885"/>
      <c r="BU1227" s="885"/>
      <c r="BV1227" s="885"/>
      <c r="BW1227" s="885"/>
      <c r="BX1227" s="885"/>
      <c r="BY1227" s="885"/>
      <c r="BZ1227" s="885"/>
      <c r="CA1227" s="885"/>
      <c r="CB1227" s="885"/>
      <c r="CC1227" s="885"/>
      <c r="CD1227" s="885"/>
      <c r="CE1227" s="885"/>
      <c r="CF1227" s="885"/>
      <c r="CG1227" s="885"/>
      <c r="CH1227" s="885"/>
      <c r="CI1227" s="885"/>
      <c r="CJ1227" s="885"/>
      <c r="CK1227" s="885"/>
      <c r="CL1227" s="885"/>
      <c r="CM1227" s="885"/>
      <c r="CN1227" s="885"/>
      <c r="CO1227" s="885"/>
      <c r="CP1227" s="885"/>
      <c r="CQ1227" s="885"/>
      <c r="CR1227" s="885"/>
      <c r="CS1227" s="885"/>
      <c r="CT1227" s="885"/>
      <c r="CU1227" s="885"/>
      <c r="CV1227" s="885"/>
      <c r="CW1227" s="885"/>
      <c r="CX1227" s="885"/>
      <c r="CY1227" s="885"/>
      <c r="CZ1227" s="885"/>
      <c r="DA1227" s="885"/>
      <c r="DB1227" s="885"/>
      <c r="DC1227" s="885"/>
      <c r="DD1227" s="885"/>
      <c r="DE1227" s="885"/>
      <c r="DF1227" s="885"/>
      <c r="DG1227" s="885"/>
      <c r="DH1227" s="885"/>
      <c r="DI1227" s="885"/>
      <c r="DJ1227" s="885"/>
      <c r="DK1227" s="885"/>
      <c r="DL1227" s="885"/>
      <c r="DM1227" s="885"/>
      <c r="DN1227" s="885"/>
      <c r="DO1227" s="885"/>
      <c r="DP1227" s="885"/>
      <c r="DQ1227" s="885"/>
      <c r="DR1227" s="885"/>
      <c r="DS1227" s="885"/>
      <c r="DT1227" s="885"/>
      <c r="DU1227" s="885"/>
      <c r="DV1227" s="885"/>
      <c r="DW1227" s="885"/>
      <c r="DX1227" s="885"/>
      <c r="DY1227" s="885"/>
      <c r="DZ1227" s="885"/>
      <c r="EA1227" s="885"/>
      <c r="EB1227" s="885"/>
      <c r="EC1227" s="885"/>
      <c r="ED1227" s="885"/>
      <c r="EE1227" s="885"/>
      <c r="EF1227" s="885"/>
      <c r="EG1227" s="885"/>
      <c r="EH1227" s="885"/>
      <c r="EI1227" s="885"/>
      <c r="EJ1227" s="885"/>
      <c r="EK1227" s="885"/>
      <c r="EL1227" s="885"/>
      <c r="EM1227" s="885"/>
      <c r="EN1227" s="885"/>
      <c r="EO1227" s="885"/>
      <c r="EP1227" s="885"/>
      <c r="EQ1227" s="885"/>
      <c r="ER1227" s="885"/>
      <c r="ES1227" s="885"/>
      <c r="ET1227" s="885"/>
      <c r="EU1227" s="885"/>
      <c r="EV1227" s="885"/>
      <c r="EW1227" s="885"/>
      <c r="EX1227" s="885"/>
      <c r="EY1227" s="885"/>
      <c r="EZ1227" s="885"/>
      <c r="FA1227" s="885"/>
      <c r="FB1227" s="885"/>
      <c r="FC1227" s="885"/>
      <c r="FD1227" s="885"/>
      <c r="FE1227" s="885"/>
      <c r="FF1227" s="885"/>
      <c r="FG1227" s="885"/>
      <c r="FH1227" s="885"/>
      <c r="FI1227" s="885"/>
      <c r="FJ1227" s="885"/>
      <c r="FK1227" s="885"/>
      <c r="FL1227" s="885"/>
      <c r="FM1227" s="885"/>
      <c r="FN1227" s="885"/>
      <c r="FO1227" s="885"/>
      <c r="FP1227" s="885"/>
      <c r="FQ1227" s="885"/>
      <c r="FR1227" s="885"/>
      <c r="FS1227" s="885"/>
      <c r="FT1227" s="885"/>
      <c r="FU1227" s="885"/>
      <c r="FV1227" s="885"/>
      <c r="FW1227" s="885"/>
      <c r="FX1227" s="885"/>
      <c r="FY1227" s="885"/>
      <c r="FZ1227" s="885"/>
      <c r="GA1227" s="885"/>
      <c r="GB1227" s="885"/>
      <c r="GC1227" s="885"/>
      <c r="GD1227" s="885"/>
      <c r="GE1227" s="885"/>
      <c r="GF1227" s="885"/>
      <c r="GG1227" s="885"/>
      <c r="GH1227" s="885"/>
      <c r="GI1227" s="885"/>
      <c r="GJ1227" s="885"/>
      <c r="GK1227" s="885"/>
      <c r="GL1227" s="885"/>
      <c r="GM1227" s="885"/>
      <c r="GN1227" s="885"/>
      <c r="GO1227" s="885"/>
      <c r="GP1227" s="885"/>
      <c r="GQ1227" s="885"/>
      <c r="GR1227" s="885"/>
      <c r="GS1227" s="885"/>
      <c r="GT1227" s="885"/>
      <c r="GU1227" s="885"/>
      <c r="GV1227" s="885"/>
      <c r="GW1227" s="885"/>
      <c r="GX1227" s="885"/>
      <c r="GY1227" s="885"/>
      <c r="GZ1227" s="885"/>
      <c r="HA1227" s="885"/>
      <c r="HB1227" s="885"/>
      <c r="HC1227" s="885"/>
      <c r="HD1227" s="885"/>
      <c r="HE1227" s="885"/>
      <c r="HF1227" s="885"/>
      <c r="HG1227" s="885"/>
      <c r="HH1227" s="885"/>
      <c r="HI1227" s="885"/>
      <c r="HJ1227" s="885"/>
      <c r="HK1227" s="885"/>
      <c r="HL1227" s="885"/>
      <c r="HM1227" s="885"/>
      <c r="HN1227" s="885"/>
      <c r="HO1227" s="885"/>
      <c r="HP1227" s="885"/>
      <c r="HQ1227" s="885"/>
      <c r="HR1227" s="885"/>
      <c r="HS1227" s="885"/>
      <c r="HT1227" s="885"/>
      <c r="HU1227" s="885"/>
      <c r="HV1227" s="885"/>
      <c r="HW1227" s="885"/>
      <c r="HX1227" s="885"/>
      <c r="HY1227" s="885"/>
      <c r="HZ1227" s="885"/>
      <c r="IA1227" s="885"/>
      <c r="IB1227" s="885"/>
      <c r="IC1227" s="885"/>
      <c r="ID1227" s="885"/>
      <c r="IE1227" s="885"/>
      <c r="IF1227" s="885"/>
      <c r="IG1227" s="885"/>
      <c r="IH1227" s="885"/>
      <c r="II1227" s="885"/>
      <c r="IJ1227" s="885"/>
      <c r="IK1227" s="885"/>
      <c r="IL1227" s="885"/>
      <c r="IM1227" s="885"/>
      <c r="IN1227" s="885"/>
      <c r="IO1227" s="885"/>
      <c r="IP1227" s="885"/>
      <c r="IQ1227" s="885"/>
      <c r="IR1227" s="885"/>
      <c r="IS1227" s="885"/>
      <c r="IT1227" s="885"/>
      <c r="IU1227" s="885"/>
      <c r="IV1227" s="885"/>
      <c r="IW1227" s="885"/>
      <c r="IX1227" s="885"/>
    </row>
    <row r="1228" spans="1:258" x14ac:dyDescent="0.25">
      <c r="A1228" s="125">
        <f t="shared" si="132"/>
        <v>1188</v>
      </c>
      <c r="B1228" s="885"/>
      <c r="C1228" s="842" t="s">
        <v>10761</v>
      </c>
      <c r="D1228" s="924">
        <v>0</v>
      </c>
      <c r="E1228" s="924">
        <f t="shared" si="133"/>
        <v>0</v>
      </c>
      <c r="F1228" s="129">
        <v>500</v>
      </c>
      <c r="G1228" s="122" t="s">
        <v>1963</v>
      </c>
      <c r="H1228" s="885"/>
      <c r="I1228" s="885"/>
      <c r="J1228" s="885"/>
      <c r="K1228" s="885"/>
      <c r="L1228" s="885"/>
      <c r="M1228" s="885"/>
      <c r="N1228" s="885"/>
      <c r="O1228" s="885"/>
      <c r="P1228" s="885"/>
      <c r="Q1228" s="885"/>
      <c r="R1228" s="885"/>
      <c r="S1228" s="885"/>
      <c r="T1228" s="885"/>
      <c r="U1228" s="885"/>
      <c r="V1228" s="885"/>
      <c r="W1228" s="885"/>
      <c r="X1228" s="885"/>
      <c r="Y1228" s="885"/>
      <c r="Z1228" s="885"/>
      <c r="AA1228" s="885"/>
      <c r="AB1228" s="885"/>
      <c r="AC1228" s="885"/>
      <c r="AD1228" s="885"/>
      <c r="AE1228" s="885"/>
      <c r="AF1228" s="885"/>
      <c r="AG1228" s="885"/>
      <c r="AH1228" s="885"/>
      <c r="AI1228" s="885"/>
      <c r="AJ1228" s="885"/>
      <c r="AK1228" s="885"/>
      <c r="AL1228" s="885"/>
      <c r="AM1228" s="885"/>
      <c r="AN1228" s="885"/>
      <c r="AO1228" s="885"/>
      <c r="AP1228" s="885"/>
      <c r="AQ1228" s="885"/>
      <c r="AR1228" s="885"/>
      <c r="AS1228" s="885"/>
      <c r="AT1228" s="885"/>
      <c r="AU1228" s="885"/>
      <c r="AV1228" s="885"/>
      <c r="AW1228" s="885"/>
      <c r="AX1228" s="885"/>
      <c r="AY1228" s="885"/>
      <c r="AZ1228" s="885"/>
      <c r="BA1228" s="885"/>
      <c r="BB1228" s="885"/>
      <c r="BC1228" s="885"/>
      <c r="BD1228" s="885"/>
      <c r="BE1228" s="885"/>
      <c r="BF1228" s="885"/>
      <c r="BG1228" s="885"/>
      <c r="BH1228" s="885"/>
      <c r="BI1228" s="885"/>
      <c r="BJ1228" s="885"/>
      <c r="BK1228" s="885"/>
      <c r="BL1228" s="885"/>
      <c r="BM1228" s="885"/>
      <c r="BN1228" s="885"/>
      <c r="BO1228" s="885"/>
      <c r="BP1228" s="885"/>
      <c r="BQ1228" s="885"/>
      <c r="BR1228" s="885"/>
      <c r="BS1228" s="885"/>
      <c r="BT1228" s="885"/>
      <c r="BU1228" s="885"/>
      <c r="BV1228" s="885"/>
      <c r="BW1228" s="885"/>
      <c r="BX1228" s="885"/>
      <c r="BY1228" s="885"/>
      <c r="BZ1228" s="885"/>
      <c r="CA1228" s="885"/>
      <c r="CB1228" s="885"/>
      <c r="CC1228" s="885"/>
      <c r="CD1228" s="885"/>
      <c r="CE1228" s="885"/>
      <c r="CF1228" s="885"/>
      <c r="CG1228" s="885"/>
      <c r="CH1228" s="885"/>
      <c r="CI1228" s="885"/>
      <c r="CJ1228" s="885"/>
      <c r="CK1228" s="885"/>
      <c r="CL1228" s="885"/>
      <c r="CM1228" s="885"/>
      <c r="CN1228" s="885"/>
      <c r="CO1228" s="885"/>
      <c r="CP1228" s="885"/>
      <c r="CQ1228" s="885"/>
      <c r="CR1228" s="885"/>
      <c r="CS1228" s="885"/>
      <c r="CT1228" s="885"/>
      <c r="CU1228" s="885"/>
      <c r="CV1228" s="885"/>
      <c r="CW1228" s="885"/>
      <c r="CX1228" s="885"/>
      <c r="CY1228" s="885"/>
      <c r="CZ1228" s="885"/>
      <c r="DA1228" s="885"/>
      <c r="DB1228" s="885"/>
      <c r="DC1228" s="885"/>
      <c r="DD1228" s="885"/>
      <c r="DE1228" s="885"/>
      <c r="DF1228" s="885"/>
      <c r="DG1228" s="885"/>
      <c r="DH1228" s="885"/>
      <c r="DI1228" s="885"/>
      <c r="DJ1228" s="885"/>
      <c r="DK1228" s="885"/>
      <c r="DL1228" s="885"/>
      <c r="DM1228" s="885"/>
      <c r="DN1228" s="885"/>
      <c r="DO1228" s="885"/>
      <c r="DP1228" s="885"/>
      <c r="DQ1228" s="885"/>
      <c r="DR1228" s="885"/>
      <c r="DS1228" s="885"/>
      <c r="DT1228" s="885"/>
      <c r="DU1228" s="885"/>
      <c r="DV1228" s="885"/>
      <c r="DW1228" s="885"/>
      <c r="DX1228" s="885"/>
      <c r="DY1228" s="885"/>
      <c r="DZ1228" s="885"/>
      <c r="EA1228" s="885"/>
      <c r="EB1228" s="885"/>
      <c r="EC1228" s="885"/>
      <c r="ED1228" s="885"/>
      <c r="EE1228" s="885"/>
      <c r="EF1228" s="885"/>
      <c r="EG1228" s="885"/>
      <c r="EH1228" s="885"/>
      <c r="EI1228" s="885"/>
      <c r="EJ1228" s="885"/>
      <c r="EK1228" s="885"/>
      <c r="EL1228" s="885"/>
      <c r="EM1228" s="885"/>
      <c r="EN1228" s="885"/>
      <c r="EO1228" s="885"/>
      <c r="EP1228" s="885"/>
      <c r="EQ1228" s="885"/>
      <c r="ER1228" s="885"/>
      <c r="ES1228" s="885"/>
      <c r="ET1228" s="885"/>
      <c r="EU1228" s="885"/>
      <c r="EV1228" s="885"/>
      <c r="EW1228" s="885"/>
      <c r="EX1228" s="885"/>
      <c r="EY1228" s="885"/>
      <c r="EZ1228" s="885"/>
      <c r="FA1228" s="885"/>
      <c r="FB1228" s="885"/>
      <c r="FC1228" s="885"/>
      <c r="FD1228" s="885"/>
      <c r="FE1228" s="885"/>
      <c r="FF1228" s="885"/>
      <c r="FG1228" s="885"/>
      <c r="FH1228" s="885"/>
      <c r="FI1228" s="885"/>
      <c r="FJ1228" s="885"/>
      <c r="FK1228" s="885"/>
      <c r="FL1228" s="885"/>
      <c r="FM1228" s="885"/>
      <c r="FN1228" s="885"/>
      <c r="FO1228" s="885"/>
      <c r="FP1228" s="885"/>
      <c r="FQ1228" s="885"/>
      <c r="FR1228" s="885"/>
      <c r="FS1228" s="885"/>
      <c r="FT1228" s="885"/>
      <c r="FU1228" s="885"/>
      <c r="FV1228" s="885"/>
      <c r="FW1228" s="885"/>
      <c r="FX1228" s="885"/>
      <c r="FY1228" s="885"/>
      <c r="FZ1228" s="885"/>
      <c r="GA1228" s="885"/>
      <c r="GB1228" s="885"/>
      <c r="GC1228" s="885"/>
      <c r="GD1228" s="885"/>
      <c r="GE1228" s="885"/>
      <c r="GF1228" s="885"/>
      <c r="GG1228" s="885"/>
      <c r="GH1228" s="885"/>
      <c r="GI1228" s="885"/>
      <c r="GJ1228" s="885"/>
      <c r="GK1228" s="885"/>
      <c r="GL1228" s="885"/>
      <c r="GM1228" s="885"/>
      <c r="GN1228" s="885"/>
      <c r="GO1228" s="885"/>
      <c r="GP1228" s="885"/>
      <c r="GQ1228" s="885"/>
      <c r="GR1228" s="885"/>
      <c r="GS1228" s="885"/>
      <c r="GT1228" s="885"/>
      <c r="GU1228" s="885"/>
      <c r="GV1228" s="885"/>
      <c r="GW1228" s="885"/>
      <c r="GX1228" s="885"/>
      <c r="GY1228" s="885"/>
      <c r="GZ1228" s="885"/>
      <c r="HA1228" s="885"/>
      <c r="HB1228" s="885"/>
      <c r="HC1228" s="885"/>
      <c r="HD1228" s="885"/>
      <c r="HE1228" s="885"/>
      <c r="HF1228" s="885"/>
      <c r="HG1228" s="885"/>
      <c r="HH1228" s="885"/>
      <c r="HI1228" s="885"/>
      <c r="HJ1228" s="885"/>
      <c r="HK1228" s="885"/>
      <c r="HL1228" s="885"/>
      <c r="HM1228" s="885"/>
      <c r="HN1228" s="885"/>
      <c r="HO1228" s="885"/>
      <c r="HP1228" s="885"/>
      <c r="HQ1228" s="885"/>
      <c r="HR1228" s="885"/>
      <c r="HS1228" s="885"/>
      <c r="HT1228" s="885"/>
      <c r="HU1228" s="885"/>
      <c r="HV1228" s="885"/>
      <c r="HW1228" s="885"/>
      <c r="HX1228" s="885"/>
      <c r="HY1228" s="885"/>
      <c r="HZ1228" s="885"/>
      <c r="IA1228" s="885"/>
      <c r="IB1228" s="885"/>
      <c r="IC1228" s="885"/>
      <c r="ID1228" s="885"/>
      <c r="IE1228" s="885"/>
      <c r="IF1228" s="885"/>
      <c r="IG1228" s="885"/>
      <c r="IH1228" s="885"/>
      <c r="II1228" s="885"/>
      <c r="IJ1228" s="885"/>
      <c r="IK1228" s="885"/>
      <c r="IL1228" s="885"/>
      <c r="IM1228" s="885"/>
      <c r="IN1228" s="885"/>
      <c r="IO1228" s="885"/>
      <c r="IP1228" s="885"/>
      <c r="IQ1228" s="885"/>
      <c r="IR1228" s="885"/>
      <c r="IS1228" s="885"/>
      <c r="IT1228" s="885"/>
      <c r="IU1228" s="885"/>
      <c r="IV1228" s="885"/>
      <c r="IW1228" s="885"/>
      <c r="IX1228" s="885"/>
    </row>
    <row r="1229" spans="1:258" x14ac:dyDescent="0.25">
      <c r="A1229" s="125">
        <f t="shared" si="132"/>
        <v>1189</v>
      </c>
      <c r="B1229" s="885"/>
      <c r="C1229" s="842" t="s">
        <v>10762</v>
      </c>
      <c r="D1229" s="924">
        <v>2000</v>
      </c>
      <c r="E1229" s="924">
        <v>2000</v>
      </c>
      <c r="F1229" s="129">
        <f>E1229</f>
        <v>2000</v>
      </c>
      <c r="G1229" s="122" t="s">
        <v>1963</v>
      </c>
      <c r="H1229" s="885"/>
      <c r="I1229" s="885"/>
      <c r="J1229" s="885"/>
      <c r="K1229" s="885"/>
      <c r="L1229" s="885"/>
      <c r="M1229" s="885"/>
      <c r="N1229" s="885"/>
      <c r="O1229" s="885"/>
      <c r="P1229" s="885"/>
      <c r="Q1229" s="885"/>
      <c r="R1229" s="885"/>
      <c r="S1229" s="885"/>
      <c r="T1229" s="885"/>
      <c r="U1229" s="885"/>
      <c r="V1229" s="885"/>
      <c r="W1229" s="885"/>
      <c r="X1229" s="885"/>
      <c r="Y1229" s="885"/>
      <c r="Z1229" s="885"/>
      <c r="AA1229" s="885"/>
      <c r="AB1229" s="885"/>
      <c r="AC1229" s="885"/>
      <c r="AD1229" s="885"/>
      <c r="AE1229" s="885"/>
      <c r="AF1229" s="885"/>
      <c r="AG1229" s="885"/>
      <c r="AH1229" s="885"/>
      <c r="AI1229" s="885"/>
      <c r="AJ1229" s="885"/>
      <c r="AK1229" s="885"/>
      <c r="AL1229" s="885"/>
      <c r="AM1229" s="885"/>
      <c r="AN1229" s="885"/>
      <c r="AO1229" s="885"/>
      <c r="AP1229" s="885"/>
      <c r="AQ1229" s="885"/>
      <c r="AR1229" s="885"/>
      <c r="AS1229" s="885"/>
      <c r="AT1229" s="885"/>
      <c r="AU1229" s="885"/>
      <c r="AV1229" s="885"/>
      <c r="AW1229" s="885"/>
      <c r="AX1229" s="885"/>
      <c r="AY1229" s="885"/>
      <c r="AZ1229" s="885"/>
      <c r="BA1229" s="885"/>
      <c r="BB1229" s="885"/>
      <c r="BC1229" s="885"/>
      <c r="BD1229" s="885"/>
      <c r="BE1229" s="885"/>
      <c r="BF1229" s="885"/>
      <c r="BG1229" s="885"/>
      <c r="BH1229" s="885"/>
      <c r="BI1229" s="885"/>
      <c r="BJ1229" s="885"/>
      <c r="BK1229" s="885"/>
      <c r="BL1229" s="885"/>
      <c r="BM1229" s="885"/>
      <c r="BN1229" s="885"/>
      <c r="BO1229" s="885"/>
      <c r="BP1229" s="885"/>
      <c r="BQ1229" s="885"/>
      <c r="BR1229" s="885"/>
      <c r="BS1229" s="885"/>
      <c r="BT1229" s="885"/>
      <c r="BU1229" s="885"/>
      <c r="BV1229" s="885"/>
      <c r="BW1229" s="885"/>
      <c r="BX1229" s="885"/>
      <c r="BY1229" s="885"/>
      <c r="BZ1229" s="885"/>
      <c r="CA1229" s="885"/>
      <c r="CB1229" s="885"/>
      <c r="CC1229" s="885"/>
      <c r="CD1229" s="885"/>
      <c r="CE1229" s="885"/>
      <c r="CF1229" s="885"/>
      <c r="CG1229" s="885"/>
      <c r="CH1229" s="885"/>
      <c r="CI1229" s="885"/>
      <c r="CJ1229" s="885"/>
      <c r="CK1229" s="885"/>
      <c r="CL1229" s="885"/>
      <c r="CM1229" s="885"/>
      <c r="CN1229" s="885"/>
      <c r="CO1229" s="885"/>
      <c r="CP1229" s="885"/>
      <c r="CQ1229" s="885"/>
      <c r="CR1229" s="885"/>
      <c r="CS1229" s="885"/>
      <c r="CT1229" s="885"/>
      <c r="CU1229" s="885"/>
      <c r="CV1229" s="885"/>
      <c r="CW1229" s="885"/>
      <c r="CX1229" s="885"/>
      <c r="CY1229" s="885"/>
      <c r="CZ1229" s="885"/>
      <c r="DA1229" s="885"/>
      <c r="DB1229" s="885"/>
      <c r="DC1229" s="885"/>
      <c r="DD1229" s="885"/>
      <c r="DE1229" s="885"/>
      <c r="DF1229" s="885"/>
      <c r="DG1229" s="885"/>
      <c r="DH1229" s="885"/>
      <c r="DI1229" s="885"/>
      <c r="DJ1229" s="885"/>
      <c r="DK1229" s="885"/>
      <c r="DL1229" s="885"/>
      <c r="DM1229" s="885"/>
      <c r="DN1229" s="885"/>
      <c r="DO1229" s="885"/>
      <c r="DP1229" s="885"/>
      <c r="DQ1229" s="885"/>
      <c r="DR1229" s="885"/>
      <c r="DS1229" s="885"/>
      <c r="DT1229" s="885"/>
      <c r="DU1229" s="885"/>
      <c r="DV1229" s="885"/>
      <c r="DW1229" s="885"/>
      <c r="DX1229" s="885"/>
      <c r="DY1229" s="885"/>
      <c r="DZ1229" s="885"/>
      <c r="EA1229" s="885"/>
      <c r="EB1229" s="885"/>
      <c r="EC1229" s="885"/>
      <c r="ED1229" s="885"/>
      <c r="EE1229" s="885"/>
      <c r="EF1229" s="885"/>
      <c r="EG1229" s="885"/>
      <c r="EH1229" s="885"/>
      <c r="EI1229" s="885"/>
      <c r="EJ1229" s="885"/>
      <c r="EK1229" s="885"/>
      <c r="EL1229" s="885"/>
      <c r="EM1229" s="885"/>
      <c r="EN1229" s="885"/>
      <c r="EO1229" s="885"/>
      <c r="EP1229" s="885"/>
      <c r="EQ1229" s="885"/>
      <c r="ER1229" s="885"/>
      <c r="ES1229" s="885"/>
      <c r="ET1229" s="885"/>
      <c r="EU1229" s="885"/>
      <c r="EV1229" s="885"/>
      <c r="EW1229" s="885"/>
      <c r="EX1229" s="885"/>
      <c r="EY1229" s="885"/>
      <c r="EZ1229" s="885"/>
      <c r="FA1229" s="885"/>
      <c r="FB1229" s="885"/>
      <c r="FC1229" s="885"/>
      <c r="FD1229" s="885"/>
      <c r="FE1229" s="885"/>
      <c r="FF1229" s="885"/>
      <c r="FG1229" s="885"/>
      <c r="FH1229" s="885"/>
      <c r="FI1229" s="885"/>
      <c r="FJ1229" s="885"/>
      <c r="FK1229" s="885"/>
      <c r="FL1229" s="885"/>
      <c r="FM1229" s="885"/>
      <c r="FN1229" s="885"/>
      <c r="FO1229" s="885"/>
      <c r="FP1229" s="885"/>
      <c r="FQ1229" s="885"/>
      <c r="FR1229" s="885"/>
      <c r="FS1229" s="885"/>
      <c r="FT1229" s="885"/>
      <c r="FU1229" s="885"/>
      <c r="FV1229" s="885"/>
      <c r="FW1229" s="885"/>
      <c r="FX1229" s="885"/>
      <c r="FY1229" s="885"/>
      <c r="FZ1229" s="885"/>
      <c r="GA1229" s="885"/>
      <c r="GB1229" s="885"/>
      <c r="GC1229" s="885"/>
      <c r="GD1229" s="885"/>
      <c r="GE1229" s="885"/>
      <c r="GF1229" s="885"/>
      <c r="GG1229" s="885"/>
      <c r="GH1229" s="885"/>
      <c r="GI1229" s="885"/>
      <c r="GJ1229" s="885"/>
      <c r="GK1229" s="885"/>
      <c r="GL1229" s="885"/>
      <c r="GM1229" s="885"/>
      <c r="GN1229" s="885"/>
      <c r="GO1229" s="885"/>
      <c r="GP1229" s="885"/>
      <c r="GQ1229" s="885"/>
      <c r="GR1229" s="885"/>
      <c r="GS1229" s="885"/>
      <c r="GT1229" s="885"/>
      <c r="GU1229" s="885"/>
      <c r="GV1229" s="885"/>
      <c r="GW1229" s="885"/>
      <c r="GX1229" s="885"/>
      <c r="GY1229" s="885"/>
      <c r="GZ1229" s="885"/>
      <c r="HA1229" s="885"/>
      <c r="HB1229" s="885"/>
      <c r="HC1229" s="885"/>
      <c r="HD1229" s="885"/>
      <c r="HE1229" s="885"/>
      <c r="HF1229" s="885"/>
      <c r="HG1229" s="885"/>
      <c r="HH1229" s="885"/>
      <c r="HI1229" s="885"/>
      <c r="HJ1229" s="885"/>
      <c r="HK1229" s="885"/>
      <c r="HL1229" s="885"/>
      <c r="HM1229" s="885"/>
      <c r="HN1229" s="885"/>
      <c r="HO1229" s="885"/>
      <c r="HP1229" s="885"/>
      <c r="HQ1229" s="885"/>
      <c r="HR1229" s="885"/>
      <c r="HS1229" s="885"/>
      <c r="HT1229" s="885"/>
      <c r="HU1229" s="885"/>
      <c r="HV1229" s="885"/>
      <c r="HW1229" s="885"/>
      <c r="HX1229" s="885"/>
      <c r="HY1229" s="885"/>
      <c r="HZ1229" s="885"/>
      <c r="IA1229" s="885"/>
      <c r="IB1229" s="885"/>
      <c r="IC1229" s="885"/>
      <c r="ID1229" s="885"/>
      <c r="IE1229" s="885"/>
      <c r="IF1229" s="885"/>
      <c r="IG1229" s="885"/>
      <c r="IH1229" s="885"/>
      <c r="II1229" s="885"/>
      <c r="IJ1229" s="885"/>
      <c r="IK1229" s="885"/>
      <c r="IL1229" s="885"/>
      <c r="IM1229" s="885"/>
      <c r="IN1229" s="885"/>
      <c r="IO1229" s="885"/>
      <c r="IP1229" s="885"/>
      <c r="IQ1229" s="885"/>
      <c r="IR1229" s="885"/>
      <c r="IS1229" s="885"/>
      <c r="IT1229" s="885"/>
      <c r="IU1229" s="885"/>
      <c r="IV1229" s="885"/>
      <c r="IW1229" s="885"/>
      <c r="IX1229" s="885"/>
    </row>
    <row r="1230" spans="1:258" x14ac:dyDescent="0.25">
      <c r="A1230" s="125">
        <f t="shared" si="132"/>
        <v>1190</v>
      </c>
      <c r="B1230" s="885"/>
      <c r="C1230" s="842" t="s">
        <v>10763</v>
      </c>
      <c r="D1230" s="924">
        <v>0</v>
      </c>
      <c r="E1230" s="924">
        <f t="shared" si="133"/>
        <v>0</v>
      </c>
      <c r="F1230" s="129">
        <f>F1228*F83</f>
        <v>100</v>
      </c>
      <c r="G1230" s="122" t="s">
        <v>1963</v>
      </c>
      <c r="H1230" s="885"/>
      <c r="I1230" s="885"/>
      <c r="J1230" s="885"/>
      <c r="K1230" s="885"/>
      <c r="L1230" s="885"/>
      <c r="M1230" s="885"/>
      <c r="N1230" s="885"/>
      <c r="O1230" s="885"/>
      <c r="P1230" s="885"/>
      <c r="Q1230" s="885"/>
      <c r="R1230" s="885"/>
      <c r="S1230" s="885"/>
      <c r="T1230" s="885"/>
      <c r="U1230" s="885"/>
      <c r="V1230" s="885"/>
      <c r="W1230" s="885"/>
      <c r="X1230" s="885"/>
      <c r="Y1230" s="885"/>
      <c r="Z1230" s="885"/>
      <c r="AA1230" s="885"/>
      <c r="AB1230" s="885"/>
      <c r="AC1230" s="885"/>
      <c r="AD1230" s="885"/>
      <c r="AE1230" s="885"/>
      <c r="AF1230" s="885"/>
      <c r="AG1230" s="885"/>
      <c r="AH1230" s="885"/>
      <c r="AI1230" s="885"/>
      <c r="AJ1230" s="885"/>
      <c r="AK1230" s="885"/>
      <c r="AL1230" s="885"/>
      <c r="AM1230" s="885"/>
      <c r="AN1230" s="885"/>
      <c r="AO1230" s="885"/>
      <c r="AP1230" s="885"/>
      <c r="AQ1230" s="885"/>
      <c r="AR1230" s="885"/>
      <c r="AS1230" s="885"/>
      <c r="AT1230" s="885"/>
      <c r="AU1230" s="885"/>
      <c r="AV1230" s="885"/>
      <c r="AW1230" s="885"/>
      <c r="AX1230" s="885"/>
      <c r="AY1230" s="885"/>
      <c r="AZ1230" s="885"/>
      <c r="BA1230" s="885"/>
      <c r="BB1230" s="885"/>
      <c r="BC1230" s="885"/>
      <c r="BD1230" s="885"/>
      <c r="BE1230" s="885"/>
      <c r="BF1230" s="885"/>
      <c r="BG1230" s="885"/>
      <c r="BH1230" s="885"/>
      <c r="BI1230" s="885"/>
      <c r="BJ1230" s="885"/>
      <c r="BK1230" s="885"/>
      <c r="BL1230" s="885"/>
      <c r="BM1230" s="885"/>
      <c r="BN1230" s="885"/>
      <c r="BO1230" s="885"/>
      <c r="BP1230" s="885"/>
      <c r="BQ1230" s="885"/>
      <c r="BR1230" s="885"/>
      <c r="BS1230" s="885"/>
      <c r="BT1230" s="885"/>
      <c r="BU1230" s="885"/>
      <c r="BV1230" s="885"/>
      <c r="BW1230" s="885"/>
      <c r="BX1230" s="885"/>
      <c r="BY1230" s="885"/>
      <c r="BZ1230" s="885"/>
      <c r="CA1230" s="885"/>
      <c r="CB1230" s="885"/>
      <c r="CC1230" s="885"/>
      <c r="CD1230" s="885"/>
      <c r="CE1230" s="885"/>
      <c r="CF1230" s="885"/>
      <c r="CG1230" s="885"/>
      <c r="CH1230" s="885"/>
      <c r="CI1230" s="885"/>
      <c r="CJ1230" s="885"/>
      <c r="CK1230" s="885"/>
      <c r="CL1230" s="885"/>
      <c r="CM1230" s="885"/>
      <c r="CN1230" s="885"/>
      <c r="CO1230" s="885"/>
      <c r="CP1230" s="885"/>
      <c r="CQ1230" s="885"/>
      <c r="CR1230" s="885"/>
      <c r="CS1230" s="885"/>
      <c r="CT1230" s="885"/>
      <c r="CU1230" s="885"/>
      <c r="CV1230" s="885"/>
      <c r="CW1230" s="885"/>
      <c r="CX1230" s="885"/>
      <c r="CY1230" s="885"/>
      <c r="CZ1230" s="885"/>
      <c r="DA1230" s="885"/>
      <c r="DB1230" s="885"/>
      <c r="DC1230" s="885"/>
      <c r="DD1230" s="885"/>
      <c r="DE1230" s="885"/>
      <c r="DF1230" s="885"/>
      <c r="DG1230" s="885"/>
      <c r="DH1230" s="885"/>
      <c r="DI1230" s="885"/>
      <c r="DJ1230" s="885"/>
      <c r="DK1230" s="885"/>
      <c r="DL1230" s="885"/>
      <c r="DM1230" s="885"/>
      <c r="DN1230" s="885"/>
      <c r="DO1230" s="885"/>
      <c r="DP1230" s="885"/>
      <c r="DQ1230" s="885"/>
      <c r="DR1230" s="885"/>
      <c r="DS1230" s="885"/>
      <c r="DT1230" s="885"/>
      <c r="DU1230" s="885"/>
      <c r="DV1230" s="885"/>
      <c r="DW1230" s="885"/>
      <c r="DX1230" s="885"/>
      <c r="DY1230" s="885"/>
      <c r="DZ1230" s="885"/>
      <c r="EA1230" s="885"/>
      <c r="EB1230" s="885"/>
      <c r="EC1230" s="885"/>
      <c r="ED1230" s="885"/>
      <c r="EE1230" s="885"/>
      <c r="EF1230" s="885"/>
      <c r="EG1230" s="885"/>
      <c r="EH1230" s="885"/>
      <c r="EI1230" s="885"/>
      <c r="EJ1230" s="885"/>
      <c r="EK1230" s="885"/>
      <c r="EL1230" s="885"/>
      <c r="EM1230" s="885"/>
      <c r="EN1230" s="885"/>
      <c r="EO1230" s="885"/>
      <c r="EP1230" s="885"/>
      <c r="EQ1230" s="885"/>
      <c r="ER1230" s="885"/>
      <c r="ES1230" s="885"/>
      <c r="ET1230" s="885"/>
      <c r="EU1230" s="885"/>
      <c r="EV1230" s="885"/>
      <c r="EW1230" s="885"/>
      <c r="EX1230" s="885"/>
      <c r="EY1230" s="885"/>
      <c r="EZ1230" s="885"/>
      <c r="FA1230" s="885"/>
      <c r="FB1230" s="885"/>
      <c r="FC1230" s="885"/>
      <c r="FD1230" s="885"/>
      <c r="FE1230" s="885"/>
      <c r="FF1230" s="885"/>
      <c r="FG1230" s="885"/>
      <c r="FH1230" s="885"/>
      <c r="FI1230" s="885"/>
      <c r="FJ1230" s="885"/>
      <c r="FK1230" s="885"/>
      <c r="FL1230" s="885"/>
      <c r="FM1230" s="885"/>
      <c r="FN1230" s="885"/>
      <c r="FO1230" s="885"/>
      <c r="FP1230" s="885"/>
      <c r="FQ1230" s="885"/>
      <c r="FR1230" s="885"/>
      <c r="FS1230" s="885"/>
      <c r="FT1230" s="885"/>
      <c r="FU1230" s="885"/>
      <c r="FV1230" s="885"/>
      <c r="FW1230" s="885"/>
      <c r="FX1230" s="885"/>
      <c r="FY1230" s="885"/>
      <c r="FZ1230" s="885"/>
      <c r="GA1230" s="885"/>
      <c r="GB1230" s="885"/>
      <c r="GC1230" s="885"/>
      <c r="GD1230" s="885"/>
      <c r="GE1230" s="885"/>
      <c r="GF1230" s="885"/>
      <c r="GG1230" s="885"/>
      <c r="GH1230" s="885"/>
      <c r="GI1230" s="885"/>
      <c r="GJ1230" s="885"/>
      <c r="GK1230" s="885"/>
      <c r="GL1230" s="885"/>
      <c r="GM1230" s="885"/>
      <c r="GN1230" s="885"/>
      <c r="GO1230" s="885"/>
      <c r="GP1230" s="885"/>
      <c r="GQ1230" s="885"/>
      <c r="GR1230" s="885"/>
      <c r="GS1230" s="885"/>
      <c r="GT1230" s="885"/>
      <c r="GU1230" s="885"/>
      <c r="GV1230" s="885"/>
      <c r="GW1230" s="885"/>
      <c r="GX1230" s="885"/>
      <c r="GY1230" s="885"/>
      <c r="GZ1230" s="885"/>
      <c r="HA1230" s="885"/>
      <c r="HB1230" s="885"/>
      <c r="HC1230" s="885"/>
      <c r="HD1230" s="885"/>
      <c r="HE1230" s="885"/>
      <c r="HF1230" s="885"/>
      <c r="HG1230" s="885"/>
      <c r="HH1230" s="885"/>
      <c r="HI1230" s="885"/>
      <c r="HJ1230" s="885"/>
      <c r="HK1230" s="885"/>
      <c r="HL1230" s="885"/>
      <c r="HM1230" s="885"/>
      <c r="HN1230" s="885"/>
      <c r="HO1230" s="885"/>
      <c r="HP1230" s="885"/>
      <c r="HQ1230" s="885"/>
      <c r="HR1230" s="885"/>
      <c r="HS1230" s="885"/>
      <c r="HT1230" s="885"/>
      <c r="HU1230" s="885"/>
      <c r="HV1230" s="885"/>
      <c r="HW1230" s="885"/>
      <c r="HX1230" s="885"/>
      <c r="HY1230" s="885"/>
      <c r="HZ1230" s="885"/>
      <c r="IA1230" s="885"/>
      <c r="IB1230" s="885"/>
      <c r="IC1230" s="885"/>
      <c r="ID1230" s="885"/>
      <c r="IE1230" s="885"/>
      <c r="IF1230" s="885"/>
      <c r="IG1230" s="885"/>
      <c r="IH1230" s="885"/>
      <c r="II1230" s="885"/>
      <c r="IJ1230" s="885"/>
      <c r="IK1230" s="885"/>
      <c r="IL1230" s="885"/>
      <c r="IM1230" s="885"/>
      <c r="IN1230" s="885"/>
      <c r="IO1230" s="885"/>
      <c r="IP1230" s="885"/>
      <c r="IQ1230" s="885"/>
      <c r="IR1230" s="885"/>
      <c r="IS1230" s="885"/>
      <c r="IT1230" s="885"/>
      <c r="IU1230" s="885"/>
      <c r="IV1230" s="885"/>
      <c r="IW1230" s="885"/>
      <c r="IX1230" s="885"/>
    </row>
    <row r="1231" spans="1:258" x14ac:dyDescent="0.25">
      <c r="A1231" s="125">
        <f t="shared" si="132"/>
        <v>1191</v>
      </c>
      <c r="B1231" s="885"/>
      <c r="C1231" s="842" t="s">
        <v>10764</v>
      </c>
      <c r="D1231" s="924">
        <v>0</v>
      </c>
      <c r="E1231" s="924">
        <f t="shared" si="133"/>
        <v>0</v>
      </c>
      <c r="F1231" s="129">
        <v>500</v>
      </c>
      <c r="G1231" s="122" t="s">
        <v>1963</v>
      </c>
      <c r="H1231" s="885"/>
      <c r="I1231" s="885"/>
      <c r="J1231" s="885"/>
      <c r="K1231" s="885"/>
      <c r="L1231" s="885"/>
      <c r="M1231" s="885"/>
      <c r="N1231" s="885"/>
      <c r="O1231" s="885"/>
      <c r="P1231" s="885"/>
      <c r="Q1231" s="885"/>
      <c r="R1231" s="885"/>
      <c r="S1231" s="885"/>
      <c r="T1231" s="885"/>
      <c r="U1231" s="885"/>
      <c r="V1231" s="885"/>
      <c r="W1231" s="885"/>
      <c r="X1231" s="885"/>
      <c r="Y1231" s="885"/>
      <c r="Z1231" s="885"/>
      <c r="AA1231" s="885"/>
      <c r="AB1231" s="885"/>
      <c r="AC1231" s="885"/>
      <c r="AD1231" s="885"/>
      <c r="AE1231" s="885"/>
      <c r="AF1231" s="885"/>
      <c r="AG1231" s="885"/>
      <c r="AH1231" s="885"/>
      <c r="AI1231" s="885"/>
      <c r="AJ1231" s="885"/>
      <c r="AK1231" s="885"/>
      <c r="AL1231" s="885"/>
      <c r="AM1231" s="885"/>
      <c r="AN1231" s="885"/>
      <c r="AO1231" s="885"/>
      <c r="AP1231" s="885"/>
      <c r="AQ1231" s="885"/>
      <c r="AR1231" s="885"/>
      <c r="AS1231" s="885"/>
      <c r="AT1231" s="885"/>
      <c r="AU1231" s="885"/>
      <c r="AV1231" s="885"/>
      <c r="AW1231" s="885"/>
      <c r="AX1231" s="885"/>
      <c r="AY1231" s="885"/>
      <c r="AZ1231" s="885"/>
      <c r="BA1231" s="885"/>
      <c r="BB1231" s="885"/>
      <c r="BC1231" s="885"/>
      <c r="BD1231" s="885"/>
      <c r="BE1231" s="885"/>
      <c r="BF1231" s="885"/>
      <c r="BG1231" s="885"/>
      <c r="BH1231" s="885"/>
      <c r="BI1231" s="885"/>
      <c r="BJ1231" s="885"/>
      <c r="BK1231" s="885"/>
      <c r="BL1231" s="885"/>
      <c r="BM1231" s="885"/>
      <c r="BN1231" s="885"/>
      <c r="BO1231" s="885"/>
      <c r="BP1231" s="885"/>
      <c r="BQ1231" s="885"/>
      <c r="BR1231" s="885"/>
      <c r="BS1231" s="885"/>
      <c r="BT1231" s="885"/>
      <c r="BU1231" s="885"/>
      <c r="BV1231" s="885"/>
      <c r="BW1231" s="885"/>
      <c r="BX1231" s="885"/>
      <c r="BY1231" s="885"/>
      <c r="BZ1231" s="885"/>
      <c r="CA1231" s="885"/>
      <c r="CB1231" s="885"/>
      <c r="CC1231" s="885"/>
      <c r="CD1231" s="885"/>
      <c r="CE1231" s="885"/>
      <c r="CF1231" s="885"/>
      <c r="CG1231" s="885"/>
      <c r="CH1231" s="885"/>
      <c r="CI1231" s="885"/>
      <c r="CJ1231" s="885"/>
      <c r="CK1231" s="885"/>
      <c r="CL1231" s="885"/>
      <c r="CM1231" s="885"/>
      <c r="CN1231" s="885"/>
      <c r="CO1231" s="885"/>
      <c r="CP1231" s="885"/>
      <c r="CQ1231" s="885"/>
      <c r="CR1231" s="885"/>
      <c r="CS1231" s="885"/>
      <c r="CT1231" s="885"/>
      <c r="CU1231" s="885"/>
      <c r="CV1231" s="885"/>
      <c r="CW1231" s="885"/>
      <c r="CX1231" s="885"/>
      <c r="CY1231" s="885"/>
      <c r="CZ1231" s="885"/>
      <c r="DA1231" s="885"/>
      <c r="DB1231" s="885"/>
      <c r="DC1231" s="885"/>
      <c r="DD1231" s="885"/>
      <c r="DE1231" s="885"/>
      <c r="DF1231" s="885"/>
      <c r="DG1231" s="885"/>
      <c r="DH1231" s="885"/>
      <c r="DI1231" s="885"/>
      <c r="DJ1231" s="885"/>
      <c r="DK1231" s="885"/>
      <c r="DL1231" s="885"/>
      <c r="DM1231" s="885"/>
      <c r="DN1231" s="885"/>
      <c r="DO1231" s="885"/>
      <c r="DP1231" s="885"/>
      <c r="DQ1231" s="885"/>
      <c r="DR1231" s="885"/>
      <c r="DS1231" s="885"/>
      <c r="DT1231" s="885"/>
      <c r="DU1231" s="885"/>
      <c r="DV1231" s="885"/>
      <c r="DW1231" s="885"/>
      <c r="DX1231" s="885"/>
      <c r="DY1231" s="885"/>
      <c r="DZ1231" s="885"/>
      <c r="EA1231" s="885"/>
      <c r="EB1231" s="885"/>
      <c r="EC1231" s="885"/>
      <c r="ED1231" s="885"/>
      <c r="EE1231" s="885"/>
      <c r="EF1231" s="885"/>
      <c r="EG1231" s="885"/>
      <c r="EH1231" s="885"/>
      <c r="EI1231" s="885"/>
      <c r="EJ1231" s="885"/>
      <c r="EK1231" s="885"/>
      <c r="EL1231" s="885"/>
      <c r="EM1231" s="885"/>
      <c r="EN1231" s="885"/>
      <c r="EO1231" s="885"/>
      <c r="EP1231" s="885"/>
      <c r="EQ1231" s="885"/>
      <c r="ER1231" s="885"/>
      <c r="ES1231" s="885"/>
      <c r="ET1231" s="885"/>
      <c r="EU1231" s="885"/>
      <c r="EV1231" s="885"/>
      <c r="EW1231" s="885"/>
      <c r="EX1231" s="885"/>
      <c r="EY1231" s="885"/>
      <c r="EZ1231" s="885"/>
      <c r="FA1231" s="885"/>
      <c r="FB1231" s="885"/>
      <c r="FC1231" s="885"/>
      <c r="FD1231" s="885"/>
      <c r="FE1231" s="885"/>
      <c r="FF1231" s="885"/>
      <c r="FG1231" s="885"/>
      <c r="FH1231" s="885"/>
      <c r="FI1231" s="885"/>
      <c r="FJ1231" s="885"/>
      <c r="FK1231" s="885"/>
      <c r="FL1231" s="885"/>
      <c r="FM1231" s="885"/>
      <c r="FN1231" s="885"/>
      <c r="FO1231" s="885"/>
      <c r="FP1231" s="885"/>
      <c r="FQ1231" s="885"/>
      <c r="FR1231" s="885"/>
      <c r="FS1231" s="885"/>
      <c r="FT1231" s="885"/>
      <c r="FU1231" s="885"/>
      <c r="FV1231" s="885"/>
      <c r="FW1231" s="885"/>
      <c r="FX1231" s="885"/>
      <c r="FY1231" s="885"/>
      <c r="FZ1231" s="885"/>
      <c r="GA1231" s="885"/>
      <c r="GB1231" s="885"/>
      <c r="GC1231" s="885"/>
      <c r="GD1231" s="885"/>
      <c r="GE1231" s="885"/>
      <c r="GF1231" s="885"/>
      <c r="GG1231" s="885"/>
      <c r="GH1231" s="885"/>
      <c r="GI1231" s="885"/>
      <c r="GJ1231" s="885"/>
      <c r="GK1231" s="885"/>
      <c r="GL1231" s="885"/>
      <c r="GM1231" s="885"/>
      <c r="GN1231" s="885"/>
      <c r="GO1231" s="885"/>
      <c r="GP1231" s="885"/>
      <c r="GQ1231" s="885"/>
      <c r="GR1231" s="885"/>
      <c r="GS1231" s="885"/>
      <c r="GT1231" s="885"/>
      <c r="GU1231" s="885"/>
      <c r="GV1231" s="885"/>
      <c r="GW1231" s="885"/>
      <c r="GX1231" s="885"/>
      <c r="GY1231" s="885"/>
      <c r="GZ1231" s="885"/>
      <c r="HA1231" s="885"/>
      <c r="HB1231" s="885"/>
      <c r="HC1231" s="885"/>
      <c r="HD1231" s="885"/>
      <c r="HE1231" s="885"/>
      <c r="HF1231" s="885"/>
      <c r="HG1231" s="885"/>
      <c r="HH1231" s="885"/>
      <c r="HI1231" s="885"/>
      <c r="HJ1231" s="885"/>
      <c r="HK1231" s="885"/>
      <c r="HL1231" s="885"/>
      <c r="HM1231" s="885"/>
      <c r="HN1231" s="885"/>
      <c r="HO1231" s="885"/>
      <c r="HP1231" s="885"/>
      <c r="HQ1231" s="885"/>
      <c r="HR1231" s="885"/>
      <c r="HS1231" s="885"/>
      <c r="HT1231" s="885"/>
      <c r="HU1231" s="885"/>
      <c r="HV1231" s="885"/>
      <c r="HW1231" s="885"/>
      <c r="HX1231" s="885"/>
      <c r="HY1231" s="885"/>
      <c r="HZ1231" s="885"/>
      <c r="IA1231" s="885"/>
      <c r="IB1231" s="885"/>
      <c r="IC1231" s="885"/>
      <c r="ID1231" s="885"/>
      <c r="IE1231" s="885"/>
      <c r="IF1231" s="885"/>
      <c r="IG1231" s="885"/>
      <c r="IH1231" s="885"/>
      <c r="II1231" s="885"/>
      <c r="IJ1231" s="885"/>
      <c r="IK1231" s="885"/>
      <c r="IL1231" s="885"/>
      <c r="IM1231" s="885"/>
      <c r="IN1231" s="885"/>
      <c r="IO1231" s="885"/>
      <c r="IP1231" s="885"/>
      <c r="IQ1231" s="885"/>
      <c r="IR1231" s="885"/>
      <c r="IS1231" s="885"/>
      <c r="IT1231" s="885"/>
      <c r="IU1231" s="885"/>
      <c r="IV1231" s="885"/>
      <c r="IW1231" s="885"/>
      <c r="IX1231" s="885"/>
    </row>
    <row r="1232" spans="1:258" x14ac:dyDescent="0.25">
      <c r="A1232" s="125">
        <f t="shared" si="132"/>
        <v>1192</v>
      </c>
      <c r="B1232" s="885"/>
      <c r="C1232" s="842" t="s">
        <v>10765</v>
      </c>
      <c r="D1232" s="924">
        <v>0</v>
      </c>
      <c r="E1232" s="924">
        <f t="shared" si="133"/>
        <v>0</v>
      </c>
      <c r="F1232" s="129">
        <v>1000</v>
      </c>
      <c r="G1232" s="122" t="s">
        <v>1963</v>
      </c>
      <c r="H1232" s="885"/>
      <c r="I1232" s="885"/>
      <c r="J1232" s="885"/>
      <c r="K1232" s="885"/>
      <c r="L1232" s="885"/>
      <c r="M1232" s="885"/>
      <c r="N1232" s="885"/>
      <c r="O1232" s="885"/>
      <c r="P1232" s="885"/>
      <c r="Q1232" s="885"/>
      <c r="R1232" s="885"/>
      <c r="S1232" s="885"/>
      <c r="T1232" s="885"/>
      <c r="U1232" s="885"/>
      <c r="V1232" s="885"/>
      <c r="W1232" s="885"/>
      <c r="X1232" s="885"/>
      <c r="Y1232" s="885"/>
      <c r="Z1232" s="885"/>
      <c r="AA1232" s="885"/>
      <c r="AB1232" s="885"/>
      <c r="AC1232" s="885"/>
      <c r="AD1232" s="885"/>
      <c r="AE1232" s="885"/>
      <c r="AF1232" s="885"/>
      <c r="AG1232" s="885"/>
      <c r="AH1232" s="885"/>
      <c r="AI1232" s="885"/>
      <c r="AJ1232" s="885"/>
      <c r="AK1232" s="885"/>
      <c r="AL1232" s="885"/>
      <c r="AM1232" s="885"/>
      <c r="AN1232" s="885"/>
      <c r="AO1232" s="885"/>
      <c r="AP1232" s="885"/>
      <c r="AQ1232" s="885"/>
      <c r="AR1232" s="885"/>
      <c r="AS1232" s="885"/>
      <c r="AT1232" s="885"/>
      <c r="AU1232" s="885"/>
      <c r="AV1232" s="885"/>
      <c r="AW1232" s="885"/>
      <c r="AX1232" s="885"/>
      <c r="AY1232" s="885"/>
      <c r="AZ1232" s="885"/>
      <c r="BA1232" s="885"/>
      <c r="BB1232" s="885"/>
      <c r="BC1232" s="885"/>
      <c r="BD1232" s="885"/>
      <c r="BE1232" s="885"/>
      <c r="BF1232" s="885"/>
      <c r="BG1232" s="885"/>
      <c r="BH1232" s="885"/>
      <c r="BI1232" s="885"/>
      <c r="BJ1232" s="885"/>
      <c r="BK1232" s="885"/>
      <c r="BL1232" s="885"/>
      <c r="BM1232" s="885"/>
      <c r="BN1232" s="885"/>
      <c r="BO1232" s="885"/>
      <c r="BP1232" s="885"/>
      <c r="BQ1232" s="885"/>
      <c r="BR1232" s="885"/>
      <c r="BS1232" s="885"/>
      <c r="BT1232" s="885"/>
      <c r="BU1232" s="885"/>
      <c r="BV1232" s="885"/>
      <c r="BW1232" s="885"/>
      <c r="BX1232" s="885"/>
      <c r="BY1232" s="885"/>
      <c r="BZ1232" s="885"/>
      <c r="CA1232" s="885"/>
      <c r="CB1232" s="885"/>
      <c r="CC1232" s="885"/>
      <c r="CD1232" s="885"/>
      <c r="CE1232" s="885"/>
      <c r="CF1232" s="885"/>
      <c r="CG1232" s="885"/>
      <c r="CH1232" s="885"/>
      <c r="CI1232" s="885"/>
      <c r="CJ1232" s="885"/>
      <c r="CK1232" s="885"/>
      <c r="CL1232" s="885"/>
      <c r="CM1232" s="885"/>
      <c r="CN1232" s="885"/>
      <c r="CO1232" s="885"/>
      <c r="CP1232" s="885"/>
      <c r="CQ1232" s="885"/>
      <c r="CR1232" s="885"/>
      <c r="CS1232" s="885"/>
      <c r="CT1232" s="885"/>
      <c r="CU1232" s="885"/>
      <c r="CV1232" s="885"/>
      <c r="CW1232" s="885"/>
      <c r="CX1232" s="885"/>
      <c r="CY1232" s="885"/>
      <c r="CZ1232" s="885"/>
      <c r="DA1232" s="885"/>
      <c r="DB1232" s="885"/>
      <c r="DC1232" s="885"/>
      <c r="DD1232" s="885"/>
      <c r="DE1232" s="885"/>
      <c r="DF1232" s="885"/>
      <c r="DG1232" s="885"/>
      <c r="DH1232" s="885"/>
      <c r="DI1232" s="885"/>
      <c r="DJ1232" s="885"/>
      <c r="DK1232" s="885"/>
      <c r="DL1232" s="885"/>
      <c r="DM1232" s="885"/>
      <c r="DN1232" s="885"/>
      <c r="DO1232" s="885"/>
      <c r="DP1232" s="885"/>
      <c r="DQ1232" s="885"/>
      <c r="DR1232" s="885"/>
      <c r="DS1232" s="885"/>
      <c r="DT1232" s="885"/>
      <c r="DU1232" s="885"/>
      <c r="DV1232" s="885"/>
      <c r="DW1232" s="885"/>
      <c r="DX1232" s="885"/>
      <c r="DY1232" s="885"/>
      <c r="DZ1232" s="885"/>
      <c r="EA1232" s="885"/>
      <c r="EB1232" s="885"/>
      <c r="EC1232" s="885"/>
      <c r="ED1232" s="885"/>
      <c r="EE1232" s="885"/>
      <c r="EF1232" s="885"/>
      <c r="EG1232" s="885"/>
      <c r="EH1232" s="885"/>
      <c r="EI1232" s="885"/>
      <c r="EJ1232" s="885"/>
      <c r="EK1232" s="885"/>
      <c r="EL1232" s="885"/>
      <c r="EM1232" s="885"/>
      <c r="EN1232" s="885"/>
      <c r="EO1232" s="885"/>
      <c r="EP1232" s="885"/>
      <c r="EQ1232" s="885"/>
      <c r="ER1232" s="885"/>
      <c r="ES1232" s="885"/>
      <c r="ET1232" s="885"/>
      <c r="EU1232" s="885"/>
      <c r="EV1232" s="885"/>
      <c r="EW1232" s="885"/>
      <c r="EX1232" s="885"/>
      <c r="EY1232" s="885"/>
      <c r="EZ1232" s="885"/>
      <c r="FA1232" s="885"/>
      <c r="FB1232" s="885"/>
      <c r="FC1232" s="885"/>
      <c r="FD1232" s="885"/>
      <c r="FE1232" s="885"/>
      <c r="FF1232" s="885"/>
      <c r="FG1232" s="885"/>
      <c r="FH1232" s="885"/>
      <c r="FI1232" s="885"/>
      <c r="FJ1232" s="885"/>
      <c r="FK1232" s="885"/>
      <c r="FL1232" s="885"/>
      <c r="FM1232" s="885"/>
      <c r="FN1232" s="885"/>
      <c r="FO1232" s="885"/>
      <c r="FP1232" s="885"/>
      <c r="FQ1232" s="885"/>
      <c r="FR1232" s="885"/>
      <c r="FS1232" s="885"/>
      <c r="FT1232" s="885"/>
      <c r="FU1232" s="885"/>
      <c r="FV1232" s="885"/>
      <c r="FW1232" s="885"/>
      <c r="FX1232" s="885"/>
      <c r="FY1232" s="885"/>
      <c r="FZ1232" s="885"/>
      <c r="GA1232" s="885"/>
      <c r="GB1232" s="885"/>
      <c r="GC1232" s="885"/>
      <c r="GD1232" s="885"/>
      <c r="GE1232" s="885"/>
      <c r="GF1232" s="885"/>
      <c r="GG1232" s="885"/>
      <c r="GH1232" s="885"/>
      <c r="GI1232" s="885"/>
      <c r="GJ1232" s="885"/>
      <c r="GK1232" s="885"/>
      <c r="GL1232" s="885"/>
      <c r="GM1232" s="885"/>
      <c r="GN1232" s="885"/>
      <c r="GO1232" s="885"/>
      <c r="GP1232" s="885"/>
      <c r="GQ1232" s="885"/>
      <c r="GR1232" s="885"/>
      <c r="GS1232" s="885"/>
      <c r="GT1232" s="885"/>
      <c r="GU1232" s="885"/>
      <c r="GV1232" s="885"/>
      <c r="GW1232" s="885"/>
      <c r="GX1232" s="885"/>
      <c r="GY1232" s="885"/>
      <c r="GZ1232" s="885"/>
      <c r="HA1232" s="885"/>
      <c r="HB1232" s="885"/>
      <c r="HC1232" s="885"/>
      <c r="HD1232" s="885"/>
      <c r="HE1232" s="885"/>
      <c r="HF1232" s="885"/>
      <c r="HG1232" s="885"/>
      <c r="HH1232" s="885"/>
      <c r="HI1232" s="885"/>
      <c r="HJ1232" s="885"/>
      <c r="HK1232" s="885"/>
      <c r="HL1232" s="885"/>
      <c r="HM1232" s="885"/>
      <c r="HN1232" s="885"/>
      <c r="HO1232" s="885"/>
      <c r="HP1232" s="885"/>
      <c r="HQ1232" s="885"/>
      <c r="HR1232" s="885"/>
      <c r="HS1232" s="885"/>
      <c r="HT1232" s="885"/>
      <c r="HU1232" s="885"/>
      <c r="HV1232" s="885"/>
      <c r="HW1232" s="885"/>
      <c r="HX1232" s="885"/>
      <c r="HY1232" s="885"/>
      <c r="HZ1232" s="885"/>
      <c r="IA1232" s="885"/>
      <c r="IB1232" s="885"/>
      <c r="IC1232" s="885"/>
      <c r="ID1232" s="885"/>
      <c r="IE1232" s="885"/>
      <c r="IF1232" s="885"/>
      <c r="IG1232" s="885"/>
      <c r="IH1232" s="885"/>
      <c r="II1232" s="885"/>
      <c r="IJ1232" s="885"/>
      <c r="IK1232" s="885"/>
      <c r="IL1232" s="885"/>
      <c r="IM1232" s="885"/>
      <c r="IN1232" s="885"/>
      <c r="IO1232" s="885"/>
      <c r="IP1232" s="885"/>
      <c r="IQ1232" s="885"/>
      <c r="IR1232" s="885"/>
      <c r="IS1232" s="885"/>
      <c r="IT1232" s="885"/>
      <c r="IU1232" s="885"/>
      <c r="IV1232" s="885"/>
      <c r="IW1232" s="885"/>
      <c r="IX1232" s="885"/>
    </row>
    <row r="1233" spans="1:258" x14ac:dyDescent="0.25">
      <c r="A1233" s="125">
        <f t="shared" si="132"/>
        <v>1193</v>
      </c>
      <c r="B1233" s="885"/>
      <c r="C1233" s="927" t="s">
        <v>10766</v>
      </c>
      <c r="D1233" s="928"/>
      <c r="E1233" s="928"/>
      <c r="F1233" s="129"/>
      <c r="H1233" s="885"/>
      <c r="I1233" s="885"/>
      <c r="J1233" s="885"/>
      <c r="K1233" s="885"/>
      <c r="L1233" s="885"/>
      <c r="M1233" s="885"/>
      <c r="N1233" s="885"/>
      <c r="O1233" s="885"/>
      <c r="P1233" s="885"/>
      <c r="Q1233" s="885"/>
      <c r="R1233" s="885"/>
      <c r="S1233" s="885"/>
      <c r="T1233" s="885"/>
      <c r="U1233" s="885"/>
      <c r="V1233" s="885"/>
      <c r="W1233" s="885"/>
      <c r="X1233" s="885"/>
      <c r="Y1233" s="885"/>
      <c r="Z1233" s="885"/>
      <c r="AA1233" s="885"/>
      <c r="AB1233" s="885"/>
      <c r="AC1233" s="885"/>
      <c r="AD1233" s="885"/>
      <c r="AE1233" s="885"/>
      <c r="AF1233" s="885"/>
      <c r="AG1233" s="885"/>
      <c r="AH1233" s="885"/>
      <c r="AI1233" s="885"/>
      <c r="AJ1233" s="885"/>
      <c r="AK1233" s="885"/>
      <c r="AL1233" s="885"/>
      <c r="AM1233" s="885"/>
      <c r="AN1233" s="885"/>
      <c r="AO1233" s="885"/>
      <c r="AP1233" s="885"/>
      <c r="AQ1233" s="885"/>
      <c r="AR1233" s="885"/>
      <c r="AS1233" s="885"/>
      <c r="AT1233" s="885"/>
      <c r="AU1233" s="885"/>
      <c r="AV1233" s="885"/>
      <c r="AW1233" s="885"/>
      <c r="AX1233" s="885"/>
      <c r="AY1233" s="885"/>
      <c r="AZ1233" s="885"/>
      <c r="BA1233" s="885"/>
      <c r="BB1233" s="885"/>
      <c r="BC1233" s="885"/>
      <c r="BD1233" s="885"/>
      <c r="BE1233" s="885"/>
      <c r="BF1233" s="885"/>
      <c r="BG1233" s="885"/>
      <c r="BH1233" s="885"/>
      <c r="BI1233" s="885"/>
      <c r="BJ1233" s="885"/>
      <c r="BK1233" s="885"/>
      <c r="BL1233" s="885"/>
      <c r="BM1233" s="885"/>
      <c r="BN1233" s="885"/>
      <c r="BO1233" s="885"/>
      <c r="BP1233" s="885"/>
      <c r="BQ1233" s="885"/>
      <c r="BR1233" s="885"/>
      <c r="BS1233" s="885"/>
      <c r="BT1233" s="885"/>
      <c r="BU1233" s="885"/>
      <c r="BV1233" s="885"/>
      <c r="BW1233" s="885"/>
      <c r="BX1233" s="885"/>
      <c r="BY1233" s="885"/>
      <c r="BZ1233" s="885"/>
      <c r="CA1233" s="885"/>
      <c r="CB1233" s="885"/>
      <c r="CC1233" s="885"/>
      <c r="CD1233" s="885"/>
      <c r="CE1233" s="885"/>
      <c r="CF1233" s="885"/>
      <c r="CG1233" s="885"/>
      <c r="CH1233" s="885"/>
      <c r="CI1233" s="885"/>
      <c r="CJ1233" s="885"/>
      <c r="CK1233" s="885"/>
      <c r="CL1233" s="885"/>
      <c r="CM1233" s="885"/>
      <c r="CN1233" s="885"/>
      <c r="CO1233" s="885"/>
      <c r="CP1233" s="885"/>
      <c r="CQ1233" s="885"/>
      <c r="CR1233" s="885"/>
      <c r="CS1233" s="885"/>
      <c r="CT1233" s="885"/>
      <c r="CU1233" s="885"/>
      <c r="CV1233" s="885"/>
      <c r="CW1233" s="885"/>
      <c r="CX1233" s="885"/>
      <c r="CY1233" s="885"/>
      <c r="CZ1233" s="885"/>
      <c r="DA1233" s="885"/>
      <c r="DB1233" s="885"/>
      <c r="DC1233" s="885"/>
      <c r="DD1233" s="885"/>
      <c r="DE1233" s="885"/>
      <c r="DF1233" s="885"/>
      <c r="DG1233" s="885"/>
      <c r="DH1233" s="885"/>
      <c r="DI1233" s="885"/>
      <c r="DJ1233" s="885"/>
      <c r="DK1233" s="885"/>
      <c r="DL1233" s="885"/>
      <c r="DM1233" s="885"/>
      <c r="DN1233" s="885"/>
      <c r="DO1233" s="885"/>
      <c r="DP1233" s="885"/>
      <c r="DQ1233" s="885"/>
      <c r="DR1233" s="885"/>
      <c r="DS1233" s="885"/>
      <c r="DT1233" s="885"/>
      <c r="DU1233" s="885"/>
      <c r="DV1233" s="885"/>
      <c r="DW1233" s="885"/>
      <c r="DX1233" s="885"/>
      <c r="DY1233" s="885"/>
      <c r="DZ1233" s="885"/>
      <c r="EA1233" s="885"/>
      <c r="EB1233" s="885"/>
      <c r="EC1233" s="885"/>
      <c r="ED1233" s="885"/>
      <c r="EE1233" s="885"/>
      <c r="EF1233" s="885"/>
      <c r="EG1233" s="885"/>
      <c r="EH1233" s="885"/>
      <c r="EI1233" s="885"/>
      <c r="EJ1233" s="885"/>
      <c r="EK1233" s="885"/>
      <c r="EL1233" s="885"/>
      <c r="EM1233" s="885"/>
      <c r="EN1233" s="885"/>
      <c r="EO1233" s="885"/>
      <c r="EP1233" s="885"/>
      <c r="EQ1233" s="885"/>
      <c r="ER1233" s="885"/>
      <c r="ES1233" s="885"/>
      <c r="ET1233" s="885"/>
      <c r="EU1233" s="885"/>
      <c r="EV1233" s="885"/>
      <c r="EW1233" s="885"/>
      <c r="EX1233" s="885"/>
      <c r="EY1233" s="885"/>
      <c r="EZ1233" s="885"/>
      <c r="FA1233" s="885"/>
      <c r="FB1233" s="885"/>
      <c r="FC1233" s="885"/>
      <c r="FD1233" s="885"/>
      <c r="FE1233" s="885"/>
      <c r="FF1233" s="885"/>
      <c r="FG1233" s="885"/>
      <c r="FH1233" s="885"/>
      <c r="FI1233" s="885"/>
      <c r="FJ1233" s="885"/>
      <c r="FK1233" s="885"/>
      <c r="FL1233" s="885"/>
      <c r="FM1233" s="885"/>
      <c r="FN1233" s="885"/>
      <c r="FO1233" s="885"/>
      <c r="FP1233" s="885"/>
      <c r="FQ1233" s="885"/>
      <c r="FR1233" s="885"/>
      <c r="FS1233" s="885"/>
      <c r="FT1233" s="885"/>
      <c r="FU1233" s="885"/>
      <c r="FV1233" s="885"/>
      <c r="FW1233" s="885"/>
      <c r="FX1233" s="885"/>
      <c r="FY1233" s="885"/>
      <c r="FZ1233" s="885"/>
      <c r="GA1233" s="885"/>
      <c r="GB1233" s="885"/>
      <c r="GC1233" s="885"/>
      <c r="GD1233" s="885"/>
      <c r="GE1233" s="885"/>
      <c r="GF1233" s="885"/>
      <c r="GG1233" s="885"/>
      <c r="GH1233" s="885"/>
      <c r="GI1233" s="885"/>
      <c r="GJ1233" s="885"/>
      <c r="GK1233" s="885"/>
      <c r="GL1233" s="885"/>
      <c r="GM1233" s="885"/>
      <c r="GN1233" s="885"/>
      <c r="GO1233" s="885"/>
      <c r="GP1233" s="885"/>
      <c r="GQ1233" s="885"/>
      <c r="GR1233" s="885"/>
      <c r="GS1233" s="885"/>
      <c r="GT1233" s="885"/>
      <c r="GU1233" s="885"/>
      <c r="GV1233" s="885"/>
      <c r="GW1233" s="885"/>
      <c r="GX1233" s="885"/>
      <c r="GY1233" s="885"/>
      <c r="GZ1233" s="885"/>
      <c r="HA1233" s="885"/>
      <c r="HB1233" s="885"/>
      <c r="HC1233" s="885"/>
      <c r="HD1233" s="885"/>
      <c r="HE1233" s="885"/>
      <c r="HF1233" s="885"/>
      <c r="HG1233" s="885"/>
      <c r="HH1233" s="885"/>
      <c r="HI1233" s="885"/>
      <c r="HJ1233" s="885"/>
      <c r="HK1233" s="885"/>
      <c r="HL1233" s="885"/>
      <c r="HM1233" s="885"/>
      <c r="HN1233" s="885"/>
      <c r="HO1233" s="885"/>
      <c r="HP1233" s="885"/>
      <c r="HQ1233" s="885"/>
      <c r="HR1233" s="885"/>
      <c r="HS1233" s="885"/>
      <c r="HT1233" s="885"/>
      <c r="HU1233" s="885"/>
      <c r="HV1233" s="885"/>
      <c r="HW1233" s="885"/>
      <c r="HX1233" s="885"/>
      <c r="HY1233" s="885"/>
      <c r="HZ1233" s="885"/>
      <c r="IA1233" s="885"/>
      <c r="IB1233" s="885"/>
      <c r="IC1233" s="885"/>
      <c r="ID1233" s="885"/>
      <c r="IE1233" s="885"/>
      <c r="IF1233" s="885"/>
      <c r="IG1233" s="885"/>
      <c r="IH1233" s="885"/>
      <c r="II1233" s="885"/>
      <c r="IJ1233" s="885"/>
      <c r="IK1233" s="885"/>
      <c r="IL1233" s="885"/>
      <c r="IM1233" s="885"/>
      <c r="IN1233" s="885"/>
      <c r="IO1233" s="885"/>
      <c r="IP1233" s="885"/>
      <c r="IQ1233" s="885"/>
      <c r="IR1233" s="885"/>
      <c r="IS1233" s="885"/>
      <c r="IT1233" s="885"/>
      <c r="IU1233" s="885"/>
      <c r="IV1233" s="885"/>
      <c r="IW1233" s="885"/>
      <c r="IX1233" s="885"/>
    </row>
    <row r="1234" spans="1:258" x14ac:dyDescent="0.25">
      <c r="A1234" s="125">
        <f t="shared" si="132"/>
        <v>1194</v>
      </c>
      <c r="B1234" s="885"/>
      <c r="C1234" s="842" t="s">
        <v>10767</v>
      </c>
      <c r="D1234" s="924">
        <v>0</v>
      </c>
      <c r="E1234" s="924">
        <f t="shared" si="133"/>
        <v>0</v>
      </c>
      <c r="F1234" s="129">
        <v>1000</v>
      </c>
      <c r="G1234" s="122" t="s">
        <v>1963</v>
      </c>
      <c r="H1234" s="885"/>
      <c r="I1234" s="885"/>
      <c r="J1234" s="885"/>
      <c r="K1234" s="885"/>
      <c r="L1234" s="885"/>
      <c r="M1234" s="885"/>
      <c r="N1234" s="885"/>
      <c r="O1234" s="885"/>
      <c r="P1234" s="885"/>
      <c r="Q1234" s="885"/>
      <c r="R1234" s="885"/>
      <c r="S1234" s="885"/>
      <c r="T1234" s="885"/>
      <c r="U1234" s="885"/>
      <c r="V1234" s="885"/>
      <c r="W1234" s="885"/>
      <c r="X1234" s="885"/>
      <c r="Y1234" s="885"/>
      <c r="Z1234" s="885"/>
      <c r="AA1234" s="885"/>
      <c r="AB1234" s="885"/>
      <c r="AC1234" s="885"/>
      <c r="AD1234" s="885"/>
      <c r="AE1234" s="885"/>
      <c r="AF1234" s="885"/>
      <c r="AG1234" s="885"/>
      <c r="AH1234" s="885"/>
      <c r="AI1234" s="885"/>
      <c r="AJ1234" s="885"/>
      <c r="AK1234" s="885"/>
      <c r="AL1234" s="885"/>
      <c r="AM1234" s="885"/>
      <c r="AN1234" s="885"/>
      <c r="AO1234" s="885"/>
      <c r="AP1234" s="885"/>
      <c r="AQ1234" s="885"/>
      <c r="AR1234" s="885"/>
      <c r="AS1234" s="885"/>
      <c r="AT1234" s="885"/>
      <c r="AU1234" s="885"/>
      <c r="AV1234" s="885"/>
      <c r="AW1234" s="885"/>
      <c r="AX1234" s="885"/>
      <c r="AY1234" s="885"/>
      <c r="AZ1234" s="885"/>
      <c r="BA1234" s="885"/>
      <c r="BB1234" s="885"/>
      <c r="BC1234" s="885"/>
      <c r="BD1234" s="885"/>
      <c r="BE1234" s="885"/>
      <c r="BF1234" s="885"/>
      <c r="BG1234" s="885"/>
      <c r="BH1234" s="885"/>
      <c r="BI1234" s="885"/>
      <c r="BJ1234" s="885"/>
      <c r="BK1234" s="885"/>
      <c r="BL1234" s="885"/>
      <c r="BM1234" s="885"/>
      <c r="BN1234" s="885"/>
      <c r="BO1234" s="885"/>
      <c r="BP1234" s="885"/>
      <c r="BQ1234" s="885"/>
      <c r="BR1234" s="885"/>
      <c r="BS1234" s="885"/>
      <c r="BT1234" s="885"/>
      <c r="BU1234" s="885"/>
      <c r="BV1234" s="885"/>
      <c r="BW1234" s="885"/>
      <c r="BX1234" s="885"/>
      <c r="BY1234" s="885"/>
      <c r="BZ1234" s="885"/>
      <c r="CA1234" s="885"/>
      <c r="CB1234" s="885"/>
      <c r="CC1234" s="885"/>
      <c r="CD1234" s="885"/>
      <c r="CE1234" s="885"/>
      <c r="CF1234" s="885"/>
      <c r="CG1234" s="885"/>
      <c r="CH1234" s="885"/>
      <c r="CI1234" s="885"/>
      <c r="CJ1234" s="885"/>
      <c r="CK1234" s="885"/>
      <c r="CL1234" s="885"/>
      <c r="CM1234" s="885"/>
      <c r="CN1234" s="885"/>
      <c r="CO1234" s="885"/>
      <c r="CP1234" s="885"/>
      <c r="CQ1234" s="885"/>
      <c r="CR1234" s="885"/>
      <c r="CS1234" s="885"/>
      <c r="CT1234" s="885"/>
      <c r="CU1234" s="885"/>
      <c r="CV1234" s="885"/>
      <c r="CW1234" s="885"/>
      <c r="CX1234" s="885"/>
      <c r="CY1234" s="885"/>
      <c r="CZ1234" s="885"/>
      <c r="DA1234" s="885"/>
      <c r="DB1234" s="885"/>
      <c r="DC1234" s="885"/>
      <c r="DD1234" s="885"/>
      <c r="DE1234" s="885"/>
      <c r="DF1234" s="885"/>
      <c r="DG1234" s="885"/>
      <c r="DH1234" s="885"/>
      <c r="DI1234" s="885"/>
      <c r="DJ1234" s="885"/>
      <c r="DK1234" s="885"/>
      <c r="DL1234" s="885"/>
      <c r="DM1234" s="885"/>
      <c r="DN1234" s="885"/>
      <c r="DO1234" s="885"/>
      <c r="DP1234" s="885"/>
      <c r="DQ1234" s="885"/>
      <c r="DR1234" s="885"/>
      <c r="DS1234" s="885"/>
      <c r="DT1234" s="885"/>
      <c r="DU1234" s="885"/>
      <c r="DV1234" s="885"/>
      <c r="DW1234" s="885"/>
      <c r="DX1234" s="885"/>
      <c r="DY1234" s="885"/>
      <c r="DZ1234" s="885"/>
      <c r="EA1234" s="885"/>
      <c r="EB1234" s="885"/>
      <c r="EC1234" s="885"/>
      <c r="ED1234" s="885"/>
      <c r="EE1234" s="885"/>
      <c r="EF1234" s="885"/>
      <c r="EG1234" s="885"/>
      <c r="EH1234" s="885"/>
      <c r="EI1234" s="885"/>
      <c r="EJ1234" s="885"/>
      <c r="EK1234" s="885"/>
      <c r="EL1234" s="885"/>
      <c r="EM1234" s="885"/>
      <c r="EN1234" s="885"/>
      <c r="EO1234" s="885"/>
      <c r="EP1234" s="885"/>
      <c r="EQ1234" s="885"/>
      <c r="ER1234" s="885"/>
      <c r="ES1234" s="885"/>
      <c r="ET1234" s="885"/>
      <c r="EU1234" s="885"/>
      <c r="EV1234" s="885"/>
      <c r="EW1234" s="885"/>
      <c r="EX1234" s="885"/>
      <c r="EY1234" s="885"/>
      <c r="EZ1234" s="885"/>
      <c r="FA1234" s="885"/>
      <c r="FB1234" s="885"/>
      <c r="FC1234" s="885"/>
      <c r="FD1234" s="885"/>
      <c r="FE1234" s="885"/>
      <c r="FF1234" s="885"/>
      <c r="FG1234" s="885"/>
      <c r="FH1234" s="885"/>
      <c r="FI1234" s="885"/>
      <c r="FJ1234" s="885"/>
      <c r="FK1234" s="885"/>
      <c r="FL1234" s="885"/>
      <c r="FM1234" s="885"/>
      <c r="FN1234" s="885"/>
      <c r="FO1234" s="885"/>
      <c r="FP1234" s="885"/>
      <c r="FQ1234" s="885"/>
      <c r="FR1234" s="885"/>
      <c r="FS1234" s="885"/>
      <c r="FT1234" s="885"/>
      <c r="FU1234" s="885"/>
      <c r="FV1234" s="885"/>
      <c r="FW1234" s="885"/>
      <c r="FX1234" s="885"/>
      <c r="FY1234" s="885"/>
      <c r="FZ1234" s="885"/>
      <c r="GA1234" s="885"/>
      <c r="GB1234" s="885"/>
      <c r="GC1234" s="885"/>
      <c r="GD1234" s="885"/>
      <c r="GE1234" s="885"/>
      <c r="GF1234" s="885"/>
      <c r="GG1234" s="885"/>
      <c r="GH1234" s="885"/>
      <c r="GI1234" s="885"/>
      <c r="GJ1234" s="885"/>
      <c r="GK1234" s="885"/>
      <c r="GL1234" s="885"/>
      <c r="GM1234" s="885"/>
      <c r="GN1234" s="885"/>
      <c r="GO1234" s="885"/>
      <c r="GP1234" s="885"/>
      <c r="GQ1234" s="885"/>
      <c r="GR1234" s="885"/>
      <c r="GS1234" s="885"/>
      <c r="GT1234" s="885"/>
      <c r="GU1234" s="885"/>
      <c r="GV1234" s="885"/>
      <c r="GW1234" s="885"/>
      <c r="GX1234" s="885"/>
      <c r="GY1234" s="885"/>
      <c r="GZ1234" s="885"/>
      <c r="HA1234" s="885"/>
      <c r="HB1234" s="885"/>
      <c r="HC1234" s="885"/>
      <c r="HD1234" s="885"/>
      <c r="HE1234" s="885"/>
      <c r="HF1234" s="885"/>
      <c r="HG1234" s="885"/>
      <c r="HH1234" s="885"/>
      <c r="HI1234" s="885"/>
      <c r="HJ1234" s="885"/>
      <c r="HK1234" s="885"/>
      <c r="HL1234" s="885"/>
      <c r="HM1234" s="885"/>
      <c r="HN1234" s="885"/>
      <c r="HO1234" s="885"/>
      <c r="HP1234" s="885"/>
      <c r="HQ1234" s="885"/>
      <c r="HR1234" s="885"/>
      <c r="HS1234" s="885"/>
      <c r="HT1234" s="885"/>
      <c r="HU1234" s="885"/>
      <c r="HV1234" s="885"/>
      <c r="HW1234" s="885"/>
      <c r="HX1234" s="885"/>
      <c r="HY1234" s="885"/>
      <c r="HZ1234" s="885"/>
      <c r="IA1234" s="885"/>
      <c r="IB1234" s="885"/>
      <c r="IC1234" s="885"/>
      <c r="ID1234" s="885"/>
      <c r="IE1234" s="885"/>
      <c r="IF1234" s="885"/>
      <c r="IG1234" s="885"/>
      <c r="IH1234" s="885"/>
      <c r="II1234" s="885"/>
      <c r="IJ1234" s="885"/>
      <c r="IK1234" s="885"/>
      <c r="IL1234" s="885"/>
      <c r="IM1234" s="885"/>
      <c r="IN1234" s="885"/>
      <c r="IO1234" s="885"/>
      <c r="IP1234" s="885"/>
      <c r="IQ1234" s="885"/>
      <c r="IR1234" s="885"/>
      <c r="IS1234" s="885"/>
      <c r="IT1234" s="885"/>
      <c r="IU1234" s="885"/>
      <c r="IV1234" s="885"/>
      <c r="IW1234" s="885"/>
      <c r="IX1234" s="885"/>
    </row>
    <row r="1235" spans="1:258" x14ac:dyDescent="0.25">
      <c r="A1235" s="125">
        <f t="shared" si="132"/>
        <v>1195</v>
      </c>
      <c r="B1235" s="885"/>
      <c r="C1235" s="842" t="s">
        <v>10768</v>
      </c>
      <c r="D1235" s="924">
        <v>0</v>
      </c>
      <c r="E1235" s="924">
        <f t="shared" si="133"/>
        <v>0</v>
      </c>
      <c r="F1235" s="129">
        <v>500</v>
      </c>
      <c r="G1235" s="122" t="s">
        <v>1963</v>
      </c>
      <c r="H1235" s="885"/>
      <c r="I1235" s="885"/>
      <c r="J1235" s="885"/>
      <c r="K1235" s="885"/>
      <c r="L1235" s="885"/>
      <c r="M1235" s="885"/>
      <c r="N1235" s="885"/>
      <c r="O1235" s="885"/>
      <c r="P1235" s="885"/>
      <c r="Q1235" s="885"/>
      <c r="R1235" s="885"/>
      <c r="S1235" s="885"/>
      <c r="T1235" s="885"/>
      <c r="U1235" s="885"/>
      <c r="V1235" s="885"/>
      <c r="W1235" s="885"/>
      <c r="X1235" s="885"/>
      <c r="Y1235" s="885"/>
      <c r="Z1235" s="885"/>
      <c r="AA1235" s="885"/>
      <c r="AB1235" s="885"/>
      <c r="AC1235" s="885"/>
      <c r="AD1235" s="885"/>
      <c r="AE1235" s="885"/>
      <c r="AF1235" s="885"/>
      <c r="AG1235" s="885"/>
      <c r="AH1235" s="885"/>
      <c r="AI1235" s="885"/>
      <c r="AJ1235" s="885"/>
      <c r="AK1235" s="885"/>
      <c r="AL1235" s="885"/>
      <c r="AM1235" s="885"/>
      <c r="AN1235" s="885"/>
      <c r="AO1235" s="885"/>
      <c r="AP1235" s="885"/>
      <c r="AQ1235" s="885"/>
      <c r="AR1235" s="885"/>
      <c r="AS1235" s="885"/>
      <c r="AT1235" s="885"/>
      <c r="AU1235" s="885"/>
      <c r="AV1235" s="885"/>
      <c r="AW1235" s="885"/>
      <c r="AX1235" s="885"/>
      <c r="AY1235" s="885"/>
      <c r="AZ1235" s="885"/>
      <c r="BA1235" s="885"/>
      <c r="BB1235" s="885"/>
      <c r="BC1235" s="885"/>
      <c r="BD1235" s="885"/>
      <c r="BE1235" s="885"/>
      <c r="BF1235" s="885"/>
      <c r="BG1235" s="885"/>
      <c r="BH1235" s="885"/>
      <c r="BI1235" s="885"/>
      <c r="BJ1235" s="885"/>
      <c r="BK1235" s="885"/>
      <c r="BL1235" s="885"/>
      <c r="BM1235" s="885"/>
      <c r="BN1235" s="885"/>
      <c r="BO1235" s="885"/>
      <c r="BP1235" s="885"/>
      <c r="BQ1235" s="885"/>
      <c r="BR1235" s="885"/>
      <c r="BS1235" s="885"/>
      <c r="BT1235" s="885"/>
      <c r="BU1235" s="885"/>
      <c r="BV1235" s="885"/>
      <c r="BW1235" s="885"/>
      <c r="BX1235" s="885"/>
      <c r="BY1235" s="885"/>
      <c r="BZ1235" s="885"/>
      <c r="CA1235" s="885"/>
      <c r="CB1235" s="885"/>
      <c r="CC1235" s="885"/>
      <c r="CD1235" s="885"/>
      <c r="CE1235" s="885"/>
      <c r="CF1235" s="885"/>
      <c r="CG1235" s="885"/>
      <c r="CH1235" s="885"/>
      <c r="CI1235" s="885"/>
      <c r="CJ1235" s="885"/>
      <c r="CK1235" s="885"/>
      <c r="CL1235" s="885"/>
      <c r="CM1235" s="885"/>
      <c r="CN1235" s="885"/>
      <c r="CO1235" s="885"/>
      <c r="CP1235" s="885"/>
      <c r="CQ1235" s="885"/>
      <c r="CR1235" s="885"/>
      <c r="CS1235" s="885"/>
      <c r="CT1235" s="885"/>
      <c r="CU1235" s="885"/>
      <c r="CV1235" s="885"/>
      <c r="CW1235" s="885"/>
      <c r="CX1235" s="885"/>
      <c r="CY1235" s="885"/>
      <c r="CZ1235" s="885"/>
      <c r="DA1235" s="885"/>
      <c r="DB1235" s="885"/>
      <c r="DC1235" s="885"/>
      <c r="DD1235" s="885"/>
      <c r="DE1235" s="885"/>
      <c r="DF1235" s="885"/>
      <c r="DG1235" s="885"/>
      <c r="DH1235" s="885"/>
      <c r="DI1235" s="885"/>
      <c r="DJ1235" s="885"/>
      <c r="DK1235" s="885"/>
      <c r="DL1235" s="885"/>
      <c r="DM1235" s="885"/>
      <c r="DN1235" s="885"/>
      <c r="DO1235" s="885"/>
      <c r="DP1235" s="885"/>
      <c r="DQ1235" s="885"/>
      <c r="DR1235" s="885"/>
      <c r="DS1235" s="885"/>
      <c r="DT1235" s="885"/>
      <c r="DU1235" s="885"/>
      <c r="DV1235" s="885"/>
      <c r="DW1235" s="885"/>
      <c r="DX1235" s="885"/>
      <c r="DY1235" s="885"/>
      <c r="DZ1235" s="885"/>
      <c r="EA1235" s="885"/>
      <c r="EB1235" s="885"/>
      <c r="EC1235" s="885"/>
      <c r="ED1235" s="885"/>
      <c r="EE1235" s="885"/>
      <c r="EF1235" s="885"/>
      <c r="EG1235" s="885"/>
      <c r="EH1235" s="885"/>
      <c r="EI1235" s="885"/>
      <c r="EJ1235" s="885"/>
      <c r="EK1235" s="885"/>
      <c r="EL1235" s="885"/>
      <c r="EM1235" s="885"/>
      <c r="EN1235" s="885"/>
      <c r="EO1235" s="885"/>
      <c r="EP1235" s="885"/>
      <c r="EQ1235" s="885"/>
      <c r="ER1235" s="885"/>
      <c r="ES1235" s="885"/>
      <c r="ET1235" s="885"/>
      <c r="EU1235" s="885"/>
      <c r="EV1235" s="885"/>
      <c r="EW1235" s="885"/>
      <c r="EX1235" s="885"/>
      <c r="EY1235" s="885"/>
      <c r="EZ1235" s="885"/>
      <c r="FA1235" s="885"/>
      <c r="FB1235" s="885"/>
      <c r="FC1235" s="885"/>
      <c r="FD1235" s="885"/>
      <c r="FE1235" s="885"/>
      <c r="FF1235" s="885"/>
      <c r="FG1235" s="885"/>
      <c r="FH1235" s="885"/>
      <c r="FI1235" s="885"/>
      <c r="FJ1235" s="885"/>
      <c r="FK1235" s="885"/>
      <c r="FL1235" s="885"/>
      <c r="FM1235" s="885"/>
      <c r="FN1235" s="885"/>
      <c r="FO1235" s="885"/>
      <c r="FP1235" s="885"/>
      <c r="FQ1235" s="885"/>
      <c r="FR1235" s="885"/>
      <c r="FS1235" s="885"/>
      <c r="FT1235" s="885"/>
      <c r="FU1235" s="885"/>
      <c r="FV1235" s="885"/>
      <c r="FW1235" s="885"/>
      <c r="FX1235" s="885"/>
      <c r="FY1235" s="885"/>
      <c r="FZ1235" s="885"/>
      <c r="GA1235" s="885"/>
      <c r="GB1235" s="885"/>
      <c r="GC1235" s="885"/>
      <c r="GD1235" s="885"/>
      <c r="GE1235" s="885"/>
      <c r="GF1235" s="885"/>
      <c r="GG1235" s="885"/>
      <c r="GH1235" s="885"/>
      <c r="GI1235" s="885"/>
      <c r="GJ1235" s="885"/>
      <c r="GK1235" s="885"/>
      <c r="GL1235" s="885"/>
      <c r="GM1235" s="885"/>
      <c r="GN1235" s="885"/>
      <c r="GO1235" s="885"/>
      <c r="GP1235" s="885"/>
      <c r="GQ1235" s="885"/>
      <c r="GR1235" s="885"/>
      <c r="GS1235" s="885"/>
      <c r="GT1235" s="885"/>
      <c r="GU1235" s="885"/>
      <c r="GV1235" s="885"/>
      <c r="GW1235" s="885"/>
      <c r="GX1235" s="885"/>
      <c r="GY1235" s="885"/>
      <c r="GZ1235" s="885"/>
      <c r="HA1235" s="885"/>
      <c r="HB1235" s="885"/>
      <c r="HC1235" s="885"/>
      <c r="HD1235" s="885"/>
      <c r="HE1235" s="885"/>
      <c r="HF1235" s="885"/>
      <c r="HG1235" s="885"/>
      <c r="HH1235" s="885"/>
      <c r="HI1235" s="885"/>
      <c r="HJ1235" s="885"/>
      <c r="HK1235" s="885"/>
      <c r="HL1235" s="885"/>
      <c r="HM1235" s="885"/>
      <c r="HN1235" s="885"/>
      <c r="HO1235" s="885"/>
      <c r="HP1235" s="885"/>
      <c r="HQ1235" s="885"/>
      <c r="HR1235" s="885"/>
      <c r="HS1235" s="885"/>
      <c r="HT1235" s="885"/>
      <c r="HU1235" s="885"/>
      <c r="HV1235" s="885"/>
      <c r="HW1235" s="885"/>
      <c r="HX1235" s="885"/>
      <c r="HY1235" s="885"/>
      <c r="HZ1235" s="885"/>
      <c r="IA1235" s="885"/>
      <c r="IB1235" s="885"/>
      <c r="IC1235" s="885"/>
      <c r="ID1235" s="885"/>
      <c r="IE1235" s="885"/>
      <c r="IF1235" s="885"/>
      <c r="IG1235" s="885"/>
      <c r="IH1235" s="885"/>
      <c r="II1235" s="885"/>
      <c r="IJ1235" s="885"/>
      <c r="IK1235" s="885"/>
      <c r="IL1235" s="885"/>
      <c r="IM1235" s="885"/>
      <c r="IN1235" s="885"/>
      <c r="IO1235" s="885"/>
      <c r="IP1235" s="885"/>
      <c r="IQ1235" s="885"/>
      <c r="IR1235" s="885"/>
      <c r="IS1235" s="885"/>
      <c r="IT1235" s="885"/>
      <c r="IU1235" s="885"/>
      <c r="IV1235" s="885"/>
      <c r="IW1235" s="885"/>
      <c r="IX1235" s="885"/>
    </row>
    <row r="1236" spans="1:258" x14ac:dyDescent="0.25">
      <c r="A1236" s="125">
        <f t="shared" si="132"/>
        <v>1196</v>
      </c>
      <c r="B1236" s="885"/>
      <c r="C1236" s="842" t="s">
        <v>10769</v>
      </c>
      <c r="D1236" s="924">
        <v>0</v>
      </c>
      <c r="E1236" s="924">
        <f t="shared" si="133"/>
        <v>0</v>
      </c>
      <c r="F1236" s="129">
        <v>1000</v>
      </c>
      <c r="G1236" s="122" t="s">
        <v>1963</v>
      </c>
      <c r="H1236" s="885"/>
      <c r="I1236" s="885"/>
      <c r="J1236" s="885"/>
      <c r="K1236" s="885"/>
      <c r="L1236" s="885"/>
      <c r="M1236" s="885"/>
      <c r="N1236" s="885"/>
      <c r="O1236" s="885"/>
      <c r="P1236" s="885"/>
      <c r="Q1236" s="885"/>
      <c r="R1236" s="885"/>
      <c r="S1236" s="885"/>
      <c r="T1236" s="885"/>
      <c r="U1236" s="885"/>
      <c r="V1236" s="885"/>
      <c r="W1236" s="885"/>
      <c r="X1236" s="885"/>
      <c r="Y1236" s="885"/>
      <c r="Z1236" s="885"/>
      <c r="AA1236" s="885"/>
      <c r="AB1236" s="885"/>
      <c r="AC1236" s="885"/>
      <c r="AD1236" s="885"/>
      <c r="AE1236" s="885"/>
      <c r="AF1236" s="885"/>
      <c r="AG1236" s="885"/>
      <c r="AH1236" s="885"/>
      <c r="AI1236" s="885"/>
      <c r="AJ1236" s="885"/>
      <c r="AK1236" s="885"/>
      <c r="AL1236" s="885"/>
      <c r="AM1236" s="885"/>
      <c r="AN1236" s="885"/>
      <c r="AO1236" s="885"/>
      <c r="AP1236" s="885"/>
      <c r="AQ1236" s="885"/>
      <c r="AR1236" s="885"/>
      <c r="AS1236" s="885"/>
      <c r="AT1236" s="885"/>
      <c r="AU1236" s="885"/>
      <c r="AV1236" s="885"/>
      <c r="AW1236" s="885"/>
      <c r="AX1236" s="885"/>
      <c r="AY1236" s="885"/>
      <c r="AZ1236" s="885"/>
      <c r="BA1236" s="885"/>
      <c r="BB1236" s="885"/>
      <c r="BC1236" s="885"/>
      <c r="BD1236" s="885"/>
      <c r="BE1236" s="885"/>
      <c r="BF1236" s="885"/>
      <c r="BG1236" s="885"/>
      <c r="BH1236" s="885"/>
      <c r="BI1236" s="885"/>
      <c r="BJ1236" s="885"/>
      <c r="BK1236" s="885"/>
      <c r="BL1236" s="885"/>
      <c r="BM1236" s="885"/>
      <c r="BN1236" s="885"/>
      <c r="BO1236" s="885"/>
      <c r="BP1236" s="885"/>
      <c r="BQ1236" s="885"/>
      <c r="BR1236" s="885"/>
      <c r="BS1236" s="885"/>
      <c r="BT1236" s="885"/>
      <c r="BU1236" s="885"/>
      <c r="BV1236" s="885"/>
      <c r="BW1236" s="885"/>
      <c r="BX1236" s="885"/>
      <c r="BY1236" s="885"/>
      <c r="BZ1236" s="885"/>
      <c r="CA1236" s="885"/>
      <c r="CB1236" s="885"/>
      <c r="CC1236" s="885"/>
      <c r="CD1236" s="885"/>
      <c r="CE1236" s="885"/>
      <c r="CF1236" s="885"/>
      <c r="CG1236" s="885"/>
      <c r="CH1236" s="885"/>
      <c r="CI1236" s="885"/>
      <c r="CJ1236" s="885"/>
      <c r="CK1236" s="885"/>
      <c r="CL1236" s="885"/>
      <c r="CM1236" s="885"/>
      <c r="CN1236" s="885"/>
      <c r="CO1236" s="885"/>
      <c r="CP1236" s="885"/>
      <c r="CQ1236" s="885"/>
      <c r="CR1236" s="885"/>
      <c r="CS1236" s="885"/>
      <c r="CT1236" s="885"/>
      <c r="CU1236" s="885"/>
      <c r="CV1236" s="885"/>
      <c r="CW1236" s="885"/>
      <c r="CX1236" s="885"/>
      <c r="CY1236" s="885"/>
      <c r="CZ1236" s="885"/>
      <c r="DA1236" s="885"/>
      <c r="DB1236" s="885"/>
      <c r="DC1236" s="885"/>
      <c r="DD1236" s="885"/>
      <c r="DE1236" s="885"/>
      <c r="DF1236" s="885"/>
      <c r="DG1236" s="885"/>
      <c r="DH1236" s="885"/>
      <c r="DI1236" s="885"/>
      <c r="DJ1236" s="885"/>
      <c r="DK1236" s="885"/>
      <c r="DL1236" s="885"/>
      <c r="DM1236" s="885"/>
      <c r="DN1236" s="885"/>
      <c r="DO1236" s="885"/>
      <c r="DP1236" s="885"/>
      <c r="DQ1236" s="885"/>
      <c r="DR1236" s="885"/>
      <c r="DS1236" s="885"/>
      <c r="DT1236" s="885"/>
      <c r="DU1236" s="885"/>
      <c r="DV1236" s="885"/>
      <c r="DW1236" s="885"/>
      <c r="DX1236" s="885"/>
      <c r="DY1236" s="885"/>
      <c r="DZ1236" s="885"/>
      <c r="EA1236" s="885"/>
      <c r="EB1236" s="885"/>
      <c r="EC1236" s="885"/>
      <c r="ED1236" s="885"/>
      <c r="EE1236" s="885"/>
      <c r="EF1236" s="885"/>
      <c r="EG1236" s="885"/>
      <c r="EH1236" s="885"/>
      <c r="EI1236" s="885"/>
      <c r="EJ1236" s="885"/>
      <c r="EK1236" s="885"/>
      <c r="EL1236" s="885"/>
      <c r="EM1236" s="885"/>
      <c r="EN1236" s="885"/>
      <c r="EO1236" s="885"/>
      <c r="EP1236" s="885"/>
      <c r="EQ1236" s="885"/>
      <c r="ER1236" s="885"/>
      <c r="ES1236" s="885"/>
      <c r="ET1236" s="885"/>
      <c r="EU1236" s="885"/>
      <c r="EV1236" s="885"/>
      <c r="EW1236" s="885"/>
      <c r="EX1236" s="885"/>
      <c r="EY1236" s="885"/>
      <c r="EZ1236" s="885"/>
      <c r="FA1236" s="885"/>
      <c r="FB1236" s="885"/>
      <c r="FC1236" s="885"/>
      <c r="FD1236" s="885"/>
      <c r="FE1236" s="885"/>
      <c r="FF1236" s="885"/>
      <c r="FG1236" s="885"/>
      <c r="FH1236" s="885"/>
      <c r="FI1236" s="885"/>
      <c r="FJ1236" s="885"/>
      <c r="FK1236" s="885"/>
      <c r="FL1236" s="885"/>
      <c r="FM1236" s="885"/>
      <c r="FN1236" s="885"/>
      <c r="FO1236" s="885"/>
      <c r="FP1236" s="885"/>
      <c r="FQ1236" s="885"/>
      <c r="FR1236" s="885"/>
      <c r="FS1236" s="885"/>
      <c r="FT1236" s="885"/>
      <c r="FU1236" s="885"/>
      <c r="FV1236" s="885"/>
      <c r="FW1236" s="885"/>
      <c r="FX1236" s="885"/>
      <c r="FY1236" s="885"/>
      <c r="FZ1236" s="885"/>
      <c r="GA1236" s="885"/>
      <c r="GB1236" s="885"/>
      <c r="GC1236" s="885"/>
      <c r="GD1236" s="885"/>
      <c r="GE1236" s="885"/>
      <c r="GF1236" s="885"/>
      <c r="GG1236" s="885"/>
      <c r="GH1236" s="885"/>
      <c r="GI1236" s="885"/>
      <c r="GJ1236" s="885"/>
      <c r="GK1236" s="885"/>
      <c r="GL1236" s="885"/>
      <c r="GM1236" s="885"/>
      <c r="GN1236" s="885"/>
      <c r="GO1236" s="885"/>
      <c r="GP1236" s="885"/>
      <c r="GQ1236" s="885"/>
      <c r="GR1236" s="885"/>
      <c r="GS1236" s="885"/>
      <c r="GT1236" s="885"/>
      <c r="GU1236" s="885"/>
      <c r="GV1236" s="885"/>
      <c r="GW1236" s="885"/>
      <c r="GX1236" s="885"/>
      <c r="GY1236" s="885"/>
      <c r="GZ1236" s="885"/>
      <c r="HA1236" s="885"/>
      <c r="HB1236" s="885"/>
      <c r="HC1236" s="885"/>
      <c r="HD1236" s="885"/>
      <c r="HE1236" s="885"/>
      <c r="HF1236" s="885"/>
      <c r="HG1236" s="885"/>
      <c r="HH1236" s="885"/>
      <c r="HI1236" s="885"/>
      <c r="HJ1236" s="885"/>
      <c r="HK1236" s="885"/>
      <c r="HL1236" s="885"/>
      <c r="HM1236" s="885"/>
      <c r="HN1236" s="885"/>
      <c r="HO1236" s="885"/>
      <c r="HP1236" s="885"/>
      <c r="HQ1236" s="885"/>
      <c r="HR1236" s="885"/>
      <c r="HS1236" s="885"/>
      <c r="HT1236" s="885"/>
      <c r="HU1236" s="885"/>
      <c r="HV1236" s="885"/>
      <c r="HW1236" s="885"/>
      <c r="HX1236" s="885"/>
      <c r="HY1236" s="885"/>
      <c r="HZ1236" s="885"/>
      <c r="IA1236" s="885"/>
      <c r="IB1236" s="885"/>
      <c r="IC1236" s="885"/>
      <c r="ID1236" s="885"/>
      <c r="IE1236" s="885"/>
      <c r="IF1236" s="885"/>
      <c r="IG1236" s="885"/>
      <c r="IH1236" s="885"/>
      <c r="II1236" s="885"/>
      <c r="IJ1236" s="885"/>
      <c r="IK1236" s="885"/>
      <c r="IL1236" s="885"/>
      <c r="IM1236" s="885"/>
      <c r="IN1236" s="885"/>
      <c r="IO1236" s="885"/>
      <c r="IP1236" s="885"/>
      <c r="IQ1236" s="885"/>
      <c r="IR1236" s="885"/>
      <c r="IS1236" s="885"/>
      <c r="IT1236" s="885"/>
      <c r="IU1236" s="885"/>
      <c r="IV1236" s="885"/>
      <c r="IW1236" s="885"/>
      <c r="IX1236" s="885"/>
    </row>
    <row r="1237" spans="1:258" x14ac:dyDescent="0.25">
      <c r="A1237" s="125">
        <f t="shared" si="132"/>
        <v>1197</v>
      </c>
      <c r="B1237" s="885"/>
      <c r="C1237" s="842" t="s">
        <v>10770</v>
      </c>
      <c r="D1237" s="924">
        <v>0</v>
      </c>
      <c r="E1237" s="924">
        <f t="shared" si="133"/>
        <v>0</v>
      </c>
      <c r="F1237" s="129">
        <v>1000</v>
      </c>
      <c r="G1237" s="122" t="s">
        <v>1963</v>
      </c>
      <c r="H1237" s="885"/>
      <c r="I1237" s="885"/>
      <c r="J1237" s="885"/>
      <c r="K1237" s="885"/>
      <c r="L1237" s="885"/>
      <c r="M1237" s="885"/>
      <c r="N1237" s="885"/>
      <c r="O1237" s="885"/>
      <c r="P1237" s="885"/>
      <c r="Q1237" s="885"/>
      <c r="R1237" s="885"/>
      <c r="S1237" s="885"/>
      <c r="T1237" s="885"/>
      <c r="U1237" s="885"/>
      <c r="V1237" s="885"/>
      <c r="W1237" s="885"/>
      <c r="X1237" s="885"/>
      <c r="Y1237" s="885"/>
      <c r="Z1237" s="885"/>
      <c r="AA1237" s="885"/>
      <c r="AB1237" s="885"/>
      <c r="AC1237" s="885"/>
      <c r="AD1237" s="885"/>
      <c r="AE1237" s="885"/>
      <c r="AF1237" s="885"/>
      <c r="AG1237" s="885"/>
      <c r="AH1237" s="885"/>
      <c r="AI1237" s="885"/>
      <c r="AJ1237" s="885"/>
      <c r="AK1237" s="885"/>
      <c r="AL1237" s="885"/>
      <c r="AM1237" s="885"/>
      <c r="AN1237" s="885"/>
      <c r="AO1237" s="885"/>
      <c r="AP1237" s="885"/>
      <c r="AQ1237" s="885"/>
      <c r="AR1237" s="885"/>
      <c r="AS1237" s="885"/>
      <c r="AT1237" s="885"/>
      <c r="AU1237" s="885"/>
      <c r="AV1237" s="885"/>
      <c r="AW1237" s="885"/>
      <c r="AX1237" s="885"/>
      <c r="AY1237" s="885"/>
      <c r="AZ1237" s="885"/>
      <c r="BA1237" s="885"/>
      <c r="BB1237" s="885"/>
      <c r="BC1237" s="885"/>
      <c r="BD1237" s="885"/>
      <c r="BE1237" s="885"/>
      <c r="BF1237" s="885"/>
      <c r="BG1237" s="885"/>
      <c r="BH1237" s="885"/>
      <c r="BI1237" s="885"/>
      <c r="BJ1237" s="885"/>
      <c r="BK1237" s="885"/>
      <c r="BL1237" s="885"/>
      <c r="BM1237" s="885"/>
      <c r="BN1237" s="885"/>
      <c r="BO1237" s="885"/>
      <c r="BP1237" s="885"/>
      <c r="BQ1237" s="885"/>
      <c r="BR1237" s="885"/>
      <c r="BS1237" s="885"/>
      <c r="BT1237" s="885"/>
      <c r="BU1237" s="885"/>
      <c r="BV1237" s="885"/>
      <c r="BW1237" s="885"/>
      <c r="BX1237" s="885"/>
      <c r="BY1237" s="885"/>
      <c r="BZ1237" s="885"/>
      <c r="CA1237" s="885"/>
      <c r="CB1237" s="885"/>
      <c r="CC1237" s="885"/>
      <c r="CD1237" s="885"/>
      <c r="CE1237" s="885"/>
      <c r="CF1237" s="885"/>
      <c r="CG1237" s="885"/>
      <c r="CH1237" s="885"/>
      <c r="CI1237" s="885"/>
      <c r="CJ1237" s="885"/>
      <c r="CK1237" s="885"/>
      <c r="CL1237" s="885"/>
      <c r="CM1237" s="885"/>
      <c r="CN1237" s="885"/>
      <c r="CO1237" s="885"/>
      <c r="CP1237" s="885"/>
      <c r="CQ1237" s="885"/>
      <c r="CR1237" s="885"/>
      <c r="CS1237" s="885"/>
      <c r="CT1237" s="885"/>
      <c r="CU1237" s="885"/>
      <c r="CV1237" s="885"/>
      <c r="CW1237" s="885"/>
      <c r="CX1237" s="885"/>
      <c r="CY1237" s="885"/>
      <c r="CZ1237" s="885"/>
      <c r="DA1237" s="885"/>
      <c r="DB1237" s="885"/>
      <c r="DC1237" s="885"/>
      <c r="DD1237" s="885"/>
      <c r="DE1237" s="885"/>
      <c r="DF1237" s="885"/>
      <c r="DG1237" s="885"/>
      <c r="DH1237" s="885"/>
      <c r="DI1237" s="885"/>
      <c r="DJ1237" s="885"/>
      <c r="DK1237" s="885"/>
      <c r="DL1237" s="885"/>
      <c r="DM1237" s="885"/>
      <c r="DN1237" s="885"/>
      <c r="DO1237" s="885"/>
      <c r="DP1237" s="885"/>
      <c r="DQ1237" s="885"/>
      <c r="DR1237" s="885"/>
      <c r="DS1237" s="885"/>
      <c r="DT1237" s="885"/>
      <c r="DU1237" s="885"/>
      <c r="DV1237" s="885"/>
      <c r="DW1237" s="885"/>
      <c r="DX1237" s="885"/>
      <c r="DY1237" s="885"/>
      <c r="DZ1237" s="885"/>
      <c r="EA1237" s="885"/>
      <c r="EB1237" s="885"/>
      <c r="EC1237" s="885"/>
      <c r="ED1237" s="885"/>
      <c r="EE1237" s="885"/>
      <c r="EF1237" s="885"/>
      <c r="EG1237" s="885"/>
      <c r="EH1237" s="885"/>
      <c r="EI1237" s="885"/>
      <c r="EJ1237" s="885"/>
      <c r="EK1237" s="885"/>
      <c r="EL1237" s="885"/>
      <c r="EM1237" s="885"/>
      <c r="EN1237" s="885"/>
      <c r="EO1237" s="885"/>
      <c r="EP1237" s="885"/>
      <c r="EQ1237" s="885"/>
      <c r="ER1237" s="885"/>
      <c r="ES1237" s="885"/>
      <c r="ET1237" s="885"/>
      <c r="EU1237" s="885"/>
      <c r="EV1237" s="885"/>
      <c r="EW1237" s="885"/>
      <c r="EX1237" s="885"/>
      <c r="EY1237" s="885"/>
      <c r="EZ1237" s="885"/>
      <c r="FA1237" s="885"/>
      <c r="FB1237" s="885"/>
      <c r="FC1237" s="885"/>
      <c r="FD1237" s="885"/>
      <c r="FE1237" s="885"/>
      <c r="FF1237" s="885"/>
      <c r="FG1237" s="885"/>
      <c r="FH1237" s="885"/>
      <c r="FI1237" s="885"/>
      <c r="FJ1237" s="885"/>
      <c r="FK1237" s="885"/>
      <c r="FL1237" s="885"/>
      <c r="FM1237" s="885"/>
      <c r="FN1237" s="885"/>
      <c r="FO1237" s="885"/>
      <c r="FP1237" s="885"/>
      <c r="FQ1237" s="885"/>
      <c r="FR1237" s="885"/>
      <c r="FS1237" s="885"/>
      <c r="FT1237" s="885"/>
      <c r="FU1237" s="885"/>
      <c r="FV1237" s="885"/>
      <c r="FW1237" s="885"/>
      <c r="FX1237" s="885"/>
      <c r="FY1237" s="885"/>
      <c r="FZ1237" s="885"/>
      <c r="GA1237" s="885"/>
      <c r="GB1237" s="885"/>
      <c r="GC1237" s="885"/>
      <c r="GD1237" s="885"/>
      <c r="GE1237" s="885"/>
      <c r="GF1237" s="885"/>
      <c r="GG1237" s="885"/>
      <c r="GH1237" s="885"/>
      <c r="GI1237" s="885"/>
      <c r="GJ1237" s="885"/>
      <c r="GK1237" s="885"/>
      <c r="GL1237" s="885"/>
      <c r="GM1237" s="885"/>
      <c r="GN1237" s="885"/>
      <c r="GO1237" s="885"/>
      <c r="GP1237" s="885"/>
      <c r="GQ1237" s="885"/>
      <c r="GR1237" s="885"/>
      <c r="GS1237" s="885"/>
      <c r="GT1237" s="885"/>
      <c r="GU1237" s="885"/>
      <c r="GV1237" s="885"/>
      <c r="GW1237" s="885"/>
      <c r="GX1237" s="885"/>
      <c r="GY1237" s="885"/>
      <c r="GZ1237" s="885"/>
      <c r="HA1237" s="885"/>
      <c r="HB1237" s="885"/>
      <c r="HC1237" s="885"/>
      <c r="HD1237" s="885"/>
      <c r="HE1237" s="885"/>
      <c r="HF1237" s="885"/>
      <c r="HG1237" s="885"/>
      <c r="HH1237" s="885"/>
      <c r="HI1237" s="885"/>
      <c r="HJ1237" s="885"/>
      <c r="HK1237" s="885"/>
      <c r="HL1237" s="885"/>
      <c r="HM1237" s="885"/>
      <c r="HN1237" s="885"/>
      <c r="HO1237" s="885"/>
      <c r="HP1237" s="885"/>
      <c r="HQ1237" s="885"/>
      <c r="HR1237" s="885"/>
      <c r="HS1237" s="885"/>
      <c r="HT1237" s="885"/>
      <c r="HU1237" s="885"/>
      <c r="HV1237" s="885"/>
      <c r="HW1237" s="885"/>
      <c r="HX1237" s="885"/>
      <c r="HY1237" s="885"/>
      <c r="HZ1237" s="885"/>
      <c r="IA1237" s="885"/>
      <c r="IB1237" s="885"/>
      <c r="IC1237" s="885"/>
      <c r="ID1237" s="885"/>
      <c r="IE1237" s="885"/>
      <c r="IF1237" s="885"/>
      <c r="IG1237" s="885"/>
      <c r="IH1237" s="885"/>
      <c r="II1237" s="885"/>
      <c r="IJ1237" s="885"/>
      <c r="IK1237" s="885"/>
      <c r="IL1237" s="885"/>
      <c r="IM1237" s="885"/>
      <c r="IN1237" s="885"/>
      <c r="IO1237" s="885"/>
      <c r="IP1237" s="885"/>
      <c r="IQ1237" s="885"/>
      <c r="IR1237" s="885"/>
      <c r="IS1237" s="885"/>
      <c r="IT1237" s="885"/>
      <c r="IU1237" s="885"/>
      <c r="IV1237" s="885"/>
      <c r="IW1237" s="885"/>
      <c r="IX1237" s="885"/>
    </row>
    <row r="1238" spans="1:258" x14ac:dyDescent="0.25">
      <c r="A1238" s="125">
        <f t="shared" si="132"/>
        <v>1198</v>
      </c>
      <c r="B1238" s="885"/>
      <c r="C1238" s="842" t="s">
        <v>10771</v>
      </c>
      <c r="D1238" s="924">
        <v>0</v>
      </c>
      <c r="E1238" s="924">
        <f t="shared" si="133"/>
        <v>0</v>
      </c>
      <c r="F1238" s="129">
        <f>F1236*F$83</f>
        <v>200</v>
      </c>
      <c r="G1238" s="122" t="s">
        <v>1963</v>
      </c>
      <c r="H1238" s="885"/>
      <c r="I1238" s="885"/>
      <c r="J1238" s="885"/>
      <c r="K1238" s="885"/>
      <c r="L1238" s="885"/>
      <c r="M1238" s="885"/>
      <c r="N1238" s="885"/>
      <c r="O1238" s="885"/>
      <c r="P1238" s="885"/>
      <c r="Q1238" s="885"/>
      <c r="R1238" s="885"/>
      <c r="S1238" s="885"/>
      <c r="T1238" s="885"/>
      <c r="U1238" s="885"/>
      <c r="V1238" s="885"/>
      <c r="W1238" s="885"/>
      <c r="X1238" s="885"/>
      <c r="Y1238" s="885"/>
      <c r="Z1238" s="885"/>
      <c r="AA1238" s="885"/>
      <c r="AB1238" s="885"/>
      <c r="AC1238" s="885"/>
      <c r="AD1238" s="885"/>
      <c r="AE1238" s="885"/>
      <c r="AF1238" s="885"/>
      <c r="AG1238" s="885"/>
      <c r="AH1238" s="885"/>
      <c r="AI1238" s="885"/>
      <c r="AJ1238" s="885"/>
      <c r="AK1238" s="885"/>
      <c r="AL1238" s="885"/>
      <c r="AM1238" s="885"/>
      <c r="AN1238" s="885"/>
      <c r="AO1238" s="885"/>
      <c r="AP1238" s="885"/>
      <c r="AQ1238" s="885"/>
      <c r="AR1238" s="885"/>
      <c r="AS1238" s="885"/>
      <c r="AT1238" s="885"/>
      <c r="AU1238" s="885"/>
      <c r="AV1238" s="885"/>
      <c r="AW1238" s="885"/>
      <c r="AX1238" s="885"/>
      <c r="AY1238" s="885"/>
      <c r="AZ1238" s="885"/>
      <c r="BA1238" s="885"/>
      <c r="BB1238" s="885"/>
      <c r="BC1238" s="885"/>
      <c r="BD1238" s="885"/>
      <c r="BE1238" s="885"/>
      <c r="BF1238" s="885"/>
      <c r="BG1238" s="885"/>
      <c r="BH1238" s="885"/>
      <c r="BI1238" s="885"/>
      <c r="BJ1238" s="885"/>
      <c r="BK1238" s="885"/>
      <c r="BL1238" s="885"/>
      <c r="BM1238" s="885"/>
      <c r="BN1238" s="885"/>
      <c r="BO1238" s="885"/>
      <c r="BP1238" s="885"/>
      <c r="BQ1238" s="885"/>
      <c r="BR1238" s="885"/>
      <c r="BS1238" s="885"/>
      <c r="BT1238" s="885"/>
      <c r="BU1238" s="885"/>
      <c r="BV1238" s="885"/>
      <c r="BW1238" s="885"/>
      <c r="BX1238" s="885"/>
      <c r="BY1238" s="885"/>
      <c r="BZ1238" s="885"/>
      <c r="CA1238" s="885"/>
      <c r="CB1238" s="885"/>
      <c r="CC1238" s="885"/>
      <c r="CD1238" s="885"/>
      <c r="CE1238" s="885"/>
      <c r="CF1238" s="885"/>
      <c r="CG1238" s="885"/>
      <c r="CH1238" s="885"/>
      <c r="CI1238" s="885"/>
      <c r="CJ1238" s="885"/>
      <c r="CK1238" s="885"/>
      <c r="CL1238" s="885"/>
      <c r="CM1238" s="885"/>
      <c r="CN1238" s="885"/>
      <c r="CO1238" s="885"/>
      <c r="CP1238" s="885"/>
      <c r="CQ1238" s="885"/>
      <c r="CR1238" s="885"/>
      <c r="CS1238" s="885"/>
      <c r="CT1238" s="885"/>
      <c r="CU1238" s="885"/>
      <c r="CV1238" s="885"/>
      <c r="CW1238" s="885"/>
      <c r="CX1238" s="885"/>
      <c r="CY1238" s="885"/>
      <c r="CZ1238" s="885"/>
      <c r="DA1238" s="885"/>
      <c r="DB1238" s="885"/>
      <c r="DC1238" s="885"/>
      <c r="DD1238" s="885"/>
      <c r="DE1238" s="885"/>
      <c r="DF1238" s="885"/>
      <c r="DG1238" s="885"/>
      <c r="DH1238" s="885"/>
      <c r="DI1238" s="885"/>
      <c r="DJ1238" s="885"/>
      <c r="DK1238" s="885"/>
      <c r="DL1238" s="885"/>
      <c r="DM1238" s="885"/>
      <c r="DN1238" s="885"/>
      <c r="DO1238" s="885"/>
      <c r="DP1238" s="885"/>
      <c r="DQ1238" s="885"/>
      <c r="DR1238" s="885"/>
      <c r="DS1238" s="885"/>
      <c r="DT1238" s="885"/>
      <c r="DU1238" s="885"/>
      <c r="DV1238" s="885"/>
      <c r="DW1238" s="885"/>
      <c r="DX1238" s="885"/>
      <c r="DY1238" s="885"/>
      <c r="DZ1238" s="885"/>
      <c r="EA1238" s="885"/>
      <c r="EB1238" s="885"/>
      <c r="EC1238" s="885"/>
      <c r="ED1238" s="885"/>
      <c r="EE1238" s="885"/>
      <c r="EF1238" s="885"/>
      <c r="EG1238" s="885"/>
      <c r="EH1238" s="885"/>
      <c r="EI1238" s="885"/>
      <c r="EJ1238" s="885"/>
      <c r="EK1238" s="885"/>
      <c r="EL1238" s="885"/>
      <c r="EM1238" s="885"/>
      <c r="EN1238" s="885"/>
      <c r="EO1238" s="885"/>
      <c r="EP1238" s="885"/>
      <c r="EQ1238" s="885"/>
      <c r="ER1238" s="885"/>
      <c r="ES1238" s="885"/>
      <c r="ET1238" s="885"/>
      <c r="EU1238" s="885"/>
      <c r="EV1238" s="885"/>
      <c r="EW1238" s="885"/>
      <c r="EX1238" s="885"/>
      <c r="EY1238" s="885"/>
      <c r="EZ1238" s="885"/>
      <c r="FA1238" s="885"/>
      <c r="FB1238" s="885"/>
      <c r="FC1238" s="885"/>
      <c r="FD1238" s="885"/>
      <c r="FE1238" s="885"/>
      <c r="FF1238" s="885"/>
      <c r="FG1238" s="885"/>
      <c r="FH1238" s="885"/>
      <c r="FI1238" s="885"/>
      <c r="FJ1238" s="885"/>
      <c r="FK1238" s="885"/>
      <c r="FL1238" s="885"/>
      <c r="FM1238" s="885"/>
      <c r="FN1238" s="885"/>
      <c r="FO1238" s="885"/>
      <c r="FP1238" s="885"/>
      <c r="FQ1238" s="885"/>
      <c r="FR1238" s="885"/>
      <c r="FS1238" s="885"/>
      <c r="FT1238" s="885"/>
      <c r="FU1238" s="885"/>
      <c r="FV1238" s="885"/>
      <c r="FW1238" s="885"/>
      <c r="FX1238" s="885"/>
      <c r="FY1238" s="885"/>
      <c r="FZ1238" s="885"/>
      <c r="GA1238" s="885"/>
      <c r="GB1238" s="885"/>
      <c r="GC1238" s="885"/>
      <c r="GD1238" s="885"/>
      <c r="GE1238" s="885"/>
      <c r="GF1238" s="885"/>
      <c r="GG1238" s="885"/>
      <c r="GH1238" s="885"/>
      <c r="GI1238" s="885"/>
      <c r="GJ1238" s="885"/>
      <c r="GK1238" s="885"/>
      <c r="GL1238" s="885"/>
      <c r="GM1238" s="885"/>
      <c r="GN1238" s="885"/>
      <c r="GO1238" s="885"/>
      <c r="GP1238" s="885"/>
      <c r="GQ1238" s="885"/>
      <c r="GR1238" s="885"/>
      <c r="GS1238" s="885"/>
      <c r="GT1238" s="885"/>
      <c r="GU1238" s="885"/>
      <c r="GV1238" s="885"/>
      <c r="GW1238" s="885"/>
      <c r="GX1238" s="885"/>
      <c r="GY1238" s="885"/>
      <c r="GZ1238" s="885"/>
      <c r="HA1238" s="885"/>
      <c r="HB1238" s="885"/>
      <c r="HC1238" s="885"/>
      <c r="HD1238" s="885"/>
      <c r="HE1238" s="885"/>
      <c r="HF1238" s="885"/>
      <c r="HG1238" s="885"/>
      <c r="HH1238" s="885"/>
      <c r="HI1238" s="885"/>
      <c r="HJ1238" s="885"/>
      <c r="HK1238" s="885"/>
      <c r="HL1238" s="885"/>
      <c r="HM1238" s="885"/>
      <c r="HN1238" s="885"/>
      <c r="HO1238" s="885"/>
      <c r="HP1238" s="885"/>
      <c r="HQ1238" s="885"/>
      <c r="HR1238" s="885"/>
      <c r="HS1238" s="885"/>
      <c r="HT1238" s="885"/>
      <c r="HU1238" s="885"/>
      <c r="HV1238" s="885"/>
      <c r="HW1238" s="885"/>
      <c r="HX1238" s="885"/>
      <c r="HY1238" s="885"/>
      <c r="HZ1238" s="885"/>
      <c r="IA1238" s="885"/>
      <c r="IB1238" s="885"/>
      <c r="IC1238" s="885"/>
      <c r="ID1238" s="885"/>
      <c r="IE1238" s="885"/>
      <c r="IF1238" s="885"/>
      <c r="IG1238" s="885"/>
      <c r="IH1238" s="885"/>
      <c r="II1238" s="885"/>
      <c r="IJ1238" s="885"/>
      <c r="IK1238" s="885"/>
      <c r="IL1238" s="885"/>
      <c r="IM1238" s="885"/>
      <c r="IN1238" s="885"/>
      <c r="IO1238" s="885"/>
      <c r="IP1238" s="885"/>
      <c r="IQ1238" s="885"/>
      <c r="IR1238" s="885"/>
      <c r="IS1238" s="885"/>
      <c r="IT1238" s="885"/>
      <c r="IU1238" s="885"/>
      <c r="IV1238" s="885"/>
      <c r="IW1238" s="885"/>
      <c r="IX1238" s="885"/>
    </row>
    <row r="1239" spans="1:258" x14ac:dyDescent="0.25">
      <c r="A1239" s="125">
        <f t="shared" si="132"/>
        <v>1199</v>
      </c>
      <c r="B1239" s="885"/>
      <c r="C1239" s="842" t="s">
        <v>10772</v>
      </c>
      <c r="D1239" s="924">
        <v>0</v>
      </c>
      <c r="E1239" s="924">
        <f t="shared" si="133"/>
        <v>0</v>
      </c>
      <c r="F1239" s="129">
        <v>2500</v>
      </c>
      <c r="G1239" s="122" t="s">
        <v>1963</v>
      </c>
      <c r="H1239" s="885"/>
      <c r="I1239" s="885"/>
      <c r="J1239" s="885"/>
      <c r="K1239" s="885"/>
      <c r="L1239" s="885"/>
      <c r="M1239" s="885"/>
      <c r="N1239" s="885"/>
      <c r="O1239" s="885"/>
      <c r="P1239" s="885"/>
      <c r="Q1239" s="885"/>
      <c r="R1239" s="885"/>
      <c r="S1239" s="885"/>
      <c r="T1239" s="885"/>
      <c r="U1239" s="885"/>
      <c r="V1239" s="885"/>
      <c r="W1239" s="885"/>
      <c r="X1239" s="885"/>
      <c r="Y1239" s="885"/>
      <c r="Z1239" s="885"/>
      <c r="AA1239" s="885"/>
      <c r="AB1239" s="885"/>
      <c r="AC1239" s="885"/>
      <c r="AD1239" s="885"/>
      <c r="AE1239" s="885"/>
      <c r="AF1239" s="885"/>
      <c r="AG1239" s="885"/>
      <c r="AH1239" s="885"/>
      <c r="AI1239" s="885"/>
      <c r="AJ1239" s="885"/>
      <c r="AK1239" s="885"/>
      <c r="AL1239" s="885"/>
      <c r="AM1239" s="885"/>
      <c r="AN1239" s="885"/>
      <c r="AO1239" s="885"/>
      <c r="AP1239" s="885"/>
      <c r="AQ1239" s="885"/>
      <c r="AR1239" s="885"/>
      <c r="AS1239" s="885"/>
      <c r="AT1239" s="885"/>
      <c r="AU1239" s="885"/>
      <c r="AV1239" s="885"/>
      <c r="AW1239" s="885"/>
      <c r="AX1239" s="885"/>
      <c r="AY1239" s="885"/>
      <c r="AZ1239" s="885"/>
      <c r="BA1239" s="885"/>
      <c r="BB1239" s="885"/>
      <c r="BC1239" s="885"/>
      <c r="BD1239" s="885"/>
      <c r="BE1239" s="885"/>
      <c r="BF1239" s="885"/>
      <c r="BG1239" s="885"/>
      <c r="BH1239" s="885"/>
      <c r="BI1239" s="885"/>
      <c r="BJ1239" s="885"/>
      <c r="BK1239" s="885"/>
      <c r="BL1239" s="885"/>
      <c r="BM1239" s="885"/>
      <c r="BN1239" s="885"/>
      <c r="BO1239" s="885"/>
      <c r="BP1239" s="885"/>
      <c r="BQ1239" s="885"/>
      <c r="BR1239" s="885"/>
      <c r="BS1239" s="885"/>
      <c r="BT1239" s="885"/>
      <c r="BU1239" s="885"/>
      <c r="BV1239" s="885"/>
      <c r="BW1239" s="885"/>
      <c r="BX1239" s="885"/>
      <c r="BY1239" s="885"/>
      <c r="BZ1239" s="885"/>
      <c r="CA1239" s="885"/>
      <c r="CB1239" s="885"/>
      <c r="CC1239" s="885"/>
      <c r="CD1239" s="885"/>
      <c r="CE1239" s="885"/>
      <c r="CF1239" s="885"/>
      <c r="CG1239" s="885"/>
      <c r="CH1239" s="885"/>
      <c r="CI1239" s="885"/>
      <c r="CJ1239" s="885"/>
      <c r="CK1239" s="885"/>
      <c r="CL1239" s="885"/>
      <c r="CM1239" s="885"/>
      <c r="CN1239" s="885"/>
      <c r="CO1239" s="885"/>
      <c r="CP1239" s="885"/>
      <c r="CQ1239" s="885"/>
      <c r="CR1239" s="885"/>
      <c r="CS1239" s="885"/>
      <c r="CT1239" s="885"/>
      <c r="CU1239" s="885"/>
      <c r="CV1239" s="885"/>
      <c r="CW1239" s="885"/>
      <c r="CX1239" s="885"/>
      <c r="CY1239" s="885"/>
      <c r="CZ1239" s="885"/>
      <c r="DA1239" s="885"/>
      <c r="DB1239" s="885"/>
      <c r="DC1239" s="885"/>
      <c r="DD1239" s="885"/>
      <c r="DE1239" s="885"/>
      <c r="DF1239" s="885"/>
      <c r="DG1239" s="885"/>
      <c r="DH1239" s="885"/>
      <c r="DI1239" s="885"/>
      <c r="DJ1239" s="885"/>
      <c r="DK1239" s="885"/>
      <c r="DL1239" s="885"/>
      <c r="DM1239" s="885"/>
      <c r="DN1239" s="885"/>
      <c r="DO1239" s="885"/>
      <c r="DP1239" s="885"/>
      <c r="DQ1239" s="885"/>
      <c r="DR1239" s="885"/>
      <c r="DS1239" s="885"/>
      <c r="DT1239" s="885"/>
      <c r="DU1239" s="885"/>
      <c r="DV1239" s="885"/>
      <c r="DW1239" s="885"/>
      <c r="DX1239" s="885"/>
      <c r="DY1239" s="885"/>
      <c r="DZ1239" s="885"/>
      <c r="EA1239" s="885"/>
      <c r="EB1239" s="885"/>
      <c r="EC1239" s="885"/>
      <c r="ED1239" s="885"/>
      <c r="EE1239" s="885"/>
      <c r="EF1239" s="885"/>
      <c r="EG1239" s="885"/>
      <c r="EH1239" s="885"/>
      <c r="EI1239" s="885"/>
      <c r="EJ1239" s="885"/>
      <c r="EK1239" s="885"/>
      <c r="EL1239" s="885"/>
      <c r="EM1239" s="885"/>
      <c r="EN1239" s="885"/>
      <c r="EO1239" s="885"/>
      <c r="EP1239" s="885"/>
      <c r="EQ1239" s="885"/>
      <c r="ER1239" s="885"/>
      <c r="ES1239" s="885"/>
      <c r="ET1239" s="885"/>
      <c r="EU1239" s="885"/>
      <c r="EV1239" s="885"/>
      <c r="EW1239" s="885"/>
      <c r="EX1239" s="885"/>
      <c r="EY1239" s="885"/>
      <c r="EZ1239" s="885"/>
      <c r="FA1239" s="885"/>
      <c r="FB1239" s="885"/>
      <c r="FC1239" s="885"/>
      <c r="FD1239" s="885"/>
      <c r="FE1239" s="885"/>
      <c r="FF1239" s="885"/>
      <c r="FG1239" s="885"/>
      <c r="FH1239" s="885"/>
      <c r="FI1239" s="885"/>
      <c r="FJ1239" s="885"/>
      <c r="FK1239" s="885"/>
      <c r="FL1239" s="885"/>
      <c r="FM1239" s="885"/>
      <c r="FN1239" s="885"/>
      <c r="FO1239" s="885"/>
      <c r="FP1239" s="885"/>
      <c r="FQ1239" s="885"/>
      <c r="FR1239" s="885"/>
      <c r="FS1239" s="885"/>
      <c r="FT1239" s="885"/>
      <c r="FU1239" s="885"/>
      <c r="FV1239" s="885"/>
      <c r="FW1239" s="885"/>
      <c r="FX1239" s="885"/>
      <c r="FY1239" s="885"/>
      <c r="FZ1239" s="885"/>
      <c r="GA1239" s="885"/>
      <c r="GB1239" s="885"/>
      <c r="GC1239" s="885"/>
      <c r="GD1239" s="885"/>
      <c r="GE1239" s="885"/>
      <c r="GF1239" s="885"/>
      <c r="GG1239" s="885"/>
      <c r="GH1239" s="885"/>
      <c r="GI1239" s="885"/>
      <c r="GJ1239" s="885"/>
      <c r="GK1239" s="885"/>
      <c r="GL1239" s="885"/>
      <c r="GM1239" s="885"/>
      <c r="GN1239" s="885"/>
      <c r="GO1239" s="885"/>
      <c r="GP1239" s="885"/>
      <c r="GQ1239" s="885"/>
      <c r="GR1239" s="885"/>
      <c r="GS1239" s="885"/>
      <c r="GT1239" s="885"/>
      <c r="GU1239" s="885"/>
      <c r="GV1239" s="885"/>
      <c r="GW1239" s="885"/>
      <c r="GX1239" s="885"/>
      <c r="GY1239" s="885"/>
      <c r="GZ1239" s="885"/>
      <c r="HA1239" s="885"/>
      <c r="HB1239" s="885"/>
      <c r="HC1239" s="885"/>
      <c r="HD1239" s="885"/>
      <c r="HE1239" s="885"/>
      <c r="HF1239" s="885"/>
      <c r="HG1239" s="885"/>
      <c r="HH1239" s="885"/>
      <c r="HI1239" s="885"/>
      <c r="HJ1239" s="885"/>
      <c r="HK1239" s="885"/>
      <c r="HL1239" s="885"/>
      <c r="HM1239" s="885"/>
      <c r="HN1239" s="885"/>
      <c r="HO1239" s="885"/>
      <c r="HP1239" s="885"/>
      <c r="HQ1239" s="885"/>
      <c r="HR1239" s="885"/>
      <c r="HS1239" s="885"/>
      <c r="HT1239" s="885"/>
      <c r="HU1239" s="885"/>
      <c r="HV1239" s="885"/>
      <c r="HW1239" s="885"/>
      <c r="HX1239" s="885"/>
      <c r="HY1239" s="885"/>
      <c r="HZ1239" s="885"/>
      <c r="IA1239" s="885"/>
      <c r="IB1239" s="885"/>
      <c r="IC1239" s="885"/>
      <c r="ID1239" s="885"/>
      <c r="IE1239" s="885"/>
      <c r="IF1239" s="885"/>
      <c r="IG1239" s="885"/>
      <c r="IH1239" s="885"/>
      <c r="II1239" s="885"/>
      <c r="IJ1239" s="885"/>
      <c r="IK1239" s="885"/>
      <c r="IL1239" s="885"/>
      <c r="IM1239" s="885"/>
      <c r="IN1239" s="885"/>
      <c r="IO1239" s="885"/>
      <c r="IP1239" s="885"/>
      <c r="IQ1239" s="885"/>
      <c r="IR1239" s="885"/>
      <c r="IS1239" s="885"/>
      <c r="IT1239" s="885"/>
      <c r="IU1239" s="885"/>
      <c r="IV1239" s="885"/>
      <c r="IW1239" s="885"/>
      <c r="IX1239" s="885"/>
    </row>
    <row r="1240" spans="1:258" x14ac:dyDescent="0.25">
      <c r="A1240" s="125">
        <f t="shared" si="132"/>
        <v>1200</v>
      </c>
      <c r="B1240" s="885"/>
      <c r="C1240" s="842" t="s">
        <v>10773</v>
      </c>
      <c r="D1240" s="924">
        <v>0</v>
      </c>
      <c r="E1240" s="924">
        <f t="shared" si="133"/>
        <v>0</v>
      </c>
      <c r="F1240" s="129">
        <v>15000</v>
      </c>
      <c r="G1240" s="122" t="s">
        <v>1963</v>
      </c>
      <c r="H1240" s="885"/>
      <c r="I1240" s="885"/>
      <c r="J1240" s="885"/>
      <c r="K1240" s="885"/>
      <c r="L1240" s="885"/>
      <c r="M1240" s="885"/>
      <c r="N1240" s="885"/>
      <c r="O1240" s="885"/>
      <c r="P1240" s="885"/>
      <c r="Q1240" s="885"/>
      <c r="R1240" s="885"/>
      <c r="S1240" s="885"/>
      <c r="T1240" s="885"/>
      <c r="U1240" s="885"/>
      <c r="V1240" s="885"/>
      <c r="W1240" s="885"/>
      <c r="X1240" s="885"/>
      <c r="Y1240" s="885"/>
      <c r="Z1240" s="885"/>
      <c r="AA1240" s="885"/>
      <c r="AB1240" s="885"/>
      <c r="AC1240" s="885"/>
      <c r="AD1240" s="885"/>
      <c r="AE1240" s="885"/>
      <c r="AF1240" s="885"/>
      <c r="AG1240" s="885"/>
      <c r="AH1240" s="885"/>
      <c r="AI1240" s="885"/>
      <c r="AJ1240" s="885"/>
      <c r="AK1240" s="885"/>
      <c r="AL1240" s="885"/>
      <c r="AM1240" s="885"/>
      <c r="AN1240" s="885"/>
      <c r="AO1240" s="885"/>
      <c r="AP1240" s="885"/>
      <c r="AQ1240" s="885"/>
      <c r="AR1240" s="885"/>
      <c r="AS1240" s="885"/>
      <c r="AT1240" s="885"/>
      <c r="AU1240" s="885"/>
      <c r="AV1240" s="885"/>
      <c r="AW1240" s="885"/>
      <c r="AX1240" s="885"/>
      <c r="AY1240" s="885"/>
      <c r="AZ1240" s="885"/>
      <c r="BA1240" s="885"/>
      <c r="BB1240" s="885"/>
      <c r="BC1240" s="885"/>
      <c r="BD1240" s="885"/>
      <c r="BE1240" s="885"/>
      <c r="BF1240" s="885"/>
      <c r="BG1240" s="885"/>
      <c r="BH1240" s="885"/>
      <c r="BI1240" s="885"/>
      <c r="BJ1240" s="885"/>
      <c r="BK1240" s="885"/>
      <c r="BL1240" s="885"/>
      <c r="BM1240" s="885"/>
      <c r="BN1240" s="885"/>
      <c r="BO1240" s="885"/>
      <c r="BP1240" s="885"/>
      <c r="BQ1240" s="885"/>
      <c r="BR1240" s="885"/>
      <c r="BS1240" s="885"/>
      <c r="BT1240" s="885"/>
      <c r="BU1240" s="885"/>
      <c r="BV1240" s="885"/>
      <c r="BW1240" s="885"/>
      <c r="BX1240" s="885"/>
      <c r="BY1240" s="885"/>
      <c r="BZ1240" s="885"/>
      <c r="CA1240" s="885"/>
      <c r="CB1240" s="885"/>
      <c r="CC1240" s="885"/>
      <c r="CD1240" s="885"/>
      <c r="CE1240" s="885"/>
      <c r="CF1240" s="885"/>
      <c r="CG1240" s="885"/>
      <c r="CH1240" s="885"/>
      <c r="CI1240" s="885"/>
      <c r="CJ1240" s="885"/>
      <c r="CK1240" s="885"/>
      <c r="CL1240" s="885"/>
      <c r="CM1240" s="885"/>
      <c r="CN1240" s="885"/>
      <c r="CO1240" s="885"/>
      <c r="CP1240" s="885"/>
      <c r="CQ1240" s="885"/>
      <c r="CR1240" s="885"/>
      <c r="CS1240" s="885"/>
      <c r="CT1240" s="885"/>
      <c r="CU1240" s="885"/>
      <c r="CV1240" s="885"/>
      <c r="CW1240" s="885"/>
      <c r="CX1240" s="885"/>
      <c r="CY1240" s="885"/>
      <c r="CZ1240" s="885"/>
      <c r="DA1240" s="885"/>
      <c r="DB1240" s="885"/>
      <c r="DC1240" s="885"/>
      <c r="DD1240" s="885"/>
      <c r="DE1240" s="885"/>
      <c r="DF1240" s="885"/>
      <c r="DG1240" s="885"/>
      <c r="DH1240" s="885"/>
      <c r="DI1240" s="885"/>
      <c r="DJ1240" s="885"/>
      <c r="DK1240" s="885"/>
      <c r="DL1240" s="885"/>
      <c r="DM1240" s="885"/>
      <c r="DN1240" s="885"/>
      <c r="DO1240" s="885"/>
      <c r="DP1240" s="885"/>
      <c r="DQ1240" s="885"/>
      <c r="DR1240" s="885"/>
      <c r="DS1240" s="885"/>
      <c r="DT1240" s="885"/>
      <c r="DU1240" s="885"/>
      <c r="DV1240" s="885"/>
      <c r="DW1240" s="885"/>
      <c r="DX1240" s="885"/>
      <c r="DY1240" s="885"/>
      <c r="DZ1240" s="885"/>
      <c r="EA1240" s="885"/>
      <c r="EB1240" s="885"/>
      <c r="EC1240" s="885"/>
      <c r="ED1240" s="885"/>
      <c r="EE1240" s="885"/>
      <c r="EF1240" s="885"/>
      <c r="EG1240" s="885"/>
      <c r="EH1240" s="885"/>
      <c r="EI1240" s="885"/>
      <c r="EJ1240" s="885"/>
      <c r="EK1240" s="885"/>
      <c r="EL1240" s="885"/>
      <c r="EM1240" s="885"/>
      <c r="EN1240" s="885"/>
      <c r="EO1240" s="885"/>
      <c r="EP1240" s="885"/>
      <c r="EQ1240" s="885"/>
      <c r="ER1240" s="885"/>
      <c r="ES1240" s="885"/>
      <c r="ET1240" s="885"/>
      <c r="EU1240" s="885"/>
      <c r="EV1240" s="885"/>
      <c r="EW1240" s="885"/>
      <c r="EX1240" s="885"/>
      <c r="EY1240" s="885"/>
      <c r="EZ1240" s="885"/>
      <c r="FA1240" s="885"/>
      <c r="FB1240" s="885"/>
      <c r="FC1240" s="885"/>
      <c r="FD1240" s="885"/>
      <c r="FE1240" s="885"/>
      <c r="FF1240" s="885"/>
      <c r="FG1240" s="885"/>
      <c r="FH1240" s="885"/>
      <c r="FI1240" s="885"/>
      <c r="FJ1240" s="885"/>
      <c r="FK1240" s="885"/>
      <c r="FL1240" s="885"/>
      <c r="FM1240" s="885"/>
      <c r="FN1240" s="885"/>
      <c r="FO1240" s="885"/>
      <c r="FP1240" s="885"/>
      <c r="FQ1240" s="885"/>
      <c r="FR1240" s="885"/>
      <c r="FS1240" s="885"/>
      <c r="FT1240" s="885"/>
      <c r="FU1240" s="885"/>
      <c r="FV1240" s="885"/>
      <c r="FW1240" s="885"/>
      <c r="FX1240" s="885"/>
      <c r="FY1240" s="885"/>
      <c r="FZ1240" s="885"/>
      <c r="GA1240" s="885"/>
      <c r="GB1240" s="885"/>
      <c r="GC1240" s="885"/>
      <c r="GD1240" s="885"/>
      <c r="GE1240" s="885"/>
      <c r="GF1240" s="885"/>
      <c r="GG1240" s="885"/>
      <c r="GH1240" s="885"/>
      <c r="GI1240" s="885"/>
      <c r="GJ1240" s="885"/>
      <c r="GK1240" s="885"/>
      <c r="GL1240" s="885"/>
      <c r="GM1240" s="885"/>
      <c r="GN1240" s="885"/>
      <c r="GO1240" s="885"/>
      <c r="GP1240" s="885"/>
      <c r="GQ1240" s="885"/>
      <c r="GR1240" s="885"/>
      <c r="GS1240" s="885"/>
      <c r="GT1240" s="885"/>
      <c r="GU1240" s="885"/>
      <c r="GV1240" s="885"/>
      <c r="GW1240" s="885"/>
      <c r="GX1240" s="885"/>
      <c r="GY1240" s="885"/>
      <c r="GZ1240" s="885"/>
      <c r="HA1240" s="885"/>
      <c r="HB1240" s="885"/>
      <c r="HC1240" s="885"/>
      <c r="HD1240" s="885"/>
      <c r="HE1240" s="885"/>
      <c r="HF1240" s="885"/>
      <c r="HG1240" s="885"/>
      <c r="HH1240" s="885"/>
      <c r="HI1240" s="885"/>
      <c r="HJ1240" s="885"/>
      <c r="HK1240" s="885"/>
      <c r="HL1240" s="885"/>
      <c r="HM1240" s="885"/>
      <c r="HN1240" s="885"/>
      <c r="HO1240" s="885"/>
      <c r="HP1240" s="885"/>
      <c r="HQ1240" s="885"/>
      <c r="HR1240" s="885"/>
      <c r="HS1240" s="885"/>
      <c r="HT1240" s="885"/>
      <c r="HU1240" s="885"/>
      <c r="HV1240" s="885"/>
      <c r="HW1240" s="885"/>
      <c r="HX1240" s="885"/>
      <c r="HY1240" s="885"/>
      <c r="HZ1240" s="885"/>
      <c r="IA1240" s="885"/>
      <c r="IB1240" s="885"/>
      <c r="IC1240" s="885"/>
      <c r="ID1240" s="885"/>
      <c r="IE1240" s="885"/>
      <c r="IF1240" s="885"/>
      <c r="IG1240" s="885"/>
      <c r="IH1240" s="885"/>
      <c r="II1240" s="885"/>
      <c r="IJ1240" s="885"/>
      <c r="IK1240" s="885"/>
      <c r="IL1240" s="885"/>
      <c r="IM1240" s="885"/>
      <c r="IN1240" s="885"/>
      <c r="IO1240" s="885"/>
      <c r="IP1240" s="885"/>
      <c r="IQ1240" s="885"/>
      <c r="IR1240" s="885"/>
      <c r="IS1240" s="885"/>
      <c r="IT1240" s="885"/>
      <c r="IU1240" s="885"/>
      <c r="IV1240" s="885"/>
      <c r="IW1240" s="885"/>
      <c r="IX1240" s="885"/>
    </row>
    <row r="1241" spans="1:258" x14ac:dyDescent="0.25">
      <c r="A1241" s="125">
        <f t="shared" si="132"/>
        <v>1201</v>
      </c>
      <c r="B1241" s="885"/>
      <c r="C1241" s="927" t="s">
        <v>10774</v>
      </c>
      <c r="D1241" s="928"/>
      <c r="E1241" s="928"/>
      <c r="F1241" s="129"/>
      <c r="H1241" s="885"/>
      <c r="I1241" s="885"/>
      <c r="J1241" s="885"/>
      <c r="K1241" s="885"/>
      <c r="L1241" s="885"/>
      <c r="M1241" s="885"/>
      <c r="N1241" s="885"/>
      <c r="O1241" s="885"/>
      <c r="P1241" s="885"/>
      <c r="Q1241" s="885"/>
      <c r="R1241" s="885"/>
      <c r="S1241" s="885"/>
      <c r="T1241" s="885"/>
      <c r="U1241" s="885"/>
      <c r="V1241" s="885"/>
      <c r="W1241" s="885"/>
      <c r="X1241" s="885"/>
      <c r="Y1241" s="885"/>
      <c r="Z1241" s="885"/>
      <c r="AA1241" s="885"/>
      <c r="AB1241" s="885"/>
      <c r="AC1241" s="885"/>
      <c r="AD1241" s="885"/>
      <c r="AE1241" s="885"/>
      <c r="AF1241" s="885"/>
      <c r="AG1241" s="885"/>
      <c r="AH1241" s="885"/>
      <c r="AI1241" s="885"/>
      <c r="AJ1241" s="885"/>
      <c r="AK1241" s="885"/>
      <c r="AL1241" s="885"/>
      <c r="AM1241" s="885"/>
      <c r="AN1241" s="885"/>
      <c r="AO1241" s="885"/>
      <c r="AP1241" s="885"/>
      <c r="AQ1241" s="885"/>
      <c r="AR1241" s="885"/>
      <c r="AS1241" s="885"/>
      <c r="AT1241" s="885"/>
      <c r="AU1241" s="885"/>
      <c r="AV1241" s="885"/>
      <c r="AW1241" s="885"/>
      <c r="AX1241" s="885"/>
      <c r="AY1241" s="885"/>
      <c r="AZ1241" s="885"/>
      <c r="BA1241" s="885"/>
      <c r="BB1241" s="885"/>
      <c r="BC1241" s="885"/>
      <c r="BD1241" s="885"/>
      <c r="BE1241" s="885"/>
      <c r="BF1241" s="885"/>
      <c r="BG1241" s="885"/>
      <c r="BH1241" s="885"/>
      <c r="BI1241" s="885"/>
      <c r="BJ1241" s="885"/>
      <c r="BK1241" s="885"/>
      <c r="BL1241" s="885"/>
      <c r="BM1241" s="885"/>
      <c r="BN1241" s="885"/>
      <c r="BO1241" s="885"/>
      <c r="BP1241" s="885"/>
      <c r="BQ1241" s="885"/>
      <c r="BR1241" s="885"/>
      <c r="BS1241" s="885"/>
      <c r="BT1241" s="885"/>
      <c r="BU1241" s="885"/>
      <c r="BV1241" s="885"/>
      <c r="BW1241" s="885"/>
      <c r="BX1241" s="885"/>
      <c r="BY1241" s="885"/>
      <c r="BZ1241" s="885"/>
      <c r="CA1241" s="885"/>
      <c r="CB1241" s="885"/>
      <c r="CC1241" s="885"/>
      <c r="CD1241" s="885"/>
      <c r="CE1241" s="885"/>
      <c r="CF1241" s="885"/>
      <c r="CG1241" s="885"/>
      <c r="CH1241" s="885"/>
      <c r="CI1241" s="885"/>
      <c r="CJ1241" s="885"/>
      <c r="CK1241" s="885"/>
      <c r="CL1241" s="885"/>
      <c r="CM1241" s="885"/>
      <c r="CN1241" s="885"/>
      <c r="CO1241" s="885"/>
      <c r="CP1241" s="885"/>
      <c r="CQ1241" s="885"/>
      <c r="CR1241" s="885"/>
      <c r="CS1241" s="885"/>
      <c r="CT1241" s="885"/>
      <c r="CU1241" s="885"/>
      <c r="CV1241" s="885"/>
      <c r="CW1241" s="885"/>
      <c r="CX1241" s="885"/>
      <c r="CY1241" s="885"/>
      <c r="CZ1241" s="885"/>
      <c r="DA1241" s="885"/>
      <c r="DB1241" s="885"/>
      <c r="DC1241" s="885"/>
      <c r="DD1241" s="885"/>
      <c r="DE1241" s="885"/>
      <c r="DF1241" s="885"/>
      <c r="DG1241" s="885"/>
      <c r="DH1241" s="885"/>
      <c r="DI1241" s="885"/>
      <c r="DJ1241" s="885"/>
      <c r="DK1241" s="885"/>
      <c r="DL1241" s="885"/>
      <c r="DM1241" s="885"/>
      <c r="DN1241" s="885"/>
      <c r="DO1241" s="885"/>
      <c r="DP1241" s="885"/>
      <c r="DQ1241" s="885"/>
      <c r="DR1241" s="885"/>
      <c r="DS1241" s="885"/>
      <c r="DT1241" s="885"/>
      <c r="DU1241" s="885"/>
      <c r="DV1241" s="885"/>
      <c r="DW1241" s="885"/>
      <c r="DX1241" s="885"/>
      <c r="DY1241" s="885"/>
      <c r="DZ1241" s="885"/>
      <c r="EA1241" s="885"/>
      <c r="EB1241" s="885"/>
      <c r="EC1241" s="885"/>
      <c r="ED1241" s="885"/>
      <c r="EE1241" s="885"/>
      <c r="EF1241" s="885"/>
      <c r="EG1241" s="885"/>
      <c r="EH1241" s="885"/>
      <c r="EI1241" s="885"/>
      <c r="EJ1241" s="885"/>
      <c r="EK1241" s="885"/>
      <c r="EL1241" s="885"/>
      <c r="EM1241" s="885"/>
      <c r="EN1241" s="885"/>
      <c r="EO1241" s="885"/>
      <c r="EP1241" s="885"/>
      <c r="EQ1241" s="885"/>
      <c r="ER1241" s="885"/>
      <c r="ES1241" s="885"/>
      <c r="ET1241" s="885"/>
      <c r="EU1241" s="885"/>
      <c r="EV1241" s="885"/>
      <c r="EW1241" s="885"/>
      <c r="EX1241" s="885"/>
      <c r="EY1241" s="885"/>
      <c r="EZ1241" s="885"/>
      <c r="FA1241" s="885"/>
      <c r="FB1241" s="885"/>
      <c r="FC1241" s="885"/>
      <c r="FD1241" s="885"/>
      <c r="FE1241" s="885"/>
      <c r="FF1241" s="885"/>
      <c r="FG1241" s="885"/>
      <c r="FH1241" s="885"/>
      <c r="FI1241" s="885"/>
      <c r="FJ1241" s="885"/>
      <c r="FK1241" s="885"/>
      <c r="FL1241" s="885"/>
      <c r="FM1241" s="885"/>
      <c r="FN1241" s="885"/>
      <c r="FO1241" s="885"/>
      <c r="FP1241" s="885"/>
      <c r="FQ1241" s="885"/>
      <c r="FR1241" s="885"/>
      <c r="FS1241" s="885"/>
      <c r="FT1241" s="885"/>
      <c r="FU1241" s="885"/>
      <c r="FV1241" s="885"/>
      <c r="FW1241" s="885"/>
      <c r="FX1241" s="885"/>
      <c r="FY1241" s="885"/>
      <c r="FZ1241" s="885"/>
      <c r="GA1241" s="885"/>
      <c r="GB1241" s="885"/>
      <c r="GC1241" s="885"/>
      <c r="GD1241" s="885"/>
      <c r="GE1241" s="885"/>
      <c r="GF1241" s="885"/>
      <c r="GG1241" s="885"/>
      <c r="GH1241" s="885"/>
      <c r="GI1241" s="885"/>
      <c r="GJ1241" s="885"/>
      <c r="GK1241" s="885"/>
      <c r="GL1241" s="885"/>
      <c r="GM1241" s="885"/>
      <c r="GN1241" s="885"/>
      <c r="GO1241" s="885"/>
      <c r="GP1241" s="885"/>
      <c r="GQ1241" s="885"/>
      <c r="GR1241" s="885"/>
      <c r="GS1241" s="885"/>
      <c r="GT1241" s="885"/>
      <c r="GU1241" s="885"/>
      <c r="GV1241" s="885"/>
      <c r="GW1241" s="885"/>
      <c r="GX1241" s="885"/>
      <c r="GY1241" s="885"/>
      <c r="GZ1241" s="885"/>
      <c r="HA1241" s="885"/>
      <c r="HB1241" s="885"/>
      <c r="HC1241" s="885"/>
      <c r="HD1241" s="885"/>
      <c r="HE1241" s="885"/>
      <c r="HF1241" s="885"/>
      <c r="HG1241" s="885"/>
      <c r="HH1241" s="885"/>
      <c r="HI1241" s="885"/>
      <c r="HJ1241" s="885"/>
      <c r="HK1241" s="885"/>
      <c r="HL1241" s="885"/>
      <c r="HM1241" s="885"/>
      <c r="HN1241" s="885"/>
      <c r="HO1241" s="885"/>
      <c r="HP1241" s="885"/>
      <c r="HQ1241" s="885"/>
      <c r="HR1241" s="885"/>
      <c r="HS1241" s="885"/>
      <c r="HT1241" s="885"/>
      <c r="HU1241" s="885"/>
      <c r="HV1241" s="885"/>
      <c r="HW1241" s="885"/>
      <c r="HX1241" s="885"/>
      <c r="HY1241" s="885"/>
      <c r="HZ1241" s="885"/>
      <c r="IA1241" s="885"/>
      <c r="IB1241" s="885"/>
      <c r="IC1241" s="885"/>
      <c r="ID1241" s="885"/>
      <c r="IE1241" s="885"/>
      <c r="IF1241" s="885"/>
      <c r="IG1241" s="885"/>
      <c r="IH1241" s="885"/>
      <c r="II1241" s="885"/>
      <c r="IJ1241" s="885"/>
      <c r="IK1241" s="885"/>
      <c r="IL1241" s="885"/>
      <c r="IM1241" s="885"/>
      <c r="IN1241" s="885"/>
      <c r="IO1241" s="885"/>
      <c r="IP1241" s="885"/>
      <c r="IQ1241" s="885"/>
      <c r="IR1241" s="885"/>
      <c r="IS1241" s="885"/>
      <c r="IT1241" s="885"/>
      <c r="IU1241" s="885"/>
      <c r="IV1241" s="885"/>
      <c r="IW1241" s="885"/>
      <c r="IX1241" s="885"/>
    </row>
    <row r="1242" spans="1:258" x14ac:dyDescent="0.25">
      <c r="A1242" s="125">
        <f t="shared" si="132"/>
        <v>1202</v>
      </c>
      <c r="B1242" s="885"/>
      <c r="C1242" s="842" t="s">
        <v>10775</v>
      </c>
      <c r="D1242" s="924">
        <v>0</v>
      </c>
      <c r="E1242" s="924">
        <f t="shared" si="133"/>
        <v>0</v>
      </c>
      <c r="F1242" s="129">
        <v>5000</v>
      </c>
      <c r="G1242" s="122" t="s">
        <v>1963</v>
      </c>
      <c r="H1242" s="885"/>
      <c r="I1242" s="885"/>
      <c r="J1242" s="885"/>
      <c r="K1242" s="885"/>
      <c r="L1242" s="885"/>
      <c r="M1242" s="885"/>
      <c r="N1242" s="885"/>
      <c r="O1242" s="885"/>
      <c r="P1242" s="885"/>
      <c r="Q1242" s="885"/>
      <c r="R1242" s="885"/>
      <c r="S1242" s="885"/>
      <c r="T1242" s="885"/>
      <c r="U1242" s="885"/>
      <c r="V1242" s="885"/>
      <c r="W1242" s="885"/>
      <c r="X1242" s="885"/>
      <c r="Y1242" s="885"/>
      <c r="Z1242" s="885"/>
      <c r="AA1242" s="885"/>
      <c r="AB1242" s="885"/>
      <c r="AC1242" s="885"/>
      <c r="AD1242" s="885"/>
      <c r="AE1242" s="885"/>
      <c r="AF1242" s="885"/>
      <c r="AG1242" s="885"/>
      <c r="AH1242" s="885"/>
      <c r="AI1242" s="885"/>
      <c r="AJ1242" s="885"/>
      <c r="AK1242" s="885"/>
      <c r="AL1242" s="885"/>
      <c r="AM1242" s="885"/>
      <c r="AN1242" s="885"/>
      <c r="AO1242" s="885"/>
      <c r="AP1242" s="885"/>
      <c r="AQ1242" s="885"/>
      <c r="AR1242" s="885"/>
      <c r="AS1242" s="885"/>
      <c r="AT1242" s="885"/>
      <c r="AU1242" s="885"/>
      <c r="AV1242" s="885"/>
      <c r="AW1242" s="885"/>
      <c r="AX1242" s="885"/>
      <c r="AY1242" s="885"/>
      <c r="AZ1242" s="885"/>
      <c r="BA1242" s="885"/>
      <c r="BB1242" s="885"/>
      <c r="BC1242" s="885"/>
      <c r="BD1242" s="885"/>
      <c r="BE1242" s="885"/>
      <c r="BF1242" s="885"/>
      <c r="BG1242" s="885"/>
      <c r="BH1242" s="885"/>
      <c r="BI1242" s="885"/>
      <c r="BJ1242" s="885"/>
      <c r="BK1242" s="885"/>
      <c r="BL1242" s="885"/>
      <c r="BM1242" s="885"/>
      <c r="BN1242" s="885"/>
      <c r="BO1242" s="885"/>
      <c r="BP1242" s="885"/>
      <c r="BQ1242" s="885"/>
      <c r="BR1242" s="885"/>
      <c r="BS1242" s="885"/>
      <c r="BT1242" s="885"/>
      <c r="BU1242" s="885"/>
      <c r="BV1242" s="885"/>
      <c r="BW1242" s="885"/>
      <c r="BX1242" s="885"/>
      <c r="BY1242" s="885"/>
      <c r="BZ1242" s="885"/>
      <c r="CA1242" s="885"/>
      <c r="CB1242" s="885"/>
      <c r="CC1242" s="885"/>
      <c r="CD1242" s="885"/>
      <c r="CE1242" s="885"/>
      <c r="CF1242" s="885"/>
      <c r="CG1242" s="885"/>
      <c r="CH1242" s="885"/>
      <c r="CI1242" s="885"/>
      <c r="CJ1242" s="885"/>
      <c r="CK1242" s="885"/>
      <c r="CL1242" s="885"/>
      <c r="CM1242" s="885"/>
      <c r="CN1242" s="885"/>
      <c r="CO1242" s="885"/>
      <c r="CP1242" s="885"/>
      <c r="CQ1242" s="885"/>
      <c r="CR1242" s="885"/>
      <c r="CS1242" s="885"/>
      <c r="CT1242" s="885"/>
      <c r="CU1242" s="885"/>
      <c r="CV1242" s="885"/>
      <c r="CW1242" s="885"/>
      <c r="CX1242" s="885"/>
      <c r="CY1242" s="885"/>
      <c r="CZ1242" s="885"/>
      <c r="DA1242" s="885"/>
      <c r="DB1242" s="885"/>
      <c r="DC1242" s="885"/>
      <c r="DD1242" s="885"/>
      <c r="DE1242" s="885"/>
      <c r="DF1242" s="885"/>
      <c r="DG1242" s="885"/>
      <c r="DH1242" s="885"/>
      <c r="DI1242" s="885"/>
      <c r="DJ1242" s="885"/>
      <c r="DK1242" s="885"/>
      <c r="DL1242" s="885"/>
      <c r="DM1242" s="885"/>
      <c r="DN1242" s="885"/>
      <c r="DO1242" s="885"/>
      <c r="DP1242" s="885"/>
      <c r="DQ1242" s="885"/>
      <c r="DR1242" s="885"/>
      <c r="DS1242" s="885"/>
      <c r="DT1242" s="885"/>
      <c r="DU1242" s="885"/>
      <c r="DV1242" s="885"/>
      <c r="DW1242" s="885"/>
      <c r="DX1242" s="885"/>
      <c r="DY1242" s="885"/>
      <c r="DZ1242" s="885"/>
      <c r="EA1242" s="885"/>
      <c r="EB1242" s="885"/>
      <c r="EC1242" s="885"/>
      <c r="ED1242" s="885"/>
      <c r="EE1242" s="885"/>
      <c r="EF1242" s="885"/>
      <c r="EG1242" s="885"/>
      <c r="EH1242" s="885"/>
      <c r="EI1242" s="885"/>
      <c r="EJ1242" s="885"/>
      <c r="EK1242" s="885"/>
      <c r="EL1242" s="885"/>
      <c r="EM1242" s="885"/>
      <c r="EN1242" s="885"/>
      <c r="EO1242" s="885"/>
      <c r="EP1242" s="885"/>
      <c r="EQ1242" s="885"/>
      <c r="ER1242" s="885"/>
      <c r="ES1242" s="885"/>
      <c r="ET1242" s="885"/>
      <c r="EU1242" s="885"/>
      <c r="EV1242" s="885"/>
      <c r="EW1242" s="885"/>
      <c r="EX1242" s="885"/>
      <c r="EY1242" s="885"/>
      <c r="EZ1242" s="885"/>
      <c r="FA1242" s="885"/>
      <c r="FB1242" s="885"/>
      <c r="FC1242" s="885"/>
      <c r="FD1242" s="885"/>
      <c r="FE1242" s="885"/>
      <c r="FF1242" s="885"/>
      <c r="FG1242" s="885"/>
      <c r="FH1242" s="885"/>
      <c r="FI1242" s="885"/>
      <c r="FJ1242" s="885"/>
      <c r="FK1242" s="885"/>
      <c r="FL1242" s="885"/>
      <c r="FM1242" s="885"/>
      <c r="FN1242" s="885"/>
      <c r="FO1242" s="885"/>
      <c r="FP1242" s="885"/>
      <c r="FQ1242" s="885"/>
      <c r="FR1242" s="885"/>
      <c r="FS1242" s="885"/>
      <c r="FT1242" s="885"/>
      <c r="FU1242" s="885"/>
      <c r="FV1242" s="885"/>
      <c r="FW1242" s="885"/>
      <c r="FX1242" s="885"/>
      <c r="FY1242" s="885"/>
      <c r="FZ1242" s="885"/>
      <c r="GA1242" s="885"/>
      <c r="GB1242" s="885"/>
      <c r="GC1242" s="885"/>
      <c r="GD1242" s="885"/>
      <c r="GE1242" s="885"/>
      <c r="GF1242" s="885"/>
      <c r="GG1242" s="885"/>
      <c r="GH1242" s="885"/>
      <c r="GI1242" s="885"/>
      <c r="GJ1242" s="885"/>
      <c r="GK1242" s="885"/>
      <c r="GL1242" s="885"/>
      <c r="GM1242" s="885"/>
      <c r="GN1242" s="885"/>
      <c r="GO1242" s="885"/>
      <c r="GP1242" s="885"/>
      <c r="GQ1242" s="885"/>
      <c r="GR1242" s="885"/>
      <c r="GS1242" s="885"/>
      <c r="GT1242" s="885"/>
      <c r="GU1242" s="885"/>
      <c r="GV1242" s="885"/>
      <c r="GW1242" s="885"/>
      <c r="GX1242" s="885"/>
      <c r="GY1242" s="885"/>
      <c r="GZ1242" s="885"/>
      <c r="HA1242" s="885"/>
      <c r="HB1242" s="885"/>
      <c r="HC1242" s="885"/>
      <c r="HD1242" s="885"/>
      <c r="HE1242" s="885"/>
      <c r="HF1242" s="885"/>
      <c r="HG1242" s="885"/>
      <c r="HH1242" s="885"/>
      <c r="HI1242" s="885"/>
      <c r="HJ1242" s="885"/>
      <c r="HK1242" s="885"/>
      <c r="HL1242" s="885"/>
      <c r="HM1242" s="885"/>
      <c r="HN1242" s="885"/>
      <c r="HO1242" s="885"/>
      <c r="HP1242" s="885"/>
      <c r="HQ1242" s="885"/>
      <c r="HR1242" s="885"/>
      <c r="HS1242" s="885"/>
      <c r="HT1242" s="885"/>
      <c r="HU1242" s="885"/>
      <c r="HV1242" s="885"/>
      <c r="HW1242" s="885"/>
      <c r="HX1242" s="885"/>
      <c r="HY1242" s="885"/>
      <c r="HZ1242" s="885"/>
      <c r="IA1242" s="885"/>
      <c r="IB1242" s="885"/>
      <c r="IC1242" s="885"/>
      <c r="ID1242" s="885"/>
      <c r="IE1242" s="885"/>
      <c r="IF1242" s="885"/>
      <c r="IG1242" s="885"/>
      <c r="IH1242" s="885"/>
      <c r="II1242" s="885"/>
      <c r="IJ1242" s="885"/>
      <c r="IK1242" s="885"/>
      <c r="IL1242" s="885"/>
      <c r="IM1242" s="885"/>
      <c r="IN1242" s="885"/>
      <c r="IO1242" s="885"/>
      <c r="IP1242" s="885"/>
      <c r="IQ1242" s="885"/>
      <c r="IR1242" s="885"/>
      <c r="IS1242" s="885"/>
      <c r="IT1242" s="885"/>
      <c r="IU1242" s="885"/>
      <c r="IV1242" s="885"/>
      <c r="IW1242" s="885"/>
      <c r="IX1242" s="885"/>
    </row>
    <row r="1243" spans="1:258" x14ac:dyDescent="0.25">
      <c r="A1243" s="125">
        <f t="shared" si="132"/>
        <v>1203</v>
      </c>
      <c r="B1243" s="885"/>
      <c r="C1243" s="842" t="s">
        <v>10776</v>
      </c>
      <c r="D1243" s="924">
        <v>0</v>
      </c>
      <c r="E1243" s="924">
        <f t="shared" si="133"/>
        <v>0</v>
      </c>
      <c r="F1243" s="129">
        <v>2000</v>
      </c>
      <c r="G1243" s="122" t="s">
        <v>1963</v>
      </c>
      <c r="H1243" s="885"/>
      <c r="I1243" s="885"/>
      <c r="J1243" s="885"/>
      <c r="K1243" s="885"/>
      <c r="L1243" s="885"/>
      <c r="M1243" s="885"/>
      <c r="N1243" s="885"/>
      <c r="O1243" s="885"/>
      <c r="P1243" s="885"/>
      <c r="Q1243" s="885"/>
      <c r="R1243" s="885"/>
      <c r="S1243" s="885"/>
      <c r="T1243" s="885"/>
      <c r="U1243" s="885"/>
      <c r="V1243" s="885"/>
      <c r="W1243" s="885"/>
      <c r="X1243" s="885"/>
      <c r="Y1243" s="885"/>
      <c r="Z1243" s="885"/>
      <c r="AA1243" s="885"/>
      <c r="AB1243" s="885"/>
      <c r="AC1243" s="885"/>
      <c r="AD1243" s="885"/>
      <c r="AE1243" s="885"/>
      <c r="AF1243" s="885"/>
      <c r="AG1243" s="885"/>
      <c r="AH1243" s="885"/>
      <c r="AI1243" s="885"/>
      <c r="AJ1243" s="885"/>
      <c r="AK1243" s="885"/>
      <c r="AL1243" s="885"/>
      <c r="AM1243" s="885"/>
      <c r="AN1243" s="885"/>
      <c r="AO1243" s="885"/>
      <c r="AP1243" s="885"/>
      <c r="AQ1243" s="885"/>
      <c r="AR1243" s="885"/>
      <c r="AS1243" s="885"/>
      <c r="AT1243" s="885"/>
      <c r="AU1243" s="885"/>
      <c r="AV1243" s="885"/>
      <c r="AW1243" s="885"/>
      <c r="AX1243" s="885"/>
      <c r="AY1243" s="885"/>
      <c r="AZ1243" s="885"/>
      <c r="BA1243" s="885"/>
      <c r="BB1243" s="885"/>
      <c r="BC1243" s="885"/>
      <c r="BD1243" s="885"/>
      <c r="BE1243" s="885"/>
      <c r="BF1243" s="885"/>
      <c r="BG1243" s="885"/>
      <c r="BH1243" s="885"/>
      <c r="BI1243" s="885"/>
      <c r="BJ1243" s="885"/>
      <c r="BK1243" s="885"/>
      <c r="BL1243" s="885"/>
      <c r="BM1243" s="885"/>
      <c r="BN1243" s="885"/>
      <c r="BO1243" s="885"/>
      <c r="BP1243" s="885"/>
      <c r="BQ1243" s="885"/>
      <c r="BR1243" s="885"/>
      <c r="BS1243" s="885"/>
      <c r="BT1243" s="885"/>
      <c r="BU1243" s="885"/>
      <c r="BV1243" s="885"/>
      <c r="BW1243" s="885"/>
      <c r="BX1243" s="885"/>
      <c r="BY1243" s="885"/>
      <c r="BZ1243" s="885"/>
      <c r="CA1243" s="885"/>
      <c r="CB1243" s="885"/>
      <c r="CC1243" s="885"/>
      <c r="CD1243" s="885"/>
      <c r="CE1243" s="885"/>
      <c r="CF1243" s="885"/>
      <c r="CG1243" s="885"/>
      <c r="CH1243" s="885"/>
      <c r="CI1243" s="885"/>
      <c r="CJ1243" s="885"/>
      <c r="CK1243" s="885"/>
      <c r="CL1243" s="885"/>
      <c r="CM1243" s="885"/>
      <c r="CN1243" s="885"/>
      <c r="CO1243" s="885"/>
      <c r="CP1243" s="885"/>
      <c r="CQ1243" s="885"/>
      <c r="CR1243" s="885"/>
      <c r="CS1243" s="885"/>
      <c r="CT1243" s="885"/>
      <c r="CU1243" s="885"/>
      <c r="CV1243" s="885"/>
      <c r="CW1243" s="885"/>
      <c r="CX1243" s="885"/>
      <c r="CY1243" s="885"/>
      <c r="CZ1243" s="885"/>
      <c r="DA1243" s="885"/>
      <c r="DB1243" s="885"/>
      <c r="DC1243" s="885"/>
      <c r="DD1243" s="885"/>
      <c r="DE1243" s="885"/>
      <c r="DF1243" s="885"/>
      <c r="DG1243" s="885"/>
      <c r="DH1243" s="885"/>
      <c r="DI1243" s="885"/>
      <c r="DJ1243" s="885"/>
      <c r="DK1243" s="885"/>
      <c r="DL1243" s="885"/>
      <c r="DM1243" s="885"/>
      <c r="DN1243" s="885"/>
      <c r="DO1243" s="885"/>
      <c r="DP1243" s="885"/>
      <c r="DQ1243" s="885"/>
      <c r="DR1243" s="885"/>
      <c r="DS1243" s="885"/>
      <c r="DT1243" s="885"/>
      <c r="DU1243" s="885"/>
      <c r="DV1243" s="885"/>
      <c r="DW1243" s="885"/>
      <c r="DX1243" s="885"/>
      <c r="DY1243" s="885"/>
      <c r="DZ1243" s="885"/>
      <c r="EA1243" s="885"/>
      <c r="EB1243" s="885"/>
      <c r="EC1243" s="885"/>
      <c r="ED1243" s="885"/>
      <c r="EE1243" s="885"/>
      <c r="EF1243" s="885"/>
      <c r="EG1243" s="885"/>
      <c r="EH1243" s="885"/>
      <c r="EI1243" s="885"/>
      <c r="EJ1243" s="885"/>
      <c r="EK1243" s="885"/>
      <c r="EL1243" s="885"/>
      <c r="EM1243" s="885"/>
      <c r="EN1243" s="885"/>
      <c r="EO1243" s="885"/>
      <c r="EP1243" s="885"/>
      <c r="EQ1243" s="885"/>
      <c r="ER1243" s="885"/>
      <c r="ES1243" s="885"/>
      <c r="ET1243" s="885"/>
      <c r="EU1243" s="885"/>
      <c r="EV1243" s="885"/>
      <c r="EW1243" s="885"/>
      <c r="EX1243" s="885"/>
      <c r="EY1243" s="885"/>
      <c r="EZ1243" s="885"/>
      <c r="FA1243" s="885"/>
      <c r="FB1243" s="885"/>
      <c r="FC1243" s="885"/>
      <c r="FD1243" s="885"/>
      <c r="FE1243" s="885"/>
      <c r="FF1243" s="885"/>
      <c r="FG1243" s="885"/>
      <c r="FH1243" s="885"/>
      <c r="FI1243" s="885"/>
      <c r="FJ1243" s="885"/>
      <c r="FK1243" s="885"/>
      <c r="FL1243" s="885"/>
      <c r="FM1243" s="885"/>
      <c r="FN1243" s="885"/>
      <c r="FO1243" s="885"/>
      <c r="FP1243" s="885"/>
      <c r="FQ1243" s="885"/>
      <c r="FR1243" s="885"/>
      <c r="FS1243" s="885"/>
      <c r="FT1243" s="885"/>
      <c r="FU1243" s="885"/>
      <c r="FV1243" s="885"/>
      <c r="FW1243" s="885"/>
      <c r="FX1243" s="885"/>
      <c r="FY1243" s="885"/>
      <c r="FZ1243" s="885"/>
      <c r="GA1243" s="885"/>
      <c r="GB1243" s="885"/>
      <c r="GC1243" s="885"/>
      <c r="GD1243" s="885"/>
      <c r="GE1243" s="885"/>
      <c r="GF1243" s="885"/>
      <c r="GG1243" s="885"/>
      <c r="GH1243" s="885"/>
      <c r="GI1243" s="885"/>
      <c r="GJ1243" s="885"/>
      <c r="GK1243" s="885"/>
      <c r="GL1243" s="885"/>
      <c r="GM1243" s="885"/>
      <c r="GN1243" s="885"/>
      <c r="GO1243" s="885"/>
      <c r="GP1243" s="885"/>
      <c r="GQ1243" s="885"/>
      <c r="GR1243" s="885"/>
      <c r="GS1243" s="885"/>
      <c r="GT1243" s="885"/>
      <c r="GU1243" s="885"/>
      <c r="GV1243" s="885"/>
      <c r="GW1243" s="885"/>
      <c r="GX1243" s="885"/>
      <c r="GY1243" s="885"/>
      <c r="GZ1243" s="885"/>
      <c r="HA1243" s="885"/>
      <c r="HB1243" s="885"/>
      <c r="HC1243" s="885"/>
      <c r="HD1243" s="885"/>
      <c r="HE1243" s="885"/>
      <c r="HF1243" s="885"/>
      <c r="HG1243" s="885"/>
      <c r="HH1243" s="885"/>
      <c r="HI1243" s="885"/>
      <c r="HJ1243" s="885"/>
      <c r="HK1243" s="885"/>
      <c r="HL1243" s="885"/>
      <c r="HM1243" s="885"/>
      <c r="HN1243" s="885"/>
      <c r="HO1243" s="885"/>
      <c r="HP1243" s="885"/>
      <c r="HQ1243" s="885"/>
      <c r="HR1243" s="885"/>
      <c r="HS1243" s="885"/>
      <c r="HT1243" s="885"/>
      <c r="HU1243" s="885"/>
      <c r="HV1243" s="885"/>
      <c r="HW1243" s="885"/>
      <c r="HX1243" s="885"/>
      <c r="HY1243" s="885"/>
      <c r="HZ1243" s="885"/>
      <c r="IA1243" s="885"/>
      <c r="IB1243" s="885"/>
      <c r="IC1243" s="885"/>
      <c r="ID1243" s="885"/>
      <c r="IE1243" s="885"/>
      <c r="IF1243" s="885"/>
      <c r="IG1243" s="885"/>
      <c r="IH1243" s="885"/>
      <c r="II1243" s="885"/>
      <c r="IJ1243" s="885"/>
      <c r="IK1243" s="885"/>
      <c r="IL1243" s="885"/>
      <c r="IM1243" s="885"/>
      <c r="IN1243" s="885"/>
      <c r="IO1243" s="885"/>
      <c r="IP1243" s="885"/>
      <c r="IQ1243" s="885"/>
      <c r="IR1243" s="885"/>
      <c r="IS1243" s="885"/>
      <c r="IT1243" s="885"/>
      <c r="IU1243" s="885"/>
      <c r="IV1243" s="885"/>
      <c r="IW1243" s="885"/>
      <c r="IX1243" s="885"/>
    </row>
    <row r="1244" spans="1:258" x14ac:dyDescent="0.25">
      <c r="A1244" s="125">
        <f t="shared" si="132"/>
        <v>1204</v>
      </c>
      <c r="B1244" s="885"/>
      <c r="C1244" s="842" t="s">
        <v>10777</v>
      </c>
      <c r="D1244" s="924">
        <v>1494</v>
      </c>
      <c r="E1244" s="924">
        <f t="shared" si="133"/>
        <v>2241</v>
      </c>
      <c r="F1244" s="129">
        <f>E1244</f>
        <v>2241</v>
      </c>
      <c r="G1244" s="122" t="s">
        <v>1963</v>
      </c>
      <c r="H1244" s="885"/>
      <c r="I1244" s="885"/>
      <c r="J1244" s="885"/>
      <c r="K1244" s="885"/>
      <c r="L1244" s="885"/>
      <c r="M1244" s="885"/>
      <c r="N1244" s="885"/>
      <c r="O1244" s="885"/>
      <c r="P1244" s="885"/>
      <c r="Q1244" s="885"/>
      <c r="R1244" s="885"/>
      <c r="S1244" s="885"/>
      <c r="T1244" s="885"/>
      <c r="U1244" s="885"/>
      <c r="V1244" s="885"/>
      <c r="W1244" s="885"/>
      <c r="X1244" s="885"/>
      <c r="Y1244" s="885"/>
      <c r="Z1244" s="885"/>
      <c r="AA1244" s="885"/>
      <c r="AB1244" s="885"/>
      <c r="AC1244" s="885"/>
      <c r="AD1244" s="885"/>
      <c r="AE1244" s="885"/>
      <c r="AF1244" s="885"/>
      <c r="AG1244" s="885"/>
      <c r="AH1244" s="885"/>
      <c r="AI1244" s="885"/>
      <c r="AJ1244" s="885"/>
      <c r="AK1244" s="885"/>
      <c r="AL1244" s="885"/>
      <c r="AM1244" s="885"/>
      <c r="AN1244" s="885"/>
      <c r="AO1244" s="885"/>
      <c r="AP1244" s="885"/>
      <c r="AQ1244" s="885"/>
      <c r="AR1244" s="885"/>
      <c r="AS1244" s="885"/>
      <c r="AT1244" s="885"/>
      <c r="AU1244" s="885"/>
      <c r="AV1244" s="885"/>
      <c r="AW1244" s="885"/>
      <c r="AX1244" s="885"/>
      <c r="AY1244" s="885"/>
      <c r="AZ1244" s="885"/>
      <c r="BA1244" s="885"/>
      <c r="BB1244" s="885"/>
      <c r="BC1244" s="885"/>
      <c r="BD1244" s="885"/>
      <c r="BE1244" s="885"/>
      <c r="BF1244" s="885"/>
      <c r="BG1244" s="885"/>
      <c r="BH1244" s="885"/>
      <c r="BI1244" s="885"/>
      <c r="BJ1244" s="885"/>
      <c r="BK1244" s="885"/>
      <c r="BL1244" s="885"/>
      <c r="BM1244" s="885"/>
      <c r="BN1244" s="885"/>
      <c r="BO1244" s="885"/>
      <c r="BP1244" s="885"/>
      <c r="BQ1244" s="885"/>
      <c r="BR1244" s="885"/>
      <c r="BS1244" s="885"/>
      <c r="BT1244" s="885"/>
      <c r="BU1244" s="885"/>
      <c r="BV1244" s="885"/>
      <c r="BW1244" s="885"/>
      <c r="BX1244" s="885"/>
      <c r="BY1244" s="885"/>
      <c r="BZ1244" s="885"/>
      <c r="CA1244" s="885"/>
      <c r="CB1244" s="885"/>
      <c r="CC1244" s="885"/>
      <c r="CD1244" s="885"/>
      <c r="CE1244" s="885"/>
      <c r="CF1244" s="885"/>
      <c r="CG1244" s="885"/>
      <c r="CH1244" s="885"/>
      <c r="CI1244" s="885"/>
      <c r="CJ1244" s="885"/>
      <c r="CK1244" s="885"/>
      <c r="CL1244" s="885"/>
      <c r="CM1244" s="885"/>
      <c r="CN1244" s="885"/>
      <c r="CO1244" s="885"/>
      <c r="CP1244" s="885"/>
      <c r="CQ1244" s="885"/>
      <c r="CR1244" s="885"/>
      <c r="CS1244" s="885"/>
      <c r="CT1244" s="885"/>
      <c r="CU1244" s="885"/>
      <c r="CV1244" s="885"/>
      <c r="CW1244" s="885"/>
      <c r="CX1244" s="885"/>
      <c r="CY1244" s="885"/>
      <c r="CZ1244" s="885"/>
      <c r="DA1244" s="885"/>
      <c r="DB1244" s="885"/>
      <c r="DC1244" s="885"/>
      <c r="DD1244" s="885"/>
      <c r="DE1244" s="885"/>
      <c r="DF1244" s="885"/>
      <c r="DG1244" s="885"/>
      <c r="DH1244" s="885"/>
      <c r="DI1244" s="885"/>
      <c r="DJ1244" s="885"/>
      <c r="DK1244" s="885"/>
      <c r="DL1244" s="885"/>
      <c r="DM1244" s="885"/>
      <c r="DN1244" s="885"/>
      <c r="DO1244" s="885"/>
      <c r="DP1244" s="885"/>
      <c r="DQ1244" s="885"/>
      <c r="DR1244" s="885"/>
      <c r="DS1244" s="885"/>
      <c r="DT1244" s="885"/>
      <c r="DU1244" s="885"/>
      <c r="DV1244" s="885"/>
      <c r="DW1244" s="885"/>
      <c r="DX1244" s="885"/>
      <c r="DY1244" s="885"/>
      <c r="DZ1244" s="885"/>
      <c r="EA1244" s="885"/>
      <c r="EB1244" s="885"/>
      <c r="EC1244" s="885"/>
      <c r="ED1244" s="885"/>
      <c r="EE1244" s="885"/>
      <c r="EF1244" s="885"/>
      <c r="EG1244" s="885"/>
      <c r="EH1244" s="885"/>
      <c r="EI1244" s="885"/>
      <c r="EJ1244" s="885"/>
      <c r="EK1244" s="885"/>
      <c r="EL1244" s="885"/>
      <c r="EM1244" s="885"/>
      <c r="EN1244" s="885"/>
      <c r="EO1244" s="885"/>
      <c r="EP1244" s="885"/>
      <c r="EQ1244" s="885"/>
      <c r="ER1244" s="885"/>
      <c r="ES1244" s="885"/>
      <c r="ET1244" s="885"/>
      <c r="EU1244" s="885"/>
      <c r="EV1244" s="885"/>
      <c r="EW1244" s="885"/>
      <c r="EX1244" s="885"/>
      <c r="EY1244" s="885"/>
      <c r="EZ1244" s="885"/>
      <c r="FA1244" s="885"/>
      <c r="FB1244" s="885"/>
      <c r="FC1244" s="885"/>
      <c r="FD1244" s="885"/>
      <c r="FE1244" s="885"/>
      <c r="FF1244" s="885"/>
      <c r="FG1244" s="885"/>
      <c r="FH1244" s="885"/>
      <c r="FI1244" s="885"/>
      <c r="FJ1244" s="885"/>
      <c r="FK1244" s="885"/>
      <c r="FL1244" s="885"/>
      <c r="FM1244" s="885"/>
      <c r="FN1244" s="885"/>
      <c r="FO1244" s="885"/>
      <c r="FP1244" s="885"/>
      <c r="FQ1244" s="885"/>
      <c r="FR1244" s="885"/>
      <c r="FS1244" s="885"/>
      <c r="FT1244" s="885"/>
      <c r="FU1244" s="885"/>
      <c r="FV1244" s="885"/>
      <c r="FW1244" s="885"/>
      <c r="FX1244" s="885"/>
      <c r="FY1244" s="885"/>
      <c r="FZ1244" s="885"/>
      <c r="GA1244" s="885"/>
      <c r="GB1244" s="885"/>
      <c r="GC1244" s="885"/>
      <c r="GD1244" s="885"/>
      <c r="GE1244" s="885"/>
      <c r="GF1244" s="885"/>
      <c r="GG1244" s="885"/>
      <c r="GH1244" s="885"/>
      <c r="GI1244" s="885"/>
      <c r="GJ1244" s="885"/>
      <c r="GK1244" s="885"/>
      <c r="GL1244" s="885"/>
      <c r="GM1244" s="885"/>
      <c r="GN1244" s="885"/>
      <c r="GO1244" s="885"/>
      <c r="GP1244" s="885"/>
      <c r="GQ1244" s="885"/>
      <c r="GR1244" s="885"/>
      <c r="GS1244" s="885"/>
      <c r="GT1244" s="885"/>
      <c r="GU1244" s="885"/>
      <c r="GV1244" s="885"/>
      <c r="GW1244" s="885"/>
      <c r="GX1244" s="885"/>
      <c r="GY1244" s="885"/>
      <c r="GZ1244" s="885"/>
      <c r="HA1244" s="885"/>
      <c r="HB1244" s="885"/>
      <c r="HC1244" s="885"/>
      <c r="HD1244" s="885"/>
      <c r="HE1244" s="885"/>
      <c r="HF1244" s="885"/>
      <c r="HG1244" s="885"/>
      <c r="HH1244" s="885"/>
      <c r="HI1244" s="885"/>
      <c r="HJ1244" s="885"/>
      <c r="HK1244" s="885"/>
      <c r="HL1244" s="885"/>
      <c r="HM1244" s="885"/>
      <c r="HN1244" s="885"/>
      <c r="HO1244" s="885"/>
      <c r="HP1244" s="885"/>
      <c r="HQ1244" s="885"/>
      <c r="HR1244" s="885"/>
      <c r="HS1244" s="885"/>
      <c r="HT1244" s="885"/>
      <c r="HU1244" s="885"/>
      <c r="HV1244" s="885"/>
      <c r="HW1244" s="885"/>
      <c r="HX1244" s="885"/>
      <c r="HY1244" s="885"/>
      <c r="HZ1244" s="885"/>
      <c r="IA1244" s="885"/>
      <c r="IB1244" s="885"/>
      <c r="IC1244" s="885"/>
      <c r="ID1244" s="885"/>
      <c r="IE1244" s="885"/>
      <c r="IF1244" s="885"/>
      <c r="IG1244" s="885"/>
      <c r="IH1244" s="885"/>
      <c r="II1244" s="885"/>
      <c r="IJ1244" s="885"/>
      <c r="IK1244" s="885"/>
      <c r="IL1244" s="885"/>
      <c r="IM1244" s="885"/>
      <c r="IN1244" s="885"/>
      <c r="IO1244" s="885"/>
      <c r="IP1244" s="885"/>
      <c r="IQ1244" s="885"/>
      <c r="IR1244" s="885"/>
      <c r="IS1244" s="885"/>
      <c r="IT1244" s="885"/>
      <c r="IU1244" s="885"/>
      <c r="IV1244" s="885"/>
      <c r="IW1244" s="885"/>
      <c r="IX1244" s="885"/>
    </row>
    <row r="1245" spans="1:258" x14ac:dyDescent="0.25">
      <c r="A1245" s="125">
        <f t="shared" si="132"/>
        <v>1205</v>
      </c>
      <c r="B1245" s="885"/>
      <c r="C1245" s="842" t="s">
        <v>10778</v>
      </c>
      <c r="D1245" s="924">
        <v>0</v>
      </c>
      <c r="E1245" s="924">
        <f t="shared" si="133"/>
        <v>0</v>
      </c>
      <c r="F1245" s="129">
        <v>5000</v>
      </c>
      <c r="G1245" s="122" t="s">
        <v>1963</v>
      </c>
      <c r="H1245" s="885"/>
      <c r="I1245" s="885"/>
      <c r="J1245" s="885"/>
      <c r="K1245" s="885"/>
      <c r="L1245" s="885"/>
      <c r="M1245" s="885"/>
      <c r="N1245" s="885"/>
      <c r="O1245" s="885"/>
      <c r="P1245" s="885"/>
      <c r="Q1245" s="885"/>
      <c r="R1245" s="885"/>
      <c r="S1245" s="885"/>
      <c r="T1245" s="885"/>
      <c r="U1245" s="885"/>
      <c r="V1245" s="885"/>
      <c r="W1245" s="885"/>
      <c r="X1245" s="885"/>
      <c r="Y1245" s="885"/>
      <c r="Z1245" s="885"/>
      <c r="AA1245" s="885"/>
      <c r="AB1245" s="885"/>
      <c r="AC1245" s="885"/>
      <c r="AD1245" s="885"/>
      <c r="AE1245" s="885"/>
      <c r="AF1245" s="885"/>
      <c r="AG1245" s="885"/>
      <c r="AH1245" s="885"/>
      <c r="AI1245" s="885"/>
      <c r="AJ1245" s="885"/>
      <c r="AK1245" s="885"/>
      <c r="AL1245" s="885"/>
      <c r="AM1245" s="885"/>
      <c r="AN1245" s="885"/>
      <c r="AO1245" s="885"/>
      <c r="AP1245" s="885"/>
      <c r="AQ1245" s="885"/>
      <c r="AR1245" s="885"/>
      <c r="AS1245" s="885"/>
      <c r="AT1245" s="885"/>
      <c r="AU1245" s="885"/>
      <c r="AV1245" s="885"/>
      <c r="AW1245" s="885"/>
      <c r="AX1245" s="885"/>
      <c r="AY1245" s="885"/>
      <c r="AZ1245" s="885"/>
      <c r="BA1245" s="885"/>
      <c r="BB1245" s="885"/>
      <c r="BC1245" s="885"/>
      <c r="BD1245" s="885"/>
      <c r="BE1245" s="885"/>
      <c r="BF1245" s="885"/>
      <c r="BG1245" s="885"/>
      <c r="BH1245" s="885"/>
      <c r="BI1245" s="885"/>
      <c r="BJ1245" s="885"/>
      <c r="BK1245" s="885"/>
      <c r="BL1245" s="885"/>
      <c r="BM1245" s="885"/>
      <c r="BN1245" s="885"/>
      <c r="BO1245" s="885"/>
      <c r="BP1245" s="885"/>
      <c r="BQ1245" s="885"/>
      <c r="BR1245" s="885"/>
      <c r="BS1245" s="885"/>
      <c r="BT1245" s="885"/>
      <c r="BU1245" s="885"/>
      <c r="BV1245" s="885"/>
      <c r="BW1245" s="885"/>
      <c r="BX1245" s="885"/>
      <c r="BY1245" s="885"/>
      <c r="BZ1245" s="885"/>
      <c r="CA1245" s="885"/>
      <c r="CB1245" s="885"/>
      <c r="CC1245" s="885"/>
      <c r="CD1245" s="885"/>
      <c r="CE1245" s="885"/>
      <c r="CF1245" s="885"/>
      <c r="CG1245" s="885"/>
      <c r="CH1245" s="885"/>
      <c r="CI1245" s="885"/>
      <c r="CJ1245" s="885"/>
      <c r="CK1245" s="885"/>
      <c r="CL1245" s="885"/>
      <c r="CM1245" s="885"/>
      <c r="CN1245" s="885"/>
      <c r="CO1245" s="885"/>
      <c r="CP1245" s="885"/>
      <c r="CQ1245" s="885"/>
      <c r="CR1245" s="885"/>
      <c r="CS1245" s="885"/>
      <c r="CT1245" s="885"/>
      <c r="CU1245" s="885"/>
      <c r="CV1245" s="885"/>
      <c r="CW1245" s="885"/>
      <c r="CX1245" s="885"/>
      <c r="CY1245" s="885"/>
      <c r="CZ1245" s="885"/>
      <c r="DA1245" s="885"/>
      <c r="DB1245" s="885"/>
      <c r="DC1245" s="885"/>
      <c r="DD1245" s="885"/>
      <c r="DE1245" s="885"/>
      <c r="DF1245" s="885"/>
      <c r="DG1245" s="885"/>
      <c r="DH1245" s="885"/>
      <c r="DI1245" s="885"/>
      <c r="DJ1245" s="885"/>
      <c r="DK1245" s="885"/>
      <c r="DL1245" s="885"/>
      <c r="DM1245" s="885"/>
      <c r="DN1245" s="885"/>
      <c r="DO1245" s="885"/>
      <c r="DP1245" s="885"/>
      <c r="DQ1245" s="885"/>
      <c r="DR1245" s="885"/>
      <c r="DS1245" s="885"/>
      <c r="DT1245" s="885"/>
      <c r="DU1245" s="885"/>
      <c r="DV1245" s="885"/>
      <c r="DW1245" s="885"/>
      <c r="DX1245" s="885"/>
      <c r="DY1245" s="885"/>
      <c r="DZ1245" s="885"/>
      <c r="EA1245" s="885"/>
      <c r="EB1245" s="885"/>
      <c r="EC1245" s="885"/>
      <c r="ED1245" s="885"/>
      <c r="EE1245" s="885"/>
      <c r="EF1245" s="885"/>
      <c r="EG1245" s="885"/>
      <c r="EH1245" s="885"/>
      <c r="EI1245" s="885"/>
      <c r="EJ1245" s="885"/>
      <c r="EK1245" s="885"/>
      <c r="EL1245" s="885"/>
      <c r="EM1245" s="885"/>
      <c r="EN1245" s="885"/>
      <c r="EO1245" s="885"/>
      <c r="EP1245" s="885"/>
      <c r="EQ1245" s="885"/>
      <c r="ER1245" s="885"/>
      <c r="ES1245" s="885"/>
      <c r="ET1245" s="885"/>
      <c r="EU1245" s="885"/>
      <c r="EV1245" s="885"/>
      <c r="EW1245" s="885"/>
      <c r="EX1245" s="885"/>
      <c r="EY1245" s="885"/>
      <c r="EZ1245" s="885"/>
      <c r="FA1245" s="885"/>
      <c r="FB1245" s="885"/>
      <c r="FC1245" s="885"/>
      <c r="FD1245" s="885"/>
      <c r="FE1245" s="885"/>
      <c r="FF1245" s="885"/>
      <c r="FG1245" s="885"/>
      <c r="FH1245" s="885"/>
      <c r="FI1245" s="885"/>
      <c r="FJ1245" s="885"/>
      <c r="FK1245" s="885"/>
      <c r="FL1245" s="885"/>
      <c r="FM1245" s="885"/>
      <c r="FN1245" s="885"/>
      <c r="FO1245" s="885"/>
      <c r="FP1245" s="885"/>
      <c r="FQ1245" s="885"/>
      <c r="FR1245" s="885"/>
      <c r="FS1245" s="885"/>
      <c r="FT1245" s="885"/>
      <c r="FU1245" s="885"/>
      <c r="FV1245" s="885"/>
      <c r="FW1245" s="885"/>
      <c r="FX1245" s="885"/>
      <c r="FY1245" s="885"/>
      <c r="FZ1245" s="885"/>
      <c r="GA1245" s="885"/>
      <c r="GB1245" s="885"/>
      <c r="GC1245" s="885"/>
      <c r="GD1245" s="885"/>
      <c r="GE1245" s="885"/>
      <c r="GF1245" s="885"/>
      <c r="GG1245" s="885"/>
      <c r="GH1245" s="885"/>
      <c r="GI1245" s="885"/>
      <c r="GJ1245" s="885"/>
      <c r="GK1245" s="885"/>
      <c r="GL1245" s="885"/>
      <c r="GM1245" s="885"/>
      <c r="GN1245" s="885"/>
      <c r="GO1245" s="885"/>
      <c r="GP1245" s="885"/>
      <c r="GQ1245" s="885"/>
      <c r="GR1245" s="885"/>
      <c r="GS1245" s="885"/>
      <c r="GT1245" s="885"/>
      <c r="GU1245" s="885"/>
      <c r="GV1245" s="885"/>
      <c r="GW1245" s="885"/>
      <c r="GX1245" s="885"/>
      <c r="GY1245" s="885"/>
      <c r="GZ1245" s="885"/>
      <c r="HA1245" s="885"/>
      <c r="HB1245" s="885"/>
      <c r="HC1245" s="885"/>
      <c r="HD1245" s="885"/>
      <c r="HE1245" s="885"/>
      <c r="HF1245" s="885"/>
      <c r="HG1245" s="885"/>
      <c r="HH1245" s="885"/>
      <c r="HI1245" s="885"/>
      <c r="HJ1245" s="885"/>
      <c r="HK1245" s="885"/>
      <c r="HL1245" s="885"/>
      <c r="HM1245" s="885"/>
      <c r="HN1245" s="885"/>
      <c r="HO1245" s="885"/>
      <c r="HP1245" s="885"/>
      <c r="HQ1245" s="885"/>
      <c r="HR1245" s="885"/>
      <c r="HS1245" s="885"/>
      <c r="HT1245" s="885"/>
      <c r="HU1245" s="885"/>
      <c r="HV1245" s="885"/>
      <c r="HW1245" s="885"/>
      <c r="HX1245" s="885"/>
      <c r="HY1245" s="885"/>
      <c r="HZ1245" s="885"/>
      <c r="IA1245" s="885"/>
      <c r="IB1245" s="885"/>
      <c r="IC1245" s="885"/>
      <c r="ID1245" s="885"/>
      <c r="IE1245" s="885"/>
      <c r="IF1245" s="885"/>
      <c r="IG1245" s="885"/>
      <c r="IH1245" s="885"/>
      <c r="II1245" s="885"/>
      <c r="IJ1245" s="885"/>
      <c r="IK1245" s="885"/>
      <c r="IL1245" s="885"/>
      <c r="IM1245" s="885"/>
      <c r="IN1245" s="885"/>
      <c r="IO1245" s="885"/>
      <c r="IP1245" s="885"/>
      <c r="IQ1245" s="885"/>
      <c r="IR1245" s="885"/>
      <c r="IS1245" s="885"/>
      <c r="IT1245" s="885"/>
      <c r="IU1245" s="885"/>
      <c r="IV1245" s="885"/>
      <c r="IW1245" s="885"/>
      <c r="IX1245" s="885"/>
    </row>
    <row r="1246" spans="1:258" x14ac:dyDescent="0.25">
      <c r="A1246" s="125">
        <f t="shared" ref="A1246:A1309" si="134">A1245+1</f>
        <v>1206</v>
      </c>
      <c r="B1246" s="885"/>
      <c r="C1246" s="842" t="s">
        <v>10779</v>
      </c>
      <c r="D1246" s="924">
        <v>49.4</v>
      </c>
      <c r="E1246" s="924">
        <f t="shared" si="133"/>
        <v>74.099999999999994</v>
      </c>
      <c r="F1246" s="129">
        <f>F1245*F$83</f>
        <v>1000</v>
      </c>
      <c r="G1246" s="122" t="s">
        <v>1963</v>
      </c>
      <c r="H1246" s="885"/>
      <c r="I1246" s="885"/>
      <c r="J1246" s="885"/>
      <c r="K1246" s="885"/>
      <c r="L1246" s="885"/>
      <c r="M1246" s="885"/>
      <c r="N1246" s="885"/>
      <c r="O1246" s="885"/>
      <c r="P1246" s="885"/>
      <c r="Q1246" s="885"/>
      <c r="R1246" s="885"/>
      <c r="S1246" s="885"/>
      <c r="T1246" s="885"/>
      <c r="U1246" s="885"/>
      <c r="V1246" s="885"/>
      <c r="W1246" s="885"/>
      <c r="X1246" s="885"/>
      <c r="Y1246" s="885"/>
      <c r="Z1246" s="885"/>
      <c r="AA1246" s="885"/>
      <c r="AB1246" s="885"/>
      <c r="AC1246" s="885"/>
      <c r="AD1246" s="885"/>
      <c r="AE1246" s="885"/>
      <c r="AF1246" s="885"/>
      <c r="AG1246" s="885"/>
      <c r="AH1246" s="885"/>
      <c r="AI1246" s="885"/>
      <c r="AJ1246" s="885"/>
      <c r="AK1246" s="885"/>
      <c r="AL1246" s="885"/>
      <c r="AM1246" s="885"/>
      <c r="AN1246" s="885"/>
      <c r="AO1246" s="885"/>
      <c r="AP1246" s="885"/>
      <c r="AQ1246" s="885"/>
      <c r="AR1246" s="885"/>
      <c r="AS1246" s="885"/>
      <c r="AT1246" s="885"/>
      <c r="AU1246" s="885"/>
      <c r="AV1246" s="885"/>
      <c r="AW1246" s="885"/>
      <c r="AX1246" s="885"/>
      <c r="AY1246" s="885"/>
      <c r="AZ1246" s="885"/>
      <c r="BA1246" s="885"/>
      <c r="BB1246" s="885"/>
      <c r="BC1246" s="885"/>
      <c r="BD1246" s="885"/>
      <c r="BE1246" s="885"/>
      <c r="BF1246" s="885"/>
      <c r="BG1246" s="885"/>
      <c r="BH1246" s="885"/>
      <c r="BI1246" s="885"/>
      <c r="BJ1246" s="885"/>
      <c r="BK1246" s="885"/>
      <c r="BL1246" s="885"/>
      <c r="BM1246" s="885"/>
      <c r="BN1246" s="885"/>
      <c r="BO1246" s="885"/>
      <c r="BP1246" s="885"/>
      <c r="BQ1246" s="885"/>
      <c r="BR1246" s="885"/>
      <c r="BS1246" s="885"/>
      <c r="BT1246" s="885"/>
      <c r="BU1246" s="885"/>
      <c r="BV1246" s="885"/>
      <c r="BW1246" s="885"/>
      <c r="BX1246" s="885"/>
      <c r="BY1246" s="885"/>
      <c r="BZ1246" s="885"/>
      <c r="CA1246" s="885"/>
      <c r="CB1246" s="885"/>
      <c r="CC1246" s="885"/>
      <c r="CD1246" s="885"/>
      <c r="CE1246" s="885"/>
      <c r="CF1246" s="885"/>
      <c r="CG1246" s="885"/>
      <c r="CH1246" s="885"/>
      <c r="CI1246" s="885"/>
      <c r="CJ1246" s="885"/>
      <c r="CK1246" s="885"/>
      <c r="CL1246" s="885"/>
      <c r="CM1246" s="885"/>
      <c r="CN1246" s="885"/>
      <c r="CO1246" s="885"/>
      <c r="CP1246" s="885"/>
      <c r="CQ1246" s="885"/>
      <c r="CR1246" s="885"/>
      <c r="CS1246" s="885"/>
      <c r="CT1246" s="885"/>
      <c r="CU1246" s="885"/>
      <c r="CV1246" s="885"/>
      <c r="CW1246" s="885"/>
      <c r="CX1246" s="885"/>
      <c r="CY1246" s="885"/>
      <c r="CZ1246" s="885"/>
      <c r="DA1246" s="885"/>
      <c r="DB1246" s="885"/>
      <c r="DC1246" s="885"/>
      <c r="DD1246" s="885"/>
      <c r="DE1246" s="885"/>
      <c r="DF1246" s="885"/>
      <c r="DG1246" s="885"/>
      <c r="DH1246" s="885"/>
      <c r="DI1246" s="885"/>
      <c r="DJ1246" s="885"/>
      <c r="DK1246" s="885"/>
      <c r="DL1246" s="885"/>
      <c r="DM1246" s="885"/>
      <c r="DN1246" s="885"/>
      <c r="DO1246" s="885"/>
      <c r="DP1246" s="885"/>
      <c r="DQ1246" s="885"/>
      <c r="DR1246" s="885"/>
      <c r="DS1246" s="885"/>
      <c r="DT1246" s="885"/>
      <c r="DU1246" s="885"/>
      <c r="DV1246" s="885"/>
      <c r="DW1246" s="885"/>
      <c r="DX1246" s="885"/>
      <c r="DY1246" s="885"/>
      <c r="DZ1246" s="885"/>
      <c r="EA1246" s="885"/>
      <c r="EB1246" s="885"/>
      <c r="EC1246" s="885"/>
      <c r="ED1246" s="885"/>
      <c r="EE1246" s="885"/>
      <c r="EF1246" s="885"/>
      <c r="EG1246" s="885"/>
      <c r="EH1246" s="885"/>
      <c r="EI1246" s="885"/>
      <c r="EJ1246" s="885"/>
      <c r="EK1246" s="885"/>
      <c r="EL1246" s="885"/>
      <c r="EM1246" s="885"/>
      <c r="EN1246" s="885"/>
      <c r="EO1246" s="885"/>
      <c r="EP1246" s="885"/>
      <c r="EQ1246" s="885"/>
      <c r="ER1246" s="885"/>
      <c r="ES1246" s="885"/>
      <c r="ET1246" s="885"/>
      <c r="EU1246" s="885"/>
      <c r="EV1246" s="885"/>
      <c r="EW1246" s="885"/>
      <c r="EX1246" s="885"/>
      <c r="EY1246" s="885"/>
      <c r="EZ1246" s="885"/>
      <c r="FA1246" s="885"/>
      <c r="FB1246" s="885"/>
      <c r="FC1246" s="885"/>
      <c r="FD1246" s="885"/>
      <c r="FE1246" s="885"/>
      <c r="FF1246" s="885"/>
      <c r="FG1246" s="885"/>
      <c r="FH1246" s="885"/>
      <c r="FI1246" s="885"/>
      <c r="FJ1246" s="885"/>
      <c r="FK1246" s="885"/>
      <c r="FL1246" s="885"/>
      <c r="FM1246" s="885"/>
      <c r="FN1246" s="885"/>
      <c r="FO1246" s="885"/>
      <c r="FP1246" s="885"/>
      <c r="FQ1246" s="885"/>
      <c r="FR1246" s="885"/>
      <c r="FS1246" s="885"/>
      <c r="FT1246" s="885"/>
      <c r="FU1246" s="885"/>
      <c r="FV1246" s="885"/>
      <c r="FW1246" s="885"/>
      <c r="FX1246" s="885"/>
      <c r="FY1246" s="885"/>
      <c r="FZ1246" s="885"/>
      <c r="GA1246" s="885"/>
      <c r="GB1246" s="885"/>
      <c r="GC1246" s="885"/>
      <c r="GD1246" s="885"/>
      <c r="GE1246" s="885"/>
      <c r="GF1246" s="885"/>
      <c r="GG1246" s="885"/>
      <c r="GH1246" s="885"/>
      <c r="GI1246" s="885"/>
      <c r="GJ1246" s="885"/>
      <c r="GK1246" s="885"/>
      <c r="GL1246" s="885"/>
      <c r="GM1246" s="885"/>
      <c r="GN1246" s="885"/>
      <c r="GO1246" s="885"/>
      <c r="GP1246" s="885"/>
      <c r="GQ1246" s="885"/>
      <c r="GR1246" s="885"/>
      <c r="GS1246" s="885"/>
      <c r="GT1246" s="885"/>
      <c r="GU1246" s="885"/>
      <c r="GV1246" s="885"/>
      <c r="GW1246" s="885"/>
      <c r="GX1246" s="885"/>
      <c r="GY1246" s="885"/>
      <c r="GZ1246" s="885"/>
      <c r="HA1246" s="885"/>
      <c r="HB1246" s="885"/>
      <c r="HC1246" s="885"/>
      <c r="HD1246" s="885"/>
      <c r="HE1246" s="885"/>
      <c r="HF1246" s="885"/>
      <c r="HG1246" s="885"/>
      <c r="HH1246" s="885"/>
      <c r="HI1246" s="885"/>
      <c r="HJ1246" s="885"/>
      <c r="HK1246" s="885"/>
      <c r="HL1246" s="885"/>
      <c r="HM1246" s="885"/>
      <c r="HN1246" s="885"/>
      <c r="HO1246" s="885"/>
      <c r="HP1246" s="885"/>
      <c r="HQ1246" s="885"/>
      <c r="HR1246" s="885"/>
      <c r="HS1246" s="885"/>
      <c r="HT1246" s="885"/>
      <c r="HU1246" s="885"/>
      <c r="HV1246" s="885"/>
      <c r="HW1246" s="885"/>
      <c r="HX1246" s="885"/>
      <c r="HY1246" s="885"/>
      <c r="HZ1246" s="885"/>
      <c r="IA1246" s="885"/>
      <c r="IB1246" s="885"/>
      <c r="IC1246" s="885"/>
      <c r="ID1246" s="885"/>
      <c r="IE1246" s="885"/>
      <c r="IF1246" s="885"/>
      <c r="IG1246" s="885"/>
      <c r="IH1246" s="885"/>
      <c r="II1246" s="885"/>
      <c r="IJ1246" s="885"/>
      <c r="IK1246" s="885"/>
      <c r="IL1246" s="885"/>
      <c r="IM1246" s="885"/>
      <c r="IN1246" s="885"/>
      <c r="IO1246" s="885"/>
      <c r="IP1246" s="885"/>
      <c r="IQ1246" s="885"/>
      <c r="IR1246" s="885"/>
      <c r="IS1246" s="885"/>
      <c r="IT1246" s="885"/>
      <c r="IU1246" s="885"/>
      <c r="IV1246" s="885"/>
      <c r="IW1246" s="885"/>
      <c r="IX1246" s="885"/>
    </row>
    <row r="1247" spans="1:258" ht="31.5" x14ac:dyDescent="0.25">
      <c r="A1247" s="125">
        <f t="shared" si="134"/>
        <v>1207</v>
      </c>
      <c r="B1247" s="885"/>
      <c r="C1247" s="842" t="s">
        <v>10780</v>
      </c>
      <c r="D1247" s="924">
        <v>0</v>
      </c>
      <c r="E1247" s="924">
        <f t="shared" si="133"/>
        <v>0</v>
      </c>
      <c r="F1247" s="129">
        <v>500</v>
      </c>
      <c r="G1247" s="122" t="s">
        <v>1963</v>
      </c>
      <c r="H1247" s="885"/>
      <c r="I1247" s="885"/>
      <c r="J1247" s="885"/>
      <c r="K1247" s="885"/>
      <c r="L1247" s="885"/>
      <c r="M1247" s="885"/>
      <c r="N1247" s="885"/>
      <c r="O1247" s="885"/>
      <c r="P1247" s="885"/>
      <c r="Q1247" s="885"/>
      <c r="R1247" s="885"/>
      <c r="S1247" s="885"/>
      <c r="T1247" s="885"/>
      <c r="U1247" s="885"/>
      <c r="V1247" s="885"/>
      <c r="W1247" s="885"/>
      <c r="X1247" s="885"/>
      <c r="Y1247" s="885"/>
      <c r="Z1247" s="885"/>
      <c r="AA1247" s="885"/>
      <c r="AB1247" s="885"/>
      <c r="AC1247" s="885"/>
      <c r="AD1247" s="885"/>
      <c r="AE1247" s="885"/>
      <c r="AF1247" s="885"/>
      <c r="AG1247" s="885"/>
      <c r="AH1247" s="885"/>
      <c r="AI1247" s="885"/>
      <c r="AJ1247" s="885"/>
      <c r="AK1247" s="885"/>
      <c r="AL1247" s="885"/>
      <c r="AM1247" s="885"/>
      <c r="AN1247" s="885"/>
      <c r="AO1247" s="885"/>
      <c r="AP1247" s="885"/>
      <c r="AQ1247" s="885"/>
      <c r="AR1247" s="885"/>
      <c r="AS1247" s="885"/>
      <c r="AT1247" s="885"/>
      <c r="AU1247" s="885"/>
      <c r="AV1247" s="885"/>
      <c r="AW1247" s="885"/>
      <c r="AX1247" s="885"/>
      <c r="AY1247" s="885"/>
      <c r="AZ1247" s="885"/>
      <c r="BA1247" s="885"/>
      <c r="BB1247" s="885"/>
      <c r="BC1247" s="885"/>
      <c r="BD1247" s="885"/>
      <c r="BE1247" s="885"/>
      <c r="BF1247" s="885"/>
      <c r="BG1247" s="885"/>
      <c r="BH1247" s="885"/>
      <c r="BI1247" s="885"/>
      <c r="BJ1247" s="885"/>
      <c r="BK1247" s="885"/>
      <c r="BL1247" s="885"/>
      <c r="BM1247" s="885"/>
      <c r="BN1247" s="885"/>
      <c r="BO1247" s="885"/>
      <c r="BP1247" s="885"/>
      <c r="BQ1247" s="885"/>
      <c r="BR1247" s="885"/>
      <c r="BS1247" s="885"/>
      <c r="BT1247" s="885"/>
      <c r="BU1247" s="885"/>
      <c r="BV1247" s="885"/>
      <c r="BW1247" s="885"/>
      <c r="BX1247" s="885"/>
      <c r="BY1247" s="885"/>
      <c r="BZ1247" s="885"/>
      <c r="CA1247" s="885"/>
      <c r="CB1247" s="885"/>
      <c r="CC1247" s="885"/>
      <c r="CD1247" s="885"/>
      <c r="CE1247" s="885"/>
      <c r="CF1247" s="885"/>
      <c r="CG1247" s="885"/>
      <c r="CH1247" s="885"/>
      <c r="CI1247" s="885"/>
      <c r="CJ1247" s="885"/>
      <c r="CK1247" s="885"/>
      <c r="CL1247" s="885"/>
      <c r="CM1247" s="885"/>
      <c r="CN1247" s="885"/>
      <c r="CO1247" s="885"/>
      <c r="CP1247" s="885"/>
      <c r="CQ1247" s="885"/>
      <c r="CR1247" s="885"/>
      <c r="CS1247" s="885"/>
      <c r="CT1247" s="885"/>
      <c r="CU1247" s="885"/>
      <c r="CV1247" s="885"/>
      <c r="CW1247" s="885"/>
      <c r="CX1247" s="885"/>
      <c r="CY1247" s="885"/>
      <c r="CZ1247" s="885"/>
      <c r="DA1247" s="885"/>
      <c r="DB1247" s="885"/>
      <c r="DC1247" s="885"/>
      <c r="DD1247" s="885"/>
      <c r="DE1247" s="885"/>
      <c r="DF1247" s="885"/>
      <c r="DG1247" s="885"/>
      <c r="DH1247" s="885"/>
      <c r="DI1247" s="885"/>
      <c r="DJ1247" s="885"/>
      <c r="DK1247" s="885"/>
      <c r="DL1247" s="885"/>
      <c r="DM1247" s="885"/>
      <c r="DN1247" s="885"/>
      <c r="DO1247" s="885"/>
      <c r="DP1247" s="885"/>
      <c r="DQ1247" s="885"/>
      <c r="DR1247" s="885"/>
      <c r="DS1247" s="885"/>
      <c r="DT1247" s="885"/>
      <c r="DU1247" s="885"/>
      <c r="DV1247" s="885"/>
      <c r="DW1247" s="885"/>
      <c r="DX1247" s="885"/>
      <c r="DY1247" s="885"/>
      <c r="DZ1247" s="885"/>
      <c r="EA1247" s="885"/>
      <c r="EB1247" s="885"/>
      <c r="EC1247" s="885"/>
      <c r="ED1247" s="885"/>
      <c r="EE1247" s="885"/>
      <c r="EF1247" s="885"/>
      <c r="EG1247" s="885"/>
      <c r="EH1247" s="885"/>
      <c r="EI1247" s="885"/>
      <c r="EJ1247" s="885"/>
      <c r="EK1247" s="885"/>
      <c r="EL1247" s="885"/>
      <c r="EM1247" s="885"/>
      <c r="EN1247" s="885"/>
      <c r="EO1247" s="885"/>
      <c r="EP1247" s="885"/>
      <c r="EQ1247" s="885"/>
      <c r="ER1247" s="885"/>
      <c r="ES1247" s="885"/>
      <c r="ET1247" s="885"/>
      <c r="EU1247" s="885"/>
      <c r="EV1247" s="885"/>
      <c r="EW1247" s="885"/>
      <c r="EX1247" s="885"/>
      <c r="EY1247" s="885"/>
      <c r="EZ1247" s="885"/>
      <c r="FA1247" s="885"/>
      <c r="FB1247" s="885"/>
      <c r="FC1247" s="885"/>
      <c r="FD1247" s="885"/>
      <c r="FE1247" s="885"/>
      <c r="FF1247" s="885"/>
      <c r="FG1247" s="885"/>
      <c r="FH1247" s="885"/>
      <c r="FI1247" s="885"/>
      <c r="FJ1247" s="885"/>
      <c r="FK1247" s="885"/>
      <c r="FL1247" s="885"/>
      <c r="FM1247" s="885"/>
      <c r="FN1247" s="885"/>
      <c r="FO1247" s="885"/>
      <c r="FP1247" s="885"/>
      <c r="FQ1247" s="885"/>
      <c r="FR1247" s="885"/>
      <c r="FS1247" s="885"/>
      <c r="FT1247" s="885"/>
      <c r="FU1247" s="885"/>
      <c r="FV1247" s="885"/>
      <c r="FW1247" s="885"/>
      <c r="FX1247" s="885"/>
      <c r="FY1247" s="885"/>
      <c r="FZ1247" s="885"/>
      <c r="GA1247" s="885"/>
      <c r="GB1247" s="885"/>
      <c r="GC1247" s="885"/>
      <c r="GD1247" s="885"/>
      <c r="GE1247" s="885"/>
      <c r="GF1247" s="885"/>
      <c r="GG1247" s="885"/>
      <c r="GH1247" s="885"/>
      <c r="GI1247" s="885"/>
      <c r="GJ1247" s="885"/>
      <c r="GK1247" s="885"/>
      <c r="GL1247" s="885"/>
      <c r="GM1247" s="885"/>
      <c r="GN1247" s="885"/>
      <c r="GO1247" s="885"/>
      <c r="GP1247" s="885"/>
      <c r="GQ1247" s="885"/>
      <c r="GR1247" s="885"/>
      <c r="GS1247" s="885"/>
      <c r="GT1247" s="885"/>
      <c r="GU1247" s="885"/>
      <c r="GV1247" s="885"/>
      <c r="GW1247" s="885"/>
      <c r="GX1247" s="885"/>
      <c r="GY1247" s="885"/>
      <c r="GZ1247" s="885"/>
      <c r="HA1247" s="885"/>
      <c r="HB1247" s="885"/>
      <c r="HC1247" s="885"/>
      <c r="HD1247" s="885"/>
      <c r="HE1247" s="885"/>
      <c r="HF1247" s="885"/>
      <c r="HG1247" s="885"/>
      <c r="HH1247" s="885"/>
      <c r="HI1247" s="885"/>
      <c r="HJ1247" s="885"/>
      <c r="HK1247" s="885"/>
      <c r="HL1247" s="885"/>
      <c r="HM1247" s="885"/>
      <c r="HN1247" s="885"/>
      <c r="HO1247" s="885"/>
      <c r="HP1247" s="885"/>
      <c r="HQ1247" s="885"/>
      <c r="HR1247" s="885"/>
      <c r="HS1247" s="885"/>
      <c r="HT1247" s="885"/>
      <c r="HU1247" s="885"/>
      <c r="HV1247" s="885"/>
      <c r="HW1247" s="885"/>
      <c r="HX1247" s="885"/>
      <c r="HY1247" s="885"/>
      <c r="HZ1247" s="885"/>
      <c r="IA1247" s="885"/>
      <c r="IB1247" s="885"/>
      <c r="IC1247" s="885"/>
      <c r="ID1247" s="885"/>
      <c r="IE1247" s="885"/>
      <c r="IF1247" s="885"/>
      <c r="IG1247" s="885"/>
      <c r="IH1247" s="885"/>
      <c r="II1247" s="885"/>
      <c r="IJ1247" s="885"/>
      <c r="IK1247" s="885"/>
      <c r="IL1247" s="885"/>
      <c r="IM1247" s="885"/>
      <c r="IN1247" s="885"/>
      <c r="IO1247" s="885"/>
      <c r="IP1247" s="885"/>
      <c r="IQ1247" s="885"/>
      <c r="IR1247" s="885"/>
      <c r="IS1247" s="885"/>
      <c r="IT1247" s="885"/>
      <c r="IU1247" s="885"/>
      <c r="IV1247" s="885"/>
      <c r="IW1247" s="885"/>
      <c r="IX1247" s="885"/>
    </row>
    <row r="1248" spans="1:258" x14ac:dyDescent="0.25">
      <c r="A1248" s="125">
        <f t="shared" si="134"/>
        <v>1208</v>
      </c>
      <c r="B1248" s="885"/>
      <c r="C1248" s="842" t="s">
        <v>10781</v>
      </c>
      <c r="D1248" s="924">
        <v>0</v>
      </c>
      <c r="E1248" s="924">
        <f t="shared" si="133"/>
        <v>0</v>
      </c>
      <c r="F1248" s="129">
        <v>2000</v>
      </c>
      <c r="G1248" s="122" t="s">
        <v>1963</v>
      </c>
      <c r="H1248" s="885"/>
      <c r="I1248" s="885"/>
      <c r="J1248" s="885"/>
      <c r="K1248" s="885"/>
      <c r="L1248" s="885"/>
      <c r="M1248" s="885"/>
      <c r="N1248" s="885"/>
      <c r="O1248" s="885"/>
      <c r="P1248" s="885"/>
      <c r="Q1248" s="885"/>
      <c r="R1248" s="885"/>
      <c r="S1248" s="885"/>
      <c r="T1248" s="885"/>
      <c r="U1248" s="885"/>
      <c r="V1248" s="885"/>
      <c r="W1248" s="885"/>
      <c r="X1248" s="885"/>
      <c r="Y1248" s="885"/>
      <c r="Z1248" s="885"/>
      <c r="AA1248" s="885"/>
      <c r="AB1248" s="885"/>
      <c r="AC1248" s="885"/>
      <c r="AD1248" s="885"/>
      <c r="AE1248" s="885"/>
      <c r="AF1248" s="885"/>
      <c r="AG1248" s="885"/>
      <c r="AH1248" s="885"/>
      <c r="AI1248" s="885"/>
      <c r="AJ1248" s="885"/>
      <c r="AK1248" s="885"/>
      <c r="AL1248" s="885"/>
      <c r="AM1248" s="885"/>
      <c r="AN1248" s="885"/>
      <c r="AO1248" s="885"/>
      <c r="AP1248" s="885"/>
      <c r="AQ1248" s="885"/>
      <c r="AR1248" s="885"/>
      <c r="AS1248" s="885"/>
      <c r="AT1248" s="885"/>
      <c r="AU1248" s="885"/>
      <c r="AV1248" s="885"/>
      <c r="AW1248" s="885"/>
      <c r="AX1248" s="885"/>
      <c r="AY1248" s="885"/>
      <c r="AZ1248" s="885"/>
      <c r="BA1248" s="885"/>
      <c r="BB1248" s="885"/>
      <c r="BC1248" s="885"/>
      <c r="BD1248" s="885"/>
      <c r="BE1248" s="885"/>
      <c r="BF1248" s="885"/>
      <c r="BG1248" s="885"/>
      <c r="BH1248" s="885"/>
      <c r="BI1248" s="885"/>
      <c r="BJ1248" s="885"/>
      <c r="BK1248" s="885"/>
      <c r="BL1248" s="885"/>
      <c r="BM1248" s="885"/>
      <c r="BN1248" s="885"/>
      <c r="BO1248" s="885"/>
      <c r="BP1248" s="885"/>
      <c r="BQ1248" s="885"/>
      <c r="BR1248" s="885"/>
      <c r="BS1248" s="885"/>
      <c r="BT1248" s="885"/>
      <c r="BU1248" s="885"/>
      <c r="BV1248" s="885"/>
      <c r="BW1248" s="885"/>
      <c r="BX1248" s="885"/>
      <c r="BY1248" s="885"/>
      <c r="BZ1248" s="885"/>
      <c r="CA1248" s="885"/>
      <c r="CB1248" s="885"/>
      <c r="CC1248" s="885"/>
      <c r="CD1248" s="885"/>
      <c r="CE1248" s="885"/>
      <c r="CF1248" s="885"/>
      <c r="CG1248" s="885"/>
      <c r="CH1248" s="885"/>
      <c r="CI1248" s="885"/>
      <c r="CJ1248" s="885"/>
      <c r="CK1248" s="885"/>
      <c r="CL1248" s="885"/>
      <c r="CM1248" s="885"/>
      <c r="CN1248" s="885"/>
      <c r="CO1248" s="885"/>
      <c r="CP1248" s="885"/>
      <c r="CQ1248" s="885"/>
      <c r="CR1248" s="885"/>
      <c r="CS1248" s="885"/>
      <c r="CT1248" s="885"/>
      <c r="CU1248" s="885"/>
      <c r="CV1248" s="885"/>
      <c r="CW1248" s="885"/>
      <c r="CX1248" s="885"/>
      <c r="CY1248" s="885"/>
      <c r="CZ1248" s="885"/>
      <c r="DA1248" s="885"/>
      <c r="DB1248" s="885"/>
      <c r="DC1248" s="885"/>
      <c r="DD1248" s="885"/>
      <c r="DE1248" s="885"/>
      <c r="DF1248" s="885"/>
      <c r="DG1248" s="885"/>
      <c r="DH1248" s="885"/>
      <c r="DI1248" s="885"/>
      <c r="DJ1248" s="885"/>
      <c r="DK1248" s="885"/>
      <c r="DL1248" s="885"/>
      <c r="DM1248" s="885"/>
      <c r="DN1248" s="885"/>
      <c r="DO1248" s="885"/>
      <c r="DP1248" s="885"/>
      <c r="DQ1248" s="885"/>
      <c r="DR1248" s="885"/>
      <c r="DS1248" s="885"/>
      <c r="DT1248" s="885"/>
      <c r="DU1248" s="885"/>
      <c r="DV1248" s="885"/>
      <c r="DW1248" s="885"/>
      <c r="DX1248" s="885"/>
      <c r="DY1248" s="885"/>
      <c r="DZ1248" s="885"/>
      <c r="EA1248" s="885"/>
      <c r="EB1248" s="885"/>
      <c r="EC1248" s="885"/>
      <c r="ED1248" s="885"/>
      <c r="EE1248" s="885"/>
      <c r="EF1248" s="885"/>
      <c r="EG1248" s="885"/>
      <c r="EH1248" s="885"/>
      <c r="EI1248" s="885"/>
      <c r="EJ1248" s="885"/>
      <c r="EK1248" s="885"/>
      <c r="EL1248" s="885"/>
      <c r="EM1248" s="885"/>
      <c r="EN1248" s="885"/>
      <c r="EO1248" s="885"/>
      <c r="EP1248" s="885"/>
      <c r="EQ1248" s="885"/>
      <c r="ER1248" s="885"/>
      <c r="ES1248" s="885"/>
      <c r="ET1248" s="885"/>
      <c r="EU1248" s="885"/>
      <c r="EV1248" s="885"/>
      <c r="EW1248" s="885"/>
      <c r="EX1248" s="885"/>
      <c r="EY1248" s="885"/>
      <c r="EZ1248" s="885"/>
      <c r="FA1248" s="885"/>
      <c r="FB1248" s="885"/>
      <c r="FC1248" s="885"/>
      <c r="FD1248" s="885"/>
      <c r="FE1248" s="885"/>
      <c r="FF1248" s="885"/>
      <c r="FG1248" s="885"/>
      <c r="FH1248" s="885"/>
      <c r="FI1248" s="885"/>
      <c r="FJ1248" s="885"/>
      <c r="FK1248" s="885"/>
      <c r="FL1248" s="885"/>
      <c r="FM1248" s="885"/>
      <c r="FN1248" s="885"/>
      <c r="FO1248" s="885"/>
      <c r="FP1248" s="885"/>
      <c r="FQ1248" s="885"/>
      <c r="FR1248" s="885"/>
      <c r="FS1248" s="885"/>
      <c r="FT1248" s="885"/>
      <c r="FU1248" s="885"/>
      <c r="FV1248" s="885"/>
      <c r="FW1248" s="885"/>
      <c r="FX1248" s="885"/>
      <c r="FY1248" s="885"/>
      <c r="FZ1248" s="885"/>
      <c r="GA1248" s="885"/>
      <c r="GB1248" s="885"/>
      <c r="GC1248" s="885"/>
      <c r="GD1248" s="885"/>
      <c r="GE1248" s="885"/>
      <c r="GF1248" s="885"/>
      <c r="GG1248" s="885"/>
      <c r="GH1248" s="885"/>
      <c r="GI1248" s="885"/>
      <c r="GJ1248" s="885"/>
      <c r="GK1248" s="885"/>
      <c r="GL1248" s="885"/>
      <c r="GM1248" s="885"/>
      <c r="GN1248" s="885"/>
      <c r="GO1248" s="885"/>
      <c r="GP1248" s="885"/>
      <c r="GQ1248" s="885"/>
      <c r="GR1248" s="885"/>
      <c r="GS1248" s="885"/>
      <c r="GT1248" s="885"/>
      <c r="GU1248" s="885"/>
      <c r="GV1248" s="885"/>
      <c r="GW1248" s="885"/>
      <c r="GX1248" s="885"/>
      <c r="GY1248" s="885"/>
      <c r="GZ1248" s="885"/>
      <c r="HA1248" s="885"/>
      <c r="HB1248" s="885"/>
      <c r="HC1248" s="885"/>
      <c r="HD1248" s="885"/>
      <c r="HE1248" s="885"/>
      <c r="HF1248" s="885"/>
      <c r="HG1248" s="885"/>
      <c r="HH1248" s="885"/>
      <c r="HI1248" s="885"/>
      <c r="HJ1248" s="885"/>
      <c r="HK1248" s="885"/>
      <c r="HL1248" s="885"/>
      <c r="HM1248" s="885"/>
      <c r="HN1248" s="885"/>
      <c r="HO1248" s="885"/>
      <c r="HP1248" s="885"/>
      <c r="HQ1248" s="885"/>
      <c r="HR1248" s="885"/>
      <c r="HS1248" s="885"/>
      <c r="HT1248" s="885"/>
      <c r="HU1248" s="885"/>
      <c r="HV1248" s="885"/>
      <c r="HW1248" s="885"/>
      <c r="HX1248" s="885"/>
      <c r="HY1248" s="885"/>
      <c r="HZ1248" s="885"/>
      <c r="IA1248" s="885"/>
      <c r="IB1248" s="885"/>
      <c r="IC1248" s="885"/>
      <c r="ID1248" s="885"/>
      <c r="IE1248" s="885"/>
      <c r="IF1248" s="885"/>
      <c r="IG1248" s="885"/>
      <c r="IH1248" s="885"/>
      <c r="II1248" s="885"/>
      <c r="IJ1248" s="885"/>
      <c r="IK1248" s="885"/>
      <c r="IL1248" s="885"/>
      <c r="IM1248" s="885"/>
      <c r="IN1248" s="885"/>
      <c r="IO1248" s="885"/>
      <c r="IP1248" s="885"/>
      <c r="IQ1248" s="885"/>
      <c r="IR1248" s="885"/>
      <c r="IS1248" s="885"/>
      <c r="IT1248" s="885"/>
      <c r="IU1248" s="885"/>
      <c r="IV1248" s="885"/>
      <c r="IW1248" s="885"/>
      <c r="IX1248" s="885"/>
    </row>
    <row r="1249" spans="1:258" x14ac:dyDescent="0.25">
      <c r="A1249" s="125">
        <f t="shared" si="134"/>
        <v>1209</v>
      </c>
      <c r="B1249" s="885"/>
      <c r="C1249" s="927" t="s">
        <v>10782</v>
      </c>
      <c r="D1249" s="928"/>
      <c r="E1249" s="928"/>
      <c r="F1249" s="129"/>
      <c r="H1249" s="885"/>
      <c r="I1249" s="885"/>
      <c r="J1249" s="885"/>
      <c r="K1249" s="885"/>
      <c r="L1249" s="885"/>
      <c r="M1249" s="885"/>
      <c r="N1249" s="885"/>
      <c r="O1249" s="885"/>
      <c r="P1249" s="885"/>
      <c r="Q1249" s="885"/>
      <c r="R1249" s="885"/>
      <c r="S1249" s="885"/>
      <c r="T1249" s="885"/>
      <c r="U1249" s="885"/>
      <c r="V1249" s="885"/>
      <c r="W1249" s="885"/>
      <c r="X1249" s="885"/>
      <c r="Y1249" s="885"/>
      <c r="Z1249" s="885"/>
      <c r="AA1249" s="885"/>
      <c r="AB1249" s="885"/>
      <c r="AC1249" s="885"/>
      <c r="AD1249" s="885"/>
      <c r="AE1249" s="885"/>
      <c r="AF1249" s="885"/>
      <c r="AG1249" s="885"/>
      <c r="AH1249" s="885"/>
      <c r="AI1249" s="885"/>
      <c r="AJ1249" s="885"/>
      <c r="AK1249" s="885"/>
      <c r="AL1249" s="885"/>
      <c r="AM1249" s="885"/>
      <c r="AN1249" s="885"/>
      <c r="AO1249" s="885"/>
      <c r="AP1249" s="885"/>
      <c r="AQ1249" s="885"/>
      <c r="AR1249" s="885"/>
      <c r="AS1249" s="885"/>
      <c r="AT1249" s="885"/>
      <c r="AU1249" s="885"/>
      <c r="AV1249" s="885"/>
      <c r="AW1249" s="885"/>
      <c r="AX1249" s="885"/>
      <c r="AY1249" s="885"/>
      <c r="AZ1249" s="885"/>
      <c r="BA1249" s="885"/>
      <c r="BB1249" s="885"/>
      <c r="BC1249" s="885"/>
      <c r="BD1249" s="885"/>
      <c r="BE1249" s="885"/>
      <c r="BF1249" s="885"/>
      <c r="BG1249" s="885"/>
      <c r="BH1249" s="885"/>
      <c r="BI1249" s="885"/>
      <c r="BJ1249" s="885"/>
      <c r="BK1249" s="885"/>
      <c r="BL1249" s="885"/>
      <c r="BM1249" s="885"/>
      <c r="BN1249" s="885"/>
      <c r="BO1249" s="885"/>
      <c r="BP1249" s="885"/>
      <c r="BQ1249" s="885"/>
      <c r="BR1249" s="885"/>
      <c r="BS1249" s="885"/>
      <c r="BT1249" s="885"/>
      <c r="BU1249" s="885"/>
      <c r="BV1249" s="885"/>
      <c r="BW1249" s="885"/>
      <c r="BX1249" s="885"/>
      <c r="BY1249" s="885"/>
      <c r="BZ1249" s="885"/>
      <c r="CA1249" s="885"/>
      <c r="CB1249" s="885"/>
      <c r="CC1249" s="885"/>
      <c r="CD1249" s="885"/>
      <c r="CE1249" s="885"/>
      <c r="CF1249" s="885"/>
      <c r="CG1249" s="885"/>
      <c r="CH1249" s="885"/>
      <c r="CI1249" s="885"/>
      <c r="CJ1249" s="885"/>
      <c r="CK1249" s="885"/>
      <c r="CL1249" s="885"/>
      <c r="CM1249" s="885"/>
      <c r="CN1249" s="885"/>
      <c r="CO1249" s="885"/>
      <c r="CP1249" s="885"/>
      <c r="CQ1249" s="885"/>
      <c r="CR1249" s="885"/>
      <c r="CS1249" s="885"/>
      <c r="CT1249" s="885"/>
      <c r="CU1249" s="885"/>
      <c r="CV1249" s="885"/>
      <c r="CW1249" s="885"/>
      <c r="CX1249" s="885"/>
      <c r="CY1249" s="885"/>
      <c r="CZ1249" s="885"/>
      <c r="DA1249" s="885"/>
      <c r="DB1249" s="885"/>
      <c r="DC1249" s="885"/>
      <c r="DD1249" s="885"/>
      <c r="DE1249" s="885"/>
      <c r="DF1249" s="885"/>
      <c r="DG1249" s="885"/>
      <c r="DH1249" s="885"/>
      <c r="DI1249" s="885"/>
      <c r="DJ1249" s="885"/>
      <c r="DK1249" s="885"/>
      <c r="DL1249" s="885"/>
      <c r="DM1249" s="885"/>
      <c r="DN1249" s="885"/>
      <c r="DO1249" s="885"/>
      <c r="DP1249" s="885"/>
      <c r="DQ1249" s="885"/>
      <c r="DR1249" s="885"/>
      <c r="DS1249" s="885"/>
      <c r="DT1249" s="885"/>
      <c r="DU1249" s="885"/>
      <c r="DV1249" s="885"/>
      <c r="DW1249" s="885"/>
      <c r="DX1249" s="885"/>
      <c r="DY1249" s="885"/>
      <c r="DZ1249" s="885"/>
      <c r="EA1249" s="885"/>
      <c r="EB1249" s="885"/>
      <c r="EC1249" s="885"/>
      <c r="ED1249" s="885"/>
      <c r="EE1249" s="885"/>
      <c r="EF1249" s="885"/>
      <c r="EG1249" s="885"/>
      <c r="EH1249" s="885"/>
      <c r="EI1249" s="885"/>
      <c r="EJ1249" s="885"/>
      <c r="EK1249" s="885"/>
      <c r="EL1249" s="885"/>
      <c r="EM1249" s="885"/>
      <c r="EN1249" s="885"/>
      <c r="EO1249" s="885"/>
      <c r="EP1249" s="885"/>
      <c r="EQ1249" s="885"/>
      <c r="ER1249" s="885"/>
      <c r="ES1249" s="885"/>
      <c r="ET1249" s="885"/>
      <c r="EU1249" s="885"/>
      <c r="EV1249" s="885"/>
      <c r="EW1249" s="885"/>
      <c r="EX1249" s="885"/>
      <c r="EY1249" s="885"/>
      <c r="EZ1249" s="885"/>
      <c r="FA1249" s="885"/>
      <c r="FB1249" s="885"/>
      <c r="FC1249" s="885"/>
      <c r="FD1249" s="885"/>
      <c r="FE1249" s="885"/>
      <c r="FF1249" s="885"/>
      <c r="FG1249" s="885"/>
      <c r="FH1249" s="885"/>
      <c r="FI1249" s="885"/>
      <c r="FJ1249" s="885"/>
      <c r="FK1249" s="885"/>
      <c r="FL1249" s="885"/>
      <c r="FM1249" s="885"/>
      <c r="FN1249" s="885"/>
      <c r="FO1249" s="885"/>
      <c r="FP1249" s="885"/>
      <c r="FQ1249" s="885"/>
      <c r="FR1249" s="885"/>
      <c r="FS1249" s="885"/>
      <c r="FT1249" s="885"/>
      <c r="FU1249" s="885"/>
      <c r="FV1249" s="885"/>
      <c r="FW1249" s="885"/>
      <c r="FX1249" s="885"/>
      <c r="FY1249" s="885"/>
      <c r="FZ1249" s="885"/>
      <c r="GA1249" s="885"/>
      <c r="GB1249" s="885"/>
      <c r="GC1249" s="885"/>
      <c r="GD1249" s="885"/>
      <c r="GE1249" s="885"/>
      <c r="GF1249" s="885"/>
      <c r="GG1249" s="885"/>
      <c r="GH1249" s="885"/>
      <c r="GI1249" s="885"/>
      <c r="GJ1249" s="885"/>
      <c r="GK1249" s="885"/>
      <c r="GL1249" s="885"/>
      <c r="GM1249" s="885"/>
      <c r="GN1249" s="885"/>
      <c r="GO1249" s="885"/>
      <c r="GP1249" s="885"/>
      <c r="GQ1249" s="885"/>
      <c r="GR1249" s="885"/>
      <c r="GS1249" s="885"/>
      <c r="GT1249" s="885"/>
      <c r="GU1249" s="885"/>
      <c r="GV1249" s="885"/>
      <c r="GW1249" s="885"/>
      <c r="GX1249" s="885"/>
      <c r="GY1249" s="885"/>
      <c r="GZ1249" s="885"/>
      <c r="HA1249" s="885"/>
      <c r="HB1249" s="885"/>
      <c r="HC1249" s="885"/>
      <c r="HD1249" s="885"/>
      <c r="HE1249" s="885"/>
      <c r="HF1249" s="885"/>
      <c r="HG1249" s="885"/>
      <c r="HH1249" s="885"/>
      <c r="HI1249" s="885"/>
      <c r="HJ1249" s="885"/>
      <c r="HK1249" s="885"/>
      <c r="HL1249" s="885"/>
      <c r="HM1249" s="885"/>
      <c r="HN1249" s="885"/>
      <c r="HO1249" s="885"/>
      <c r="HP1249" s="885"/>
      <c r="HQ1249" s="885"/>
      <c r="HR1249" s="885"/>
      <c r="HS1249" s="885"/>
      <c r="HT1249" s="885"/>
      <c r="HU1249" s="885"/>
      <c r="HV1249" s="885"/>
      <c r="HW1249" s="885"/>
      <c r="HX1249" s="885"/>
      <c r="HY1249" s="885"/>
      <c r="HZ1249" s="885"/>
      <c r="IA1249" s="885"/>
      <c r="IB1249" s="885"/>
      <c r="IC1249" s="885"/>
      <c r="ID1249" s="885"/>
      <c r="IE1249" s="885"/>
      <c r="IF1249" s="885"/>
      <c r="IG1249" s="885"/>
      <c r="IH1249" s="885"/>
      <c r="II1249" s="885"/>
      <c r="IJ1249" s="885"/>
      <c r="IK1249" s="885"/>
      <c r="IL1249" s="885"/>
      <c r="IM1249" s="885"/>
      <c r="IN1249" s="885"/>
      <c r="IO1249" s="885"/>
      <c r="IP1249" s="885"/>
      <c r="IQ1249" s="885"/>
      <c r="IR1249" s="885"/>
      <c r="IS1249" s="885"/>
      <c r="IT1249" s="885"/>
      <c r="IU1249" s="885"/>
      <c r="IV1249" s="885"/>
      <c r="IW1249" s="885"/>
      <c r="IX1249" s="885"/>
    </row>
    <row r="1250" spans="1:258" x14ac:dyDescent="0.25">
      <c r="A1250" s="125">
        <f t="shared" si="134"/>
        <v>1210</v>
      </c>
      <c r="B1250" s="885"/>
      <c r="C1250" s="842" t="s">
        <v>10783</v>
      </c>
      <c r="D1250" s="924">
        <v>12081.36</v>
      </c>
      <c r="E1250" s="924">
        <f t="shared" si="133"/>
        <v>18122.04</v>
      </c>
      <c r="F1250" s="129">
        <f t="shared" ref="F1250:F1259" si="135">E1250</f>
        <v>18122.04</v>
      </c>
      <c r="G1250" s="122" t="s">
        <v>1963</v>
      </c>
      <c r="H1250" s="885"/>
      <c r="I1250" s="885"/>
      <c r="J1250" s="885"/>
      <c r="K1250" s="885"/>
      <c r="L1250" s="885"/>
      <c r="M1250" s="885"/>
      <c r="N1250" s="885"/>
      <c r="O1250" s="885"/>
      <c r="P1250" s="885"/>
      <c r="Q1250" s="885"/>
      <c r="R1250" s="885"/>
      <c r="S1250" s="885"/>
      <c r="T1250" s="885"/>
      <c r="U1250" s="885"/>
      <c r="V1250" s="885"/>
      <c r="W1250" s="885"/>
      <c r="X1250" s="885"/>
      <c r="Y1250" s="885"/>
      <c r="Z1250" s="885"/>
      <c r="AA1250" s="885"/>
      <c r="AB1250" s="885"/>
      <c r="AC1250" s="885"/>
      <c r="AD1250" s="885"/>
      <c r="AE1250" s="885"/>
      <c r="AF1250" s="885"/>
      <c r="AG1250" s="885"/>
      <c r="AH1250" s="885"/>
      <c r="AI1250" s="885"/>
      <c r="AJ1250" s="885"/>
      <c r="AK1250" s="885"/>
      <c r="AL1250" s="885"/>
      <c r="AM1250" s="885"/>
      <c r="AN1250" s="885"/>
      <c r="AO1250" s="885"/>
      <c r="AP1250" s="885"/>
      <c r="AQ1250" s="885"/>
      <c r="AR1250" s="885"/>
      <c r="AS1250" s="885"/>
      <c r="AT1250" s="885"/>
      <c r="AU1250" s="885"/>
      <c r="AV1250" s="885"/>
      <c r="AW1250" s="885"/>
      <c r="AX1250" s="885"/>
      <c r="AY1250" s="885"/>
      <c r="AZ1250" s="885"/>
      <c r="BA1250" s="885"/>
      <c r="BB1250" s="885"/>
      <c r="BC1250" s="885"/>
      <c r="BD1250" s="885"/>
      <c r="BE1250" s="885"/>
      <c r="BF1250" s="885"/>
      <c r="BG1250" s="885"/>
      <c r="BH1250" s="885"/>
      <c r="BI1250" s="885"/>
      <c r="BJ1250" s="885"/>
      <c r="BK1250" s="885"/>
      <c r="BL1250" s="885"/>
      <c r="BM1250" s="885"/>
      <c r="BN1250" s="885"/>
      <c r="BO1250" s="885"/>
      <c r="BP1250" s="885"/>
      <c r="BQ1250" s="885"/>
      <c r="BR1250" s="885"/>
      <c r="BS1250" s="885"/>
      <c r="BT1250" s="885"/>
      <c r="BU1250" s="885"/>
      <c r="BV1250" s="885"/>
      <c r="BW1250" s="885"/>
      <c r="BX1250" s="885"/>
      <c r="BY1250" s="885"/>
      <c r="BZ1250" s="885"/>
      <c r="CA1250" s="885"/>
      <c r="CB1250" s="885"/>
      <c r="CC1250" s="885"/>
      <c r="CD1250" s="885"/>
      <c r="CE1250" s="885"/>
      <c r="CF1250" s="885"/>
      <c r="CG1250" s="885"/>
      <c r="CH1250" s="885"/>
      <c r="CI1250" s="885"/>
      <c r="CJ1250" s="885"/>
      <c r="CK1250" s="885"/>
      <c r="CL1250" s="885"/>
      <c r="CM1250" s="885"/>
      <c r="CN1250" s="885"/>
      <c r="CO1250" s="885"/>
      <c r="CP1250" s="885"/>
      <c r="CQ1250" s="885"/>
      <c r="CR1250" s="885"/>
      <c r="CS1250" s="885"/>
      <c r="CT1250" s="885"/>
      <c r="CU1250" s="885"/>
      <c r="CV1250" s="885"/>
      <c r="CW1250" s="885"/>
      <c r="CX1250" s="885"/>
      <c r="CY1250" s="885"/>
      <c r="CZ1250" s="885"/>
      <c r="DA1250" s="885"/>
      <c r="DB1250" s="885"/>
      <c r="DC1250" s="885"/>
      <c r="DD1250" s="885"/>
      <c r="DE1250" s="885"/>
      <c r="DF1250" s="885"/>
      <c r="DG1250" s="885"/>
      <c r="DH1250" s="885"/>
      <c r="DI1250" s="885"/>
      <c r="DJ1250" s="885"/>
      <c r="DK1250" s="885"/>
      <c r="DL1250" s="885"/>
      <c r="DM1250" s="885"/>
      <c r="DN1250" s="885"/>
      <c r="DO1250" s="885"/>
      <c r="DP1250" s="885"/>
      <c r="DQ1250" s="885"/>
      <c r="DR1250" s="885"/>
      <c r="DS1250" s="885"/>
      <c r="DT1250" s="885"/>
      <c r="DU1250" s="885"/>
      <c r="DV1250" s="885"/>
      <c r="DW1250" s="885"/>
      <c r="DX1250" s="885"/>
      <c r="DY1250" s="885"/>
      <c r="DZ1250" s="885"/>
      <c r="EA1250" s="885"/>
      <c r="EB1250" s="885"/>
      <c r="EC1250" s="885"/>
      <c r="ED1250" s="885"/>
      <c r="EE1250" s="885"/>
      <c r="EF1250" s="885"/>
      <c r="EG1250" s="885"/>
      <c r="EH1250" s="885"/>
      <c r="EI1250" s="885"/>
      <c r="EJ1250" s="885"/>
      <c r="EK1250" s="885"/>
      <c r="EL1250" s="885"/>
      <c r="EM1250" s="885"/>
      <c r="EN1250" s="885"/>
      <c r="EO1250" s="885"/>
      <c r="EP1250" s="885"/>
      <c r="EQ1250" s="885"/>
      <c r="ER1250" s="885"/>
      <c r="ES1250" s="885"/>
      <c r="ET1250" s="885"/>
      <c r="EU1250" s="885"/>
      <c r="EV1250" s="885"/>
      <c r="EW1250" s="885"/>
      <c r="EX1250" s="885"/>
      <c r="EY1250" s="885"/>
      <c r="EZ1250" s="885"/>
      <c r="FA1250" s="885"/>
      <c r="FB1250" s="885"/>
      <c r="FC1250" s="885"/>
      <c r="FD1250" s="885"/>
      <c r="FE1250" s="885"/>
      <c r="FF1250" s="885"/>
      <c r="FG1250" s="885"/>
      <c r="FH1250" s="885"/>
      <c r="FI1250" s="885"/>
      <c r="FJ1250" s="885"/>
      <c r="FK1250" s="885"/>
      <c r="FL1250" s="885"/>
      <c r="FM1250" s="885"/>
      <c r="FN1250" s="885"/>
      <c r="FO1250" s="885"/>
      <c r="FP1250" s="885"/>
      <c r="FQ1250" s="885"/>
      <c r="FR1250" s="885"/>
      <c r="FS1250" s="885"/>
      <c r="FT1250" s="885"/>
      <c r="FU1250" s="885"/>
      <c r="FV1250" s="885"/>
      <c r="FW1250" s="885"/>
      <c r="FX1250" s="885"/>
      <c r="FY1250" s="885"/>
      <c r="FZ1250" s="885"/>
      <c r="GA1250" s="885"/>
      <c r="GB1250" s="885"/>
      <c r="GC1250" s="885"/>
      <c r="GD1250" s="885"/>
      <c r="GE1250" s="885"/>
      <c r="GF1250" s="885"/>
      <c r="GG1250" s="885"/>
      <c r="GH1250" s="885"/>
      <c r="GI1250" s="885"/>
      <c r="GJ1250" s="885"/>
      <c r="GK1250" s="885"/>
      <c r="GL1250" s="885"/>
      <c r="GM1250" s="885"/>
      <c r="GN1250" s="885"/>
      <c r="GO1250" s="885"/>
      <c r="GP1250" s="885"/>
      <c r="GQ1250" s="885"/>
      <c r="GR1250" s="885"/>
      <c r="GS1250" s="885"/>
      <c r="GT1250" s="885"/>
      <c r="GU1250" s="885"/>
      <c r="GV1250" s="885"/>
      <c r="GW1250" s="885"/>
      <c r="GX1250" s="885"/>
      <c r="GY1250" s="885"/>
      <c r="GZ1250" s="885"/>
      <c r="HA1250" s="885"/>
      <c r="HB1250" s="885"/>
      <c r="HC1250" s="885"/>
      <c r="HD1250" s="885"/>
      <c r="HE1250" s="885"/>
      <c r="HF1250" s="885"/>
      <c r="HG1250" s="885"/>
      <c r="HH1250" s="885"/>
      <c r="HI1250" s="885"/>
      <c r="HJ1250" s="885"/>
      <c r="HK1250" s="885"/>
      <c r="HL1250" s="885"/>
      <c r="HM1250" s="885"/>
      <c r="HN1250" s="885"/>
      <c r="HO1250" s="885"/>
      <c r="HP1250" s="885"/>
      <c r="HQ1250" s="885"/>
      <c r="HR1250" s="885"/>
      <c r="HS1250" s="885"/>
      <c r="HT1250" s="885"/>
      <c r="HU1250" s="885"/>
      <c r="HV1250" s="885"/>
      <c r="HW1250" s="885"/>
      <c r="HX1250" s="885"/>
      <c r="HY1250" s="885"/>
      <c r="HZ1250" s="885"/>
      <c r="IA1250" s="885"/>
      <c r="IB1250" s="885"/>
      <c r="IC1250" s="885"/>
      <c r="ID1250" s="885"/>
      <c r="IE1250" s="885"/>
      <c r="IF1250" s="885"/>
      <c r="IG1250" s="885"/>
      <c r="IH1250" s="885"/>
      <c r="II1250" s="885"/>
      <c r="IJ1250" s="885"/>
      <c r="IK1250" s="885"/>
      <c r="IL1250" s="885"/>
      <c r="IM1250" s="885"/>
      <c r="IN1250" s="885"/>
      <c r="IO1250" s="885"/>
      <c r="IP1250" s="885"/>
      <c r="IQ1250" s="885"/>
      <c r="IR1250" s="885"/>
      <c r="IS1250" s="885"/>
      <c r="IT1250" s="885"/>
      <c r="IU1250" s="885"/>
      <c r="IV1250" s="885"/>
      <c r="IW1250" s="885"/>
      <c r="IX1250" s="885"/>
    </row>
    <row r="1251" spans="1:258" x14ac:dyDescent="0.25">
      <c r="A1251" s="125">
        <f t="shared" si="134"/>
        <v>1211</v>
      </c>
      <c r="B1251" s="954"/>
      <c r="C1251" s="842" t="s">
        <v>11558</v>
      </c>
      <c r="D1251" s="924">
        <v>0</v>
      </c>
      <c r="E1251" s="924">
        <f t="shared" si="133"/>
        <v>0</v>
      </c>
      <c r="F1251" s="129">
        <v>1000</v>
      </c>
      <c r="H1251" s="954"/>
      <c r="I1251" s="954"/>
      <c r="J1251" s="954"/>
      <c r="K1251" s="954"/>
      <c r="L1251" s="954"/>
      <c r="M1251" s="954"/>
      <c r="N1251" s="954"/>
      <c r="O1251" s="954"/>
      <c r="P1251" s="954"/>
      <c r="Q1251" s="954"/>
      <c r="R1251" s="954"/>
      <c r="S1251" s="954"/>
      <c r="T1251" s="954"/>
      <c r="U1251" s="954"/>
      <c r="V1251" s="954"/>
      <c r="W1251" s="954"/>
      <c r="X1251" s="954"/>
      <c r="Y1251" s="954"/>
      <c r="Z1251" s="954"/>
      <c r="AA1251" s="954"/>
      <c r="AB1251" s="954"/>
      <c r="AC1251" s="954"/>
      <c r="AD1251" s="954"/>
      <c r="AE1251" s="954"/>
      <c r="AF1251" s="954"/>
      <c r="AG1251" s="954"/>
      <c r="AH1251" s="954"/>
      <c r="AI1251" s="954"/>
      <c r="AJ1251" s="954"/>
      <c r="AK1251" s="954"/>
      <c r="AL1251" s="954"/>
      <c r="AM1251" s="954"/>
      <c r="AN1251" s="954"/>
      <c r="AO1251" s="954"/>
      <c r="AP1251" s="954"/>
      <c r="AQ1251" s="954"/>
      <c r="AR1251" s="954"/>
      <c r="AS1251" s="954"/>
      <c r="AT1251" s="954"/>
      <c r="AU1251" s="954"/>
      <c r="AV1251" s="954"/>
      <c r="AW1251" s="954"/>
      <c r="AX1251" s="954"/>
      <c r="AY1251" s="954"/>
      <c r="AZ1251" s="954"/>
      <c r="BA1251" s="954"/>
      <c r="BB1251" s="954"/>
      <c r="BC1251" s="954"/>
      <c r="BD1251" s="954"/>
      <c r="BE1251" s="954"/>
      <c r="BF1251" s="954"/>
      <c r="BG1251" s="954"/>
      <c r="BH1251" s="954"/>
      <c r="BI1251" s="954"/>
      <c r="BJ1251" s="954"/>
      <c r="BK1251" s="954"/>
      <c r="BL1251" s="954"/>
      <c r="BM1251" s="954"/>
      <c r="BN1251" s="954"/>
      <c r="BO1251" s="954"/>
      <c r="BP1251" s="954"/>
      <c r="BQ1251" s="954"/>
      <c r="BR1251" s="954"/>
      <c r="BS1251" s="954"/>
      <c r="BT1251" s="954"/>
      <c r="BU1251" s="954"/>
      <c r="BV1251" s="954"/>
      <c r="BW1251" s="954"/>
      <c r="BX1251" s="954"/>
      <c r="BY1251" s="954"/>
      <c r="BZ1251" s="954"/>
      <c r="CA1251" s="954"/>
      <c r="CB1251" s="954"/>
      <c r="CC1251" s="954"/>
      <c r="CD1251" s="954"/>
      <c r="CE1251" s="954"/>
      <c r="CF1251" s="954"/>
      <c r="CG1251" s="954"/>
      <c r="CH1251" s="954"/>
      <c r="CI1251" s="954"/>
      <c r="CJ1251" s="954"/>
      <c r="CK1251" s="954"/>
      <c r="CL1251" s="954"/>
      <c r="CM1251" s="954"/>
      <c r="CN1251" s="954"/>
      <c r="CO1251" s="954"/>
      <c r="CP1251" s="954"/>
      <c r="CQ1251" s="954"/>
      <c r="CR1251" s="954"/>
      <c r="CS1251" s="954"/>
      <c r="CT1251" s="954"/>
      <c r="CU1251" s="954"/>
      <c r="CV1251" s="954"/>
      <c r="CW1251" s="954"/>
      <c r="CX1251" s="954"/>
      <c r="CY1251" s="954"/>
      <c r="CZ1251" s="954"/>
      <c r="DA1251" s="954"/>
      <c r="DB1251" s="954"/>
      <c r="DC1251" s="954"/>
      <c r="DD1251" s="954"/>
      <c r="DE1251" s="954"/>
      <c r="DF1251" s="954"/>
      <c r="DG1251" s="954"/>
      <c r="DH1251" s="954"/>
      <c r="DI1251" s="954"/>
      <c r="DJ1251" s="954"/>
      <c r="DK1251" s="954"/>
      <c r="DL1251" s="954"/>
      <c r="DM1251" s="954"/>
      <c r="DN1251" s="954"/>
      <c r="DO1251" s="954"/>
      <c r="DP1251" s="954"/>
      <c r="DQ1251" s="954"/>
      <c r="DR1251" s="954"/>
      <c r="DS1251" s="954"/>
      <c r="DT1251" s="954"/>
      <c r="DU1251" s="954"/>
      <c r="DV1251" s="954"/>
      <c r="DW1251" s="954"/>
      <c r="DX1251" s="954"/>
      <c r="DY1251" s="954"/>
      <c r="DZ1251" s="954"/>
      <c r="EA1251" s="954"/>
      <c r="EB1251" s="954"/>
      <c r="EC1251" s="954"/>
      <c r="ED1251" s="954"/>
      <c r="EE1251" s="954"/>
      <c r="EF1251" s="954"/>
      <c r="EG1251" s="954"/>
      <c r="EH1251" s="954"/>
      <c r="EI1251" s="954"/>
      <c r="EJ1251" s="954"/>
      <c r="EK1251" s="954"/>
      <c r="EL1251" s="954"/>
      <c r="EM1251" s="954"/>
      <c r="EN1251" s="954"/>
      <c r="EO1251" s="954"/>
      <c r="EP1251" s="954"/>
      <c r="EQ1251" s="954"/>
      <c r="ER1251" s="954"/>
      <c r="ES1251" s="954"/>
      <c r="ET1251" s="954"/>
      <c r="EU1251" s="954"/>
      <c r="EV1251" s="954"/>
      <c r="EW1251" s="954"/>
      <c r="EX1251" s="954"/>
      <c r="EY1251" s="954"/>
      <c r="EZ1251" s="954"/>
      <c r="FA1251" s="954"/>
      <c r="FB1251" s="954"/>
      <c r="FC1251" s="954"/>
      <c r="FD1251" s="954"/>
      <c r="FE1251" s="954"/>
      <c r="FF1251" s="954"/>
      <c r="FG1251" s="954"/>
      <c r="FH1251" s="954"/>
      <c r="FI1251" s="954"/>
      <c r="FJ1251" s="954"/>
      <c r="FK1251" s="954"/>
      <c r="FL1251" s="954"/>
      <c r="FM1251" s="954"/>
      <c r="FN1251" s="954"/>
      <c r="FO1251" s="954"/>
      <c r="FP1251" s="954"/>
      <c r="FQ1251" s="954"/>
      <c r="FR1251" s="954"/>
      <c r="FS1251" s="954"/>
      <c r="FT1251" s="954"/>
      <c r="FU1251" s="954"/>
      <c r="FV1251" s="954"/>
      <c r="FW1251" s="954"/>
      <c r="FX1251" s="954"/>
      <c r="FY1251" s="954"/>
      <c r="FZ1251" s="954"/>
      <c r="GA1251" s="954"/>
      <c r="GB1251" s="954"/>
      <c r="GC1251" s="954"/>
      <c r="GD1251" s="954"/>
      <c r="GE1251" s="954"/>
      <c r="GF1251" s="954"/>
      <c r="GG1251" s="954"/>
      <c r="GH1251" s="954"/>
      <c r="GI1251" s="954"/>
      <c r="GJ1251" s="954"/>
      <c r="GK1251" s="954"/>
      <c r="GL1251" s="954"/>
      <c r="GM1251" s="954"/>
      <c r="GN1251" s="954"/>
      <c r="GO1251" s="954"/>
      <c r="GP1251" s="954"/>
      <c r="GQ1251" s="954"/>
      <c r="GR1251" s="954"/>
      <c r="GS1251" s="954"/>
      <c r="GT1251" s="954"/>
      <c r="GU1251" s="954"/>
      <c r="GV1251" s="954"/>
      <c r="GW1251" s="954"/>
      <c r="GX1251" s="954"/>
      <c r="GY1251" s="954"/>
      <c r="GZ1251" s="954"/>
      <c r="HA1251" s="954"/>
      <c r="HB1251" s="954"/>
      <c r="HC1251" s="954"/>
      <c r="HD1251" s="954"/>
      <c r="HE1251" s="954"/>
      <c r="HF1251" s="954"/>
      <c r="HG1251" s="954"/>
      <c r="HH1251" s="954"/>
      <c r="HI1251" s="954"/>
      <c r="HJ1251" s="954"/>
      <c r="HK1251" s="954"/>
      <c r="HL1251" s="954"/>
      <c r="HM1251" s="954"/>
      <c r="HN1251" s="954"/>
      <c r="HO1251" s="954"/>
      <c r="HP1251" s="954"/>
      <c r="HQ1251" s="954"/>
      <c r="HR1251" s="954"/>
      <c r="HS1251" s="954"/>
      <c r="HT1251" s="954"/>
      <c r="HU1251" s="954"/>
      <c r="HV1251" s="954"/>
      <c r="HW1251" s="954"/>
      <c r="HX1251" s="954"/>
      <c r="HY1251" s="954"/>
      <c r="HZ1251" s="954"/>
      <c r="IA1251" s="954"/>
      <c r="IB1251" s="954"/>
      <c r="IC1251" s="954"/>
      <c r="ID1251" s="954"/>
      <c r="IE1251" s="954"/>
      <c r="IF1251" s="954"/>
      <c r="IG1251" s="954"/>
      <c r="IH1251" s="954"/>
      <c r="II1251" s="954"/>
      <c r="IJ1251" s="954"/>
      <c r="IK1251" s="954"/>
      <c r="IL1251" s="954"/>
      <c r="IM1251" s="954"/>
      <c r="IN1251" s="954"/>
      <c r="IO1251" s="954"/>
      <c r="IP1251" s="954"/>
      <c r="IQ1251" s="954"/>
      <c r="IR1251" s="954"/>
      <c r="IS1251" s="954"/>
      <c r="IT1251" s="954"/>
      <c r="IU1251" s="954"/>
      <c r="IV1251" s="954"/>
      <c r="IW1251" s="954"/>
      <c r="IX1251" s="954"/>
    </row>
    <row r="1252" spans="1:258" x14ac:dyDescent="0.25">
      <c r="A1252" s="125">
        <f t="shared" si="134"/>
        <v>1212</v>
      </c>
      <c r="B1252" s="885"/>
      <c r="C1252" s="842" t="s">
        <v>10784</v>
      </c>
      <c r="D1252" s="924">
        <v>0</v>
      </c>
      <c r="E1252" s="924">
        <f t="shared" si="133"/>
        <v>0</v>
      </c>
      <c r="F1252" s="129">
        <v>500</v>
      </c>
      <c r="G1252" s="122" t="s">
        <v>1963</v>
      </c>
      <c r="H1252" s="885"/>
      <c r="I1252" s="885"/>
      <c r="J1252" s="885"/>
      <c r="K1252" s="885"/>
      <c r="L1252" s="885"/>
      <c r="M1252" s="885"/>
      <c r="N1252" s="885"/>
      <c r="O1252" s="885"/>
      <c r="P1252" s="885"/>
      <c r="Q1252" s="885"/>
      <c r="R1252" s="885"/>
      <c r="S1252" s="885"/>
      <c r="T1252" s="885"/>
      <c r="U1252" s="885"/>
      <c r="V1252" s="885"/>
      <c r="W1252" s="885"/>
      <c r="X1252" s="885"/>
      <c r="Y1252" s="885"/>
      <c r="Z1252" s="885"/>
      <c r="AA1252" s="885"/>
      <c r="AB1252" s="885"/>
      <c r="AC1252" s="885"/>
      <c r="AD1252" s="885"/>
      <c r="AE1252" s="885"/>
      <c r="AF1252" s="885"/>
      <c r="AG1252" s="885"/>
      <c r="AH1252" s="885"/>
      <c r="AI1252" s="885"/>
      <c r="AJ1252" s="885"/>
      <c r="AK1252" s="885"/>
      <c r="AL1252" s="885"/>
      <c r="AM1252" s="885"/>
      <c r="AN1252" s="885"/>
      <c r="AO1252" s="885"/>
      <c r="AP1252" s="885"/>
      <c r="AQ1252" s="885"/>
      <c r="AR1252" s="885"/>
      <c r="AS1252" s="885"/>
      <c r="AT1252" s="885"/>
      <c r="AU1252" s="885"/>
      <c r="AV1252" s="885"/>
      <c r="AW1252" s="885"/>
      <c r="AX1252" s="885"/>
      <c r="AY1252" s="885"/>
      <c r="AZ1252" s="885"/>
      <c r="BA1252" s="885"/>
      <c r="BB1252" s="885"/>
      <c r="BC1252" s="885"/>
      <c r="BD1252" s="885"/>
      <c r="BE1252" s="885"/>
      <c r="BF1252" s="885"/>
      <c r="BG1252" s="885"/>
      <c r="BH1252" s="885"/>
      <c r="BI1252" s="885"/>
      <c r="BJ1252" s="885"/>
      <c r="BK1252" s="885"/>
      <c r="BL1252" s="885"/>
      <c r="BM1252" s="885"/>
      <c r="BN1252" s="885"/>
      <c r="BO1252" s="885"/>
      <c r="BP1252" s="885"/>
      <c r="BQ1252" s="885"/>
      <c r="BR1252" s="885"/>
      <c r="BS1252" s="885"/>
      <c r="BT1252" s="885"/>
      <c r="BU1252" s="885"/>
      <c r="BV1252" s="885"/>
      <c r="BW1252" s="885"/>
      <c r="BX1252" s="885"/>
      <c r="BY1252" s="885"/>
      <c r="BZ1252" s="885"/>
      <c r="CA1252" s="885"/>
      <c r="CB1252" s="885"/>
      <c r="CC1252" s="885"/>
      <c r="CD1252" s="885"/>
      <c r="CE1252" s="885"/>
      <c r="CF1252" s="885"/>
      <c r="CG1252" s="885"/>
      <c r="CH1252" s="885"/>
      <c r="CI1252" s="885"/>
      <c r="CJ1252" s="885"/>
      <c r="CK1252" s="885"/>
      <c r="CL1252" s="885"/>
      <c r="CM1252" s="885"/>
      <c r="CN1252" s="885"/>
      <c r="CO1252" s="885"/>
      <c r="CP1252" s="885"/>
      <c r="CQ1252" s="885"/>
      <c r="CR1252" s="885"/>
      <c r="CS1252" s="885"/>
      <c r="CT1252" s="885"/>
      <c r="CU1252" s="885"/>
      <c r="CV1252" s="885"/>
      <c r="CW1252" s="885"/>
      <c r="CX1252" s="885"/>
      <c r="CY1252" s="885"/>
      <c r="CZ1252" s="885"/>
      <c r="DA1252" s="885"/>
      <c r="DB1252" s="885"/>
      <c r="DC1252" s="885"/>
      <c r="DD1252" s="885"/>
      <c r="DE1252" s="885"/>
      <c r="DF1252" s="885"/>
      <c r="DG1252" s="885"/>
      <c r="DH1252" s="885"/>
      <c r="DI1252" s="885"/>
      <c r="DJ1252" s="885"/>
      <c r="DK1252" s="885"/>
      <c r="DL1252" s="885"/>
      <c r="DM1252" s="885"/>
      <c r="DN1252" s="885"/>
      <c r="DO1252" s="885"/>
      <c r="DP1252" s="885"/>
      <c r="DQ1252" s="885"/>
      <c r="DR1252" s="885"/>
      <c r="DS1252" s="885"/>
      <c r="DT1252" s="885"/>
      <c r="DU1252" s="885"/>
      <c r="DV1252" s="885"/>
      <c r="DW1252" s="885"/>
      <c r="DX1252" s="885"/>
      <c r="DY1252" s="885"/>
      <c r="DZ1252" s="885"/>
      <c r="EA1252" s="885"/>
      <c r="EB1252" s="885"/>
      <c r="EC1252" s="885"/>
      <c r="ED1252" s="885"/>
      <c r="EE1252" s="885"/>
      <c r="EF1252" s="885"/>
      <c r="EG1252" s="885"/>
      <c r="EH1252" s="885"/>
      <c r="EI1252" s="885"/>
      <c r="EJ1252" s="885"/>
      <c r="EK1252" s="885"/>
      <c r="EL1252" s="885"/>
      <c r="EM1252" s="885"/>
      <c r="EN1252" s="885"/>
      <c r="EO1252" s="885"/>
      <c r="EP1252" s="885"/>
      <c r="EQ1252" s="885"/>
      <c r="ER1252" s="885"/>
      <c r="ES1252" s="885"/>
      <c r="ET1252" s="885"/>
      <c r="EU1252" s="885"/>
      <c r="EV1252" s="885"/>
      <c r="EW1252" s="885"/>
      <c r="EX1252" s="885"/>
      <c r="EY1252" s="885"/>
      <c r="EZ1252" s="885"/>
      <c r="FA1252" s="885"/>
      <c r="FB1252" s="885"/>
      <c r="FC1252" s="885"/>
      <c r="FD1252" s="885"/>
      <c r="FE1252" s="885"/>
      <c r="FF1252" s="885"/>
      <c r="FG1252" s="885"/>
      <c r="FH1252" s="885"/>
      <c r="FI1252" s="885"/>
      <c r="FJ1252" s="885"/>
      <c r="FK1252" s="885"/>
      <c r="FL1252" s="885"/>
      <c r="FM1252" s="885"/>
      <c r="FN1252" s="885"/>
      <c r="FO1252" s="885"/>
      <c r="FP1252" s="885"/>
      <c r="FQ1252" s="885"/>
      <c r="FR1252" s="885"/>
      <c r="FS1252" s="885"/>
      <c r="FT1252" s="885"/>
      <c r="FU1252" s="885"/>
      <c r="FV1252" s="885"/>
      <c r="FW1252" s="885"/>
      <c r="FX1252" s="885"/>
      <c r="FY1252" s="885"/>
      <c r="FZ1252" s="885"/>
      <c r="GA1252" s="885"/>
      <c r="GB1252" s="885"/>
      <c r="GC1252" s="885"/>
      <c r="GD1252" s="885"/>
      <c r="GE1252" s="885"/>
      <c r="GF1252" s="885"/>
      <c r="GG1252" s="885"/>
      <c r="GH1252" s="885"/>
      <c r="GI1252" s="885"/>
      <c r="GJ1252" s="885"/>
      <c r="GK1252" s="885"/>
      <c r="GL1252" s="885"/>
      <c r="GM1252" s="885"/>
      <c r="GN1252" s="885"/>
      <c r="GO1252" s="885"/>
      <c r="GP1252" s="885"/>
      <c r="GQ1252" s="885"/>
      <c r="GR1252" s="885"/>
      <c r="GS1252" s="885"/>
      <c r="GT1252" s="885"/>
      <c r="GU1252" s="885"/>
      <c r="GV1252" s="885"/>
      <c r="GW1252" s="885"/>
      <c r="GX1252" s="885"/>
      <c r="GY1252" s="885"/>
      <c r="GZ1252" s="885"/>
      <c r="HA1252" s="885"/>
      <c r="HB1252" s="885"/>
      <c r="HC1252" s="885"/>
      <c r="HD1252" s="885"/>
      <c r="HE1252" s="885"/>
      <c r="HF1252" s="885"/>
      <c r="HG1252" s="885"/>
      <c r="HH1252" s="885"/>
      <c r="HI1252" s="885"/>
      <c r="HJ1252" s="885"/>
      <c r="HK1252" s="885"/>
      <c r="HL1252" s="885"/>
      <c r="HM1252" s="885"/>
      <c r="HN1252" s="885"/>
      <c r="HO1252" s="885"/>
      <c r="HP1252" s="885"/>
      <c r="HQ1252" s="885"/>
      <c r="HR1252" s="885"/>
      <c r="HS1252" s="885"/>
      <c r="HT1252" s="885"/>
      <c r="HU1252" s="885"/>
      <c r="HV1252" s="885"/>
      <c r="HW1252" s="885"/>
      <c r="HX1252" s="885"/>
      <c r="HY1252" s="885"/>
      <c r="HZ1252" s="885"/>
      <c r="IA1252" s="885"/>
      <c r="IB1252" s="885"/>
      <c r="IC1252" s="885"/>
      <c r="ID1252" s="885"/>
      <c r="IE1252" s="885"/>
      <c r="IF1252" s="885"/>
      <c r="IG1252" s="885"/>
      <c r="IH1252" s="885"/>
      <c r="II1252" s="885"/>
      <c r="IJ1252" s="885"/>
      <c r="IK1252" s="885"/>
      <c r="IL1252" s="885"/>
      <c r="IM1252" s="885"/>
      <c r="IN1252" s="885"/>
      <c r="IO1252" s="885"/>
      <c r="IP1252" s="885"/>
      <c r="IQ1252" s="885"/>
      <c r="IR1252" s="885"/>
      <c r="IS1252" s="885"/>
      <c r="IT1252" s="885"/>
      <c r="IU1252" s="885"/>
      <c r="IV1252" s="885"/>
      <c r="IW1252" s="885"/>
      <c r="IX1252" s="885"/>
    </row>
    <row r="1253" spans="1:258" x14ac:dyDescent="0.25">
      <c r="A1253" s="125">
        <f t="shared" si="134"/>
        <v>1213</v>
      </c>
      <c r="B1253" s="885"/>
      <c r="C1253" s="842" t="s">
        <v>10785</v>
      </c>
      <c r="D1253" s="924">
        <v>443</v>
      </c>
      <c r="E1253" s="924">
        <f t="shared" si="133"/>
        <v>664.5</v>
      </c>
      <c r="F1253" s="129">
        <f t="shared" si="135"/>
        <v>664.5</v>
      </c>
      <c r="G1253" s="122" t="s">
        <v>1963</v>
      </c>
      <c r="H1253" s="885"/>
      <c r="I1253" s="885"/>
      <c r="J1253" s="885"/>
      <c r="K1253" s="885"/>
      <c r="L1253" s="885"/>
      <c r="M1253" s="885"/>
      <c r="N1253" s="885"/>
      <c r="O1253" s="885"/>
      <c r="P1253" s="885"/>
      <c r="Q1253" s="885"/>
      <c r="R1253" s="885"/>
      <c r="S1253" s="885"/>
      <c r="T1253" s="885"/>
      <c r="U1253" s="885"/>
      <c r="V1253" s="885"/>
      <c r="W1253" s="885"/>
      <c r="X1253" s="885"/>
      <c r="Y1253" s="885"/>
      <c r="Z1253" s="885"/>
      <c r="AA1253" s="885"/>
      <c r="AB1253" s="885"/>
      <c r="AC1253" s="885"/>
      <c r="AD1253" s="885"/>
      <c r="AE1253" s="885"/>
      <c r="AF1253" s="885"/>
      <c r="AG1253" s="885"/>
      <c r="AH1253" s="885"/>
      <c r="AI1253" s="885"/>
      <c r="AJ1253" s="885"/>
      <c r="AK1253" s="885"/>
      <c r="AL1253" s="885"/>
      <c r="AM1253" s="885"/>
      <c r="AN1253" s="885"/>
      <c r="AO1253" s="885"/>
      <c r="AP1253" s="885"/>
      <c r="AQ1253" s="885"/>
      <c r="AR1253" s="885"/>
      <c r="AS1253" s="885"/>
      <c r="AT1253" s="885"/>
      <c r="AU1253" s="885"/>
      <c r="AV1253" s="885"/>
      <c r="AW1253" s="885"/>
      <c r="AX1253" s="885"/>
      <c r="AY1253" s="885"/>
      <c r="AZ1253" s="885"/>
      <c r="BA1253" s="885"/>
      <c r="BB1253" s="885"/>
      <c r="BC1253" s="885"/>
      <c r="BD1253" s="885"/>
      <c r="BE1253" s="885"/>
      <c r="BF1253" s="885"/>
      <c r="BG1253" s="885"/>
      <c r="BH1253" s="885"/>
      <c r="BI1253" s="885"/>
      <c r="BJ1253" s="885"/>
      <c r="BK1253" s="885"/>
      <c r="BL1253" s="885"/>
      <c r="BM1253" s="885"/>
      <c r="BN1253" s="885"/>
      <c r="BO1253" s="885"/>
      <c r="BP1253" s="885"/>
      <c r="BQ1253" s="885"/>
      <c r="BR1253" s="885"/>
      <c r="BS1253" s="885"/>
      <c r="BT1253" s="885"/>
      <c r="BU1253" s="885"/>
      <c r="BV1253" s="885"/>
      <c r="BW1253" s="885"/>
      <c r="BX1253" s="885"/>
      <c r="BY1253" s="885"/>
      <c r="BZ1253" s="885"/>
      <c r="CA1253" s="885"/>
      <c r="CB1253" s="885"/>
      <c r="CC1253" s="885"/>
      <c r="CD1253" s="885"/>
      <c r="CE1253" s="885"/>
      <c r="CF1253" s="885"/>
      <c r="CG1253" s="885"/>
      <c r="CH1253" s="885"/>
      <c r="CI1253" s="885"/>
      <c r="CJ1253" s="885"/>
      <c r="CK1253" s="885"/>
      <c r="CL1253" s="885"/>
      <c r="CM1253" s="885"/>
      <c r="CN1253" s="885"/>
      <c r="CO1253" s="885"/>
      <c r="CP1253" s="885"/>
      <c r="CQ1253" s="885"/>
      <c r="CR1253" s="885"/>
      <c r="CS1253" s="885"/>
      <c r="CT1253" s="885"/>
      <c r="CU1253" s="885"/>
      <c r="CV1253" s="885"/>
      <c r="CW1253" s="885"/>
      <c r="CX1253" s="885"/>
      <c r="CY1253" s="885"/>
      <c r="CZ1253" s="885"/>
      <c r="DA1253" s="885"/>
      <c r="DB1253" s="885"/>
      <c r="DC1253" s="885"/>
      <c r="DD1253" s="885"/>
      <c r="DE1253" s="885"/>
      <c r="DF1253" s="885"/>
      <c r="DG1253" s="885"/>
      <c r="DH1253" s="885"/>
      <c r="DI1253" s="885"/>
      <c r="DJ1253" s="885"/>
      <c r="DK1253" s="885"/>
      <c r="DL1253" s="885"/>
      <c r="DM1253" s="885"/>
      <c r="DN1253" s="885"/>
      <c r="DO1253" s="885"/>
      <c r="DP1253" s="885"/>
      <c r="DQ1253" s="885"/>
      <c r="DR1253" s="885"/>
      <c r="DS1253" s="885"/>
      <c r="DT1253" s="885"/>
      <c r="DU1253" s="885"/>
      <c r="DV1253" s="885"/>
      <c r="DW1253" s="885"/>
      <c r="DX1253" s="885"/>
      <c r="DY1253" s="885"/>
      <c r="DZ1253" s="885"/>
      <c r="EA1253" s="885"/>
      <c r="EB1253" s="885"/>
      <c r="EC1253" s="885"/>
      <c r="ED1253" s="885"/>
      <c r="EE1253" s="885"/>
      <c r="EF1253" s="885"/>
      <c r="EG1253" s="885"/>
      <c r="EH1253" s="885"/>
      <c r="EI1253" s="885"/>
      <c r="EJ1253" s="885"/>
      <c r="EK1253" s="885"/>
      <c r="EL1253" s="885"/>
      <c r="EM1253" s="885"/>
      <c r="EN1253" s="885"/>
      <c r="EO1253" s="885"/>
      <c r="EP1253" s="885"/>
      <c r="EQ1253" s="885"/>
      <c r="ER1253" s="885"/>
      <c r="ES1253" s="885"/>
      <c r="ET1253" s="885"/>
      <c r="EU1253" s="885"/>
      <c r="EV1253" s="885"/>
      <c r="EW1253" s="885"/>
      <c r="EX1253" s="885"/>
      <c r="EY1253" s="885"/>
      <c r="EZ1253" s="885"/>
      <c r="FA1253" s="885"/>
      <c r="FB1253" s="885"/>
      <c r="FC1253" s="885"/>
      <c r="FD1253" s="885"/>
      <c r="FE1253" s="885"/>
      <c r="FF1253" s="885"/>
      <c r="FG1253" s="885"/>
      <c r="FH1253" s="885"/>
      <c r="FI1253" s="885"/>
      <c r="FJ1253" s="885"/>
      <c r="FK1253" s="885"/>
      <c r="FL1253" s="885"/>
      <c r="FM1253" s="885"/>
      <c r="FN1253" s="885"/>
      <c r="FO1253" s="885"/>
      <c r="FP1253" s="885"/>
      <c r="FQ1253" s="885"/>
      <c r="FR1253" s="885"/>
      <c r="FS1253" s="885"/>
      <c r="FT1253" s="885"/>
      <c r="FU1253" s="885"/>
      <c r="FV1253" s="885"/>
      <c r="FW1253" s="885"/>
      <c r="FX1253" s="885"/>
      <c r="FY1253" s="885"/>
      <c r="FZ1253" s="885"/>
      <c r="GA1253" s="885"/>
      <c r="GB1253" s="885"/>
      <c r="GC1253" s="885"/>
      <c r="GD1253" s="885"/>
      <c r="GE1253" s="885"/>
      <c r="GF1253" s="885"/>
      <c r="GG1253" s="885"/>
      <c r="GH1253" s="885"/>
      <c r="GI1253" s="885"/>
      <c r="GJ1253" s="885"/>
      <c r="GK1253" s="885"/>
      <c r="GL1253" s="885"/>
      <c r="GM1253" s="885"/>
      <c r="GN1253" s="885"/>
      <c r="GO1253" s="885"/>
      <c r="GP1253" s="885"/>
      <c r="GQ1253" s="885"/>
      <c r="GR1253" s="885"/>
      <c r="GS1253" s="885"/>
      <c r="GT1253" s="885"/>
      <c r="GU1253" s="885"/>
      <c r="GV1253" s="885"/>
      <c r="GW1253" s="885"/>
      <c r="GX1253" s="885"/>
      <c r="GY1253" s="885"/>
      <c r="GZ1253" s="885"/>
      <c r="HA1253" s="885"/>
      <c r="HB1253" s="885"/>
      <c r="HC1253" s="885"/>
      <c r="HD1253" s="885"/>
      <c r="HE1253" s="885"/>
      <c r="HF1253" s="885"/>
      <c r="HG1253" s="885"/>
      <c r="HH1253" s="885"/>
      <c r="HI1253" s="885"/>
      <c r="HJ1253" s="885"/>
      <c r="HK1253" s="885"/>
      <c r="HL1253" s="885"/>
      <c r="HM1253" s="885"/>
      <c r="HN1253" s="885"/>
      <c r="HO1253" s="885"/>
      <c r="HP1253" s="885"/>
      <c r="HQ1253" s="885"/>
      <c r="HR1253" s="885"/>
      <c r="HS1253" s="885"/>
      <c r="HT1253" s="885"/>
      <c r="HU1253" s="885"/>
      <c r="HV1253" s="885"/>
      <c r="HW1253" s="885"/>
      <c r="HX1253" s="885"/>
      <c r="HY1253" s="885"/>
      <c r="HZ1253" s="885"/>
      <c r="IA1253" s="885"/>
      <c r="IB1253" s="885"/>
      <c r="IC1253" s="885"/>
      <c r="ID1253" s="885"/>
      <c r="IE1253" s="885"/>
      <c r="IF1253" s="885"/>
      <c r="IG1253" s="885"/>
      <c r="IH1253" s="885"/>
      <c r="II1253" s="885"/>
      <c r="IJ1253" s="885"/>
      <c r="IK1253" s="885"/>
      <c r="IL1253" s="885"/>
      <c r="IM1253" s="885"/>
      <c r="IN1253" s="885"/>
      <c r="IO1253" s="885"/>
      <c r="IP1253" s="885"/>
      <c r="IQ1253" s="885"/>
      <c r="IR1253" s="885"/>
      <c r="IS1253" s="885"/>
      <c r="IT1253" s="885"/>
      <c r="IU1253" s="885"/>
      <c r="IV1253" s="885"/>
      <c r="IW1253" s="885"/>
      <c r="IX1253" s="885"/>
    </row>
    <row r="1254" spans="1:258" x14ac:dyDescent="0.25">
      <c r="A1254" s="125">
        <f t="shared" si="134"/>
        <v>1214</v>
      </c>
      <c r="B1254" s="885"/>
      <c r="C1254" s="842" t="s">
        <v>10786</v>
      </c>
      <c r="D1254" s="924">
        <v>30855</v>
      </c>
      <c r="E1254" s="924">
        <f t="shared" si="133"/>
        <v>46282.5</v>
      </c>
      <c r="F1254" s="129">
        <f t="shared" si="135"/>
        <v>46282.5</v>
      </c>
      <c r="G1254" s="122" t="s">
        <v>1963</v>
      </c>
      <c r="H1254" s="885"/>
      <c r="I1254" s="885"/>
      <c r="J1254" s="885"/>
      <c r="K1254" s="885"/>
      <c r="L1254" s="885"/>
      <c r="M1254" s="885"/>
      <c r="N1254" s="885"/>
      <c r="O1254" s="885"/>
      <c r="P1254" s="885"/>
      <c r="Q1254" s="885"/>
      <c r="R1254" s="885"/>
      <c r="S1254" s="885"/>
      <c r="T1254" s="885"/>
      <c r="U1254" s="885"/>
      <c r="V1254" s="885"/>
      <c r="W1254" s="885"/>
      <c r="X1254" s="885"/>
      <c r="Y1254" s="885"/>
      <c r="Z1254" s="885"/>
      <c r="AA1254" s="885"/>
      <c r="AB1254" s="885"/>
      <c r="AC1254" s="885"/>
      <c r="AD1254" s="885"/>
      <c r="AE1254" s="885"/>
      <c r="AF1254" s="885"/>
      <c r="AG1254" s="885"/>
      <c r="AH1254" s="885"/>
      <c r="AI1254" s="885"/>
      <c r="AJ1254" s="885"/>
      <c r="AK1254" s="885"/>
      <c r="AL1254" s="885"/>
      <c r="AM1254" s="885"/>
      <c r="AN1254" s="885"/>
      <c r="AO1254" s="885"/>
      <c r="AP1254" s="885"/>
      <c r="AQ1254" s="885"/>
      <c r="AR1254" s="885"/>
      <c r="AS1254" s="885"/>
      <c r="AT1254" s="885"/>
      <c r="AU1254" s="885"/>
      <c r="AV1254" s="885"/>
      <c r="AW1254" s="885"/>
      <c r="AX1254" s="885"/>
      <c r="AY1254" s="885"/>
      <c r="AZ1254" s="885"/>
      <c r="BA1254" s="885"/>
      <c r="BB1254" s="885"/>
      <c r="BC1254" s="885"/>
      <c r="BD1254" s="885"/>
      <c r="BE1254" s="885"/>
      <c r="BF1254" s="885"/>
      <c r="BG1254" s="885"/>
      <c r="BH1254" s="885"/>
      <c r="BI1254" s="885"/>
      <c r="BJ1254" s="885"/>
      <c r="BK1254" s="885"/>
      <c r="BL1254" s="885"/>
      <c r="BM1254" s="885"/>
      <c r="BN1254" s="885"/>
      <c r="BO1254" s="885"/>
      <c r="BP1254" s="885"/>
      <c r="BQ1254" s="885"/>
      <c r="BR1254" s="885"/>
      <c r="BS1254" s="885"/>
      <c r="BT1254" s="885"/>
      <c r="BU1254" s="885"/>
      <c r="BV1254" s="885"/>
      <c r="BW1254" s="885"/>
      <c r="BX1254" s="885"/>
      <c r="BY1254" s="885"/>
      <c r="BZ1254" s="885"/>
      <c r="CA1254" s="885"/>
      <c r="CB1254" s="885"/>
      <c r="CC1254" s="885"/>
      <c r="CD1254" s="885"/>
      <c r="CE1254" s="885"/>
      <c r="CF1254" s="885"/>
      <c r="CG1254" s="885"/>
      <c r="CH1254" s="885"/>
      <c r="CI1254" s="885"/>
      <c r="CJ1254" s="885"/>
      <c r="CK1254" s="885"/>
      <c r="CL1254" s="885"/>
      <c r="CM1254" s="885"/>
      <c r="CN1254" s="885"/>
      <c r="CO1254" s="885"/>
      <c r="CP1254" s="885"/>
      <c r="CQ1254" s="885"/>
      <c r="CR1254" s="885"/>
      <c r="CS1254" s="885"/>
      <c r="CT1254" s="885"/>
      <c r="CU1254" s="885"/>
      <c r="CV1254" s="885"/>
      <c r="CW1254" s="885"/>
      <c r="CX1254" s="885"/>
      <c r="CY1254" s="885"/>
      <c r="CZ1254" s="885"/>
      <c r="DA1254" s="885"/>
      <c r="DB1254" s="885"/>
      <c r="DC1254" s="885"/>
      <c r="DD1254" s="885"/>
      <c r="DE1254" s="885"/>
      <c r="DF1254" s="885"/>
      <c r="DG1254" s="885"/>
      <c r="DH1254" s="885"/>
      <c r="DI1254" s="885"/>
      <c r="DJ1254" s="885"/>
      <c r="DK1254" s="885"/>
      <c r="DL1254" s="885"/>
      <c r="DM1254" s="885"/>
      <c r="DN1254" s="885"/>
      <c r="DO1254" s="885"/>
      <c r="DP1254" s="885"/>
      <c r="DQ1254" s="885"/>
      <c r="DR1254" s="885"/>
      <c r="DS1254" s="885"/>
      <c r="DT1254" s="885"/>
      <c r="DU1254" s="885"/>
      <c r="DV1254" s="885"/>
      <c r="DW1254" s="885"/>
      <c r="DX1254" s="885"/>
      <c r="DY1254" s="885"/>
      <c r="DZ1254" s="885"/>
      <c r="EA1254" s="885"/>
      <c r="EB1254" s="885"/>
      <c r="EC1254" s="885"/>
      <c r="ED1254" s="885"/>
      <c r="EE1254" s="885"/>
      <c r="EF1254" s="885"/>
      <c r="EG1254" s="885"/>
      <c r="EH1254" s="885"/>
      <c r="EI1254" s="885"/>
      <c r="EJ1254" s="885"/>
      <c r="EK1254" s="885"/>
      <c r="EL1254" s="885"/>
      <c r="EM1254" s="885"/>
      <c r="EN1254" s="885"/>
      <c r="EO1254" s="885"/>
      <c r="EP1254" s="885"/>
      <c r="EQ1254" s="885"/>
      <c r="ER1254" s="885"/>
      <c r="ES1254" s="885"/>
      <c r="ET1254" s="885"/>
      <c r="EU1254" s="885"/>
      <c r="EV1254" s="885"/>
      <c r="EW1254" s="885"/>
      <c r="EX1254" s="885"/>
      <c r="EY1254" s="885"/>
      <c r="EZ1254" s="885"/>
      <c r="FA1254" s="885"/>
      <c r="FB1254" s="885"/>
      <c r="FC1254" s="885"/>
      <c r="FD1254" s="885"/>
      <c r="FE1254" s="885"/>
      <c r="FF1254" s="885"/>
      <c r="FG1254" s="885"/>
      <c r="FH1254" s="885"/>
      <c r="FI1254" s="885"/>
      <c r="FJ1254" s="885"/>
      <c r="FK1254" s="885"/>
      <c r="FL1254" s="885"/>
      <c r="FM1254" s="885"/>
      <c r="FN1254" s="885"/>
      <c r="FO1254" s="885"/>
      <c r="FP1254" s="885"/>
      <c r="FQ1254" s="885"/>
      <c r="FR1254" s="885"/>
      <c r="FS1254" s="885"/>
      <c r="FT1254" s="885"/>
      <c r="FU1254" s="885"/>
      <c r="FV1254" s="885"/>
      <c r="FW1254" s="885"/>
      <c r="FX1254" s="885"/>
      <c r="FY1254" s="885"/>
      <c r="FZ1254" s="885"/>
      <c r="GA1254" s="885"/>
      <c r="GB1254" s="885"/>
      <c r="GC1254" s="885"/>
      <c r="GD1254" s="885"/>
      <c r="GE1254" s="885"/>
      <c r="GF1254" s="885"/>
      <c r="GG1254" s="885"/>
      <c r="GH1254" s="885"/>
      <c r="GI1254" s="885"/>
      <c r="GJ1254" s="885"/>
      <c r="GK1254" s="885"/>
      <c r="GL1254" s="885"/>
      <c r="GM1254" s="885"/>
      <c r="GN1254" s="885"/>
      <c r="GO1254" s="885"/>
      <c r="GP1254" s="885"/>
      <c r="GQ1254" s="885"/>
      <c r="GR1254" s="885"/>
      <c r="GS1254" s="885"/>
      <c r="GT1254" s="885"/>
      <c r="GU1254" s="885"/>
      <c r="GV1254" s="885"/>
      <c r="GW1254" s="885"/>
      <c r="GX1254" s="885"/>
      <c r="GY1254" s="885"/>
      <c r="GZ1254" s="885"/>
      <c r="HA1254" s="885"/>
      <c r="HB1254" s="885"/>
      <c r="HC1254" s="885"/>
      <c r="HD1254" s="885"/>
      <c r="HE1254" s="885"/>
      <c r="HF1254" s="885"/>
      <c r="HG1254" s="885"/>
      <c r="HH1254" s="885"/>
      <c r="HI1254" s="885"/>
      <c r="HJ1254" s="885"/>
      <c r="HK1254" s="885"/>
      <c r="HL1254" s="885"/>
      <c r="HM1254" s="885"/>
      <c r="HN1254" s="885"/>
      <c r="HO1254" s="885"/>
      <c r="HP1254" s="885"/>
      <c r="HQ1254" s="885"/>
      <c r="HR1254" s="885"/>
      <c r="HS1254" s="885"/>
      <c r="HT1254" s="885"/>
      <c r="HU1254" s="885"/>
      <c r="HV1254" s="885"/>
      <c r="HW1254" s="885"/>
      <c r="HX1254" s="885"/>
      <c r="HY1254" s="885"/>
      <c r="HZ1254" s="885"/>
      <c r="IA1254" s="885"/>
      <c r="IB1254" s="885"/>
      <c r="IC1254" s="885"/>
      <c r="ID1254" s="885"/>
      <c r="IE1254" s="885"/>
      <c r="IF1254" s="885"/>
      <c r="IG1254" s="885"/>
      <c r="IH1254" s="885"/>
      <c r="II1254" s="885"/>
      <c r="IJ1254" s="885"/>
      <c r="IK1254" s="885"/>
      <c r="IL1254" s="885"/>
      <c r="IM1254" s="885"/>
      <c r="IN1254" s="885"/>
      <c r="IO1254" s="885"/>
      <c r="IP1254" s="885"/>
      <c r="IQ1254" s="885"/>
      <c r="IR1254" s="885"/>
      <c r="IS1254" s="885"/>
      <c r="IT1254" s="885"/>
      <c r="IU1254" s="885"/>
      <c r="IV1254" s="885"/>
      <c r="IW1254" s="885"/>
      <c r="IX1254" s="885"/>
    </row>
    <row r="1255" spans="1:258" x14ac:dyDescent="0.25">
      <c r="A1255" s="125">
        <f t="shared" si="134"/>
        <v>1215</v>
      </c>
      <c r="B1255" s="954"/>
      <c r="C1255" s="842" t="s">
        <v>11559</v>
      </c>
      <c r="D1255" s="924">
        <v>0</v>
      </c>
      <c r="E1255" s="924">
        <f t="shared" si="133"/>
        <v>0</v>
      </c>
      <c r="F1255" s="129">
        <v>4000</v>
      </c>
      <c r="H1255" s="954"/>
      <c r="I1255" s="954"/>
      <c r="J1255" s="954"/>
      <c r="K1255" s="954"/>
      <c r="L1255" s="954"/>
      <c r="M1255" s="954"/>
      <c r="N1255" s="954"/>
      <c r="O1255" s="954"/>
      <c r="P1255" s="954"/>
      <c r="Q1255" s="954"/>
      <c r="R1255" s="954"/>
      <c r="S1255" s="954"/>
      <c r="T1255" s="954"/>
      <c r="U1255" s="954"/>
      <c r="V1255" s="954"/>
      <c r="W1255" s="954"/>
      <c r="X1255" s="954"/>
      <c r="Y1255" s="954"/>
      <c r="Z1255" s="954"/>
      <c r="AA1255" s="954"/>
      <c r="AB1255" s="954"/>
      <c r="AC1255" s="954"/>
      <c r="AD1255" s="954"/>
      <c r="AE1255" s="954"/>
      <c r="AF1255" s="954"/>
      <c r="AG1255" s="954"/>
      <c r="AH1255" s="954"/>
      <c r="AI1255" s="954"/>
      <c r="AJ1255" s="954"/>
      <c r="AK1255" s="954"/>
      <c r="AL1255" s="954"/>
      <c r="AM1255" s="954"/>
      <c r="AN1255" s="954"/>
      <c r="AO1255" s="954"/>
      <c r="AP1255" s="954"/>
      <c r="AQ1255" s="954"/>
      <c r="AR1255" s="954"/>
      <c r="AS1255" s="954"/>
      <c r="AT1255" s="954"/>
      <c r="AU1255" s="954"/>
      <c r="AV1255" s="954"/>
      <c r="AW1255" s="954"/>
      <c r="AX1255" s="954"/>
      <c r="AY1255" s="954"/>
      <c r="AZ1255" s="954"/>
      <c r="BA1255" s="954"/>
      <c r="BB1255" s="954"/>
      <c r="BC1255" s="954"/>
      <c r="BD1255" s="954"/>
      <c r="BE1255" s="954"/>
      <c r="BF1255" s="954"/>
      <c r="BG1255" s="954"/>
      <c r="BH1255" s="954"/>
      <c r="BI1255" s="954"/>
      <c r="BJ1255" s="954"/>
      <c r="BK1255" s="954"/>
      <c r="BL1255" s="954"/>
      <c r="BM1255" s="954"/>
      <c r="BN1255" s="954"/>
      <c r="BO1255" s="954"/>
      <c r="BP1255" s="954"/>
      <c r="BQ1255" s="954"/>
      <c r="BR1255" s="954"/>
      <c r="BS1255" s="954"/>
      <c r="BT1255" s="954"/>
      <c r="BU1255" s="954"/>
      <c r="BV1255" s="954"/>
      <c r="BW1255" s="954"/>
      <c r="BX1255" s="954"/>
      <c r="BY1255" s="954"/>
      <c r="BZ1255" s="954"/>
      <c r="CA1255" s="954"/>
      <c r="CB1255" s="954"/>
      <c r="CC1255" s="954"/>
      <c r="CD1255" s="954"/>
      <c r="CE1255" s="954"/>
      <c r="CF1255" s="954"/>
      <c r="CG1255" s="954"/>
      <c r="CH1255" s="954"/>
      <c r="CI1255" s="954"/>
      <c r="CJ1255" s="954"/>
      <c r="CK1255" s="954"/>
      <c r="CL1255" s="954"/>
      <c r="CM1255" s="954"/>
      <c r="CN1255" s="954"/>
      <c r="CO1255" s="954"/>
      <c r="CP1255" s="954"/>
      <c r="CQ1255" s="954"/>
      <c r="CR1255" s="954"/>
      <c r="CS1255" s="954"/>
      <c r="CT1255" s="954"/>
      <c r="CU1255" s="954"/>
      <c r="CV1255" s="954"/>
      <c r="CW1255" s="954"/>
      <c r="CX1255" s="954"/>
      <c r="CY1255" s="954"/>
      <c r="CZ1255" s="954"/>
      <c r="DA1255" s="954"/>
      <c r="DB1255" s="954"/>
      <c r="DC1255" s="954"/>
      <c r="DD1255" s="954"/>
      <c r="DE1255" s="954"/>
      <c r="DF1255" s="954"/>
      <c r="DG1255" s="954"/>
      <c r="DH1255" s="954"/>
      <c r="DI1255" s="954"/>
      <c r="DJ1255" s="954"/>
      <c r="DK1255" s="954"/>
      <c r="DL1255" s="954"/>
      <c r="DM1255" s="954"/>
      <c r="DN1255" s="954"/>
      <c r="DO1255" s="954"/>
      <c r="DP1255" s="954"/>
      <c r="DQ1255" s="954"/>
      <c r="DR1255" s="954"/>
      <c r="DS1255" s="954"/>
      <c r="DT1255" s="954"/>
      <c r="DU1255" s="954"/>
      <c r="DV1255" s="954"/>
      <c r="DW1255" s="954"/>
      <c r="DX1255" s="954"/>
      <c r="DY1255" s="954"/>
      <c r="DZ1255" s="954"/>
      <c r="EA1255" s="954"/>
      <c r="EB1255" s="954"/>
      <c r="EC1255" s="954"/>
      <c r="ED1255" s="954"/>
      <c r="EE1255" s="954"/>
      <c r="EF1255" s="954"/>
      <c r="EG1255" s="954"/>
      <c r="EH1255" s="954"/>
      <c r="EI1255" s="954"/>
      <c r="EJ1255" s="954"/>
      <c r="EK1255" s="954"/>
      <c r="EL1255" s="954"/>
      <c r="EM1255" s="954"/>
      <c r="EN1255" s="954"/>
      <c r="EO1255" s="954"/>
      <c r="EP1255" s="954"/>
      <c r="EQ1255" s="954"/>
      <c r="ER1255" s="954"/>
      <c r="ES1255" s="954"/>
      <c r="ET1255" s="954"/>
      <c r="EU1255" s="954"/>
      <c r="EV1255" s="954"/>
      <c r="EW1255" s="954"/>
      <c r="EX1255" s="954"/>
      <c r="EY1255" s="954"/>
      <c r="EZ1255" s="954"/>
      <c r="FA1255" s="954"/>
      <c r="FB1255" s="954"/>
      <c r="FC1255" s="954"/>
      <c r="FD1255" s="954"/>
      <c r="FE1255" s="954"/>
      <c r="FF1255" s="954"/>
      <c r="FG1255" s="954"/>
      <c r="FH1255" s="954"/>
      <c r="FI1255" s="954"/>
      <c r="FJ1255" s="954"/>
      <c r="FK1255" s="954"/>
      <c r="FL1255" s="954"/>
      <c r="FM1255" s="954"/>
      <c r="FN1255" s="954"/>
      <c r="FO1255" s="954"/>
      <c r="FP1255" s="954"/>
      <c r="FQ1255" s="954"/>
      <c r="FR1255" s="954"/>
      <c r="FS1255" s="954"/>
      <c r="FT1255" s="954"/>
      <c r="FU1255" s="954"/>
      <c r="FV1255" s="954"/>
      <c r="FW1255" s="954"/>
      <c r="FX1255" s="954"/>
      <c r="FY1255" s="954"/>
      <c r="FZ1255" s="954"/>
      <c r="GA1255" s="954"/>
      <c r="GB1255" s="954"/>
      <c r="GC1255" s="954"/>
      <c r="GD1255" s="954"/>
      <c r="GE1255" s="954"/>
      <c r="GF1255" s="954"/>
      <c r="GG1255" s="954"/>
      <c r="GH1255" s="954"/>
      <c r="GI1255" s="954"/>
      <c r="GJ1255" s="954"/>
      <c r="GK1255" s="954"/>
      <c r="GL1255" s="954"/>
      <c r="GM1255" s="954"/>
      <c r="GN1255" s="954"/>
      <c r="GO1255" s="954"/>
      <c r="GP1255" s="954"/>
      <c r="GQ1255" s="954"/>
      <c r="GR1255" s="954"/>
      <c r="GS1255" s="954"/>
      <c r="GT1255" s="954"/>
      <c r="GU1255" s="954"/>
      <c r="GV1255" s="954"/>
      <c r="GW1255" s="954"/>
      <c r="GX1255" s="954"/>
      <c r="GY1255" s="954"/>
      <c r="GZ1255" s="954"/>
      <c r="HA1255" s="954"/>
      <c r="HB1255" s="954"/>
      <c r="HC1255" s="954"/>
      <c r="HD1255" s="954"/>
      <c r="HE1255" s="954"/>
      <c r="HF1255" s="954"/>
      <c r="HG1255" s="954"/>
      <c r="HH1255" s="954"/>
      <c r="HI1255" s="954"/>
      <c r="HJ1255" s="954"/>
      <c r="HK1255" s="954"/>
      <c r="HL1255" s="954"/>
      <c r="HM1255" s="954"/>
      <c r="HN1255" s="954"/>
      <c r="HO1255" s="954"/>
      <c r="HP1255" s="954"/>
      <c r="HQ1255" s="954"/>
      <c r="HR1255" s="954"/>
      <c r="HS1255" s="954"/>
      <c r="HT1255" s="954"/>
      <c r="HU1255" s="954"/>
      <c r="HV1255" s="954"/>
      <c r="HW1255" s="954"/>
      <c r="HX1255" s="954"/>
      <c r="HY1255" s="954"/>
      <c r="HZ1255" s="954"/>
      <c r="IA1255" s="954"/>
      <c r="IB1255" s="954"/>
      <c r="IC1255" s="954"/>
      <c r="ID1255" s="954"/>
      <c r="IE1255" s="954"/>
      <c r="IF1255" s="954"/>
      <c r="IG1255" s="954"/>
      <c r="IH1255" s="954"/>
      <c r="II1255" s="954"/>
      <c r="IJ1255" s="954"/>
      <c r="IK1255" s="954"/>
      <c r="IL1255" s="954"/>
      <c r="IM1255" s="954"/>
      <c r="IN1255" s="954"/>
      <c r="IO1255" s="954"/>
      <c r="IP1255" s="954"/>
      <c r="IQ1255" s="954"/>
      <c r="IR1255" s="954"/>
      <c r="IS1255" s="954"/>
      <c r="IT1255" s="954"/>
      <c r="IU1255" s="954"/>
      <c r="IV1255" s="954"/>
      <c r="IW1255" s="954"/>
      <c r="IX1255" s="954"/>
    </row>
    <row r="1256" spans="1:258" x14ac:dyDescent="0.25">
      <c r="A1256" s="125">
        <f t="shared" si="134"/>
        <v>1216</v>
      </c>
      <c r="B1256" s="885"/>
      <c r="C1256" s="842" t="s">
        <v>10787</v>
      </c>
      <c r="D1256" s="924">
        <v>972.76</v>
      </c>
      <c r="E1256" s="924">
        <f t="shared" si="133"/>
        <v>1459.1399999999999</v>
      </c>
      <c r="F1256" s="129">
        <f>(F1253+F1251+F1255)*F83</f>
        <v>1132.9000000000001</v>
      </c>
      <c r="G1256" s="122" t="s">
        <v>1963</v>
      </c>
      <c r="H1256" s="885"/>
      <c r="I1256" s="885"/>
      <c r="J1256" s="885"/>
      <c r="K1256" s="885"/>
      <c r="L1256" s="885"/>
      <c r="M1256" s="885"/>
      <c r="N1256" s="885"/>
      <c r="O1256" s="885"/>
      <c r="P1256" s="885"/>
      <c r="Q1256" s="885"/>
      <c r="R1256" s="885"/>
      <c r="S1256" s="885"/>
      <c r="T1256" s="885"/>
      <c r="U1256" s="885"/>
      <c r="V1256" s="885"/>
      <c r="W1256" s="885"/>
      <c r="X1256" s="885"/>
      <c r="Y1256" s="885"/>
      <c r="Z1256" s="885"/>
      <c r="AA1256" s="885"/>
      <c r="AB1256" s="885"/>
      <c r="AC1256" s="885"/>
      <c r="AD1256" s="885"/>
      <c r="AE1256" s="885"/>
      <c r="AF1256" s="885"/>
      <c r="AG1256" s="885"/>
      <c r="AH1256" s="885"/>
      <c r="AI1256" s="885"/>
      <c r="AJ1256" s="885"/>
      <c r="AK1256" s="885"/>
      <c r="AL1256" s="885"/>
      <c r="AM1256" s="885"/>
      <c r="AN1256" s="885"/>
      <c r="AO1256" s="885"/>
      <c r="AP1256" s="885"/>
      <c r="AQ1256" s="885"/>
      <c r="AR1256" s="885"/>
      <c r="AS1256" s="885"/>
      <c r="AT1256" s="885"/>
      <c r="AU1256" s="885"/>
      <c r="AV1256" s="885"/>
      <c r="AW1256" s="885"/>
      <c r="AX1256" s="885"/>
      <c r="AY1256" s="885"/>
      <c r="AZ1256" s="885"/>
      <c r="BA1256" s="885"/>
      <c r="BB1256" s="885"/>
      <c r="BC1256" s="885"/>
      <c r="BD1256" s="885"/>
      <c r="BE1256" s="885"/>
      <c r="BF1256" s="885"/>
      <c r="BG1256" s="885"/>
      <c r="BH1256" s="885"/>
      <c r="BI1256" s="885"/>
      <c r="BJ1256" s="885"/>
      <c r="BK1256" s="885"/>
      <c r="BL1256" s="885"/>
      <c r="BM1256" s="885"/>
      <c r="BN1256" s="885"/>
      <c r="BO1256" s="885"/>
      <c r="BP1256" s="885"/>
      <c r="BQ1256" s="885"/>
      <c r="BR1256" s="885"/>
      <c r="BS1256" s="885"/>
      <c r="BT1256" s="885"/>
      <c r="BU1256" s="885"/>
      <c r="BV1256" s="885"/>
      <c r="BW1256" s="885"/>
      <c r="BX1256" s="885"/>
      <c r="BY1256" s="885"/>
      <c r="BZ1256" s="885"/>
      <c r="CA1256" s="885"/>
      <c r="CB1256" s="885"/>
      <c r="CC1256" s="885"/>
      <c r="CD1256" s="885"/>
      <c r="CE1256" s="885"/>
      <c r="CF1256" s="885"/>
      <c r="CG1256" s="885"/>
      <c r="CH1256" s="885"/>
      <c r="CI1256" s="885"/>
      <c r="CJ1256" s="885"/>
      <c r="CK1256" s="885"/>
      <c r="CL1256" s="885"/>
      <c r="CM1256" s="885"/>
      <c r="CN1256" s="885"/>
      <c r="CO1256" s="885"/>
      <c r="CP1256" s="885"/>
      <c r="CQ1256" s="885"/>
      <c r="CR1256" s="885"/>
      <c r="CS1256" s="885"/>
      <c r="CT1256" s="885"/>
      <c r="CU1256" s="885"/>
      <c r="CV1256" s="885"/>
      <c r="CW1256" s="885"/>
      <c r="CX1256" s="885"/>
      <c r="CY1256" s="885"/>
      <c r="CZ1256" s="885"/>
      <c r="DA1256" s="885"/>
      <c r="DB1256" s="885"/>
      <c r="DC1256" s="885"/>
      <c r="DD1256" s="885"/>
      <c r="DE1256" s="885"/>
      <c r="DF1256" s="885"/>
      <c r="DG1256" s="885"/>
      <c r="DH1256" s="885"/>
      <c r="DI1256" s="885"/>
      <c r="DJ1256" s="885"/>
      <c r="DK1256" s="885"/>
      <c r="DL1256" s="885"/>
      <c r="DM1256" s="885"/>
      <c r="DN1256" s="885"/>
      <c r="DO1256" s="885"/>
      <c r="DP1256" s="885"/>
      <c r="DQ1256" s="885"/>
      <c r="DR1256" s="885"/>
      <c r="DS1256" s="885"/>
      <c r="DT1256" s="885"/>
      <c r="DU1256" s="885"/>
      <c r="DV1256" s="885"/>
      <c r="DW1256" s="885"/>
      <c r="DX1256" s="885"/>
      <c r="DY1256" s="885"/>
      <c r="DZ1256" s="885"/>
      <c r="EA1256" s="885"/>
      <c r="EB1256" s="885"/>
      <c r="EC1256" s="885"/>
      <c r="ED1256" s="885"/>
      <c r="EE1256" s="885"/>
      <c r="EF1256" s="885"/>
      <c r="EG1256" s="885"/>
      <c r="EH1256" s="885"/>
      <c r="EI1256" s="885"/>
      <c r="EJ1256" s="885"/>
      <c r="EK1256" s="885"/>
      <c r="EL1256" s="885"/>
      <c r="EM1256" s="885"/>
      <c r="EN1256" s="885"/>
      <c r="EO1256" s="885"/>
      <c r="EP1256" s="885"/>
      <c r="EQ1256" s="885"/>
      <c r="ER1256" s="885"/>
      <c r="ES1256" s="885"/>
      <c r="ET1256" s="885"/>
      <c r="EU1256" s="885"/>
      <c r="EV1256" s="885"/>
      <c r="EW1256" s="885"/>
      <c r="EX1256" s="885"/>
      <c r="EY1256" s="885"/>
      <c r="EZ1256" s="885"/>
      <c r="FA1256" s="885"/>
      <c r="FB1256" s="885"/>
      <c r="FC1256" s="885"/>
      <c r="FD1256" s="885"/>
      <c r="FE1256" s="885"/>
      <c r="FF1256" s="885"/>
      <c r="FG1256" s="885"/>
      <c r="FH1256" s="885"/>
      <c r="FI1256" s="885"/>
      <c r="FJ1256" s="885"/>
      <c r="FK1256" s="885"/>
      <c r="FL1256" s="885"/>
      <c r="FM1256" s="885"/>
      <c r="FN1256" s="885"/>
      <c r="FO1256" s="885"/>
      <c r="FP1256" s="885"/>
      <c r="FQ1256" s="885"/>
      <c r="FR1256" s="885"/>
      <c r="FS1256" s="885"/>
      <c r="FT1256" s="885"/>
      <c r="FU1256" s="885"/>
      <c r="FV1256" s="885"/>
      <c r="FW1256" s="885"/>
      <c r="FX1256" s="885"/>
      <c r="FY1256" s="885"/>
      <c r="FZ1256" s="885"/>
      <c r="GA1256" s="885"/>
      <c r="GB1256" s="885"/>
      <c r="GC1256" s="885"/>
      <c r="GD1256" s="885"/>
      <c r="GE1256" s="885"/>
      <c r="GF1256" s="885"/>
      <c r="GG1256" s="885"/>
      <c r="GH1256" s="885"/>
      <c r="GI1256" s="885"/>
      <c r="GJ1256" s="885"/>
      <c r="GK1256" s="885"/>
      <c r="GL1256" s="885"/>
      <c r="GM1256" s="885"/>
      <c r="GN1256" s="885"/>
      <c r="GO1256" s="885"/>
      <c r="GP1256" s="885"/>
      <c r="GQ1256" s="885"/>
      <c r="GR1256" s="885"/>
      <c r="GS1256" s="885"/>
      <c r="GT1256" s="885"/>
      <c r="GU1256" s="885"/>
      <c r="GV1256" s="885"/>
      <c r="GW1256" s="885"/>
      <c r="GX1256" s="885"/>
      <c r="GY1256" s="885"/>
      <c r="GZ1256" s="885"/>
      <c r="HA1256" s="885"/>
      <c r="HB1256" s="885"/>
      <c r="HC1256" s="885"/>
      <c r="HD1256" s="885"/>
      <c r="HE1256" s="885"/>
      <c r="HF1256" s="885"/>
      <c r="HG1256" s="885"/>
      <c r="HH1256" s="885"/>
      <c r="HI1256" s="885"/>
      <c r="HJ1256" s="885"/>
      <c r="HK1256" s="885"/>
      <c r="HL1256" s="885"/>
      <c r="HM1256" s="885"/>
      <c r="HN1256" s="885"/>
      <c r="HO1256" s="885"/>
      <c r="HP1256" s="885"/>
      <c r="HQ1256" s="885"/>
      <c r="HR1256" s="885"/>
      <c r="HS1256" s="885"/>
      <c r="HT1256" s="885"/>
      <c r="HU1256" s="885"/>
      <c r="HV1256" s="885"/>
      <c r="HW1256" s="885"/>
      <c r="HX1256" s="885"/>
      <c r="HY1256" s="885"/>
      <c r="HZ1256" s="885"/>
      <c r="IA1256" s="885"/>
      <c r="IB1256" s="885"/>
      <c r="IC1256" s="885"/>
      <c r="ID1256" s="885"/>
      <c r="IE1256" s="885"/>
      <c r="IF1256" s="885"/>
      <c r="IG1256" s="885"/>
      <c r="IH1256" s="885"/>
      <c r="II1256" s="885"/>
      <c r="IJ1256" s="885"/>
      <c r="IK1256" s="885"/>
      <c r="IL1256" s="885"/>
      <c r="IM1256" s="885"/>
      <c r="IN1256" s="885"/>
      <c r="IO1256" s="885"/>
      <c r="IP1256" s="885"/>
      <c r="IQ1256" s="885"/>
      <c r="IR1256" s="885"/>
      <c r="IS1256" s="885"/>
      <c r="IT1256" s="885"/>
      <c r="IU1256" s="885"/>
      <c r="IV1256" s="885"/>
      <c r="IW1256" s="885"/>
      <c r="IX1256" s="885"/>
    </row>
    <row r="1257" spans="1:258" ht="31.5" x14ac:dyDescent="0.25">
      <c r="A1257" s="125">
        <f t="shared" si="134"/>
        <v>1217</v>
      </c>
      <c r="B1257" s="885"/>
      <c r="C1257" s="842" t="s">
        <v>10788</v>
      </c>
      <c r="D1257" s="924">
        <v>0</v>
      </c>
      <c r="E1257" s="924">
        <f t="shared" si="133"/>
        <v>0</v>
      </c>
      <c r="F1257" s="129">
        <v>1500</v>
      </c>
      <c r="G1257" s="122" t="s">
        <v>1963</v>
      </c>
      <c r="H1257" s="885"/>
      <c r="I1257" s="885"/>
      <c r="J1257" s="885"/>
      <c r="K1257" s="885"/>
      <c r="L1257" s="885"/>
      <c r="M1257" s="885"/>
      <c r="N1257" s="885"/>
      <c r="O1257" s="885"/>
      <c r="P1257" s="885"/>
      <c r="Q1257" s="885"/>
      <c r="R1257" s="885"/>
      <c r="S1257" s="885"/>
      <c r="T1257" s="885"/>
      <c r="U1257" s="885"/>
      <c r="V1257" s="885"/>
      <c r="W1257" s="885"/>
      <c r="X1257" s="885"/>
      <c r="Y1257" s="885"/>
      <c r="Z1257" s="885"/>
      <c r="AA1257" s="885"/>
      <c r="AB1257" s="885"/>
      <c r="AC1257" s="885"/>
      <c r="AD1257" s="885"/>
      <c r="AE1257" s="885"/>
      <c r="AF1257" s="885"/>
      <c r="AG1257" s="885"/>
      <c r="AH1257" s="885"/>
      <c r="AI1257" s="885"/>
      <c r="AJ1257" s="885"/>
      <c r="AK1257" s="885"/>
      <c r="AL1257" s="885"/>
      <c r="AM1257" s="885"/>
      <c r="AN1257" s="885"/>
      <c r="AO1257" s="885"/>
      <c r="AP1257" s="885"/>
      <c r="AQ1257" s="885"/>
      <c r="AR1257" s="885"/>
      <c r="AS1257" s="885"/>
      <c r="AT1257" s="885"/>
      <c r="AU1257" s="885"/>
      <c r="AV1257" s="885"/>
      <c r="AW1257" s="885"/>
      <c r="AX1257" s="885"/>
      <c r="AY1257" s="885"/>
      <c r="AZ1257" s="885"/>
      <c r="BA1257" s="885"/>
      <c r="BB1257" s="885"/>
      <c r="BC1257" s="885"/>
      <c r="BD1257" s="885"/>
      <c r="BE1257" s="885"/>
      <c r="BF1257" s="885"/>
      <c r="BG1257" s="885"/>
      <c r="BH1257" s="885"/>
      <c r="BI1257" s="885"/>
      <c r="BJ1257" s="885"/>
      <c r="BK1257" s="885"/>
      <c r="BL1257" s="885"/>
      <c r="BM1257" s="885"/>
      <c r="BN1257" s="885"/>
      <c r="BO1257" s="885"/>
      <c r="BP1257" s="885"/>
      <c r="BQ1257" s="885"/>
      <c r="BR1257" s="885"/>
      <c r="BS1257" s="885"/>
      <c r="BT1257" s="885"/>
      <c r="BU1257" s="885"/>
      <c r="BV1257" s="885"/>
      <c r="BW1257" s="885"/>
      <c r="BX1257" s="885"/>
      <c r="BY1257" s="885"/>
      <c r="BZ1257" s="885"/>
      <c r="CA1257" s="885"/>
      <c r="CB1257" s="885"/>
      <c r="CC1257" s="885"/>
      <c r="CD1257" s="885"/>
      <c r="CE1257" s="885"/>
      <c r="CF1257" s="885"/>
      <c r="CG1257" s="885"/>
      <c r="CH1257" s="885"/>
      <c r="CI1257" s="885"/>
      <c r="CJ1257" s="885"/>
      <c r="CK1257" s="885"/>
      <c r="CL1257" s="885"/>
      <c r="CM1257" s="885"/>
      <c r="CN1257" s="885"/>
      <c r="CO1257" s="885"/>
      <c r="CP1257" s="885"/>
      <c r="CQ1257" s="885"/>
      <c r="CR1257" s="885"/>
      <c r="CS1257" s="885"/>
      <c r="CT1257" s="885"/>
      <c r="CU1257" s="885"/>
      <c r="CV1257" s="885"/>
      <c r="CW1257" s="885"/>
      <c r="CX1257" s="885"/>
      <c r="CY1257" s="885"/>
      <c r="CZ1257" s="885"/>
      <c r="DA1257" s="885"/>
      <c r="DB1257" s="885"/>
      <c r="DC1257" s="885"/>
      <c r="DD1257" s="885"/>
      <c r="DE1257" s="885"/>
      <c r="DF1257" s="885"/>
      <c r="DG1257" s="885"/>
      <c r="DH1257" s="885"/>
      <c r="DI1257" s="885"/>
      <c r="DJ1257" s="885"/>
      <c r="DK1257" s="885"/>
      <c r="DL1257" s="885"/>
      <c r="DM1257" s="885"/>
      <c r="DN1257" s="885"/>
      <c r="DO1257" s="885"/>
      <c r="DP1257" s="885"/>
      <c r="DQ1257" s="885"/>
      <c r="DR1257" s="885"/>
      <c r="DS1257" s="885"/>
      <c r="DT1257" s="885"/>
      <c r="DU1257" s="885"/>
      <c r="DV1257" s="885"/>
      <c r="DW1257" s="885"/>
      <c r="DX1257" s="885"/>
      <c r="DY1257" s="885"/>
      <c r="DZ1257" s="885"/>
      <c r="EA1257" s="885"/>
      <c r="EB1257" s="885"/>
      <c r="EC1257" s="885"/>
      <c r="ED1257" s="885"/>
      <c r="EE1257" s="885"/>
      <c r="EF1257" s="885"/>
      <c r="EG1257" s="885"/>
      <c r="EH1257" s="885"/>
      <c r="EI1257" s="885"/>
      <c r="EJ1257" s="885"/>
      <c r="EK1257" s="885"/>
      <c r="EL1257" s="885"/>
      <c r="EM1257" s="885"/>
      <c r="EN1257" s="885"/>
      <c r="EO1257" s="885"/>
      <c r="EP1257" s="885"/>
      <c r="EQ1257" s="885"/>
      <c r="ER1257" s="885"/>
      <c r="ES1257" s="885"/>
      <c r="ET1257" s="885"/>
      <c r="EU1257" s="885"/>
      <c r="EV1257" s="885"/>
      <c r="EW1257" s="885"/>
      <c r="EX1257" s="885"/>
      <c r="EY1257" s="885"/>
      <c r="EZ1257" s="885"/>
      <c r="FA1257" s="885"/>
      <c r="FB1257" s="885"/>
      <c r="FC1257" s="885"/>
      <c r="FD1257" s="885"/>
      <c r="FE1257" s="885"/>
      <c r="FF1257" s="885"/>
      <c r="FG1257" s="885"/>
      <c r="FH1257" s="885"/>
      <c r="FI1257" s="885"/>
      <c r="FJ1257" s="885"/>
      <c r="FK1257" s="885"/>
      <c r="FL1257" s="885"/>
      <c r="FM1257" s="885"/>
      <c r="FN1257" s="885"/>
      <c r="FO1257" s="885"/>
      <c r="FP1257" s="885"/>
      <c r="FQ1257" s="885"/>
      <c r="FR1257" s="885"/>
      <c r="FS1257" s="885"/>
      <c r="FT1257" s="885"/>
      <c r="FU1257" s="885"/>
      <c r="FV1257" s="885"/>
      <c r="FW1257" s="885"/>
      <c r="FX1257" s="885"/>
      <c r="FY1257" s="885"/>
      <c r="FZ1257" s="885"/>
      <c r="GA1257" s="885"/>
      <c r="GB1257" s="885"/>
      <c r="GC1257" s="885"/>
      <c r="GD1257" s="885"/>
      <c r="GE1257" s="885"/>
      <c r="GF1257" s="885"/>
      <c r="GG1257" s="885"/>
      <c r="GH1257" s="885"/>
      <c r="GI1257" s="885"/>
      <c r="GJ1257" s="885"/>
      <c r="GK1257" s="885"/>
      <c r="GL1257" s="885"/>
      <c r="GM1257" s="885"/>
      <c r="GN1257" s="885"/>
      <c r="GO1257" s="885"/>
      <c r="GP1257" s="885"/>
      <c r="GQ1257" s="885"/>
      <c r="GR1257" s="885"/>
      <c r="GS1257" s="885"/>
      <c r="GT1257" s="885"/>
      <c r="GU1257" s="885"/>
      <c r="GV1257" s="885"/>
      <c r="GW1257" s="885"/>
      <c r="GX1257" s="885"/>
      <c r="GY1257" s="885"/>
      <c r="GZ1257" s="885"/>
      <c r="HA1257" s="885"/>
      <c r="HB1257" s="885"/>
      <c r="HC1257" s="885"/>
      <c r="HD1257" s="885"/>
      <c r="HE1257" s="885"/>
      <c r="HF1257" s="885"/>
      <c r="HG1257" s="885"/>
      <c r="HH1257" s="885"/>
      <c r="HI1257" s="885"/>
      <c r="HJ1257" s="885"/>
      <c r="HK1257" s="885"/>
      <c r="HL1257" s="885"/>
      <c r="HM1257" s="885"/>
      <c r="HN1257" s="885"/>
      <c r="HO1257" s="885"/>
      <c r="HP1257" s="885"/>
      <c r="HQ1257" s="885"/>
      <c r="HR1257" s="885"/>
      <c r="HS1257" s="885"/>
      <c r="HT1257" s="885"/>
      <c r="HU1257" s="885"/>
      <c r="HV1257" s="885"/>
      <c r="HW1257" s="885"/>
      <c r="HX1257" s="885"/>
      <c r="HY1257" s="885"/>
      <c r="HZ1257" s="885"/>
      <c r="IA1257" s="885"/>
      <c r="IB1257" s="885"/>
      <c r="IC1257" s="885"/>
      <c r="ID1257" s="885"/>
      <c r="IE1257" s="885"/>
      <c r="IF1257" s="885"/>
      <c r="IG1257" s="885"/>
      <c r="IH1257" s="885"/>
      <c r="II1257" s="885"/>
      <c r="IJ1257" s="885"/>
      <c r="IK1257" s="885"/>
      <c r="IL1257" s="885"/>
      <c r="IM1257" s="885"/>
      <c r="IN1257" s="885"/>
      <c r="IO1257" s="885"/>
      <c r="IP1257" s="885"/>
      <c r="IQ1257" s="885"/>
      <c r="IR1257" s="885"/>
      <c r="IS1257" s="885"/>
      <c r="IT1257" s="885"/>
      <c r="IU1257" s="885"/>
      <c r="IV1257" s="885"/>
      <c r="IW1257" s="885"/>
      <c r="IX1257" s="885"/>
    </row>
    <row r="1258" spans="1:258" x14ac:dyDescent="0.25">
      <c r="A1258" s="125">
        <f t="shared" si="134"/>
        <v>1218</v>
      </c>
      <c r="B1258" s="885"/>
      <c r="C1258" s="842" t="s">
        <v>10789</v>
      </c>
      <c r="D1258" s="924">
        <v>0</v>
      </c>
      <c r="E1258" s="924">
        <f t="shared" si="133"/>
        <v>0</v>
      </c>
      <c r="F1258" s="129">
        <v>1000</v>
      </c>
      <c r="G1258" s="122" t="s">
        <v>1963</v>
      </c>
      <c r="H1258" s="885"/>
      <c r="I1258" s="885"/>
      <c r="J1258" s="885"/>
      <c r="K1258" s="885"/>
      <c r="L1258" s="885"/>
      <c r="M1258" s="885"/>
      <c r="N1258" s="885"/>
      <c r="O1258" s="885"/>
      <c r="P1258" s="885"/>
      <c r="Q1258" s="885"/>
      <c r="R1258" s="885"/>
      <c r="S1258" s="885"/>
      <c r="T1258" s="885"/>
      <c r="U1258" s="885"/>
      <c r="V1258" s="885"/>
      <c r="W1258" s="885"/>
      <c r="X1258" s="885"/>
      <c r="Y1258" s="885"/>
      <c r="Z1258" s="885"/>
      <c r="AA1258" s="885"/>
      <c r="AB1258" s="885"/>
      <c r="AC1258" s="885"/>
      <c r="AD1258" s="885"/>
      <c r="AE1258" s="885"/>
      <c r="AF1258" s="885"/>
      <c r="AG1258" s="885"/>
      <c r="AH1258" s="885"/>
      <c r="AI1258" s="885"/>
      <c r="AJ1258" s="885"/>
      <c r="AK1258" s="885"/>
      <c r="AL1258" s="885"/>
      <c r="AM1258" s="885"/>
      <c r="AN1258" s="885"/>
      <c r="AO1258" s="885"/>
      <c r="AP1258" s="885"/>
      <c r="AQ1258" s="885"/>
      <c r="AR1258" s="885"/>
      <c r="AS1258" s="885"/>
      <c r="AT1258" s="885"/>
      <c r="AU1258" s="885"/>
      <c r="AV1258" s="885"/>
      <c r="AW1258" s="885"/>
      <c r="AX1258" s="885"/>
      <c r="AY1258" s="885"/>
      <c r="AZ1258" s="885"/>
      <c r="BA1258" s="885"/>
      <c r="BB1258" s="885"/>
      <c r="BC1258" s="885"/>
      <c r="BD1258" s="885"/>
      <c r="BE1258" s="885"/>
      <c r="BF1258" s="885"/>
      <c r="BG1258" s="885"/>
      <c r="BH1258" s="885"/>
      <c r="BI1258" s="885"/>
      <c r="BJ1258" s="885"/>
      <c r="BK1258" s="885"/>
      <c r="BL1258" s="885"/>
      <c r="BM1258" s="885"/>
      <c r="BN1258" s="885"/>
      <c r="BO1258" s="885"/>
      <c r="BP1258" s="885"/>
      <c r="BQ1258" s="885"/>
      <c r="BR1258" s="885"/>
      <c r="BS1258" s="885"/>
      <c r="BT1258" s="885"/>
      <c r="BU1258" s="885"/>
      <c r="BV1258" s="885"/>
      <c r="BW1258" s="885"/>
      <c r="BX1258" s="885"/>
      <c r="BY1258" s="885"/>
      <c r="BZ1258" s="885"/>
      <c r="CA1258" s="885"/>
      <c r="CB1258" s="885"/>
      <c r="CC1258" s="885"/>
      <c r="CD1258" s="885"/>
      <c r="CE1258" s="885"/>
      <c r="CF1258" s="885"/>
      <c r="CG1258" s="885"/>
      <c r="CH1258" s="885"/>
      <c r="CI1258" s="885"/>
      <c r="CJ1258" s="885"/>
      <c r="CK1258" s="885"/>
      <c r="CL1258" s="885"/>
      <c r="CM1258" s="885"/>
      <c r="CN1258" s="885"/>
      <c r="CO1258" s="885"/>
      <c r="CP1258" s="885"/>
      <c r="CQ1258" s="885"/>
      <c r="CR1258" s="885"/>
      <c r="CS1258" s="885"/>
      <c r="CT1258" s="885"/>
      <c r="CU1258" s="885"/>
      <c r="CV1258" s="885"/>
      <c r="CW1258" s="885"/>
      <c r="CX1258" s="885"/>
      <c r="CY1258" s="885"/>
      <c r="CZ1258" s="885"/>
      <c r="DA1258" s="885"/>
      <c r="DB1258" s="885"/>
      <c r="DC1258" s="885"/>
      <c r="DD1258" s="885"/>
      <c r="DE1258" s="885"/>
      <c r="DF1258" s="885"/>
      <c r="DG1258" s="885"/>
      <c r="DH1258" s="885"/>
      <c r="DI1258" s="885"/>
      <c r="DJ1258" s="885"/>
      <c r="DK1258" s="885"/>
      <c r="DL1258" s="885"/>
      <c r="DM1258" s="885"/>
      <c r="DN1258" s="885"/>
      <c r="DO1258" s="885"/>
      <c r="DP1258" s="885"/>
      <c r="DQ1258" s="885"/>
      <c r="DR1258" s="885"/>
      <c r="DS1258" s="885"/>
      <c r="DT1258" s="885"/>
      <c r="DU1258" s="885"/>
      <c r="DV1258" s="885"/>
      <c r="DW1258" s="885"/>
      <c r="DX1258" s="885"/>
      <c r="DY1258" s="885"/>
      <c r="DZ1258" s="885"/>
      <c r="EA1258" s="885"/>
      <c r="EB1258" s="885"/>
      <c r="EC1258" s="885"/>
      <c r="ED1258" s="885"/>
      <c r="EE1258" s="885"/>
      <c r="EF1258" s="885"/>
      <c r="EG1258" s="885"/>
      <c r="EH1258" s="885"/>
      <c r="EI1258" s="885"/>
      <c r="EJ1258" s="885"/>
      <c r="EK1258" s="885"/>
      <c r="EL1258" s="885"/>
      <c r="EM1258" s="885"/>
      <c r="EN1258" s="885"/>
      <c r="EO1258" s="885"/>
      <c r="EP1258" s="885"/>
      <c r="EQ1258" s="885"/>
      <c r="ER1258" s="885"/>
      <c r="ES1258" s="885"/>
      <c r="ET1258" s="885"/>
      <c r="EU1258" s="885"/>
      <c r="EV1258" s="885"/>
      <c r="EW1258" s="885"/>
      <c r="EX1258" s="885"/>
      <c r="EY1258" s="885"/>
      <c r="EZ1258" s="885"/>
      <c r="FA1258" s="885"/>
      <c r="FB1258" s="885"/>
      <c r="FC1258" s="885"/>
      <c r="FD1258" s="885"/>
      <c r="FE1258" s="885"/>
      <c r="FF1258" s="885"/>
      <c r="FG1258" s="885"/>
      <c r="FH1258" s="885"/>
      <c r="FI1258" s="885"/>
      <c r="FJ1258" s="885"/>
      <c r="FK1258" s="885"/>
      <c r="FL1258" s="885"/>
      <c r="FM1258" s="885"/>
      <c r="FN1258" s="885"/>
      <c r="FO1258" s="885"/>
      <c r="FP1258" s="885"/>
      <c r="FQ1258" s="885"/>
      <c r="FR1258" s="885"/>
      <c r="FS1258" s="885"/>
      <c r="FT1258" s="885"/>
      <c r="FU1258" s="885"/>
      <c r="FV1258" s="885"/>
      <c r="FW1258" s="885"/>
      <c r="FX1258" s="885"/>
      <c r="FY1258" s="885"/>
      <c r="FZ1258" s="885"/>
      <c r="GA1258" s="885"/>
      <c r="GB1258" s="885"/>
      <c r="GC1258" s="885"/>
      <c r="GD1258" s="885"/>
      <c r="GE1258" s="885"/>
      <c r="GF1258" s="885"/>
      <c r="GG1258" s="885"/>
      <c r="GH1258" s="885"/>
      <c r="GI1258" s="885"/>
      <c r="GJ1258" s="885"/>
      <c r="GK1258" s="885"/>
      <c r="GL1258" s="885"/>
      <c r="GM1258" s="885"/>
      <c r="GN1258" s="885"/>
      <c r="GO1258" s="885"/>
      <c r="GP1258" s="885"/>
      <c r="GQ1258" s="885"/>
      <c r="GR1258" s="885"/>
      <c r="GS1258" s="885"/>
      <c r="GT1258" s="885"/>
      <c r="GU1258" s="885"/>
      <c r="GV1258" s="885"/>
      <c r="GW1258" s="885"/>
      <c r="GX1258" s="885"/>
      <c r="GY1258" s="885"/>
      <c r="GZ1258" s="885"/>
      <c r="HA1258" s="885"/>
      <c r="HB1258" s="885"/>
      <c r="HC1258" s="885"/>
      <c r="HD1258" s="885"/>
      <c r="HE1258" s="885"/>
      <c r="HF1258" s="885"/>
      <c r="HG1258" s="885"/>
      <c r="HH1258" s="885"/>
      <c r="HI1258" s="885"/>
      <c r="HJ1258" s="885"/>
      <c r="HK1258" s="885"/>
      <c r="HL1258" s="885"/>
      <c r="HM1258" s="885"/>
      <c r="HN1258" s="885"/>
      <c r="HO1258" s="885"/>
      <c r="HP1258" s="885"/>
      <c r="HQ1258" s="885"/>
      <c r="HR1258" s="885"/>
      <c r="HS1258" s="885"/>
      <c r="HT1258" s="885"/>
      <c r="HU1258" s="885"/>
      <c r="HV1258" s="885"/>
      <c r="HW1258" s="885"/>
      <c r="HX1258" s="885"/>
      <c r="HY1258" s="885"/>
      <c r="HZ1258" s="885"/>
      <c r="IA1258" s="885"/>
      <c r="IB1258" s="885"/>
      <c r="IC1258" s="885"/>
      <c r="ID1258" s="885"/>
      <c r="IE1258" s="885"/>
      <c r="IF1258" s="885"/>
      <c r="IG1258" s="885"/>
      <c r="IH1258" s="885"/>
      <c r="II1258" s="885"/>
      <c r="IJ1258" s="885"/>
      <c r="IK1258" s="885"/>
      <c r="IL1258" s="885"/>
      <c r="IM1258" s="885"/>
      <c r="IN1258" s="885"/>
      <c r="IO1258" s="885"/>
      <c r="IP1258" s="885"/>
      <c r="IQ1258" s="885"/>
      <c r="IR1258" s="885"/>
      <c r="IS1258" s="885"/>
      <c r="IT1258" s="885"/>
      <c r="IU1258" s="885"/>
      <c r="IV1258" s="885"/>
      <c r="IW1258" s="885"/>
      <c r="IX1258" s="885"/>
    </row>
    <row r="1259" spans="1:258" x14ac:dyDescent="0.25">
      <c r="A1259" s="125">
        <f t="shared" si="134"/>
        <v>1219</v>
      </c>
      <c r="B1259" s="885"/>
      <c r="C1259" s="842" t="s">
        <v>10790</v>
      </c>
      <c r="D1259" s="924">
        <v>2146.2399999999998</v>
      </c>
      <c r="E1259" s="924">
        <f t="shared" si="133"/>
        <v>3219.3599999999997</v>
      </c>
      <c r="F1259" s="129">
        <f t="shared" si="135"/>
        <v>3219.3599999999997</v>
      </c>
      <c r="G1259" s="122" t="s">
        <v>1963</v>
      </c>
      <c r="H1259" s="885"/>
      <c r="I1259" s="885"/>
      <c r="J1259" s="885"/>
      <c r="K1259" s="885"/>
      <c r="L1259" s="885"/>
      <c r="M1259" s="885"/>
      <c r="N1259" s="885"/>
      <c r="O1259" s="885"/>
      <c r="P1259" s="885"/>
      <c r="Q1259" s="885"/>
      <c r="R1259" s="885"/>
      <c r="S1259" s="885"/>
      <c r="T1259" s="885"/>
      <c r="U1259" s="885"/>
      <c r="V1259" s="885"/>
      <c r="W1259" s="885"/>
      <c r="X1259" s="885"/>
      <c r="Y1259" s="885"/>
      <c r="Z1259" s="885"/>
      <c r="AA1259" s="885"/>
      <c r="AB1259" s="885"/>
      <c r="AC1259" s="885"/>
      <c r="AD1259" s="885"/>
      <c r="AE1259" s="885"/>
      <c r="AF1259" s="885"/>
      <c r="AG1259" s="885"/>
      <c r="AH1259" s="885"/>
      <c r="AI1259" s="885"/>
      <c r="AJ1259" s="885"/>
      <c r="AK1259" s="885"/>
      <c r="AL1259" s="885"/>
      <c r="AM1259" s="885"/>
      <c r="AN1259" s="885"/>
      <c r="AO1259" s="885"/>
      <c r="AP1259" s="885"/>
      <c r="AQ1259" s="885"/>
      <c r="AR1259" s="885"/>
      <c r="AS1259" s="885"/>
      <c r="AT1259" s="885"/>
      <c r="AU1259" s="885"/>
      <c r="AV1259" s="885"/>
      <c r="AW1259" s="885"/>
      <c r="AX1259" s="885"/>
      <c r="AY1259" s="885"/>
      <c r="AZ1259" s="885"/>
      <c r="BA1259" s="885"/>
      <c r="BB1259" s="885"/>
      <c r="BC1259" s="885"/>
      <c r="BD1259" s="885"/>
      <c r="BE1259" s="885"/>
      <c r="BF1259" s="885"/>
      <c r="BG1259" s="885"/>
      <c r="BH1259" s="885"/>
      <c r="BI1259" s="885"/>
      <c r="BJ1259" s="885"/>
      <c r="BK1259" s="885"/>
      <c r="BL1259" s="885"/>
      <c r="BM1259" s="885"/>
      <c r="BN1259" s="885"/>
      <c r="BO1259" s="885"/>
      <c r="BP1259" s="885"/>
      <c r="BQ1259" s="885"/>
      <c r="BR1259" s="885"/>
      <c r="BS1259" s="885"/>
      <c r="BT1259" s="885"/>
      <c r="BU1259" s="885"/>
      <c r="BV1259" s="885"/>
      <c r="BW1259" s="885"/>
      <c r="BX1259" s="885"/>
      <c r="BY1259" s="885"/>
      <c r="BZ1259" s="885"/>
      <c r="CA1259" s="885"/>
      <c r="CB1259" s="885"/>
      <c r="CC1259" s="885"/>
      <c r="CD1259" s="885"/>
      <c r="CE1259" s="885"/>
      <c r="CF1259" s="885"/>
      <c r="CG1259" s="885"/>
      <c r="CH1259" s="885"/>
      <c r="CI1259" s="885"/>
      <c r="CJ1259" s="885"/>
      <c r="CK1259" s="885"/>
      <c r="CL1259" s="885"/>
      <c r="CM1259" s="885"/>
      <c r="CN1259" s="885"/>
      <c r="CO1259" s="885"/>
      <c r="CP1259" s="885"/>
      <c r="CQ1259" s="885"/>
      <c r="CR1259" s="885"/>
      <c r="CS1259" s="885"/>
      <c r="CT1259" s="885"/>
      <c r="CU1259" s="885"/>
      <c r="CV1259" s="885"/>
      <c r="CW1259" s="885"/>
      <c r="CX1259" s="885"/>
      <c r="CY1259" s="885"/>
      <c r="CZ1259" s="885"/>
      <c r="DA1259" s="885"/>
      <c r="DB1259" s="885"/>
      <c r="DC1259" s="885"/>
      <c r="DD1259" s="885"/>
      <c r="DE1259" s="885"/>
      <c r="DF1259" s="885"/>
      <c r="DG1259" s="885"/>
      <c r="DH1259" s="885"/>
      <c r="DI1259" s="885"/>
      <c r="DJ1259" s="885"/>
      <c r="DK1259" s="885"/>
      <c r="DL1259" s="885"/>
      <c r="DM1259" s="885"/>
      <c r="DN1259" s="885"/>
      <c r="DO1259" s="885"/>
      <c r="DP1259" s="885"/>
      <c r="DQ1259" s="885"/>
      <c r="DR1259" s="885"/>
      <c r="DS1259" s="885"/>
      <c r="DT1259" s="885"/>
      <c r="DU1259" s="885"/>
      <c r="DV1259" s="885"/>
      <c r="DW1259" s="885"/>
      <c r="DX1259" s="885"/>
      <c r="DY1259" s="885"/>
      <c r="DZ1259" s="885"/>
      <c r="EA1259" s="885"/>
      <c r="EB1259" s="885"/>
      <c r="EC1259" s="885"/>
      <c r="ED1259" s="885"/>
      <c r="EE1259" s="885"/>
      <c r="EF1259" s="885"/>
      <c r="EG1259" s="885"/>
      <c r="EH1259" s="885"/>
      <c r="EI1259" s="885"/>
      <c r="EJ1259" s="885"/>
      <c r="EK1259" s="885"/>
      <c r="EL1259" s="885"/>
      <c r="EM1259" s="885"/>
      <c r="EN1259" s="885"/>
      <c r="EO1259" s="885"/>
      <c r="EP1259" s="885"/>
      <c r="EQ1259" s="885"/>
      <c r="ER1259" s="885"/>
      <c r="ES1259" s="885"/>
      <c r="ET1259" s="885"/>
      <c r="EU1259" s="885"/>
      <c r="EV1259" s="885"/>
      <c r="EW1259" s="885"/>
      <c r="EX1259" s="885"/>
      <c r="EY1259" s="885"/>
      <c r="EZ1259" s="885"/>
      <c r="FA1259" s="885"/>
      <c r="FB1259" s="885"/>
      <c r="FC1259" s="885"/>
      <c r="FD1259" s="885"/>
      <c r="FE1259" s="885"/>
      <c r="FF1259" s="885"/>
      <c r="FG1259" s="885"/>
      <c r="FH1259" s="885"/>
      <c r="FI1259" s="885"/>
      <c r="FJ1259" s="885"/>
      <c r="FK1259" s="885"/>
      <c r="FL1259" s="885"/>
      <c r="FM1259" s="885"/>
      <c r="FN1259" s="885"/>
      <c r="FO1259" s="885"/>
      <c r="FP1259" s="885"/>
      <c r="FQ1259" s="885"/>
      <c r="FR1259" s="885"/>
      <c r="FS1259" s="885"/>
      <c r="FT1259" s="885"/>
      <c r="FU1259" s="885"/>
      <c r="FV1259" s="885"/>
      <c r="FW1259" s="885"/>
      <c r="FX1259" s="885"/>
      <c r="FY1259" s="885"/>
      <c r="FZ1259" s="885"/>
      <c r="GA1259" s="885"/>
      <c r="GB1259" s="885"/>
      <c r="GC1259" s="885"/>
      <c r="GD1259" s="885"/>
      <c r="GE1259" s="885"/>
      <c r="GF1259" s="885"/>
      <c r="GG1259" s="885"/>
      <c r="GH1259" s="885"/>
      <c r="GI1259" s="885"/>
      <c r="GJ1259" s="885"/>
      <c r="GK1259" s="885"/>
      <c r="GL1259" s="885"/>
      <c r="GM1259" s="885"/>
      <c r="GN1259" s="885"/>
      <c r="GO1259" s="885"/>
      <c r="GP1259" s="885"/>
      <c r="GQ1259" s="885"/>
      <c r="GR1259" s="885"/>
      <c r="GS1259" s="885"/>
      <c r="GT1259" s="885"/>
      <c r="GU1259" s="885"/>
      <c r="GV1259" s="885"/>
      <c r="GW1259" s="885"/>
      <c r="GX1259" s="885"/>
      <c r="GY1259" s="885"/>
      <c r="GZ1259" s="885"/>
      <c r="HA1259" s="885"/>
      <c r="HB1259" s="885"/>
      <c r="HC1259" s="885"/>
      <c r="HD1259" s="885"/>
      <c r="HE1259" s="885"/>
      <c r="HF1259" s="885"/>
      <c r="HG1259" s="885"/>
      <c r="HH1259" s="885"/>
      <c r="HI1259" s="885"/>
      <c r="HJ1259" s="885"/>
      <c r="HK1259" s="885"/>
      <c r="HL1259" s="885"/>
      <c r="HM1259" s="885"/>
      <c r="HN1259" s="885"/>
      <c r="HO1259" s="885"/>
      <c r="HP1259" s="885"/>
      <c r="HQ1259" s="885"/>
      <c r="HR1259" s="885"/>
      <c r="HS1259" s="885"/>
      <c r="HT1259" s="885"/>
      <c r="HU1259" s="885"/>
      <c r="HV1259" s="885"/>
      <c r="HW1259" s="885"/>
      <c r="HX1259" s="885"/>
      <c r="HY1259" s="885"/>
      <c r="HZ1259" s="885"/>
      <c r="IA1259" s="885"/>
      <c r="IB1259" s="885"/>
      <c r="IC1259" s="885"/>
      <c r="ID1259" s="885"/>
      <c r="IE1259" s="885"/>
      <c r="IF1259" s="885"/>
      <c r="IG1259" s="885"/>
      <c r="IH1259" s="885"/>
      <c r="II1259" s="885"/>
      <c r="IJ1259" s="885"/>
      <c r="IK1259" s="885"/>
      <c r="IL1259" s="885"/>
      <c r="IM1259" s="885"/>
      <c r="IN1259" s="885"/>
      <c r="IO1259" s="885"/>
      <c r="IP1259" s="885"/>
      <c r="IQ1259" s="885"/>
      <c r="IR1259" s="885"/>
      <c r="IS1259" s="885"/>
      <c r="IT1259" s="885"/>
      <c r="IU1259" s="885"/>
      <c r="IV1259" s="885"/>
      <c r="IW1259" s="885"/>
      <c r="IX1259" s="885"/>
    </row>
    <row r="1260" spans="1:258" x14ac:dyDescent="0.25">
      <c r="A1260" s="125">
        <f t="shared" si="134"/>
        <v>1220</v>
      </c>
      <c r="B1260" s="885"/>
      <c r="C1260" s="927" t="s">
        <v>10791</v>
      </c>
      <c r="D1260" s="928"/>
      <c r="E1260" s="928"/>
      <c r="F1260" s="129"/>
      <c r="H1260" s="885"/>
      <c r="I1260" s="885"/>
      <c r="J1260" s="885"/>
      <c r="K1260" s="885"/>
      <c r="L1260" s="885"/>
      <c r="M1260" s="885"/>
      <c r="N1260" s="885"/>
      <c r="O1260" s="885"/>
      <c r="P1260" s="885"/>
      <c r="Q1260" s="885"/>
      <c r="R1260" s="885"/>
      <c r="S1260" s="885"/>
      <c r="T1260" s="885"/>
      <c r="U1260" s="885"/>
      <c r="V1260" s="885"/>
      <c r="W1260" s="885"/>
      <c r="X1260" s="885"/>
      <c r="Y1260" s="885"/>
      <c r="Z1260" s="885"/>
      <c r="AA1260" s="885"/>
      <c r="AB1260" s="885"/>
      <c r="AC1260" s="885"/>
      <c r="AD1260" s="885"/>
      <c r="AE1260" s="885"/>
      <c r="AF1260" s="885"/>
      <c r="AG1260" s="885"/>
      <c r="AH1260" s="885"/>
      <c r="AI1260" s="885"/>
      <c r="AJ1260" s="885"/>
      <c r="AK1260" s="885"/>
      <c r="AL1260" s="885"/>
      <c r="AM1260" s="885"/>
      <c r="AN1260" s="885"/>
      <c r="AO1260" s="885"/>
      <c r="AP1260" s="885"/>
      <c r="AQ1260" s="885"/>
      <c r="AR1260" s="885"/>
      <c r="AS1260" s="885"/>
      <c r="AT1260" s="885"/>
      <c r="AU1260" s="885"/>
      <c r="AV1260" s="885"/>
      <c r="AW1260" s="885"/>
      <c r="AX1260" s="885"/>
      <c r="AY1260" s="885"/>
      <c r="AZ1260" s="885"/>
      <c r="BA1260" s="885"/>
      <c r="BB1260" s="885"/>
      <c r="BC1260" s="885"/>
      <c r="BD1260" s="885"/>
      <c r="BE1260" s="885"/>
      <c r="BF1260" s="885"/>
      <c r="BG1260" s="885"/>
      <c r="BH1260" s="885"/>
      <c r="BI1260" s="885"/>
      <c r="BJ1260" s="885"/>
      <c r="BK1260" s="885"/>
      <c r="BL1260" s="885"/>
      <c r="BM1260" s="885"/>
      <c r="BN1260" s="885"/>
      <c r="BO1260" s="885"/>
      <c r="BP1260" s="885"/>
      <c r="BQ1260" s="885"/>
      <c r="BR1260" s="885"/>
      <c r="BS1260" s="885"/>
      <c r="BT1260" s="885"/>
      <c r="BU1260" s="885"/>
      <c r="BV1260" s="885"/>
      <c r="BW1260" s="885"/>
      <c r="BX1260" s="885"/>
      <c r="BY1260" s="885"/>
      <c r="BZ1260" s="885"/>
      <c r="CA1260" s="885"/>
      <c r="CB1260" s="885"/>
      <c r="CC1260" s="885"/>
      <c r="CD1260" s="885"/>
      <c r="CE1260" s="885"/>
      <c r="CF1260" s="885"/>
      <c r="CG1260" s="885"/>
      <c r="CH1260" s="885"/>
      <c r="CI1260" s="885"/>
      <c r="CJ1260" s="885"/>
      <c r="CK1260" s="885"/>
      <c r="CL1260" s="885"/>
      <c r="CM1260" s="885"/>
      <c r="CN1260" s="885"/>
      <c r="CO1260" s="885"/>
      <c r="CP1260" s="885"/>
      <c r="CQ1260" s="885"/>
      <c r="CR1260" s="885"/>
      <c r="CS1260" s="885"/>
      <c r="CT1260" s="885"/>
      <c r="CU1260" s="885"/>
      <c r="CV1260" s="885"/>
      <c r="CW1260" s="885"/>
      <c r="CX1260" s="885"/>
      <c r="CY1260" s="885"/>
      <c r="CZ1260" s="885"/>
      <c r="DA1260" s="885"/>
      <c r="DB1260" s="885"/>
      <c r="DC1260" s="885"/>
      <c r="DD1260" s="885"/>
      <c r="DE1260" s="885"/>
      <c r="DF1260" s="885"/>
      <c r="DG1260" s="885"/>
      <c r="DH1260" s="885"/>
      <c r="DI1260" s="885"/>
      <c r="DJ1260" s="885"/>
      <c r="DK1260" s="885"/>
      <c r="DL1260" s="885"/>
      <c r="DM1260" s="885"/>
      <c r="DN1260" s="885"/>
      <c r="DO1260" s="885"/>
      <c r="DP1260" s="885"/>
      <c r="DQ1260" s="885"/>
      <c r="DR1260" s="885"/>
      <c r="DS1260" s="885"/>
      <c r="DT1260" s="885"/>
      <c r="DU1260" s="885"/>
      <c r="DV1260" s="885"/>
      <c r="DW1260" s="885"/>
      <c r="DX1260" s="885"/>
      <c r="DY1260" s="885"/>
      <c r="DZ1260" s="885"/>
      <c r="EA1260" s="885"/>
      <c r="EB1260" s="885"/>
      <c r="EC1260" s="885"/>
      <c r="ED1260" s="885"/>
      <c r="EE1260" s="885"/>
      <c r="EF1260" s="885"/>
      <c r="EG1260" s="885"/>
      <c r="EH1260" s="885"/>
      <c r="EI1260" s="885"/>
      <c r="EJ1260" s="885"/>
      <c r="EK1260" s="885"/>
      <c r="EL1260" s="885"/>
      <c r="EM1260" s="885"/>
      <c r="EN1260" s="885"/>
      <c r="EO1260" s="885"/>
      <c r="EP1260" s="885"/>
      <c r="EQ1260" s="885"/>
      <c r="ER1260" s="885"/>
      <c r="ES1260" s="885"/>
      <c r="ET1260" s="885"/>
      <c r="EU1260" s="885"/>
      <c r="EV1260" s="885"/>
      <c r="EW1260" s="885"/>
      <c r="EX1260" s="885"/>
      <c r="EY1260" s="885"/>
      <c r="EZ1260" s="885"/>
      <c r="FA1260" s="885"/>
      <c r="FB1260" s="885"/>
      <c r="FC1260" s="885"/>
      <c r="FD1260" s="885"/>
      <c r="FE1260" s="885"/>
      <c r="FF1260" s="885"/>
      <c r="FG1260" s="885"/>
      <c r="FH1260" s="885"/>
      <c r="FI1260" s="885"/>
      <c r="FJ1260" s="885"/>
      <c r="FK1260" s="885"/>
      <c r="FL1260" s="885"/>
      <c r="FM1260" s="885"/>
      <c r="FN1260" s="885"/>
      <c r="FO1260" s="885"/>
      <c r="FP1260" s="885"/>
      <c r="FQ1260" s="885"/>
      <c r="FR1260" s="885"/>
      <c r="FS1260" s="885"/>
      <c r="FT1260" s="885"/>
      <c r="FU1260" s="885"/>
      <c r="FV1260" s="885"/>
      <c r="FW1260" s="885"/>
      <c r="FX1260" s="885"/>
      <c r="FY1260" s="885"/>
      <c r="FZ1260" s="885"/>
      <c r="GA1260" s="885"/>
      <c r="GB1260" s="885"/>
      <c r="GC1260" s="885"/>
      <c r="GD1260" s="885"/>
      <c r="GE1260" s="885"/>
      <c r="GF1260" s="885"/>
      <c r="GG1260" s="885"/>
      <c r="GH1260" s="885"/>
      <c r="GI1260" s="885"/>
      <c r="GJ1260" s="885"/>
      <c r="GK1260" s="885"/>
      <c r="GL1260" s="885"/>
      <c r="GM1260" s="885"/>
      <c r="GN1260" s="885"/>
      <c r="GO1260" s="885"/>
      <c r="GP1260" s="885"/>
      <c r="GQ1260" s="885"/>
      <c r="GR1260" s="885"/>
      <c r="GS1260" s="885"/>
      <c r="GT1260" s="885"/>
      <c r="GU1260" s="885"/>
      <c r="GV1260" s="885"/>
      <c r="GW1260" s="885"/>
      <c r="GX1260" s="885"/>
      <c r="GY1260" s="885"/>
      <c r="GZ1260" s="885"/>
      <c r="HA1260" s="885"/>
      <c r="HB1260" s="885"/>
      <c r="HC1260" s="885"/>
      <c r="HD1260" s="885"/>
      <c r="HE1260" s="885"/>
      <c r="HF1260" s="885"/>
      <c r="HG1260" s="885"/>
      <c r="HH1260" s="885"/>
      <c r="HI1260" s="885"/>
      <c r="HJ1260" s="885"/>
      <c r="HK1260" s="885"/>
      <c r="HL1260" s="885"/>
      <c r="HM1260" s="885"/>
      <c r="HN1260" s="885"/>
      <c r="HO1260" s="885"/>
      <c r="HP1260" s="885"/>
      <c r="HQ1260" s="885"/>
      <c r="HR1260" s="885"/>
      <c r="HS1260" s="885"/>
      <c r="HT1260" s="885"/>
      <c r="HU1260" s="885"/>
      <c r="HV1260" s="885"/>
      <c r="HW1260" s="885"/>
      <c r="HX1260" s="885"/>
      <c r="HY1260" s="885"/>
      <c r="HZ1260" s="885"/>
      <c r="IA1260" s="885"/>
      <c r="IB1260" s="885"/>
      <c r="IC1260" s="885"/>
      <c r="ID1260" s="885"/>
      <c r="IE1260" s="885"/>
      <c r="IF1260" s="885"/>
      <c r="IG1260" s="885"/>
      <c r="IH1260" s="885"/>
      <c r="II1260" s="885"/>
      <c r="IJ1260" s="885"/>
      <c r="IK1260" s="885"/>
      <c r="IL1260" s="885"/>
      <c r="IM1260" s="885"/>
      <c r="IN1260" s="885"/>
      <c r="IO1260" s="885"/>
      <c r="IP1260" s="885"/>
      <c r="IQ1260" s="885"/>
      <c r="IR1260" s="885"/>
      <c r="IS1260" s="885"/>
      <c r="IT1260" s="885"/>
      <c r="IU1260" s="885"/>
      <c r="IV1260" s="885"/>
      <c r="IW1260" s="885"/>
      <c r="IX1260" s="885"/>
    </row>
    <row r="1261" spans="1:258" x14ac:dyDescent="0.25">
      <c r="A1261" s="125">
        <f t="shared" si="134"/>
        <v>1221</v>
      </c>
      <c r="B1261" s="885"/>
      <c r="C1261" s="842" t="s">
        <v>10792</v>
      </c>
      <c r="D1261" s="924">
        <v>0</v>
      </c>
      <c r="E1261" s="924">
        <f t="shared" si="133"/>
        <v>0</v>
      </c>
      <c r="F1261" s="129">
        <v>500</v>
      </c>
      <c r="G1261" s="122" t="s">
        <v>1963</v>
      </c>
      <c r="H1261" s="885"/>
      <c r="I1261" s="885"/>
      <c r="J1261" s="885"/>
      <c r="K1261" s="885"/>
      <c r="L1261" s="885"/>
      <c r="M1261" s="885"/>
      <c r="N1261" s="885"/>
      <c r="O1261" s="885"/>
      <c r="P1261" s="885"/>
      <c r="Q1261" s="885"/>
      <c r="R1261" s="885"/>
      <c r="S1261" s="885"/>
      <c r="T1261" s="885"/>
      <c r="U1261" s="885"/>
      <c r="V1261" s="885"/>
      <c r="W1261" s="885"/>
      <c r="X1261" s="885"/>
      <c r="Y1261" s="885"/>
      <c r="Z1261" s="885"/>
      <c r="AA1261" s="885"/>
      <c r="AB1261" s="885"/>
      <c r="AC1261" s="885"/>
      <c r="AD1261" s="885"/>
      <c r="AE1261" s="885"/>
      <c r="AF1261" s="885"/>
      <c r="AG1261" s="885"/>
      <c r="AH1261" s="885"/>
      <c r="AI1261" s="885"/>
      <c r="AJ1261" s="885"/>
      <c r="AK1261" s="885"/>
      <c r="AL1261" s="885"/>
      <c r="AM1261" s="885"/>
      <c r="AN1261" s="885"/>
      <c r="AO1261" s="885"/>
      <c r="AP1261" s="885"/>
      <c r="AQ1261" s="885"/>
      <c r="AR1261" s="885"/>
      <c r="AS1261" s="885"/>
      <c r="AT1261" s="885"/>
      <c r="AU1261" s="885"/>
      <c r="AV1261" s="885"/>
      <c r="AW1261" s="885"/>
      <c r="AX1261" s="885"/>
      <c r="AY1261" s="885"/>
      <c r="AZ1261" s="885"/>
      <c r="BA1261" s="885"/>
      <c r="BB1261" s="885"/>
      <c r="BC1261" s="885"/>
      <c r="BD1261" s="885"/>
      <c r="BE1261" s="885"/>
      <c r="BF1261" s="885"/>
      <c r="BG1261" s="885"/>
      <c r="BH1261" s="885"/>
      <c r="BI1261" s="885"/>
      <c r="BJ1261" s="885"/>
      <c r="BK1261" s="885"/>
      <c r="BL1261" s="885"/>
      <c r="BM1261" s="885"/>
      <c r="BN1261" s="885"/>
      <c r="BO1261" s="885"/>
      <c r="BP1261" s="885"/>
      <c r="BQ1261" s="885"/>
      <c r="BR1261" s="885"/>
      <c r="BS1261" s="885"/>
      <c r="BT1261" s="885"/>
      <c r="BU1261" s="885"/>
      <c r="BV1261" s="885"/>
      <c r="BW1261" s="885"/>
      <c r="BX1261" s="885"/>
      <c r="BY1261" s="885"/>
      <c r="BZ1261" s="885"/>
      <c r="CA1261" s="885"/>
      <c r="CB1261" s="885"/>
      <c r="CC1261" s="885"/>
      <c r="CD1261" s="885"/>
      <c r="CE1261" s="885"/>
      <c r="CF1261" s="885"/>
      <c r="CG1261" s="885"/>
      <c r="CH1261" s="885"/>
      <c r="CI1261" s="885"/>
      <c r="CJ1261" s="885"/>
      <c r="CK1261" s="885"/>
      <c r="CL1261" s="885"/>
      <c r="CM1261" s="885"/>
      <c r="CN1261" s="885"/>
      <c r="CO1261" s="885"/>
      <c r="CP1261" s="885"/>
      <c r="CQ1261" s="885"/>
      <c r="CR1261" s="885"/>
      <c r="CS1261" s="885"/>
      <c r="CT1261" s="885"/>
      <c r="CU1261" s="885"/>
      <c r="CV1261" s="885"/>
      <c r="CW1261" s="885"/>
      <c r="CX1261" s="885"/>
      <c r="CY1261" s="885"/>
      <c r="CZ1261" s="885"/>
      <c r="DA1261" s="885"/>
      <c r="DB1261" s="885"/>
      <c r="DC1261" s="885"/>
      <c r="DD1261" s="885"/>
      <c r="DE1261" s="885"/>
      <c r="DF1261" s="885"/>
      <c r="DG1261" s="885"/>
      <c r="DH1261" s="885"/>
      <c r="DI1261" s="885"/>
      <c r="DJ1261" s="885"/>
      <c r="DK1261" s="885"/>
      <c r="DL1261" s="885"/>
      <c r="DM1261" s="885"/>
      <c r="DN1261" s="885"/>
      <c r="DO1261" s="885"/>
      <c r="DP1261" s="885"/>
      <c r="DQ1261" s="885"/>
      <c r="DR1261" s="885"/>
      <c r="DS1261" s="885"/>
      <c r="DT1261" s="885"/>
      <c r="DU1261" s="885"/>
      <c r="DV1261" s="885"/>
      <c r="DW1261" s="885"/>
      <c r="DX1261" s="885"/>
      <c r="DY1261" s="885"/>
      <c r="DZ1261" s="885"/>
      <c r="EA1261" s="885"/>
      <c r="EB1261" s="885"/>
      <c r="EC1261" s="885"/>
      <c r="ED1261" s="885"/>
      <c r="EE1261" s="885"/>
      <c r="EF1261" s="885"/>
      <c r="EG1261" s="885"/>
      <c r="EH1261" s="885"/>
      <c r="EI1261" s="885"/>
      <c r="EJ1261" s="885"/>
      <c r="EK1261" s="885"/>
      <c r="EL1261" s="885"/>
      <c r="EM1261" s="885"/>
      <c r="EN1261" s="885"/>
      <c r="EO1261" s="885"/>
      <c r="EP1261" s="885"/>
      <c r="EQ1261" s="885"/>
      <c r="ER1261" s="885"/>
      <c r="ES1261" s="885"/>
      <c r="ET1261" s="885"/>
      <c r="EU1261" s="885"/>
      <c r="EV1261" s="885"/>
      <c r="EW1261" s="885"/>
      <c r="EX1261" s="885"/>
      <c r="EY1261" s="885"/>
      <c r="EZ1261" s="885"/>
      <c r="FA1261" s="885"/>
      <c r="FB1261" s="885"/>
      <c r="FC1261" s="885"/>
      <c r="FD1261" s="885"/>
      <c r="FE1261" s="885"/>
      <c r="FF1261" s="885"/>
      <c r="FG1261" s="885"/>
      <c r="FH1261" s="885"/>
      <c r="FI1261" s="885"/>
      <c r="FJ1261" s="885"/>
      <c r="FK1261" s="885"/>
      <c r="FL1261" s="885"/>
      <c r="FM1261" s="885"/>
      <c r="FN1261" s="885"/>
      <c r="FO1261" s="885"/>
      <c r="FP1261" s="885"/>
      <c r="FQ1261" s="885"/>
      <c r="FR1261" s="885"/>
      <c r="FS1261" s="885"/>
      <c r="FT1261" s="885"/>
      <c r="FU1261" s="885"/>
      <c r="FV1261" s="885"/>
      <c r="FW1261" s="885"/>
      <c r="FX1261" s="885"/>
      <c r="FY1261" s="885"/>
      <c r="FZ1261" s="885"/>
      <c r="GA1261" s="885"/>
      <c r="GB1261" s="885"/>
      <c r="GC1261" s="885"/>
      <c r="GD1261" s="885"/>
      <c r="GE1261" s="885"/>
      <c r="GF1261" s="885"/>
      <c r="GG1261" s="885"/>
      <c r="GH1261" s="885"/>
      <c r="GI1261" s="885"/>
      <c r="GJ1261" s="885"/>
      <c r="GK1261" s="885"/>
      <c r="GL1261" s="885"/>
      <c r="GM1261" s="885"/>
      <c r="GN1261" s="885"/>
      <c r="GO1261" s="885"/>
      <c r="GP1261" s="885"/>
      <c r="GQ1261" s="885"/>
      <c r="GR1261" s="885"/>
      <c r="GS1261" s="885"/>
      <c r="GT1261" s="885"/>
      <c r="GU1261" s="885"/>
      <c r="GV1261" s="885"/>
      <c r="GW1261" s="885"/>
      <c r="GX1261" s="885"/>
      <c r="GY1261" s="885"/>
      <c r="GZ1261" s="885"/>
      <c r="HA1261" s="885"/>
      <c r="HB1261" s="885"/>
      <c r="HC1261" s="885"/>
      <c r="HD1261" s="885"/>
      <c r="HE1261" s="885"/>
      <c r="HF1261" s="885"/>
      <c r="HG1261" s="885"/>
      <c r="HH1261" s="885"/>
      <c r="HI1261" s="885"/>
      <c r="HJ1261" s="885"/>
      <c r="HK1261" s="885"/>
      <c r="HL1261" s="885"/>
      <c r="HM1261" s="885"/>
      <c r="HN1261" s="885"/>
      <c r="HO1261" s="885"/>
      <c r="HP1261" s="885"/>
      <c r="HQ1261" s="885"/>
      <c r="HR1261" s="885"/>
      <c r="HS1261" s="885"/>
      <c r="HT1261" s="885"/>
      <c r="HU1261" s="885"/>
      <c r="HV1261" s="885"/>
      <c r="HW1261" s="885"/>
      <c r="HX1261" s="885"/>
      <c r="HY1261" s="885"/>
      <c r="HZ1261" s="885"/>
      <c r="IA1261" s="885"/>
      <c r="IB1261" s="885"/>
      <c r="IC1261" s="885"/>
      <c r="ID1261" s="885"/>
      <c r="IE1261" s="885"/>
      <c r="IF1261" s="885"/>
      <c r="IG1261" s="885"/>
      <c r="IH1261" s="885"/>
      <c r="II1261" s="885"/>
      <c r="IJ1261" s="885"/>
      <c r="IK1261" s="885"/>
      <c r="IL1261" s="885"/>
      <c r="IM1261" s="885"/>
      <c r="IN1261" s="885"/>
      <c r="IO1261" s="885"/>
      <c r="IP1261" s="885"/>
      <c r="IQ1261" s="885"/>
      <c r="IR1261" s="885"/>
      <c r="IS1261" s="885"/>
      <c r="IT1261" s="885"/>
      <c r="IU1261" s="885"/>
      <c r="IV1261" s="885"/>
      <c r="IW1261" s="885"/>
      <c r="IX1261" s="885"/>
    </row>
    <row r="1262" spans="1:258" x14ac:dyDescent="0.25">
      <c r="A1262" s="125">
        <f t="shared" si="134"/>
        <v>1222</v>
      </c>
      <c r="B1262" s="885"/>
      <c r="C1262" s="842" t="s">
        <v>10793</v>
      </c>
      <c r="D1262" s="924">
        <v>0</v>
      </c>
      <c r="E1262" s="924">
        <f t="shared" si="133"/>
        <v>0</v>
      </c>
      <c r="F1262" s="129">
        <v>500</v>
      </c>
      <c r="G1262" s="122" t="s">
        <v>1963</v>
      </c>
      <c r="H1262" s="885"/>
      <c r="I1262" s="885"/>
      <c r="J1262" s="885"/>
      <c r="K1262" s="885"/>
      <c r="L1262" s="885"/>
      <c r="M1262" s="885"/>
      <c r="N1262" s="885"/>
      <c r="O1262" s="885"/>
      <c r="P1262" s="885"/>
      <c r="Q1262" s="885"/>
      <c r="R1262" s="885"/>
      <c r="S1262" s="885"/>
      <c r="T1262" s="885"/>
      <c r="U1262" s="885"/>
      <c r="V1262" s="885"/>
      <c r="W1262" s="885"/>
      <c r="X1262" s="885"/>
      <c r="Y1262" s="885"/>
      <c r="Z1262" s="885"/>
      <c r="AA1262" s="885"/>
      <c r="AB1262" s="885"/>
      <c r="AC1262" s="885"/>
      <c r="AD1262" s="885"/>
      <c r="AE1262" s="885"/>
      <c r="AF1262" s="885"/>
      <c r="AG1262" s="885"/>
      <c r="AH1262" s="885"/>
      <c r="AI1262" s="885"/>
      <c r="AJ1262" s="885"/>
      <c r="AK1262" s="885"/>
      <c r="AL1262" s="885"/>
      <c r="AM1262" s="885"/>
      <c r="AN1262" s="885"/>
      <c r="AO1262" s="885"/>
      <c r="AP1262" s="885"/>
      <c r="AQ1262" s="885"/>
      <c r="AR1262" s="885"/>
      <c r="AS1262" s="885"/>
      <c r="AT1262" s="885"/>
      <c r="AU1262" s="885"/>
      <c r="AV1262" s="885"/>
      <c r="AW1262" s="885"/>
      <c r="AX1262" s="885"/>
      <c r="AY1262" s="885"/>
      <c r="AZ1262" s="885"/>
      <c r="BA1262" s="885"/>
      <c r="BB1262" s="885"/>
      <c r="BC1262" s="885"/>
      <c r="BD1262" s="885"/>
      <c r="BE1262" s="885"/>
      <c r="BF1262" s="885"/>
      <c r="BG1262" s="885"/>
      <c r="BH1262" s="885"/>
      <c r="BI1262" s="885"/>
      <c r="BJ1262" s="885"/>
      <c r="BK1262" s="885"/>
      <c r="BL1262" s="885"/>
      <c r="BM1262" s="885"/>
      <c r="BN1262" s="885"/>
      <c r="BO1262" s="885"/>
      <c r="BP1262" s="885"/>
      <c r="BQ1262" s="885"/>
      <c r="BR1262" s="885"/>
      <c r="BS1262" s="885"/>
      <c r="BT1262" s="885"/>
      <c r="BU1262" s="885"/>
      <c r="BV1262" s="885"/>
      <c r="BW1262" s="885"/>
      <c r="BX1262" s="885"/>
      <c r="BY1262" s="885"/>
      <c r="BZ1262" s="885"/>
      <c r="CA1262" s="885"/>
      <c r="CB1262" s="885"/>
      <c r="CC1262" s="885"/>
      <c r="CD1262" s="885"/>
      <c r="CE1262" s="885"/>
      <c r="CF1262" s="885"/>
      <c r="CG1262" s="885"/>
      <c r="CH1262" s="885"/>
      <c r="CI1262" s="885"/>
      <c r="CJ1262" s="885"/>
      <c r="CK1262" s="885"/>
      <c r="CL1262" s="885"/>
      <c r="CM1262" s="885"/>
      <c r="CN1262" s="885"/>
      <c r="CO1262" s="885"/>
      <c r="CP1262" s="885"/>
      <c r="CQ1262" s="885"/>
      <c r="CR1262" s="885"/>
      <c r="CS1262" s="885"/>
      <c r="CT1262" s="885"/>
      <c r="CU1262" s="885"/>
      <c r="CV1262" s="885"/>
      <c r="CW1262" s="885"/>
      <c r="CX1262" s="885"/>
      <c r="CY1262" s="885"/>
      <c r="CZ1262" s="885"/>
      <c r="DA1262" s="885"/>
      <c r="DB1262" s="885"/>
      <c r="DC1262" s="885"/>
      <c r="DD1262" s="885"/>
      <c r="DE1262" s="885"/>
      <c r="DF1262" s="885"/>
      <c r="DG1262" s="885"/>
      <c r="DH1262" s="885"/>
      <c r="DI1262" s="885"/>
      <c r="DJ1262" s="885"/>
      <c r="DK1262" s="885"/>
      <c r="DL1262" s="885"/>
      <c r="DM1262" s="885"/>
      <c r="DN1262" s="885"/>
      <c r="DO1262" s="885"/>
      <c r="DP1262" s="885"/>
      <c r="DQ1262" s="885"/>
      <c r="DR1262" s="885"/>
      <c r="DS1262" s="885"/>
      <c r="DT1262" s="885"/>
      <c r="DU1262" s="885"/>
      <c r="DV1262" s="885"/>
      <c r="DW1262" s="885"/>
      <c r="DX1262" s="885"/>
      <c r="DY1262" s="885"/>
      <c r="DZ1262" s="885"/>
      <c r="EA1262" s="885"/>
      <c r="EB1262" s="885"/>
      <c r="EC1262" s="885"/>
      <c r="ED1262" s="885"/>
      <c r="EE1262" s="885"/>
      <c r="EF1262" s="885"/>
      <c r="EG1262" s="885"/>
      <c r="EH1262" s="885"/>
      <c r="EI1262" s="885"/>
      <c r="EJ1262" s="885"/>
      <c r="EK1262" s="885"/>
      <c r="EL1262" s="885"/>
      <c r="EM1262" s="885"/>
      <c r="EN1262" s="885"/>
      <c r="EO1262" s="885"/>
      <c r="EP1262" s="885"/>
      <c r="EQ1262" s="885"/>
      <c r="ER1262" s="885"/>
      <c r="ES1262" s="885"/>
      <c r="ET1262" s="885"/>
      <c r="EU1262" s="885"/>
      <c r="EV1262" s="885"/>
      <c r="EW1262" s="885"/>
      <c r="EX1262" s="885"/>
      <c r="EY1262" s="885"/>
      <c r="EZ1262" s="885"/>
      <c r="FA1262" s="885"/>
      <c r="FB1262" s="885"/>
      <c r="FC1262" s="885"/>
      <c r="FD1262" s="885"/>
      <c r="FE1262" s="885"/>
      <c r="FF1262" s="885"/>
      <c r="FG1262" s="885"/>
      <c r="FH1262" s="885"/>
      <c r="FI1262" s="885"/>
      <c r="FJ1262" s="885"/>
      <c r="FK1262" s="885"/>
      <c r="FL1262" s="885"/>
      <c r="FM1262" s="885"/>
      <c r="FN1262" s="885"/>
      <c r="FO1262" s="885"/>
      <c r="FP1262" s="885"/>
      <c r="FQ1262" s="885"/>
      <c r="FR1262" s="885"/>
      <c r="FS1262" s="885"/>
      <c r="FT1262" s="885"/>
      <c r="FU1262" s="885"/>
      <c r="FV1262" s="885"/>
      <c r="FW1262" s="885"/>
      <c r="FX1262" s="885"/>
      <c r="FY1262" s="885"/>
      <c r="FZ1262" s="885"/>
      <c r="GA1262" s="885"/>
      <c r="GB1262" s="885"/>
      <c r="GC1262" s="885"/>
      <c r="GD1262" s="885"/>
      <c r="GE1262" s="885"/>
      <c r="GF1262" s="885"/>
      <c r="GG1262" s="885"/>
      <c r="GH1262" s="885"/>
      <c r="GI1262" s="885"/>
      <c r="GJ1262" s="885"/>
      <c r="GK1262" s="885"/>
      <c r="GL1262" s="885"/>
      <c r="GM1262" s="885"/>
      <c r="GN1262" s="885"/>
      <c r="GO1262" s="885"/>
      <c r="GP1262" s="885"/>
      <c r="GQ1262" s="885"/>
      <c r="GR1262" s="885"/>
      <c r="GS1262" s="885"/>
      <c r="GT1262" s="885"/>
      <c r="GU1262" s="885"/>
      <c r="GV1262" s="885"/>
      <c r="GW1262" s="885"/>
      <c r="GX1262" s="885"/>
      <c r="GY1262" s="885"/>
      <c r="GZ1262" s="885"/>
      <c r="HA1262" s="885"/>
      <c r="HB1262" s="885"/>
      <c r="HC1262" s="885"/>
      <c r="HD1262" s="885"/>
      <c r="HE1262" s="885"/>
      <c r="HF1262" s="885"/>
      <c r="HG1262" s="885"/>
      <c r="HH1262" s="885"/>
      <c r="HI1262" s="885"/>
      <c r="HJ1262" s="885"/>
      <c r="HK1262" s="885"/>
      <c r="HL1262" s="885"/>
      <c r="HM1262" s="885"/>
      <c r="HN1262" s="885"/>
      <c r="HO1262" s="885"/>
      <c r="HP1262" s="885"/>
      <c r="HQ1262" s="885"/>
      <c r="HR1262" s="885"/>
      <c r="HS1262" s="885"/>
      <c r="HT1262" s="885"/>
      <c r="HU1262" s="885"/>
      <c r="HV1262" s="885"/>
      <c r="HW1262" s="885"/>
      <c r="HX1262" s="885"/>
      <c r="HY1262" s="885"/>
      <c r="HZ1262" s="885"/>
      <c r="IA1262" s="885"/>
      <c r="IB1262" s="885"/>
      <c r="IC1262" s="885"/>
      <c r="ID1262" s="885"/>
      <c r="IE1262" s="885"/>
      <c r="IF1262" s="885"/>
      <c r="IG1262" s="885"/>
      <c r="IH1262" s="885"/>
      <c r="II1262" s="885"/>
      <c r="IJ1262" s="885"/>
      <c r="IK1262" s="885"/>
      <c r="IL1262" s="885"/>
      <c r="IM1262" s="885"/>
      <c r="IN1262" s="885"/>
      <c r="IO1262" s="885"/>
      <c r="IP1262" s="885"/>
      <c r="IQ1262" s="885"/>
      <c r="IR1262" s="885"/>
      <c r="IS1262" s="885"/>
      <c r="IT1262" s="885"/>
      <c r="IU1262" s="885"/>
      <c r="IV1262" s="885"/>
      <c r="IW1262" s="885"/>
      <c r="IX1262" s="885"/>
    </row>
    <row r="1263" spans="1:258" x14ac:dyDescent="0.25">
      <c r="A1263" s="125">
        <f t="shared" si="134"/>
        <v>1223</v>
      </c>
      <c r="B1263" s="885"/>
      <c r="C1263" s="842" t="s">
        <v>10794</v>
      </c>
      <c r="D1263" s="924">
        <v>0</v>
      </c>
      <c r="E1263" s="924">
        <f t="shared" si="133"/>
        <v>0</v>
      </c>
      <c r="F1263" s="129">
        <v>500</v>
      </c>
      <c r="G1263" s="122" t="s">
        <v>1963</v>
      </c>
      <c r="H1263" s="885"/>
      <c r="I1263" s="885"/>
      <c r="J1263" s="885"/>
      <c r="K1263" s="885"/>
      <c r="L1263" s="885"/>
      <c r="M1263" s="885"/>
      <c r="N1263" s="885"/>
      <c r="O1263" s="885"/>
      <c r="P1263" s="885"/>
      <c r="Q1263" s="885"/>
      <c r="R1263" s="885"/>
      <c r="S1263" s="885"/>
      <c r="T1263" s="885"/>
      <c r="U1263" s="885"/>
      <c r="V1263" s="885"/>
      <c r="W1263" s="885"/>
      <c r="X1263" s="885"/>
      <c r="Y1263" s="885"/>
      <c r="Z1263" s="885"/>
      <c r="AA1263" s="885"/>
      <c r="AB1263" s="885"/>
      <c r="AC1263" s="885"/>
      <c r="AD1263" s="885"/>
      <c r="AE1263" s="885"/>
      <c r="AF1263" s="885"/>
      <c r="AG1263" s="885"/>
      <c r="AH1263" s="885"/>
      <c r="AI1263" s="885"/>
      <c r="AJ1263" s="885"/>
      <c r="AK1263" s="885"/>
      <c r="AL1263" s="885"/>
      <c r="AM1263" s="885"/>
      <c r="AN1263" s="885"/>
      <c r="AO1263" s="885"/>
      <c r="AP1263" s="885"/>
      <c r="AQ1263" s="885"/>
      <c r="AR1263" s="885"/>
      <c r="AS1263" s="885"/>
      <c r="AT1263" s="885"/>
      <c r="AU1263" s="885"/>
      <c r="AV1263" s="885"/>
      <c r="AW1263" s="885"/>
      <c r="AX1263" s="885"/>
      <c r="AY1263" s="885"/>
      <c r="AZ1263" s="885"/>
      <c r="BA1263" s="885"/>
      <c r="BB1263" s="885"/>
      <c r="BC1263" s="885"/>
      <c r="BD1263" s="885"/>
      <c r="BE1263" s="885"/>
      <c r="BF1263" s="885"/>
      <c r="BG1263" s="885"/>
      <c r="BH1263" s="885"/>
      <c r="BI1263" s="885"/>
      <c r="BJ1263" s="885"/>
      <c r="BK1263" s="885"/>
      <c r="BL1263" s="885"/>
      <c r="BM1263" s="885"/>
      <c r="BN1263" s="885"/>
      <c r="BO1263" s="885"/>
      <c r="BP1263" s="885"/>
      <c r="BQ1263" s="885"/>
      <c r="BR1263" s="885"/>
      <c r="BS1263" s="885"/>
      <c r="BT1263" s="885"/>
      <c r="BU1263" s="885"/>
      <c r="BV1263" s="885"/>
      <c r="BW1263" s="885"/>
      <c r="BX1263" s="885"/>
      <c r="BY1263" s="885"/>
      <c r="BZ1263" s="885"/>
      <c r="CA1263" s="885"/>
      <c r="CB1263" s="885"/>
      <c r="CC1263" s="885"/>
      <c r="CD1263" s="885"/>
      <c r="CE1263" s="885"/>
      <c r="CF1263" s="885"/>
      <c r="CG1263" s="885"/>
      <c r="CH1263" s="885"/>
      <c r="CI1263" s="885"/>
      <c r="CJ1263" s="885"/>
      <c r="CK1263" s="885"/>
      <c r="CL1263" s="885"/>
      <c r="CM1263" s="885"/>
      <c r="CN1263" s="885"/>
      <c r="CO1263" s="885"/>
      <c r="CP1263" s="885"/>
      <c r="CQ1263" s="885"/>
      <c r="CR1263" s="885"/>
      <c r="CS1263" s="885"/>
      <c r="CT1263" s="885"/>
      <c r="CU1263" s="885"/>
      <c r="CV1263" s="885"/>
      <c r="CW1263" s="885"/>
      <c r="CX1263" s="885"/>
      <c r="CY1263" s="885"/>
      <c r="CZ1263" s="885"/>
      <c r="DA1263" s="885"/>
      <c r="DB1263" s="885"/>
      <c r="DC1263" s="885"/>
      <c r="DD1263" s="885"/>
      <c r="DE1263" s="885"/>
      <c r="DF1263" s="885"/>
      <c r="DG1263" s="885"/>
      <c r="DH1263" s="885"/>
      <c r="DI1263" s="885"/>
      <c r="DJ1263" s="885"/>
      <c r="DK1263" s="885"/>
      <c r="DL1263" s="885"/>
      <c r="DM1263" s="885"/>
      <c r="DN1263" s="885"/>
      <c r="DO1263" s="885"/>
      <c r="DP1263" s="885"/>
      <c r="DQ1263" s="885"/>
      <c r="DR1263" s="885"/>
      <c r="DS1263" s="885"/>
      <c r="DT1263" s="885"/>
      <c r="DU1263" s="885"/>
      <c r="DV1263" s="885"/>
      <c r="DW1263" s="885"/>
      <c r="DX1263" s="885"/>
      <c r="DY1263" s="885"/>
      <c r="DZ1263" s="885"/>
      <c r="EA1263" s="885"/>
      <c r="EB1263" s="885"/>
      <c r="EC1263" s="885"/>
      <c r="ED1263" s="885"/>
      <c r="EE1263" s="885"/>
      <c r="EF1263" s="885"/>
      <c r="EG1263" s="885"/>
      <c r="EH1263" s="885"/>
      <c r="EI1263" s="885"/>
      <c r="EJ1263" s="885"/>
      <c r="EK1263" s="885"/>
      <c r="EL1263" s="885"/>
      <c r="EM1263" s="885"/>
      <c r="EN1263" s="885"/>
      <c r="EO1263" s="885"/>
      <c r="EP1263" s="885"/>
      <c r="EQ1263" s="885"/>
      <c r="ER1263" s="885"/>
      <c r="ES1263" s="885"/>
      <c r="ET1263" s="885"/>
      <c r="EU1263" s="885"/>
      <c r="EV1263" s="885"/>
      <c r="EW1263" s="885"/>
      <c r="EX1263" s="885"/>
      <c r="EY1263" s="885"/>
      <c r="EZ1263" s="885"/>
      <c r="FA1263" s="885"/>
      <c r="FB1263" s="885"/>
      <c r="FC1263" s="885"/>
      <c r="FD1263" s="885"/>
      <c r="FE1263" s="885"/>
      <c r="FF1263" s="885"/>
      <c r="FG1263" s="885"/>
      <c r="FH1263" s="885"/>
      <c r="FI1263" s="885"/>
      <c r="FJ1263" s="885"/>
      <c r="FK1263" s="885"/>
      <c r="FL1263" s="885"/>
      <c r="FM1263" s="885"/>
      <c r="FN1263" s="885"/>
      <c r="FO1263" s="885"/>
      <c r="FP1263" s="885"/>
      <c r="FQ1263" s="885"/>
      <c r="FR1263" s="885"/>
      <c r="FS1263" s="885"/>
      <c r="FT1263" s="885"/>
      <c r="FU1263" s="885"/>
      <c r="FV1263" s="885"/>
      <c r="FW1263" s="885"/>
      <c r="FX1263" s="885"/>
      <c r="FY1263" s="885"/>
      <c r="FZ1263" s="885"/>
      <c r="GA1263" s="885"/>
      <c r="GB1263" s="885"/>
      <c r="GC1263" s="885"/>
      <c r="GD1263" s="885"/>
      <c r="GE1263" s="885"/>
      <c r="GF1263" s="885"/>
      <c r="GG1263" s="885"/>
      <c r="GH1263" s="885"/>
      <c r="GI1263" s="885"/>
      <c r="GJ1263" s="885"/>
      <c r="GK1263" s="885"/>
      <c r="GL1263" s="885"/>
      <c r="GM1263" s="885"/>
      <c r="GN1263" s="885"/>
      <c r="GO1263" s="885"/>
      <c r="GP1263" s="885"/>
      <c r="GQ1263" s="885"/>
      <c r="GR1263" s="885"/>
      <c r="GS1263" s="885"/>
      <c r="GT1263" s="885"/>
      <c r="GU1263" s="885"/>
      <c r="GV1263" s="885"/>
      <c r="GW1263" s="885"/>
      <c r="GX1263" s="885"/>
      <c r="GY1263" s="885"/>
      <c r="GZ1263" s="885"/>
      <c r="HA1263" s="885"/>
      <c r="HB1263" s="885"/>
      <c r="HC1263" s="885"/>
      <c r="HD1263" s="885"/>
      <c r="HE1263" s="885"/>
      <c r="HF1263" s="885"/>
      <c r="HG1263" s="885"/>
      <c r="HH1263" s="885"/>
      <c r="HI1263" s="885"/>
      <c r="HJ1263" s="885"/>
      <c r="HK1263" s="885"/>
      <c r="HL1263" s="885"/>
      <c r="HM1263" s="885"/>
      <c r="HN1263" s="885"/>
      <c r="HO1263" s="885"/>
      <c r="HP1263" s="885"/>
      <c r="HQ1263" s="885"/>
      <c r="HR1263" s="885"/>
      <c r="HS1263" s="885"/>
      <c r="HT1263" s="885"/>
      <c r="HU1263" s="885"/>
      <c r="HV1263" s="885"/>
      <c r="HW1263" s="885"/>
      <c r="HX1263" s="885"/>
      <c r="HY1263" s="885"/>
      <c r="HZ1263" s="885"/>
      <c r="IA1263" s="885"/>
      <c r="IB1263" s="885"/>
      <c r="IC1263" s="885"/>
      <c r="ID1263" s="885"/>
      <c r="IE1263" s="885"/>
      <c r="IF1263" s="885"/>
      <c r="IG1263" s="885"/>
      <c r="IH1263" s="885"/>
      <c r="II1263" s="885"/>
      <c r="IJ1263" s="885"/>
      <c r="IK1263" s="885"/>
      <c r="IL1263" s="885"/>
      <c r="IM1263" s="885"/>
      <c r="IN1263" s="885"/>
      <c r="IO1263" s="885"/>
      <c r="IP1263" s="885"/>
      <c r="IQ1263" s="885"/>
      <c r="IR1263" s="885"/>
      <c r="IS1263" s="885"/>
      <c r="IT1263" s="885"/>
      <c r="IU1263" s="885"/>
      <c r="IV1263" s="885"/>
      <c r="IW1263" s="885"/>
      <c r="IX1263" s="885"/>
    </row>
    <row r="1264" spans="1:258" x14ac:dyDescent="0.25">
      <c r="A1264" s="125">
        <f t="shared" si="134"/>
        <v>1224</v>
      </c>
      <c r="B1264" s="885"/>
      <c r="C1264" s="842" t="s">
        <v>10795</v>
      </c>
      <c r="D1264" s="924">
        <v>0</v>
      </c>
      <c r="E1264" s="924">
        <f t="shared" si="133"/>
        <v>0</v>
      </c>
      <c r="F1264" s="129">
        <v>500</v>
      </c>
      <c r="G1264" s="122" t="s">
        <v>1963</v>
      </c>
      <c r="H1264" s="885"/>
      <c r="I1264" s="885"/>
      <c r="J1264" s="885"/>
      <c r="K1264" s="885"/>
      <c r="L1264" s="885"/>
      <c r="M1264" s="885"/>
      <c r="N1264" s="885"/>
      <c r="O1264" s="885"/>
      <c r="P1264" s="885"/>
      <c r="Q1264" s="885"/>
      <c r="R1264" s="885"/>
      <c r="S1264" s="885"/>
      <c r="T1264" s="885"/>
      <c r="U1264" s="885"/>
      <c r="V1264" s="885"/>
      <c r="W1264" s="885"/>
      <c r="X1264" s="885"/>
      <c r="Y1264" s="885"/>
      <c r="Z1264" s="885"/>
      <c r="AA1264" s="885"/>
      <c r="AB1264" s="885"/>
      <c r="AC1264" s="885"/>
      <c r="AD1264" s="885"/>
      <c r="AE1264" s="885"/>
      <c r="AF1264" s="885"/>
      <c r="AG1264" s="885"/>
      <c r="AH1264" s="885"/>
      <c r="AI1264" s="885"/>
      <c r="AJ1264" s="885"/>
      <c r="AK1264" s="885"/>
      <c r="AL1264" s="885"/>
      <c r="AM1264" s="885"/>
      <c r="AN1264" s="885"/>
      <c r="AO1264" s="885"/>
      <c r="AP1264" s="885"/>
      <c r="AQ1264" s="885"/>
      <c r="AR1264" s="885"/>
      <c r="AS1264" s="885"/>
      <c r="AT1264" s="885"/>
      <c r="AU1264" s="885"/>
      <c r="AV1264" s="885"/>
      <c r="AW1264" s="885"/>
      <c r="AX1264" s="885"/>
      <c r="AY1264" s="885"/>
      <c r="AZ1264" s="885"/>
      <c r="BA1264" s="885"/>
      <c r="BB1264" s="885"/>
      <c r="BC1264" s="885"/>
      <c r="BD1264" s="885"/>
      <c r="BE1264" s="885"/>
      <c r="BF1264" s="885"/>
      <c r="BG1264" s="885"/>
      <c r="BH1264" s="885"/>
      <c r="BI1264" s="885"/>
      <c r="BJ1264" s="885"/>
      <c r="BK1264" s="885"/>
      <c r="BL1264" s="885"/>
      <c r="BM1264" s="885"/>
      <c r="BN1264" s="885"/>
      <c r="BO1264" s="885"/>
      <c r="BP1264" s="885"/>
      <c r="BQ1264" s="885"/>
      <c r="BR1264" s="885"/>
      <c r="BS1264" s="885"/>
      <c r="BT1264" s="885"/>
      <c r="BU1264" s="885"/>
      <c r="BV1264" s="885"/>
      <c r="BW1264" s="885"/>
      <c r="BX1264" s="885"/>
      <c r="BY1264" s="885"/>
      <c r="BZ1264" s="885"/>
      <c r="CA1264" s="885"/>
      <c r="CB1264" s="885"/>
      <c r="CC1264" s="885"/>
      <c r="CD1264" s="885"/>
      <c r="CE1264" s="885"/>
      <c r="CF1264" s="885"/>
      <c r="CG1264" s="885"/>
      <c r="CH1264" s="885"/>
      <c r="CI1264" s="885"/>
      <c r="CJ1264" s="885"/>
      <c r="CK1264" s="885"/>
      <c r="CL1264" s="885"/>
      <c r="CM1264" s="885"/>
      <c r="CN1264" s="885"/>
      <c r="CO1264" s="885"/>
      <c r="CP1264" s="885"/>
      <c r="CQ1264" s="885"/>
      <c r="CR1264" s="885"/>
      <c r="CS1264" s="885"/>
      <c r="CT1264" s="885"/>
      <c r="CU1264" s="885"/>
      <c r="CV1264" s="885"/>
      <c r="CW1264" s="885"/>
      <c r="CX1264" s="885"/>
      <c r="CY1264" s="885"/>
      <c r="CZ1264" s="885"/>
      <c r="DA1264" s="885"/>
      <c r="DB1264" s="885"/>
      <c r="DC1264" s="885"/>
      <c r="DD1264" s="885"/>
      <c r="DE1264" s="885"/>
      <c r="DF1264" s="885"/>
      <c r="DG1264" s="885"/>
      <c r="DH1264" s="885"/>
      <c r="DI1264" s="885"/>
      <c r="DJ1264" s="885"/>
      <c r="DK1264" s="885"/>
      <c r="DL1264" s="885"/>
      <c r="DM1264" s="885"/>
      <c r="DN1264" s="885"/>
      <c r="DO1264" s="885"/>
      <c r="DP1264" s="885"/>
      <c r="DQ1264" s="885"/>
      <c r="DR1264" s="885"/>
      <c r="DS1264" s="885"/>
      <c r="DT1264" s="885"/>
      <c r="DU1264" s="885"/>
      <c r="DV1264" s="885"/>
      <c r="DW1264" s="885"/>
      <c r="DX1264" s="885"/>
      <c r="DY1264" s="885"/>
      <c r="DZ1264" s="885"/>
      <c r="EA1264" s="885"/>
      <c r="EB1264" s="885"/>
      <c r="EC1264" s="885"/>
      <c r="ED1264" s="885"/>
      <c r="EE1264" s="885"/>
      <c r="EF1264" s="885"/>
      <c r="EG1264" s="885"/>
      <c r="EH1264" s="885"/>
      <c r="EI1264" s="885"/>
      <c r="EJ1264" s="885"/>
      <c r="EK1264" s="885"/>
      <c r="EL1264" s="885"/>
      <c r="EM1264" s="885"/>
      <c r="EN1264" s="885"/>
      <c r="EO1264" s="885"/>
      <c r="EP1264" s="885"/>
      <c r="EQ1264" s="885"/>
      <c r="ER1264" s="885"/>
      <c r="ES1264" s="885"/>
      <c r="ET1264" s="885"/>
      <c r="EU1264" s="885"/>
      <c r="EV1264" s="885"/>
      <c r="EW1264" s="885"/>
      <c r="EX1264" s="885"/>
      <c r="EY1264" s="885"/>
      <c r="EZ1264" s="885"/>
      <c r="FA1264" s="885"/>
      <c r="FB1264" s="885"/>
      <c r="FC1264" s="885"/>
      <c r="FD1264" s="885"/>
      <c r="FE1264" s="885"/>
      <c r="FF1264" s="885"/>
      <c r="FG1264" s="885"/>
      <c r="FH1264" s="885"/>
      <c r="FI1264" s="885"/>
      <c r="FJ1264" s="885"/>
      <c r="FK1264" s="885"/>
      <c r="FL1264" s="885"/>
      <c r="FM1264" s="885"/>
      <c r="FN1264" s="885"/>
      <c r="FO1264" s="885"/>
      <c r="FP1264" s="885"/>
      <c r="FQ1264" s="885"/>
      <c r="FR1264" s="885"/>
      <c r="FS1264" s="885"/>
      <c r="FT1264" s="885"/>
      <c r="FU1264" s="885"/>
      <c r="FV1264" s="885"/>
      <c r="FW1264" s="885"/>
      <c r="FX1264" s="885"/>
      <c r="FY1264" s="885"/>
      <c r="FZ1264" s="885"/>
      <c r="GA1264" s="885"/>
      <c r="GB1264" s="885"/>
      <c r="GC1264" s="885"/>
      <c r="GD1264" s="885"/>
      <c r="GE1264" s="885"/>
      <c r="GF1264" s="885"/>
      <c r="GG1264" s="885"/>
      <c r="GH1264" s="885"/>
      <c r="GI1264" s="885"/>
      <c r="GJ1264" s="885"/>
      <c r="GK1264" s="885"/>
      <c r="GL1264" s="885"/>
      <c r="GM1264" s="885"/>
      <c r="GN1264" s="885"/>
      <c r="GO1264" s="885"/>
      <c r="GP1264" s="885"/>
      <c r="GQ1264" s="885"/>
      <c r="GR1264" s="885"/>
      <c r="GS1264" s="885"/>
      <c r="GT1264" s="885"/>
      <c r="GU1264" s="885"/>
      <c r="GV1264" s="885"/>
      <c r="GW1264" s="885"/>
      <c r="GX1264" s="885"/>
      <c r="GY1264" s="885"/>
      <c r="GZ1264" s="885"/>
      <c r="HA1264" s="885"/>
      <c r="HB1264" s="885"/>
      <c r="HC1264" s="885"/>
      <c r="HD1264" s="885"/>
      <c r="HE1264" s="885"/>
      <c r="HF1264" s="885"/>
      <c r="HG1264" s="885"/>
      <c r="HH1264" s="885"/>
      <c r="HI1264" s="885"/>
      <c r="HJ1264" s="885"/>
      <c r="HK1264" s="885"/>
      <c r="HL1264" s="885"/>
      <c r="HM1264" s="885"/>
      <c r="HN1264" s="885"/>
      <c r="HO1264" s="885"/>
      <c r="HP1264" s="885"/>
      <c r="HQ1264" s="885"/>
      <c r="HR1264" s="885"/>
      <c r="HS1264" s="885"/>
      <c r="HT1264" s="885"/>
      <c r="HU1264" s="885"/>
      <c r="HV1264" s="885"/>
      <c r="HW1264" s="885"/>
      <c r="HX1264" s="885"/>
      <c r="HY1264" s="885"/>
      <c r="HZ1264" s="885"/>
      <c r="IA1264" s="885"/>
      <c r="IB1264" s="885"/>
      <c r="IC1264" s="885"/>
      <c r="ID1264" s="885"/>
      <c r="IE1264" s="885"/>
      <c r="IF1264" s="885"/>
      <c r="IG1264" s="885"/>
      <c r="IH1264" s="885"/>
      <c r="II1264" s="885"/>
      <c r="IJ1264" s="885"/>
      <c r="IK1264" s="885"/>
      <c r="IL1264" s="885"/>
      <c r="IM1264" s="885"/>
      <c r="IN1264" s="885"/>
      <c r="IO1264" s="885"/>
      <c r="IP1264" s="885"/>
      <c r="IQ1264" s="885"/>
      <c r="IR1264" s="885"/>
      <c r="IS1264" s="885"/>
      <c r="IT1264" s="885"/>
      <c r="IU1264" s="885"/>
      <c r="IV1264" s="885"/>
      <c r="IW1264" s="885"/>
      <c r="IX1264" s="885"/>
    </row>
    <row r="1265" spans="1:258" x14ac:dyDescent="0.25">
      <c r="A1265" s="125">
        <f t="shared" si="134"/>
        <v>1225</v>
      </c>
      <c r="B1265" s="885"/>
      <c r="C1265" s="842" t="s">
        <v>10796</v>
      </c>
      <c r="D1265" s="924">
        <v>0</v>
      </c>
      <c r="E1265" s="924">
        <f t="shared" si="133"/>
        <v>0</v>
      </c>
      <c r="F1265" s="129">
        <f>F1263*F$83</f>
        <v>100</v>
      </c>
      <c r="G1265" s="122" t="s">
        <v>1963</v>
      </c>
      <c r="H1265" s="885"/>
      <c r="I1265" s="885"/>
      <c r="J1265" s="885"/>
      <c r="K1265" s="885"/>
      <c r="L1265" s="885"/>
      <c r="M1265" s="885"/>
      <c r="N1265" s="885"/>
      <c r="O1265" s="885"/>
      <c r="P1265" s="885"/>
      <c r="Q1265" s="885"/>
      <c r="R1265" s="885"/>
      <c r="S1265" s="885"/>
      <c r="T1265" s="885"/>
      <c r="U1265" s="885"/>
      <c r="V1265" s="885"/>
      <c r="W1265" s="885"/>
      <c r="X1265" s="885"/>
      <c r="Y1265" s="885"/>
      <c r="Z1265" s="885"/>
      <c r="AA1265" s="885"/>
      <c r="AB1265" s="885"/>
      <c r="AC1265" s="885"/>
      <c r="AD1265" s="885"/>
      <c r="AE1265" s="885"/>
      <c r="AF1265" s="885"/>
      <c r="AG1265" s="885"/>
      <c r="AH1265" s="885"/>
      <c r="AI1265" s="885"/>
      <c r="AJ1265" s="885"/>
      <c r="AK1265" s="885"/>
      <c r="AL1265" s="885"/>
      <c r="AM1265" s="885"/>
      <c r="AN1265" s="885"/>
      <c r="AO1265" s="885"/>
      <c r="AP1265" s="885"/>
      <c r="AQ1265" s="885"/>
      <c r="AR1265" s="885"/>
      <c r="AS1265" s="885"/>
      <c r="AT1265" s="885"/>
      <c r="AU1265" s="885"/>
      <c r="AV1265" s="885"/>
      <c r="AW1265" s="885"/>
      <c r="AX1265" s="885"/>
      <c r="AY1265" s="885"/>
      <c r="AZ1265" s="885"/>
      <c r="BA1265" s="885"/>
      <c r="BB1265" s="885"/>
      <c r="BC1265" s="885"/>
      <c r="BD1265" s="885"/>
      <c r="BE1265" s="885"/>
      <c r="BF1265" s="885"/>
      <c r="BG1265" s="885"/>
      <c r="BH1265" s="885"/>
      <c r="BI1265" s="885"/>
      <c r="BJ1265" s="885"/>
      <c r="BK1265" s="885"/>
      <c r="BL1265" s="885"/>
      <c r="BM1265" s="885"/>
      <c r="BN1265" s="885"/>
      <c r="BO1265" s="885"/>
      <c r="BP1265" s="885"/>
      <c r="BQ1265" s="885"/>
      <c r="BR1265" s="885"/>
      <c r="BS1265" s="885"/>
      <c r="BT1265" s="885"/>
      <c r="BU1265" s="885"/>
      <c r="BV1265" s="885"/>
      <c r="BW1265" s="885"/>
      <c r="BX1265" s="885"/>
      <c r="BY1265" s="885"/>
      <c r="BZ1265" s="885"/>
      <c r="CA1265" s="885"/>
      <c r="CB1265" s="885"/>
      <c r="CC1265" s="885"/>
      <c r="CD1265" s="885"/>
      <c r="CE1265" s="885"/>
      <c r="CF1265" s="885"/>
      <c r="CG1265" s="885"/>
      <c r="CH1265" s="885"/>
      <c r="CI1265" s="885"/>
      <c r="CJ1265" s="885"/>
      <c r="CK1265" s="885"/>
      <c r="CL1265" s="885"/>
      <c r="CM1265" s="885"/>
      <c r="CN1265" s="885"/>
      <c r="CO1265" s="885"/>
      <c r="CP1265" s="885"/>
      <c r="CQ1265" s="885"/>
      <c r="CR1265" s="885"/>
      <c r="CS1265" s="885"/>
      <c r="CT1265" s="885"/>
      <c r="CU1265" s="885"/>
      <c r="CV1265" s="885"/>
      <c r="CW1265" s="885"/>
      <c r="CX1265" s="885"/>
      <c r="CY1265" s="885"/>
      <c r="CZ1265" s="885"/>
      <c r="DA1265" s="885"/>
      <c r="DB1265" s="885"/>
      <c r="DC1265" s="885"/>
      <c r="DD1265" s="885"/>
      <c r="DE1265" s="885"/>
      <c r="DF1265" s="885"/>
      <c r="DG1265" s="885"/>
      <c r="DH1265" s="885"/>
      <c r="DI1265" s="885"/>
      <c r="DJ1265" s="885"/>
      <c r="DK1265" s="885"/>
      <c r="DL1265" s="885"/>
      <c r="DM1265" s="885"/>
      <c r="DN1265" s="885"/>
      <c r="DO1265" s="885"/>
      <c r="DP1265" s="885"/>
      <c r="DQ1265" s="885"/>
      <c r="DR1265" s="885"/>
      <c r="DS1265" s="885"/>
      <c r="DT1265" s="885"/>
      <c r="DU1265" s="885"/>
      <c r="DV1265" s="885"/>
      <c r="DW1265" s="885"/>
      <c r="DX1265" s="885"/>
      <c r="DY1265" s="885"/>
      <c r="DZ1265" s="885"/>
      <c r="EA1265" s="885"/>
      <c r="EB1265" s="885"/>
      <c r="EC1265" s="885"/>
      <c r="ED1265" s="885"/>
      <c r="EE1265" s="885"/>
      <c r="EF1265" s="885"/>
      <c r="EG1265" s="885"/>
      <c r="EH1265" s="885"/>
      <c r="EI1265" s="885"/>
      <c r="EJ1265" s="885"/>
      <c r="EK1265" s="885"/>
      <c r="EL1265" s="885"/>
      <c r="EM1265" s="885"/>
      <c r="EN1265" s="885"/>
      <c r="EO1265" s="885"/>
      <c r="EP1265" s="885"/>
      <c r="EQ1265" s="885"/>
      <c r="ER1265" s="885"/>
      <c r="ES1265" s="885"/>
      <c r="ET1265" s="885"/>
      <c r="EU1265" s="885"/>
      <c r="EV1265" s="885"/>
      <c r="EW1265" s="885"/>
      <c r="EX1265" s="885"/>
      <c r="EY1265" s="885"/>
      <c r="EZ1265" s="885"/>
      <c r="FA1265" s="885"/>
      <c r="FB1265" s="885"/>
      <c r="FC1265" s="885"/>
      <c r="FD1265" s="885"/>
      <c r="FE1265" s="885"/>
      <c r="FF1265" s="885"/>
      <c r="FG1265" s="885"/>
      <c r="FH1265" s="885"/>
      <c r="FI1265" s="885"/>
      <c r="FJ1265" s="885"/>
      <c r="FK1265" s="885"/>
      <c r="FL1265" s="885"/>
      <c r="FM1265" s="885"/>
      <c r="FN1265" s="885"/>
      <c r="FO1265" s="885"/>
      <c r="FP1265" s="885"/>
      <c r="FQ1265" s="885"/>
      <c r="FR1265" s="885"/>
      <c r="FS1265" s="885"/>
      <c r="FT1265" s="885"/>
      <c r="FU1265" s="885"/>
      <c r="FV1265" s="885"/>
      <c r="FW1265" s="885"/>
      <c r="FX1265" s="885"/>
      <c r="FY1265" s="885"/>
      <c r="FZ1265" s="885"/>
      <c r="GA1265" s="885"/>
      <c r="GB1265" s="885"/>
      <c r="GC1265" s="885"/>
      <c r="GD1265" s="885"/>
      <c r="GE1265" s="885"/>
      <c r="GF1265" s="885"/>
      <c r="GG1265" s="885"/>
      <c r="GH1265" s="885"/>
      <c r="GI1265" s="885"/>
      <c r="GJ1265" s="885"/>
      <c r="GK1265" s="885"/>
      <c r="GL1265" s="885"/>
      <c r="GM1265" s="885"/>
      <c r="GN1265" s="885"/>
      <c r="GO1265" s="885"/>
      <c r="GP1265" s="885"/>
      <c r="GQ1265" s="885"/>
      <c r="GR1265" s="885"/>
      <c r="GS1265" s="885"/>
      <c r="GT1265" s="885"/>
      <c r="GU1265" s="885"/>
      <c r="GV1265" s="885"/>
      <c r="GW1265" s="885"/>
      <c r="GX1265" s="885"/>
      <c r="GY1265" s="885"/>
      <c r="GZ1265" s="885"/>
      <c r="HA1265" s="885"/>
      <c r="HB1265" s="885"/>
      <c r="HC1265" s="885"/>
      <c r="HD1265" s="885"/>
      <c r="HE1265" s="885"/>
      <c r="HF1265" s="885"/>
      <c r="HG1265" s="885"/>
      <c r="HH1265" s="885"/>
      <c r="HI1265" s="885"/>
      <c r="HJ1265" s="885"/>
      <c r="HK1265" s="885"/>
      <c r="HL1265" s="885"/>
      <c r="HM1265" s="885"/>
      <c r="HN1265" s="885"/>
      <c r="HO1265" s="885"/>
      <c r="HP1265" s="885"/>
      <c r="HQ1265" s="885"/>
      <c r="HR1265" s="885"/>
      <c r="HS1265" s="885"/>
      <c r="HT1265" s="885"/>
      <c r="HU1265" s="885"/>
      <c r="HV1265" s="885"/>
      <c r="HW1265" s="885"/>
      <c r="HX1265" s="885"/>
      <c r="HY1265" s="885"/>
      <c r="HZ1265" s="885"/>
      <c r="IA1265" s="885"/>
      <c r="IB1265" s="885"/>
      <c r="IC1265" s="885"/>
      <c r="ID1265" s="885"/>
      <c r="IE1265" s="885"/>
      <c r="IF1265" s="885"/>
      <c r="IG1265" s="885"/>
      <c r="IH1265" s="885"/>
      <c r="II1265" s="885"/>
      <c r="IJ1265" s="885"/>
      <c r="IK1265" s="885"/>
      <c r="IL1265" s="885"/>
      <c r="IM1265" s="885"/>
      <c r="IN1265" s="885"/>
      <c r="IO1265" s="885"/>
      <c r="IP1265" s="885"/>
      <c r="IQ1265" s="885"/>
      <c r="IR1265" s="885"/>
      <c r="IS1265" s="885"/>
      <c r="IT1265" s="885"/>
      <c r="IU1265" s="885"/>
      <c r="IV1265" s="885"/>
      <c r="IW1265" s="885"/>
      <c r="IX1265" s="885"/>
    </row>
    <row r="1266" spans="1:258" x14ac:dyDescent="0.25">
      <c r="A1266" s="125">
        <f t="shared" si="134"/>
        <v>1226</v>
      </c>
      <c r="B1266" s="885"/>
      <c r="C1266" s="842" t="s">
        <v>10797</v>
      </c>
      <c r="D1266" s="924">
        <v>0</v>
      </c>
      <c r="E1266" s="924">
        <f t="shared" si="133"/>
        <v>0</v>
      </c>
      <c r="F1266" s="129">
        <v>500</v>
      </c>
      <c r="G1266" s="122" t="s">
        <v>1963</v>
      </c>
      <c r="H1266" s="885"/>
      <c r="I1266" s="885"/>
      <c r="J1266" s="885"/>
      <c r="K1266" s="885"/>
      <c r="L1266" s="885"/>
      <c r="M1266" s="885"/>
      <c r="N1266" s="885"/>
      <c r="O1266" s="885"/>
      <c r="P1266" s="885"/>
      <c r="Q1266" s="885"/>
      <c r="R1266" s="885"/>
      <c r="S1266" s="885"/>
      <c r="T1266" s="885"/>
      <c r="U1266" s="885"/>
      <c r="V1266" s="885"/>
      <c r="W1266" s="885"/>
      <c r="X1266" s="885"/>
      <c r="Y1266" s="885"/>
      <c r="Z1266" s="885"/>
      <c r="AA1266" s="885"/>
      <c r="AB1266" s="885"/>
      <c r="AC1266" s="885"/>
      <c r="AD1266" s="885"/>
      <c r="AE1266" s="885"/>
      <c r="AF1266" s="885"/>
      <c r="AG1266" s="885"/>
      <c r="AH1266" s="885"/>
      <c r="AI1266" s="885"/>
      <c r="AJ1266" s="885"/>
      <c r="AK1266" s="885"/>
      <c r="AL1266" s="885"/>
      <c r="AM1266" s="885"/>
      <c r="AN1266" s="885"/>
      <c r="AO1266" s="885"/>
      <c r="AP1266" s="885"/>
      <c r="AQ1266" s="885"/>
      <c r="AR1266" s="885"/>
      <c r="AS1266" s="885"/>
      <c r="AT1266" s="885"/>
      <c r="AU1266" s="885"/>
      <c r="AV1266" s="885"/>
      <c r="AW1266" s="885"/>
      <c r="AX1266" s="885"/>
      <c r="AY1266" s="885"/>
      <c r="AZ1266" s="885"/>
      <c r="BA1266" s="885"/>
      <c r="BB1266" s="885"/>
      <c r="BC1266" s="885"/>
      <c r="BD1266" s="885"/>
      <c r="BE1266" s="885"/>
      <c r="BF1266" s="885"/>
      <c r="BG1266" s="885"/>
      <c r="BH1266" s="885"/>
      <c r="BI1266" s="885"/>
      <c r="BJ1266" s="885"/>
      <c r="BK1266" s="885"/>
      <c r="BL1266" s="885"/>
      <c r="BM1266" s="885"/>
      <c r="BN1266" s="885"/>
      <c r="BO1266" s="885"/>
      <c r="BP1266" s="885"/>
      <c r="BQ1266" s="885"/>
      <c r="BR1266" s="885"/>
      <c r="BS1266" s="885"/>
      <c r="BT1266" s="885"/>
      <c r="BU1266" s="885"/>
      <c r="BV1266" s="885"/>
      <c r="BW1266" s="885"/>
      <c r="BX1266" s="885"/>
      <c r="BY1266" s="885"/>
      <c r="BZ1266" s="885"/>
      <c r="CA1266" s="885"/>
      <c r="CB1266" s="885"/>
      <c r="CC1266" s="885"/>
      <c r="CD1266" s="885"/>
      <c r="CE1266" s="885"/>
      <c r="CF1266" s="885"/>
      <c r="CG1266" s="885"/>
      <c r="CH1266" s="885"/>
      <c r="CI1266" s="885"/>
      <c r="CJ1266" s="885"/>
      <c r="CK1266" s="885"/>
      <c r="CL1266" s="885"/>
      <c r="CM1266" s="885"/>
      <c r="CN1266" s="885"/>
      <c r="CO1266" s="885"/>
      <c r="CP1266" s="885"/>
      <c r="CQ1266" s="885"/>
      <c r="CR1266" s="885"/>
      <c r="CS1266" s="885"/>
      <c r="CT1266" s="885"/>
      <c r="CU1266" s="885"/>
      <c r="CV1266" s="885"/>
      <c r="CW1266" s="885"/>
      <c r="CX1266" s="885"/>
      <c r="CY1266" s="885"/>
      <c r="CZ1266" s="885"/>
      <c r="DA1266" s="885"/>
      <c r="DB1266" s="885"/>
      <c r="DC1266" s="885"/>
      <c r="DD1266" s="885"/>
      <c r="DE1266" s="885"/>
      <c r="DF1266" s="885"/>
      <c r="DG1266" s="885"/>
      <c r="DH1266" s="885"/>
      <c r="DI1266" s="885"/>
      <c r="DJ1266" s="885"/>
      <c r="DK1266" s="885"/>
      <c r="DL1266" s="885"/>
      <c r="DM1266" s="885"/>
      <c r="DN1266" s="885"/>
      <c r="DO1266" s="885"/>
      <c r="DP1266" s="885"/>
      <c r="DQ1266" s="885"/>
      <c r="DR1266" s="885"/>
      <c r="DS1266" s="885"/>
      <c r="DT1266" s="885"/>
      <c r="DU1266" s="885"/>
      <c r="DV1266" s="885"/>
      <c r="DW1266" s="885"/>
      <c r="DX1266" s="885"/>
      <c r="DY1266" s="885"/>
      <c r="DZ1266" s="885"/>
      <c r="EA1266" s="885"/>
      <c r="EB1266" s="885"/>
      <c r="EC1266" s="885"/>
      <c r="ED1266" s="885"/>
      <c r="EE1266" s="885"/>
      <c r="EF1266" s="885"/>
      <c r="EG1266" s="885"/>
      <c r="EH1266" s="885"/>
      <c r="EI1266" s="885"/>
      <c r="EJ1266" s="885"/>
      <c r="EK1266" s="885"/>
      <c r="EL1266" s="885"/>
      <c r="EM1266" s="885"/>
      <c r="EN1266" s="885"/>
      <c r="EO1266" s="885"/>
      <c r="EP1266" s="885"/>
      <c r="EQ1266" s="885"/>
      <c r="ER1266" s="885"/>
      <c r="ES1266" s="885"/>
      <c r="ET1266" s="885"/>
      <c r="EU1266" s="885"/>
      <c r="EV1266" s="885"/>
      <c r="EW1266" s="885"/>
      <c r="EX1266" s="885"/>
      <c r="EY1266" s="885"/>
      <c r="EZ1266" s="885"/>
      <c r="FA1266" s="885"/>
      <c r="FB1266" s="885"/>
      <c r="FC1266" s="885"/>
      <c r="FD1266" s="885"/>
      <c r="FE1266" s="885"/>
      <c r="FF1266" s="885"/>
      <c r="FG1266" s="885"/>
      <c r="FH1266" s="885"/>
      <c r="FI1266" s="885"/>
      <c r="FJ1266" s="885"/>
      <c r="FK1266" s="885"/>
      <c r="FL1266" s="885"/>
      <c r="FM1266" s="885"/>
      <c r="FN1266" s="885"/>
      <c r="FO1266" s="885"/>
      <c r="FP1266" s="885"/>
      <c r="FQ1266" s="885"/>
      <c r="FR1266" s="885"/>
      <c r="FS1266" s="885"/>
      <c r="FT1266" s="885"/>
      <c r="FU1266" s="885"/>
      <c r="FV1266" s="885"/>
      <c r="FW1266" s="885"/>
      <c r="FX1266" s="885"/>
      <c r="FY1266" s="885"/>
      <c r="FZ1266" s="885"/>
      <c r="GA1266" s="885"/>
      <c r="GB1266" s="885"/>
      <c r="GC1266" s="885"/>
      <c r="GD1266" s="885"/>
      <c r="GE1266" s="885"/>
      <c r="GF1266" s="885"/>
      <c r="GG1266" s="885"/>
      <c r="GH1266" s="885"/>
      <c r="GI1266" s="885"/>
      <c r="GJ1266" s="885"/>
      <c r="GK1266" s="885"/>
      <c r="GL1266" s="885"/>
      <c r="GM1266" s="885"/>
      <c r="GN1266" s="885"/>
      <c r="GO1266" s="885"/>
      <c r="GP1266" s="885"/>
      <c r="GQ1266" s="885"/>
      <c r="GR1266" s="885"/>
      <c r="GS1266" s="885"/>
      <c r="GT1266" s="885"/>
      <c r="GU1266" s="885"/>
      <c r="GV1266" s="885"/>
      <c r="GW1266" s="885"/>
      <c r="GX1266" s="885"/>
      <c r="GY1266" s="885"/>
      <c r="GZ1266" s="885"/>
      <c r="HA1266" s="885"/>
      <c r="HB1266" s="885"/>
      <c r="HC1266" s="885"/>
      <c r="HD1266" s="885"/>
      <c r="HE1266" s="885"/>
      <c r="HF1266" s="885"/>
      <c r="HG1266" s="885"/>
      <c r="HH1266" s="885"/>
      <c r="HI1266" s="885"/>
      <c r="HJ1266" s="885"/>
      <c r="HK1266" s="885"/>
      <c r="HL1266" s="885"/>
      <c r="HM1266" s="885"/>
      <c r="HN1266" s="885"/>
      <c r="HO1266" s="885"/>
      <c r="HP1266" s="885"/>
      <c r="HQ1266" s="885"/>
      <c r="HR1266" s="885"/>
      <c r="HS1266" s="885"/>
      <c r="HT1266" s="885"/>
      <c r="HU1266" s="885"/>
      <c r="HV1266" s="885"/>
      <c r="HW1266" s="885"/>
      <c r="HX1266" s="885"/>
      <c r="HY1266" s="885"/>
      <c r="HZ1266" s="885"/>
      <c r="IA1266" s="885"/>
      <c r="IB1266" s="885"/>
      <c r="IC1266" s="885"/>
      <c r="ID1266" s="885"/>
      <c r="IE1266" s="885"/>
      <c r="IF1266" s="885"/>
      <c r="IG1266" s="885"/>
      <c r="IH1266" s="885"/>
      <c r="II1266" s="885"/>
      <c r="IJ1266" s="885"/>
      <c r="IK1266" s="885"/>
      <c r="IL1266" s="885"/>
      <c r="IM1266" s="885"/>
      <c r="IN1266" s="885"/>
      <c r="IO1266" s="885"/>
      <c r="IP1266" s="885"/>
      <c r="IQ1266" s="885"/>
      <c r="IR1266" s="885"/>
      <c r="IS1266" s="885"/>
      <c r="IT1266" s="885"/>
      <c r="IU1266" s="885"/>
      <c r="IV1266" s="885"/>
      <c r="IW1266" s="885"/>
      <c r="IX1266" s="885"/>
    </row>
    <row r="1267" spans="1:258" x14ac:dyDescent="0.25">
      <c r="A1267" s="125">
        <f t="shared" si="134"/>
        <v>1227</v>
      </c>
      <c r="B1267" s="885"/>
      <c r="C1267" s="842" t="s">
        <v>10798</v>
      </c>
      <c r="D1267" s="924">
        <v>0</v>
      </c>
      <c r="E1267" s="924">
        <f t="shared" si="133"/>
        <v>0</v>
      </c>
      <c r="F1267" s="129">
        <v>500</v>
      </c>
      <c r="G1267" s="122" t="s">
        <v>1963</v>
      </c>
      <c r="H1267" s="885"/>
      <c r="I1267" s="885"/>
      <c r="J1267" s="885"/>
      <c r="K1267" s="885"/>
      <c r="L1267" s="885"/>
      <c r="M1267" s="885"/>
      <c r="N1267" s="885"/>
      <c r="O1267" s="885"/>
      <c r="P1267" s="885"/>
      <c r="Q1267" s="885"/>
      <c r="R1267" s="885"/>
      <c r="S1267" s="885"/>
      <c r="T1267" s="885"/>
      <c r="U1267" s="885"/>
      <c r="V1267" s="885"/>
      <c r="W1267" s="885"/>
      <c r="X1267" s="885"/>
      <c r="Y1267" s="885"/>
      <c r="Z1267" s="885"/>
      <c r="AA1267" s="885"/>
      <c r="AB1267" s="885"/>
      <c r="AC1267" s="885"/>
      <c r="AD1267" s="885"/>
      <c r="AE1267" s="885"/>
      <c r="AF1267" s="885"/>
      <c r="AG1267" s="885"/>
      <c r="AH1267" s="885"/>
      <c r="AI1267" s="885"/>
      <c r="AJ1267" s="885"/>
      <c r="AK1267" s="885"/>
      <c r="AL1267" s="885"/>
      <c r="AM1267" s="885"/>
      <c r="AN1267" s="885"/>
      <c r="AO1267" s="885"/>
      <c r="AP1267" s="885"/>
      <c r="AQ1267" s="885"/>
      <c r="AR1267" s="885"/>
      <c r="AS1267" s="885"/>
      <c r="AT1267" s="885"/>
      <c r="AU1267" s="885"/>
      <c r="AV1267" s="885"/>
      <c r="AW1267" s="885"/>
      <c r="AX1267" s="885"/>
      <c r="AY1267" s="885"/>
      <c r="AZ1267" s="885"/>
      <c r="BA1267" s="885"/>
      <c r="BB1267" s="885"/>
      <c r="BC1267" s="885"/>
      <c r="BD1267" s="885"/>
      <c r="BE1267" s="885"/>
      <c r="BF1267" s="885"/>
      <c r="BG1267" s="885"/>
      <c r="BH1267" s="885"/>
      <c r="BI1267" s="885"/>
      <c r="BJ1267" s="885"/>
      <c r="BK1267" s="885"/>
      <c r="BL1267" s="885"/>
      <c r="BM1267" s="885"/>
      <c r="BN1267" s="885"/>
      <c r="BO1267" s="885"/>
      <c r="BP1267" s="885"/>
      <c r="BQ1267" s="885"/>
      <c r="BR1267" s="885"/>
      <c r="BS1267" s="885"/>
      <c r="BT1267" s="885"/>
      <c r="BU1267" s="885"/>
      <c r="BV1267" s="885"/>
      <c r="BW1267" s="885"/>
      <c r="BX1267" s="885"/>
      <c r="BY1267" s="885"/>
      <c r="BZ1267" s="885"/>
      <c r="CA1267" s="885"/>
      <c r="CB1267" s="885"/>
      <c r="CC1267" s="885"/>
      <c r="CD1267" s="885"/>
      <c r="CE1267" s="885"/>
      <c r="CF1267" s="885"/>
      <c r="CG1267" s="885"/>
      <c r="CH1267" s="885"/>
      <c r="CI1267" s="885"/>
      <c r="CJ1267" s="885"/>
      <c r="CK1267" s="885"/>
      <c r="CL1267" s="885"/>
      <c r="CM1267" s="885"/>
      <c r="CN1267" s="885"/>
      <c r="CO1267" s="885"/>
      <c r="CP1267" s="885"/>
      <c r="CQ1267" s="885"/>
      <c r="CR1267" s="885"/>
      <c r="CS1267" s="885"/>
      <c r="CT1267" s="885"/>
      <c r="CU1267" s="885"/>
      <c r="CV1267" s="885"/>
      <c r="CW1267" s="885"/>
      <c r="CX1267" s="885"/>
      <c r="CY1267" s="885"/>
      <c r="CZ1267" s="885"/>
      <c r="DA1267" s="885"/>
      <c r="DB1267" s="885"/>
      <c r="DC1267" s="885"/>
      <c r="DD1267" s="885"/>
      <c r="DE1267" s="885"/>
      <c r="DF1267" s="885"/>
      <c r="DG1267" s="885"/>
      <c r="DH1267" s="885"/>
      <c r="DI1267" s="885"/>
      <c r="DJ1267" s="885"/>
      <c r="DK1267" s="885"/>
      <c r="DL1267" s="885"/>
      <c r="DM1267" s="885"/>
      <c r="DN1267" s="885"/>
      <c r="DO1267" s="885"/>
      <c r="DP1267" s="885"/>
      <c r="DQ1267" s="885"/>
      <c r="DR1267" s="885"/>
      <c r="DS1267" s="885"/>
      <c r="DT1267" s="885"/>
      <c r="DU1267" s="885"/>
      <c r="DV1267" s="885"/>
      <c r="DW1267" s="885"/>
      <c r="DX1267" s="885"/>
      <c r="DY1267" s="885"/>
      <c r="DZ1267" s="885"/>
      <c r="EA1267" s="885"/>
      <c r="EB1267" s="885"/>
      <c r="EC1267" s="885"/>
      <c r="ED1267" s="885"/>
      <c r="EE1267" s="885"/>
      <c r="EF1267" s="885"/>
      <c r="EG1267" s="885"/>
      <c r="EH1267" s="885"/>
      <c r="EI1267" s="885"/>
      <c r="EJ1267" s="885"/>
      <c r="EK1267" s="885"/>
      <c r="EL1267" s="885"/>
      <c r="EM1267" s="885"/>
      <c r="EN1267" s="885"/>
      <c r="EO1267" s="885"/>
      <c r="EP1267" s="885"/>
      <c r="EQ1267" s="885"/>
      <c r="ER1267" s="885"/>
      <c r="ES1267" s="885"/>
      <c r="ET1267" s="885"/>
      <c r="EU1267" s="885"/>
      <c r="EV1267" s="885"/>
      <c r="EW1267" s="885"/>
      <c r="EX1267" s="885"/>
      <c r="EY1267" s="885"/>
      <c r="EZ1267" s="885"/>
      <c r="FA1267" s="885"/>
      <c r="FB1267" s="885"/>
      <c r="FC1267" s="885"/>
      <c r="FD1267" s="885"/>
      <c r="FE1267" s="885"/>
      <c r="FF1267" s="885"/>
      <c r="FG1267" s="885"/>
      <c r="FH1267" s="885"/>
      <c r="FI1267" s="885"/>
      <c r="FJ1267" s="885"/>
      <c r="FK1267" s="885"/>
      <c r="FL1267" s="885"/>
      <c r="FM1267" s="885"/>
      <c r="FN1267" s="885"/>
      <c r="FO1267" s="885"/>
      <c r="FP1267" s="885"/>
      <c r="FQ1267" s="885"/>
      <c r="FR1267" s="885"/>
      <c r="FS1267" s="885"/>
      <c r="FT1267" s="885"/>
      <c r="FU1267" s="885"/>
      <c r="FV1267" s="885"/>
      <c r="FW1267" s="885"/>
      <c r="FX1267" s="885"/>
      <c r="FY1267" s="885"/>
      <c r="FZ1267" s="885"/>
      <c r="GA1267" s="885"/>
      <c r="GB1267" s="885"/>
      <c r="GC1267" s="885"/>
      <c r="GD1267" s="885"/>
      <c r="GE1267" s="885"/>
      <c r="GF1267" s="885"/>
      <c r="GG1267" s="885"/>
      <c r="GH1267" s="885"/>
      <c r="GI1267" s="885"/>
      <c r="GJ1267" s="885"/>
      <c r="GK1267" s="885"/>
      <c r="GL1267" s="885"/>
      <c r="GM1267" s="885"/>
      <c r="GN1267" s="885"/>
      <c r="GO1267" s="885"/>
      <c r="GP1267" s="885"/>
      <c r="GQ1267" s="885"/>
      <c r="GR1267" s="885"/>
      <c r="GS1267" s="885"/>
      <c r="GT1267" s="885"/>
      <c r="GU1267" s="885"/>
      <c r="GV1267" s="885"/>
      <c r="GW1267" s="885"/>
      <c r="GX1267" s="885"/>
      <c r="GY1267" s="885"/>
      <c r="GZ1267" s="885"/>
      <c r="HA1267" s="885"/>
      <c r="HB1267" s="885"/>
      <c r="HC1267" s="885"/>
      <c r="HD1267" s="885"/>
      <c r="HE1267" s="885"/>
      <c r="HF1267" s="885"/>
      <c r="HG1267" s="885"/>
      <c r="HH1267" s="885"/>
      <c r="HI1267" s="885"/>
      <c r="HJ1267" s="885"/>
      <c r="HK1267" s="885"/>
      <c r="HL1267" s="885"/>
      <c r="HM1267" s="885"/>
      <c r="HN1267" s="885"/>
      <c r="HO1267" s="885"/>
      <c r="HP1267" s="885"/>
      <c r="HQ1267" s="885"/>
      <c r="HR1267" s="885"/>
      <c r="HS1267" s="885"/>
      <c r="HT1267" s="885"/>
      <c r="HU1267" s="885"/>
      <c r="HV1267" s="885"/>
      <c r="HW1267" s="885"/>
      <c r="HX1267" s="885"/>
      <c r="HY1267" s="885"/>
      <c r="HZ1267" s="885"/>
      <c r="IA1267" s="885"/>
      <c r="IB1267" s="885"/>
      <c r="IC1267" s="885"/>
      <c r="ID1267" s="885"/>
      <c r="IE1267" s="885"/>
      <c r="IF1267" s="885"/>
      <c r="IG1267" s="885"/>
      <c r="IH1267" s="885"/>
      <c r="II1267" s="885"/>
      <c r="IJ1267" s="885"/>
      <c r="IK1267" s="885"/>
      <c r="IL1267" s="885"/>
      <c r="IM1267" s="885"/>
      <c r="IN1267" s="885"/>
      <c r="IO1267" s="885"/>
      <c r="IP1267" s="885"/>
      <c r="IQ1267" s="885"/>
      <c r="IR1267" s="885"/>
      <c r="IS1267" s="885"/>
      <c r="IT1267" s="885"/>
      <c r="IU1267" s="885"/>
      <c r="IV1267" s="885"/>
      <c r="IW1267" s="885"/>
      <c r="IX1267" s="885"/>
    </row>
    <row r="1268" spans="1:258" x14ac:dyDescent="0.25">
      <c r="A1268" s="125">
        <f t="shared" si="134"/>
        <v>1228</v>
      </c>
      <c r="B1268" s="885"/>
      <c r="C1268" s="927" t="s">
        <v>10799</v>
      </c>
      <c r="D1268" s="928"/>
      <c r="E1268" s="928"/>
      <c r="F1268" s="129"/>
      <c r="H1268" s="885"/>
      <c r="I1268" s="885"/>
      <c r="J1268" s="885"/>
      <c r="K1268" s="885"/>
      <c r="L1268" s="885"/>
      <c r="M1268" s="885"/>
      <c r="N1268" s="885"/>
      <c r="O1268" s="885"/>
      <c r="P1268" s="885"/>
      <c r="Q1268" s="885"/>
      <c r="R1268" s="885"/>
      <c r="S1268" s="885"/>
      <c r="T1268" s="885"/>
      <c r="U1268" s="885"/>
      <c r="V1268" s="885"/>
      <c r="W1268" s="885"/>
      <c r="X1268" s="885"/>
      <c r="Y1268" s="885"/>
      <c r="Z1268" s="885"/>
      <c r="AA1268" s="885"/>
      <c r="AB1268" s="885"/>
      <c r="AC1268" s="885"/>
      <c r="AD1268" s="885"/>
      <c r="AE1268" s="885"/>
      <c r="AF1268" s="885"/>
      <c r="AG1268" s="885"/>
      <c r="AH1268" s="885"/>
      <c r="AI1268" s="885"/>
      <c r="AJ1268" s="885"/>
      <c r="AK1268" s="885"/>
      <c r="AL1268" s="885"/>
      <c r="AM1268" s="885"/>
      <c r="AN1268" s="885"/>
      <c r="AO1268" s="885"/>
      <c r="AP1268" s="885"/>
      <c r="AQ1268" s="885"/>
      <c r="AR1268" s="885"/>
      <c r="AS1268" s="885"/>
      <c r="AT1268" s="885"/>
      <c r="AU1268" s="885"/>
      <c r="AV1268" s="885"/>
      <c r="AW1268" s="885"/>
      <c r="AX1268" s="885"/>
      <c r="AY1268" s="885"/>
      <c r="AZ1268" s="885"/>
      <c r="BA1268" s="885"/>
      <c r="BB1268" s="885"/>
      <c r="BC1268" s="885"/>
      <c r="BD1268" s="885"/>
      <c r="BE1268" s="885"/>
      <c r="BF1268" s="885"/>
      <c r="BG1268" s="885"/>
      <c r="BH1268" s="885"/>
      <c r="BI1268" s="885"/>
      <c r="BJ1268" s="885"/>
      <c r="BK1268" s="885"/>
      <c r="BL1268" s="885"/>
      <c r="BM1268" s="885"/>
      <c r="BN1268" s="885"/>
      <c r="BO1268" s="885"/>
      <c r="BP1268" s="885"/>
      <c r="BQ1268" s="885"/>
      <c r="BR1268" s="885"/>
      <c r="BS1268" s="885"/>
      <c r="BT1268" s="885"/>
      <c r="BU1268" s="885"/>
      <c r="BV1268" s="885"/>
      <c r="BW1268" s="885"/>
      <c r="BX1268" s="885"/>
      <c r="BY1268" s="885"/>
      <c r="BZ1268" s="885"/>
      <c r="CA1268" s="885"/>
      <c r="CB1268" s="885"/>
      <c r="CC1268" s="885"/>
      <c r="CD1268" s="885"/>
      <c r="CE1268" s="885"/>
      <c r="CF1268" s="885"/>
      <c r="CG1268" s="885"/>
      <c r="CH1268" s="885"/>
      <c r="CI1268" s="885"/>
      <c r="CJ1268" s="885"/>
      <c r="CK1268" s="885"/>
      <c r="CL1268" s="885"/>
      <c r="CM1268" s="885"/>
      <c r="CN1268" s="885"/>
      <c r="CO1268" s="885"/>
      <c r="CP1268" s="885"/>
      <c r="CQ1268" s="885"/>
      <c r="CR1268" s="885"/>
      <c r="CS1268" s="885"/>
      <c r="CT1268" s="885"/>
      <c r="CU1268" s="885"/>
      <c r="CV1268" s="885"/>
      <c r="CW1268" s="885"/>
      <c r="CX1268" s="885"/>
      <c r="CY1268" s="885"/>
      <c r="CZ1268" s="885"/>
      <c r="DA1268" s="885"/>
      <c r="DB1268" s="885"/>
      <c r="DC1268" s="885"/>
      <c r="DD1268" s="885"/>
      <c r="DE1268" s="885"/>
      <c r="DF1268" s="885"/>
      <c r="DG1268" s="885"/>
      <c r="DH1268" s="885"/>
      <c r="DI1268" s="885"/>
      <c r="DJ1268" s="885"/>
      <c r="DK1268" s="885"/>
      <c r="DL1268" s="885"/>
      <c r="DM1268" s="885"/>
      <c r="DN1268" s="885"/>
      <c r="DO1268" s="885"/>
      <c r="DP1268" s="885"/>
      <c r="DQ1268" s="885"/>
      <c r="DR1268" s="885"/>
      <c r="DS1268" s="885"/>
      <c r="DT1268" s="885"/>
      <c r="DU1268" s="885"/>
      <c r="DV1268" s="885"/>
      <c r="DW1268" s="885"/>
      <c r="DX1268" s="885"/>
      <c r="DY1268" s="885"/>
      <c r="DZ1268" s="885"/>
      <c r="EA1268" s="885"/>
      <c r="EB1268" s="885"/>
      <c r="EC1268" s="885"/>
      <c r="ED1268" s="885"/>
      <c r="EE1268" s="885"/>
      <c r="EF1268" s="885"/>
      <c r="EG1268" s="885"/>
      <c r="EH1268" s="885"/>
      <c r="EI1268" s="885"/>
      <c r="EJ1268" s="885"/>
      <c r="EK1268" s="885"/>
      <c r="EL1268" s="885"/>
      <c r="EM1268" s="885"/>
      <c r="EN1268" s="885"/>
      <c r="EO1268" s="885"/>
      <c r="EP1268" s="885"/>
      <c r="EQ1268" s="885"/>
      <c r="ER1268" s="885"/>
      <c r="ES1268" s="885"/>
      <c r="ET1268" s="885"/>
      <c r="EU1268" s="885"/>
      <c r="EV1268" s="885"/>
      <c r="EW1268" s="885"/>
      <c r="EX1268" s="885"/>
      <c r="EY1268" s="885"/>
      <c r="EZ1268" s="885"/>
      <c r="FA1268" s="885"/>
      <c r="FB1268" s="885"/>
      <c r="FC1268" s="885"/>
      <c r="FD1268" s="885"/>
      <c r="FE1268" s="885"/>
      <c r="FF1268" s="885"/>
      <c r="FG1268" s="885"/>
      <c r="FH1268" s="885"/>
      <c r="FI1268" s="885"/>
      <c r="FJ1268" s="885"/>
      <c r="FK1268" s="885"/>
      <c r="FL1268" s="885"/>
      <c r="FM1268" s="885"/>
      <c r="FN1268" s="885"/>
      <c r="FO1268" s="885"/>
      <c r="FP1268" s="885"/>
      <c r="FQ1268" s="885"/>
      <c r="FR1268" s="885"/>
      <c r="FS1268" s="885"/>
      <c r="FT1268" s="885"/>
      <c r="FU1268" s="885"/>
      <c r="FV1268" s="885"/>
      <c r="FW1268" s="885"/>
      <c r="FX1268" s="885"/>
      <c r="FY1268" s="885"/>
      <c r="FZ1268" s="885"/>
      <c r="GA1268" s="885"/>
      <c r="GB1268" s="885"/>
      <c r="GC1268" s="885"/>
      <c r="GD1268" s="885"/>
      <c r="GE1268" s="885"/>
      <c r="GF1268" s="885"/>
      <c r="GG1268" s="885"/>
      <c r="GH1268" s="885"/>
      <c r="GI1268" s="885"/>
      <c r="GJ1268" s="885"/>
      <c r="GK1268" s="885"/>
      <c r="GL1268" s="885"/>
      <c r="GM1268" s="885"/>
      <c r="GN1268" s="885"/>
      <c r="GO1268" s="885"/>
      <c r="GP1268" s="885"/>
      <c r="GQ1268" s="885"/>
      <c r="GR1268" s="885"/>
      <c r="GS1268" s="885"/>
      <c r="GT1268" s="885"/>
      <c r="GU1268" s="885"/>
      <c r="GV1268" s="885"/>
      <c r="GW1268" s="885"/>
      <c r="GX1268" s="885"/>
      <c r="GY1268" s="885"/>
      <c r="GZ1268" s="885"/>
      <c r="HA1268" s="885"/>
      <c r="HB1268" s="885"/>
      <c r="HC1268" s="885"/>
      <c r="HD1268" s="885"/>
      <c r="HE1268" s="885"/>
      <c r="HF1268" s="885"/>
      <c r="HG1268" s="885"/>
      <c r="HH1268" s="885"/>
      <c r="HI1268" s="885"/>
      <c r="HJ1268" s="885"/>
      <c r="HK1268" s="885"/>
      <c r="HL1268" s="885"/>
      <c r="HM1268" s="885"/>
      <c r="HN1268" s="885"/>
      <c r="HO1268" s="885"/>
      <c r="HP1268" s="885"/>
      <c r="HQ1268" s="885"/>
      <c r="HR1268" s="885"/>
      <c r="HS1268" s="885"/>
      <c r="HT1268" s="885"/>
      <c r="HU1268" s="885"/>
      <c r="HV1268" s="885"/>
      <c r="HW1268" s="885"/>
      <c r="HX1268" s="885"/>
      <c r="HY1268" s="885"/>
      <c r="HZ1268" s="885"/>
      <c r="IA1268" s="885"/>
      <c r="IB1268" s="885"/>
      <c r="IC1268" s="885"/>
      <c r="ID1268" s="885"/>
      <c r="IE1268" s="885"/>
      <c r="IF1268" s="885"/>
      <c r="IG1268" s="885"/>
      <c r="IH1268" s="885"/>
      <c r="II1268" s="885"/>
      <c r="IJ1268" s="885"/>
      <c r="IK1268" s="885"/>
      <c r="IL1268" s="885"/>
      <c r="IM1268" s="885"/>
      <c r="IN1268" s="885"/>
      <c r="IO1268" s="885"/>
      <c r="IP1268" s="885"/>
      <c r="IQ1268" s="885"/>
      <c r="IR1268" s="885"/>
      <c r="IS1268" s="885"/>
      <c r="IT1268" s="885"/>
      <c r="IU1268" s="885"/>
      <c r="IV1268" s="885"/>
      <c r="IW1268" s="885"/>
      <c r="IX1268" s="885"/>
    </row>
    <row r="1269" spans="1:258" x14ac:dyDescent="0.25">
      <c r="A1269" s="125">
        <f t="shared" si="134"/>
        <v>1229</v>
      </c>
      <c r="B1269" s="885"/>
      <c r="C1269" s="842" t="s">
        <v>10802</v>
      </c>
      <c r="D1269" s="924">
        <v>0</v>
      </c>
      <c r="E1269" s="924">
        <f t="shared" ref="E1269" si="136">D1269/8*12</f>
        <v>0</v>
      </c>
      <c r="F1269" s="129">
        <v>1000</v>
      </c>
      <c r="G1269" s="122" t="s">
        <v>1963</v>
      </c>
      <c r="H1269" s="885"/>
      <c r="I1269" s="885"/>
      <c r="J1269" s="885"/>
      <c r="K1269" s="885"/>
      <c r="L1269" s="885"/>
      <c r="M1269" s="885"/>
      <c r="N1269" s="885"/>
      <c r="O1269" s="885"/>
      <c r="P1269" s="885"/>
      <c r="Q1269" s="885"/>
      <c r="R1269" s="885"/>
      <c r="S1269" s="885"/>
      <c r="T1269" s="885"/>
      <c r="U1269" s="885"/>
      <c r="V1269" s="885"/>
      <c r="W1269" s="885"/>
      <c r="X1269" s="885"/>
      <c r="Y1269" s="885"/>
      <c r="Z1269" s="885"/>
      <c r="AA1269" s="885"/>
      <c r="AB1269" s="885"/>
      <c r="AC1269" s="885"/>
      <c r="AD1269" s="885"/>
      <c r="AE1269" s="885"/>
      <c r="AF1269" s="885"/>
      <c r="AG1269" s="885"/>
      <c r="AH1269" s="885"/>
      <c r="AI1269" s="885"/>
      <c r="AJ1269" s="885"/>
      <c r="AK1269" s="885"/>
      <c r="AL1269" s="885"/>
      <c r="AM1269" s="885"/>
      <c r="AN1269" s="885"/>
      <c r="AO1269" s="885"/>
      <c r="AP1269" s="885"/>
      <c r="AQ1269" s="885"/>
      <c r="AR1269" s="885"/>
      <c r="AS1269" s="885"/>
      <c r="AT1269" s="885"/>
      <c r="AU1269" s="885"/>
      <c r="AV1269" s="885"/>
      <c r="AW1269" s="885"/>
      <c r="AX1269" s="885"/>
      <c r="AY1269" s="885"/>
      <c r="AZ1269" s="885"/>
      <c r="BA1269" s="885"/>
      <c r="BB1269" s="885"/>
      <c r="BC1269" s="885"/>
      <c r="BD1269" s="885"/>
      <c r="BE1269" s="885"/>
      <c r="BF1269" s="885"/>
      <c r="BG1269" s="885"/>
      <c r="BH1269" s="885"/>
      <c r="BI1269" s="885"/>
      <c r="BJ1269" s="885"/>
      <c r="BK1269" s="885"/>
      <c r="BL1269" s="885"/>
      <c r="BM1269" s="885"/>
      <c r="BN1269" s="885"/>
      <c r="BO1269" s="885"/>
      <c r="BP1269" s="885"/>
      <c r="BQ1269" s="885"/>
      <c r="BR1269" s="885"/>
      <c r="BS1269" s="885"/>
      <c r="BT1269" s="885"/>
      <c r="BU1269" s="885"/>
      <c r="BV1269" s="885"/>
      <c r="BW1269" s="885"/>
      <c r="BX1269" s="885"/>
      <c r="BY1269" s="885"/>
      <c r="BZ1269" s="885"/>
      <c r="CA1269" s="885"/>
      <c r="CB1269" s="885"/>
      <c r="CC1269" s="885"/>
      <c r="CD1269" s="885"/>
      <c r="CE1269" s="885"/>
      <c r="CF1269" s="885"/>
      <c r="CG1269" s="885"/>
      <c r="CH1269" s="885"/>
      <c r="CI1269" s="885"/>
      <c r="CJ1269" s="885"/>
      <c r="CK1269" s="885"/>
      <c r="CL1269" s="885"/>
      <c r="CM1269" s="885"/>
      <c r="CN1269" s="885"/>
      <c r="CO1269" s="885"/>
      <c r="CP1269" s="885"/>
      <c r="CQ1269" s="885"/>
      <c r="CR1269" s="885"/>
      <c r="CS1269" s="885"/>
      <c r="CT1269" s="885"/>
      <c r="CU1269" s="885"/>
      <c r="CV1269" s="885"/>
      <c r="CW1269" s="885"/>
      <c r="CX1269" s="885"/>
      <c r="CY1269" s="885"/>
      <c r="CZ1269" s="885"/>
      <c r="DA1269" s="885"/>
      <c r="DB1269" s="885"/>
      <c r="DC1269" s="885"/>
      <c r="DD1269" s="885"/>
      <c r="DE1269" s="885"/>
      <c r="DF1269" s="885"/>
      <c r="DG1269" s="885"/>
      <c r="DH1269" s="885"/>
      <c r="DI1269" s="885"/>
      <c r="DJ1269" s="885"/>
      <c r="DK1269" s="885"/>
      <c r="DL1269" s="885"/>
      <c r="DM1269" s="885"/>
      <c r="DN1269" s="885"/>
      <c r="DO1269" s="885"/>
      <c r="DP1269" s="885"/>
      <c r="DQ1269" s="885"/>
      <c r="DR1269" s="885"/>
      <c r="DS1269" s="885"/>
      <c r="DT1269" s="885"/>
      <c r="DU1269" s="885"/>
      <c r="DV1269" s="885"/>
      <c r="DW1269" s="885"/>
      <c r="DX1269" s="885"/>
      <c r="DY1269" s="885"/>
      <c r="DZ1269" s="885"/>
      <c r="EA1269" s="885"/>
      <c r="EB1269" s="885"/>
      <c r="EC1269" s="885"/>
      <c r="ED1269" s="885"/>
      <c r="EE1269" s="885"/>
      <c r="EF1269" s="885"/>
      <c r="EG1269" s="885"/>
      <c r="EH1269" s="885"/>
      <c r="EI1269" s="885"/>
      <c r="EJ1269" s="885"/>
      <c r="EK1269" s="885"/>
      <c r="EL1269" s="885"/>
      <c r="EM1269" s="885"/>
      <c r="EN1269" s="885"/>
      <c r="EO1269" s="885"/>
      <c r="EP1269" s="885"/>
      <c r="EQ1269" s="885"/>
      <c r="ER1269" s="885"/>
      <c r="ES1269" s="885"/>
      <c r="ET1269" s="885"/>
      <c r="EU1269" s="885"/>
      <c r="EV1269" s="885"/>
      <c r="EW1269" s="885"/>
      <c r="EX1269" s="885"/>
      <c r="EY1269" s="885"/>
      <c r="EZ1269" s="885"/>
      <c r="FA1269" s="885"/>
      <c r="FB1269" s="885"/>
      <c r="FC1269" s="885"/>
      <c r="FD1269" s="885"/>
      <c r="FE1269" s="885"/>
      <c r="FF1269" s="885"/>
      <c r="FG1269" s="885"/>
      <c r="FH1269" s="885"/>
      <c r="FI1269" s="885"/>
      <c r="FJ1269" s="885"/>
      <c r="FK1269" s="885"/>
      <c r="FL1269" s="885"/>
      <c r="FM1269" s="885"/>
      <c r="FN1269" s="885"/>
      <c r="FO1269" s="885"/>
      <c r="FP1269" s="885"/>
      <c r="FQ1269" s="885"/>
      <c r="FR1269" s="885"/>
      <c r="FS1269" s="885"/>
      <c r="FT1269" s="885"/>
      <c r="FU1269" s="885"/>
      <c r="FV1269" s="885"/>
      <c r="FW1269" s="885"/>
      <c r="FX1269" s="885"/>
      <c r="FY1269" s="885"/>
      <c r="FZ1269" s="885"/>
      <c r="GA1269" s="885"/>
      <c r="GB1269" s="885"/>
      <c r="GC1269" s="885"/>
      <c r="GD1269" s="885"/>
      <c r="GE1269" s="885"/>
      <c r="GF1269" s="885"/>
      <c r="GG1269" s="885"/>
      <c r="GH1269" s="885"/>
      <c r="GI1269" s="885"/>
      <c r="GJ1269" s="885"/>
      <c r="GK1269" s="885"/>
      <c r="GL1269" s="885"/>
      <c r="GM1269" s="885"/>
      <c r="GN1269" s="885"/>
      <c r="GO1269" s="885"/>
      <c r="GP1269" s="885"/>
      <c r="GQ1269" s="885"/>
      <c r="GR1269" s="885"/>
      <c r="GS1269" s="885"/>
      <c r="GT1269" s="885"/>
      <c r="GU1269" s="885"/>
      <c r="GV1269" s="885"/>
      <c r="GW1269" s="885"/>
      <c r="GX1269" s="885"/>
      <c r="GY1269" s="885"/>
      <c r="GZ1269" s="885"/>
      <c r="HA1269" s="885"/>
      <c r="HB1269" s="885"/>
      <c r="HC1269" s="885"/>
      <c r="HD1269" s="885"/>
      <c r="HE1269" s="885"/>
      <c r="HF1269" s="885"/>
      <c r="HG1269" s="885"/>
      <c r="HH1269" s="885"/>
      <c r="HI1269" s="885"/>
      <c r="HJ1269" s="885"/>
      <c r="HK1269" s="885"/>
      <c r="HL1269" s="885"/>
      <c r="HM1269" s="885"/>
      <c r="HN1269" s="885"/>
      <c r="HO1269" s="885"/>
      <c r="HP1269" s="885"/>
      <c r="HQ1269" s="885"/>
      <c r="HR1269" s="885"/>
      <c r="HS1269" s="885"/>
      <c r="HT1269" s="885"/>
      <c r="HU1269" s="885"/>
      <c r="HV1269" s="885"/>
      <c r="HW1269" s="885"/>
      <c r="HX1269" s="885"/>
      <c r="HY1269" s="885"/>
      <c r="HZ1269" s="885"/>
      <c r="IA1269" s="885"/>
      <c r="IB1269" s="885"/>
      <c r="IC1269" s="885"/>
      <c r="ID1269" s="885"/>
      <c r="IE1269" s="885"/>
      <c r="IF1269" s="885"/>
      <c r="IG1269" s="885"/>
      <c r="IH1269" s="885"/>
      <c r="II1269" s="885"/>
      <c r="IJ1269" s="885"/>
      <c r="IK1269" s="885"/>
      <c r="IL1269" s="885"/>
      <c r="IM1269" s="885"/>
      <c r="IN1269" s="885"/>
      <c r="IO1269" s="885"/>
      <c r="IP1269" s="885"/>
      <c r="IQ1269" s="885"/>
      <c r="IR1269" s="885"/>
      <c r="IS1269" s="885"/>
      <c r="IT1269" s="885"/>
      <c r="IU1269" s="885"/>
      <c r="IV1269" s="885"/>
      <c r="IW1269" s="885"/>
      <c r="IX1269" s="885"/>
    </row>
    <row r="1270" spans="1:258" x14ac:dyDescent="0.25">
      <c r="A1270" s="125">
        <f t="shared" si="134"/>
        <v>1230</v>
      </c>
      <c r="B1270" s="885"/>
      <c r="C1270" s="842" t="s">
        <v>10803</v>
      </c>
      <c r="D1270" s="924">
        <v>0</v>
      </c>
      <c r="E1270" s="924">
        <f t="shared" ref="E1270" si="137">D1270/8*12</f>
        <v>0</v>
      </c>
      <c r="F1270" s="129">
        <v>1000</v>
      </c>
      <c r="G1270" s="122" t="s">
        <v>1963</v>
      </c>
      <c r="H1270" s="885"/>
      <c r="I1270" s="885"/>
      <c r="J1270" s="885"/>
      <c r="K1270" s="885"/>
      <c r="L1270" s="885"/>
      <c r="M1270" s="885"/>
      <c r="N1270" s="885"/>
      <c r="O1270" s="885"/>
      <c r="P1270" s="885"/>
      <c r="Q1270" s="885"/>
      <c r="R1270" s="885"/>
      <c r="S1270" s="885"/>
      <c r="T1270" s="885"/>
      <c r="U1270" s="885"/>
      <c r="V1270" s="885"/>
      <c r="W1270" s="885"/>
      <c r="X1270" s="885"/>
      <c r="Y1270" s="885"/>
      <c r="Z1270" s="885"/>
      <c r="AA1270" s="885"/>
      <c r="AB1270" s="885"/>
      <c r="AC1270" s="885"/>
      <c r="AD1270" s="885"/>
      <c r="AE1270" s="885"/>
      <c r="AF1270" s="885"/>
      <c r="AG1270" s="885"/>
      <c r="AH1270" s="885"/>
      <c r="AI1270" s="885"/>
      <c r="AJ1270" s="885"/>
      <c r="AK1270" s="885"/>
      <c r="AL1270" s="885"/>
      <c r="AM1270" s="885"/>
      <c r="AN1270" s="885"/>
      <c r="AO1270" s="885"/>
      <c r="AP1270" s="885"/>
      <c r="AQ1270" s="885"/>
      <c r="AR1270" s="885"/>
      <c r="AS1270" s="885"/>
      <c r="AT1270" s="885"/>
      <c r="AU1270" s="885"/>
      <c r="AV1270" s="885"/>
      <c r="AW1270" s="885"/>
      <c r="AX1270" s="885"/>
      <c r="AY1270" s="885"/>
      <c r="AZ1270" s="885"/>
      <c r="BA1270" s="885"/>
      <c r="BB1270" s="885"/>
      <c r="BC1270" s="885"/>
      <c r="BD1270" s="885"/>
      <c r="BE1270" s="885"/>
      <c r="BF1270" s="885"/>
      <c r="BG1270" s="885"/>
      <c r="BH1270" s="885"/>
      <c r="BI1270" s="885"/>
      <c r="BJ1270" s="885"/>
      <c r="BK1270" s="885"/>
      <c r="BL1270" s="885"/>
      <c r="BM1270" s="885"/>
      <c r="BN1270" s="885"/>
      <c r="BO1270" s="885"/>
      <c r="BP1270" s="885"/>
      <c r="BQ1270" s="885"/>
      <c r="BR1270" s="885"/>
      <c r="BS1270" s="885"/>
      <c r="BT1270" s="885"/>
      <c r="BU1270" s="885"/>
      <c r="BV1270" s="885"/>
      <c r="BW1270" s="885"/>
      <c r="BX1270" s="885"/>
      <c r="BY1270" s="885"/>
      <c r="BZ1270" s="885"/>
      <c r="CA1270" s="885"/>
      <c r="CB1270" s="885"/>
      <c r="CC1270" s="885"/>
      <c r="CD1270" s="885"/>
      <c r="CE1270" s="885"/>
      <c r="CF1270" s="885"/>
      <c r="CG1270" s="885"/>
      <c r="CH1270" s="885"/>
      <c r="CI1270" s="885"/>
      <c r="CJ1270" s="885"/>
      <c r="CK1270" s="885"/>
      <c r="CL1270" s="885"/>
      <c r="CM1270" s="885"/>
      <c r="CN1270" s="885"/>
      <c r="CO1270" s="885"/>
      <c r="CP1270" s="885"/>
      <c r="CQ1270" s="885"/>
      <c r="CR1270" s="885"/>
      <c r="CS1270" s="885"/>
      <c r="CT1270" s="885"/>
      <c r="CU1270" s="885"/>
      <c r="CV1270" s="885"/>
      <c r="CW1270" s="885"/>
      <c r="CX1270" s="885"/>
      <c r="CY1270" s="885"/>
      <c r="CZ1270" s="885"/>
      <c r="DA1270" s="885"/>
      <c r="DB1270" s="885"/>
      <c r="DC1270" s="885"/>
      <c r="DD1270" s="885"/>
      <c r="DE1270" s="885"/>
      <c r="DF1270" s="885"/>
      <c r="DG1270" s="885"/>
      <c r="DH1270" s="885"/>
      <c r="DI1270" s="885"/>
      <c r="DJ1270" s="885"/>
      <c r="DK1270" s="885"/>
      <c r="DL1270" s="885"/>
      <c r="DM1270" s="885"/>
      <c r="DN1270" s="885"/>
      <c r="DO1270" s="885"/>
      <c r="DP1270" s="885"/>
      <c r="DQ1270" s="885"/>
      <c r="DR1270" s="885"/>
      <c r="DS1270" s="885"/>
      <c r="DT1270" s="885"/>
      <c r="DU1270" s="885"/>
      <c r="DV1270" s="885"/>
      <c r="DW1270" s="885"/>
      <c r="DX1270" s="885"/>
      <c r="DY1270" s="885"/>
      <c r="DZ1270" s="885"/>
      <c r="EA1270" s="885"/>
      <c r="EB1270" s="885"/>
      <c r="EC1270" s="885"/>
      <c r="ED1270" s="885"/>
      <c r="EE1270" s="885"/>
      <c r="EF1270" s="885"/>
      <c r="EG1270" s="885"/>
      <c r="EH1270" s="885"/>
      <c r="EI1270" s="885"/>
      <c r="EJ1270" s="885"/>
      <c r="EK1270" s="885"/>
      <c r="EL1270" s="885"/>
      <c r="EM1270" s="885"/>
      <c r="EN1270" s="885"/>
      <c r="EO1270" s="885"/>
      <c r="EP1270" s="885"/>
      <c r="EQ1270" s="885"/>
      <c r="ER1270" s="885"/>
      <c r="ES1270" s="885"/>
      <c r="ET1270" s="885"/>
      <c r="EU1270" s="885"/>
      <c r="EV1270" s="885"/>
      <c r="EW1270" s="885"/>
      <c r="EX1270" s="885"/>
      <c r="EY1270" s="885"/>
      <c r="EZ1270" s="885"/>
      <c r="FA1270" s="885"/>
      <c r="FB1270" s="885"/>
      <c r="FC1270" s="885"/>
      <c r="FD1270" s="885"/>
      <c r="FE1270" s="885"/>
      <c r="FF1270" s="885"/>
      <c r="FG1270" s="885"/>
      <c r="FH1270" s="885"/>
      <c r="FI1270" s="885"/>
      <c r="FJ1270" s="885"/>
      <c r="FK1270" s="885"/>
      <c r="FL1270" s="885"/>
      <c r="FM1270" s="885"/>
      <c r="FN1270" s="885"/>
      <c r="FO1270" s="885"/>
      <c r="FP1270" s="885"/>
      <c r="FQ1270" s="885"/>
      <c r="FR1270" s="885"/>
      <c r="FS1270" s="885"/>
      <c r="FT1270" s="885"/>
      <c r="FU1270" s="885"/>
      <c r="FV1270" s="885"/>
      <c r="FW1270" s="885"/>
      <c r="FX1270" s="885"/>
      <c r="FY1270" s="885"/>
      <c r="FZ1270" s="885"/>
      <c r="GA1270" s="885"/>
      <c r="GB1270" s="885"/>
      <c r="GC1270" s="885"/>
      <c r="GD1270" s="885"/>
      <c r="GE1270" s="885"/>
      <c r="GF1270" s="885"/>
      <c r="GG1270" s="885"/>
      <c r="GH1270" s="885"/>
      <c r="GI1270" s="885"/>
      <c r="GJ1270" s="885"/>
      <c r="GK1270" s="885"/>
      <c r="GL1270" s="885"/>
      <c r="GM1270" s="885"/>
      <c r="GN1270" s="885"/>
      <c r="GO1270" s="885"/>
      <c r="GP1270" s="885"/>
      <c r="GQ1270" s="885"/>
      <c r="GR1270" s="885"/>
      <c r="GS1270" s="885"/>
      <c r="GT1270" s="885"/>
      <c r="GU1270" s="885"/>
      <c r="GV1270" s="885"/>
      <c r="GW1270" s="885"/>
      <c r="GX1270" s="885"/>
      <c r="GY1270" s="885"/>
      <c r="GZ1270" s="885"/>
      <c r="HA1270" s="885"/>
      <c r="HB1270" s="885"/>
      <c r="HC1270" s="885"/>
      <c r="HD1270" s="885"/>
      <c r="HE1270" s="885"/>
      <c r="HF1270" s="885"/>
      <c r="HG1270" s="885"/>
      <c r="HH1270" s="885"/>
      <c r="HI1270" s="885"/>
      <c r="HJ1270" s="885"/>
      <c r="HK1270" s="885"/>
      <c r="HL1270" s="885"/>
      <c r="HM1270" s="885"/>
      <c r="HN1270" s="885"/>
      <c r="HO1270" s="885"/>
      <c r="HP1270" s="885"/>
      <c r="HQ1270" s="885"/>
      <c r="HR1270" s="885"/>
      <c r="HS1270" s="885"/>
      <c r="HT1270" s="885"/>
      <c r="HU1270" s="885"/>
      <c r="HV1270" s="885"/>
      <c r="HW1270" s="885"/>
      <c r="HX1270" s="885"/>
      <c r="HY1270" s="885"/>
      <c r="HZ1270" s="885"/>
      <c r="IA1270" s="885"/>
      <c r="IB1270" s="885"/>
      <c r="IC1270" s="885"/>
      <c r="ID1270" s="885"/>
      <c r="IE1270" s="885"/>
      <c r="IF1270" s="885"/>
      <c r="IG1270" s="885"/>
      <c r="IH1270" s="885"/>
      <c r="II1270" s="885"/>
      <c r="IJ1270" s="885"/>
      <c r="IK1270" s="885"/>
      <c r="IL1270" s="885"/>
      <c r="IM1270" s="885"/>
      <c r="IN1270" s="885"/>
      <c r="IO1270" s="885"/>
      <c r="IP1270" s="885"/>
      <c r="IQ1270" s="885"/>
      <c r="IR1270" s="885"/>
      <c r="IS1270" s="885"/>
      <c r="IT1270" s="885"/>
      <c r="IU1270" s="885"/>
      <c r="IV1270" s="885"/>
      <c r="IW1270" s="885"/>
      <c r="IX1270" s="885"/>
    </row>
    <row r="1271" spans="1:258" x14ac:dyDescent="0.25">
      <c r="A1271" s="125">
        <f t="shared" si="134"/>
        <v>1231</v>
      </c>
      <c r="B1271" s="885"/>
      <c r="C1271" s="842" t="s">
        <v>10804</v>
      </c>
      <c r="D1271" s="924">
        <v>0</v>
      </c>
      <c r="E1271" s="924">
        <f t="shared" ref="E1271" si="138">D1271/8*12</f>
        <v>0</v>
      </c>
      <c r="F1271" s="129">
        <v>1000</v>
      </c>
      <c r="G1271" s="122" t="s">
        <v>1963</v>
      </c>
      <c r="H1271" s="885"/>
      <c r="I1271" s="885"/>
      <c r="J1271" s="885"/>
      <c r="K1271" s="885"/>
      <c r="L1271" s="885"/>
      <c r="M1271" s="885"/>
      <c r="N1271" s="885"/>
      <c r="O1271" s="885"/>
      <c r="P1271" s="885"/>
      <c r="Q1271" s="885"/>
      <c r="R1271" s="885"/>
      <c r="S1271" s="885"/>
      <c r="T1271" s="885"/>
      <c r="U1271" s="885"/>
      <c r="V1271" s="885"/>
      <c r="W1271" s="885"/>
      <c r="X1271" s="885"/>
      <c r="Y1271" s="885"/>
      <c r="Z1271" s="885"/>
      <c r="AA1271" s="885"/>
      <c r="AB1271" s="885"/>
      <c r="AC1271" s="885"/>
      <c r="AD1271" s="885"/>
      <c r="AE1271" s="885"/>
      <c r="AF1271" s="885"/>
      <c r="AG1271" s="885"/>
      <c r="AH1271" s="885"/>
      <c r="AI1271" s="885"/>
      <c r="AJ1271" s="885"/>
      <c r="AK1271" s="885"/>
      <c r="AL1271" s="885"/>
      <c r="AM1271" s="885"/>
      <c r="AN1271" s="885"/>
      <c r="AO1271" s="885"/>
      <c r="AP1271" s="885"/>
      <c r="AQ1271" s="885"/>
      <c r="AR1271" s="885"/>
      <c r="AS1271" s="885"/>
      <c r="AT1271" s="885"/>
      <c r="AU1271" s="885"/>
      <c r="AV1271" s="885"/>
      <c r="AW1271" s="885"/>
      <c r="AX1271" s="885"/>
      <c r="AY1271" s="885"/>
      <c r="AZ1271" s="885"/>
      <c r="BA1271" s="885"/>
      <c r="BB1271" s="885"/>
      <c r="BC1271" s="885"/>
      <c r="BD1271" s="885"/>
      <c r="BE1271" s="885"/>
      <c r="BF1271" s="885"/>
      <c r="BG1271" s="885"/>
      <c r="BH1271" s="885"/>
      <c r="BI1271" s="885"/>
      <c r="BJ1271" s="885"/>
      <c r="BK1271" s="885"/>
      <c r="BL1271" s="885"/>
      <c r="BM1271" s="885"/>
      <c r="BN1271" s="885"/>
      <c r="BO1271" s="885"/>
      <c r="BP1271" s="885"/>
      <c r="BQ1271" s="885"/>
      <c r="BR1271" s="885"/>
      <c r="BS1271" s="885"/>
      <c r="BT1271" s="885"/>
      <c r="BU1271" s="885"/>
      <c r="BV1271" s="885"/>
      <c r="BW1271" s="885"/>
      <c r="BX1271" s="885"/>
      <c r="BY1271" s="885"/>
      <c r="BZ1271" s="885"/>
      <c r="CA1271" s="885"/>
      <c r="CB1271" s="885"/>
      <c r="CC1271" s="885"/>
      <c r="CD1271" s="885"/>
      <c r="CE1271" s="885"/>
      <c r="CF1271" s="885"/>
      <c r="CG1271" s="885"/>
      <c r="CH1271" s="885"/>
      <c r="CI1271" s="885"/>
      <c r="CJ1271" s="885"/>
      <c r="CK1271" s="885"/>
      <c r="CL1271" s="885"/>
      <c r="CM1271" s="885"/>
      <c r="CN1271" s="885"/>
      <c r="CO1271" s="885"/>
      <c r="CP1271" s="885"/>
      <c r="CQ1271" s="885"/>
      <c r="CR1271" s="885"/>
      <c r="CS1271" s="885"/>
      <c r="CT1271" s="885"/>
      <c r="CU1271" s="885"/>
      <c r="CV1271" s="885"/>
      <c r="CW1271" s="885"/>
      <c r="CX1271" s="885"/>
      <c r="CY1271" s="885"/>
      <c r="CZ1271" s="885"/>
      <c r="DA1271" s="885"/>
      <c r="DB1271" s="885"/>
      <c r="DC1271" s="885"/>
      <c r="DD1271" s="885"/>
      <c r="DE1271" s="885"/>
      <c r="DF1271" s="885"/>
      <c r="DG1271" s="885"/>
      <c r="DH1271" s="885"/>
      <c r="DI1271" s="885"/>
      <c r="DJ1271" s="885"/>
      <c r="DK1271" s="885"/>
      <c r="DL1271" s="885"/>
      <c r="DM1271" s="885"/>
      <c r="DN1271" s="885"/>
      <c r="DO1271" s="885"/>
      <c r="DP1271" s="885"/>
      <c r="DQ1271" s="885"/>
      <c r="DR1271" s="885"/>
      <c r="DS1271" s="885"/>
      <c r="DT1271" s="885"/>
      <c r="DU1271" s="885"/>
      <c r="DV1271" s="885"/>
      <c r="DW1271" s="885"/>
      <c r="DX1271" s="885"/>
      <c r="DY1271" s="885"/>
      <c r="DZ1271" s="885"/>
      <c r="EA1271" s="885"/>
      <c r="EB1271" s="885"/>
      <c r="EC1271" s="885"/>
      <c r="ED1271" s="885"/>
      <c r="EE1271" s="885"/>
      <c r="EF1271" s="885"/>
      <c r="EG1271" s="885"/>
      <c r="EH1271" s="885"/>
      <c r="EI1271" s="885"/>
      <c r="EJ1271" s="885"/>
      <c r="EK1271" s="885"/>
      <c r="EL1271" s="885"/>
      <c r="EM1271" s="885"/>
      <c r="EN1271" s="885"/>
      <c r="EO1271" s="885"/>
      <c r="EP1271" s="885"/>
      <c r="EQ1271" s="885"/>
      <c r="ER1271" s="885"/>
      <c r="ES1271" s="885"/>
      <c r="ET1271" s="885"/>
      <c r="EU1271" s="885"/>
      <c r="EV1271" s="885"/>
      <c r="EW1271" s="885"/>
      <c r="EX1271" s="885"/>
      <c r="EY1271" s="885"/>
      <c r="EZ1271" s="885"/>
      <c r="FA1271" s="885"/>
      <c r="FB1271" s="885"/>
      <c r="FC1271" s="885"/>
      <c r="FD1271" s="885"/>
      <c r="FE1271" s="885"/>
      <c r="FF1271" s="885"/>
      <c r="FG1271" s="885"/>
      <c r="FH1271" s="885"/>
      <c r="FI1271" s="885"/>
      <c r="FJ1271" s="885"/>
      <c r="FK1271" s="885"/>
      <c r="FL1271" s="885"/>
      <c r="FM1271" s="885"/>
      <c r="FN1271" s="885"/>
      <c r="FO1271" s="885"/>
      <c r="FP1271" s="885"/>
      <c r="FQ1271" s="885"/>
      <c r="FR1271" s="885"/>
      <c r="FS1271" s="885"/>
      <c r="FT1271" s="885"/>
      <c r="FU1271" s="885"/>
      <c r="FV1271" s="885"/>
      <c r="FW1271" s="885"/>
      <c r="FX1271" s="885"/>
      <c r="FY1271" s="885"/>
      <c r="FZ1271" s="885"/>
      <c r="GA1271" s="885"/>
      <c r="GB1271" s="885"/>
      <c r="GC1271" s="885"/>
      <c r="GD1271" s="885"/>
      <c r="GE1271" s="885"/>
      <c r="GF1271" s="885"/>
      <c r="GG1271" s="885"/>
      <c r="GH1271" s="885"/>
      <c r="GI1271" s="885"/>
      <c r="GJ1271" s="885"/>
      <c r="GK1271" s="885"/>
      <c r="GL1271" s="885"/>
      <c r="GM1271" s="885"/>
      <c r="GN1271" s="885"/>
      <c r="GO1271" s="885"/>
      <c r="GP1271" s="885"/>
      <c r="GQ1271" s="885"/>
      <c r="GR1271" s="885"/>
      <c r="GS1271" s="885"/>
      <c r="GT1271" s="885"/>
      <c r="GU1271" s="885"/>
      <c r="GV1271" s="885"/>
      <c r="GW1271" s="885"/>
      <c r="GX1271" s="885"/>
      <c r="GY1271" s="885"/>
      <c r="GZ1271" s="885"/>
      <c r="HA1271" s="885"/>
      <c r="HB1271" s="885"/>
      <c r="HC1271" s="885"/>
      <c r="HD1271" s="885"/>
      <c r="HE1271" s="885"/>
      <c r="HF1271" s="885"/>
      <c r="HG1271" s="885"/>
      <c r="HH1271" s="885"/>
      <c r="HI1271" s="885"/>
      <c r="HJ1271" s="885"/>
      <c r="HK1271" s="885"/>
      <c r="HL1271" s="885"/>
      <c r="HM1271" s="885"/>
      <c r="HN1271" s="885"/>
      <c r="HO1271" s="885"/>
      <c r="HP1271" s="885"/>
      <c r="HQ1271" s="885"/>
      <c r="HR1271" s="885"/>
      <c r="HS1271" s="885"/>
      <c r="HT1271" s="885"/>
      <c r="HU1271" s="885"/>
      <c r="HV1271" s="885"/>
      <c r="HW1271" s="885"/>
      <c r="HX1271" s="885"/>
      <c r="HY1271" s="885"/>
      <c r="HZ1271" s="885"/>
      <c r="IA1271" s="885"/>
      <c r="IB1271" s="885"/>
      <c r="IC1271" s="885"/>
      <c r="ID1271" s="885"/>
      <c r="IE1271" s="885"/>
      <c r="IF1271" s="885"/>
      <c r="IG1271" s="885"/>
      <c r="IH1271" s="885"/>
      <c r="II1271" s="885"/>
      <c r="IJ1271" s="885"/>
      <c r="IK1271" s="885"/>
      <c r="IL1271" s="885"/>
      <c r="IM1271" s="885"/>
      <c r="IN1271" s="885"/>
      <c r="IO1271" s="885"/>
      <c r="IP1271" s="885"/>
      <c r="IQ1271" s="885"/>
      <c r="IR1271" s="885"/>
      <c r="IS1271" s="885"/>
      <c r="IT1271" s="885"/>
      <c r="IU1271" s="885"/>
      <c r="IV1271" s="885"/>
      <c r="IW1271" s="885"/>
      <c r="IX1271" s="885"/>
    </row>
    <row r="1272" spans="1:258" x14ac:dyDescent="0.25">
      <c r="A1272" s="125">
        <f t="shared" si="134"/>
        <v>1232</v>
      </c>
      <c r="B1272" s="885"/>
      <c r="C1272" s="842" t="s">
        <v>10805</v>
      </c>
      <c r="D1272" s="924">
        <v>0</v>
      </c>
      <c r="E1272" s="924">
        <f t="shared" ref="E1272" si="139">D1272/8*12</f>
        <v>0</v>
      </c>
      <c r="F1272" s="129">
        <v>3000</v>
      </c>
      <c r="G1272" s="122" t="s">
        <v>1963</v>
      </c>
      <c r="H1272" s="885"/>
      <c r="I1272" s="885"/>
      <c r="J1272" s="885"/>
      <c r="K1272" s="885"/>
      <c r="L1272" s="885"/>
      <c r="M1272" s="885"/>
      <c r="N1272" s="885"/>
      <c r="O1272" s="885"/>
      <c r="P1272" s="885"/>
      <c r="Q1272" s="885"/>
      <c r="R1272" s="885"/>
      <c r="S1272" s="885"/>
      <c r="T1272" s="885"/>
      <c r="U1272" s="885"/>
      <c r="V1272" s="885"/>
      <c r="W1272" s="885"/>
      <c r="X1272" s="885"/>
      <c r="Y1272" s="885"/>
      <c r="Z1272" s="885"/>
      <c r="AA1272" s="885"/>
      <c r="AB1272" s="885"/>
      <c r="AC1272" s="885"/>
      <c r="AD1272" s="885"/>
      <c r="AE1272" s="885"/>
      <c r="AF1272" s="885"/>
      <c r="AG1272" s="885"/>
      <c r="AH1272" s="885"/>
      <c r="AI1272" s="885"/>
      <c r="AJ1272" s="885"/>
      <c r="AK1272" s="885"/>
      <c r="AL1272" s="885"/>
      <c r="AM1272" s="885"/>
      <c r="AN1272" s="885"/>
      <c r="AO1272" s="885"/>
      <c r="AP1272" s="885"/>
      <c r="AQ1272" s="885"/>
      <c r="AR1272" s="885"/>
      <c r="AS1272" s="885"/>
      <c r="AT1272" s="885"/>
      <c r="AU1272" s="885"/>
      <c r="AV1272" s="885"/>
      <c r="AW1272" s="885"/>
      <c r="AX1272" s="885"/>
      <c r="AY1272" s="885"/>
      <c r="AZ1272" s="885"/>
      <c r="BA1272" s="885"/>
      <c r="BB1272" s="885"/>
      <c r="BC1272" s="885"/>
      <c r="BD1272" s="885"/>
      <c r="BE1272" s="885"/>
      <c r="BF1272" s="885"/>
      <c r="BG1272" s="885"/>
      <c r="BH1272" s="885"/>
      <c r="BI1272" s="885"/>
      <c r="BJ1272" s="885"/>
      <c r="BK1272" s="885"/>
      <c r="BL1272" s="885"/>
      <c r="BM1272" s="885"/>
      <c r="BN1272" s="885"/>
      <c r="BO1272" s="885"/>
      <c r="BP1272" s="885"/>
      <c r="BQ1272" s="885"/>
      <c r="BR1272" s="885"/>
      <c r="BS1272" s="885"/>
      <c r="BT1272" s="885"/>
      <c r="BU1272" s="885"/>
      <c r="BV1272" s="885"/>
      <c r="BW1272" s="885"/>
      <c r="BX1272" s="885"/>
      <c r="BY1272" s="885"/>
      <c r="BZ1272" s="885"/>
      <c r="CA1272" s="885"/>
      <c r="CB1272" s="885"/>
      <c r="CC1272" s="885"/>
      <c r="CD1272" s="885"/>
      <c r="CE1272" s="885"/>
      <c r="CF1272" s="885"/>
      <c r="CG1272" s="885"/>
      <c r="CH1272" s="885"/>
      <c r="CI1272" s="885"/>
      <c r="CJ1272" s="885"/>
      <c r="CK1272" s="885"/>
      <c r="CL1272" s="885"/>
      <c r="CM1272" s="885"/>
      <c r="CN1272" s="885"/>
      <c r="CO1272" s="885"/>
      <c r="CP1272" s="885"/>
      <c r="CQ1272" s="885"/>
      <c r="CR1272" s="885"/>
      <c r="CS1272" s="885"/>
      <c r="CT1272" s="885"/>
      <c r="CU1272" s="885"/>
      <c r="CV1272" s="885"/>
      <c r="CW1272" s="885"/>
      <c r="CX1272" s="885"/>
      <c r="CY1272" s="885"/>
      <c r="CZ1272" s="885"/>
      <c r="DA1272" s="885"/>
      <c r="DB1272" s="885"/>
      <c r="DC1272" s="885"/>
      <c r="DD1272" s="885"/>
      <c r="DE1272" s="885"/>
      <c r="DF1272" s="885"/>
      <c r="DG1272" s="885"/>
      <c r="DH1272" s="885"/>
      <c r="DI1272" s="885"/>
      <c r="DJ1272" s="885"/>
      <c r="DK1272" s="885"/>
      <c r="DL1272" s="885"/>
      <c r="DM1272" s="885"/>
      <c r="DN1272" s="885"/>
      <c r="DO1272" s="885"/>
      <c r="DP1272" s="885"/>
      <c r="DQ1272" s="885"/>
      <c r="DR1272" s="885"/>
      <c r="DS1272" s="885"/>
      <c r="DT1272" s="885"/>
      <c r="DU1272" s="885"/>
      <c r="DV1272" s="885"/>
      <c r="DW1272" s="885"/>
      <c r="DX1272" s="885"/>
      <c r="DY1272" s="885"/>
      <c r="DZ1272" s="885"/>
      <c r="EA1272" s="885"/>
      <c r="EB1272" s="885"/>
      <c r="EC1272" s="885"/>
      <c r="ED1272" s="885"/>
      <c r="EE1272" s="885"/>
      <c r="EF1272" s="885"/>
      <c r="EG1272" s="885"/>
      <c r="EH1272" s="885"/>
      <c r="EI1272" s="885"/>
      <c r="EJ1272" s="885"/>
      <c r="EK1272" s="885"/>
      <c r="EL1272" s="885"/>
      <c r="EM1272" s="885"/>
      <c r="EN1272" s="885"/>
      <c r="EO1272" s="885"/>
      <c r="EP1272" s="885"/>
      <c r="EQ1272" s="885"/>
      <c r="ER1272" s="885"/>
      <c r="ES1272" s="885"/>
      <c r="ET1272" s="885"/>
      <c r="EU1272" s="885"/>
      <c r="EV1272" s="885"/>
      <c r="EW1272" s="885"/>
      <c r="EX1272" s="885"/>
      <c r="EY1272" s="885"/>
      <c r="EZ1272" s="885"/>
      <c r="FA1272" s="885"/>
      <c r="FB1272" s="885"/>
      <c r="FC1272" s="885"/>
      <c r="FD1272" s="885"/>
      <c r="FE1272" s="885"/>
      <c r="FF1272" s="885"/>
      <c r="FG1272" s="885"/>
      <c r="FH1272" s="885"/>
      <c r="FI1272" s="885"/>
      <c r="FJ1272" s="885"/>
      <c r="FK1272" s="885"/>
      <c r="FL1272" s="885"/>
      <c r="FM1272" s="885"/>
      <c r="FN1272" s="885"/>
      <c r="FO1272" s="885"/>
      <c r="FP1272" s="885"/>
      <c r="FQ1272" s="885"/>
      <c r="FR1272" s="885"/>
      <c r="FS1272" s="885"/>
      <c r="FT1272" s="885"/>
      <c r="FU1272" s="885"/>
      <c r="FV1272" s="885"/>
      <c r="FW1272" s="885"/>
      <c r="FX1272" s="885"/>
      <c r="FY1272" s="885"/>
      <c r="FZ1272" s="885"/>
      <c r="GA1272" s="885"/>
      <c r="GB1272" s="885"/>
      <c r="GC1272" s="885"/>
      <c r="GD1272" s="885"/>
      <c r="GE1272" s="885"/>
      <c r="GF1272" s="885"/>
      <c r="GG1272" s="885"/>
      <c r="GH1272" s="885"/>
      <c r="GI1272" s="885"/>
      <c r="GJ1272" s="885"/>
      <c r="GK1272" s="885"/>
      <c r="GL1272" s="885"/>
      <c r="GM1272" s="885"/>
      <c r="GN1272" s="885"/>
      <c r="GO1272" s="885"/>
      <c r="GP1272" s="885"/>
      <c r="GQ1272" s="885"/>
      <c r="GR1272" s="885"/>
      <c r="GS1272" s="885"/>
      <c r="GT1272" s="885"/>
      <c r="GU1272" s="885"/>
      <c r="GV1272" s="885"/>
      <c r="GW1272" s="885"/>
      <c r="GX1272" s="885"/>
      <c r="GY1272" s="885"/>
      <c r="GZ1272" s="885"/>
      <c r="HA1272" s="885"/>
      <c r="HB1272" s="885"/>
      <c r="HC1272" s="885"/>
      <c r="HD1272" s="885"/>
      <c r="HE1272" s="885"/>
      <c r="HF1272" s="885"/>
      <c r="HG1272" s="885"/>
      <c r="HH1272" s="885"/>
      <c r="HI1272" s="885"/>
      <c r="HJ1272" s="885"/>
      <c r="HK1272" s="885"/>
      <c r="HL1272" s="885"/>
      <c r="HM1272" s="885"/>
      <c r="HN1272" s="885"/>
      <c r="HO1272" s="885"/>
      <c r="HP1272" s="885"/>
      <c r="HQ1272" s="885"/>
      <c r="HR1272" s="885"/>
      <c r="HS1272" s="885"/>
      <c r="HT1272" s="885"/>
      <c r="HU1272" s="885"/>
      <c r="HV1272" s="885"/>
      <c r="HW1272" s="885"/>
      <c r="HX1272" s="885"/>
      <c r="HY1272" s="885"/>
      <c r="HZ1272" s="885"/>
      <c r="IA1272" s="885"/>
      <c r="IB1272" s="885"/>
      <c r="IC1272" s="885"/>
      <c r="ID1272" s="885"/>
      <c r="IE1272" s="885"/>
      <c r="IF1272" s="885"/>
      <c r="IG1272" s="885"/>
      <c r="IH1272" s="885"/>
      <c r="II1272" s="885"/>
      <c r="IJ1272" s="885"/>
      <c r="IK1272" s="885"/>
      <c r="IL1272" s="885"/>
      <c r="IM1272" s="885"/>
      <c r="IN1272" s="885"/>
      <c r="IO1272" s="885"/>
      <c r="IP1272" s="885"/>
      <c r="IQ1272" s="885"/>
      <c r="IR1272" s="885"/>
      <c r="IS1272" s="885"/>
      <c r="IT1272" s="885"/>
      <c r="IU1272" s="885"/>
      <c r="IV1272" s="885"/>
      <c r="IW1272" s="885"/>
      <c r="IX1272" s="885"/>
    </row>
    <row r="1273" spans="1:258" x14ac:dyDescent="0.25">
      <c r="A1273" s="125">
        <f t="shared" si="134"/>
        <v>1233</v>
      </c>
      <c r="B1273" s="885"/>
      <c r="C1273" s="842" t="s">
        <v>10806</v>
      </c>
      <c r="D1273" s="924">
        <v>0</v>
      </c>
      <c r="E1273" s="924">
        <f t="shared" ref="E1273" si="140">D1273/8*12</f>
        <v>0</v>
      </c>
      <c r="F1273" s="129">
        <f>F1271*F$83</f>
        <v>200</v>
      </c>
      <c r="G1273" s="122" t="s">
        <v>1963</v>
      </c>
      <c r="H1273" s="885"/>
      <c r="I1273" s="885"/>
      <c r="J1273" s="885"/>
      <c r="K1273" s="885"/>
      <c r="L1273" s="885"/>
      <c r="M1273" s="885"/>
      <c r="N1273" s="885"/>
      <c r="O1273" s="885"/>
      <c r="P1273" s="885"/>
      <c r="Q1273" s="885"/>
      <c r="R1273" s="885"/>
      <c r="S1273" s="885"/>
      <c r="T1273" s="885"/>
      <c r="U1273" s="885"/>
      <c r="V1273" s="885"/>
      <c r="W1273" s="885"/>
      <c r="X1273" s="885"/>
      <c r="Y1273" s="885"/>
      <c r="Z1273" s="885"/>
      <c r="AA1273" s="885"/>
      <c r="AB1273" s="885"/>
      <c r="AC1273" s="885"/>
      <c r="AD1273" s="885"/>
      <c r="AE1273" s="885"/>
      <c r="AF1273" s="885"/>
      <c r="AG1273" s="885"/>
      <c r="AH1273" s="885"/>
      <c r="AI1273" s="885"/>
      <c r="AJ1273" s="885"/>
      <c r="AK1273" s="885"/>
      <c r="AL1273" s="885"/>
      <c r="AM1273" s="885"/>
      <c r="AN1273" s="885"/>
      <c r="AO1273" s="885"/>
      <c r="AP1273" s="885"/>
      <c r="AQ1273" s="885"/>
      <c r="AR1273" s="885"/>
      <c r="AS1273" s="885"/>
      <c r="AT1273" s="885"/>
      <c r="AU1273" s="885"/>
      <c r="AV1273" s="885"/>
      <c r="AW1273" s="885"/>
      <c r="AX1273" s="885"/>
      <c r="AY1273" s="885"/>
      <c r="AZ1273" s="885"/>
      <c r="BA1273" s="885"/>
      <c r="BB1273" s="885"/>
      <c r="BC1273" s="885"/>
      <c r="BD1273" s="885"/>
      <c r="BE1273" s="885"/>
      <c r="BF1273" s="885"/>
      <c r="BG1273" s="885"/>
      <c r="BH1273" s="885"/>
      <c r="BI1273" s="885"/>
      <c r="BJ1273" s="885"/>
      <c r="BK1273" s="885"/>
      <c r="BL1273" s="885"/>
      <c r="BM1273" s="885"/>
      <c r="BN1273" s="885"/>
      <c r="BO1273" s="885"/>
      <c r="BP1273" s="885"/>
      <c r="BQ1273" s="885"/>
      <c r="BR1273" s="885"/>
      <c r="BS1273" s="885"/>
      <c r="BT1273" s="885"/>
      <c r="BU1273" s="885"/>
      <c r="BV1273" s="885"/>
      <c r="BW1273" s="885"/>
      <c r="BX1273" s="885"/>
      <c r="BY1273" s="885"/>
      <c r="BZ1273" s="885"/>
      <c r="CA1273" s="885"/>
      <c r="CB1273" s="885"/>
      <c r="CC1273" s="885"/>
      <c r="CD1273" s="885"/>
      <c r="CE1273" s="885"/>
      <c r="CF1273" s="885"/>
      <c r="CG1273" s="885"/>
      <c r="CH1273" s="885"/>
      <c r="CI1273" s="885"/>
      <c r="CJ1273" s="885"/>
      <c r="CK1273" s="885"/>
      <c r="CL1273" s="885"/>
      <c r="CM1273" s="885"/>
      <c r="CN1273" s="885"/>
      <c r="CO1273" s="885"/>
      <c r="CP1273" s="885"/>
      <c r="CQ1273" s="885"/>
      <c r="CR1273" s="885"/>
      <c r="CS1273" s="885"/>
      <c r="CT1273" s="885"/>
      <c r="CU1273" s="885"/>
      <c r="CV1273" s="885"/>
      <c r="CW1273" s="885"/>
      <c r="CX1273" s="885"/>
      <c r="CY1273" s="885"/>
      <c r="CZ1273" s="885"/>
      <c r="DA1273" s="885"/>
      <c r="DB1273" s="885"/>
      <c r="DC1273" s="885"/>
      <c r="DD1273" s="885"/>
      <c r="DE1273" s="885"/>
      <c r="DF1273" s="885"/>
      <c r="DG1273" s="885"/>
      <c r="DH1273" s="885"/>
      <c r="DI1273" s="885"/>
      <c r="DJ1273" s="885"/>
      <c r="DK1273" s="885"/>
      <c r="DL1273" s="885"/>
      <c r="DM1273" s="885"/>
      <c r="DN1273" s="885"/>
      <c r="DO1273" s="885"/>
      <c r="DP1273" s="885"/>
      <c r="DQ1273" s="885"/>
      <c r="DR1273" s="885"/>
      <c r="DS1273" s="885"/>
      <c r="DT1273" s="885"/>
      <c r="DU1273" s="885"/>
      <c r="DV1273" s="885"/>
      <c r="DW1273" s="885"/>
      <c r="DX1273" s="885"/>
      <c r="DY1273" s="885"/>
      <c r="DZ1273" s="885"/>
      <c r="EA1273" s="885"/>
      <c r="EB1273" s="885"/>
      <c r="EC1273" s="885"/>
      <c r="ED1273" s="885"/>
      <c r="EE1273" s="885"/>
      <c r="EF1273" s="885"/>
      <c r="EG1273" s="885"/>
      <c r="EH1273" s="885"/>
      <c r="EI1273" s="885"/>
      <c r="EJ1273" s="885"/>
      <c r="EK1273" s="885"/>
      <c r="EL1273" s="885"/>
      <c r="EM1273" s="885"/>
      <c r="EN1273" s="885"/>
      <c r="EO1273" s="885"/>
      <c r="EP1273" s="885"/>
      <c r="EQ1273" s="885"/>
      <c r="ER1273" s="885"/>
      <c r="ES1273" s="885"/>
      <c r="ET1273" s="885"/>
      <c r="EU1273" s="885"/>
      <c r="EV1273" s="885"/>
      <c r="EW1273" s="885"/>
      <c r="EX1273" s="885"/>
      <c r="EY1273" s="885"/>
      <c r="EZ1273" s="885"/>
      <c r="FA1273" s="885"/>
      <c r="FB1273" s="885"/>
      <c r="FC1273" s="885"/>
      <c r="FD1273" s="885"/>
      <c r="FE1273" s="885"/>
      <c r="FF1273" s="885"/>
      <c r="FG1273" s="885"/>
      <c r="FH1273" s="885"/>
      <c r="FI1273" s="885"/>
      <c r="FJ1273" s="885"/>
      <c r="FK1273" s="885"/>
      <c r="FL1273" s="885"/>
      <c r="FM1273" s="885"/>
      <c r="FN1273" s="885"/>
      <c r="FO1273" s="885"/>
      <c r="FP1273" s="885"/>
      <c r="FQ1273" s="885"/>
      <c r="FR1273" s="885"/>
      <c r="FS1273" s="885"/>
      <c r="FT1273" s="885"/>
      <c r="FU1273" s="885"/>
      <c r="FV1273" s="885"/>
      <c r="FW1273" s="885"/>
      <c r="FX1273" s="885"/>
      <c r="FY1273" s="885"/>
      <c r="FZ1273" s="885"/>
      <c r="GA1273" s="885"/>
      <c r="GB1273" s="885"/>
      <c r="GC1273" s="885"/>
      <c r="GD1273" s="885"/>
      <c r="GE1273" s="885"/>
      <c r="GF1273" s="885"/>
      <c r="GG1273" s="885"/>
      <c r="GH1273" s="885"/>
      <c r="GI1273" s="885"/>
      <c r="GJ1273" s="885"/>
      <c r="GK1273" s="885"/>
      <c r="GL1273" s="885"/>
      <c r="GM1273" s="885"/>
      <c r="GN1273" s="885"/>
      <c r="GO1273" s="885"/>
      <c r="GP1273" s="885"/>
      <c r="GQ1273" s="885"/>
      <c r="GR1273" s="885"/>
      <c r="GS1273" s="885"/>
      <c r="GT1273" s="885"/>
      <c r="GU1273" s="885"/>
      <c r="GV1273" s="885"/>
      <c r="GW1273" s="885"/>
      <c r="GX1273" s="885"/>
      <c r="GY1273" s="885"/>
      <c r="GZ1273" s="885"/>
      <c r="HA1273" s="885"/>
      <c r="HB1273" s="885"/>
      <c r="HC1273" s="885"/>
      <c r="HD1273" s="885"/>
      <c r="HE1273" s="885"/>
      <c r="HF1273" s="885"/>
      <c r="HG1273" s="885"/>
      <c r="HH1273" s="885"/>
      <c r="HI1273" s="885"/>
      <c r="HJ1273" s="885"/>
      <c r="HK1273" s="885"/>
      <c r="HL1273" s="885"/>
      <c r="HM1273" s="885"/>
      <c r="HN1273" s="885"/>
      <c r="HO1273" s="885"/>
      <c r="HP1273" s="885"/>
      <c r="HQ1273" s="885"/>
      <c r="HR1273" s="885"/>
      <c r="HS1273" s="885"/>
      <c r="HT1273" s="885"/>
      <c r="HU1273" s="885"/>
      <c r="HV1273" s="885"/>
      <c r="HW1273" s="885"/>
      <c r="HX1273" s="885"/>
      <c r="HY1273" s="885"/>
      <c r="HZ1273" s="885"/>
      <c r="IA1273" s="885"/>
      <c r="IB1273" s="885"/>
      <c r="IC1273" s="885"/>
      <c r="ID1273" s="885"/>
      <c r="IE1273" s="885"/>
      <c r="IF1273" s="885"/>
      <c r="IG1273" s="885"/>
      <c r="IH1273" s="885"/>
      <c r="II1273" s="885"/>
      <c r="IJ1273" s="885"/>
      <c r="IK1273" s="885"/>
      <c r="IL1273" s="885"/>
      <c r="IM1273" s="885"/>
      <c r="IN1273" s="885"/>
      <c r="IO1273" s="885"/>
      <c r="IP1273" s="885"/>
      <c r="IQ1273" s="885"/>
      <c r="IR1273" s="885"/>
      <c r="IS1273" s="885"/>
      <c r="IT1273" s="885"/>
      <c r="IU1273" s="885"/>
      <c r="IV1273" s="885"/>
      <c r="IW1273" s="885"/>
      <c r="IX1273" s="885"/>
    </row>
    <row r="1274" spans="1:258" x14ac:dyDescent="0.25">
      <c r="A1274" s="125">
        <f t="shared" si="134"/>
        <v>1234</v>
      </c>
      <c r="B1274" s="885"/>
      <c r="C1274" s="842" t="s">
        <v>10807</v>
      </c>
      <c r="D1274" s="924">
        <v>0</v>
      </c>
      <c r="E1274" s="924">
        <f t="shared" ref="E1274" si="141">D1274/8*12</f>
        <v>0</v>
      </c>
      <c r="F1274" s="129">
        <v>1000</v>
      </c>
      <c r="G1274" s="122" t="s">
        <v>1963</v>
      </c>
      <c r="H1274" s="885"/>
      <c r="I1274" s="885"/>
      <c r="J1274" s="885"/>
      <c r="K1274" s="885"/>
      <c r="L1274" s="885"/>
      <c r="M1274" s="885"/>
      <c r="N1274" s="885"/>
      <c r="O1274" s="885"/>
      <c r="P1274" s="885"/>
      <c r="Q1274" s="885"/>
      <c r="R1274" s="885"/>
      <c r="S1274" s="885"/>
      <c r="T1274" s="885"/>
      <c r="U1274" s="885"/>
      <c r="V1274" s="885"/>
      <c r="W1274" s="885"/>
      <c r="X1274" s="885"/>
      <c r="Y1274" s="885"/>
      <c r="Z1274" s="885"/>
      <c r="AA1274" s="885"/>
      <c r="AB1274" s="885"/>
      <c r="AC1274" s="885"/>
      <c r="AD1274" s="885"/>
      <c r="AE1274" s="885"/>
      <c r="AF1274" s="885"/>
      <c r="AG1274" s="885"/>
      <c r="AH1274" s="885"/>
      <c r="AI1274" s="885"/>
      <c r="AJ1274" s="885"/>
      <c r="AK1274" s="885"/>
      <c r="AL1274" s="885"/>
      <c r="AM1274" s="885"/>
      <c r="AN1274" s="885"/>
      <c r="AO1274" s="885"/>
      <c r="AP1274" s="885"/>
      <c r="AQ1274" s="885"/>
      <c r="AR1274" s="885"/>
      <c r="AS1274" s="885"/>
      <c r="AT1274" s="885"/>
      <c r="AU1274" s="885"/>
      <c r="AV1274" s="885"/>
      <c r="AW1274" s="885"/>
      <c r="AX1274" s="885"/>
      <c r="AY1274" s="885"/>
      <c r="AZ1274" s="885"/>
      <c r="BA1274" s="885"/>
      <c r="BB1274" s="885"/>
      <c r="BC1274" s="885"/>
      <c r="BD1274" s="885"/>
      <c r="BE1274" s="885"/>
      <c r="BF1274" s="885"/>
      <c r="BG1274" s="885"/>
      <c r="BH1274" s="885"/>
      <c r="BI1274" s="885"/>
      <c r="BJ1274" s="885"/>
      <c r="BK1274" s="885"/>
      <c r="BL1274" s="885"/>
      <c r="BM1274" s="885"/>
      <c r="BN1274" s="885"/>
      <c r="BO1274" s="885"/>
      <c r="BP1274" s="885"/>
      <c r="BQ1274" s="885"/>
      <c r="BR1274" s="885"/>
      <c r="BS1274" s="885"/>
      <c r="BT1274" s="885"/>
      <c r="BU1274" s="885"/>
      <c r="BV1274" s="885"/>
      <c r="BW1274" s="885"/>
      <c r="BX1274" s="885"/>
      <c r="BY1274" s="885"/>
      <c r="BZ1274" s="885"/>
      <c r="CA1274" s="885"/>
      <c r="CB1274" s="885"/>
      <c r="CC1274" s="885"/>
      <c r="CD1274" s="885"/>
      <c r="CE1274" s="885"/>
      <c r="CF1274" s="885"/>
      <c r="CG1274" s="885"/>
      <c r="CH1274" s="885"/>
      <c r="CI1274" s="885"/>
      <c r="CJ1274" s="885"/>
      <c r="CK1274" s="885"/>
      <c r="CL1274" s="885"/>
      <c r="CM1274" s="885"/>
      <c r="CN1274" s="885"/>
      <c r="CO1274" s="885"/>
      <c r="CP1274" s="885"/>
      <c r="CQ1274" s="885"/>
      <c r="CR1274" s="885"/>
      <c r="CS1274" s="885"/>
      <c r="CT1274" s="885"/>
      <c r="CU1274" s="885"/>
      <c r="CV1274" s="885"/>
      <c r="CW1274" s="885"/>
      <c r="CX1274" s="885"/>
      <c r="CY1274" s="885"/>
      <c r="CZ1274" s="885"/>
      <c r="DA1274" s="885"/>
      <c r="DB1274" s="885"/>
      <c r="DC1274" s="885"/>
      <c r="DD1274" s="885"/>
      <c r="DE1274" s="885"/>
      <c r="DF1274" s="885"/>
      <c r="DG1274" s="885"/>
      <c r="DH1274" s="885"/>
      <c r="DI1274" s="885"/>
      <c r="DJ1274" s="885"/>
      <c r="DK1274" s="885"/>
      <c r="DL1274" s="885"/>
      <c r="DM1274" s="885"/>
      <c r="DN1274" s="885"/>
      <c r="DO1274" s="885"/>
      <c r="DP1274" s="885"/>
      <c r="DQ1274" s="885"/>
      <c r="DR1274" s="885"/>
      <c r="DS1274" s="885"/>
      <c r="DT1274" s="885"/>
      <c r="DU1274" s="885"/>
      <c r="DV1274" s="885"/>
      <c r="DW1274" s="885"/>
      <c r="DX1274" s="885"/>
      <c r="DY1274" s="885"/>
      <c r="DZ1274" s="885"/>
      <c r="EA1274" s="885"/>
      <c r="EB1274" s="885"/>
      <c r="EC1274" s="885"/>
      <c r="ED1274" s="885"/>
      <c r="EE1274" s="885"/>
      <c r="EF1274" s="885"/>
      <c r="EG1274" s="885"/>
      <c r="EH1274" s="885"/>
      <c r="EI1274" s="885"/>
      <c r="EJ1274" s="885"/>
      <c r="EK1274" s="885"/>
      <c r="EL1274" s="885"/>
      <c r="EM1274" s="885"/>
      <c r="EN1274" s="885"/>
      <c r="EO1274" s="885"/>
      <c r="EP1274" s="885"/>
      <c r="EQ1274" s="885"/>
      <c r="ER1274" s="885"/>
      <c r="ES1274" s="885"/>
      <c r="ET1274" s="885"/>
      <c r="EU1274" s="885"/>
      <c r="EV1274" s="885"/>
      <c r="EW1274" s="885"/>
      <c r="EX1274" s="885"/>
      <c r="EY1274" s="885"/>
      <c r="EZ1274" s="885"/>
      <c r="FA1274" s="885"/>
      <c r="FB1274" s="885"/>
      <c r="FC1274" s="885"/>
      <c r="FD1274" s="885"/>
      <c r="FE1274" s="885"/>
      <c r="FF1274" s="885"/>
      <c r="FG1274" s="885"/>
      <c r="FH1274" s="885"/>
      <c r="FI1274" s="885"/>
      <c r="FJ1274" s="885"/>
      <c r="FK1274" s="885"/>
      <c r="FL1274" s="885"/>
      <c r="FM1274" s="885"/>
      <c r="FN1274" s="885"/>
      <c r="FO1274" s="885"/>
      <c r="FP1274" s="885"/>
      <c r="FQ1274" s="885"/>
      <c r="FR1274" s="885"/>
      <c r="FS1274" s="885"/>
      <c r="FT1274" s="885"/>
      <c r="FU1274" s="885"/>
      <c r="FV1274" s="885"/>
      <c r="FW1274" s="885"/>
      <c r="FX1274" s="885"/>
      <c r="FY1274" s="885"/>
      <c r="FZ1274" s="885"/>
      <c r="GA1274" s="885"/>
      <c r="GB1274" s="885"/>
      <c r="GC1274" s="885"/>
      <c r="GD1274" s="885"/>
      <c r="GE1274" s="885"/>
      <c r="GF1274" s="885"/>
      <c r="GG1274" s="885"/>
      <c r="GH1274" s="885"/>
      <c r="GI1274" s="885"/>
      <c r="GJ1274" s="885"/>
      <c r="GK1274" s="885"/>
      <c r="GL1274" s="885"/>
      <c r="GM1274" s="885"/>
      <c r="GN1274" s="885"/>
      <c r="GO1274" s="885"/>
      <c r="GP1274" s="885"/>
      <c r="GQ1274" s="885"/>
      <c r="GR1274" s="885"/>
      <c r="GS1274" s="885"/>
      <c r="GT1274" s="885"/>
      <c r="GU1274" s="885"/>
      <c r="GV1274" s="885"/>
      <c r="GW1274" s="885"/>
      <c r="GX1274" s="885"/>
      <c r="GY1274" s="885"/>
      <c r="GZ1274" s="885"/>
      <c r="HA1274" s="885"/>
      <c r="HB1274" s="885"/>
      <c r="HC1274" s="885"/>
      <c r="HD1274" s="885"/>
      <c r="HE1274" s="885"/>
      <c r="HF1274" s="885"/>
      <c r="HG1274" s="885"/>
      <c r="HH1274" s="885"/>
      <c r="HI1274" s="885"/>
      <c r="HJ1274" s="885"/>
      <c r="HK1274" s="885"/>
      <c r="HL1274" s="885"/>
      <c r="HM1274" s="885"/>
      <c r="HN1274" s="885"/>
      <c r="HO1274" s="885"/>
      <c r="HP1274" s="885"/>
      <c r="HQ1274" s="885"/>
      <c r="HR1274" s="885"/>
      <c r="HS1274" s="885"/>
      <c r="HT1274" s="885"/>
      <c r="HU1274" s="885"/>
      <c r="HV1274" s="885"/>
      <c r="HW1274" s="885"/>
      <c r="HX1274" s="885"/>
      <c r="HY1274" s="885"/>
      <c r="HZ1274" s="885"/>
      <c r="IA1274" s="885"/>
      <c r="IB1274" s="885"/>
      <c r="IC1274" s="885"/>
      <c r="ID1274" s="885"/>
      <c r="IE1274" s="885"/>
      <c r="IF1274" s="885"/>
      <c r="IG1274" s="885"/>
      <c r="IH1274" s="885"/>
      <c r="II1274" s="885"/>
      <c r="IJ1274" s="885"/>
      <c r="IK1274" s="885"/>
      <c r="IL1274" s="885"/>
      <c r="IM1274" s="885"/>
      <c r="IN1274" s="885"/>
      <c r="IO1274" s="885"/>
      <c r="IP1274" s="885"/>
      <c r="IQ1274" s="885"/>
      <c r="IR1274" s="885"/>
      <c r="IS1274" s="885"/>
      <c r="IT1274" s="885"/>
      <c r="IU1274" s="885"/>
      <c r="IV1274" s="885"/>
      <c r="IW1274" s="885"/>
      <c r="IX1274" s="885"/>
    </row>
    <row r="1275" spans="1:258" x14ac:dyDescent="0.25">
      <c r="A1275" s="125">
        <f t="shared" si="134"/>
        <v>1235</v>
      </c>
      <c r="B1275" s="885"/>
      <c r="C1275" s="842" t="s">
        <v>10808</v>
      </c>
      <c r="D1275" s="924">
        <v>0</v>
      </c>
      <c r="E1275" s="924">
        <f t="shared" ref="E1275" si="142">D1275/8*12</f>
        <v>0</v>
      </c>
      <c r="F1275" s="129">
        <v>1000</v>
      </c>
      <c r="G1275" s="122" t="s">
        <v>1963</v>
      </c>
      <c r="H1275" s="885"/>
      <c r="I1275" s="885"/>
      <c r="J1275" s="885"/>
      <c r="K1275" s="885"/>
      <c r="L1275" s="885"/>
      <c r="M1275" s="885"/>
      <c r="N1275" s="885"/>
      <c r="O1275" s="885"/>
      <c r="P1275" s="885"/>
      <c r="Q1275" s="885"/>
      <c r="R1275" s="885"/>
      <c r="S1275" s="885"/>
      <c r="T1275" s="885"/>
      <c r="U1275" s="885"/>
      <c r="V1275" s="885"/>
      <c r="W1275" s="885"/>
      <c r="X1275" s="885"/>
      <c r="Y1275" s="885"/>
      <c r="Z1275" s="885"/>
      <c r="AA1275" s="885"/>
      <c r="AB1275" s="885"/>
      <c r="AC1275" s="885"/>
      <c r="AD1275" s="885"/>
      <c r="AE1275" s="885"/>
      <c r="AF1275" s="885"/>
      <c r="AG1275" s="885"/>
      <c r="AH1275" s="885"/>
      <c r="AI1275" s="885"/>
      <c r="AJ1275" s="885"/>
      <c r="AK1275" s="885"/>
      <c r="AL1275" s="885"/>
      <c r="AM1275" s="885"/>
      <c r="AN1275" s="885"/>
      <c r="AO1275" s="885"/>
      <c r="AP1275" s="885"/>
      <c r="AQ1275" s="885"/>
      <c r="AR1275" s="885"/>
      <c r="AS1275" s="885"/>
      <c r="AT1275" s="885"/>
      <c r="AU1275" s="885"/>
      <c r="AV1275" s="885"/>
      <c r="AW1275" s="885"/>
      <c r="AX1275" s="885"/>
      <c r="AY1275" s="885"/>
      <c r="AZ1275" s="885"/>
      <c r="BA1275" s="885"/>
      <c r="BB1275" s="885"/>
      <c r="BC1275" s="885"/>
      <c r="BD1275" s="885"/>
      <c r="BE1275" s="885"/>
      <c r="BF1275" s="885"/>
      <c r="BG1275" s="885"/>
      <c r="BH1275" s="885"/>
      <c r="BI1275" s="885"/>
      <c r="BJ1275" s="885"/>
      <c r="BK1275" s="885"/>
      <c r="BL1275" s="885"/>
      <c r="BM1275" s="885"/>
      <c r="BN1275" s="885"/>
      <c r="BO1275" s="885"/>
      <c r="BP1275" s="885"/>
      <c r="BQ1275" s="885"/>
      <c r="BR1275" s="885"/>
      <c r="BS1275" s="885"/>
      <c r="BT1275" s="885"/>
      <c r="BU1275" s="885"/>
      <c r="BV1275" s="885"/>
      <c r="BW1275" s="885"/>
      <c r="BX1275" s="885"/>
      <c r="BY1275" s="885"/>
      <c r="BZ1275" s="885"/>
      <c r="CA1275" s="885"/>
      <c r="CB1275" s="885"/>
      <c r="CC1275" s="885"/>
      <c r="CD1275" s="885"/>
      <c r="CE1275" s="885"/>
      <c r="CF1275" s="885"/>
      <c r="CG1275" s="885"/>
      <c r="CH1275" s="885"/>
      <c r="CI1275" s="885"/>
      <c r="CJ1275" s="885"/>
      <c r="CK1275" s="885"/>
      <c r="CL1275" s="885"/>
      <c r="CM1275" s="885"/>
      <c r="CN1275" s="885"/>
      <c r="CO1275" s="885"/>
      <c r="CP1275" s="885"/>
      <c r="CQ1275" s="885"/>
      <c r="CR1275" s="885"/>
      <c r="CS1275" s="885"/>
      <c r="CT1275" s="885"/>
      <c r="CU1275" s="885"/>
      <c r="CV1275" s="885"/>
      <c r="CW1275" s="885"/>
      <c r="CX1275" s="885"/>
      <c r="CY1275" s="885"/>
      <c r="CZ1275" s="885"/>
      <c r="DA1275" s="885"/>
      <c r="DB1275" s="885"/>
      <c r="DC1275" s="885"/>
      <c r="DD1275" s="885"/>
      <c r="DE1275" s="885"/>
      <c r="DF1275" s="885"/>
      <c r="DG1275" s="885"/>
      <c r="DH1275" s="885"/>
      <c r="DI1275" s="885"/>
      <c r="DJ1275" s="885"/>
      <c r="DK1275" s="885"/>
      <c r="DL1275" s="885"/>
      <c r="DM1275" s="885"/>
      <c r="DN1275" s="885"/>
      <c r="DO1275" s="885"/>
      <c r="DP1275" s="885"/>
      <c r="DQ1275" s="885"/>
      <c r="DR1275" s="885"/>
      <c r="DS1275" s="885"/>
      <c r="DT1275" s="885"/>
      <c r="DU1275" s="885"/>
      <c r="DV1275" s="885"/>
      <c r="DW1275" s="885"/>
      <c r="DX1275" s="885"/>
      <c r="DY1275" s="885"/>
      <c r="DZ1275" s="885"/>
      <c r="EA1275" s="885"/>
      <c r="EB1275" s="885"/>
      <c r="EC1275" s="885"/>
      <c r="ED1275" s="885"/>
      <c r="EE1275" s="885"/>
      <c r="EF1275" s="885"/>
      <c r="EG1275" s="885"/>
      <c r="EH1275" s="885"/>
      <c r="EI1275" s="885"/>
      <c r="EJ1275" s="885"/>
      <c r="EK1275" s="885"/>
      <c r="EL1275" s="885"/>
      <c r="EM1275" s="885"/>
      <c r="EN1275" s="885"/>
      <c r="EO1275" s="885"/>
      <c r="EP1275" s="885"/>
      <c r="EQ1275" s="885"/>
      <c r="ER1275" s="885"/>
      <c r="ES1275" s="885"/>
      <c r="ET1275" s="885"/>
      <c r="EU1275" s="885"/>
      <c r="EV1275" s="885"/>
      <c r="EW1275" s="885"/>
      <c r="EX1275" s="885"/>
      <c r="EY1275" s="885"/>
      <c r="EZ1275" s="885"/>
      <c r="FA1275" s="885"/>
      <c r="FB1275" s="885"/>
      <c r="FC1275" s="885"/>
      <c r="FD1275" s="885"/>
      <c r="FE1275" s="885"/>
      <c r="FF1275" s="885"/>
      <c r="FG1275" s="885"/>
      <c r="FH1275" s="885"/>
      <c r="FI1275" s="885"/>
      <c r="FJ1275" s="885"/>
      <c r="FK1275" s="885"/>
      <c r="FL1275" s="885"/>
      <c r="FM1275" s="885"/>
      <c r="FN1275" s="885"/>
      <c r="FO1275" s="885"/>
      <c r="FP1275" s="885"/>
      <c r="FQ1275" s="885"/>
      <c r="FR1275" s="885"/>
      <c r="FS1275" s="885"/>
      <c r="FT1275" s="885"/>
      <c r="FU1275" s="885"/>
      <c r="FV1275" s="885"/>
      <c r="FW1275" s="885"/>
      <c r="FX1275" s="885"/>
      <c r="FY1275" s="885"/>
      <c r="FZ1275" s="885"/>
      <c r="GA1275" s="885"/>
      <c r="GB1275" s="885"/>
      <c r="GC1275" s="885"/>
      <c r="GD1275" s="885"/>
      <c r="GE1275" s="885"/>
      <c r="GF1275" s="885"/>
      <c r="GG1275" s="885"/>
      <c r="GH1275" s="885"/>
      <c r="GI1275" s="885"/>
      <c r="GJ1275" s="885"/>
      <c r="GK1275" s="885"/>
      <c r="GL1275" s="885"/>
      <c r="GM1275" s="885"/>
      <c r="GN1275" s="885"/>
      <c r="GO1275" s="885"/>
      <c r="GP1275" s="885"/>
      <c r="GQ1275" s="885"/>
      <c r="GR1275" s="885"/>
      <c r="GS1275" s="885"/>
      <c r="GT1275" s="885"/>
      <c r="GU1275" s="885"/>
      <c r="GV1275" s="885"/>
      <c r="GW1275" s="885"/>
      <c r="GX1275" s="885"/>
      <c r="GY1275" s="885"/>
      <c r="GZ1275" s="885"/>
      <c r="HA1275" s="885"/>
      <c r="HB1275" s="885"/>
      <c r="HC1275" s="885"/>
      <c r="HD1275" s="885"/>
      <c r="HE1275" s="885"/>
      <c r="HF1275" s="885"/>
      <c r="HG1275" s="885"/>
      <c r="HH1275" s="885"/>
      <c r="HI1275" s="885"/>
      <c r="HJ1275" s="885"/>
      <c r="HK1275" s="885"/>
      <c r="HL1275" s="885"/>
      <c r="HM1275" s="885"/>
      <c r="HN1275" s="885"/>
      <c r="HO1275" s="885"/>
      <c r="HP1275" s="885"/>
      <c r="HQ1275" s="885"/>
      <c r="HR1275" s="885"/>
      <c r="HS1275" s="885"/>
      <c r="HT1275" s="885"/>
      <c r="HU1275" s="885"/>
      <c r="HV1275" s="885"/>
      <c r="HW1275" s="885"/>
      <c r="HX1275" s="885"/>
      <c r="HY1275" s="885"/>
      <c r="HZ1275" s="885"/>
      <c r="IA1275" s="885"/>
      <c r="IB1275" s="885"/>
      <c r="IC1275" s="885"/>
      <c r="ID1275" s="885"/>
      <c r="IE1275" s="885"/>
      <c r="IF1275" s="885"/>
      <c r="IG1275" s="885"/>
      <c r="IH1275" s="885"/>
      <c r="II1275" s="885"/>
      <c r="IJ1275" s="885"/>
      <c r="IK1275" s="885"/>
      <c r="IL1275" s="885"/>
      <c r="IM1275" s="885"/>
      <c r="IN1275" s="885"/>
      <c r="IO1275" s="885"/>
      <c r="IP1275" s="885"/>
      <c r="IQ1275" s="885"/>
      <c r="IR1275" s="885"/>
      <c r="IS1275" s="885"/>
      <c r="IT1275" s="885"/>
      <c r="IU1275" s="885"/>
      <c r="IV1275" s="885"/>
      <c r="IW1275" s="885"/>
      <c r="IX1275" s="885"/>
    </row>
    <row r="1276" spans="1:258" x14ac:dyDescent="0.25">
      <c r="A1276" s="125">
        <f t="shared" si="134"/>
        <v>1236</v>
      </c>
      <c r="B1276" s="885"/>
      <c r="C1276" s="927" t="s">
        <v>10800</v>
      </c>
      <c r="D1276" s="928"/>
      <c r="E1276" s="928"/>
      <c r="F1276" s="129"/>
      <c r="H1276" s="885"/>
      <c r="I1276" s="885"/>
      <c r="J1276" s="885"/>
      <c r="K1276" s="885"/>
      <c r="L1276" s="885"/>
      <c r="M1276" s="885"/>
      <c r="N1276" s="885"/>
      <c r="O1276" s="885"/>
      <c r="P1276" s="885"/>
      <c r="Q1276" s="885"/>
      <c r="R1276" s="885"/>
      <c r="S1276" s="885"/>
      <c r="T1276" s="885"/>
      <c r="U1276" s="885"/>
      <c r="V1276" s="885"/>
      <c r="W1276" s="885"/>
      <c r="X1276" s="885"/>
      <c r="Y1276" s="885"/>
      <c r="Z1276" s="885"/>
      <c r="AA1276" s="885"/>
      <c r="AB1276" s="885"/>
      <c r="AC1276" s="885"/>
      <c r="AD1276" s="885"/>
      <c r="AE1276" s="885"/>
      <c r="AF1276" s="885"/>
      <c r="AG1276" s="885"/>
      <c r="AH1276" s="885"/>
      <c r="AI1276" s="885"/>
      <c r="AJ1276" s="885"/>
      <c r="AK1276" s="885"/>
      <c r="AL1276" s="885"/>
      <c r="AM1276" s="885"/>
      <c r="AN1276" s="885"/>
      <c r="AO1276" s="885"/>
      <c r="AP1276" s="885"/>
      <c r="AQ1276" s="885"/>
      <c r="AR1276" s="885"/>
      <c r="AS1276" s="885"/>
      <c r="AT1276" s="885"/>
      <c r="AU1276" s="885"/>
      <c r="AV1276" s="885"/>
      <c r="AW1276" s="885"/>
      <c r="AX1276" s="885"/>
      <c r="AY1276" s="885"/>
      <c r="AZ1276" s="885"/>
      <c r="BA1276" s="885"/>
      <c r="BB1276" s="885"/>
      <c r="BC1276" s="885"/>
      <c r="BD1276" s="885"/>
      <c r="BE1276" s="885"/>
      <c r="BF1276" s="885"/>
      <c r="BG1276" s="885"/>
      <c r="BH1276" s="885"/>
      <c r="BI1276" s="885"/>
      <c r="BJ1276" s="885"/>
      <c r="BK1276" s="885"/>
      <c r="BL1276" s="885"/>
      <c r="BM1276" s="885"/>
      <c r="BN1276" s="885"/>
      <c r="BO1276" s="885"/>
      <c r="BP1276" s="885"/>
      <c r="BQ1276" s="885"/>
      <c r="BR1276" s="885"/>
      <c r="BS1276" s="885"/>
      <c r="BT1276" s="885"/>
      <c r="BU1276" s="885"/>
      <c r="BV1276" s="885"/>
      <c r="BW1276" s="885"/>
      <c r="BX1276" s="885"/>
      <c r="BY1276" s="885"/>
      <c r="BZ1276" s="885"/>
      <c r="CA1276" s="885"/>
      <c r="CB1276" s="885"/>
      <c r="CC1276" s="885"/>
      <c r="CD1276" s="885"/>
      <c r="CE1276" s="885"/>
      <c r="CF1276" s="885"/>
      <c r="CG1276" s="885"/>
      <c r="CH1276" s="885"/>
      <c r="CI1276" s="885"/>
      <c r="CJ1276" s="885"/>
      <c r="CK1276" s="885"/>
      <c r="CL1276" s="885"/>
      <c r="CM1276" s="885"/>
      <c r="CN1276" s="885"/>
      <c r="CO1276" s="885"/>
      <c r="CP1276" s="885"/>
      <c r="CQ1276" s="885"/>
      <c r="CR1276" s="885"/>
      <c r="CS1276" s="885"/>
      <c r="CT1276" s="885"/>
      <c r="CU1276" s="885"/>
      <c r="CV1276" s="885"/>
      <c r="CW1276" s="885"/>
      <c r="CX1276" s="885"/>
      <c r="CY1276" s="885"/>
      <c r="CZ1276" s="885"/>
      <c r="DA1276" s="885"/>
      <c r="DB1276" s="885"/>
      <c r="DC1276" s="885"/>
      <c r="DD1276" s="885"/>
      <c r="DE1276" s="885"/>
      <c r="DF1276" s="885"/>
      <c r="DG1276" s="885"/>
      <c r="DH1276" s="885"/>
      <c r="DI1276" s="885"/>
      <c r="DJ1276" s="885"/>
      <c r="DK1276" s="885"/>
      <c r="DL1276" s="885"/>
      <c r="DM1276" s="885"/>
      <c r="DN1276" s="885"/>
      <c r="DO1276" s="885"/>
      <c r="DP1276" s="885"/>
      <c r="DQ1276" s="885"/>
      <c r="DR1276" s="885"/>
      <c r="DS1276" s="885"/>
      <c r="DT1276" s="885"/>
      <c r="DU1276" s="885"/>
      <c r="DV1276" s="885"/>
      <c r="DW1276" s="885"/>
      <c r="DX1276" s="885"/>
      <c r="DY1276" s="885"/>
      <c r="DZ1276" s="885"/>
      <c r="EA1276" s="885"/>
      <c r="EB1276" s="885"/>
      <c r="EC1276" s="885"/>
      <c r="ED1276" s="885"/>
      <c r="EE1276" s="885"/>
      <c r="EF1276" s="885"/>
      <c r="EG1276" s="885"/>
      <c r="EH1276" s="885"/>
      <c r="EI1276" s="885"/>
      <c r="EJ1276" s="885"/>
      <c r="EK1276" s="885"/>
      <c r="EL1276" s="885"/>
      <c r="EM1276" s="885"/>
      <c r="EN1276" s="885"/>
      <c r="EO1276" s="885"/>
      <c r="EP1276" s="885"/>
      <c r="EQ1276" s="885"/>
      <c r="ER1276" s="885"/>
      <c r="ES1276" s="885"/>
      <c r="ET1276" s="885"/>
      <c r="EU1276" s="885"/>
      <c r="EV1276" s="885"/>
      <c r="EW1276" s="885"/>
      <c r="EX1276" s="885"/>
      <c r="EY1276" s="885"/>
      <c r="EZ1276" s="885"/>
      <c r="FA1276" s="885"/>
      <c r="FB1276" s="885"/>
      <c r="FC1276" s="885"/>
      <c r="FD1276" s="885"/>
      <c r="FE1276" s="885"/>
      <c r="FF1276" s="885"/>
      <c r="FG1276" s="885"/>
      <c r="FH1276" s="885"/>
      <c r="FI1276" s="885"/>
      <c r="FJ1276" s="885"/>
      <c r="FK1276" s="885"/>
      <c r="FL1276" s="885"/>
      <c r="FM1276" s="885"/>
      <c r="FN1276" s="885"/>
      <c r="FO1276" s="885"/>
      <c r="FP1276" s="885"/>
      <c r="FQ1276" s="885"/>
      <c r="FR1276" s="885"/>
      <c r="FS1276" s="885"/>
      <c r="FT1276" s="885"/>
      <c r="FU1276" s="885"/>
      <c r="FV1276" s="885"/>
      <c r="FW1276" s="885"/>
      <c r="FX1276" s="885"/>
      <c r="FY1276" s="885"/>
      <c r="FZ1276" s="885"/>
      <c r="GA1276" s="885"/>
      <c r="GB1276" s="885"/>
      <c r="GC1276" s="885"/>
      <c r="GD1276" s="885"/>
      <c r="GE1276" s="885"/>
      <c r="GF1276" s="885"/>
      <c r="GG1276" s="885"/>
      <c r="GH1276" s="885"/>
      <c r="GI1276" s="885"/>
      <c r="GJ1276" s="885"/>
      <c r="GK1276" s="885"/>
      <c r="GL1276" s="885"/>
      <c r="GM1276" s="885"/>
      <c r="GN1276" s="885"/>
      <c r="GO1276" s="885"/>
      <c r="GP1276" s="885"/>
      <c r="GQ1276" s="885"/>
      <c r="GR1276" s="885"/>
      <c r="GS1276" s="885"/>
      <c r="GT1276" s="885"/>
      <c r="GU1276" s="885"/>
      <c r="GV1276" s="885"/>
      <c r="GW1276" s="885"/>
      <c r="GX1276" s="885"/>
      <c r="GY1276" s="885"/>
      <c r="GZ1276" s="885"/>
      <c r="HA1276" s="885"/>
      <c r="HB1276" s="885"/>
      <c r="HC1276" s="885"/>
      <c r="HD1276" s="885"/>
      <c r="HE1276" s="885"/>
      <c r="HF1276" s="885"/>
      <c r="HG1276" s="885"/>
      <c r="HH1276" s="885"/>
      <c r="HI1276" s="885"/>
      <c r="HJ1276" s="885"/>
      <c r="HK1276" s="885"/>
      <c r="HL1276" s="885"/>
      <c r="HM1276" s="885"/>
      <c r="HN1276" s="885"/>
      <c r="HO1276" s="885"/>
      <c r="HP1276" s="885"/>
      <c r="HQ1276" s="885"/>
      <c r="HR1276" s="885"/>
      <c r="HS1276" s="885"/>
      <c r="HT1276" s="885"/>
      <c r="HU1276" s="885"/>
      <c r="HV1276" s="885"/>
      <c r="HW1276" s="885"/>
      <c r="HX1276" s="885"/>
      <c r="HY1276" s="885"/>
      <c r="HZ1276" s="885"/>
      <c r="IA1276" s="885"/>
      <c r="IB1276" s="885"/>
      <c r="IC1276" s="885"/>
      <c r="ID1276" s="885"/>
      <c r="IE1276" s="885"/>
      <c r="IF1276" s="885"/>
      <c r="IG1276" s="885"/>
      <c r="IH1276" s="885"/>
      <c r="II1276" s="885"/>
      <c r="IJ1276" s="885"/>
      <c r="IK1276" s="885"/>
      <c r="IL1276" s="885"/>
      <c r="IM1276" s="885"/>
      <c r="IN1276" s="885"/>
      <c r="IO1276" s="885"/>
      <c r="IP1276" s="885"/>
      <c r="IQ1276" s="885"/>
      <c r="IR1276" s="885"/>
      <c r="IS1276" s="885"/>
      <c r="IT1276" s="885"/>
      <c r="IU1276" s="885"/>
      <c r="IV1276" s="885"/>
      <c r="IW1276" s="885"/>
      <c r="IX1276" s="885"/>
    </row>
    <row r="1277" spans="1:258" x14ac:dyDescent="0.25">
      <c r="A1277" s="125">
        <f t="shared" si="134"/>
        <v>1237</v>
      </c>
      <c r="B1277" s="885"/>
      <c r="C1277" s="842" t="s">
        <v>10809</v>
      </c>
      <c r="D1277" s="924">
        <v>0</v>
      </c>
      <c r="E1277" s="924">
        <f t="shared" ref="E1277" si="143">D1277/8*12</f>
        <v>0</v>
      </c>
      <c r="F1277" s="129">
        <v>3000</v>
      </c>
      <c r="G1277" s="122" t="s">
        <v>1963</v>
      </c>
      <c r="H1277" s="885"/>
      <c r="I1277" s="885"/>
      <c r="J1277" s="885"/>
      <c r="K1277" s="885"/>
      <c r="L1277" s="885"/>
      <c r="M1277" s="885"/>
      <c r="N1277" s="885"/>
      <c r="O1277" s="885"/>
      <c r="P1277" s="885"/>
      <c r="Q1277" s="885"/>
      <c r="R1277" s="885"/>
      <c r="S1277" s="885"/>
      <c r="T1277" s="885"/>
      <c r="U1277" s="885"/>
      <c r="V1277" s="885"/>
      <c r="W1277" s="885"/>
      <c r="X1277" s="885"/>
      <c r="Y1277" s="885"/>
      <c r="Z1277" s="885"/>
      <c r="AA1277" s="885"/>
      <c r="AB1277" s="885"/>
      <c r="AC1277" s="885"/>
      <c r="AD1277" s="885"/>
      <c r="AE1277" s="885"/>
      <c r="AF1277" s="885"/>
      <c r="AG1277" s="885"/>
      <c r="AH1277" s="885"/>
      <c r="AI1277" s="885"/>
      <c r="AJ1277" s="885"/>
      <c r="AK1277" s="885"/>
      <c r="AL1277" s="885"/>
      <c r="AM1277" s="885"/>
      <c r="AN1277" s="885"/>
      <c r="AO1277" s="885"/>
      <c r="AP1277" s="885"/>
      <c r="AQ1277" s="885"/>
      <c r="AR1277" s="885"/>
      <c r="AS1277" s="885"/>
      <c r="AT1277" s="885"/>
      <c r="AU1277" s="885"/>
      <c r="AV1277" s="885"/>
      <c r="AW1277" s="885"/>
      <c r="AX1277" s="885"/>
      <c r="AY1277" s="885"/>
      <c r="AZ1277" s="885"/>
      <c r="BA1277" s="885"/>
      <c r="BB1277" s="885"/>
      <c r="BC1277" s="885"/>
      <c r="BD1277" s="885"/>
      <c r="BE1277" s="885"/>
      <c r="BF1277" s="885"/>
      <c r="BG1277" s="885"/>
      <c r="BH1277" s="885"/>
      <c r="BI1277" s="885"/>
      <c r="BJ1277" s="885"/>
      <c r="BK1277" s="885"/>
      <c r="BL1277" s="885"/>
      <c r="BM1277" s="885"/>
      <c r="BN1277" s="885"/>
      <c r="BO1277" s="885"/>
      <c r="BP1277" s="885"/>
      <c r="BQ1277" s="885"/>
      <c r="BR1277" s="885"/>
      <c r="BS1277" s="885"/>
      <c r="BT1277" s="885"/>
      <c r="BU1277" s="885"/>
      <c r="BV1277" s="885"/>
      <c r="BW1277" s="885"/>
      <c r="BX1277" s="885"/>
      <c r="BY1277" s="885"/>
      <c r="BZ1277" s="885"/>
      <c r="CA1277" s="885"/>
      <c r="CB1277" s="885"/>
      <c r="CC1277" s="885"/>
      <c r="CD1277" s="885"/>
      <c r="CE1277" s="885"/>
      <c r="CF1277" s="885"/>
      <c r="CG1277" s="885"/>
      <c r="CH1277" s="885"/>
      <c r="CI1277" s="885"/>
      <c r="CJ1277" s="885"/>
      <c r="CK1277" s="885"/>
      <c r="CL1277" s="885"/>
      <c r="CM1277" s="885"/>
      <c r="CN1277" s="885"/>
      <c r="CO1277" s="885"/>
      <c r="CP1277" s="885"/>
      <c r="CQ1277" s="885"/>
      <c r="CR1277" s="885"/>
      <c r="CS1277" s="885"/>
      <c r="CT1277" s="885"/>
      <c r="CU1277" s="885"/>
      <c r="CV1277" s="885"/>
      <c r="CW1277" s="885"/>
      <c r="CX1277" s="885"/>
      <c r="CY1277" s="885"/>
      <c r="CZ1277" s="885"/>
      <c r="DA1277" s="885"/>
      <c r="DB1277" s="885"/>
      <c r="DC1277" s="885"/>
      <c r="DD1277" s="885"/>
      <c r="DE1277" s="885"/>
      <c r="DF1277" s="885"/>
      <c r="DG1277" s="885"/>
      <c r="DH1277" s="885"/>
      <c r="DI1277" s="885"/>
      <c r="DJ1277" s="885"/>
      <c r="DK1277" s="885"/>
      <c r="DL1277" s="885"/>
      <c r="DM1277" s="885"/>
      <c r="DN1277" s="885"/>
      <c r="DO1277" s="885"/>
      <c r="DP1277" s="885"/>
      <c r="DQ1277" s="885"/>
      <c r="DR1277" s="885"/>
      <c r="DS1277" s="885"/>
      <c r="DT1277" s="885"/>
      <c r="DU1277" s="885"/>
      <c r="DV1277" s="885"/>
      <c r="DW1277" s="885"/>
      <c r="DX1277" s="885"/>
      <c r="DY1277" s="885"/>
      <c r="DZ1277" s="885"/>
      <c r="EA1277" s="885"/>
      <c r="EB1277" s="885"/>
      <c r="EC1277" s="885"/>
      <c r="ED1277" s="885"/>
      <c r="EE1277" s="885"/>
      <c r="EF1277" s="885"/>
      <c r="EG1277" s="885"/>
      <c r="EH1277" s="885"/>
      <c r="EI1277" s="885"/>
      <c r="EJ1277" s="885"/>
      <c r="EK1277" s="885"/>
      <c r="EL1277" s="885"/>
      <c r="EM1277" s="885"/>
      <c r="EN1277" s="885"/>
      <c r="EO1277" s="885"/>
      <c r="EP1277" s="885"/>
      <c r="EQ1277" s="885"/>
      <c r="ER1277" s="885"/>
      <c r="ES1277" s="885"/>
      <c r="ET1277" s="885"/>
      <c r="EU1277" s="885"/>
      <c r="EV1277" s="885"/>
      <c r="EW1277" s="885"/>
      <c r="EX1277" s="885"/>
      <c r="EY1277" s="885"/>
      <c r="EZ1277" s="885"/>
      <c r="FA1277" s="885"/>
      <c r="FB1277" s="885"/>
      <c r="FC1277" s="885"/>
      <c r="FD1277" s="885"/>
      <c r="FE1277" s="885"/>
      <c r="FF1277" s="885"/>
      <c r="FG1277" s="885"/>
      <c r="FH1277" s="885"/>
      <c r="FI1277" s="885"/>
      <c r="FJ1277" s="885"/>
      <c r="FK1277" s="885"/>
      <c r="FL1277" s="885"/>
      <c r="FM1277" s="885"/>
      <c r="FN1277" s="885"/>
      <c r="FO1277" s="885"/>
      <c r="FP1277" s="885"/>
      <c r="FQ1277" s="885"/>
      <c r="FR1277" s="885"/>
      <c r="FS1277" s="885"/>
      <c r="FT1277" s="885"/>
      <c r="FU1277" s="885"/>
      <c r="FV1277" s="885"/>
      <c r="FW1277" s="885"/>
      <c r="FX1277" s="885"/>
      <c r="FY1277" s="885"/>
      <c r="FZ1277" s="885"/>
      <c r="GA1277" s="885"/>
      <c r="GB1277" s="885"/>
      <c r="GC1277" s="885"/>
      <c r="GD1277" s="885"/>
      <c r="GE1277" s="885"/>
      <c r="GF1277" s="885"/>
      <c r="GG1277" s="885"/>
      <c r="GH1277" s="885"/>
      <c r="GI1277" s="885"/>
      <c r="GJ1277" s="885"/>
      <c r="GK1277" s="885"/>
      <c r="GL1277" s="885"/>
      <c r="GM1277" s="885"/>
      <c r="GN1277" s="885"/>
      <c r="GO1277" s="885"/>
      <c r="GP1277" s="885"/>
      <c r="GQ1277" s="885"/>
      <c r="GR1277" s="885"/>
      <c r="GS1277" s="885"/>
      <c r="GT1277" s="885"/>
      <c r="GU1277" s="885"/>
      <c r="GV1277" s="885"/>
      <c r="GW1277" s="885"/>
      <c r="GX1277" s="885"/>
      <c r="GY1277" s="885"/>
      <c r="GZ1277" s="885"/>
      <c r="HA1277" s="885"/>
      <c r="HB1277" s="885"/>
      <c r="HC1277" s="885"/>
      <c r="HD1277" s="885"/>
      <c r="HE1277" s="885"/>
      <c r="HF1277" s="885"/>
      <c r="HG1277" s="885"/>
      <c r="HH1277" s="885"/>
      <c r="HI1277" s="885"/>
      <c r="HJ1277" s="885"/>
      <c r="HK1277" s="885"/>
      <c r="HL1277" s="885"/>
      <c r="HM1277" s="885"/>
      <c r="HN1277" s="885"/>
      <c r="HO1277" s="885"/>
      <c r="HP1277" s="885"/>
      <c r="HQ1277" s="885"/>
      <c r="HR1277" s="885"/>
      <c r="HS1277" s="885"/>
      <c r="HT1277" s="885"/>
      <c r="HU1277" s="885"/>
      <c r="HV1277" s="885"/>
      <c r="HW1277" s="885"/>
      <c r="HX1277" s="885"/>
      <c r="HY1277" s="885"/>
      <c r="HZ1277" s="885"/>
      <c r="IA1277" s="885"/>
      <c r="IB1277" s="885"/>
      <c r="IC1277" s="885"/>
      <c r="ID1277" s="885"/>
      <c r="IE1277" s="885"/>
      <c r="IF1277" s="885"/>
      <c r="IG1277" s="885"/>
      <c r="IH1277" s="885"/>
      <c r="II1277" s="885"/>
      <c r="IJ1277" s="885"/>
      <c r="IK1277" s="885"/>
      <c r="IL1277" s="885"/>
      <c r="IM1277" s="885"/>
      <c r="IN1277" s="885"/>
      <c r="IO1277" s="885"/>
      <c r="IP1277" s="885"/>
      <c r="IQ1277" s="885"/>
      <c r="IR1277" s="885"/>
      <c r="IS1277" s="885"/>
      <c r="IT1277" s="885"/>
      <c r="IU1277" s="885"/>
      <c r="IV1277" s="885"/>
      <c r="IW1277" s="885"/>
      <c r="IX1277" s="885"/>
    </row>
    <row r="1278" spans="1:258" ht="31.5" x14ac:dyDescent="0.25">
      <c r="A1278" s="125">
        <f t="shared" si="134"/>
        <v>1238</v>
      </c>
      <c r="B1278" s="885"/>
      <c r="C1278" s="842" t="s">
        <v>10810</v>
      </c>
      <c r="D1278" s="924">
        <v>0</v>
      </c>
      <c r="E1278" s="924">
        <f t="shared" ref="E1278" si="144">D1278/8*12</f>
        <v>0</v>
      </c>
      <c r="F1278" s="129">
        <v>1500</v>
      </c>
      <c r="G1278" s="122" t="s">
        <v>1963</v>
      </c>
      <c r="H1278" s="885"/>
      <c r="I1278" s="885"/>
      <c r="J1278" s="885"/>
      <c r="K1278" s="885"/>
      <c r="L1278" s="885"/>
      <c r="M1278" s="885"/>
      <c r="N1278" s="885"/>
      <c r="O1278" s="885"/>
      <c r="P1278" s="885"/>
      <c r="Q1278" s="885"/>
      <c r="R1278" s="885"/>
      <c r="S1278" s="885"/>
      <c r="T1278" s="885"/>
      <c r="U1278" s="885"/>
      <c r="V1278" s="885"/>
      <c r="W1278" s="885"/>
      <c r="X1278" s="885"/>
      <c r="Y1278" s="885"/>
      <c r="Z1278" s="885"/>
      <c r="AA1278" s="885"/>
      <c r="AB1278" s="885"/>
      <c r="AC1278" s="885"/>
      <c r="AD1278" s="885"/>
      <c r="AE1278" s="885"/>
      <c r="AF1278" s="885"/>
      <c r="AG1278" s="885"/>
      <c r="AH1278" s="885"/>
      <c r="AI1278" s="885"/>
      <c r="AJ1278" s="885"/>
      <c r="AK1278" s="885"/>
      <c r="AL1278" s="885"/>
      <c r="AM1278" s="885"/>
      <c r="AN1278" s="885"/>
      <c r="AO1278" s="885"/>
      <c r="AP1278" s="885"/>
      <c r="AQ1278" s="885"/>
      <c r="AR1278" s="885"/>
      <c r="AS1278" s="885"/>
      <c r="AT1278" s="885"/>
      <c r="AU1278" s="885"/>
      <c r="AV1278" s="885"/>
      <c r="AW1278" s="885"/>
      <c r="AX1278" s="885"/>
      <c r="AY1278" s="885"/>
      <c r="AZ1278" s="885"/>
      <c r="BA1278" s="885"/>
      <c r="BB1278" s="885"/>
      <c r="BC1278" s="885"/>
      <c r="BD1278" s="885"/>
      <c r="BE1278" s="885"/>
      <c r="BF1278" s="885"/>
      <c r="BG1278" s="885"/>
      <c r="BH1278" s="885"/>
      <c r="BI1278" s="885"/>
      <c r="BJ1278" s="885"/>
      <c r="BK1278" s="885"/>
      <c r="BL1278" s="885"/>
      <c r="BM1278" s="885"/>
      <c r="BN1278" s="885"/>
      <c r="BO1278" s="885"/>
      <c r="BP1278" s="885"/>
      <c r="BQ1278" s="885"/>
      <c r="BR1278" s="885"/>
      <c r="BS1278" s="885"/>
      <c r="BT1278" s="885"/>
      <c r="BU1278" s="885"/>
      <c r="BV1278" s="885"/>
      <c r="BW1278" s="885"/>
      <c r="BX1278" s="885"/>
      <c r="BY1278" s="885"/>
      <c r="BZ1278" s="885"/>
      <c r="CA1278" s="885"/>
      <c r="CB1278" s="885"/>
      <c r="CC1278" s="885"/>
      <c r="CD1278" s="885"/>
      <c r="CE1278" s="885"/>
      <c r="CF1278" s="885"/>
      <c r="CG1278" s="885"/>
      <c r="CH1278" s="885"/>
      <c r="CI1278" s="885"/>
      <c r="CJ1278" s="885"/>
      <c r="CK1278" s="885"/>
      <c r="CL1278" s="885"/>
      <c r="CM1278" s="885"/>
      <c r="CN1278" s="885"/>
      <c r="CO1278" s="885"/>
      <c r="CP1278" s="885"/>
      <c r="CQ1278" s="885"/>
      <c r="CR1278" s="885"/>
      <c r="CS1278" s="885"/>
      <c r="CT1278" s="885"/>
      <c r="CU1278" s="885"/>
      <c r="CV1278" s="885"/>
      <c r="CW1278" s="885"/>
      <c r="CX1278" s="885"/>
      <c r="CY1278" s="885"/>
      <c r="CZ1278" s="885"/>
      <c r="DA1278" s="885"/>
      <c r="DB1278" s="885"/>
      <c r="DC1278" s="885"/>
      <c r="DD1278" s="885"/>
      <c r="DE1278" s="885"/>
      <c r="DF1278" s="885"/>
      <c r="DG1278" s="885"/>
      <c r="DH1278" s="885"/>
      <c r="DI1278" s="885"/>
      <c r="DJ1278" s="885"/>
      <c r="DK1278" s="885"/>
      <c r="DL1278" s="885"/>
      <c r="DM1278" s="885"/>
      <c r="DN1278" s="885"/>
      <c r="DO1278" s="885"/>
      <c r="DP1278" s="885"/>
      <c r="DQ1278" s="885"/>
      <c r="DR1278" s="885"/>
      <c r="DS1278" s="885"/>
      <c r="DT1278" s="885"/>
      <c r="DU1278" s="885"/>
      <c r="DV1278" s="885"/>
      <c r="DW1278" s="885"/>
      <c r="DX1278" s="885"/>
      <c r="DY1278" s="885"/>
      <c r="DZ1278" s="885"/>
      <c r="EA1278" s="885"/>
      <c r="EB1278" s="885"/>
      <c r="EC1278" s="885"/>
      <c r="ED1278" s="885"/>
      <c r="EE1278" s="885"/>
      <c r="EF1278" s="885"/>
      <c r="EG1278" s="885"/>
      <c r="EH1278" s="885"/>
      <c r="EI1278" s="885"/>
      <c r="EJ1278" s="885"/>
      <c r="EK1278" s="885"/>
      <c r="EL1278" s="885"/>
      <c r="EM1278" s="885"/>
      <c r="EN1278" s="885"/>
      <c r="EO1278" s="885"/>
      <c r="EP1278" s="885"/>
      <c r="EQ1278" s="885"/>
      <c r="ER1278" s="885"/>
      <c r="ES1278" s="885"/>
      <c r="ET1278" s="885"/>
      <c r="EU1278" s="885"/>
      <c r="EV1278" s="885"/>
      <c r="EW1278" s="885"/>
      <c r="EX1278" s="885"/>
      <c r="EY1278" s="885"/>
      <c r="EZ1278" s="885"/>
      <c r="FA1278" s="885"/>
      <c r="FB1278" s="885"/>
      <c r="FC1278" s="885"/>
      <c r="FD1278" s="885"/>
      <c r="FE1278" s="885"/>
      <c r="FF1278" s="885"/>
      <c r="FG1278" s="885"/>
      <c r="FH1278" s="885"/>
      <c r="FI1278" s="885"/>
      <c r="FJ1278" s="885"/>
      <c r="FK1278" s="885"/>
      <c r="FL1278" s="885"/>
      <c r="FM1278" s="885"/>
      <c r="FN1278" s="885"/>
      <c r="FO1278" s="885"/>
      <c r="FP1278" s="885"/>
      <c r="FQ1278" s="885"/>
      <c r="FR1278" s="885"/>
      <c r="FS1278" s="885"/>
      <c r="FT1278" s="885"/>
      <c r="FU1278" s="885"/>
      <c r="FV1278" s="885"/>
      <c r="FW1278" s="885"/>
      <c r="FX1278" s="885"/>
      <c r="FY1278" s="885"/>
      <c r="FZ1278" s="885"/>
      <c r="GA1278" s="885"/>
      <c r="GB1278" s="885"/>
      <c r="GC1278" s="885"/>
      <c r="GD1278" s="885"/>
      <c r="GE1278" s="885"/>
      <c r="GF1278" s="885"/>
      <c r="GG1278" s="885"/>
      <c r="GH1278" s="885"/>
      <c r="GI1278" s="885"/>
      <c r="GJ1278" s="885"/>
      <c r="GK1278" s="885"/>
      <c r="GL1278" s="885"/>
      <c r="GM1278" s="885"/>
      <c r="GN1278" s="885"/>
      <c r="GO1278" s="885"/>
      <c r="GP1278" s="885"/>
      <c r="GQ1278" s="885"/>
      <c r="GR1278" s="885"/>
      <c r="GS1278" s="885"/>
      <c r="GT1278" s="885"/>
      <c r="GU1278" s="885"/>
      <c r="GV1278" s="885"/>
      <c r="GW1278" s="885"/>
      <c r="GX1278" s="885"/>
      <c r="GY1278" s="885"/>
      <c r="GZ1278" s="885"/>
      <c r="HA1278" s="885"/>
      <c r="HB1278" s="885"/>
      <c r="HC1278" s="885"/>
      <c r="HD1278" s="885"/>
      <c r="HE1278" s="885"/>
      <c r="HF1278" s="885"/>
      <c r="HG1278" s="885"/>
      <c r="HH1278" s="885"/>
      <c r="HI1278" s="885"/>
      <c r="HJ1278" s="885"/>
      <c r="HK1278" s="885"/>
      <c r="HL1278" s="885"/>
      <c r="HM1278" s="885"/>
      <c r="HN1278" s="885"/>
      <c r="HO1278" s="885"/>
      <c r="HP1278" s="885"/>
      <c r="HQ1278" s="885"/>
      <c r="HR1278" s="885"/>
      <c r="HS1278" s="885"/>
      <c r="HT1278" s="885"/>
      <c r="HU1278" s="885"/>
      <c r="HV1278" s="885"/>
      <c r="HW1278" s="885"/>
      <c r="HX1278" s="885"/>
      <c r="HY1278" s="885"/>
      <c r="HZ1278" s="885"/>
      <c r="IA1278" s="885"/>
      <c r="IB1278" s="885"/>
      <c r="IC1278" s="885"/>
      <c r="ID1278" s="885"/>
      <c r="IE1278" s="885"/>
      <c r="IF1278" s="885"/>
      <c r="IG1278" s="885"/>
      <c r="IH1278" s="885"/>
      <c r="II1278" s="885"/>
      <c r="IJ1278" s="885"/>
      <c r="IK1278" s="885"/>
      <c r="IL1278" s="885"/>
      <c r="IM1278" s="885"/>
      <c r="IN1278" s="885"/>
      <c r="IO1278" s="885"/>
      <c r="IP1278" s="885"/>
      <c r="IQ1278" s="885"/>
      <c r="IR1278" s="885"/>
      <c r="IS1278" s="885"/>
      <c r="IT1278" s="885"/>
      <c r="IU1278" s="885"/>
      <c r="IV1278" s="885"/>
      <c r="IW1278" s="885"/>
      <c r="IX1278" s="885"/>
    </row>
    <row r="1279" spans="1:258" x14ac:dyDescent="0.25">
      <c r="A1279" s="125">
        <f t="shared" si="134"/>
        <v>1239</v>
      </c>
      <c r="B1279" s="885"/>
      <c r="C1279" s="842" t="s">
        <v>10811</v>
      </c>
      <c r="D1279" s="924">
        <v>0</v>
      </c>
      <c r="E1279" s="924">
        <f t="shared" ref="E1279" si="145">D1279/8*12</f>
        <v>0</v>
      </c>
      <c r="F1279" s="129">
        <v>1000</v>
      </c>
      <c r="G1279" s="122" t="s">
        <v>1963</v>
      </c>
      <c r="H1279" s="885"/>
      <c r="I1279" s="885"/>
      <c r="J1279" s="885"/>
      <c r="K1279" s="885"/>
      <c r="L1279" s="885"/>
      <c r="M1279" s="885"/>
      <c r="N1279" s="885"/>
      <c r="O1279" s="885"/>
      <c r="P1279" s="885"/>
      <c r="Q1279" s="885"/>
      <c r="R1279" s="885"/>
      <c r="S1279" s="885"/>
      <c r="T1279" s="885"/>
      <c r="U1279" s="885"/>
      <c r="V1279" s="885"/>
      <c r="W1279" s="885"/>
      <c r="X1279" s="885"/>
      <c r="Y1279" s="885"/>
      <c r="Z1279" s="885"/>
      <c r="AA1279" s="885"/>
      <c r="AB1279" s="885"/>
      <c r="AC1279" s="885"/>
      <c r="AD1279" s="885"/>
      <c r="AE1279" s="885"/>
      <c r="AF1279" s="885"/>
      <c r="AG1279" s="885"/>
      <c r="AH1279" s="885"/>
      <c r="AI1279" s="885"/>
      <c r="AJ1279" s="885"/>
      <c r="AK1279" s="885"/>
      <c r="AL1279" s="885"/>
      <c r="AM1279" s="885"/>
      <c r="AN1279" s="885"/>
      <c r="AO1279" s="885"/>
      <c r="AP1279" s="885"/>
      <c r="AQ1279" s="885"/>
      <c r="AR1279" s="885"/>
      <c r="AS1279" s="885"/>
      <c r="AT1279" s="885"/>
      <c r="AU1279" s="885"/>
      <c r="AV1279" s="885"/>
      <c r="AW1279" s="885"/>
      <c r="AX1279" s="885"/>
      <c r="AY1279" s="885"/>
      <c r="AZ1279" s="885"/>
      <c r="BA1279" s="885"/>
      <c r="BB1279" s="885"/>
      <c r="BC1279" s="885"/>
      <c r="BD1279" s="885"/>
      <c r="BE1279" s="885"/>
      <c r="BF1279" s="885"/>
      <c r="BG1279" s="885"/>
      <c r="BH1279" s="885"/>
      <c r="BI1279" s="885"/>
      <c r="BJ1279" s="885"/>
      <c r="BK1279" s="885"/>
      <c r="BL1279" s="885"/>
      <c r="BM1279" s="885"/>
      <c r="BN1279" s="885"/>
      <c r="BO1279" s="885"/>
      <c r="BP1279" s="885"/>
      <c r="BQ1279" s="885"/>
      <c r="BR1279" s="885"/>
      <c r="BS1279" s="885"/>
      <c r="BT1279" s="885"/>
      <c r="BU1279" s="885"/>
      <c r="BV1279" s="885"/>
      <c r="BW1279" s="885"/>
      <c r="BX1279" s="885"/>
      <c r="BY1279" s="885"/>
      <c r="BZ1279" s="885"/>
      <c r="CA1279" s="885"/>
      <c r="CB1279" s="885"/>
      <c r="CC1279" s="885"/>
      <c r="CD1279" s="885"/>
      <c r="CE1279" s="885"/>
      <c r="CF1279" s="885"/>
      <c r="CG1279" s="885"/>
      <c r="CH1279" s="885"/>
      <c r="CI1279" s="885"/>
      <c r="CJ1279" s="885"/>
      <c r="CK1279" s="885"/>
      <c r="CL1279" s="885"/>
      <c r="CM1279" s="885"/>
      <c r="CN1279" s="885"/>
      <c r="CO1279" s="885"/>
      <c r="CP1279" s="885"/>
      <c r="CQ1279" s="885"/>
      <c r="CR1279" s="885"/>
      <c r="CS1279" s="885"/>
      <c r="CT1279" s="885"/>
      <c r="CU1279" s="885"/>
      <c r="CV1279" s="885"/>
      <c r="CW1279" s="885"/>
      <c r="CX1279" s="885"/>
      <c r="CY1279" s="885"/>
      <c r="CZ1279" s="885"/>
      <c r="DA1279" s="885"/>
      <c r="DB1279" s="885"/>
      <c r="DC1279" s="885"/>
      <c r="DD1279" s="885"/>
      <c r="DE1279" s="885"/>
      <c r="DF1279" s="885"/>
      <c r="DG1279" s="885"/>
      <c r="DH1279" s="885"/>
      <c r="DI1279" s="885"/>
      <c r="DJ1279" s="885"/>
      <c r="DK1279" s="885"/>
      <c r="DL1279" s="885"/>
      <c r="DM1279" s="885"/>
      <c r="DN1279" s="885"/>
      <c r="DO1279" s="885"/>
      <c r="DP1279" s="885"/>
      <c r="DQ1279" s="885"/>
      <c r="DR1279" s="885"/>
      <c r="DS1279" s="885"/>
      <c r="DT1279" s="885"/>
      <c r="DU1279" s="885"/>
      <c r="DV1279" s="885"/>
      <c r="DW1279" s="885"/>
      <c r="DX1279" s="885"/>
      <c r="DY1279" s="885"/>
      <c r="DZ1279" s="885"/>
      <c r="EA1279" s="885"/>
      <c r="EB1279" s="885"/>
      <c r="EC1279" s="885"/>
      <c r="ED1279" s="885"/>
      <c r="EE1279" s="885"/>
      <c r="EF1279" s="885"/>
      <c r="EG1279" s="885"/>
      <c r="EH1279" s="885"/>
      <c r="EI1279" s="885"/>
      <c r="EJ1279" s="885"/>
      <c r="EK1279" s="885"/>
      <c r="EL1279" s="885"/>
      <c r="EM1279" s="885"/>
      <c r="EN1279" s="885"/>
      <c r="EO1279" s="885"/>
      <c r="EP1279" s="885"/>
      <c r="EQ1279" s="885"/>
      <c r="ER1279" s="885"/>
      <c r="ES1279" s="885"/>
      <c r="ET1279" s="885"/>
      <c r="EU1279" s="885"/>
      <c r="EV1279" s="885"/>
      <c r="EW1279" s="885"/>
      <c r="EX1279" s="885"/>
      <c r="EY1279" s="885"/>
      <c r="EZ1279" s="885"/>
      <c r="FA1279" s="885"/>
      <c r="FB1279" s="885"/>
      <c r="FC1279" s="885"/>
      <c r="FD1279" s="885"/>
      <c r="FE1279" s="885"/>
      <c r="FF1279" s="885"/>
      <c r="FG1279" s="885"/>
      <c r="FH1279" s="885"/>
      <c r="FI1279" s="885"/>
      <c r="FJ1279" s="885"/>
      <c r="FK1279" s="885"/>
      <c r="FL1279" s="885"/>
      <c r="FM1279" s="885"/>
      <c r="FN1279" s="885"/>
      <c r="FO1279" s="885"/>
      <c r="FP1279" s="885"/>
      <c r="FQ1279" s="885"/>
      <c r="FR1279" s="885"/>
      <c r="FS1279" s="885"/>
      <c r="FT1279" s="885"/>
      <c r="FU1279" s="885"/>
      <c r="FV1279" s="885"/>
      <c r="FW1279" s="885"/>
      <c r="FX1279" s="885"/>
      <c r="FY1279" s="885"/>
      <c r="FZ1279" s="885"/>
      <c r="GA1279" s="885"/>
      <c r="GB1279" s="885"/>
      <c r="GC1279" s="885"/>
      <c r="GD1279" s="885"/>
      <c r="GE1279" s="885"/>
      <c r="GF1279" s="885"/>
      <c r="GG1279" s="885"/>
      <c r="GH1279" s="885"/>
      <c r="GI1279" s="885"/>
      <c r="GJ1279" s="885"/>
      <c r="GK1279" s="885"/>
      <c r="GL1279" s="885"/>
      <c r="GM1279" s="885"/>
      <c r="GN1279" s="885"/>
      <c r="GO1279" s="885"/>
      <c r="GP1279" s="885"/>
      <c r="GQ1279" s="885"/>
      <c r="GR1279" s="885"/>
      <c r="GS1279" s="885"/>
      <c r="GT1279" s="885"/>
      <c r="GU1279" s="885"/>
      <c r="GV1279" s="885"/>
      <c r="GW1279" s="885"/>
      <c r="GX1279" s="885"/>
      <c r="GY1279" s="885"/>
      <c r="GZ1279" s="885"/>
      <c r="HA1279" s="885"/>
      <c r="HB1279" s="885"/>
      <c r="HC1279" s="885"/>
      <c r="HD1279" s="885"/>
      <c r="HE1279" s="885"/>
      <c r="HF1279" s="885"/>
      <c r="HG1279" s="885"/>
      <c r="HH1279" s="885"/>
      <c r="HI1279" s="885"/>
      <c r="HJ1279" s="885"/>
      <c r="HK1279" s="885"/>
      <c r="HL1279" s="885"/>
      <c r="HM1279" s="885"/>
      <c r="HN1279" s="885"/>
      <c r="HO1279" s="885"/>
      <c r="HP1279" s="885"/>
      <c r="HQ1279" s="885"/>
      <c r="HR1279" s="885"/>
      <c r="HS1279" s="885"/>
      <c r="HT1279" s="885"/>
      <c r="HU1279" s="885"/>
      <c r="HV1279" s="885"/>
      <c r="HW1279" s="885"/>
      <c r="HX1279" s="885"/>
      <c r="HY1279" s="885"/>
      <c r="HZ1279" s="885"/>
      <c r="IA1279" s="885"/>
      <c r="IB1279" s="885"/>
      <c r="IC1279" s="885"/>
      <c r="ID1279" s="885"/>
      <c r="IE1279" s="885"/>
      <c r="IF1279" s="885"/>
      <c r="IG1279" s="885"/>
      <c r="IH1279" s="885"/>
      <c r="II1279" s="885"/>
      <c r="IJ1279" s="885"/>
      <c r="IK1279" s="885"/>
      <c r="IL1279" s="885"/>
      <c r="IM1279" s="885"/>
      <c r="IN1279" s="885"/>
      <c r="IO1279" s="885"/>
      <c r="IP1279" s="885"/>
      <c r="IQ1279" s="885"/>
      <c r="IR1279" s="885"/>
      <c r="IS1279" s="885"/>
      <c r="IT1279" s="885"/>
      <c r="IU1279" s="885"/>
      <c r="IV1279" s="885"/>
      <c r="IW1279" s="885"/>
      <c r="IX1279" s="885"/>
    </row>
    <row r="1280" spans="1:258" x14ac:dyDescent="0.25">
      <c r="A1280" s="125">
        <f t="shared" si="134"/>
        <v>1240</v>
      </c>
      <c r="B1280" s="885"/>
      <c r="C1280" s="842" t="s">
        <v>10812</v>
      </c>
      <c r="D1280" s="924">
        <v>0</v>
      </c>
      <c r="E1280" s="924">
        <f t="shared" ref="E1280" si="146">D1280/8*12</f>
        <v>0</v>
      </c>
      <c r="F1280" s="129">
        <v>15000</v>
      </c>
      <c r="G1280" s="122" t="s">
        <v>1963</v>
      </c>
      <c r="H1280" s="885"/>
      <c r="I1280" s="885"/>
      <c r="J1280" s="885"/>
      <c r="K1280" s="885"/>
      <c r="L1280" s="885"/>
      <c r="M1280" s="885"/>
      <c r="N1280" s="885"/>
      <c r="O1280" s="885"/>
      <c r="P1280" s="885"/>
      <c r="Q1280" s="885"/>
      <c r="R1280" s="885"/>
      <c r="S1280" s="885"/>
      <c r="T1280" s="885"/>
      <c r="U1280" s="885"/>
      <c r="V1280" s="885"/>
      <c r="W1280" s="885"/>
      <c r="X1280" s="885"/>
      <c r="Y1280" s="885"/>
      <c r="Z1280" s="885"/>
      <c r="AA1280" s="885"/>
      <c r="AB1280" s="885"/>
      <c r="AC1280" s="885"/>
      <c r="AD1280" s="885"/>
      <c r="AE1280" s="885"/>
      <c r="AF1280" s="885"/>
      <c r="AG1280" s="885"/>
      <c r="AH1280" s="885"/>
      <c r="AI1280" s="885"/>
      <c r="AJ1280" s="885"/>
      <c r="AK1280" s="885"/>
      <c r="AL1280" s="885"/>
      <c r="AM1280" s="885"/>
      <c r="AN1280" s="885"/>
      <c r="AO1280" s="885"/>
      <c r="AP1280" s="885"/>
      <c r="AQ1280" s="885"/>
      <c r="AR1280" s="885"/>
      <c r="AS1280" s="885"/>
      <c r="AT1280" s="885"/>
      <c r="AU1280" s="885"/>
      <c r="AV1280" s="885"/>
      <c r="AW1280" s="885"/>
      <c r="AX1280" s="885"/>
      <c r="AY1280" s="885"/>
      <c r="AZ1280" s="885"/>
      <c r="BA1280" s="885"/>
      <c r="BB1280" s="885"/>
      <c r="BC1280" s="885"/>
      <c r="BD1280" s="885"/>
      <c r="BE1280" s="885"/>
      <c r="BF1280" s="885"/>
      <c r="BG1280" s="885"/>
      <c r="BH1280" s="885"/>
      <c r="BI1280" s="885"/>
      <c r="BJ1280" s="885"/>
      <c r="BK1280" s="885"/>
      <c r="BL1280" s="885"/>
      <c r="BM1280" s="885"/>
      <c r="BN1280" s="885"/>
      <c r="BO1280" s="885"/>
      <c r="BP1280" s="885"/>
      <c r="BQ1280" s="885"/>
      <c r="BR1280" s="885"/>
      <c r="BS1280" s="885"/>
      <c r="BT1280" s="885"/>
      <c r="BU1280" s="885"/>
      <c r="BV1280" s="885"/>
      <c r="BW1280" s="885"/>
      <c r="BX1280" s="885"/>
      <c r="BY1280" s="885"/>
      <c r="BZ1280" s="885"/>
      <c r="CA1280" s="885"/>
      <c r="CB1280" s="885"/>
      <c r="CC1280" s="885"/>
      <c r="CD1280" s="885"/>
      <c r="CE1280" s="885"/>
      <c r="CF1280" s="885"/>
      <c r="CG1280" s="885"/>
      <c r="CH1280" s="885"/>
      <c r="CI1280" s="885"/>
      <c r="CJ1280" s="885"/>
      <c r="CK1280" s="885"/>
      <c r="CL1280" s="885"/>
      <c r="CM1280" s="885"/>
      <c r="CN1280" s="885"/>
      <c r="CO1280" s="885"/>
      <c r="CP1280" s="885"/>
      <c r="CQ1280" s="885"/>
      <c r="CR1280" s="885"/>
      <c r="CS1280" s="885"/>
      <c r="CT1280" s="885"/>
      <c r="CU1280" s="885"/>
      <c r="CV1280" s="885"/>
      <c r="CW1280" s="885"/>
      <c r="CX1280" s="885"/>
      <c r="CY1280" s="885"/>
      <c r="CZ1280" s="885"/>
      <c r="DA1280" s="885"/>
      <c r="DB1280" s="885"/>
      <c r="DC1280" s="885"/>
      <c r="DD1280" s="885"/>
      <c r="DE1280" s="885"/>
      <c r="DF1280" s="885"/>
      <c r="DG1280" s="885"/>
      <c r="DH1280" s="885"/>
      <c r="DI1280" s="885"/>
      <c r="DJ1280" s="885"/>
      <c r="DK1280" s="885"/>
      <c r="DL1280" s="885"/>
      <c r="DM1280" s="885"/>
      <c r="DN1280" s="885"/>
      <c r="DO1280" s="885"/>
      <c r="DP1280" s="885"/>
      <c r="DQ1280" s="885"/>
      <c r="DR1280" s="885"/>
      <c r="DS1280" s="885"/>
      <c r="DT1280" s="885"/>
      <c r="DU1280" s="885"/>
      <c r="DV1280" s="885"/>
      <c r="DW1280" s="885"/>
      <c r="DX1280" s="885"/>
      <c r="DY1280" s="885"/>
      <c r="DZ1280" s="885"/>
      <c r="EA1280" s="885"/>
      <c r="EB1280" s="885"/>
      <c r="EC1280" s="885"/>
      <c r="ED1280" s="885"/>
      <c r="EE1280" s="885"/>
      <c r="EF1280" s="885"/>
      <c r="EG1280" s="885"/>
      <c r="EH1280" s="885"/>
      <c r="EI1280" s="885"/>
      <c r="EJ1280" s="885"/>
      <c r="EK1280" s="885"/>
      <c r="EL1280" s="885"/>
      <c r="EM1280" s="885"/>
      <c r="EN1280" s="885"/>
      <c r="EO1280" s="885"/>
      <c r="EP1280" s="885"/>
      <c r="EQ1280" s="885"/>
      <c r="ER1280" s="885"/>
      <c r="ES1280" s="885"/>
      <c r="ET1280" s="885"/>
      <c r="EU1280" s="885"/>
      <c r="EV1280" s="885"/>
      <c r="EW1280" s="885"/>
      <c r="EX1280" s="885"/>
      <c r="EY1280" s="885"/>
      <c r="EZ1280" s="885"/>
      <c r="FA1280" s="885"/>
      <c r="FB1280" s="885"/>
      <c r="FC1280" s="885"/>
      <c r="FD1280" s="885"/>
      <c r="FE1280" s="885"/>
      <c r="FF1280" s="885"/>
      <c r="FG1280" s="885"/>
      <c r="FH1280" s="885"/>
      <c r="FI1280" s="885"/>
      <c r="FJ1280" s="885"/>
      <c r="FK1280" s="885"/>
      <c r="FL1280" s="885"/>
      <c r="FM1280" s="885"/>
      <c r="FN1280" s="885"/>
      <c r="FO1280" s="885"/>
      <c r="FP1280" s="885"/>
      <c r="FQ1280" s="885"/>
      <c r="FR1280" s="885"/>
      <c r="FS1280" s="885"/>
      <c r="FT1280" s="885"/>
      <c r="FU1280" s="885"/>
      <c r="FV1280" s="885"/>
      <c r="FW1280" s="885"/>
      <c r="FX1280" s="885"/>
      <c r="FY1280" s="885"/>
      <c r="FZ1280" s="885"/>
      <c r="GA1280" s="885"/>
      <c r="GB1280" s="885"/>
      <c r="GC1280" s="885"/>
      <c r="GD1280" s="885"/>
      <c r="GE1280" s="885"/>
      <c r="GF1280" s="885"/>
      <c r="GG1280" s="885"/>
      <c r="GH1280" s="885"/>
      <c r="GI1280" s="885"/>
      <c r="GJ1280" s="885"/>
      <c r="GK1280" s="885"/>
      <c r="GL1280" s="885"/>
      <c r="GM1280" s="885"/>
      <c r="GN1280" s="885"/>
      <c r="GO1280" s="885"/>
      <c r="GP1280" s="885"/>
      <c r="GQ1280" s="885"/>
      <c r="GR1280" s="885"/>
      <c r="GS1280" s="885"/>
      <c r="GT1280" s="885"/>
      <c r="GU1280" s="885"/>
      <c r="GV1280" s="885"/>
      <c r="GW1280" s="885"/>
      <c r="GX1280" s="885"/>
      <c r="GY1280" s="885"/>
      <c r="GZ1280" s="885"/>
      <c r="HA1280" s="885"/>
      <c r="HB1280" s="885"/>
      <c r="HC1280" s="885"/>
      <c r="HD1280" s="885"/>
      <c r="HE1280" s="885"/>
      <c r="HF1280" s="885"/>
      <c r="HG1280" s="885"/>
      <c r="HH1280" s="885"/>
      <c r="HI1280" s="885"/>
      <c r="HJ1280" s="885"/>
      <c r="HK1280" s="885"/>
      <c r="HL1280" s="885"/>
      <c r="HM1280" s="885"/>
      <c r="HN1280" s="885"/>
      <c r="HO1280" s="885"/>
      <c r="HP1280" s="885"/>
      <c r="HQ1280" s="885"/>
      <c r="HR1280" s="885"/>
      <c r="HS1280" s="885"/>
      <c r="HT1280" s="885"/>
      <c r="HU1280" s="885"/>
      <c r="HV1280" s="885"/>
      <c r="HW1280" s="885"/>
      <c r="HX1280" s="885"/>
      <c r="HY1280" s="885"/>
      <c r="HZ1280" s="885"/>
      <c r="IA1280" s="885"/>
      <c r="IB1280" s="885"/>
      <c r="IC1280" s="885"/>
      <c r="ID1280" s="885"/>
      <c r="IE1280" s="885"/>
      <c r="IF1280" s="885"/>
      <c r="IG1280" s="885"/>
      <c r="IH1280" s="885"/>
      <c r="II1280" s="885"/>
      <c r="IJ1280" s="885"/>
      <c r="IK1280" s="885"/>
      <c r="IL1280" s="885"/>
      <c r="IM1280" s="885"/>
      <c r="IN1280" s="885"/>
      <c r="IO1280" s="885"/>
      <c r="IP1280" s="885"/>
      <c r="IQ1280" s="885"/>
      <c r="IR1280" s="885"/>
      <c r="IS1280" s="885"/>
      <c r="IT1280" s="885"/>
      <c r="IU1280" s="885"/>
      <c r="IV1280" s="885"/>
      <c r="IW1280" s="885"/>
      <c r="IX1280" s="885"/>
    </row>
    <row r="1281" spans="1:258" x14ac:dyDescent="0.25">
      <c r="A1281" s="125">
        <f t="shared" si="134"/>
        <v>1241</v>
      </c>
      <c r="B1281" s="885"/>
      <c r="C1281" s="842" t="s">
        <v>10813</v>
      </c>
      <c r="D1281" s="924">
        <v>0</v>
      </c>
      <c r="E1281" s="924">
        <f t="shared" ref="E1281" si="147">D1281/8*12</f>
        <v>0</v>
      </c>
      <c r="F1281" s="129">
        <f>F1279*F$83</f>
        <v>200</v>
      </c>
      <c r="G1281" s="122" t="s">
        <v>1963</v>
      </c>
      <c r="H1281" s="885"/>
      <c r="I1281" s="885"/>
      <c r="J1281" s="885"/>
      <c r="K1281" s="885"/>
      <c r="L1281" s="885"/>
      <c r="M1281" s="885"/>
      <c r="N1281" s="885"/>
      <c r="O1281" s="885"/>
      <c r="P1281" s="885"/>
      <c r="Q1281" s="885"/>
      <c r="R1281" s="885"/>
      <c r="S1281" s="885"/>
      <c r="T1281" s="885"/>
      <c r="U1281" s="885"/>
      <c r="V1281" s="885"/>
      <c r="W1281" s="885"/>
      <c r="X1281" s="885"/>
      <c r="Y1281" s="885"/>
      <c r="Z1281" s="885"/>
      <c r="AA1281" s="885"/>
      <c r="AB1281" s="885"/>
      <c r="AC1281" s="885"/>
      <c r="AD1281" s="885"/>
      <c r="AE1281" s="885"/>
      <c r="AF1281" s="885"/>
      <c r="AG1281" s="885"/>
      <c r="AH1281" s="885"/>
      <c r="AI1281" s="885"/>
      <c r="AJ1281" s="885"/>
      <c r="AK1281" s="885"/>
      <c r="AL1281" s="885"/>
      <c r="AM1281" s="885"/>
      <c r="AN1281" s="885"/>
      <c r="AO1281" s="885"/>
      <c r="AP1281" s="885"/>
      <c r="AQ1281" s="885"/>
      <c r="AR1281" s="885"/>
      <c r="AS1281" s="885"/>
      <c r="AT1281" s="885"/>
      <c r="AU1281" s="885"/>
      <c r="AV1281" s="885"/>
      <c r="AW1281" s="885"/>
      <c r="AX1281" s="885"/>
      <c r="AY1281" s="885"/>
      <c r="AZ1281" s="885"/>
      <c r="BA1281" s="885"/>
      <c r="BB1281" s="885"/>
      <c r="BC1281" s="885"/>
      <c r="BD1281" s="885"/>
      <c r="BE1281" s="885"/>
      <c r="BF1281" s="885"/>
      <c r="BG1281" s="885"/>
      <c r="BH1281" s="885"/>
      <c r="BI1281" s="885"/>
      <c r="BJ1281" s="885"/>
      <c r="BK1281" s="885"/>
      <c r="BL1281" s="885"/>
      <c r="BM1281" s="885"/>
      <c r="BN1281" s="885"/>
      <c r="BO1281" s="885"/>
      <c r="BP1281" s="885"/>
      <c r="BQ1281" s="885"/>
      <c r="BR1281" s="885"/>
      <c r="BS1281" s="885"/>
      <c r="BT1281" s="885"/>
      <c r="BU1281" s="885"/>
      <c r="BV1281" s="885"/>
      <c r="BW1281" s="885"/>
      <c r="BX1281" s="885"/>
      <c r="BY1281" s="885"/>
      <c r="BZ1281" s="885"/>
      <c r="CA1281" s="885"/>
      <c r="CB1281" s="885"/>
      <c r="CC1281" s="885"/>
      <c r="CD1281" s="885"/>
      <c r="CE1281" s="885"/>
      <c r="CF1281" s="885"/>
      <c r="CG1281" s="885"/>
      <c r="CH1281" s="885"/>
      <c r="CI1281" s="885"/>
      <c r="CJ1281" s="885"/>
      <c r="CK1281" s="885"/>
      <c r="CL1281" s="885"/>
      <c r="CM1281" s="885"/>
      <c r="CN1281" s="885"/>
      <c r="CO1281" s="885"/>
      <c r="CP1281" s="885"/>
      <c r="CQ1281" s="885"/>
      <c r="CR1281" s="885"/>
      <c r="CS1281" s="885"/>
      <c r="CT1281" s="885"/>
      <c r="CU1281" s="885"/>
      <c r="CV1281" s="885"/>
      <c r="CW1281" s="885"/>
      <c r="CX1281" s="885"/>
      <c r="CY1281" s="885"/>
      <c r="CZ1281" s="885"/>
      <c r="DA1281" s="885"/>
      <c r="DB1281" s="885"/>
      <c r="DC1281" s="885"/>
      <c r="DD1281" s="885"/>
      <c r="DE1281" s="885"/>
      <c r="DF1281" s="885"/>
      <c r="DG1281" s="885"/>
      <c r="DH1281" s="885"/>
      <c r="DI1281" s="885"/>
      <c r="DJ1281" s="885"/>
      <c r="DK1281" s="885"/>
      <c r="DL1281" s="885"/>
      <c r="DM1281" s="885"/>
      <c r="DN1281" s="885"/>
      <c r="DO1281" s="885"/>
      <c r="DP1281" s="885"/>
      <c r="DQ1281" s="885"/>
      <c r="DR1281" s="885"/>
      <c r="DS1281" s="885"/>
      <c r="DT1281" s="885"/>
      <c r="DU1281" s="885"/>
      <c r="DV1281" s="885"/>
      <c r="DW1281" s="885"/>
      <c r="DX1281" s="885"/>
      <c r="DY1281" s="885"/>
      <c r="DZ1281" s="885"/>
      <c r="EA1281" s="885"/>
      <c r="EB1281" s="885"/>
      <c r="EC1281" s="885"/>
      <c r="ED1281" s="885"/>
      <c r="EE1281" s="885"/>
      <c r="EF1281" s="885"/>
      <c r="EG1281" s="885"/>
      <c r="EH1281" s="885"/>
      <c r="EI1281" s="885"/>
      <c r="EJ1281" s="885"/>
      <c r="EK1281" s="885"/>
      <c r="EL1281" s="885"/>
      <c r="EM1281" s="885"/>
      <c r="EN1281" s="885"/>
      <c r="EO1281" s="885"/>
      <c r="EP1281" s="885"/>
      <c r="EQ1281" s="885"/>
      <c r="ER1281" s="885"/>
      <c r="ES1281" s="885"/>
      <c r="ET1281" s="885"/>
      <c r="EU1281" s="885"/>
      <c r="EV1281" s="885"/>
      <c r="EW1281" s="885"/>
      <c r="EX1281" s="885"/>
      <c r="EY1281" s="885"/>
      <c r="EZ1281" s="885"/>
      <c r="FA1281" s="885"/>
      <c r="FB1281" s="885"/>
      <c r="FC1281" s="885"/>
      <c r="FD1281" s="885"/>
      <c r="FE1281" s="885"/>
      <c r="FF1281" s="885"/>
      <c r="FG1281" s="885"/>
      <c r="FH1281" s="885"/>
      <c r="FI1281" s="885"/>
      <c r="FJ1281" s="885"/>
      <c r="FK1281" s="885"/>
      <c r="FL1281" s="885"/>
      <c r="FM1281" s="885"/>
      <c r="FN1281" s="885"/>
      <c r="FO1281" s="885"/>
      <c r="FP1281" s="885"/>
      <c r="FQ1281" s="885"/>
      <c r="FR1281" s="885"/>
      <c r="FS1281" s="885"/>
      <c r="FT1281" s="885"/>
      <c r="FU1281" s="885"/>
      <c r="FV1281" s="885"/>
      <c r="FW1281" s="885"/>
      <c r="FX1281" s="885"/>
      <c r="FY1281" s="885"/>
      <c r="FZ1281" s="885"/>
      <c r="GA1281" s="885"/>
      <c r="GB1281" s="885"/>
      <c r="GC1281" s="885"/>
      <c r="GD1281" s="885"/>
      <c r="GE1281" s="885"/>
      <c r="GF1281" s="885"/>
      <c r="GG1281" s="885"/>
      <c r="GH1281" s="885"/>
      <c r="GI1281" s="885"/>
      <c r="GJ1281" s="885"/>
      <c r="GK1281" s="885"/>
      <c r="GL1281" s="885"/>
      <c r="GM1281" s="885"/>
      <c r="GN1281" s="885"/>
      <c r="GO1281" s="885"/>
      <c r="GP1281" s="885"/>
      <c r="GQ1281" s="885"/>
      <c r="GR1281" s="885"/>
      <c r="GS1281" s="885"/>
      <c r="GT1281" s="885"/>
      <c r="GU1281" s="885"/>
      <c r="GV1281" s="885"/>
      <c r="GW1281" s="885"/>
      <c r="GX1281" s="885"/>
      <c r="GY1281" s="885"/>
      <c r="GZ1281" s="885"/>
      <c r="HA1281" s="885"/>
      <c r="HB1281" s="885"/>
      <c r="HC1281" s="885"/>
      <c r="HD1281" s="885"/>
      <c r="HE1281" s="885"/>
      <c r="HF1281" s="885"/>
      <c r="HG1281" s="885"/>
      <c r="HH1281" s="885"/>
      <c r="HI1281" s="885"/>
      <c r="HJ1281" s="885"/>
      <c r="HK1281" s="885"/>
      <c r="HL1281" s="885"/>
      <c r="HM1281" s="885"/>
      <c r="HN1281" s="885"/>
      <c r="HO1281" s="885"/>
      <c r="HP1281" s="885"/>
      <c r="HQ1281" s="885"/>
      <c r="HR1281" s="885"/>
      <c r="HS1281" s="885"/>
      <c r="HT1281" s="885"/>
      <c r="HU1281" s="885"/>
      <c r="HV1281" s="885"/>
      <c r="HW1281" s="885"/>
      <c r="HX1281" s="885"/>
      <c r="HY1281" s="885"/>
      <c r="HZ1281" s="885"/>
      <c r="IA1281" s="885"/>
      <c r="IB1281" s="885"/>
      <c r="IC1281" s="885"/>
      <c r="ID1281" s="885"/>
      <c r="IE1281" s="885"/>
      <c r="IF1281" s="885"/>
      <c r="IG1281" s="885"/>
      <c r="IH1281" s="885"/>
      <c r="II1281" s="885"/>
      <c r="IJ1281" s="885"/>
      <c r="IK1281" s="885"/>
      <c r="IL1281" s="885"/>
      <c r="IM1281" s="885"/>
      <c r="IN1281" s="885"/>
      <c r="IO1281" s="885"/>
      <c r="IP1281" s="885"/>
      <c r="IQ1281" s="885"/>
      <c r="IR1281" s="885"/>
      <c r="IS1281" s="885"/>
      <c r="IT1281" s="885"/>
      <c r="IU1281" s="885"/>
      <c r="IV1281" s="885"/>
      <c r="IW1281" s="885"/>
      <c r="IX1281" s="885"/>
    </row>
    <row r="1282" spans="1:258" ht="31.5" x14ac:dyDescent="0.25">
      <c r="A1282" s="125">
        <f t="shared" si="134"/>
        <v>1242</v>
      </c>
      <c r="B1282" s="885"/>
      <c r="C1282" s="842" t="s">
        <v>10814</v>
      </c>
      <c r="D1282" s="924">
        <v>0</v>
      </c>
      <c r="E1282" s="924">
        <f t="shared" ref="E1282" si="148">D1282/8*12</f>
        <v>0</v>
      </c>
      <c r="F1282" s="129">
        <v>500</v>
      </c>
      <c r="G1282" s="122" t="s">
        <v>1963</v>
      </c>
      <c r="H1282" s="885"/>
      <c r="I1282" s="885"/>
      <c r="J1282" s="885"/>
      <c r="K1282" s="885"/>
      <c r="L1282" s="885"/>
      <c r="M1282" s="885"/>
      <c r="N1282" s="885"/>
      <c r="O1282" s="885"/>
      <c r="P1282" s="885"/>
      <c r="Q1282" s="885"/>
      <c r="R1282" s="885"/>
      <c r="S1282" s="885"/>
      <c r="T1282" s="885"/>
      <c r="U1282" s="885"/>
      <c r="V1282" s="885"/>
      <c r="W1282" s="885"/>
      <c r="X1282" s="885"/>
      <c r="Y1282" s="885"/>
      <c r="Z1282" s="885"/>
      <c r="AA1282" s="885"/>
      <c r="AB1282" s="885"/>
      <c r="AC1282" s="885"/>
      <c r="AD1282" s="885"/>
      <c r="AE1282" s="885"/>
      <c r="AF1282" s="885"/>
      <c r="AG1282" s="885"/>
      <c r="AH1282" s="885"/>
      <c r="AI1282" s="885"/>
      <c r="AJ1282" s="885"/>
      <c r="AK1282" s="885"/>
      <c r="AL1282" s="885"/>
      <c r="AM1282" s="885"/>
      <c r="AN1282" s="885"/>
      <c r="AO1282" s="885"/>
      <c r="AP1282" s="885"/>
      <c r="AQ1282" s="885"/>
      <c r="AR1282" s="885"/>
      <c r="AS1282" s="885"/>
      <c r="AT1282" s="885"/>
      <c r="AU1282" s="885"/>
      <c r="AV1282" s="885"/>
      <c r="AW1282" s="885"/>
      <c r="AX1282" s="885"/>
      <c r="AY1282" s="885"/>
      <c r="AZ1282" s="885"/>
      <c r="BA1282" s="885"/>
      <c r="BB1282" s="885"/>
      <c r="BC1282" s="885"/>
      <c r="BD1282" s="885"/>
      <c r="BE1282" s="885"/>
      <c r="BF1282" s="885"/>
      <c r="BG1282" s="885"/>
      <c r="BH1282" s="885"/>
      <c r="BI1282" s="885"/>
      <c r="BJ1282" s="885"/>
      <c r="BK1282" s="885"/>
      <c r="BL1282" s="885"/>
      <c r="BM1282" s="885"/>
      <c r="BN1282" s="885"/>
      <c r="BO1282" s="885"/>
      <c r="BP1282" s="885"/>
      <c r="BQ1282" s="885"/>
      <c r="BR1282" s="885"/>
      <c r="BS1282" s="885"/>
      <c r="BT1282" s="885"/>
      <c r="BU1282" s="885"/>
      <c r="BV1282" s="885"/>
      <c r="BW1282" s="885"/>
      <c r="BX1282" s="885"/>
      <c r="BY1282" s="885"/>
      <c r="BZ1282" s="885"/>
      <c r="CA1282" s="885"/>
      <c r="CB1282" s="885"/>
      <c r="CC1282" s="885"/>
      <c r="CD1282" s="885"/>
      <c r="CE1282" s="885"/>
      <c r="CF1282" s="885"/>
      <c r="CG1282" s="885"/>
      <c r="CH1282" s="885"/>
      <c r="CI1282" s="885"/>
      <c r="CJ1282" s="885"/>
      <c r="CK1282" s="885"/>
      <c r="CL1282" s="885"/>
      <c r="CM1282" s="885"/>
      <c r="CN1282" s="885"/>
      <c r="CO1282" s="885"/>
      <c r="CP1282" s="885"/>
      <c r="CQ1282" s="885"/>
      <c r="CR1282" s="885"/>
      <c r="CS1282" s="885"/>
      <c r="CT1282" s="885"/>
      <c r="CU1282" s="885"/>
      <c r="CV1282" s="885"/>
      <c r="CW1282" s="885"/>
      <c r="CX1282" s="885"/>
      <c r="CY1282" s="885"/>
      <c r="CZ1282" s="885"/>
      <c r="DA1282" s="885"/>
      <c r="DB1282" s="885"/>
      <c r="DC1282" s="885"/>
      <c r="DD1282" s="885"/>
      <c r="DE1282" s="885"/>
      <c r="DF1282" s="885"/>
      <c r="DG1282" s="885"/>
      <c r="DH1282" s="885"/>
      <c r="DI1282" s="885"/>
      <c r="DJ1282" s="885"/>
      <c r="DK1282" s="885"/>
      <c r="DL1282" s="885"/>
      <c r="DM1282" s="885"/>
      <c r="DN1282" s="885"/>
      <c r="DO1282" s="885"/>
      <c r="DP1282" s="885"/>
      <c r="DQ1282" s="885"/>
      <c r="DR1282" s="885"/>
      <c r="DS1282" s="885"/>
      <c r="DT1282" s="885"/>
      <c r="DU1282" s="885"/>
      <c r="DV1282" s="885"/>
      <c r="DW1282" s="885"/>
      <c r="DX1282" s="885"/>
      <c r="DY1282" s="885"/>
      <c r="DZ1282" s="885"/>
      <c r="EA1282" s="885"/>
      <c r="EB1282" s="885"/>
      <c r="EC1282" s="885"/>
      <c r="ED1282" s="885"/>
      <c r="EE1282" s="885"/>
      <c r="EF1282" s="885"/>
      <c r="EG1282" s="885"/>
      <c r="EH1282" s="885"/>
      <c r="EI1282" s="885"/>
      <c r="EJ1282" s="885"/>
      <c r="EK1282" s="885"/>
      <c r="EL1282" s="885"/>
      <c r="EM1282" s="885"/>
      <c r="EN1282" s="885"/>
      <c r="EO1282" s="885"/>
      <c r="EP1282" s="885"/>
      <c r="EQ1282" s="885"/>
      <c r="ER1282" s="885"/>
      <c r="ES1282" s="885"/>
      <c r="ET1282" s="885"/>
      <c r="EU1282" s="885"/>
      <c r="EV1282" s="885"/>
      <c r="EW1282" s="885"/>
      <c r="EX1282" s="885"/>
      <c r="EY1282" s="885"/>
      <c r="EZ1282" s="885"/>
      <c r="FA1282" s="885"/>
      <c r="FB1282" s="885"/>
      <c r="FC1282" s="885"/>
      <c r="FD1282" s="885"/>
      <c r="FE1282" s="885"/>
      <c r="FF1282" s="885"/>
      <c r="FG1282" s="885"/>
      <c r="FH1282" s="885"/>
      <c r="FI1282" s="885"/>
      <c r="FJ1282" s="885"/>
      <c r="FK1282" s="885"/>
      <c r="FL1282" s="885"/>
      <c r="FM1282" s="885"/>
      <c r="FN1282" s="885"/>
      <c r="FO1282" s="885"/>
      <c r="FP1282" s="885"/>
      <c r="FQ1282" s="885"/>
      <c r="FR1282" s="885"/>
      <c r="FS1282" s="885"/>
      <c r="FT1282" s="885"/>
      <c r="FU1282" s="885"/>
      <c r="FV1282" s="885"/>
      <c r="FW1282" s="885"/>
      <c r="FX1282" s="885"/>
      <c r="FY1282" s="885"/>
      <c r="FZ1282" s="885"/>
      <c r="GA1282" s="885"/>
      <c r="GB1282" s="885"/>
      <c r="GC1282" s="885"/>
      <c r="GD1282" s="885"/>
      <c r="GE1282" s="885"/>
      <c r="GF1282" s="885"/>
      <c r="GG1282" s="885"/>
      <c r="GH1282" s="885"/>
      <c r="GI1282" s="885"/>
      <c r="GJ1282" s="885"/>
      <c r="GK1282" s="885"/>
      <c r="GL1282" s="885"/>
      <c r="GM1282" s="885"/>
      <c r="GN1282" s="885"/>
      <c r="GO1282" s="885"/>
      <c r="GP1282" s="885"/>
      <c r="GQ1282" s="885"/>
      <c r="GR1282" s="885"/>
      <c r="GS1282" s="885"/>
      <c r="GT1282" s="885"/>
      <c r="GU1282" s="885"/>
      <c r="GV1282" s="885"/>
      <c r="GW1282" s="885"/>
      <c r="GX1282" s="885"/>
      <c r="GY1282" s="885"/>
      <c r="GZ1282" s="885"/>
      <c r="HA1282" s="885"/>
      <c r="HB1282" s="885"/>
      <c r="HC1282" s="885"/>
      <c r="HD1282" s="885"/>
      <c r="HE1282" s="885"/>
      <c r="HF1282" s="885"/>
      <c r="HG1282" s="885"/>
      <c r="HH1282" s="885"/>
      <c r="HI1282" s="885"/>
      <c r="HJ1282" s="885"/>
      <c r="HK1282" s="885"/>
      <c r="HL1282" s="885"/>
      <c r="HM1282" s="885"/>
      <c r="HN1282" s="885"/>
      <c r="HO1282" s="885"/>
      <c r="HP1282" s="885"/>
      <c r="HQ1282" s="885"/>
      <c r="HR1282" s="885"/>
      <c r="HS1282" s="885"/>
      <c r="HT1282" s="885"/>
      <c r="HU1282" s="885"/>
      <c r="HV1282" s="885"/>
      <c r="HW1282" s="885"/>
      <c r="HX1282" s="885"/>
      <c r="HY1282" s="885"/>
      <c r="HZ1282" s="885"/>
      <c r="IA1282" s="885"/>
      <c r="IB1282" s="885"/>
      <c r="IC1282" s="885"/>
      <c r="ID1282" s="885"/>
      <c r="IE1282" s="885"/>
      <c r="IF1282" s="885"/>
      <c r="IG1282" s="885"/>
      <c r="IH1282" s="885"/>
      <c r="II1282" s="885"/>
      <c r="IJ1282" s="885"/>
      <c r="IK1282" s="885"/>
      <c r="IL1282" s="885"/>
      <c r="IM1282" s="885"/>
      <c r="IN1282" s="885"/>
      <c r="IO1282" s="885"/>
      <c r="IP1282" s="885"/>
      <c r="IQ1282" s="885"/>
      <c r="IR1282" s="885"/>
      <c r="IS1282" s="885"/>
      <c r="IT1282" s="885"/>
      <c r="IU1282" s="885"/>
      <c r="IV1282" s="885"/>
      <c r="IW1282" s="885"/>
      <c r="IX1282" s="885"/>
    </row>
    <row r="1283" spans="1:258" ht="31.5" x14ac:dyDescent="0.25">
      <c r="A1283" s="125">
        <f t="shared" si="134"/>
        <v>1243</v>
      </c>
      <c r="B1283" s="885"/>
      <c r="C1283" s="842" t="s">
        <v>10815</v>
      </c>
      <c r="D1283" s="924">
        <v>0</v>
      </c>
      <c r="E1283" s="924">
        <f t="shared" ref="E1283:E1300" si="149">D1283/8*12</f>
        <v>0</v>
      </c>
      <c r="F1283" s="129">
        <v>1000</v>
      </c>
      <c r="G1283" s="122" t="s">
        <v>1963</v>
      </c>
      <c r="H1283" s="885"/>
      <c r="I1283" s="885"/>
      <c r="J1283" s="885"/>
      <c r="K1283" s="885"/>
      <c r="L1283" s="885"/>
      <c r="M1283" s="885"/>
      <c r="N1283" s="885"/>
      <c r="O1283" s="885"/>
      <c r="P1283" s="885"/>
      <c r="Q1283" s="885"/>
      <c r="R1283" s="885"/>
      <c r="S1283" s="885"/>
      <c r="T1283" s="885"/>
      <c r="U1283" s="885"/>
      <c r="V1283" s="885"/>
      <c r="W1283" s="885"/>
      <c r="X1283" s="885"/>
      <c r="Y1283" s="885"/>
      <c r="Z1283" s="885"/>
      <c r="AA1283" s="885"/>
      <c r="AB1283" s="885"/>
      <c r="AC1283" s="885"/>
      <c r="AD1283" s="885"/>
      <c r="AE1283" s="885"/>
      <c r="AF1283" s="885"/>
      <c r="AG1283" s="885"/>
      <c r="AH1283" s="885"/>
      <c r="AI1283" s="885"/>
      <c r="AJ1283" s="885"/>
      <c r="AK1283" s="885"/>
      <c r="AL1283" s="885"/>
      <c r="AM1283" s="885"/>
      <c r="AN1283" s="885"/>
      <c r="AO1283" s="885"/>
      <c r="AP1283" s="885"/>
      <c r="AQ1283" s="885"/>
      <c r="AR1283" s="885"/>
      <c r="AS1283" s="885"/>
      <c r="AT1283" s="885"/>
      <c r="AU1283" s="885"/>
      <c r="AV1283" s="885"/>
      <c r="AW1283" s="885"/>
      <c r="AX1283" s="885"/>
      <c r="AY1283" s="885"/>
      <c r="AZ1283" s="885"/>
      <c r="BA1283" s="885"/>
      <c r="BB1283" s="885"/>
      <c r="BC1283" s="885"/>
      <c r="BD1283" s="885"/>
      <c r="BE1283" s="885"/>
      <c r="BF1283" s="885"/>
      <c r="BG1283" s="885"/>
      <c r="BH1283" s="885"/>
      <c r="BI1283" s="885"/>
      <c r="BJ1283" s="885"/>
      <c r="BK1283" s="885"/>
      <c r="BL1283" s="885"/>
      <c r="BM1283" s="885"/>
      <c r="BN1283" s="885"/>
      <c r="BO1283" s="885"/>
      <c r="BP1283" s="885"/>
      <c r="BQ1283" s="885"/>
      <c r="BR1283" s="885"/>
      <c r="BS1283" s="885"/>
      <c r="BT1283" s="885"/>
      <c r="BU1283" s="885"/>
      <c r="BV1283" s="885"/>
      <c r="BW1283" s="885"/>
      <c r="BX1283" s="885"/>
      <c r="BY1283" s="885"/>
      <c r="BZ1283" s="885"/>
      <c r="CA1283" s="885"/>
      <c r="CB1283" s="885"/>
      <c r="CC1283" s="885"/>
      <c r="CD1283" s="885"/>
      <c r="CE1283" s="885"/>
      <c r="CF1283" s="885"/>
      <c r="CG1283" s="885"/>
      <c r="CH1283" s="885"/>
      <c r="CI1283" s="885"/>
      <c r="CJ1283" s="885"/>
      <c r="CK1283" s="885"/>
      <c r="CL1283" s="885"/>
      <c r="CM1283" s="885"/>
      <c r="CN1283" s="885"/>
      <c r="CO1283" s="885"/>
      <c r="CP1283" s="885"/>
      <c r="CQ1283" s="885"/>
      <c r="CR1283" s="885"/>
      <c r="CS1283" s="885"/>
      <c r="CT1283" s="885"/>
      <c r="CU1283" s="885"/>
      <c r="CV1283" s="885"/>
      <c r="CW1283" s="885"/>
      <c r="CX1283" s="885"/>
      <c r="CY1283" s="885"/>
      <c r="CZ1283" s="885"/>
      <c r="DA1283" s="885"/>
      <c r="DB1283" s="885"/>
      <c r="DC1283" s="885"/>
      <c r="DD1283" s="885"/>
      <c r="DE1283" s="885"/>
      <c r="DF1283" s="885"/>
      <c r="DG1283" s="885"/>
      <c r="DH1283" s="885"/>
      <c r="DI1283" s="885"/>
      <c r="DJ1283" s="885"/>
      <c r="DK1283" s="885"/>
      <c r="DL1283" s="885"/>
      <c r="DM1283" s="885"/>
      <c r="DN1283" s="885"/>
      <c r="DO1283" s="885"/>
      <c r="DP1283" s="885"/>
      <c r="DQ1283" s="885"/>
      <c r="DR1283" s="885"/>
      <c r="DS1283" s="885"/>
      <c r="DT1283" s="885"/>
      <c r="DU1283" s="885"/>
      <c r="DV1283" s="885"/>
      <c r="DW1283" s="885"/>
      <c r="DX1283" s="885"/>
      <c r="DY1283" s="885"/>
      <c r="DZ1283" s="885"/>
      <c r="EA1283" s="885"/>
      <c r="EB1283" s="885"/>
      <c r="EC1283" s="885"/>
      <c r="ED1283" s="885"/>
      <c r="EE1283" s="885"/>
      <c r="EF1283" s="885"/>
      <c r="EG1283" s="885"/>
      <c r="EH1283" s="885"/>
      <c r="EI1283" s="885"/>
      <c r="EJ1283" s="885"/>
      <c r="EK1283" s="885"/>
      <c r="EL1283" s="885"/>
      <c r="EM1283" s="885"/>
      <c r="EN1283" s="885"/>
      <c r="EO1283" s="885"/>
      <c r="EP1283" s="885"/>
      <c r="EQ1283" s="885"/>
      <c r="ER1283" s="885"/>
      <c r="ES1283" s="885"/>
      <c r="ET1283" s="885"/>
      <c r="EU1283" s="885"/>
      <c r="EV1283" s="885"/>
      <c r="EW1283" s="885"/>
      <c r="EX1283" s="885"/>
      <c r="EY1283" s="885"/>
      <c r="EZ1283" s="885"/>
      <c r="FA1283" s="885"/>
      <c r="FB1283" s="885"/>
      <c r="FC1283" s="885"/>
      <c r="FD1283" s="885"/>
      <c r="FE1283" s="885"/>
      <c r="FF1283" s="885"/>
      <c r="FG1283" s="885"/>
      <c r="FH1283" s="885"/>
      <c r="FI1283" s="885"/>
      <c r="FJ1283" s="885"/>
      <c r="FK1283" s="885"/>
      <c r="FL1283" s="885"/>
      <c r="FM1283" s="885"/>
      <c r="FN1283" s="885"/>
      <c r="FO1283" s="885"/>
      <c r="FP1283" s="885"/>
      <c r="FQ1283" s="885"/>
      <c r="FR1283" s="885"/>
      <c r="FS1283" s="885"/>
      <c r="FT1283" s="885"/>
      <c r="FU1283" s="885"/>
      <c r="FV1283" s="885"/>
      <c r="FW1283" s="885"/>
      <c r="FX1283" s="885"/>
      <c r="FY1283" s="885"/>
      <c r="FZ1283" s="885"/>
      <c r="GA1283" s="885"/>
      <c r="GB1283" s="885"/>
      <c r="GC1283" s="885"/>
      <c r="GD1283" s="885"/>
      <c r="GE1283" s="885"/>
      <c r="GF1283" s="885"/>
      <c r="GG1283" s="885"/>
      <c r="GH1283" s="885"/>
      <c r="GI1283" s="885"/>
      <c r="GJ1283" s="885"/>
      <c r="GK1283" s="885"/>
      <c r="GL1283" s="885"/>
      <c r="GM1283" s="885"/>
      <c r="GN1283" s="885"/>
      <c r="GO1283" s="885"/>
      <c r="GP1283" s="885"/>
      <c r="GQ1283" s="885"/>
      <c r="GR1283" s="885"/>
      <c r="GS1283" s="885"/>
      <c r="GT1283" s="885"/>
      <c r="GU1283" s="885"/>
      <c r="GV1283" s="885"/>
      <c r="GW1283" s="885"/>
      <c r="GX1283" s="885"/>
      <c r="GY1283" s="885"/>
      <c r="GZ1283" s="885"/>
      <c r="HA1283" s="885"/>
      <c r="HB1283" s="885"/>
      <c r="HC1283" s="885"/>
      <c r="HD1283" s="885"/>
      <c r="HE1283" s="885"/>
      <c r="HF1283" s="885"/>
      <c r="HG1283" s="885"/>
      <c r="HH1283" s="885"/>
      <c r="HI1283" s="885"/>
      <c r="HJ1283" s="885"/>
      <c r="HK1283" s="885"/>
      <c r="HL1283" s="885"/>
      <c r="HM1283" s="885"/>
      <c r="HN1283" s="885"/>
      <c r="HO1283" s="885"/>
      <c r="HP1283" s="885"/>
      <c r="HQ1283" s="885"/>
      <c r="HR1283" s="885"/>
      <c r="HS1283" s="885"/>
      <c r="HT1283" s="885"/>
      <c r="HU1283" s="885"/>
      <c r="HV1283" s="885"/>
      <c r="HW1283" s="885"/>
      <c r="HX1283" s="885"/>
      <c r="HY1283" s="885"/>
      <c r="HZ1283" s="885"/>
      <c r="IA1283" s="885"/>
      <c r="IB1283" s="885"/>
      <c r="IC1283" s="885"/>
      <c r="ID1283" s="885"/>
      <c r="IE1283" s="885"/>
      <c r="IF1283" s="885"/>
      <c r="IG1283" s="885"/>
      <c r="IH1283" s="885"/>
      <c r="II1283" s="885"/>
      <c r="IJ1283" s="885"/>
      <c r="IK1283" s="885"/>
      <c r="IL1283" s="885"/>
      <c r="IM1283" s="885"/>
      <c r="IN1283" s="885"/>
      <c r="IO1283" s="885"/>
      <c r="IP1283" s="885"/>
      <c r="IQ1283" s="885"/>
      <c r="IR1283" s="885"/>
      <c r="IS1283" s="885"/>
      <c r="IT1283" s="885"/>
      <c r="IU1283" s="885"/>
      <c r="IV1283" s="885"/>
      <c r="IW1283" s="885"/>
      <c r="IX1283" s="885"/>
    </row>
    <row r="1284" spans="1:258" x14ac:dyDescent="0.25">
      <c r="A1284" s="125">
        <f t="shared" si="134"/>
        <v>1244</v>
      </c>
      <c r="B1284" s="885"/>
      <c r="C1284" s="927" t="s">
        <v>10801</v>
      </c>
      <c r="D1284" s="928"/>
      <c r="E1284" s="928"/>
      <c r="F1284" s="129"/>
      <c r="H1284" s="885"/>
      <c r="I1284" s="885"/>
      <c r="J1284" s="885"/>
      <c r="K1284" s="885"/>
      <c r="L1284" s="885"/>
      <c r="M1284" s="885"/>
      <c r="N1284" s="885"/>
      <c r="O1284" s="885"/>
      <c r="P1284" s="885"/>
      <c r="Q1284" s="885"/>
      <c r="R1284" s="885"/>
      <c r="S1284" s="885"/>
      <c r="T1284" s="885"/>
      <c r="U1284" s="885"/>
      <c r="V1284" s="885"/>
      <c r="W1284" s="885"/>
      <c r="X1284" s="885"/>
      <c r="Y1284" s="885"/>
      <c r="Z1284" s="885"/>
      <c r="AA1284" s="885"/>
      <c r="AB1284" s="885"/>
      <c r="AC1284" s="885"/>
      <c r="AD1284" s="885"/>
      <c r="AE1284" s="885"/>
      <c r="AF1284" s="885"/>
      <c r="AG1284" s="885"/>
      <c r="AH1284" s="885"/>
      <c r="AI1284" s="885"/>
      <c r="AJ1284" s="885"/>
      <c r="AK1284" s="885"/>
      <c r="AL1284" s="885"/>
      <c r="AM1284" s="885"/>
      <c r="AN1284" s="885"/>
      <c r="AO1284" s="885"/>
      <c r="AP1284" s="885"/>
      <c r="AQ1284" s="885"/>
      <c r="AR1284" s="885"/>
      <c r="AS1284" s="885"/>
      <c r="AT1284" s="885"/>
      <c r="AU1284" s="885"/>
      <c r="AV1284" s="885"/>
      <c r="AW1284" s="885"/>
      <c r="AX1284" s="885"/>
      <c r="AY1284" s="885"/>
      <c r="AZ1284" s="885"/>
      <c r="BA1284" s="885"/>
      <c r="BB1284" s="885"/>
      <c r="BC1284" s="885"/>
      <c r="BD1284" s="885"/>
      <c r="BE1284" s="885"/>
      <c r="BF1284" s="885"/>
      <c r="BG1284" s="885"/>
      <c r="BH1284" s="885"/>
      <c r="BI1284" s="885"/>
      <c r="BJ1284" s="885"/>
      <c r="BK1284" s="885"/>
      <c r="BL1284" s="885"/>
      <c r="BM1284" s="885"/>
      <c r="BN1284" s="885"/>
      <c r="BO1284" s="885"/>
      <c r="BP1284" s="885"/>
      <c r="BQ1284" s="885"/>
      <c r="BR1284" s="885"/>
      <c r="BS1284" s="885"/>
      <c r="BT1284" s="885"/>
      <c r="BU1284" s="885"/>
      <c r="BV1284" s="885"/>
      <c r="BW1284" s="885"/>
      <c r="BX1284" s="885"/>
      <c r="BY1284" s="885"/>
      <c r="BZ1284" s="885"/>
      <c r="CA1284" s="885"/>
      <c r="CB1284" s="885"/>
      <c r="CC1284" s="885"/>
      <c r="CD1284" s="885"/>
      <c r="CE1284" s="885"/>
      <c r="CF1284" s="885"/>
      <c r="CG1284" s="885"/>
      <c r="CH1284" s="885"/>
      <c r="CI1284" s="885"/>
      <c r="CJ1284" s="885"/>
      <c r="CK1284" s="885"/>
      <c r="CL1284" s="885"/>
      <c r="CM1284" s="885"/>
      <c r="CN1284" s="885"/>
      <c r="CO1284" s="885"/>
      <c r="CP1284" s="885"/>
      <c r="CQ1284" s="885"/>
      <c r="CR1284" s="885"/>
      <c r="CS1284" s="885"/>
      <c r="CT1284" s="885"/>
      <c r="CU1284" s="885"/>
      <c r="CV1284" s="885"/>
      <c r="CW1284" s="885"/>
      <c r="CX1284" s="885"/>
      <c r="CY1284" s="885"/>
      <c r="CZ1284" s="885"/>
      <c r="DA1284" s="885"/>
      <c r="DB1284" s="885"/>
      <c r="DC1284" s="885"/>
      <c r="DD1284" s="885"/>
      <c r="DE1284" s="885"/>
      <c r="DF1284" s="885"/>
      <c r="DG1284" s="885"/>
      <c r="DH1284" s="885"/>
      <c r="DI1284" s="885"/>
      <c r="DJ1284" s="885"/>
      <c r="DK1284" s="885"/>
      <c r="DL1284" s="885"/>
      <c r="DM1284" s="885"/>
      <c r="DN1284" s="885"/>
      <c r="DO1284" s="885"/>
      <c r="DP1284" s="885"/>
      <c r="DQ1284" s="885"/>
      <c r="DR1284" s="885"/>
      <c r="DS1284" s="885"/>
      <c r="DT1284" s="885"/>
      <c r="DU1284" s="885"/>
      <c r="DV1284" s="885"/>
      <c r="DW1284" s="885"/>
      <c r="DX1284" s="885"/>
      <c r="DY1284" s="885"/>
      <c r="DZ1284" s="885"/>
      <c r="EA1284" s="885"/>
      <c r="EB1284" s="885"/>
      <c r="EC1284" s="885"/>
      <c r="ED1284" s="885"/>
      <c r="EE1284" s="885"/>
      <c r="EF1284" s="885"/>
      <c r="EG1284" s="885"/>
      <c r="EH1284" s="885"/>
      <c r="EI1284" s="885"/>
      <c r="EJ1284" s="885"/>
      <c r="EK1284" s="885"/>
      <c r="EL1284" s="885"/>
      <c r="EM1284" s="885"/>
      <c r="EN1284" s="885"/>
      <c r="EO1284" s="885"/>
      <c r="EP1284" s="885"/>
      <c r="EQ1284" s="885"/>
      <c r="ER1284" s="885"/>
      <c r="ES1284" s="885"/>
      <c r="ET1284" s="885"/>
      <c r="EU1284" s="885"/>
      <c r="EV1284" s="885"/>
      <c r="EW1284" s="885"/>
      <c r="EX1284" s="885"/>
      <c r="EY1284" s="885"/>
      <c r="EZ1284" s="885"/>
      <c r="FA1284" s="885"/>
      <c r="FB1284" s="885"/>
      <c r="FC1284" s="885"/>
      <c r="FD1284" s="885"/>
      <c r="FE1284" s="885"/>
      <c r="FF1284" s="885"/>
      <c r="FG1284" s="885"/>
      <c r="FH1284" s="885"/>
      <c r="FI1284" s="885"/>
      <c r="FJ1284" s="885"/>
      <c r="FK1284" s="885"/>
      <c r="FL1284" s="885"/>
      <c r="FM1284" s="885"/>
      <c r="FN1284" s="885"/>
      <c r="FO1284" s="885"/>
      <c r="FP1284" s="885"/>
      <c r="FQ1284" s="885"/>
      <c r="FR1284" s="885"/>
      <c r="FS1284" s="885"/>
      <c r="FT1284" s="885"/>
      <c r="FU1284" s="885"/>
      <c r="FV1284" s="885"/>
      <c r="FW1284" s="885"/>
      <c r="FX1284" s="885"/>
      <c r="FY1284" s="885"/>
      <c r="FZ1284" s="885"/>
      <c r="GA1284" s="885"/>
      <c r="GB1284" s="885"/>
      <c r="GC1284" s="885"/>
      <c r="GD1284" s="885"/>
      <c r="GE1284" s="885"/>
      <c r="GF1284" s="885"/>
      <c r="GG1284" s="885"/>
      <c r="GH1284" s="885"/>
      <c r="GI1284" s="885"/>
      <c r="GJ1284" s="885"/>
      <c r="GK1284" s="885"/>
      <c r="GL1284" s="885"/>
      <c r="GM1284" s="885"/>
      <c r="GN1284" s="885"/>
      <c r="GO1284" s="885"/>
      <c r="GP1284" s="885"/>
      <c r="GQ1284" s="885"/>
      <c r="GR1284" s="885"/>
      <c r="GS1284" s="885"/>
      <c r="GT1284" s="885"/>
      <c r="GU1284" s="885"/>
      <c r="GV1284" s="885"/>
      <c r="GW1284" s="885"/>
      <c r="GX1284" s="885"/>
      <c r="GY1284" s="885"/>
      <c r="GZ1284" s="885"/>
      <c r="HA1284" s="885"/>
      <c r="HB1284" s="885"/>
      <c r="HC1284" s="885"/>
      <c r="HD1284" s="885"/>
      <c r="HE1284" s="885"/>
      <c r="HF1284" s="885"/>
      <c r="HG1284" s="885"/>
      <c r="HH1284" s="885"/>
      <c r="HI1284" s="885"/>
      <c r="HJ1284" s="885"/>
      <c r="HK1284" s="885"/>
      <c r="HL1284" s="885"/>
      <c r="HM1284" s="885"/>
      <c r="HN1284" s="885"/>
      <c r="HO1284" s="885"/>
      <c r="HP1284" s="885"/>
      <c r="HQ1284" s="885"/>
      <c r="HR1284" s="885"/>
      <c r="HS1284" s="885"/>
      <c r="HT1284" s="885"/>
      <c r="HU1284" s="885"/>
      <c r="HV1284" s="885"/>
      <c r="HW1284" s="885"/>
      <c r="HX1284" s="885"/>
      <c r="HY1284" s="885"/>
      <c r="HZ1284" s="885"/>
      <c r="IA1284" s="885"/>
      <c r="IB1284" s="885"/>
      <c r="IC1284" s="885"/>
      <c r="ID1284" s="885"/>
      <c r="IE1284" s="885"/>
      <c r="IF1284" s="885"/>
      <c r="IG1284" s="885"/>
      <c r="IH1284" s="885"/>
      <c r="II1284" s="885"/>
      <c r="IJ1284" s="885"/>
      <c r="IK1284" s="885"/>
      <c r="IL1284" s="885"/>
      <c r="IM1284" s="885"/>
      <c r="IN1284" s="885"/>
      <c r="IO1284" s="885"/>
      <c r="IP1284" s="885"/>
      <c r="IQ1284" s="885"/>
      <c r="IR1284" s="885"/>
      <c r="IS1284" s="885"/>
      <c r="IT1284" s="885"/>
      <c r="IU1284" s="885"/>
      <c r="IV1284" s="885"/>
      <c r="IW1284" s="885"/>
      <c r="IX1284" s="885"/>
    </row>
    <row r="1285" spans="1:258" x14ac:dyDescent="0.25">
      <c r="A1285" s="125">
        <f t="shared" si="134"/>
        <v>1245</v>
      </c>
      <c r="B1285" s="885"/>
      <c r="C1285" s="842" t="s">
        <v>10816</v>
      </c>
      <c r="D1285" s="924">
        <v>0</v>
      </c>
      <c r="E1285" s="924">
        <f t="shared" si="149"/>
        <v>0</v>
      </c>
      <c r="F1285" s="129">
        <v>1000</v>
      </c>
      <c r="G1285" s="122" t="s">
        <v>1963</v>
      </c>
      <c r="H1285" s="885"/>
      <c r="I1285" s="885"/>
      <c r="J1285" s="885"/>
      <c r="K1285" s="885"/>
      <c r="L1285" s="885"/>
      <c r="M1285" s="885"/>
      <c r="N1285" s="885"/>
      <c r="O1285" s="885"/>
      <c r="P1285" s="885"/>
      <c r="Q1285" s="885"/>
      <c r="R1285" s="885"/>
      <c r="S1285" s="885"/>
      <c r="T1285" s="885"/>
      <c r="U1285" s="885"/>
      <c r="V1285" s="885"/>
      <c r="W1285" s="885"/>
      <c r="X1285" s="885"/>
      <c r="Y1285" s="885"/>
      <c r="Z1285" s="885"/>
      <c r="AA1285" s="885"/>
      <c r="AB1285" s="885"/>
      <c r="AC1285" s="885"/>
      <c r="AD1285" s="885"/>
      <c r="AE1285" s="885"/>
      <c r="AF1285" s="885"/>
      <c r="AG1285" s="885"/>
      <c r="AH1285" s="885"/>
      <c r="AI1285" s="885"/>
      <c r="AJ1285" s="885"/>
      <c r="AK1285" s="885"/>
      <c r="AL1285" s="885"/>
      <c r="AM1285" s="885"/>
      <c r="AN1285" s="885"/>
      <c r="AO1285" s="885"/>
      <c r="AP1285" s="885"/>
      <c r="AQ1285" s="885"/>
      <c r="AR1285" s="885"/>
      <c r="AS1285" s="885"/>
      <c r="AT1285" s="885"/>
      <c r="AU1285" s="885"/>
      <c r="AV1285" s="885"/>
      <c r="AW1285" s="885"/>
      <c r="AX1285" s="885"/>
      <c r="AY1285" s="885"/>
      <c r="AZ1285" s="885"/>
      <c r="BA1285" s="885"/>
      <c r="BB1285" s="885"/>
      <c r="BC1285" s="885"/>
      <c r="BD1285" s="885"/>
      <c r="BE1285" s="885"/>
      <c r="BF1285" s="885"/>
      <c r="BG1285" s="885"/>
      <c r="BH1285" s="885"/>
      <c r="BI1285" s="885"/>
      <c r="BJ1285" s="885"/>
      <c r="BK1285" s="885"/>
      <c r="BL1285" s="885"/>
      <c r="BM1285" s="885"/>
      <c r="BN1285" s="885"/>
      <c r="BO1285" s="885"/>
      <c r="BP1285" s="885"/>
      <c r="BQ1285" s="885"/>
      <c r="BR1285" s="885"/>
      <c r="BS1285" s="885"/>
      <c r="BT1285" s="885"/>
      <c r="BU1285" s="885"/>
      <c r="BV1285" s="885"/>
      <c r="BW1285" s="885"/>
      <c r="BX1285" s="885"/>
      <c r="BY1285" s="885"/>
      <c r="BZ1285" s="885"/>
      <c r="CA1285" s="885"/>
      <c r="CB1285" s="885"/>
      <c r="CC1285" s="885"/>
      <c r="CD1285" s="885"/>
      <c r="CE1285" s="885"/>
      <c r="CF1285" s="885"/>
      <c r="CG1285" s="885"/>
      <c r="CH1285" s="885"/>
      <c r="CI1285" s="885"/>
      <c r="CJ1285" s="885"/>
      <c r="CK1285" s="885"/>
      <c r="CL1285" s="885"/>
      <c r="CM1285" s="885"/>
      <c r="CN1285" s="885"/>
      <c r="CO1285" s="885"/>
      <c r="CP1285" s="885"/>
      <c r="CQ1285" s="885"/>
      <c r="CR1285" s="885"/>
      <c r="CS1285" s="885"/>
      <c r="CT1285" s="885"/>
      <c r="CU1285" s="885"/>
      <c r="CV1285" s="885"/>
      <c r="CW1285" s="885"/>
      <c r="CX1285" s="885"/>
      <c r="CY1285" s="885"/>
      <c r="CZ1285" s="885"/>
      <c r="DA1285" s="885"/>
      <c r="DB1285" s="885"/>
      <c r="DC1285" s="885"/>
      <c r="DD1285" s="885"/>
      <c r="DE1285" s="885"/>
      <c r="DF1285" s="885"/>
      <c r="DG1285" s="885"/>
      <c r="DH1285" s="885"/>
      <c r="DI1285" s="885"/>
      <c r="DJ1285" s="885"/>
      <c r="DK1285" s="885"/>
      <c r="DL1285" s="885"/>
      <c r="DM1285" s="885"/>
      <c r="DN1285" s="885"/>
      <c r="DO1285" s="885"/>
      <c r="DP1285" s="885"/>
      <c r="DQ1285" s="885"/>
      <c r="DR1285" s="885"/>
      <c r="DS1285" s="885"/>
      <c r="DT1285" s="885"/>
      <c r="DU1285" s="885"/>
      <c r="DV1285" s="885"/>
      <c r="DW1285" s="885"/>
      <c r="DX1285" s="885"/>
      <c r="DY1285" s="885"/>
      <c r="DZ1285" s="885"/>
      <c r="EA1285" s="885"/>
      <c r="EB1285" s="885"/>
      <c r="EC1285" s="885"/>
      <c r="ED1285" s="885"/>
      <c r="EE1285" s="885"/>
      <c r="EF1285" s="885"/>
      <c r="EG1285" s="885"/>
      <c r="EH1285" s="885"/>
      <c r="EI1285" s="885"/>
      <c r="EJ1285" s="885"/>
      <c r="EK1285" s="885"/>
      <c r="EL1285" s="885"/>
      <c r="EM1285" s="885"/>
      <c r="EN1285" s="885"/>
      <c r="EO1285" s="885"/>
      <c r="EP1285" s="885"/>
      <c r="EQ1285" s="885"/>
      <c r="ER1285" s="885"/>
      <c r="ES1285" s="885"/>
      <c r="ET1285" s="885"/>
      <c r="EU1285" s="885"/>
      <c r="EV1285" s="885"/>
      <c r="EW1285" s="885"/>
      <c r="EX1285" s="885"/>
      <c r="EY1285" s="885"/>
      <c r="EZ1285" s="885"/>
      <c r="FA1285" s="885"/>
      <c r="FB1285" s="885"/>
      <c r="FC1285" s="885"/>
      <c r="FD1285" s="885"/>
      <c r="FE1285" s="885"/>
      <c r="FF1285" s="885"/>
      <c r="FG1285" s="885"/>
      <c r="FH1285" s="885"/>
      <c r="FI1285" s="885"/>
      <c r="FJ1285" s="885"/>
      <c r="FK1285" s="885"/>
      <c r="FL1285" s="885"/>
      <c r="FM1285" s="885"/>
      <c r="FN1285" s="885"/>
      <c r="FO1285" s="885"/>
      <c r="FP1285" s="885"/>
      <c r="FQ1285" s="885"/>
      <c r="FR1285" s="885"/>
      <c r="FS1285" s="885"/>
      <c r="FT1285" s="885"/>
      <c r="FU1285" s="885"/>
      <c r="FV1285" s="885"/>
      <c r="FW1285" s="885"/>
      <c r="FX1285" s="885"/>
      <c r="FY1285" s="885"/>
      <c r="FZ1285" s="885"/>
      <c r="GA1285" s="885"/>
      <c r="GB1285" s="885"/>
      <c r="GC1285" s="885"/>
      <c r="GD1285" s="885"/>
      <c r="GE1285" s="885"/>
      <c r="GF1285" s="885"/>
      <c r="GG1285" s="885"/>
      <c r="GH1285" s="885"/>
      <c r="GI1285" s="885"/>
      <c r="GJ1285" s="885"/>
      <c r="GK1285" s="885"/>
      <c r="GL1285" s="885"/>
      <c r="GM1285" s="885"/>
      <c r="GN1285" s="885"/>
      <c r="GO1285" s="885"/>
      <c r="GP1285" s="885"/>
      <c r="GQ1285" s="885"/>
      <c r="GR1285" s="885"/>
      <c r="GS1285" s="885"/>
      <c r="GT1285" s="885"/>
      <c r="GU1285" s="885"/>
      <c r="GV1285" s="885"/>
      <c r="GW1285" s="885"/>
      <c r="GX1285" s="885"/>
      <c r="GY1285" s="885"/>
      <c r="GZ1285" s="885"/>
      <c r="HA1285" s="885"/>
      <c r="HB1285" s="885"/>
      <c r="HC1285" s="885"/>
      <c r="HD1285" s="885"/>
      <c r="HE1285" s="885"/>
      <c r="HF1285" s="885"/>
      <c r="HG1285" s="885"/>
      <c r="HH1285" s="885"/>
      <c r="HI1285" s="885"/>
      <c r="HJ1285" s="885"/>
      <c r="HK1285" s="885"/>
      <c r="HL1285" s="885"/>
      <c r="HM1285" s="885"/>
      <c r="HN1285" s="885"/>
      <c r="HO1285" s="885"/>
      <c r="HP1285" s="885"/>
      <c r="HQ1285" s="885"/>
      <c r="HR1285" s="885"/>
      <c r="HS1285" s="885"/>
      <c r="HT1285" s="885"/>
      <c r="HU1285" s="885"/>
      <c r="HV1285" s="885"/>
      <c r="HW1285" s="885"/>
      <c r="HX1285" s="885"/>
      <c r="HY1285" s="885"/>
      <c r="HZ1285" s="885"/>
      <c r="IA1285" s="885"/>
      <c r="IB1285" s="885"/>
      <c r="IC1285" s="885"/>
      <c r="ID1285" s="885"/>
      <c r="IE1285" s="885"/>
      <c r="IF1285" s="885"/>
      <c r="IG1285" s="885"/>
      <c r="IH1285" s="885"/>
      <c r="II1285" s="885"/>
      <c r="IJ1285" s="885"/>
      <c r="IK1285" s="885"/>
      <c r="IL1285" s="885"/>
      <c r="IM1285" s="885"/>
      <c r="IN1285" s="885"/>
      <c r="IO1285" s="885"/>
      <c r="IP1285" s="885"/>
      <c r="IQ1285" s="885"/>
      <c r="IR1285" s="885"/>
      <c r="IS1285" s="885"/>
      <c r="IT1285" s="885"/>
      <c r="IU1285" s="885"/>
      <c r="IV1285" s="885"/>
      <c r="IW1285" s="885"/>
      <c r="IX1285" s="885"/>
    </row>
    <row r="1286" spans="1:258" x14ac:dyDescent="0.25">
      <c r="A1286" s="125">
        <f t="shared" si="134"/>
        <v>1246</v>
      </c>
      <c r="B1286" s="885"/>
      <c r="C1286" s="842" t="s">
        <v>10817</v>
      </c>
      <c r="D1286" s="924">
        <v>0</v>
      </c>
      <c r="E1286" s="924">
        <f t="shared" si="149"/>
        <v>0</v>
      </c>
      <c r="F1286" s="129">
        <v>2000</v>
      </c>
      <c r="G1286" s="122" t="s">
        <v>1963</v>
      </c>
      <c r="H1286" s="885"/>
      <c r="I1286" s="885"/>
      <c r="J1286" s="885"/>
      <c r="K1286" s="885"/>
      <c r="L1286" s="885"/>
      <c r="M1286" s="885"/>
      <c r="N1286" s="885"/>
      <c r="O1286" s="885"/>
      <c r="P1286" s="885"/>
      <c r="Q1286" s="885"/>
      <c r="R1286" s="885"/>
      <c r="S1286" s="885"/>
      <c r="T1286" s="885"/>
      <c r="U1286" s="885"/>
      <c r="V1286" s="885"/>
      <c r="W1286" s="885"/>
      <c r="X1286" s="885"/>
      <c r="Y1286" s="885"/>
      <c r="Z1286" s="885"/>
      <c r="AA1286" s="885"/>
      <c r="AB1286" s="885"/>
      <c r="AC1286" s="885"/>
      <c r="AD1286" s="885"/>
      <c r="AE1286" s="885"/>
      <c r="AF1286" s="885"/>
      <c r="AG1286" s="885"/>
      <c r="AH1286" s="885"/>
      <c r="AI1286" s="885"/>
      <c r="AJ1286" s="885"/>
      <c r="AK1286" s="885"/>
      <c r="AL1286" s="885"/>
      <c r="AM1286" s="885"/>
      <c r="AN1286" s="885"/>
      <c r="AO1286" s="885"/>
      <c r="AP1286" s="885"/>
      <c r="AQ1286" s="885"/>
      <c r="AR1286" s="885"/>
      <c r="AS1286" s="885"/>
      <c r="AT1286" s="885"/>
      <c r="AU1286" s="885"/>
      <c r="AV1286" s="885"/>
      <c r="AW1286" s="885"/>
      <c r="AX1286" s="885"/>
      <c r="AY1286" s="885"/>
      <c r="AZ1286" s="885"/>
      <c r="BA1286" s="885"/>
      <c r="BB1286" s="885"/>
      <c r="BC1286" s="885"/>
      <c r="BD1286" s="885"/>
      <c r="BE1286" s="885"/>
      <c r="BF1286" s="885"/>
      <c r="BG1286" s="885"/>
      <c r="BH1286" s="885"/>
      <c r="BI1286" s="885"/>
      <c r="BJ1286" s="885"/>
      <c r="BK1286" s="885"/>
      <c r="BL1286" s="885"/>
      <c r="BM1286" s="885"/>
      <c r="BN1286" s="885"/>
      <c r="BO1286" s="885"/>
      <c r="BP1286" s="885"/>
      <c r="BQ1286" s="885"/>
      <c r="BR1286" s="885"/>
      <c r="BS1286" s="885"/>
      <c r="BT1286" s="885"/>
      <c r="BU1286" s="885"/>
      <c r="BV1286" s="885"/>
      <c r="BW1286" s="885"/>
      <c r="BX1286" s="885"/>
      <c r="BY1286" s="885"/>
      <c r="BZ1286" s="885"/>
      <c r="CA1286" s="885"/>
      <c r="CB1286" s="885"/>
      <c r="CC1286" s="885"/>
      <c r="CD1286" s="885"/>
      <c r="CE1286" s="885"/>
      <c r="CF1286" s="885"/>
      <c r="CG1286" s="885"/>
      <c r="CH1286" s="885"/>
      <c r="CI1286" s="885"/>
      <c r="CJ1286" s="885"/>
      <c r="CK1286" s="885"/>
      <c r="CL1286" s="885"/>
      <c r="CM1286" s="885"/>
      <c r="CN1286" s="885"/>
      <c r="CO1286" s="885"/>
      <c r="CP1286" s="885"/>
      <c r="CQ1286" s="885"/>
      <c r="CR1286" s="885"/>
      <c r="CS1286" s="885"/>
      <c r="CT1286" s="885"/>
      <c r="CU1286" s="885"/>
      <c r="CV1286" s="885"/>
      <c r="CW1286" s="885"/>
      <c r="CX1286" s="885"/>
      <c r="CY1286" s="885"/>
      <c r="CZ1286" s="885"/>
      <c r="DA1286" s="885"/>
      <c r="DB1286" s="885"/>
      <c r="DC1286" s="885"/>
      <c r="DD1286" s="885"/>
      <c r="DE1286" s="885"/>
      <c r="DF1286" s="885"/>
      <c r="DG1286" s="885"/>
      <c r="DH1286" s="885"/>
      <c r="DI1286" s="885"/>
      <c r="DJ1286" s="885"/>
      <c r="DK1286" s="885"/>
      <c r="DL1286" s="885"/>
      <c r="DM1286" s="885"/>
      <c r="DN1286" s="885"/>
      <c r="DO1286" s="885"/>
      <c r="DP1286" s="885"/>
      <c r="DQ1286" s="885"/>
      <c r="DR1286" s="885"/>
      <c r="DS1286" s="885"/>
      <c r="DT1286" s="885"/>
      <c r="DU1286" s="885"/>
      <c r="DV1286" s="885"/>
      <c r="DW1286" s="885"/>
      <c r="DX1286" s="885"/>
      <c r="DY1286" s="885"/>
      <c r="DZ1286" s="885"/>
      <c r="EA1286" s="885"/>
      <c r="EB1286" s="885"/>
      <c r="EC1286" s="885"/>
      <c r="ED1286" s="885"/>
      <c r="EE1286" s="885"/>
      <c r="EF1286" s="885"/>
      <c r="EG1286" s="885"/>
      <c r="EH1286" s="885"/>
      <c r="EI1286" s="885"/>
      <c r="EJ1286" s="885"/>
      <c r="EK1286" s="885"/>
      <c r="EL1286" s="885"/>
      <c r="EM1286" s="885"/>
      <c r="EN1286" s="885"/>
      <c r="EO1286" s="885"/>
      <c r="EP1286" s="885"/>
      <c r="EQ1286" s="885"/>
      <c r="ER1286" s="885"/>
      <c r="ES1286" s="885"/>
      <c r="ET1286" s="885"/>
      <c r="EU1286" s="885"/>
      <c r="EV1286" s="885"/>
      <c r="EW1286" s="885"/>
      <c r="EX1286" s="885"/>
      <c r="EY1286" s="885"/>
      <c r="EZ1286" s="885"/>
      <c r="FA1286" s="885"/>
      <c r="FB1286" s="885"/>
      <c r="FC1286" s="885"/>
      <c r="FD1286" s="885"/>
      <c r="FE1286" s="885"/>
      <c r="FF1286" s="885"/>
      <c r="FG1286" s="885"/>
      <c r="FH1286" s="885"/>
      <c r="FI1286" s="885"/>
      <c r="FJ1286" s="885"/>
      <c r="FK1286" s="885"/>
      <c r="FL1286" s="885"/>
      <c r="FM1286" s="885"/>
      <c r="FN1286" s="885"/>
      <c r="FO1286" s="885"/>
      <c r="FP1286" s="885"/>
      <c r="FQ1286" s="885"/>
      <c r="FR1286" s="885"/>
      <c r="FS1286" s="885"/>
      <c r="FT1286" s="885"/>
      <c r="FU1286" s="885"/>
      <c r="FV1286" s="885"/>
      <c r="FW1286" s="885"/>
      <c r="FX1286" s="885"/>
      <c r="FY1286" s="885"/>
      <c r="FZ1286" s="885"/>
      <c r="GA1286" s="885"/>
      <c r="GB1286" s="885"/>
      <c r="GC1286" s="885"/>
      <c r="GD1286" s="885"/>
      <c r="GE1286" s="885"/>
      <c r="GF1286" s="885"/>
      <c r="GG1286" s="885"/>
      <c r="GH1286" s="885"/>
      <c r="GI1286" s="885"/>
      <c r="GJ1286" s="885"/>
      <c r="GK1286" s="885"/>
      <c r="GL1286" s="885"/>
      <c r="GM1286" s="885"/>
      <c r="GN1286" s="885"/>
      <c r="GO1286" s="885"/>
      <c r="GP1286" s="885"/>
      <c r="GQ1286" s="885"/>
      <c r="GR1286" s="885"/>
      <c r="GS1286" s="885"/>
      <c r="GT1286" s="885"/>
      <c r="GU1286" s="885"/>
      <c r="GV1286" s="885"/>
      <c r="GW1286" s="885"/>
      <c r="GX1286" s="885"/>
      <c r="GY1286" s="885"/>
      <c r="GZ1286" s="885"/>
      <c r="HA1286" s="885"/>
      <c r="HB1286" s="885"/>
      <c r="HC1286" s="885"/>
      <c r="HD1286" s="885"/>
      <c r="HE1286" s="885"/>
      <c r="HF1286" s="885"/>
      <c r="HG1286" s="885"/>
      <c r="HH1286" s="885"/>
      <c r="HI1286" s="885"/>
      <c r="HJ1286" s="885"/>
      <c r="HK1286" s="885"/>
      <c r="HL1286" s="885"/>
      <c r="HM1286" s="885"/>
      <c r="HN1286" s="885"/>
      <c r="HO1286" s="885"/>
      <c r="HP1286" s="885"/>
      <c r="HQ1286" s="885"/>
      <c r="HR1286" s="885"/>
      <c r="HS1286" s="885"/>
      <c r="HT1286" s="885"/>
      <c r="HU1286" s="885"/>
      <c r="HV1286" s="885"/>
      <c r="HW1286" s="885"/>
      <c r="HX1286" s="885"/>
      <c r="HY1286" s="885"/>
      <c r="HZ1286" s="885"/>
      <c r="IA1286" s="885"/>
      <c r="IB1286" s="885"/>
      <c r="IC1286" s="885"/>
      <c r="ID1286" s="885"/>
      <c r="IE1286" s="885"/>
      <c r="IF1286" s="885"/>
      <c r="IG1286" s="885"/>
      <c r="IH1286" s="885"/>
      <c r="II1286" s="885"/>
      <c r="IJ1286" s="885"/>
      <c r="IK1286" s="885"/>
      <c r="IL1286" s="885"/>
      <c r="IM1286" s="885"/>
      <c r="IN1286" s="885"/>
      <c r="IO1286" s="885"/>
      <c r="IP1286" s="885"/>
      <c r="IQ1286" s="885"/>
      <c r="IR1286" s="885"/>
      <c r="IS1286" s="885"/>
      <c r="IT1286" s="885"/>
      <c r="IU1286" s="885"/>
      <c r="IV1286" s="885"/>
      <c r="IW1286" s="885"/>
      <c r="IX1286" s="885"/>
    </row>
    <row r="1287" spans="1:258" x14ac:dyDescent="0.25">
      <c r="A1287" s="125">
        <f t="shared" si="134"/>
        <v>1247</v>
      </c>
      <c r="B1287" s="885"/>
      <c r="C1287" s="842" t="s">
        <v>10818</v>
      </c>
      <c r="D1287" s="924">
        <v>0</v>
      </c>
      <c r="E1287" s="924">
        <f t="shared" si="149"/>
        <v>0</v>
      </c>
      <c r="F1287" s="129">
        <v>1500</v>
      </c>
      <c r="G1287" s="122" t="s">
        <v>1963</v>
      </c>
      <c r="H1287" s="885"/>
      <c r="I1287" s="885"/>
      <c r="J1287" s="885"/>
      <c r="K1287" s="885"/>
      <c r="L1287" s="885"/>
      <c r="M1287" s="885"/>
      <c r="N1287" s="885"/>
      <c r="O1287" s="885"/>
      <c r="P1287" s="885"/>
      <c r="Q1287" s="885"/>
      <c r="R1287" s="885"/>
      <c r="S1287" s="885"/>
      <c r="T1287" s="885"/>
      <c r="U1287" s="885"/>
      <c r="V1287" s="885"/>
      <c r="W1287" s="885"/>
      <c r="X1287" s="885"/>
      <c r="Y1287" s="885"/>
      <c r="Z1287" s="885"/>
      <c r="AA1287" s="885"/>
      <c r="AB1287" s="885"/>
      <c r="AC1287" s="885"/>
      <c r="AD1287" s="885"/>
      <c r="AE1287" s="885"/>
      <c r="AF1287" s="885"/>
      <c r="AG1287" s="885"/>
      <c r="AH1287" s="885"/>
      <c r="AI1287" s="885"/>
      <c r="AJ1287" s="885"/>
      <c r="AK1287" s="885"/>
      <c r="AL1287" s="885"/>
      <c r="AM1287" s="885"/>
      <c r="AN1287" s="885"/>
      <c r="AO1287" s="885"/>
      <c r="AP1287" s="885"/>
      <c r="AQ1287" s="885"/>
      <c r="AR1287" s="885"/>
      <c r="AS1287" s="885"/>
      <c r="AT1287" s="885"/>
      <c r="AU1287" s="885"/>
      <c r="AV1287" s="885"/>
      <c r="AW1287" s="885"/>
      <c r="AX1287" s="885"/>
      <c r="AY1287" s="885"/>
      <c r="AZ1287" s="885"/>
      <c r="BA1287" s="885"/>
      <c r="BB1287" s="885"/>
      <c r="BC1287" s="885"/>
      <c r="BD1287" s="885"/>
      <c r="BE1287" s="885"/>
      <c r="BF1287" s="885"/>
      <c r="BG1287" s="885"/>
      <c r="BH1287" s="885"/>
      <c r="BI1287" s="885"/>
      <c r="BJ1287" s="885"/>
      <c r="BK1287" s="885"/>
      <c r="BL1287" s="885"/>
      <c r="BM1287" s="885"/>
      <c r="BN1287" s="885"/>
      <c r="BO1287" s="885"/>
      <c r="BP1287" s="885"/>
      <c r="BQ1287" s="885"/>
      <c r="BR1287" s="885"/>
      <c r="BS1287" s="885"/>
      <c r="BT1287" s="885"/>
      <c r="BU1287" s="885"/>
      <c r="BV1287" s="885"/>
      <c r="BW1287" s="885"/>
      <c r="BX1287" s="885"/>
      <c r="BY1287" s="885"/>
      <c r="BZ1287" s="885"/>
      <c r="CA1287" s="885"/>
      <c r="CB1287" s="885"/>
      <c r="CC1287" s="885"/>
      <c r="CD1287" s="885"/>
      <c r="CE1287" s="885"/>
      <c r="CF1287" s="885"/>
      <c r="CG1287" s="885"/>
      <c r="CH1287" s="885"/>
      <c r="CI1287" s="885"/>
      <c r="CJ1287" s="885"/>
      <c r="CK1287" s="885"/>
      <c r="CL1287" s="885"/>
      <c r="CM1287" s="885"/>
      <c r="CN1287" s="885"/>
      <c r="CO1287" s="885"/>
      <c r="CP1287" s="885"/>
      <c r="CQ1287" s="885"/>
      <c r="CR1287" s="885"/>
      <c r="CS1287" s="885"/>
      <c r="CT1287" s="885"/>
      <c r="CU1287" s="885"/>
      <c r="CV1287" s="885"/>
      <c r="CW1287" s="885"/>
      <c r="CX1287" s="885"/>
      <c r="CY1287" s="885"/>
      <c r="CZ1287" s="885"/>
      <c r="DA1287" s="885"/>
      <c r="DB1287" s="885"/>
      <c r="DC1287" s="885"/>
      <c r="DD1287" s="885"/>
      <c r="DE1287" s="885"/>
      <c r="DF1287" s="885"/>
      <c r="DG1287" s="885"/>
      <c r="DH1287" s="885"/>
      <c r="DI1287" s="885"/>
      <c r="DJ1287" s="885"/>
      <c r="DK1287" s="885"/>
      <c r="DL1287" s="885"/>
      <c r="DM1287" s="885"/>
      <c r="DN1287" s="885"/>
      <c r="DO1287" s="885"/>
      <c r="DP1287" s="885"/>
      <c r="DQ1287" s="885"/>
      <c r="DR1287" s="885"/>
      <c r="DS1287" s="885"/>
      <c r="DT1287" s="885"/>
      <c r="DU1287" s="885"/>
      <c r="DV1287" s="885"/>
      <c r="DW1287" s="885"/>
      <c r="DX1287" s="885"/>
      <c r="DY1287" s="885"/>
      <c r="DZ1287" s="885"/>
      <c r="EA1287" s="885"/>
      <c r="EB1287" s="885"/>
      <c r="EC1287" s="885"/>
      <c r="ED1287" s="885"/>
      <c r="EE1287" s="885"/>
      <c r="EF1287" s="885"/>
      <c r="EG1287" s="885"/>
      <c r="EH1287" s="885"/>
      <c r="EI1287" s="885"/>
      <c r="EJ1287" s="885"/>
      <c r="EK1287" s="885"/>
      <c r="EL1287" s="885"/>
      <c r="EM1287" s="885"/>
      <c r="EN1287" s="885"/>
      <c r="EO1287" s="885"/>
      <c r="EP1287" s="885"/>
      <c r="EQ1287" s="885"/>
      <c r="ER1287" s="885"/>
      <c r="ES1287" s="885"/>
      <c r="ET1287" s="885"/>
      <c r="EU1287" s="885"/>
      <c r="EV1287" s="885"/>
      <c r="EW1287" s="885"/>
      <c r="EX1287" s="885"/>
      <c r="EY1287" s="885"/>
      <c r="EZ1287" s="885"/>
      <c r="FA1287" s="885"/>
      <c r="FB1287" s="885"/>
      <c r="FC1287" s="885"/>
      <c r="FD1287" s="885"/>
      <c r="FE1287" s="885"/>
      <c r="FF1287" s="885"/>
      <c r="FG1287" s="885"/>
      <c r="FH1287" s="885"/>
      <c r="FI1287" s="885"/>
      <c r="FJ1287" s="885"/>
      <c r="FK1287" s="885"/>
      <c r="FL1287" s="885"/>
      <c r="FM1287" s="885"/>
      <c r="FN1287" s="885"/>
      <c r="FO1287" s="885"/>
      <c r="FP1287" s="885"/>
      <c r="FQ1287" s="885"/>
      <c r="FR1287" s="885"/>
      <c r="FS1287" s="885"/>
      <c r="FT1287" s="885"/>
      <c r="FU1287" s="885"/>
      <c r="FV1287" s="885"/>
      <c r="FW1287" s="885"/>
      <c r="FX1287" s="885"/>
      <c r="FY1287" s="885"/>
      <c r="FZ1287" s="885"/>
      <c r="GA1287" s="885"/>
      <c r="GB1287" s="885"/>
      <c r="GC1287" s="885"/>
      <c r="GD1287" s="885"/>
      <c r="GE1287" s="885"/>
      <c r="GF1287" s="885"/>
      <c r="GG1287" s="885"/>
      <c r="GH1287" s="885"/>
      <c r="GI1287" s="885"/>
      <c r="GJ1287" s="885"/>
      <c r="GK1287" s="885"/>
      <c r="GL1287" s="885"/>
      <c r="GM1287" s="885"/>
      <c r="GN1287" s="885"/>
      <c r="GO1287" s="885"/>
      <c r="GP1287" s="885"/>
      <c r="GQ1287" s="885"/>
      <c r="GR1287" s="885"/>
      <c r="GS1287" s="885"/>
      <c r="GT1287" s="885"/>
      <c r="GU1287" s="885"/>
      <c r="GV1287" s="885"/>
      <c r="GW1287" s="885"/>
      <c r="GX1287" s="885"/>
      <c r="GY1287" s="885"/>
      <c r="GZ1287" s="885"/>
      <c r="HA1287" s="885"/>
      <c r="HB1287" s="885"/>
      <c r="HC1287" s="885"/>
      <c r="HD1287" s="885"/>
      <c r="HE1287" s="885"/>
      <c r="HF1287" s="885"/>
      <c r="HG1287" s="885"/>
      <c r="HH1287" s="885"/>
      <c r="HI1287" s="885"/>
      <c r="HJ1287" s="885"/>
      <c r="HK1287" s="885"/>
      <c r="HL1287" s="885"/>
      <c r="HM1287" s="885"/>
      <c r="HN1287" s="885"/>
      <c r="HO1287" s="885"/>
      <c r="HP1287" s="885"/>
      <c r="HQ1287" s="885"/>
      <c r="HR1287" s="885"/>
      <c r="HS1287" s="885"/>
      <c r="HT1287" s="885"/>
      <c r="HU1287" s="885"/>
      <c r="HV1287" s="885"/>
      <c r="HW1287" s="885"/>
      <c r="HX1287" s="885"/>
      <c r="HY1287" s="885"/>
      <c r="HZ1287" s="885"/>
      <c r="IA1287" s="885"/>
      <c r="IB1287" s="885"/>
      <c r="IC1287" s="885"/>
      <c r="ID1287" s="885"/>
      <c r="IE1287" s="885"/>
      <c r="IF1287" s="885"/>
      <c r="IG1287" s="885"/>
      <c r="IH1287" s="885"/>
      <c r="II1287" s="885"/>
      <c r="IJ1287" s="885"/>
      <c r="IK1287" s="885"/>
      <c r="IL1287" s="885"/>
      <c r="IM1287" s="885"/>
      <c r="IN1287" s="885"/>
      <c r="IO1287" s="885"/>
      <c r="IP1287" s="885"/>
      <c r="IQ1287" s="885"/>
      <c r="IR1287" s="885"/>
      <c r="IS1287" s="885"/>
      <c r="IT1287" s="885"/>
      <c r="IU1287" s="885"/>
      <c r="IV1287" s="885"/>
      <c r="IW1287" s="885"/>
      <c r="IX1287" s="885"/>
    </row>
    <row r="1288" spans="1:258" x14ac:dyDescent="0.25">
      <c r="A1288" s="125">
        <f t="shared" si="134"/>
        <v>1248</v>
      </c>
      <c r="B1288" s="885"/>
      <c r="C1288" s="842" t="s">
        <v>10819</v>
      </c>
      <c r="D1288" s="924">
        <v>0</v>
      </c>
      <c r="E1288" s="924">
        <f t="shared" si="149"/>
        <v>0</v>
      </c>
      <c r="F1288" s="129">
        <v>5000</v>
      </c>
      <c r="G1288" s="122" t="s">
        <v>1963</v>
      </c>
      <c r="H1288" s="885"/>
      <c r="I1288" s="885"/>
      <c r="J1288" s="885"/>
      <c r="K1288" s="885"/>
      <c r="L1288" s="885"/>
      <c r="M1288" s="885"/>
      <c r="N1288" s="885"/>
      <c r="O1288" s="885"/>
      <c r="P1288" s="885"/>
      <c r="Q1288" s="885"/>
      <c r="R1288" s="885"/>
      <c r="S1288" s="885"/>
      <c r="T1288" s="885"/>
      <c r="U1288" s="885"/>
      <c r="V1288" s="885"/>
      <c r="W1288" s="885"/>
      <c r="X1288" s="885"/>
      <c r="Y1288" s="885"/>
      <c r="Z1288" s="885"/>
      <c r="AA1288" s="885"/>
      <c r="AB1288" s="885"/>
      <c r="AC1288" s="885"/>
      <c r="AD1288" s="885"/>
      <c r="AE1288" s="885"/>
      <c r="AF1288" s="885"/>
      <c r="AG1288" s="885"/>
      <c r="AH1288" s="885"/>
      <c r="AI1288" s="885"/>
      <c r="AJ1288" s="885"/>
      <c r="AK1288" s="885"/>
      <c r="AL1288" s="885"/>
      <c r="AM1288" s="885"/>
      <c r="AN1288" s="885"/>
      <c r="AO1288" s="885"/>
      <c r="AP1288" s="885"/>
      <c r="AQ1288" s="885"/>
      <c r="AR1288" s="885"/>
      <c r="AS1288" s="885"/>
      <c r="AT1288" s="885"/>
      <c r="AU1288" s="885"/>
      <c r="AV1288" s="885"/>
      <c r="AW1288" s="885"/>
      <c r="AX1288" s="885"/>
      <c r="AY1288" s="885"/>
      <c r="AZ1288" s="885"/>
      <c r="BA1288" s="885"/>
      <c r="BB1288" s="885"/>
      <c r="BC1288" s="885"/>
      <c r="BD1288" s="885"/>
      <c r="BE1288" s="885"/>
      <c r="BF1288" s="885"/>
      <c r="BG1288" s="885"/>
      <c r="BH1288" s="885"/>
      <c r="BI1288" s="885"/>
      <c r="BJ1288" s="885"/>
      <c r="BK1288" s="885"/>
      <c r="BL1288" s="885"/>
      <c r="BM1288" s="885"/>
      <c r="BN1288" s="885"/>
      <c r="BO1288" s="885"/>
      <c r="BP1288" s="885"/>
      <c r="BQ1288" s="885"/>
      <c r="BR1288" s="885"/>
      <c r="BS1288" s="885"/>
      <c r="BT1288" s="885"/>
      <c r="BU1288" s="885"/>
      <c r="BV1288" s="885"/>
      <c r="BW1288" s="885"/>
      <c r="BX1288" s="885"/>
      <c r="BY1288" s="885"/>
      <c r="BZ1288" s="885"/>
      <c r="CA1288" s="885"/>
      <c r="CB1288" s="885"/>
      <c r="CC1288" s="885"/>
      <c r="CD1288" s="885"/>
      <c r="CE1288" s="885"/>
      <c r="CF1288" s="885"/>
      <c r="CG1288" s="885"/>
      <c r="CH1288" s="885"/>
      <c r="CI1288" s="885"/>
      <c r="CJ1288" s="885"/>
      <c r="CK1288" s="885"/>
      <c r="CL1288" s="885"/>
      <c r="CM1288" s="885"/>
      <c r="CN1288" s="885"/>
      <c r="CO1288" s="885"/>
      <c r="CP1288" s="885"/>
      <c r="CQ1288" s="885"/>
      <c r="CR1288" s="885"/>
      <c r="CS1288" s="885"/>
      <c r="CT1288" s="885"/>
      <c r="CU1288" s="885"/>
      <c r="CV1288" s="885"/>
      <c r="CW1288" s="885"/>
      <c r="CX1288" s="885"/>
      <c r="CY1288" s="885"/>
      <c r="CZ1288" s="885"/>
      <c r="DA1288" s="885"/>
      <c r="DB1288" s="885"/>
      <c r="DC1288" s="885"/>
      <c r="DD1288" s="885"/>
      <c r="DE1288" s="885"/>
      <c r="DF1288" s="885"/>
      <c r="DG1288" s="885"/>
      <c r="DH1288" s="885"/>
      <c r="DI1288" s="885"/>
      <c r="DJ1288" s="885"/>
      <c r="DK1288" s="885"/>
      <c r="DL1288" s="885"/>
      <c r="DM1288" s="885"/>
      <c r="DN1288" s="885"/>
      <c r="DO1288" s="885"/>
      <c r="DP1288" s="885"/>
      <c r="DQ1288" s="885"/>
      <c r="DR1288" s="885"/>
      <c r="DS1288" s="885"/>
      <c r="DT1288" s="885"/>
      <c r="DU1288" s="885"/>
      <c r="DV1288" s="885"/>
      <c r="DW1288" s="885"/>
      <c r="DX1288" s="885"/>
      <c r="DY1288" s="885"/>
      <c r="DZ1288" s="885"/>
      <c r="EA1288" s="885"/>
      <c r="EB1288" s="885"/>
      <c r="EC1288" s="885"/>
      <c r="ED1288" s="885"/>
      <c r="EE1288" s="885"/>
      <c r="EF1288" s="885"/>
      <c r="EG1288" s="885"/>
      <c r="EH1288" s="885"/>
      <c r="EI1288" s="885"/>
      <c r="EJ1288" s="885"/>
      <c r="EK1288" s="885"/>
      <c r="EL1288" s="885"/>
      <c r="EM1288" s="885"/>
      <c r="EN1288" s="885"/>
      <c r="EO1288" s="885"/>
      <c r="EP1288" s="885"/>
      <c r="EQ1288" s="885"/>
      <c r="ER1288" s="885"/>
      <c r="ES1288" s="885"/>
      <c r="ET1288" s="885"/>
      <c r="EU1288" s="885"/>
      <c r="EV1288" s="885"/>
      <c r="EW1288" s="885"/>
      <c r="EX1288" s="885"/>
      <c r="EY1288" s="885"/>
      <c r="EZ1288" s="885"/>
      <c r="FA1288" s="885"/>
      <c r="FB1288" s="885"/>
      <c r="FC1288" s="885"/>
      <c r="FD1288" s="885"/>
      <c r="FE1288" s="885"/>
      <c r="FF1288" s="885"/>
      <c r="FG1288" s="885"/>
      <c r="FH1288" s="885"/>
      <c r="FI1288" s="885"/>
      <c r="FJ1288" s="885"/>
      <c r="FK1288" s="885"/>
      <c r="FL1288" s="885"/>
      <c r="FM1288" s="885"/>
      <c r="FN1288" s="885"/>
      <c r="FO1288" s="885"/>
      <c r="FP1288" s="885"/>
      <c r="FQ1288" s="885"/>
      <c r="FR1288" s="885"/>
      <c r="FS1288" s="885"/>
      <c r="FT1288" s="885"/>
      <c r="FU1288" s="885"/>
      <c r="FV1288" s="885"/>
      <c r="FW1288" s="885"/>
      <c r="FX1288" s="885"/>
      <c r="FY1288" s="885"/>
      <c r="FZ1288" s="885"/>
      <c r="GA1288" s="885"/>
      <c r="GB1288" s="885"/>
      <c r="GC1288" s="885"/>
      <c r="GD1288" s="885"/>
      <c r="GE1288" s="885"/>
      <c r="GF1288" s="885"/>
      <c r="GG1288" s="885"/>
      <c r="GH1288" s="885"/>
      <c r="GI1288" s="885"/>
      <c r="GJ1288" s="885"/>
      <c r="GK1288" s="885"/>
      <c r="GL1288" s="885"/>
      <c r="GM1288" s="885"/>
      <c r="GN1288" s="885"/>
      <c r="GO1288" s="885"/>
      <c r="GP1288" s="885"/>
      <c r="GQ1288" s="885"/>
      <c r="GR1288" s="885"/>
      <c r="GS1288" s="885"/>
      <c r="GT1288" s="885"/>
      <c r="GU1288" s="885"/>
      <c r="GV1288" s="885"/>
      <c r="GW1288" s="885"/>
      <c r="GX1288" s="885"/>
      <c r="GY1288" s="885"/>
      <c r="GZ1288" s="885"/>
      <c r="HA1288" s="885"/>
      <c r="HB1288" s="885"/>
      <c r="HC1288" s="885"/>
      <c r="HD1288" s="885"/>
      <c r="HE1288" s="885"/>
      <c r="HF1288" s="885"/>
      <c r="HG1288" s="885"/>
      <c r="HH1288" s="885"/>
      <c r="HI1288" s="885"/>
      <c r="HJ1288" s="885"/>
      <c r="HK1288" s="885"/>
      <c r="HL1288" s="885"/>
      <c r="HM1288" s="885"/>
      <c r="HN1288" s="885"/>
      <c r="HO1288" s="885"/>
      <c r="HP1288" s="885"/>
      <c r="HQ1288" s="885"/>
      <c r="HR1288" s="885"/>
      <c r="HS1288" s="885"/>
      <c r="HT1288" s="885"/>
      <c r="HU1288" s="885"/>
      <c r="HV1288" s="885"/>
      <c r="HW1288" s="885"/>
      <c r="HX1288" s="885"/>
      <c r="HY1288" s="885"/>
      <c r="HZ1288" s="885"/>
      <c r="IA1288" s="885"/>
      <c r="IB1288" s="885"/>
      <c r="IC1288" s="885"/>
      <c r="ID1288" s="885"/>
      <c r="IE1288" s="885"/>
      <c r="IF1288" s="885"/>
      <c r="IG1288" s="885"/>
      <c r="IH1288" s="885"/>
      <c r="II1288" s="885"/>
      <c r="IJ1288" s="885"/>
      <c r="IK1288" s="885"/>
      <c r="IL1288" s="885"/>
      <c r="IM1288" s="885"/>
      <c r="IN1288" s="885"/>
      <c r="IO1288" s="885"/>
      <c r="IP1288" s="885"/>
      <c r="IQ1288" s="885"/>
      <c r="IR1288" s="885"/>
      <c r="IS1288" s="885"/>
      <c r="IT1288" s="885"/>
      <c r="IU1288" s="885"/>
      <c r="IV1288" s="885"/>
      <c r="IW1288" s="885"/>
      <c r="IX1288" s="885"/>
    </row>
    <row r="1289" spans="1:258" x14ac:dyDescent="0.25">
      <c r="A1289" s="125">
        <f t="shared" si="134"/>
        <v>1249</v>
      </c>
      <c r="B1289" s="885"/>
      <c r="C1289" s="842" t="s">
        <v>10820</v>
      </c>
      <c r="D1289" s="924">
        <v>0</v>
      </c>
      <c r="E1289" s="924">
        <f t="shared" si="149"/>
        <v>0</v>
      </c>
      <c r="F1289" s="129">
        <f>F1287*F$83</f>
        <v>300</v>
      </c>
      <c r="G1289" s="122" t="s">
        <v>1963</v>
      </c>
      <c r="H1289" s="885"/>
      <c r="I1289" s="885"/>
      <c r="J1289" s="885"/>
      <c r="K1289" s="885"/>
      <c r="L1289" s="885"/>
      <c r="M1289" s="885"/>
      <c r="N1289" s="885"/>
      <c r="O1289" s="885"/>
      <c r="P1289" s="885"/>
      <c r="Q1289" s="885"/>
      <c r="R1289" s="885"/>
      <c r="S1289" s="885"/>
      <c r="T1289" s="885"/>
      <c r="U1289" s="885"/>
      <c r="V1289" s="885"/>
      <c r="W1289" s="885"/>
      <c r="X1289" s="885"/>
      <c r="Y1289" s="885"/>
      <c r="Z1289" s="885"/>
      <c r="AA1289" s="885"/>
      <c r="AB1289" s="885"/>
      <c r="AC1289" s="885"/>
      <c r="AD1289" s="885"/>
      <c r="AE1289" s="885"/>
      <c r="AF1289" s="885"/>
      <c r="AG1289" s="885"/>
      <c r="AH1289" s="885"/>
      <c r="AI1289" s="885"/>
      <c r="AJ1289" s="885"/>
      <c r="AK1289" s="885"/>
      <c r="AL1289" s="885"/>
      <c r="AM1289" s="885"/>
      <c r="AN1289" s="885"/>
      <c r="AO1289" s="885"/>
      <c r="AP1289" s="885"/>
      <c r="AQ1289" s="885"/>
      <c r="AR1289" s="885"/>
      <c r="AS1289" s="885"/>
      <c r="AT1289" s="885"/>
      <c r="AU1289" s="885"/>
      <c r="AV1289" s="885"/>
      <c r="AW1289" s="885"/>
      <c r="AX1289" s="885"/>
      <c r="AY1289" s="885"/>
      <c r="AZ1289" s="885"/>
      <c r="BA1289" s="885"/>
      <c r="BB1289" s="885"/>
      <c r="BC1289" s="885"/>
      <c r="BD1289" s="885"/>
      <c r="BE1289" s="885"/>
      <c r="BF1289" s="885"/>
      <c r="BG1289" s="885"/>
      <c r="BH1289" s="885"/>
      <c r="BI1289" s="885"/>
      <c r="BJ1289" s="885"/>
      <c r="BK1289" s="885"/>
      <c r="BL1289" s="885"/>
      <c r="BM1289" s="885"/>
      <c r="BN1289" s="885"/>
      <c r="BO1289" s="885"/>
      <c r="BP1289" s="885"/>
      <c r="BQ1289" s="885"/>
      <c r="BR1289" s="885"/>
      <c r="BS1289" s="885"/>
      <c r="BT1289" s="885"/>
      <c r="BU1289" s="885"/>
      <c r="BV1289" s="885"/>
      <c r="BW1289" s="885"/>
      <c r="BX1289" s="885"/>
      <c r="BY1289" s="885"/>
      <c r="BZ1289" s="885"/>
      <c r="CA1289" s="885"/>
      <c r="CB1289" s="885"/>
      <c r="CC1289" s="885"/>
      <c r="CD1289" s="885"/>
      <c r="CE1289" s="885"/>
      <c r="CF1289" s="885"/>
      <c r="CG1289" s="885"/>
      <c r="CH1289" s="885"/>
      <c r="CI1289" s="885"/>
      <c r="CJ1289" s="885"/>
      <c r="CK1289" s="885"/>
      <c r="CL1289" s="885"/>
      <c r="CM1289" s="885"/>
      <c r="CN1289" s="885"/>
      <c r="CO1289" s="885"/>
      <c r="CP1289" s="885"/>
      <c r="CQ1289" s="885"/>
      <c r="CR1289" s="885"/>
      <c r="CS1289" s="885"/>
      <c r="CT1289" s="885"/>
      <c r="CU1289" s="885"/>
      <c r="CV1289" s="885"/>
      <c r="CW1289" s="885"/>
      <c r="CX1289" s="885"/>
      <c r="CY1289" s="885"/>
      <c r="CZ1289" s="885"/>
      <c r="DA1289" s="885"/>
      <c r="DB1289" s="885"/>
      <c r="DC1289" s="885"/>
      <c r="DD1289" s="885"/>
      <c r="DE1289" s="885"/>
      <c r="DF1289" s="885"/>
      <c r="DG1289" s="885"/>
      <c r="DH1289" s="885"/>
      <c r="DI1289" s="885"/>
      <c r="DJ1289" s="885"/>
      <c r="DK1289" s="885"/>
      <c r="DL1289" s="885"/>
      <c r="DM1289" s="885"/>
      <c r="DN1289" s="885"/>
      <c r="DO1289" s="885"/>
      <c r="DP1289" s="885"/>
      <c r="DQ1289" s="885"/>
      <c r="DR1289" s="885"/>
      <c r="DS1289" s="885"/>
      <c r="DT1289" s="885"/>
      <c r="DU1289" s="885"/>
      <c r="DV1289" s="885"/>
      <c r="DW1289" s="885"/>
      <c r="DX1289" s="885"/>
      <c r="DY1289" s="885"/>
      <c r="DZ1289" s="885"/>
      <c r="EA1289" s="885"/>
      <c r="EB1289" s="885"/>
      <c r="EC1289" s="885"/>
      <c r="ED1289" s="885"/>
      <c r="EE1289" s="885"/>
      <c r="EF1289" s="885"/>
      <c r="EG1289" s="885"/>
      <c r="EH1289" s="885"/>
      <c r="EI1289" s="885"/>
      <c r="EJ1289" s="885"/>
      <c r="EK1289" s="885"/>
      <c r="EL1289" s="885"/>
      <c r="EM1289" s="885"/>
      <c r="EN1289" s="885"/>
      <c r="EO1289" s="885"/>
      <c r="EP1289" s="885"/>
      <c r="EQ1289" s="885"/>
      <c r="ER1289" s="885"/>
      <c r="ES1289" s="885"/>
      <c r="ET1289" s="885"/>
      <c r="EU1289" s="885"/>
      <c r="EV1289" s="885"/>
      <c r="EW1289" s="885"/>
      <c r="EX1289" s="885"/>
      <c r="EY1289" s="885"/>
      <c r="EZ1289" s="885"/>
      <c r="FA1289" s="885"/>
      <c r="FB1289" s="885"/>
      <c r="FC1289" s="885"/>
      <c r="FD1289" s="885"/>
      <c r="FE1289" s="885"/>
      <c r="FF1289" s="885"/>
      <c r="FG1289" s="885"/>
      <c r="FH1289" s="885"/>
      <c r="FI1289" s="885"/>
      <c r="FJ1289" s="885"/>
      <c r="FK1289" s="885"/>
      <c r="FL1289" s="885"/>
      <c r="FM1289" s="885"/>
      <c r="FN1289" s="885"/>
      <c r="FO1289" s="885"/>
      <c r="FP1289" s="885"/>
      <c r="FQ1289" s="885"/>
      <c r="FR1289" s="885"/>
      <c r="FS1289" s="885"/>
      <c r="FT1289" s="885"/>
      <c r="FU1289" s="885"/>
      <c r="FV1289" s="885"/>
      <c r="FW1289" s="885"/>
      <c r="FX1289" s="885"/>
      <c r="FY1289" s="885"/>
      <c r="FZ1289" s="885"/>
      <c r="GA1289" s="885"/>
      <c r="GB1289" s="885"/>
      <c r="GC1289" s="885"/>
      <c r="GD1289" s="885"/>
      <c r="GE1289" s="885"/>
      <c r="GF1289" s="885"/>
      <c r="GG1289" s="885"/>
      <c r="GH1289" s="885"/>
      <c r="GI1289" s="885"/>
      <c r="GJ1289" s="885"/>
      <c r="GK1289" s="885"/>
      <c r="GL1289" s="885"/>
      <c r="GM1289" s="885"/>
      <c r="GN1289" s="885"/>
      <c r="GO1289" s="885"/>
      <c r="GP1289" s="885"/>
      <c r="GQ1289" s="885"/>
      <c r="GR1289" s="885"/>
      <c r="GS1289" s="885"/>
      <c r="GT1289" s="885"/>
      <c r="GU1289" s="885"/>
      <c r="GV1289" s="885"/>
      <c r="GW1289" s="885"/>
      <c r="GX1289" s="885"/>
      <c r="GY1289" s="885"/>
      <c r="GZ1289" s="885"/>
      <c r="HA1289" s="885"/>
      <c r="HB1289" s="885"/>
      <c r="HC1289" s="885"/>
      <c r="HD1289" s="885"/>
      <c r="HE1289" s="885"/>
      <c r="HF1289" s="885"/>
      <c r="HG1289" s="885"/>
      <c r="HH1289" s="885"/>
      <c r="HI1289" s="885"/>
      <c r="HJ1289" s="885"/>
      <c r="HK1289" s="885"/>
      <c r="HL1289" s="885"/>
      <c r="HM1289" s="885"/>
      <c r="HN1289" s="885"/>
      <c r="HO1289" s="885"/>
      <c r="HP1289" s="885"/>
      <c r="HQ1289" s="885"/>
      <c r="HR1289" s="885"/>
      <c r="HS1289" s="885"/>
      <c r="HT1289" s="885"/>
      <c r="HU1289" s="885"/>
      <c r="HV1289" s="885"/>
      <c r="HW1289" s="885"/>
      <c r="HX1289" s="885"/>
      <c r="HY1289" s="885"/>
      <c r="HZ1289" s="885"/>
      <c r="IA1289" s="885"/>
      <c r="IB1289" s="885"/>
      <c r="IC1289" s="885"/>
      <c r="ID1289" s="885"/>
      <c r="IE1289" s="885"/>
      <c r="IF1289" s="885"/>
      <c r="IG1289" s="885"/>
      <c r="IH1289" s="885"/>
      <c r="II1289" s="885"/>
      <c r="IJ1289" s="885"/>
      <c r="IK1289" s="885"/>
      <c r="IL1289" s="885"/>
      <c r="IM1289" s="885"/>
      <c r="IN1289" s="885"/>
      <c r="IO1289" s="885"/>
      <c r="IP1289" s="885"/>
      <c r="IQ1289" s="885"/>
      <c r="IR1289" s="885"/>
      <c r="IS1289" s="885"/>
      <c r="IT1289" s="885"/>
      <c r="IU1289" s="885"/>
      <c r="IV1289" s="885"/>
      <c r="IW1289" s="885"/>
      <c r="IX1289" s="885"/>
    </row>
    <row r="1290" spans="1:258" x14ac:dyDescent="0.25">
      <c r="A1290" s="125">
        <f t="shared" si="134"/>
        <v>1250</v>
      </c>
      <c r="B1290" s="885"/>
      <c r="C1290" s="842" t="s">
        <v>10821</v>
      </c>
      <c r="D1290" s="924">
        <v>0</v>
      </c>
      <c r="E1290" s="924">
        <f t="shared" si="149"/>
        <v>0</v>
      </c>
      <c r="F1290" s="129">
        <v>500</v>
      </c>
      <c r="G1290" s="122" t="s">
        <v>1963</v>
      </c>
      <c r="H1290" s="885"/>
      <c r="I1290" s="885"/>
      <c r="J1290" s="885"/>
      <c r="K1290" s="885"/>
      <c r="L1290" s="885"/>
      <c r="M1290" s="885"/>
      <c r="N1290" s="885"/>
      <c r="O1290" s="885"/>
      <c r="P1290" s="885"/>
      <c r="Q1290" s="885"/>
      <c r="R1290" s="885"/>
      <c r="S1290" s="885"/>
      <c r="T1290" s="885"/>
      <c r="U1290" s="885"/>
      <c r="V1290" s="885"/>
      <c r="W1290" s="885"/>
      <c r="X1290" s="885"/>
      <c r="Y1290" s="885"/>
      <c r="Z1290" s="885"/>
      <c r="AA1290" s="885"/>
      <c r="AB1290" s="885"/>
      <c r="AC1290" s="885"/>
      <c r="AD1290" s="885"/>
      <c r="AE1290" s="885"/>
      <c r="AF1290" s="885"/>
      <c r="AG1290" s="885"/>
      <c r="AH1290" s="885"/>
      <c r="AI1290" s="885"/>
      <c r="AJ1290" s="885"/>
      <c r="AK1290" s="885"/>
      <c r="AL1290" s="885"/>
      <c r="AM1290" s="885"/>
      <c r="AN1290" s="885"/>
      <c r="AO1290" s="885"/>
      <c r="AP1290" s="885"/>
      <c r="AQ1290" s="885"/>
      <c r="AR1290" s="885"/>
      <c r="AS1290" s="885"/>
      <c r="AT1290" s="885"/>
      <c r="AU1290" s="885"/>
      <c r="AV1290" s="885"/>
      <c r="AW1290" s="885"/>
      <c r="AX1290" s="885"/>
      <c r="AY1290" s="885"/>
      <c r="AZ1290" s="885"/>
      <c r="BA1290" s="885"/>
      <c r="BB1290" s="885"/>
      <c r="BC1290" s="885"/>
      <c r="BD1290" s="885"/>
      <c r="BE1290" s="885"/>
      <c r="BF1290" s="885"/>
      <c r="BG1290" s="885"/>
      <c r="BH1290" s="885"/>
      <c r="BI1290" s="885"/>
      <c r="BJ1290" s="885"/>
      <c r="BK1290" s="885"/>
      <c r="BL1290" s="885"/>
      <c r="BM1290" s="885"/>
      <c r="BN1290" s="885"/>
      <c r="BO1290" s="885"/>
      <c r="BP1290" s="885"/>
      <c r="BQ1290" s="885"/>
      <c r="BR1290" s="885"/>
      <c r="BS1290" s="885"/>
      <c r="BT1290" s="885"/>
      <c r="BU1290" s="885"/>
      <c r="BV1290" s="885"/>
      <c r="BW1290" s="885"/>
      <c r="BX1290" s="885"/>
      <c r="BY1290" s="885"/>
      <c r="BZ1290" s="885"/>
      <c r="CA1290" s="885"/>
      <c r="CB1290" s="885"/>
      <c r="CC1290" s="885"/>
      <c r="CD1290" s="885"/>
      <c r="CE1290" s="885"/>
      <c r="CF1290" s="885"/>
      <c r="CG1290" s="885"/>
      <c r="CH1290" s="885"/>
      <c r="CI1290" s="885"/>
      <c r="CJ1290" s="885"/>
      <c r="CK1290" s="885"/>
      <c r="CL1290" s="885"/>
      <c r="CM1290" s="885"/>
      <c r="CN1290" s="885"/>
      <c r="CO1290" s="885"/>
      <c r="CP1290" s="885"/>
      <c r="CQ1290" s="885"/>
      <c r="CR1290" s="885"/>
      <c r="CS1290" s="885"/>
      <c r="CT1290" s="885"/>
      <c r="CU1290" s="885"/>
      <c r="CV1290" s="885"/>
      <c r="CW1290" s="885"/>
      <c r="CX1290" s="885"/>
      <c r="CY1290" s="885"/>
      <c r="CZ1290" s="885"/>
      <c r="DA1290" s="885"/>
      <c r="DB1290" s="885"/>
      <c r="DC1290" s="885"/>
      <c r="DD1290" s="885"/>
      <c r="DE1290" s="885"/>
      <c r="DF1290" s="885"/>
      <c r="DG1290" s="885"/>
      <c r="DH1290" s="885"/>
      <c r="DI1290" s="885"/>
      <c r="DJ1290" s="885"/>
      <c r="DK1290" s="885"/>
      <c r="DL1290" s="885"/>
      <c r="DM1290" s="885"/>
      <c r="DN1290" s="885"/>
      <c r="DO1290" s="885"/>
      <c r="DP1290" s="885"/>
      <c r="DQ1290" s="885"/>
      <c r="DR1290" s="885"/>
      <c r="DS1290" s="885"/>
      <c r="DT1290" s="885"/>
      <c r="DU1290" s="885"/>
      <c r="DV1290" s="885"/>
      <c r="DW1290" s="885"/>
      <c r="DX1290" s="885"/>
      <c r="DY1290" s="885"/>
      <c r="DZ1290" s="885"/>
      <c r="EA1290" s="885"/>
      <c r="EB1290" s="885"/>
      <c r="EC1290" s="885"/>
      <c r="ED1290" s="885"/>
      <c r="EE1290" s="885"/>
      <c r="EF1290" s="885"/>
      <c r="EG1290" s="885"/>
      <c r="EH1290" s="885"/>
      <c r="EI1290" s="885"/>
      <c r="EJ1290" s="885"/>
      <c r="EK1290" s="885"/>
      <c r="EL1290" s="885"/>
      <c r="EM1290" s="885"/>
      <c r="EN1290" s="885"/>
      <c r="EO1290" s="885"/>
      <c r="EP1290" s="885"/>
      <c r="EQ1290" s="885"/>
      <c r="ER1290" s="885"/>
      <c r="ES1290" s="885"/>
      <c r="ET1290" s="885"/>
      <c r="EU1290" s="885"/>
      <c r="EV1290" s="885"/>
      <c r="EW1290" s="885"/>
      <c r="EX1290" s="885"/>
      <c r="EY1290" s="885"/>
      <c r="EZ1290" s="885"/>
      <c r="FA1290" s="885"/>
      <c r="FB1290" s="885"/>
      <c r="FC1290" s="885"/>
      <c r="FD1290" s="885"/>
      <c r="FE1290" s="885"/>
      <c r="FF1290" s="885"/>
      <c r="FG1290" s="885"/>
      <c r="FH1290" s="885"/>
      <c r="FI1290" s="885"/>
      <c r="FJ1290" s="885"/>
      <c r="FK1290" s="885"/>
      <c r="FL1290" s="885"/>
      <c r="FM1290" s="885"/>
      <c r="FN1290" s="885"/>
      <c r="FO1290" s="885"/>
      <c r="FP1290" s="885"/>
      <c r="FQ1290" s="885"/>
      <c r="FR1290" s="885"/>
      <c r="FS1290" s="885"/>
      <c r="FT1290" s="885"/>
      <c r="FU1290" s="885"/>
      <c r="FV1290" s="885"/>
      <c r="FW1290" s="885"/>
      <c r="FX1290" s="885"/>
      <c r="FY1290" s="885"/>
      <c r="FZ1290" s="885"/>
      <c r="GA1290" s="885"/>
      <c r="GB1290" s="885"/>
      <c r="GC1290" s="885"/>
      <c r="GD1290" s="885"/>
      <c r="GE1290" s="885"/>
      <c r="GF1290" s="885"/>
      <c r="GG1290" s="885"/>
      <c r="GH1290" s="885"/>
      <c r="GI1290" s="885"/>
      <c r="GJ1290" s="885"/>
      <c r="GK1290" s="885"/>
      <c r="GL1290" s="885"/>
      <c r="GM1290" s="885"/>
      <c r="GN1290" s="885"/>
      <c r="GO1290" s="885"/>
      <c r="GP1290" s="885"/>
      <c r="GQ1290" s="885"/>
      <c r="GR1290" s="885"/>
      <c r="GS1290" s="885"/>
      <c r="GT1290" s="885"/>
      <c r="GU1290" s="885"/>
      <c r="GV1290" s="885"/>
      <c r="GW1290" s="885"/>
      <c r="GX1290" s="885"/>
      <c r="GY1290" s="885"/>
      <c r="GZ1290" s="885"/>
      <c r="HA1290" s="885"/>
      <c r="HB1290" s="885"/>
      <c r="HC1290" s="885"/>
      <c r="HD1290" s="885"/>
      <c r="HE1290" s="885"/>
      <c r="HF1290" s="885"/>
      <c r="HG1290" s="885"/>
      <c r="HH1290" s="885"/>
      <c r="HI1290" s="885"/>
      <c r="HJ1290" s="885"/>
      <c r="HK1290" s="885"/>
      <c r="HL1290" s="885"/>
      <c r="HM1290" s="885"/>
      <c r="HN1290" s="885"/>
      <c r="HO1290" s="885"/>
      <c r="HP1290" s="885"/>
      <c r="HQ1290" s="885"/>
      <c r="HR1290" s="885"/>
      <c r="HS1290" s="885"/>
      <c r="HT1290" s="885"/>
      <c r="HU1290" s="885"/>
      <c r="HV1290" s="885"/>
      <c r="HW1290" s="885"/>
      <c r="HX1290" s="885"/>
      <c r="HY1290" s="885"/>
      <c r="HZ1290" s="885"/>
      <c r="IA1290" s="885"/>
      <c r="IB1290" s="885"/>
      <c r="IC1290" s="885"/>
      <c r="ID1290" s="885"/>
      <c r="IE1290" s="885"/>
      <c r="IF1290" s="885"/>
      <c r="IG1290" s="885"/>
      <c r="IH1290" s="885"/>
      <c r="II1290" s="885"/>
      <c r="IJ1290" s="885"/>
      <c r="IK1290" s="885"/>
      <c r="IL1290" s="885"/>
      <c r="IM1290" s="885"/>
      <c r="IN1290" s="885"/>
      <c r="IO1290" s="885"/>
      <c r="IP1290" s="885"/>
      <c r="IQ1290" s="885"/>
      <c r="IR1290" s="885"/>
      <c r="IS1290" s="885"/>
      <c r="IT1290" s="885"/>
      <c r="IU1290" s="885"/>
      <c r="IV1290" s="885"/>
      <c r="IW1290" s="885"/>
      <c r="IX1290" s="885"/>
    </row>
    <row r="1291" spans="1:258" x14ac:dyDescent="0.25">
      <c r="A1291" s="125">
        <f t="shared" si="134"/>
        <v>1251</v>
      </c>
      <c r="B1291" s="885"/>
      <c r="C1291" s="842" t="s">
        <v>10822</v>
      </c>
      <c r="D1291" s="924">
        <v>0</v>
      </c>
      <c r="E1291" s="924">
        <f t="shared" si="149"/>
        <v>0</v>
      </c>
      <c r="F1291" s="129">
        <v>1000</v>
      </c>
      <c r="G1291" s="122" t="s">
        <v>1963</v>
      </c>
      <c r="H1291" s="885"/>
      <c r="I1291" s="885"/>
      <c r="J1291" s="885"/>
      <c r="K1291" s="885"/>
      <c r="L1291" s="885"/>
      <c r="M1291" s="885"/>
      <c r="N1291" s="885"/>
      <c r="O1291" s="885"/>
      <c r="P1291" s="885"/>
      <c r="Q1291" s="885"/>
      <c r="R1291" s="885"/>
      <c r="S1291" s="885"/>
      <c r="T1291" s="885"/>
      <c r="U1291" s="885"/>
      <c r="V1291" s="885"/>
      <c r="W1291" s="885"/>
      <c r="X1291" s="885"/>
      <c r="Y1291" s="885"/>
      <c r="Z1291" s="885"/>
      <c r="AA1291" s="885"/>
      <c r="AB1291" s="885"/>
      <c r="AC1291" s="885"/>
      <c r="AD1291" s="885"/>
      <c r="AE1291" s="885"/>
      <c r="AF1291" s="885"/>
      <c r="AG1291" s="885"/>
      <c r="AH1291" s="885"/>
      <c r="AI1291" s="885"/>
      <c r="AJ1291" s="885"/>
      <c r="AK1291" s="885"/>
      <c r="AL1291" s="885"/>
      <c r="AM1291" s="885"/>
      <c r="AN1291" s="885"/>
      <c r="AO1291" s="885"/>
      <c r="AP1291" s="885"/>
      <c r="AQ1291" s="885"/>
      <c r="AR1291" s="885"/>
      <c r="AS1291" s="885"/>
      <c r="AT1291" s="885"/>
      <c r="AU1291" s="885"/>
      <c r="AV1291" s="885"/>
      <c r="AW1291" s="885"/>
      <c r="AX1291" s="885"/>
      <c r="AY1291" s="885"/>
      <c r="AZ1291" s="885"/>
      <c r="BA1291" s="885"/>
      <c r="BB1291" s="885"/>
      <c r="BC1291" s="885"/>
      <c r="BD1291" s="885"/>
      <c r="BE1291" s="885"/>
      <c r="BF1291" s="885"/>
      <c r="BG1291" s="885"/>
      <c r="BH1291" s="885"/>
      <c r="BI1291" s="885"/>
      <c r="BJ1291" s="885"/>
      <c r="BK1291" s="885"/>
      <c r="BL1291" s="885"/>
      <c r="BM1291" s="885"/>
      <c r="BN1291" s="885"/>
      <c r="BO1291" s="885"/>
      <c r="BP1291" s="885"/>
      <c r="BQ1291" s="885"/>
      <c r="BR1291" s="885"/>
      <c r="BS1291" s="885"/>
      <c r="BT1291" s="885"/>
      <c r="BU1291" s="885"/>
      <c r="BV1291" s="885"/>
      <c r="BW1291" s="885"/>
      <c r="BX1291" s="885"/>
      <c r="BY1291" s="885"/>
      <c r="BZ1291" s="885"/>
      <c r="CA1291" s="885"/>
      <c r="CB1291" s="885"/>
      <c r="CC1291" s="885"/>
      <c r="CD1291" s="885"/>
      <c r="CE1291" s="885"/>
      <c r="CF1291" s="885"/>
      <c r="CG1291" s="885"/>
      <c r="CH1291" s="885"/>
      <c r="CI1291" s="885"/>
      <c r="CJ1291" s="885"/>
      <c r="CK1291" s="885"/>
      <c r="CL1291" s="885"/>
      <c r="CM1291" s="885"/>
      <c r="CN1291" s="885"/>
      <c r="CO1291" s="885"/>
      <c r="CP1291" s="885"/>
      <c r="CQ1291" s="885"/>
      <c r="CR1291" s="885"/>
      <c r="CS1291" s="885"/>
      <c r="CT1291" s="885"/>
      <c r="CU1291" s="885"/>
      <c r="CV1291" s="885"/>
      <c r="CW1291" s="885"/>
      <c r="CX1291" s="885"/>
      <c r="CY1291" s="885"/>
      <c r="CZ1291" s="885"/>
      <c r="DA1291" s="885"/>
      <c r="DB1291" s="885"/>
      <c r="DC1291" s="885"/>
      <c r="DD1291" s="885"/>
      <c r="DE1291" s="885"/>
      <c r="DF1291" s="885"/>
      <c r="DG1291" s="885"/>
      <c r="DH1291" s="885"/>
      <c r="DI1291" s="885"/>
      <c r="DJ1291" s="885"/>
      <c r="DK1291" s="885"/>
      <c r="DL1291" s="885"/>
      <c r="DM1291" s="885"/>
      <c r="DN1291" s="885"/>
      <c r="DO1291" s="885"/>
      <c r="DP1291" s="885"/>
      <c r="DQ1291" s="885"/>
      <c r="DR1291" s="885"/>
      <c r="DS1291" s="885"/>
      <c r="DT1291" s="885"/>
      <c r="DU1291" s="885"/>
      <c r="DV1291" s="885"/>
      <c r="DW1291" s="885"/>
      <c r="DX1291" s="885"/>
      <c r="DY1291" s="885"/>
      <c r="DZ1291" s="885"/>
      <c r="EA1291" s="885"/>
      <c r="EB1291" s="885"/>
      <c r="EC1291" s="885"/>
      <c r="ED1291" s="885"/>
      <c r="EE1291" s="885"/>
      <c r="EF1291" s="885"/>
      <c r="EG1291" s="885"/>
      <c r="EH1291" s="885"/>
      <c r="EI1291" s="885"/>
      <c r="EJ1291" s="885"/>
      <c r="EK1291" s="885"/>
      <c r="EL1291" s="885"/>
      <c r="EM1291" s="885"/>
      <c r="EN1291" s="885"/>
      <c r="EO1291" s="885"/>
      <c r="EP1291" s="885"/>
      <c r="EQ1291" s="885"/>
      <c r="ER1291" s="885"/>
      <c r="ES1291" s="885"/>
      <c r="ET1291" s="885"/>
      <c r="EU1291" s="885"/>
      <c r="EV1291" s="885"/>
      <c r="EW1291" s="885"/>
      <c r="EX1291" s="885"/>
      <c r="EY1291" s="885"/>
      <c r="EZ1291" s="885"/>
      <c r="FA1291" s="885"/>
      <c r="FB1291" s="885"/>
      <c r="FC1291" s="885"/>
      <c r="FD1291" s="885"/>
      <c r="FE1291" s="885"/>
      <c r="FF1291" s="885"/>
      <c r="FG1291" s="885"/>
      <c r="FH1291" s="885"/>
      <c r="FI1291" s="885"/>
      <c r="FJ1291" s="885"/>
      <c r="FK1291" s="885"/>
      <c r="FL1291" s="885"/>
      <c r="FM1291" s="885"/>
      <c r="FN1291" s="885"/>
      <c r="FO1291" s="885"/>
      <c r="FP1291" s="885"/>
      <c r="FQ1291" s="885"/>
      <c r="FR1291" s="885"/>
      <c r="FS1291" s="885"/>
      <c r="FT1291" s="885"/>
      <c r="FU1291" s="885"/>
      <c r="FV1291" s="885"/>
      <c r="FW1291" s="885"/>
      <c r="FX1291" s="885"/>
      <c r="FY1291" s="885"/>
      <c r="FZ1291" s="885"/>
      <c r="GA1291" s="885"/>
      <c r="GB1291" s="885"/>
      <c r="GC1291" s="885"/>
      <c r="GD1291" s="885"/>
      <c r="GE1291" s="885"/>
      <c r="GF1291" s="885"/>
      <c r="GG1291" s="885"/>
      <c r="GH1291" s="885"/>
      <c r="GI1291" s="885"/>
      <c r="GJ1291" s="885"/>
      <c r="GK1291" s="885"/>
      <c r="GL1291" s="885"/>
      <c r="GM1291" s="885"/>
      <c r="GN1291" s="885"/>
      <c r="GO1291" s="885"/>
      <c r="GP1291" s="885"/>
      <c r="GQ1291" s="885"/>
      <c r="GR1291" s="885"/>
      <c r="GS1291" s="885"/>
      <c r="GT1291" s="885"/>
      <c r="GU1291" s="885"/>
      <c r="GV1291" s="885"/>
      <c r="GW1291" s="885"/>
      <c r="GX1291" s="885"/>
      <c r="GY1291" s="885"/>
      <c r="GZ1291" s="885"/>
      <c r="HA1291" s="885"/>
      <c r="HB1291" s="885"/>
      <c r="HC1291" s="885"/>
      <c r="HD1291" s="885"/>
      <c r="HE1291" s="885"/>
      <c r="HF1291" s="885"/>
      <c r="HG1291" s="885"/>
      <c r="HH1291" s="885"/>
      <c r="HI1291" s="885"/>
      <c r="HJ1291" s="885"/>
      <c r="HK1291" s="885"/>
      <c r="HL1291" s="885"/>
      <c r="HM1291" s="885"/>
      <c r="HN1291" s="885"/>
      <c r="HO1291" s="885"/>
      <c r="HP1291" s="885"/>
      <c r="HQ1291" s="885"/>
      <c r="HR1291" s="885"/>
      <c r="HS1291" s="885"/>
      <c r="HT1291" s="885"/>
      <c r="HU1291" s="885"/>
      <c r="HV1291" s="885"/>
      <c r="HW1291" s="885"/>
      <c r="HX1291" s="885"/>
      <c r="HY1291" s="885"/>
      <c r="HZ1291" s="885"/>
      <c r="IA1291" s="885"/>
      <c r="IB1291" s="885"/>
      <c r="IC1291" s="885"/>
      <c r="ID1291" s="885"/>
      <c r="IE1291" s="885"/>
      <c r="IF1291" s="885"/>
      <c r="IG1291" s="885"/>
      <c r="IH1291" s="885"/>
      <c r="II1291" s="885"/>
      <c r="IJ1291" s="885"/>
      <c r="IK1291" s="885"/>
      <c r="IL1291" s="885"/>
      <c r="IM1291" s="885"/>
      <c r="IN1291" s="885"/>
      <c r="IO1291" s="885"/>
      <c r="IP1291" s="885"/>
      <c r="IQ1291" s="885"/>
      <c r="IR1291" s="885"/>
      <c r="IS1291" s="885"/>
      <c r="IT1291" s="885"/>
      <c r="IU1291" s="885"/>
      <c r="IV1291" s="885"/>
      <c r="IW1291" s="885"/>
      <c r="IX1291" s="885"/>
    </row>
    <row r="1292" spans="1:258" x14ac:dyDescent="0.25">
      <c r="A1292" s="125">
        <f t="shared" si="134"/>
        <v>1252</v>
      </c>
      <c r="B1292" s="885"/>
      <c r="C1292" s="927" t="s">
        <v>10823</v>
      </c>
      <c r="D1292" s="928"/>
      <c r="E1292" s="928"/>
      <c r="F1292" s="129"/>
      <c r="H1292" s="885"/>
      <c r="I1292" s="885"/>
      <c r="J1292" s="885"/>
      <c r="K1292" s="885"/>
      <c r="L1292" s="885"/>
      <c r="M1292" s="885"/>
      <c r="N1292" s="885"/>
      <c r="O1292" s="885"/>
      <c r="P1292" s="885"/>
      <c r="Q1292" s="885"/>
      <c r="R1292" s="885"/>
      <c r="S1292" s="885"/>
      <c r="T1292" s="885"/>
      <c r="U1292" s="885"/>
      <c r="V1292" s="885"/>
      <c r="W1292" s="885"/>
      <c r="X1292" s="885"/>
      <c r="Y1292" s="885"/>
      <c r="Z1292" s="885"/>
      <c r="AA1292" s="885"/>
      <c r="AB1292" s="885"/>
      <c r="AC1292" s="885"/>
      <c r="AD1292" s="885"/>
      <c r="AE1292" s="885"/>
      <c r="AF1292" s="885"/>
      <c r="AG1292" s="885"/>
      <c r="AH1292" s="885"/>
      <c r="AI1292" s="885"/>
      <c r="AJ1292" s="885"/>
      <c r="AK1292" s="885"/>
      <c r="AL1292" s="885"/>
      <c r="AM1292" s="885"/>
      <c r="AN1292" s="885"/>
      <c r="AO1292" s="885"/>
      <c r="AP1292" s="885"/>
      <c r="AQ1292" s="885"/>
      <c r="AR1292" s="885"/>
      <c r="AS1292" s="885"/>
      <c r="AT1292" s="885"/>
      <c r="AU1292" s="885"/>
      <c r="AV1292" s="885"/>
      <c r="AW1292" s="885"/>
      <c r="AX1292" s="885"/>
      <c r="AY1292" s="885"/>
      <c r="AZ1292" s="885"/>
      <c r="BA1292" s="885"/>
      <c r="BB1292" s="885"/>
      <c r="BC1292" s="885"/>
      <c r="BD1292" s="885"/>
      <c r="BE1292" s="885"/>
      <c r="BF1292" s="885"/>
      <c r="BG1292" s="885"/>
      <c r="BH1292" s="885"/>
      <c r="BI1292" s="885"/>
      <c r="BJ1292" s="885"/>
      <c r="BK1292" s="885"/>
      <c r="BL1292" s="885"/>
      <c r="BM1292" s="885"/>
      <c r="BN1292" s="885"/>
      <c r="BO1292" s="885"/>
      <c r="BP1292" s="885"/>
      <c r="BQ1292" s="885"/>
      <c r="BR1292" s="885"/>
      <c r="BS1292" s="885"/>
      <c r="BT1292" s="885"/>
      <c r="BU1292" s="885"/>
      <c r="BV1292" s="885"/>
      <c r="BW1292" s="885"/>
      <c r="BX1292" s="885"/>
      <c r="BY1292" s="885"/>
      <c r="BZ1292" s="885"/>
      <c r="CA1292" s="885"/>
      <c r="CB1292" s="885"/>
      <c r="CC1292" s="885"/>
      <c r="CD1292" s="885"/>
      <c r="CE1292" s="885"/>
      <c r="CF1292" s="885"/>
      <c r="CG1292" s="885"/>
      <c r="CH1292" s="885"/>
      <c r="CI1292" s="885"/>
      <c r="CJ1292" s="885"/>
      <c r="CK1292" s="885"/>
      <c r="CL1292" s="885"/>
      <c r="CM1292" s="885"/>
      <c r="CN1292" s="885"/>
      <c r="CO1292" s="885"/>
      <c r="CP1292" s="885"/>
      <c r="CQ1292" s="885"/>
      <c r="CR1292" s="885"/>
      <c r="CS1292" s="885"/>
      <c r="CT1292" s="885"/>
      <c r="CU1292" s="885"/>
      <c r="CV1292" s="885"/>
      <c r="CW1292" s="885"/>
      <c r="CX1292" s="885"/>
      <c r="CY1292" s="885"/>
      <c r="CZ1292" s="885"/>
      <c r="DA1292" s="885"/>
      <c r="DB1292" s="885"/>
      <c r="DC1292" s="885"/>
      <c r="DD1292" s="885"/>
      <c r="DE1292" s="885"/>
      <c r="DF1292" s="885"/>
      <c r="DG1292" s="885"/>
      <c r="DH1292" s="885"/>
      <c r="DI1292" s="885"/>
      <c r="DJ1292" s="885"/>
      <c r="DK1292" s="885"/>
      <c r="DL1292" s="885"/>
      <c r="DM1292" s="885"/>
      <c r="DN1292" s="885"/>
      <c r="DO1292" s="885"/>
      <c r="DP1292" s="885"/>
      <c r="DQ1292" s="885"/>
      <c r="DR1292" s="885"/>
      <c r="DS1292" s="885"/>
      <c r="DT1292" s="885"/>
      <c r="DU1292" s="885"/>
      <c r="DV1292" s="885"/>
      <c r="DW1292" s="885"/>
      <c r="DX1292" s="885"/>
      <c r="DY1292" s="885"/>
      <c r="DZ1292" s="885"/>
      <c r="EA1292" s="885"/>
      <c r="EB1292" s="885"/>
      <c r="EC1292" s="885"/>
      <c r="ED1292" s="885"/>
      <c r="EE1292" s="885"/>
      <c r="EF1292" s="885"/>
      <c r="EG1292" s="885"/>
      <c r="EH1292" s="885"/>
      <c r="EI1292" s="885"/>
      <c r="EJ1292" s="885"/>
      <c r="EK1292" s="885"/>
      <c r="EL1292" s="885"/>
      <c r="EM1292" s="885"/>
      <c r="EN1292" s="885"/>
      <c r="EO1292" s="885"/>
      <c r="EP1292" s="885"/>
      <c r="EQ1292" s="885"/>
      <c r="ER1292" s="885"/>
      <c r="ES1292" s="885"/>
      <c r="ET1292" s="885"/>
      <c r="EU1292" s="885"/>
      <c r="EV1292" s="885"/>
      <c r="EW1292" s="885"/>
      <c r="EX1292" s="885"/>
      <c r="EY1292" s="885"/>
      <c r="EZ1292" s="885"/>
      <c r="FA1292" s="885"/>
      <c r="FB1292" s="885"/>
      <c r="FC1292" s="885"/>
      <c r="FD1292" s="885"/>
      <c r="FE1292" s="885"/>
      <c r="FF1292" s="885"/>
      <c r="FG1292" s="885"/>
      <c r="FH1292" s="885"/>
      <c r="FI1292" s="885"/>
      <c r="FJ1292" s="885"/>
      <c r="FK1292" s="885"/>
      <c r="FL1292" s="885"/>
      <c r="FM1292" s="885"/>
      <c r="FN1292" s="885"/>
      <c r="FO1292" s="885"/>
      <c r="FP1292" s="885"/>
      <c r="FQ1292" s="885"/>
      <c r="FR1292" s="885"/>
      <c r="FS1292" s="885"/>
      <c r="FT1292" s="885"/>
      <c r="FU1292" s="885"/>
      <c r="FV1292" s="885"/>
      <c r="FW1292" s="885"/>
      <c r="FX1292" s="885"/>
      <c r="FY1292" s="885"/>
      <c r="FZ1292" s="885"/>
      <c r="GA1292" s="885"/>
      <c r="GB1292" s="885"/>
      <c r="GC1292" s="885"/>
      <c r="GD1292" s="885"/>
      <c r="GE1292" s="885"/>
      <c r="GF1292" s="885"/>
      <c r="GG1292" s="885"/>
      <c r="GH1292" s="885"/>
      <c r="GI1292" s="885"/>
      <c r="GJ1292" s="885"/>
      <c r="GK1292" s="885"/>
      <c r="GL1292" s="885"/>
      <c r="GM1292" s="885"/>
      <c r="GN1292" s="885"/>
      <c r="GO1292" s="885"/>
      <c r="GP1292" s="885"/>
      <c r="GQ1292" s="885"/>
      <c r="GR1292" s="885"/>
      <c r="GS1292" s="885"/>
      <c r="GT1292" s="885"/>
      <c r="GU1292" s="885"/>
      <c r="GV1292" s="885"/>
      <c r="GW1292" s="885"/>
      <c r="GX1292" s="885"/>
      <c r="GY1292" s="885"/>
      <c r="GZ1292" s="885"/>
      <c r="HA1292" s="885"/>
      <c r="HB1292" s="885"/>
      <c r="HC1292" s="885"/>
      <c r="HD1292" s="885"/>
      <c r="HE1292" s="885"/>
      <c r="HF1292" s="885"/>
      <c r="HG1292" s="885"/>
      <c r="HH1292" s="885"/>
      <c r="HI1292" s="885"/>
      <c r="HJ1292" s="885"/>
      <c r="HK1292" s="885"/>
      <c r="HL1292" s="885"/>
      <c r="HM1292" s="885"/>
      <c r="HN1292" s="885"/>
      <c r="HO1292" s="885"/>
      <c r="HP1292" s="885"/>
      <c r="HQ1292" s="885"/>
      <c r="HR1292" s="885"/>
      <c r="HS1292" s="885"/>
      <c r="HT1292" s="885"/>
      <c r="HU1292" s="885"/>
      <c r="HV1292" s="885"/>
      <c r="HW1292" s="885"/>
      <c r="HX1292" s="885"/>
      <c r="HY1292" s="885"/>
      <c r="HZ1292" s="885"/>
      <c r="IA1292" s="885"/>
      <c r="IB1292" s="885"/>
      <c r="IC1292" s="885"/>
      <c r="ID1292" s="885"/>
      <c r="IE1292" s="885"/>
      <c r="IF1292" s="885"/>
      <c r="IG1292" s="885"/>
      <c r="IH1292" s="885"/>
      <c r="II1292" s="885"/>
      <c r="IJ1292" s="885"/>
      <c r="IK1292" s="885"/>
      <c r="IL1292" s="885"/>
      <c r="IM1292" s="885"/>
      <c r="IN1292" s="885"/>
      <c r="IO1292" s="885"/>
      <c r="IP1292" s="885"/>
      <c r="IQ1292" s="885"/>
      <c r="IR1292" s="885"/>
      <c r="IS1292" s="885"/>
      <c r="IT1292" s="885"/>
      <c r="IU1292" s="885"/>
      <c r="IV1292" s="885"/>
      <c r="IW1292" s="885"/>
      <c r="IX1292" s="885"/>
    </row>
    <row r="1293" spans="1:258" x14ac:dyDescent="0.25">
      <c r="A1293" s="125">
        <f t="shared" si="134"/>
        <v>1253</v>
      </c>
      <c r="B1293" s="885"/>
      <c r="C1293" s="842" t="s">
        <v>10824</v>
      </c>
      <c r="D1293" s="924">
        <v>0</v>
      </c>
      <c r="E1293" s="924">
        <f t="shared" si="149"/>
        <v>0</v>
      </c>
      <c r="F1293" s="129">
        <v>1</v>
      </c>
      <c r="G1293" s="122" t="s">
        <v>1963</v>
      </c>
      <c r="H1293" s="885"/>
      <c r="I1293" s="885"/>
      <c r="J1293" s="885"/>
      <c r="K1293" s="885"/>
      <c r="L1293" s="885"/>
      <c r="M1293" s="885"/>
      <c r="N1293" s="885"/>
      <c r="O1293" s="885"/>
      <c r="P1293" s="885"/>
      <c r="Q1293" s="885"/>
      <c r="R1293" s="885"/>
      <c r="S1293" s="885"/>
      <c r="T1293" s="885"/>
      <c r="U1293" s="885"/>
      <c r="V1293" s="885"/>
      <c r="W1293" s="885"/>
      <c r="X1293" s="885"/>
      <c r="Y1293" s="885"/>
      <c r="Z1293" s="885"/>
      <c r="AA1293" s="885"/>
      <c r="AB1293" s="885"/>
      <c r="AC1293" s="885"/>
      <c r="AD1293" s="885"/>
      <c r="AE1293" s="885"/>
      <c r="AF1293" s="885"/>
      <c r="AG1293" s="885"/>
      <c r="AH1293" s="885"/>
      <c r="AI1293" s="885"/>
      <c r="AJ1293" s="885"/>
      <c r="AK1293" s="885"/>
      <c r="AL1293" s="885"/>
      <c r="AM1293" s="885"/>
      <c r="AN1293" s="885"/>
      <c r="AO1293" s="885"/>
      <c r="AP1293" s="885"/>
      <c r="AQ1293" s="885"/>
      <c r="AR1293" s="885"/>
      <c r="AS1293" s="885"/>
      <c r="AT1293" s="885"/>
      <c r="AU1293" s="885"/>
      <c r="AV1293" s="885"/>
      <c r="AW1293" s="885"/>
      <c r="AX1293" s="885"/>
      <c r="AY1293" s="885"/>
      <c r="AZ1293" s="885"/>
      <c r="BA1293" s="885"/>
      <c r="BB1293" s="885"/>
      <c r="BC1293" s="885"/>
      <c r="BD1293" s="885"/>
      <c r="BE1293" s="885"/>
      <c r="BF1293" s="885"/>
      <c r="BG1293" s="885"/>
      <c r="BH1293" s="885"/>
      <c r="BI1293" s="885"/>
      <c r="BJ1293" s="885"/>
      <c r="BK1293" s="885"/>
      <c r="BL1293" s="885"/>
      <c r="BM1293" s="885"/>
      <c r="BN1293" s="885"/>
      <c r="BO1293" s="885"/>
      <c r="BP1293" s="885"/>
      <c r="BQ1293" s="885"/>
      <c r="BR1293" s="885"/>
      <c r="BS1293" s="885"/>
      <c r="BT1293" s="885"/>
      <c r="BU1293" s="885"/>
      <c r="BV1293" s="885"/>
      <c r="BW1293" s="885"/>
      <c r="BX1293" s="885"/>
      <c r="BY1293" s="885"/>
      <c r="BZ1293" s="885"/>
      <c r="CA1293" s="885"/>
      <c r="CB1293" s="885"/>
      <c r="CC1293" s="885"/>
      <c r="CD1293" s="885"/>
      <c r="CE1293" s="885"/>
      <c r="CF1293" s="885"/>
      <c r="CG1293" s="885"/>
      <c r="CH1293" s="885"/>
      <c r="CI1293" s="885"/>
      <c r="CJ1293" s="885"/>
      <c r="CK1293" s="885"/>
      <c r="CL1293" s="885"/>
      <c r="CM1293" s="885"/>
      <c r="CN1293" s="885"/>
      <c r="CO1293" s="885"/>
      <c r="CP1293" s="885"/>
      <c r="CQ1293" s="885"/>
      <c r="CR1293" s="885"/>
      <c r="CS1293" s="885"/>
      <c r="CT1293" s="885"/>
      <c r="CU1293" s="885"/>
      <c r="CV1293" s="885"/>
      <c r="CW1293" s="885"/>
      <c r="CX1293" s="885"/>
      <c r="CY1293" s="885"/>
      <c r="CZ1293" s="885"/>
      <c r="DA1293" s="885"/>
      <c r="DB1293" s="885"/>
      <c r="DC1293" s="885"/>
      <c r="DD1293" s="885"/>
      <c r="DE1293" s="885"/>
      <c r="DF1293" s="885"/>
      <c r="DG1293" s="885"/>
      <c r="DH1293" s="885"/>
      <c r="DI1293" s="885"/>
      <c r="DJ1293" s="885"/>
      <c r="DK1293" s="885"/>
      <c r="DL1293" s="885"/>
      <c r="DM1293" s="885"/>
      <c r="DN1293" s="885"/>
      <c r="DO1293" s="885"/>
      <c r="DP1293" s="885"/>
      <c r="DQ1293" s="885"/>
      <c r="DR1293" s="885"/>
      <c r="DS1293" s="885"/>
      <c r="DT1293" s="885"/>
      <c r="DU1293" s="885"/>
      <c r="DV1293" s="885"/>
      <c r="DW1293" s="885"/>
      <c r="DX1293" s="885"/>
      <c r="DY1293" s="885"/>
      <c r="DZ1293" s="885"/>
      <c r="EA1293" s="885"/>
      <c r="EB1293" s="885"/>
      <c r="EC1293" s="885"/>
      <c r="ED1293" s="885"/>
      <c r="EE1293" s="885"/>
      <c r="EF1293" s="885"/>
      <c r="EG1293" s="885"/>
      <c r="EH1293" s="885"/>
      <c r="EI1293" s="885"/>
      <c r="EJ1293" s="885"/>
      <c r="EK1293" s="885"/>
      <c r="EL1293" s="885"/>
      <c r="EM1293" s="885"/>
      <c r="EN1293" s="885"/>
      <c r="EO1293" s="885"/>
      <c r="EP1293" s="885"/>
      <c r="EQ1293" s="885"/>
      <c r="ER1293" s="885"/>
      <c r="ES1293" s="885"/>
      <c r="ET1293" s="885"/>
      <c r="EU1293" s="885"/>
      <c r="EV1293" s="885"/>
      <c r="EW1293" s="885"/>
      <c r="EX1293" s="885"/>
      <c r="EY1293" s="885"/>
      <c r="EZ1293" s="885"/>
      <c r="FA1293" s="885"/>
      <c r="FB1293" s="885"/>
      <c r="FC1293" s="885"/>
      <c r="FD1293" s="885"/>
      <c r="FE1293" s="885"/>
      <c r="FF1293" s="885"/>
      <c r="FG1293" s="885"/>
      <c r="FH1293" s="885"/>
      <c r="FI1293" s="885"/>
      <c r="FJ1293" s="885"/>
      <c r="FK1293" s="885"/>
      <c r="FL1293" s="885"/>
      <c r="FM1293" s="885"/>
      <c r="FN1293" s="885"/>
      <c r="FO1293" s="885"/>
      <c r="FP1293" s="885"/>
      <c r="FQ1293" s="885"/>
      <c r="FR1293" s="885"/>
      <c r="FS1293" s="885"/>
      <c r="FT1293" s="885"/>
      <c r="FU1293" s="885"/>
      <c r="FV1293" s="885"/>
      <c r="FW1293" s="885"/>
      <c r="FX1293" s="885"/>
      <c r="FY1293" s="885"/>
      <c r="FZ1293" s="885"/>
      <c r="GA1293" s="885"/>
      <c r="GB1293" s="885"/>
      <c r="GC1293" s="885"/>
      <c r="GD1293" s="885"/>
      <c r="GE1293" s="885"/>
      <c r="GF1293" s="885"/>
      <c r="GG1293" s="885"/>
      <c r="GH1293" s="885"/>
      <c r="GI1293" s="885"/>
      <c r="GJ1293" s="885"/>
      <c r="GK1293" s="885"/>
      <c r="GL1293" s="885"/>
      <c r="GM1293" s="885"/>
      <c r="GN1293" s="885"/>
      <c r="GO1293" s="885"/>
      <c r="GP1293" s="885"/>
      <c r="GQ1293" s="885"/>
      <c r="GR1293" s="885"/>
      <c r="GS1293" s="885"/>
      <c r="GT1293" s="885"/>
      <c r="GU1293" s="885"/>
      <c r="GV1293" s="885"/>
      <c r="GW1293" s="885"/>
      <c r="GX1293" s="885"/>
      <c r="GY1293" s="885"/>
      <c r="GZ1293" s="885"/>
      <c r="HA1293" s="885"/>
      <c r="HB1293" s="885"/>
      <c r="HC1293" s="885"/>
      <c r="HD1293" s="885"/>
      <c r="HE1293" s="885"/>
      <c r="HF1293" s="885"/>
      <c r="HG1293" s="885"/>
      <c r="HH1293" s="885"/>
      <c r="HI1293" s="885"/>
      <c r="HJ1293" s="885"/>
      <c r="HK1293" s="885"/>
      <c r="HL1293" s="885"/>
      <c r="HM1293" s="885"/>
      <c r="HN1293" s="885"/>
      <c r="HO1293" s="885"/>
      <c r="HP1293" s="885"/>
      <c r="HQ1293" s="885"/>
      <c r="HR1293" s="885"/>
      <c r="HS1293" s="885"/>
      <c r="HT1293" s="885"/>
      <c r="HU1293" s="885"/>
      <c r="HV1293" s="885"/>
      <c r="HW1293" s="885"/>
      <c r="HX1293" s="885"/>
      <c r="HY1293" s="885"/>
      <c r="HZ1293" s="885"/>
      <c r="IA1293" s="885"/>
      <c r="IB1293" s="885"/>
      <c r="IC1293" s="885"/>
      <c r="ID1293" s="885"/>
      <c r="IE1293" s="885"/>
      <c r="IF1293" s="885"/>
      <c r="IG1293" s="885"/>
      <c r="IH1293" s="885"/>
      <c r="II1293" s="885"/>
      <c r="IJ1293" s="885"/>
      <c r="IK1293" s="885"/>
      <c r="IL1293" s="885"/>
      <c r="IM1293" s="885"/>
      <c r="IN1293" s="885"/>
      <c r="IO1293" s="885"/>
      <c r="IP1293" s="885"/>
      <c r="IQ1293" s="885"/>
      <c r="IR1293" s="885"/>
      <c r="IS1293" s="885"/>
      <c r="IT1293" s="885"/>
      <c r="IU1293" s="885"/>
      <c r="IV1293" s="885"/>
      <c r="IW1293" s="885"/>
      <c r="IX1293" s="885"/>
    </row>
    <row r="1294" spans="1:258" x14ac:dyDescent="0.25">
      <c r="A1294" s="125">
        <f t="shared" si="134"/>
        <v>1254</v>
      </c>
      <c r="B1294" s="885"/>
      <c r="C1294" s="842" t="s">
        <v>10825</v>
      </c>
      <c r="D1294" s="924">
        <v>0</v>
      </c>
      <c r="E1294" s="924">
        <f t="shared" si="149"/>
        <v>0</v>
      </c>
      <c r="F1294" s="129">
        <v>1</v>
      </c>
      <c r="G1294" s="122" t="s">
        <v>1963</v>
      </c>
      <c r="H1294" s="885"/>
      <c r="I1294" s="885"/>
      <c r="J1294" s="885"/>
      <c r="K1294" s="885"/>
      <c r="L1294" s="885"/>
      <c r="M1294" s="885"/>
      <c r="N1294" s="885"/>
      <c r="O1294" s="885"/>
      <c r="P1294" s="885"/>
      <c r="Q1294" s="885"/>
      <c r="R1294" s="885"/>
      <c r="S1294" s="885"/>
      <c r="T1294" s="885"/>
      <c r="U1294" s="885"/>
      <c r="V1294" s="885"/>
      <c r="W1294" s="885"/>
      <c r="X1294" s="885"/>
      <c r="Y1294" s="885"/>
      <c r="Z1294" s="885"/>
      <c r="AA1294" s="885"/>
      <c r="AB1294" s="885"/>
      <c r="AC1294" s="885"/>
      <c r="AD1294" s="885"/>
      <c r="AE1294" s="885"/>
      <c r="AF1294" s="885"/>
      <c r="AG1294" s="885"/>
      <c r="AH1294" s="885"/>
      <c r="AI1294" s="885"/>
      <c r="AJ1294" s="885"/>
      <c r="AK1294" s="885"/>
      <c r="AL1294" s="885"/>
      <c r="AM1294" s="885"/>
      <c r="AN1294" s="885"/>
      <c r="AO1294" s="885"/>
      <c r="AP1294" s="885"/>
      <c r="AQ1294" s="885"/>
      <c r="AR1294" s="885"/>
      <c r="AS1294" s="885"/>
      <c r="AT1294" s="885"/>
      <c r="AU1294" s="885"/>
      <c r="AV1294" s="885"/>
      <c r="AW1294" s="885"/>
      <c r="AX1294" s="885"/>
      <c r="AY1294" s="885"/>
      <c r="AZ1294" s="885"/>
      <c r="BA1294" s="885"/>
      <c r="BB1294" s="885"/>
      <c r="BC1294" s="885"/>
      <c r="BD1294" s="885"/>
      <c r="BE1294" s="885"/>
      <c r="BF1294" s="885"/>
      <c r="BG1294" s="885"/>
      <c r="BH1294" s="885"/>
      <c r="BI1294" s="885"/>
      <c r="BJ1294" s="885"/>
      <c r="BK1294" s="885"/>
      <c r="BL1294" s="885"/>
      <c r="BM1294" s="885"/>
      <c r="BN1294" s="885"/>
      <c r="BO1294" s="885"/>
      <c r="BP1294" s="885"/>
      <c r="BQ1294" s="885"/>
      <c r="BR1294" s="885"/>
      <c r="BS1294" s="885"/>
      <c r="BT1294" s="885"/>
      <c r="BU1294" s="885"/>
      <c r="BV1294" s="885"/>
      <c r="BW1294" s="885"/>
      <c r="BX1294" s="885"/>
      <c r="BY1294" s="885"/>
      <c r="BZ1294" s="885"/>
      <c r="CA1294" s="885"/>
      <c r="CB1294" s="885"/>
      <c r="CC1294" s="885"/>
      <c r="CD1294" s="885"/>
      <c r="CE1294" s="885"/>
      <c r="CF1294" s="885"/>
      <c r="CG1294" s="885"/>
      <c r="CH1294" s="885"/>
      <c r="CI1294" s="885"/>
      <c r="CJ1294" s="885"/>
      <c r="CK1294" s="885"/>
      <c r="CL1294" s="885"/>
      <c r="CM1294" s="885"/>
      <c r="CN1294" s="885"/>
      <c r="CO1294" s="885"/>
      <c r="CP1294" s="885"/>
      <c r="CQ1294" s="885"/>
      <c r="CR1294" s="885"/>
      <c r="CS1294" s="885"/>
      <c r="CT1294" s="885"/>
      <c r="CU1294" s="885"/>
      <c r="CV1294" s="885"/>
      <c r="CW1294" s="885"/>
      <c r="CX1294" s="885"/>
      <c r="CY1294" s="885"/>
      <c r="CZ1294" s="885"/>
      <c r="DA1294" s="885"/>
      <c r="DB1294" s="885"/>
      <c r="DC1294" s="885"/>
      <c r="DD1294" s="885"/>
      <c r="DE1294" s="885"/>
      <c r="DF1294" s="885"/>
      <c r="DG1294" s="885"/>
      <c r="DH1294" s="885"/>
      <c r="DI1294" s="885"/>
      <c r="DJ1294" s="885"/>
      <c r="DK1294" s="885"/>
      <c r="DL1294" s="885"/>
      <c r="DM1294" s="885"/>
      <c r="DN1294" s="885"/>
      <c r="DO1294" s="885"/>
      <c r="DP1294" s="885"/>
      <c r="DQ1294" s="885"/>
      <c r="DR1294" s="885"/>
      <c r="DS1294" s="885"/>
      <c r="DT1294" s="885"/>
      <c r="DU1294" s="885"/>
      <c r="DV1294" s="885"/>
      <c r="DW1294" s="885"/>
      <c r="DX1294" s="885"/>
      <c r="DY1294" s="885"/>
      <c r="DZ1294" s="885"/>
      <c r="EA1294" s="885"/>
      <c r="EB1294" s="885"/>
      <c r="EC1294" s="885"/>
      <c r="ED1294" s="885"/>
      <c r="EE1294" s="885"/>
      <c r="EF1294" s="885"/>
      <c r="EG1294" s="885"/>
      <c r="EH1294" s="885"/>
      <c r="EI1294" s="885"/>
      <c r="EJ1294" s="885"/>
      <c r="EK1294" s="885"/>
      <c r="EL1294" s="885"/>
      <c r="EM1294" s="885"/>
      <c r="EN1294" s="885"/>
      <c r="EO1294" s="885"/>
      <c r="EP1294" s="885"/>
      <c r="EQ1294" s="885"/>
      <c r="ER1294" s="885"/>
      <c r="ES1294" s="885"/>
      <c r="ET1294" s="885"/>
      <c r="EU1294" s="885"/>
      <c r="EV1294" s="885"/>
      <c r="EW1294" s="885"/>
      <c r="EX1294" s="885"/>
      <c r="EY1294" s="885"/>
      <c r="EZ1294" s="885"/>
      <c r="FA1294" s="885"/>
      <c r="FB1294" s="885"/>
      <c r="FC1294" s="885"/>
      <c r="FD1294" s="885"/>
      <c r="FE1294" s="885"/>
      <c r="FF1294" s="885"/>
      <c r="FG1294" s="885"/>
      <c r="FH1294" s="885"/>
      <c r="FI1294" s="885"/>
      <c r="FJ1294" s="885"/>
      <c r="FK1294" s="885"/>
      <c r="FL1294" s="885"/>
      <c r="FM1294" s="885"/>
      <c r="FN1294" s="885"/>
      <c r="FO1294" s="885"/>
      <c r="FP1294" s="885"/>
      <c r="FQ1294" s="885"/>
      <c r="FR1294" s="885"/>
      <c r="FS1294" s="885"/>
      <c r="FT1294" s="885"/>
      <c r="FU1294" s="885"/>
      <c r="FV1294" s="885"/>
      <c r="FW1294" s="885"/>
      <c r="FX1294" s="885"/>
      <c r="FY1294" s="885"/>
      <c r="FZ1294" s="885"/>
      <c r="GA1294" s="885"/>
      <c r="GB1294" s="885"/>
      <c r="GC1294" s="885"/>
      <c r="GD1294" s="885"/>
      <c r="GE1294" s="885"/>
      <c r="GF1294" s="885"/>
      <c r="GG1294" s="885"/>
      <c r="GH1294" s="885"/>
      <c r="GI1294" s="885"/>
      <c r="GJ1294" s="885"/>
      <c r="GK1294" s="885"/>
      <c r="GL1294" s="885"/>
      <c r="GM1294" s="885"/>
      <c r="GN1294" s="885"/>
      <c r="GO1294" s="885"/>
      <c r="GP1294" s="885"/>
      <c r="GQ1294" s="885"/>
      <c r="GR1294" s="885"/>
      <c r="GS1294" s="885"/>
      <c r="GT1294" s="885"/>
      <c r="GU1294" s="885"/>
      <c r="GV1294" s="885"/>
      <c r="GW1294" s="885"/>
      <c r="GX1294" s="885"/>
      <c r="GY1294" s="885"/>
      <c r="GZ1294" s="885"/>
      <c r="HA1294" s="885"/>
      <c r="HB1294" s="885"/>
      <c r="HC1294" s="885"/>
      <c r="HD1294" s="885"/>
      <c r="HE1294" s="885"/>
      <c r="HF1294" s="885"/>
      <c r="HG1294" s="885"/>
      <c r="HH1294" s="885"/>
      <c r="HI1294" s="885"/>
      <c r="HJ1294" s="885"/>
      <c r="HK1294" s="885"/>
      <c r="HL1294" s="885"/>
      <c r="HM1294" s="885"/>
      <c r="HN1294" s="885"/>
      <c r="HO1294" s="885"/>
      <c r="HP1294" s="885"/>
      <c r="HQ1294" s="885"/>
      <c r="HR1294" s="885"/>
      <c r="HS1294" s="885"/>
      <c r="HT1294" s="885"/>
      <c r="HU1294" s="885"/>
      <c r="HV1294" s="885"/>
      <c r="HW1294" s="885"/>
      <c r="HX1294" s="885"/>
      <c r="HY1294" s="885"/>
      <c r="HZ1294" s="885"/>
      <c r="IA1294" s="885"/>
      <c r="IB1294" s="885"/>
      <c r="IC1294" s="885"/>
      <c r="ID1294" s="885"/>
      <c r="IE1294" s="885"/>
      <c r="IF1294" s="885"/>
      <c r="IG1294" s="885"/>
      <c r="IH1294" s="885"/>
      <c r="II1294" s="885"/>
      <c r="IJ1294" s="885"/>
      <c r="IK1294" s="885"/>
      <c r="IL1294" s="885"/>
      <c r="IM1294" s="885"/>
      <c r="IN1294" s="885"/>
      <c r="IO1294" s="885"/>
      <c r="IP1294" s="885"/>
      <c r="IQ1294" s="885"/>
      <c r="IR1294" s="885"/>
      <c r="IS1294" s="885"/>
      <c r="IT1294" s="885"/>
      <c r="IU1294" s="885"/>
      <c r="IV1294" s="885"/>
      <c r="IW1294" s="885"/>
      <c r="IX1294" s="885"/>
    </row>
    <row r="1295" spans="1:258" x14ac:dyDescent="0.25">
      <c r="A1295" s="125">
        <f t="shared" si="134"/>
        <v>1255</v>
      </c>
      <c r="B1295" s="885"/>
      <c r="C1295" s="842" t="s">
        <v>10831</v>
      </c>
      <c r="D1295" s="924">
        <v>0</v>
      </c>
      <c r="E1295" s="924">
        <f t="shared" si="149"/>
        <v>0</v>
      </c>
      <c r="F1295" s="129">
        <v>1</v>
      </c>
      <c r="G1295" s="122" t="s">
        <v>1963</v>
      </c>
      <c r="H1295" s="885"/>
      <c r="I1295" s="885"/>
      <c r="J1295" s="885"/>
      <c r="K1295" s="885"/>
      <c r="L1295" s="885"/>
      <c r="M1295" s="885"/>
      <c r="N1295" s="885"/>
      <c r="O1295" s="885"/>
      <c r="P1295" s="885"/>
      <c r="Q1295" s="885"/>
      <c r="R1295" s="885"/>
      <c r="S1295" s="885"/>
      <c r="T1295" s="885"/>
      <c r="U1295" s="885"/>
      <c r="V1295" s="885"/>
      <c r="W1295" s="885"/>
      <c r="X1295" s="885"/>
      <c r="Y1295" s="885"/>
      <c r="Z1295" s="885"/>
      <c r="AA1295" s="885"/>
      <c r="AB1295" s="885"/>
      <c r="AC1295" s="885"/>
      <c r="AD1295" s="885"/>
      <c r="AE1295" s="885"/>
      <c r="AF1295" s="885"/>
      <c r="AG1295" s="885"/>
      <c r="AH1295" s="885"/>
      <c r="AI1295" s="885"/>
      <c r="AJ1295" s="885"/>
      <c r="AK1295" s="885"/>
      <c r="AL1295" s="885"/>
      <c r="AM1295" s="885"/>
      <c r="AN1295" s="885"/>
      <c r="AO1295" s="885"/>
      <c r="AP1295" s="885"/>
      <c r="AQ1295" s="885"/>
      <c r="AR1295" s="885"/>
      <c r="AS1295" s="885"/>
      <c r="AT1295" s="885"/>
      <c r="AU1295" s="885"/>
      <c r="AV1295" s="885"/>
      <c r="AW1295" s="885"/>
      <c r="AX1295" s="885"/>
      <c r="AY1295" s="885"/>
      <c r="AZ1295" s="885"/>
      <c r="BA1295" s="885"/>
      <c r="BB1295" s="885"/>
      <c r="BC1295" s="885"/>
      <c r="BD1295" s="885"/>
      <c r="BE1295" s="885"/>
      <c r="BF1295" s="885"/>
      <c r="BG1295" s="885"/>
      <c r="BH1295" s="885"/>
      <c r="BI1295" s="885"/>
      <c r="BJ1295" s="885"/>
      <c r="BK1295" s="885"/>
      <c r="BL1295" s="885"/>
      <c r="BM1295" s="885"/>
      <c r="BN1295" s="885"/>
      <c r="BO1295" s="885"/>
      <c r="BP1295" s="885"/>
      <c r="BQ1295" s="885"/>
      <c r="BR1295" s="885"/>
      <c r="BS1295" s="885"/>
      <c r="BT1295" s="885"/>
      <c r="BU1295" s="885"/>
      <c r="BV1295" s="885"/>
      <c r="BW1295" s="885"/>
      <c r="BX1295" s="885"/>
      <c r="BY1295" s="885"/>
      <c r="BZ1295" s="885"/>
      <c r="CA1295" s="885"/>
      <c r="CB1295" s="885"/>
      <c r="CC1295" s="885"/>
      <c r="CD1295" s="885"/>
      <c r="CE1295" s="885"/>
      <c r="CF1295" s="885"/>
      <c r="CG1295" s="885"/>
      <c r="CH1295" s="885"/>
      <c r="CI1295" s="885"/>
      <c r="CJ1295" s="885"/>
      <c r="CK1295" s="885"/>
      <c r="CL1295" s="885"/>
      <c r="CM1295" s="885"/>
      <c r="CN1295" s="885"/>
      <c r="CO1295" s="885"/>
      <c r="CP1295" s="885"/>
      <c r="CQ1295" s="885"/>
      <c r="CR1295" s="885"/>
      <c r="CS1295" s="885"/>
      <c r="CT1295" s="885"/>
      <c r="CU1295" s="885"/>
      <c r="CV1295" s="885"/>
      <c r="CW1295" s="885"/>
      <c r="CX1295" s="885"/>
      <c r="CY1295" s="885"/>
      <c r="CZ1295" s="885"/>
      <c r="DA1295" s="885"/>
      <c r="DB1295" s="885"/>
      <c r="DC1295" s="885"/>
      <c r="DD1295" s="885"/>
      <c r="DE1295" s="885"/>
      <c r="DF1295" s="885"/>
      <c r="DG1295" s="885"/>
      <c r="DH1295" s="885"/>
      <c r="DI1295" s="885"/>
      <c r="DJ1295" s="885"/>
      <c r="DK1295" s="885"/>
      <c r="DL1295" s="885"/>
      <c r="DM1295" s="885"/>
      <c r="DN1295" s="885"/>
      <c r="DO1295" s="885"/>
      <c r="DP1295" s="885"/>
      <c r="DQ1295" s="885"/>
      <c r="DR1295" s="885"/>
      <c r="DS1295" s="885"/>
      <c r="DT1295" s="885"/>
      <c r="DU1295" s="885"/>
      <c r="DV1295" s="885"/>
      <c r="DW1295" s="885"/>
      <c r="DX1295" s="885"/>
      <c r="DY1295" s="885"/>
      <c r="DZ1295" s="885"/>
      <c r="EA1295" s="885"/>
      <c r="EB1295" s="885"/>
      <c r="EC1295" s="885"/>
      <c r="ED1295" s="885"/>
      <c r="EE1295" s="885"/>
      <c r="EF1295" s="885"/>
      <c r="EG1295" s="885"/>
      <c r="EH1295" s="885"/>
      <c r="EI1295" s="885"/>
      <c r="EJ1295" s="885"/>
      <c r="EK1295" s="885"/>
      <c r="EL1295" s="885"/>
      <c r="EM1295" s="885"/>
      <c r="EN1295" s="885"/>
      <c r="EO1295" s="885"/>
      <c r="EP1295" s="885"/>
      <c r="EQ1295" s="885"/>
      <c r="ER1295" s="885"/>
      <c r="ES1295" s="885"/>
      <c r="ET1295" s="885"/>
      <c r="EU1295" s="885"/>
      <c r="EV1295" s="885"/>
      <c r="EW1295" s="885"/>
      <c r="EX1295" s="885"/>
      <c r="EY1295" s="885"/>
      <c r="EZ1295" s="885"/>
      <c r="FA1295" s="885"/>
      <c r="FB1295" s="885"/>
      <c r="FC1295" s="885"/>
      <c r="FD1295" s="885"/>
      <c r="FE1295" s="885"/>
      <c r="FF1295" s="885"/>
      <c r="FG1295" s="885"/>
      <c r="FH1295" s="885"/>
      <c r="FI1295" s="885"/>
      <c r="FJ1295" s="885"/>
      <c r="FK1295" s="885"/>
      <c r="FL1295" s="885"/>
      <c r="FM1295" s="885"/>
      <c r="FN1295" s="885"/>
      <c r="FO1295" s="885"/>
      <c r="FP1295" s="885"/>
      <c r="FQ1295" s="885"/>
      <c r="FR1295" s="885"/>
      <c r="FS1295" s="885"/>
      <c r="FT1295" s="885"/>
      <c r="FU1295" s="885"/>
      <c r="FV1295" s="885"/>
      <c r="FW1295" s="885"/>
      <c r="FX1295" s="885"/>
      <c r="FY1295" s="885"/>
      <c r="FZ1295" s="885"/>
      <c r="GA1295" s="885"/>
      <c r="GB1295" s="885"/>
      <c r="GC1295" s="885"/>
      <c r="GD1295" s="885"/>
      <c r="GE1295" s="885"/>
      <c r="GF1295" s="885"/>
      <c r="GG1295" s="885"/>
      <c r="GH1295" s="885"/>
      <c r="GI1295" s="885"/>
      <c r="GJ1295" s="885"/>
      <c r="GK1295" s="885"/>
      <c r="GL1295" s="885"/>
      <c r="GM1295" s="885"/>
      <c r="GN1295" s="885"/>
      <c r="GO1295" s="885"/>
      <c r="GP1295" s="885"/>
      <c r="GQ1295" s="885"/>
      <c r="GR1295" s="885"/>
      <c r="GS1295" s="885"/>
      <c r="GT1295" s="885"/>
      <c r="GU1295" s="885"/>
      <c r="GV1295" s="885"/>
      <c r="GW1295" s="885"/>
      <c r="GX1295" s="885"/>
      <c r="GY1295" s="885"/>
      <c r="GZ1295" s="885"/>
      <c r="HA1295" s="885"/>
      <c r="HB1295" s="885"/>
      <c r="HC1295" s="885"/>
      <c r="HD1295" s="885"/>
      <c r="HE1295" s="885"/>
      <c r="HF1295" s="885"/>
      <c r="HG1295" s="885"/>
      <c r="HH1295" s="885"/>
      <c r="HI1295" s="885"/>
      <c r="HJ1295" s="885"/>
      <c r="HK1295" s="885"/>
      <c r="HL1295" s="885"/>
      <c r="HM1295" s="885"/>
      <c r="HN1295" s="885"/>
      <c r="HO1295" s="885"/>
      <c r="HP1295" s="885"/>
      <c r="HQ1295" s="885"/>
      <c r="HR1295" s="885"/>
      <c r="HS1295" s="885"/>
      <c r="HT1295" s="885"/>
      <c r="HU1295" s="885"/>
      <c r="HV1295" s="885"/>
      <c r="HW1295" s="885"/>
      <c r="HX1295" s="885"/>
      <c r="HY1295" s="885"/>
      <c r="HZ1295" s="885"/>
      <c r="IA1295" s="885"/>
      <c r="IB1295" s="885"/>
      <c r="IC1295" s="885"/>
      <c r="ID1295" s="885"/>
      <c r="IE1295" s="885"/>
      <c r="IF1295" s="885"/>
      <c r="IG1295" s="885"/>
      <c r="IH1295" s="885"/>
      <c r="II1295" s="885"/>
      <c r="IJ1295" s="885"/>
      <c r="IK1295" s="885"/>
      <c r="IL1295" s="885"/>
      <c r="IM1295" s="885"/>
      <c r="IN1295" s="885"/>
      <c r="IO1295" s="885"/>
      <c r="IP1295" s="885"/>
      <c r="IQ1295" s="885"/>
      <c r="IR1295" s="885"/>
      <c r="IS1295" s="885"/>
      <c r="IT1295" s="885"/>
      <c r="IU1295" s="885"/>
      <c r="IV1295" s="885"/>
      <c r="IW1295" s="885"/>
      <c r="IX1295" s="885"/>
    </row>
    <row r="1296" spans="1:258" x14ac:dyDescent="0.25">
      <c r="A1296" s="125">
        <f t="shared" si="134"/>
        <v>1256</v>
      </c>
      <c r="B1296" s="885"/>
      <c r="C1296" s="842" t="s">
        <v>10832</v>
      </c>
      <c r="D1296" s="924">
        <v>0</v>
      </c>
      <c r="E1296" s="924">
        <f t="shared" si="149"/>
        <v>0</v>
      </c>
      <c r="F1296" s="129">
        <v>1</v>
      </c>
      <c r="G1296" s="122" t="s">
        <v>1963</v>
      </c>
      <c r="H1296" s="885"/>
      <c r="I1296" s="885"/>
      <c r="J1296" s="885"/>
      <c r="K1296" s="885"/>
      <c r="L1296" s="885"/>
      <c r="M1296" s="885"/>
      <c r="N1296" s="885"/>
      <c r="O1296" s="885"/>
      <c r="P1296" s="885"/>
      <c r="Q1296" s="885"/>
      <c r="R1296" s="885"/>
      <c r="S1296" s="885"/>
      <c r="T1296" s="885"/>
      <c r="U1296" s="885"/>
      <c r="V1296" s="885"/>
      <c r="W1296" s="885"/>
      <c r="X1296" s="885"/>
      <c r="Y1296" s="885"/>
      <c r="Z1296" s="885"/>
      <c r="AA1296" s="885"/>
      <c r="AB1296" s="885"/>
      <c r="AC1296" s="885"/>
      <c r="AD1296" s="885"/>
      <c r="AE1296" s="885"/>
      <c r="AF1296" s="885"/>
      <c r="AG1296" s="885"/>
      <c r="AH1296" s="885"/>
      <c r="AI1296" s="885"/>
      <c r="AJ1296" s="885"/>
      <c r="AK1296" s="885"/>
      <c r="AL1296" s="885"/>
      <c r="AM1296" s="885"/>
      <c r="AN1296" s="885"/>
      <c r="AO1296" s="885"/>
      <c r="AP1296" s="885"/>
      <c r="AQ1296" s="885"/>
      <c r="AR1296" s="885"/>
      <c r="AS1296" s="885"/>
      <c r="AT1296" s="885"/>
      <c r="AU1296" s="885"/>
      <c r="AV1296" s="885"/>
      <c r="AW1296" s="885"/>
      <c r="AX1296" s="885"/>
      <c r="AY1296" s="885"/>
      <c r="AZ1296" s="885"/>
      <c r="BA1296" s="885"/>
      <c r="BB1296" s="885"/>
      <c r="BC1296" s="885"/>
      <c r="BD1296" s="885"/>
      <c r="BE1296" s="885"/>
      <c r="BF1296" s="885"/>
      <c r="BG1296" s="885"/>
      <c r="BH1296" s="885"/>
      <c r="BI1296" s="885"/>
      <c r="BJ1296" s="885"/>
      <c r="BK1296" s="885"/>
      <c r="BL1296" s="885"/>
      <c r="BM1296" s="885"/>
      <c r="BN1296" s="885"/>
      <c r="BO1296" s="885"/>
      <c r="BP1296" s="885"/>
      <c r="BQ1296" s="885"/>
      <c r="BR1296" s="885"/>
      <c r="BS1296" s="885"/>
      <c r="BT1296" s="885"/>
      <c r="BU1296" s="885"/>
      <c r="BV1296" s="885"/>
      <c r="BW1296" s="885"/>
      <c r="BX1296" s="885"/>
      <c r="BY1296" s="885"/>
      <c r="BZ1296" s="885"/>
      <c r="CA1296" s="885"/>
      <c r="CB1296" s="885"/>
      <c r="CC1296" s="885"/>
      <c r="CD1296" s="885"/>
      <c r="CE1296" s="885"/>
      <c r="CF1296" s="885"/>
      <c r="CG1296" s="885"/>
      <c r="CH1296" s="885"/>
      <c r="CI1296" s="885"/>
      <c r="CJ1296" s="885"/>
      <c r="CK1296" s="885"/>
      <c r="CL1296" s="885"/>
      <c r="CM1296" s="885"/>
      <c r="CN1296" s="885"/>
      <c r="CO1296" s="885"/>
      <c r="CP1296" s="885"/>
      <c r="CQ1296" s="885"/>
      <c r="CR1296" s="885"/>
      <c r="CS1296" s="885"/>
      <c r="CT1296" s="885"/>
      <c r="CU1296" s="885"/>
      <c r="CV1296" s="885"/>
      <c r="CW1296" s="885"/>
      <c r="CX1296" s="885"/>
      <c r="CY1296" s="885"/>
      <c r="CZ1296" s="885"/>
      <c r="DA1296" s="885"/>
      <c r="DB1296" s="885"/>
      <c r="DC1296" s="885"/>
      <c r="DD1296" s="885"/>
      <c r="DE1296" s="885"/>
      <c r="DF1296" s="885"/>
      <c r="DG1296" s="885"/>
      <c r="DH1296" s="885"/>
      <c r="DI1296" s="885"/>
      <c r="DJ1296" s="885"/>
      <c r="DK1296" s="885"/>
      <c r="DL1296" s="885"/>
      <c r="DM1296" s="885"/>
      <c r="DN1296" s="885"/>
      <c r="DO1296" s="885"/>
      <c r="DP1296" s="885"/>
      <c r="DQ1296" s="885"/>
      <c r="DR1296" s="885"/>
      <c r="DS1296" s="885"/>
      <c r="DT1296" s="885"/>
      <c r="DU1296" s="885"/>
      <c r="DV1296" s="885"/>
      <c r="DW1296" s="885"/>
      <c r="DX1296" s="885"/>
      <c r="DY1296" s="885"/>
      <c r="DZ1296" s="885"/>
      <c r="EA1296" s="885"/>
      <c r="EB1296" s="885"/>
      <c r="EC1296" s="885"/>
      <c r="ED1296" s="885"/>
      <c r="EE1296" s="885"/>
      <c r="EF1296" s="885"/>
      <c r="EG1296" s="885"/>
      <c r="EH1296" s="885"/>
      <c r="EI1296" s="885"/>
      <c r="EJ1296" s="885"/>
      <c r="EK1296" s="885"/>
      <c r="EL1296" s="885"/>
      <c r="EM1296" s="885"/>
      <c r="EN1296" s="885"/>
      <c r="EO1296" s="885"/>
      <c r="EP1296" s="885"/>
      <c r="EQ1296" s="885"/>
      <c r="ER1296" s="885"/>
      <c r="ES1296" s="885"/>
      <c r="ET1296" s="885"/>
      <c r="EU1296" s="885"/>
      <c r="EV1296" s="885"/>
      <c r="EW1296" s="885"/>
      <c r="EX1296" s="885"/>
      <c r="EY1296" s="885"/>
      <c r="EZ1296" s="885"/>
      <c r="FA1296" s="885"/>
      <c r="FB1296" s="885"/>
      <c r="FC1296" s="885"/>
      <c r="FD1296" s="885"/>
      <c r="FE1296" s="885"/>
      <c r="FF1296" s="885"/>
      <c r="FG1296" s="885"/>
      <c r="FH1296" s="885"/>
      <c r="FI1296" s="885"/>
      <c r="FJ1296" s="885"/>
      <c r="FK1296" s="885"/>
      <c r="FL1296" s="885"/>
      <c r="FM1296" s="885"/>
      <c r="FN1296" s="885"/>
      <c r="FO1296" s="885"/>
      <c r="FP1296" s="885"/>
      <c r="FQ1296" s="885"/>
      <c r="FR1296" s="885"/>
      <c r="FS1296" s="885"/>
      <c r="FT1296" s="885"/>
      <c r="FU1296" s="885"/>
      <c r="FV1296" s="885"/>
      <c r="FW1296" s="885"/>
      <c r="FX1296" s="885"/>
      <c r="FY1296" s="885"/>
      <c r="FZ1296" s="885"/>
      <c r="GA1296" s="885"/>
      <c r="GB1296" s="885"/>
      <c r="GC1296" s="885"/>
      <c r="GD1296" s="885"/>
      <c r="GE1296" s="885"/>
      <c r="GF1296" s="885"/>
      <c r="GG1296" s="885"/>
      <c r="GH1296" s="885"/>
      <c r="GI1296" s="885"/>
      <c r="GJ1296" s="885"/>
      <c r="GK1296" s="885"/>
      <c r="GL1296" s="885"/>
      <c r="GM1296" s="885"/>
      <c r="GN1296" s="885"/>
      <c r="GO1296" s="885"/>
      <c r="GP1296" s="885"/>
      <c r="GQ1296" s="885"/>
      <c r="GR1296" s="885"/>
      <c r="GS1296" s="885"/>
      <c r="GT1296" s="885"/>
      <c r="GU1296" s="885"/>
      <c r="GV1296" s="885"/>
      <c r="GW1296" s="885"/>
      <c r="GX1296" s="885"/>
      <c r="GY1296" s="885"/>
      <c r="GZ1296" s="885"/>
      <c r="HA1296" s="885"/>
      <c r="HB1296" s="885"/>
      <c r="HC1296" s="885"/>
      <c r="HD1296" s="885"/>
      <c r="HE1296" s="885"/>
      <c r="HF1296" s="885"/>
      <c r="HG1296" s="885"/>
      <c r="HH1296" s="885"/>
      <c r="HI1296" s="885"/>
      <c r="HJ1296" s="885"/>
      <c r="HK1296" s="885"/>
      <c r="HL1296" s="885"/>
      <c r="HM1296" s="885"/>
      <c r="HN1296" s="885"/>
      <c r="HO1296" s="885"/>
      <c r="HP1296" s="885"/>
      <c r="HQ1296" s="885"/>
      <c r="HR1296" s="885"/>
      <c r="HS1296" s="885"/>
      <c r="HT1296" s="885"/>
      <c r="HU1296" s="885"/>
      <c r="HV1296" s="885"/>
      <c r="HW1296" s="885"/>
      <c r="HX1296" s="885"/>
      <c r="HY1296" s="885"/>
      <c r="HZ1296" s="885"/>
      <c r="IA1296" s="885"/>
      <c r="IB1296" s="885"/>
      <c r="IC1296" s="885"/>
      <c r="ID1296" s="885"/>
      <c r="IE1296" s="885"/>
      <c r="IF1296" s="885"/>
      <c r="IG1296" s="885"/>
      <c r="IH1296" s="885"/>
      <c r="II1296" s="885"/>
      <c r="IJ1296" s="885"/>
      <c r="IK1296" s="885"/>
      <c r="IL1296" s="885"/>
      <c r="IM1296" s="885"/>
      <c r="IN1296" s="885"/>
      <c r="IO1296" s="885"/>
      <c r="IP1296" s="885"/>
      <c r="IQ1296" s="885"/>
      <c r="IR1296" s="885"/>
      <c r="IS1296" s="885"/>
      <c r="IT1296" s="885"/>
      <c r="IU1296" s="885"/>
      <c r="IV1296" s="885"/>
      <c r="IW1296" s="885"/>
      <c r="IX1296" s="885"/>
    </row>
    <row r="1297" spans="1:258" x14ac:dyDescent="0.25">
      <c r="A1297" s="125">
        <f t="shared" si="134"/>
        <v>1257</v>
      </c>
      <c r="B1297" s="885"/>
      <c r="C1297" s="842" t="s">
        <v>10832</v>
      </c>
      <c r="D1297" s="924">
        <v>0</v>
      </c>
      <c r="E1297" s="924">
        <f t="shared" si="149"/>
        <v>0</v>
      </c>
      <c r="F1297" s="129">
        <f>3060.62-F1293-F1294-F1295-F1298-F1299-F1300</f>
        <v>3055.42</v>
      </c>
      <c r="G1297" s="122" t="s">
        <v>1963</v>
      </c>
      <c r="H1297" s="885"/>
      <c r="I1297" s="885"/>
      <c r="J1297" s="885"/>
      <c r="K1297" s="885"/>
      <c r="L1297" s="885"/>
      <c r="M1297" s="885"/>
      <c r="N1297" s="885"/>
      <c r="O1297" s="885"/>
      <c r="P1297" s="885"/>
      <c r="Q1297" s="885"/>
      <c r="R1297" s="885"/>
      <c r="S1297" s="885"/>
      <c r="T1297" s="885"/>
      <c r="U1297" s="885"/>
      <c r="V1297" s="885"/>
      <c r="W1297" s="885"/>
      <c r="X1297" s="885"/>
      <c r="Y1297" s="885"/>
      <c r="Z1297" s="885"/>
      <c r="AA1297" s="885"/>
      <c r="AB1297" s="885"/>
      <c r="AC1297" s="885"/>
      <c r="AD1297" s="885"/>
      <c r="AE1297" s="885"/>
      <c r="AF1297" s="885"/>
      <c r="AG1297" s="885"/>
      <c r="AH1297" s="885"/>
      <c r="AI1297" s="885"/>
      <c r="AJ1297" s="885"/>
      <c r="AK1297" s="885"/>
      <c r="AL1297" s="885"/>
      <c r="AM1297" s="885"/>
      <c r="AN1297" s="885"/>
      <c r="AO1297" s="885"/>
      <c r="AP1297" s="885"/>
      <c r="AQ1297" s="885"/>
      <c r="AR1297" s="885"/>
      <c r="AS1297" s="885"/>
      <c r="AT1297" s="885"/>
      <c r="AU1297" s="885"/>
      <c r="AV1297" s="885"/>
      <c r="AW1297" s="885"/>
      <c r="AX1297" s="885"/>
      <c r="AY1297" s="885"/>
      <c r="AZ1297" s="885"/>
      <c r="BA1297" s="885"/>
      <c r="BB1297" s="885"/>
      <c r="BC1297" s="885"/>
      <c r="BD1297" s="885"/>
      <c r="BE1297" s="885"/>
      <c r="BF1297" s="885"/>
      <c r="BG1297" s="885"/>
      <c r="BH1297" s="885"/>
      <c r="BI1297" s="885"/>
      <c r="BJ1297" s="885"/>
      <c r="BK1297" s="885"/>
      <c r="BL1297" s="885"/>
      <c r="BM1297" s="885"/>
      <c r="BN1297" s="885"/>
      <c r="BO1297" s="885"/>
      <c r="BP1297" s="885"/>
      <c r="BQ1297" s="885"/>
      <c r="BR1297" s="885"/>
      <c r="BS1297" s="885"/>
      <c r="BT1297" s="885"/>
      <c r="BU1297" s="885"/>
      <c r="BV1297" s="885"/>
      <c r="BW1297" s="885"/>
      <c r="BX1297" s="885"/>
      <c r="BY1297" s="885"/>
      <c r="BZ1297" s="885"/>
      <c r="CA1297" s="885"/>
      <c r="CB1297" s="885"/>
      <c r="CC1297" s="885"/>
      <c r="CD1297" s="885"/>
      <c r="CE1297" s="885"/>
      <c r="CF1297" s="885"/>
      <c r="CG1297" s="885"/>
      <c r="CH1297" s="885"/>
      <c r="CI1297" s="885"/>
      <c r="CJ1297" s="885"/>
      <c r="CK1297" s="885"/>
      <c r="CL1297" s="885"/>
      <c r="CM1297" s="885"/>
      <c r="CN1297" s="885"/>
      <c r="CO1297" s="885"/>
      <c r="CP1297" s="885"/>
      <c r="CQ1297" s="885"/>
      <c r="CR1297" s="885"/>
      <c r="CS1297" s="885"/>
      <c r="CT1297" s="885"/>
      <c r="CU1297" s="885"/>
      <c r="CV1297" s="885"/>
      <c r="CW1297" s="885"/>
      <c r="CX1297" s="885"/>
      <c r="CY1297" s="885"/>
      <c r="CZ1297" s="885"/>
      <c r="DA1297" s="885"/>
      <c r="DB1297" s="885"/>
      <c r="DC1297" s="885"/>
      <c r="DD1297" s="885"/>
      <c r="DE1297" s="885"/>
      <c r="DF1297" s="885"/>
      <c r="DG1297" s="885"/>
      <c r="DH1297" s="885"/>
      <c r="DI1297" s="885"/>
      <c r="DJ1297" s="885"/>
      <c r="DK1297" s="885"/>
      <c r="DL1297" s="885"/>
      <c r="DM1297" s="885"/>
      <c r="DN1297" s="885"/>
      <c r="DO1297" s="885"/>
      <c r="DP1297" s="885"/>
      <c r="DQ1297" s="885"/>
      <c r="DR1297" s="885"/>
      <c r="DS1297" s="885"/>
      <c r="DT1297" s="885"/>
      <c r="DU1297" s="885"/>
      <c r="DV1297" s="885"/>
      <c r="DW1297" s="885"/>
      <c r="DX1297" s="885"/>
      <c r="DY1297" s="885"/>
      <c r="DZ1297" s="885"/>
      <c r="EA1297" s="885"/>
      <c r="EB1297" s="885"/>
      <c r="EC1297" s="885"/>
      <c r="ED1297" s="885"/>
      <c r="EE1297" s="885"/>
      <c r="EF1297" s="885"/>
      <c r="EG1297" s="885"/>
      <c r="EH1297" s="885"/>
      <c r="EI1297" s="885"/>
      <c r="EJ1297" s="885"/>
      <c r="EK1297" s="885"/>
      <c r="EL1297" s="885"/>
      <c r="EM1297" s="885"/>
      <c r="EN1297" s="885"/>
      <c r="EO1297" s="885"/>
      <c r="EP1297" s="885"/>
      <c r="EQ1297" s="885"/>
      <c r="ER1297" s="885"/>
      <c r="ES1297" s="885"/>
      <c r="ET1297" s="885"/>
      <c r="EU1297" s="885"/>
      <c r="EV1297" s="885"/>
      <c r="EW1297" s="885"/>
      <c r="EX1297" s="885"/>
      <c r="EY1297" s="885"/>
      <c r="EZ1297" s="885"/>
      <c r="FA1297" s="885"/>
      <c r="FB1297" s="885"/>
      <c r="FC1297" s="885"/>
      <c r="FD1297" s="885"/>
      <c r="FE1297" s="885"/>
      <c r="FF1297" s="885"/>
      <c r="FG1297" s="885"/>
      <c r="FH1297" s="885"/>
      <c r="FI1297" s="885"/>
      <c r="FJ1297" s="885"/>
      <c r="FK1297" s="885"/>
      <c r="FL1297" s="885"/>
      <c r="FM1297" s="885"/>
      <c r="FN1297" s="885"/>
      <c r="FO1297" s="885"/>
      <c r="FP1297" s="885"/>
      <c r="FQ1297" s="885"/>
      <c r="FR1297" s="885"/>
      <c r="FS1297" s="885"/>
      <c r="FT1297" s="885"/>
      <c r="FU1297" s="885"/>
      <c r="FV1297" s="885"/>
      <c r="FW1297" s="885"/>
      <c r="FX1297" s="885"/>
      <c r="FY1297" s="885"/>
      <c r="FZ1297" s="885"/>
      <c r="GA1297" s="885"/>
      <c r="GB1297" s="885"/>
      <c r="GC1297" s="885"/>
      <c r="GD1297" s="885"/>
      <c r="GE1297" s="885"/>
      <c r="GF1297" s="885"/>
      <c r="GG1297" s="885"/>
      <c r="GH1297" s="885"/>
      <c r="GI1297" s="885"/>
      <c r="GJ1297" s="885"/>
      <c r="GK1297" s="885"/>
      <c r="GL1297" s="885"/>
      <c r="GM1297" s="885"/>
      <c r="GN1297" s="885"/>
      <c r="GO1297" s="885"/>
      <c r="GP1297" s="885"/>
      <c r="GQ1297" s="885"/>
      <c r="GR1297" s="885"/>
      <c r="GS1297" s="885"/>
      <c r="GT1297" s="885"/>
      <c r="GU1297" s="885"/>
      <c r="GV1297" s="885"/>
      <c r="GW1297" s="885"/>
      <c r="GX1297" s="885"/>
      <c r="GY1297" s="885"/>
      <c r="GZ1297" s="885"/>
      <c r="HA1297" s="885"/>
      <c r="HB1297" s="885"/>
      <c r="HC1297" s="885"/>
      <c r="HD1297" s="885"/>
      <c r="HE1297" s="885"/>
      <c r="HF1297" s="885"/>
      <c r="HG1297" s="885"/>
      <c r="HH1297" s="885"/>
      <c r="HI1297" s="885"/>
      <c r="HJ1297" s="885"/>
      <c r="HK1297" s="885"/>
      <c r="HL1297" s="885"/>
      <c r="HM1297" s="885"/>
      <c r="HN1297" s="885"/>
      <c r="HO1297" s="885"/>
      <c r="HP1297" s="885"/>
      <c r="HQ1297" s="885"/>
      <c r="HR1297" s="885"/>
      <c r="HS1297" s="885"/>
      <c r="HT1297" s="885"/>
      <c r="HU1297" s="885"/>
      <c r="HV1297" s="885"/>
      <c r="HW1297" s="885"/>
      <c r="HX1297" s="885"/>
      <c r="HY1297" s="885"/>
      <c r="HZ1297" s="885"/>
      <c r="IA1297" s="885"/>
      <c r="IB1297" s="885"/>
      <c r="IC1297" s="885"/>
      <c r="ID1297" s="885"/>
      <c r="IE1297" s="885"/>
      <c r="IF1297" s="885"/>
      <c r="IG1297" s="885"/>
      <c r="IH1297" s="885"/>
      <c r="II1297" s="885"/>
      <c r="IJ1297" s="885"/>
      <c r="IK1297" s="885"/>
      <c r="IL1297" s="885"/>
      <c r="IM1297" s="885"/>
      <c r="IN1297" s="885"/>
      <c r="IO1297" s="885"/>
      <c r="IP1297" s="885"/>
      <c r="IQ1297" s="885"/>
      <c r="IR1297" s="885"/>
      <c r="IS1297" s="885"/>
      <c r="IT1297" s="885"/>
      <c r="IU1297" s="885"/>
      <c r="IV1297" s="885"/>
      <c r="IW1297" s="885"/>
      <c r="IX1297" s="885"/>
    </row>
    <row r="1298" spans="1:258" x14ac:dyDescent="0.25">
      <c r="A1298" s="125">
        <f t="shared" si="134"/>
        <v>1258</v>
      </c>
      <c r="B1298" s="885"/>
      <c r="C1298" s="842" t="s">
        <v>10833</v>
      </c>
      <c r="D1298" s="924">
        <v>0</v>
      </c>
      <c r="E1298" s="924">
        <f t="shared" si="149"/>
        <v>0</v>
      </c>
      <c r="F1298" s="129">
        <f>F1295*F$83</f>
        <v>0.2</v>
      </c>
      <c r="G1298" s="122" t="s">
        <v>1963</v>
      </c>
      <c r="H1298" s="885"/>
      <c r="I1298" s="885"/>
      <c r="J1298" s="885"/>
      <c r="K1298" s="885"/>
      <c r="L1298" s="885"/>
      <c r="M1298" s="885"/>
      <c r="N1298" s="885"/>
      <c r="O1298" s="885"/>
      <c r="P1298" s="885"/>
      <c r="Q1298" s="885"/>
      <c r="R1298" s="885"/>
      <c r="S1298" s="885"/>
      <c r="T1298" s="885"/>
      <c r="U1298" s="885"/>
      <c r="V1298" s="885"/>
      <c r="W1298" s="885"/>
      <c r="X1298" s="885"/>
      <c r="Y1298" s="885"/>
      <c r="Z1298" s="885"/>
      <c r="AA1298" s="885"/>
      <c r="AB1298" s="885"/>
      <c r="AC1298" s="885"/>
      <c r="AD1298" s="885"/>
      <c r="AE1298" s="885"/>
      <c r="AF1298" s="885"/>
      <c r="AG1298" s="885"/>
      <c r="AH1298" s="885"/>
      <c r="AI1298" s="885"/>
      <c r="AJ1298" s="885"/>
      <c r="AK1298" s="885"/>
      <c r="AL1298" s="885"/>
      <c r="AM1298" s="885"/>
      <c r="AN1298" s="885"/>
      <c r="AO1298" s="885"/>
      <c r="AP1298" s="885"/>
      <c r="AQ1298" s="885"/>
      <c r="AR1298" s="885"/>
      <c r="AS1298" s="885"/>
      <c r="AT1298" s="885"/>
      <c r="AU1298" s="885"/>
      <c r="AV1298" s="885"/>
      <c r="AW1298" s="885"/>
      <c r="AX1298" s="885"/>
      <c r="AY1298" s="885"/>
      <c r="AZ1298" s="885"/>
      <c r="BA1298" s="885"/>
      <c r="BB1298" s="885"/>
      <c r="BC1298" s="885"/>
      <c r="BD1298" s="885"/>
      <c r="BE1298" s="885"/>
      <c r="BF1298" s="885"/>
      <c r="BG1298" s="885"/>
      <c r="BH1298" s="885"/>
      <c r="BI1298" s="885"/>
      <c r="BJ1298" s="885"/>
      <c r="BK1298" s="885"/>
      <c r="BL1298" s="885"/>
      <c r="BM1298" s="885"/>
      <c r="BN1298" s="885"/>
      <c r="BO1298" s="885"/>
      <c r="BP1298" s="885"/>
      <c r="BQ1298" s="885"/>
      <c r="BR1298" s="885"/>
      <c r="BS1298" s="885"/>
      <c r="BT1298" s="885"/>
      <c r="BU1298" s="885"/>
      <c r="BV1298" s="885"/>
      <c r="BW1298" s="885"/>
      <c r="BX1298" s="885"/>
      <c r="BY1298" s="885"/>
      <c r="BZ1298" s="885"/>
      <c r="CA1298" s="885"/>
      <c r="CB1298" s="885"/>
      <c r="CC1298" s="885"/>
      <c r="CD1298" s="885"/>
      <c r="CE1298" s="885"/>
      <c r="CF1298" s="885"/>
      <c r="CG1298" s="885"/>
      <c r="CH1298" s="885"/>
      <c r="CI1298" s="885"/>
      <c r="CJ1298" s="885"/>
      <c r="CK1298" s="885"/>
      <c r="CL1298" s="885"/>
      <c r="CM1298" s="885"/>
      <c r="CN1298" s="885"/>
      <c r="CO1298" s="885"/>
      <c r="CP1298" s="885"/>
      <c r="CQ1298" s="885"/>
      <c r="CR1298" s="885"/>
      <c r="CS1298" s="885"/>
      <c r="CT1298" s="885"/>
      <c r="CU1298" s="885"/>
      <c r="CV1298" s="885"/>
      <c r="CW1298" s="885"/>
      <c r="CX1298" s="885"/>
      <c r="CY1298" s="885"/>
      <c r="CZ1298" s="885"/>
      <c r="DA1298" s="885"/>
      <c r="DB1298" s="885"/>
      <c r="DC1298" s="885"/>
      <c r="DD1298" s="885"/>
      <c r="DE1298" s="885"/>
      <c r="DF1298" s="885"/>
      <c r="DG1298" s="885"/>
      <c r="DH1298" s="885"/>
      <c r="DI1298" s="885"/>
      <c r="DJ1298" s="885"/>
      <c r="DK1298" s="885"/>
      <c r="DL1298" s="885"/>
      <c r="DM1298" s="885"/>
      <c r="DN1298" s="885"/>
      <c r="DO1298" s="885"/>
      <c r="DP1298" s="885"/>
      <c r="DQ1298" s="885"/>
      <c r="DR1298" s="885"/>
      <c r="DS1298" s="885"/>
      <c r="DT1298" s="885"/>
      <c r="DU1298" s="885"/>
      <c r="DV1298" s="885"/>
      <c r="DW1298" s="885"/>
      <c r="DX1298" s="885"/>
      <c r="DY1298" s="885"/>
      <c r="DZ1298" s="885"/>
      <c r="EA1298" s="885"/>
      <c r="EB1298" s="885"/>
      <c r="EC1298" s="885"/>
      <c r="ED1298" s="885"/>
      <c r="EE1298" s="885"/>
      <c r="EF1298" s="885"/>
      <c r="EG1298" s="885"/>
      <c r="EH1298" s="885"/>
      <c r="EI1298" s="885"/>
      <c r="EJ1298" s="885"/>
      <c r="EK1298" s="885"/>
      <c r="EL1298" s="885"/>
      <c r="EM1298" s="885"/>
      <c r="EN1298" s="885"/>
      <c r="EO1298" s="885"/>
      <c r="EP1298" s="885"/>
      <c r="EQ1298" s="885"/>
      <c r="ER1298" s="885"/>
      <c r="ES1298" s="885"/>
      <c r="ET1298" s="885"/>
      <c r="EU1298" s="885"/>
      <c r="EV1298" s="885"/>
      <c r="EW1298" s="885"/>
      <c r="EX1298" s="885"/>
      <c r="EY1298" s="885"/>
      <c r="EZ1298" s="885"/>
      <c r="FA1298" s="885"/>
      <c r="FB1298" s="885"/>
      <c r="FC1298" s="885"/>
      <c r="FD1298" s="885"/>
      <c r="FE1298" s="885"/>
      <c r="FF1298" s="885"/>
      <c r="FG1298" s="885"/>
      <c r="FH1298" s="885"/>
      <c r="FI1298" s="885"/>
      <c r="FJ1298" s="885"/>
      <c r="FK1298" s="885"/>
      <c r="FL1298" s="885"/>
      <c r="FM1298" s="885"/>
      <c r="FN1298" s="885"/>
      <c r="FO1298" s="885"/>
      <c r="FP1298" s="885"/>
      <c r="FQ1298" s="885"/>
      <c r="FR1298" s="885"/>
      <c r="FS1298" s="885"/>
      <c r="FT1298" s="885"/>
      <c r="FU1298" s="885"/>
      <c r="FV1298" s="885"/>
      <c r="FW1298" s="885"/>
      <c r="FX1298" s="885"/>
      <c r="FY1298" s="885"/>
      <c r="FZ1298" s="885"/>
      <c r="GA1298" s="885"/>
      <c r="GB1298" s="885"/>
      <c r="GC1298" s="885"/>
      <c r="GD1298" s="885"/>
      <c r="GE1298" s="885"/>
      <c r="GF1298" s="885"/>
      <c r="GG1298" s="885"/>
      <c r="GH1298" s="885"/>
      <c r="GI1298" s="885"/>
      <c r="GJ1298" s="885"/>
      <c r="GK1298" s="885"/>
      <c r="GL1298" s="885"/>
      <c r="GM1298" s="885"/>
      <c r="GN1298" s="885"/>
      <c r="GO1298" s="885"/>
      <c r="GP1298" s="885"/>
      <c r="GQ1298" s="885"/>
      <c r="GR1298" s="885"/>
      <c r="GS1298" s="885"/>
      <c r="GT1298" s="885"/>
      <c r="GU1298" s="885"/>
      <c r="GV1298" s="885"/>
      <c r="GW1298" s="885"/>
      <c r="GX1298" s="885"/>
      <c r="GY1298" s="885"/>
      <c r="GZ1298" s="885"/>
      <c r="HA1298" s="885"/>
      <c r="HB1298" s="885"/>
      <c r="HC1298" s="885"/>
      <c r="HD1298" s="885"/>
      <c r="HE1298" s="885"/>
      <c r="HF1298" s="885"/>
      <c r="HG1298" s="885"/>
      <c r="HH1298" s="885"/>
      <c r="HI1298" s="885"/>
      <c r="HJ1298" s="885"/>
      <c r="HK1298" s="885"/>
      <c r="HL1298" s="885"/>
      <c r="HM1298" s="885"/>
      <c r="HN1298" s="885"/>
      <c r="HO1298" s="885"/>
      <c r="HP1298" s="885"/>
      <c r="HQ1298" s="885"/>
      <c r="HR1298" s="885"/>
      <c r="HS1298" s="885"/>
      <c r="HT1298" s="885"/>
      <c r="HU1298" s="885"/>
      <c r="HV1298" s="885"/>
      <c r="HW1298" s="885"/>
      <c r="HX1298" s="885"/>
      <c r="HY1298" s="885"/>
      <c r="HZ1298" s="885"/>
      <c r="IA1298" s="885"/>
      <c r="IB1298" s="885"/>
      <c r="IC1298" s="885"/>
      <c r="ID1298" s="885"/>
      <c r="IE1298" s="885"/>
      <c r="IF1298" s="885"/>
      <c r="IG1298" s="885"/>
      <c r="IH1298" s="885"/>
      <c r="II1298" s="885"/>
      <c r="IJ1298" s="885"/>
      <c r="IK1298" s="885"/>
      <c r="IL1298" s="885"/>
      <c r="IM1298" s="885"/>
      <c r="IN1298" s="885"/>
      <c r="IO1298" s="885"/>
      <c r="IP1298" s="885"/>
      <c r="IQ1298" s="885"/>
      <c r="IR1298" s="885"/>
      <c r="IS1298" s="885"/>
      <c r="IT1298" s="885"/>
      <c r="IU1298" s="885"/>
      <c r="IV1298" s="885"/>
      <c r="IW1298" s="885"/>
      <c r="IX1298" s="885"/>
    </row>
    <row r="1299" spans="1:258" ht="31.5" x14ac:dyDescent="0.25">
      <c r="A1299" s="125">
        <f t="shared" si="134"/>
        <v>1259</v>
      </c>
      <c r="B1299" s="885"/>
      <c r="C1299" s="842" t="s">
        <v>10834</v>
      </c>
      <c r="D1299" s="924">
        <v>0</v>
      </c>
      <c r="E1299" s="924">
        <f t="shared" si="149"/>
        <v>0</v>
      </c>
      <c r="F1299" s="129">
        <v>1</v>
      </c>
      <c r="G1299" s="122" t="s">
        <v>1963</v>
      </c>
      <c r="H1299" s="885"/>
      <c r="I1299" s="885"/>
      <c r="J1299" s="885"/>
      <c r="K1299" s="885"/>
      <c r="L1299" s="885"/>
      <c r="M1299" s="885"/>
      <c r="N1299" s="885"/>
      <c r="O1299" s="885"/>
      <c r="P1299" s="885"/>
      <c r="Q1299" s="885"/>
      <c r="R1299" s="885"/>
      <c r="S1299" s="885"/>
      <c r="T1299" s="885"/>
      <c r="U1299" s="885"/>
      <c r="V1299" s="885"/>
      <c r="W1299" s="885"/>
      <c r="X1299" s="885"/>
      <c r="Y1299" s="885"/>
      <c r="Z1299" s="885"/>
      <c r="AA1299" s="885"/>
      <c r="AB1299" s="885"/>
      <c r="AC1299" s="885"/>
      <c r="AD1299" s="885"/>
      <c r="AE1299" s="885"/>
      <c r="AF1299" s="885"/>
      <c r="AG1299" s="885"/>
      <c r="AH1299" s="885"/>
      <c r="AI1299" s="885"/>
      <c r="AJ1299" s="885"/>
      <c r="AK1299" s="885"/>
      <c r="AL1299" s="885"/>
      <c r="AM1299" s="885"/>
      <c r="AN1299" s="885"/>
      <c r="AO1299" s="885"/>
      <c r="AP1299" s="885"/>
      <c r="AQ1299" s="885"/>
      <c r="AR1299" s="885"/>
      <c r="AS1299" s="885"/>
      <c r="AT1299" s="885"/>
      <c r="AU1299" s="885"/>
      <c r="AV1299" s="885"/>
      <c r="AW1299" s="885"/>
      <c r="AX1299" s="885"/>
      <c r="AY1299" s="885"/>
      <c r="AZ1299" s="885"/>
      <c r="BA1299" s="885"/>
      <c r="BB1299" s="885"/>
      <c r="BC1299" s="885"/>
      <c r="BD1299" s="885"/>
      <c r="BE1299" s="885"/>
      <c r="BF1299" s="885"/>
      <c r="BG1299" s="885"/>
      <c r="BH1299" s="885"/>
      <c r="BI1299" s="885"/>
      <c r="BJ1299" s="885"/>
      <c r="BK1299" s="885"/>
      <c r="BL1299" s="885"/>
      <c r="BM1299" s="885"/>
      <c r="BN1299" s="885"/>
      <c r="BO1299" s="885"/>
      <c r="BP1299" s="885"/>
      <c r="BQ1299" s="885"/>
      <c r="BR1299" s="885"/>
      <c r="BS1299" s="885"/>
      <c r="BT1299" s="885"/>
      <c r="BU1299" s="885"/>
      <c r="BV1299" s="885"/>
      <c r="BW1299" s="885"/>
      <c r="BX1299" s="885"/>
      <c r="BY1299" s="885"/>
      <c r="BZ1299" s="885"/>
      <c r="CA1299" s="885"/>
      <c r="CB1299" s="885"/>
      <c r="CC1299" s="885"/>
      <c r="CD1299" s="885"/>
      <c r="CE1299" s="885"/>
      <c r="CF1299" s="885"/>
      <c r="CG1299" s="885"/>
      <c r="CH1299" s="885"/>
      <c r="CI1299" s="885"/>
      <c r="CJ1299" s="885"/>
      <c r="CK1299" s="885"/>
      <c r="CL1299" s="885"/>
      <c r="CM1299" s="885"/>
      <c r="CN1299" s="885"/>
      <c r="CO1299" s="885"/>
      <c r="CP1299" s="885"/>
      <c r="CQ1299" s="885"/>
      <c r="CR1299" s="885"/>
      <c r="CS1299" s="885"/>
      <c r="CT1299" s="885"/>
      <c r="CU1299" s="885"/>
      <c r="CV1299" s="885"/>
      <c r="CW1299" s="885"/>
      <c r="CX1299" s="885"/>
      <c r="CY1299" s="885"/>
      <c r="CZ1299" s="885"/>
      <c r="DA1299" s="885"/>
      <c r="DB1299" s="885"/>
      <c r="DC1299" s="885"/>
      <c r="DD1299" s="885"/>
      <c r="DE1299" s="885"/>
      <c r="DF1299" s="885"/>
      <c r="DG1299" s="885"/>
      <c r="DH1299" s="885"/>
      <c r="DI1299" s="885"/>
      <c r="DJ1299" s="885"/>
      <c r="DK1299" s="885"/>
      <c r="DL1299" s="885"/>
      <c r="DM1299" s="885"/>
      <c r="DN1299" s="885"/>
      <c r="DO1299" s="885"/>
      <c r="DP1299" s="885"/>
      <c r="DQ1299" s="885"/>
      <c r="DR1299" s="885"/>
      <c r="DS1299" s="885"/>
      <c r="DT1299" s="885"/>
      <c r="DU1299" s="885"/>
      <c r="DV1299" s="885"/>
      <c r="DW1299" s="885"/>
      <c r="DX1299" s="885"/>
      <c r="DY1299" s="885"/>
      <c r="DZ1299" s="885"/>
      <c r="EA1299" s="885"/>
      <c r="EB1299" s="885"/>
      <c r="EC1299" s="885"/>
      <c r="ED1299" s="885"/>
      <c r="EE1299" s="885"/>
      <c r="EF1299" s="885"/>
      <c r="EG1299" s="885"/>
      <c r="EH1299" s="885"/>
      <c r="EI1299" s="885"/>
      <c r="EJ1299" s="885"/>
      <c r="EK1299" s="885"/>
      <c r="EL1299" s="885"/>
      <c r="EM1299" s="885"/>
      <c r="EN1299" s="885"/>
      <c r="EO1299" s="885"/>
      <c r="EP1299" s="885"/>
      <c r="EQ1299" s="885"/>
      <c r="ER1299" s="885"/>
      <c r="ES1299" s="885"/>
      <c r="ET1299" s="885"/>
      <c r="EU1299" s="885"/>
      <c r="EV1299" s="885"/>
      <c r="EW1299" s="885"/>
      <c r="EX1299" s="885"/>
      <c r="EY1299" s="885"/>
      <c r="EZ1299" s="885"/>
      <c r="FA1299" s="885"/>
      <c r="FB1299" s="885"/>
      <c r="FC1299" s="885"/>
      <c r="FD1299" s="885"/>
      <c r="FE1299" s="885"/>
      <c r="FF1299" s="885"/>
      <c r="FG1299" s="885"/>
      <c r="FH1299" s="885"/>
      <c r="FI1299" s="885"/>
      <c r="FJ1299" s="885"/>
      <c r="FK1299" s="885"/>
      <c r="FL1299" s="885"/>
      <c r="FM1299" s="885"/>
      <c r="FN1299" s="885"/>
      <c r="FO1299" s="885"/>
      <c r="FP1299" s="885"/>
      <c r="FQ1299" s="885"/>
      <c r="FR1299" s="885"/>
      <c r="FS1299" s="885"/>
      <c r="FT1299" s="885"/>
      <c r="FU1299" s="885"/>
      <c r="FV1299" s="885"/>
      <c r="FW1299" s="885"/>
      <c r="FX1299" s="885"/>
      <c r="FY1299" s="885"/>
      <c r="FZ1299" s="885"/>
      <c r="GA1299" s="885"/>
      <c r="GB1299" s="885"/>
      <c r="GC1299" s="885"/>
      <c r="GD1299" s="885"/>
      <c r="GE1299" s="885"/>
      <c r="GF1299" s="885"/>
      <c r="GG1299" s="885"/>
      <c r="GH1299" s="885"/>
      <c r="GI1299" s="885"/>
      <c r="GJ1299" s="885"/>
      <c r="GK1299" s="885"/>
      <c r="GL1299" s="885"/>
      <c r="GM1299" s="885"/>
      <c r="GN1299" s="885"/>
      <c r="GO1299" s="885"/>
      <c r="GP1299" s="885"/>
      <c r="GQ1299" s="885"/>
      <c r="GR1299" s="885"/>
      <c r="GS1299" s="885"/>
      <c r="GT1299" s="885"/>
      <c r="GU1299" s="885"/>
      <c r="GV1299" s="885"/>
      <c r="GW1299" s="885"/>
      <c r="GX1299" s="885"/>
      <c r="GY1299" s="885"/>
      <c r="GZ1299" s="885"/>
      <c r="HA1299" s="885"/>
      <c r="HB1299" s="885"/>
      <c r="HC1299" s="885"/>
      <c r="HD1299" s="885"/>
      <c r="HE1299" s="885"/>
      <c r="HF1299" s="885"/>
      <c r="HG1299" s="885"/>
      <c r="HH1299" s="885"/>
      <c r="HI1299" s="885"/>
      <c r="HJ1299" s="885"/>
      <c r="HK1299" s="885"/>
      <c r="HL1299" s="885"/>
      <c r="HM1299" s="885"/>
      <c r="HN1299" s="885"/>
      <c r="HO1299" s="885"/>
      <c r="HP1299" s="885"/>
      <c r="HQ1299" s="885"/>
      <c r="HR1299" s="885"/>
      <c r="HS1299" s="885"/>
      <c r="HT1299" s="885"/>
      <c r="HU1299" s="885"/>
      <c r="HV1299" s="885"/>
      <c r="HW1299" s="885"/>
      <c r="HX1299" s="885"/>
      <c r="HY1299" s="885"/>
      <c r="HZ1299" s="885"/>
      <c r="IA1299" s="885"/>
      <c r="IB1299" s="885"/>
      <c r="IC1299" s="885"/>
      <c r="ID1299" s="885"/>
      <c r="IE1299" s="885"/>
      <c r="IF1299" s="885"/>
      <c r="IG1299" s="885"/>
      <c r="IH1299" s="885"/>
      <c r="II1299" s="885"/>
      <c r="IJ1299" s="885"/>
      <c r="IK1299" s="885"/>
      <c r="IL1299" s="885"/>
      <c r="IM1299" s="885"/>
      <c r="IN1299" s="885"/>
      <c r="IO1299" s="885"/>
      <c r="IP1299" s="885"/>
      <c r="IQ1299" s="885"/>
      <c r="IR1299" s="885"/>
      <c r="IS1299" s="885"/>
      <c r="IT1299" s="885"/>
      <c r="IU1299" s="885"/>
      <c r="IV1299" s="885"/>
      <c r="IW1299" s="885"/>
      <c r="IX1299" s="885"/>
    </row>
    <row r="1300" spans="1:258" ht="31.5" x14ac:dyDescent="0.25">
      <c r="A1300" s="125">
        <f t="shared" si="134"/>
        <v>1260</v>
      </c>
      <c r="B1300" s="885"/>
      <c r="C1300" s="842" t="s">
        <v>10835</v>
      </c>
      <c r="D1300" s="924">
        <v>0</v>
      </c>
      <c r="E1300" s="924">
        <f t="shared" si="149"/>
        <v>0</v>
      </c>
      <c r="F1300" s="129">
        <v>1</v>
      </c>
      <c r="G1300" s="122" t="s">
        <v>1963</v>
      </c>
      <c r="H1300" s="885"/>
      <c r="I1300" s="885"/>
      <c r="J1300" s="885"/>
      <c r="K1300" s="885"/>
      <c r="L1300" s="885"/>
      <c r="M1300" s="885"/>
      <c r="N1300" s="885"/>
      <c r="O1300" s="885"/>
      <c r="P1300" s="885"/>
      <c r="Q1300" s="885"/>
      <c r="R1300" s="885"/>
      <c r="S1300" s="885"/>
      <c r="T1300" s="885"/>
      <c r="U1300" s="885"/>
      <c r="V1300" s="885"/>
      <c r="W1300" s="885"/>
      <c r="X1300" s="885"/>
      <c r="Y1300" s="885"/>
      <c r="Z1300" s="885"/>
      <c r="AA1300" s="885"/>
      <c r="AB1300" s="885"/>
      <c r="AC1300" s="885"/>
      <c r="AD1300" s="885"/>
      <c r="AE1300" s="885"/>
      <c r="AF1300" s="885"/>
      <c r="AG1300" s="885"/>
      <c r="AH1300" s="885"/>
      <c r="AI1300" s="885"/>
      <c r="AJ1300" s="885"/>
      <c r="AK1300" s="885"/>
      <c r="AL1300" s="885"/>
      <c r="AM1300" s="885"/>
      <c r="AN1300" s="885"/>
      <c r="AO1300" s="885"/>
      <c r="AP1300" s="885"/>
      <c r="AQ1300" s="885"/>
      <c r="AR1300" s="885"/>
      <c r="AS1300" s="885"/>
      <c r="AT1300" s="885"/>
      <c r="AU1300" s="885"/>
      <c r="AV1300" s="885"/>
      <c r="AW1300" s="885"/>
      <c r="AX1300" s="885"/>
      <c r="AY1300" s="885"/>
      <c r="AZ1300" s="885"/>
      <c r="BA1300" s="885"/>
      <c r="BB1300" s="885"/>
      <c r="BC1300" s="885"/>
      <c r="BD1300" s="885"/>
      <c r="BE1300" s="885"/>
      <c r="BF1300" s="885"/>
      <c r="BG1300" s="885"/>
      <c r="BH1300" s="885"/>
      <c r="BI1300" s="885"/>
      <c r="BJ1300" s="885"/>
      <c r="BK1300" s="885"/>
      <c r="BL1300" s="885"/>
      <c r="BM1300" s="885"/>
      <c r="BN1300" s="885"/>
      <c r="BO1300" s="885"/>
      <c r="BP1300" s="885"/>
      <c r="BQ1300" s="885"/>
      <c r="BR1300" s="885"/>
      <c r="BS1300" s="885"/>
      <c r="BT1300" s="885"/>
      <c r="BU1300" s="885"/>
      <c r="BV1300" s="885"/>
      <c r="BW1300" s="885"/>
      <c r="BX1300" s="885"/>
      <c r="BY1300" s="885"/>
      <c r="BZ1300" s="885"/>
      <c r="CA1300" s="885"/>
      <c r="CB1300" s="885"/>
      <c r="CC1300" s="885"/>
      <c r="CD1300" s="885"/>
      <c r="CE1300" s="885"/>
      <c r="CF1300" s="885"/>
      <c r="CG1300" s="885"/>
      <c r="CH1300" s="885"/>
      <c r="CI1300" s="885"/>
      <c r="CJ1300" s="885"/>
      <c r="CK1300" s="885"/>
      <c r="CL1300" s="885"/>
      <c r="CM1300" s="885"/>
      <c r="CN1300" s="885"/>
      <c r="CO1300" s="885"/>
      <c r="CP1300" s="885"/>
      <c r="CQ1300" s="885"/>
      <c r="CR1300" s="885"/>
      <c r="CS1300" s="885"/>
      <c r="CT1300" s="885"/>
      <c r="CU1300" s="885"/>
      <c r="CV1300" s="885"/>
      <c r="CW1300" s="885"/>
      <c r="CX1300" s="885"/>
      <c r="CY1300" s="885"/>
      <c r="CZ1300" s="885"/>
      <c r="DA1300" s="885"/>
      <c r="DB1300" s="885"/>
      <c r="DC1300" s="885"/>
      <c r="DD1300" s="885"/>
      <c r="DE1300" s="885"/>
      <c r="DF1300" s="885"/>
      <c r="DG1300" s="885"/>
      <c r="DH1300" s="885"/>
      <c r="DI1300" s="885"/>
      <c r="DJ1300" s="885"/>
      <c r="DK1300" s="885"/>
      <c r="DL1300" s="885"/>
      <c r="DM1300" s="885"/>
      <c r="DN1300" s="885"/>
      <c r="DO1300" s="885"/>
      <c r="DP1300" s="885"/>
      <c r="DQ1300" s="885"/>
      <c r="DR1300" s="885"/>
      <c r="DS1300" s="885"/>
      <c r="DT1300" s="885"/>
      <c r="DU1300" s="885"/>
      <c r="DV1300" s="885"/>
      <c r="DW1300" s="885"/>
      <c r="DX1300" s="885"/>
      <c r="DY1300" s="885"/>
      <c r="DZ1300" s="885"/>
      <c r="EA1300" s="885"/>
      <c r="EB1300" s="885"/>
      <c r="EC1300" s="885"/>
      <c r="ED1300" s="885"/>
      <c r="EE1300" s="885"/>
      <c r="EF1300" s="885"/>
      <c r="EG1300" s="885"/>
      <c r="EH1300" s="885"/>
      <c r="EI1300" s="885"/>
      <c r="EJ1300" s="885"/>
      <c r="EK1300" s="885"/>
      <c r="EL1300" s="885"/>
      <c r="EM1300" s="885"/>
      <c r="EN1300" s="885"/>
      <c r="EO1300" s="885"/>
      <c r="EP1300" s="885"/>
      <c r="EQ1300" s="885"/>
      <c r="ER1300" s="885"/>
      <c r="ES1300" s="885"/>
      <c r="ET1300" s="885"/>
      <c r="EU1300" s="885"/>
      <c r="EV1300" s="885"/>
      <c r="EW1300" s="885"/>
      <c r="EX1300" s="885"/>
      <c r="EY1300" s="885"/>
      <c r="EZ1300" s="885"/>
      <c r="FA1300" s="885"/>
      <c r="FB1300" s="885"/>
      <c r="FC1300" s="885"/>
      <c r="FD1300" s="885"/>
      <c r="FE1300" s="885"/>
      <c r="FF1300" s="885"/>
      <c r="FG1300" s="885"/>
      <c r="FH1300" s="885"/>
      <c r="FI1300" s="885"/>
      <c r="FJ1300" s="885"/>
      <c r="FK1300" s="885"/>
      <c r="FL1300" s="885"/>
      <c r="FM1300" s="885"/>
      <c r="FN1300" s="885"/>
      <c r="FO1300" s="885"/>
      <c r="FP1300" s="885"/>
      <c r="FQ1300" s="885"/>
      <c r="FR1300" s="885"/>
      <c r="FS1300" s="885"/>
      <c r="FT1300" s="885"/>
      <c r="FU1300" s="885"/>
      <c r="FV1300" s="885"/>
      <c r="FW1300" s="885"/>
      <c r="FX1300" s="885"/>
      <c r="FY1300" s="885"/>
      <c r="FZ1300" s="885"/>
      <c r="GA1300" s="885"/>
      <c r="GB1300" s="885"/>
      <c r="GC1300" s="885"/>
      <c r="GD1300" s="885"/>
      <c r="GE1300" s="885"/>
      <c r="GF1300" s="885"/>
      <c r="GG1300" s="885"/>
      <c r="GH1300" s="885"/>
      <c r="GI1300" s="885"/>
      <c r="GJ1300" s="885"/>
      <c r="GK1300" s="885"/>
      <c r="GL1300" s="885"/>
      <c r="GM1300" s="885"/>
      <c r="GN1300" s="885"/>
      <c r="GO1300" s="885"/>
      <c r="GP1300" s="885"/>
      <c r="GQ1300" s="885"/>
      <c r="GR1300" s="885"/>
      <c r="GS1300" s="885"/>
      <c r="GT1300" s="885"/>
      <c r="GU1300" s="885"/>
      <c r="GV1300" s="885"/>
      <c r="GW1300" s="885"/>
      <c r="GX1300" s="885"/>
      <c r="GY1300" s="885"/>
      <c r="GZ1300" s="885"/>
      <c r="HA1300" s="885"/>
      <c r="HB1300" s="885"/>
      <c r="HC1300" s="885"/>
      <c r="HD1300" s="885"/>
      <c r="HE1300" s="885"/>
      <c r="HF1300" s="885"/>
      <c r="HG1300" s="885"/>
      <c r="HH1300" s="885"/>
      <c r="HI1300" s="885"/>
      <c r="HJ1300" s="885"/>
      <c r="HK1300" s="885"/>
      <c r="HL1300" s="885"/>
      <c r="HM1300" s="885"/>
      <c r="HN1300" s="885"/>
      <c r="HO1300" s="885"/>
      <c r="HP1300" s="885"/>
      <c r="HQ1300" s="885"/>
      <c r="HR1300" s="885"/>
      <c r="HS1300" s="885"/>
      <c r="HT1300" s="885"/>
      <c r="HU1300" s="885"/>
      <c r="HV1300" s="885"/>
      <c r="HW1300" s="885"/>
      <c r="HX1300" s="885"/>
      <c r="HY1300" s="885"/>
      <c r="HZ1300" s="885"/>
      <c r="IA1300" s="885"/>
      <c r="IB1300" s="885"/>
      <c r="IC1300" s="885"/>
      <c r="ID1300" s="885"/>
      <c r="IE1300" s="885"/>
      <c r="IF1300" s="885"/>
      <c r="IG1300" s="885"/>
      <c r="IH1300" s="885"/>
      <c r="II1300" s="885"/>
      <c r="IJ1300" s="885"/>
      <c r="IK1300" s="885"/>
      <c r="IL1300" s="885"/>
      <c r="IM1300" s="885"/>
      <c r="IN1300" s="885"/>
      <c r="IO1300" s="885"/>
      <c r="IP1300" s="885"/>
      <c r="IQ1300" s="885"/>
      <c r="IR1300" s="885"/>
      <c r="IS1300" s="885"/>
      <c r="IT1300" s="885"/>
      <c r="IU1300" s="885"/>
      <c r="IV1300" s="885"/>
      <c r="IW1300" s="885"/>
      <c r="IX1300" s="885"/>
    </row>
    <row r="1301" spans="1:258" x14ac:dyDescent="0.25">
      <c r="A1301" s="125">
        <f t="shared" si="134"/>
        <v>1261</v>
      </c>
      <c r="B1301" s="885"/>
      <c r="C1301" s="927"/>
      <c r="D1301" s="928"/>
      <c r="E1301" s="928"/>
      <c r="F1301" s="129"/>
      <c r="H1301" s="885"/>
      <c r="I1301" s="885"/>
      <c r="J1301" s="885"/>
      <c r="K1301" s="885"/>
      <c r="L1301" s="885"/>
      <c r="M1301" s="885"/>
      <c r="N1301" s="885"/>
      <c r="O1301" s="885"/>
      <c r="P1301" s="885"/>
      <c r="Q1301" s="885"/>
      <c r="R1301" s="885"/>
      <c r="S1301" s="885"/>
      <c r="T1301" s="885"/>
      <c r="U1301" s="885"/>
      <c r="V1301" s="885"/>
      <c r="W1301" s="885"/>
      <c r="X1301" s="885"/>
      <c r="Y1301" s="885"/>
      <c r="Z1301" s="885"/>
      <c r="AA1301" s="885"/>
      <c r="AB1301" s="885"/>
      <c r="AC1301" s="885"/>
      <c r="AD1301" s="885"/>
      <c r="AE1301" s="885"/>
      <c r="AF1301" s="885"/>
      <c r="AG1301" s="885"/>
      <c r="AH1301" s="885"/>
      <c r="AI1301" s="885"/>
      <c r="AJ1301" s="885"/>
      <c r="AK1301" s="885"/>
      <c r="AL1301" s="885"/>
      <c r="AM1301" s="885"/>
      <c r="AN1301" s="885"/>
      <c r="AO1301" s="885"/>
      <c r="AP1301" s="885"/>
      <c r="AQ1301" s="885"/>
      <c r="AR1301" s="885"/>
      <c r="AS1301" s="885"/>
      <c r="AT1301" s="885"/>
      <c r="AU1301" s="885"/>
      <c r="AV1301" s="885"/>
      <c r="AW1301" s="885"/>
      <c r="AX1301" s="885"/>
      <c r="AY1301" s="885"/>
      <c r="AZ1301" s="885"/>
      <c r="BA1301" s="885"/>
      <c r="BB1301" s="885"/>
      <c r="BC1301" s="885"/>
      <c r="BD1301" s="885"/>
      <c r="BE1301" s="885"/>
      <c r="BF1301" s="885"/>
      <c r="BG1301" s="885"/>
      <c r="BH1301" s="885"/>
      <c r="BI1301" s="885"/>
      <c r="BJ1301" s="885"/>
      <c r="BK1301" s="885"/>
      <c r="BL1301" s="885"/>
      <c r="BM1301" s="885"/>
      <c r="BN1301" s="885"/>
      <c r="BO1301" s="885"/>
      <c r="BP1301" s="885"/>
      <c r="BQ1301" s="885"/>
      <c r="BR1301" s="885"/>
      <c r="BS1301" s="885"/>
      <c r="BT1301" s="885"/>
      <c r="BU1301" s="885"/>
      <c r="BV1301" s="885"/>
      <c r="BW1301" s="885"/>
      <c r="BX1301" s="885"/>
      <c r="BY1301" s="885"/>
      <c r="BZ1301" s="885"/>
      <c r="CA1301" s="885"/>
      <c r="CB1301" s="885"/>
      <c r="CC1301" s="885"/>
      <c r="CD1301" s="885"/>
      <c r="CE1301" s="885"/>
      <c r="CF1301" s="885"/>
      <c r="CG1301" s="885"/>
      <c r="CH1301" s="885"/>
      <c r="CI1301" s="885"/>
      <c r="CJ1301" s="885"/>
      <c r="CK1301" s="885"/>
      <c r="CL1301" s="885"/>
      <c r="CM1301" s="885"/>
      <c r="CN1301" s="885"/>
      <c r="CO1301" s="885"/>
      <c r="CP1301" s="885"/>
      <c r="CQ1301" s="885"/>
      <c r="CR1301" s="885"/>
      <c r="CS1301" s="885"/>
      <c r="CT1301" s="885"/>
      <c r="CU1301" s="885"/>
      <c r="CV1301" s="885"/>
      <c r="CW1301" s="885"/>
      <c r="CX1301" s="885"/>
      <c r="CY1301" s="885"/>
      <c r="CZ1301" s="885"/>
      <c r="DA1301" s="885"/>
      <c r="DB1301" s="885"/>
      <c r="DC1301" s="885"/>
      <c r="DD1301" s="885"/>
      <c r="DE1301" s="885"/>
      <c r="DF1301" s="885"/>
      <c r="DG1301" s="885"/>
      <c r="DH1301" s="885"/>
      <c r="DI1301" s="885"/>
      <c r="DJ1301" s="885"/>
      <c r="DK1301" s="885"/>
      <c r="DL1301" s="885"/>
      <c r="DM1301" s="885"/>
      <c r="DN1301" s="885"/>
      <c r="DO1301" s="885"/>
      <c r="DP1301" s="885"/>
      <c r="DQ1301" s="885"/>
      <c r="DR1301" s="885"/>
      <c r="DS1301" s="885"/>
      <c r="DT1301" s="885"/>
      <c r="DU1301" s="885"/>
      <c r="DV1301" s="885"/>
      <c r="DW1301" s="885"/>
      <c r="DX1301" s="885"/>
      <c r="DY1301" s="885"/>
      <c r="DZ1301" s="885"/>
      <c r="EA1301" s="885"/>
      <c r="EB1301" s="885"/>
      <c r="EC1301" s="885"/>
      <c r="ED1301" s="885"/>
      <c r="EE1301" s="885"/>
      <c r="EF1301" s="885"/>
      <c r="EG1301" s="885"/>
      <c r="EH1301" s="885"/>
      <c r="EI1301" s="885"/>
      <c r="EJ1301" s="885"/>
      <c r="EK1301" s="885"/>
      <c r="EL1301" s="885"/>
      <c r="EM1301" s="885"/>
      <c r="EN1301" s="885"/>
      <c r="EO1301" s="885"/>
      <c r="EP1301" s="885"/>
      <c r="EQ1301" s="885"/>
      <c r="ER1301" s="885"/>
      <c r="ES1301" s="885"/>
      <c r="ET1301" s="885"/>
      <c r="EU1301" s="885"/>
      <c r="EV1301" s="885"/>
      <c r="EW1301" s="885"/>
      <c r="EX1301" s="885"/>
      <c r="EY1301" s="885"/>
      <c r="EZ1301" s="885"/>
      <c r="FA1301" s="885"/>
      <c r="FB1301" s="885"/>
      <c r="FC1301" s="885"/>
      <c r="FD1301" s="885"/>
      <c r="FE1301" s="885"/>
      <c r="FF1301" s="885"/>
      <c r="FG1301" s="885"/>
      <c r="FH1301" s="885"/>
      <c r="FI1301" s="885"/>
      <c r="FJ1301" s="885"/>
      <c r="FK1301" s="885"/>
      <c r="FL1301" s="885"/>
      <c r="FM1301" s="885"/>
      <c r="FN1301" s="885"/>
      <c r="FO1301" s="885"/>
      <c r="FP1301" s="885"/>
      <c r="FQ1301" s="885"/>
      <c r="FR1301" s="885"/>
      <c r="FS1301" s="885"/>
      <c r="FT1301" s="885"/>
      <c r="FU1301" s="885"/>
      <c r="FV1301" s="885"/>
      <c r="FW1301" s="885"/>
      <c r="FX1301" s="885"/>
      <c r="FY1301" s="885"/>
      <c r="FZ1301" s="885"/>
      <c r="GA1301" s="885"/>
      <c r="GB1301" s="885"/>
      <c r="GC1301" s="885"/>
      <c r="GD1301" s="885"/>
      <c r="GE1301" s="885"/>
      <c r="GF1301" s="885"/>
      <c r="GG1301" s="885"/>
      <c r="GH1301" s="885"/>
      <c r="GI1301" s="885"/>
      <c r="GJ1301" s="885"/>
      <c r="GK1301" s="885"/>
      <c r="GL1301" s="885"/>
      <c r="GM1301" s="885"/>
      <c r="GN1301" s="885"/>
      <c r="GO1301" s="885"/>
      <c r="GP1301" s="885"/>
      <c r="GQ1301" s="885"/>
      <c r="GR1301" s="885"/>
      <c r="GS1301" s="885"/>
      <c r="GT1301" s="885"/>
      <c r="GU1301" s="885"/>
      <c r="GV1301" s="885"/>
      <c r="GW1301" s="885"/>
      <c r="GX1301" s="885"/>
      <c r="GY1301" s="885"/>
      <c r="GZ1301" s="885"/>
      <c r="HA1301" s="885"/>
      <c r="HB1301" s="885"/>
      <c r="HC1301" s="885"/>
      <c r="HD1301" s="885"/>
      <c r="HE1301" s="885"/>
      <c r="HF1301" s="885"/>
      <c r="HG1301" s="885"/>
      <c r="HH1301" s="885"/>
      <c r="HI1301" s="885"/>
      <c r="HJ1301" s="885"/>
      <c r="HK1301" s="885"/>
      <c r="HL1301" s="885"/>
      <c r="HM1301" s="885"/>
      <c r="HN1301" s="885"/>
      <c r="HO1301" s="885"/>
      <c r="HP1301" s="885"/>
      <c r="HQ1301" s="885"/>
      <c r="HR1301" s="885"/>
      <c r="HS1301" s="885"/>
      <c r="HT1301" s="885"/>
      <c r="HU1301" s="885"/>
      <c r="HV1301" s="885"/>
      <c r="HW1301" s="885"/>
      <c r="HX1301" s="885"/>
      <c r="HY1301" s="885"/>
      <c r="HZ1301" s="885"/>
      <c r="IA1301" s="885"/>
      <c r="IB1301" s="885"/>
      <c r="IC1301" s="885"/>
      <c r="ID1301" s="885"/>
      <c r="IE1301" s="885"/>
      <c r="IF1301" s="885"/>
      <c r="IG1301" s="885"/>
      <c r="IH1301" s="885"/>
      <c r="II1301" s="885"/>
      <c r="IJ1301" s="885"/>
      <c r="IK1301" s="885"/>
      <c r="IL1301" s="885"/>
      <c r="IM1301" s="885"/>
      <c r="IN1301" s="885"/>
      <c r="IO1301" s="885"/>
      <c r="IP1301" s="885"/>
      <c r="IQ1301" s="885"/>
      <c r="IR1301" s="885"/>
      <c r="IS1301" s="885"/>
      <c r="IT1301" s="885"/>
      <c r="IU1301" s="885"/>
      <c r="IV1301" s="885"/>
      <c r="IW1301" s="885"/>
      <c r="IX1301" s="885"/>
    </row>
    <row r="1302" spans="1:258" x14ac:dyDescent="0.25">
      <c r="A1302" s="125">
        <f t="shared" si="134"/>
        <v>1262</v>
      </c>
      <c r="B1302" s="885"/>
      <c r="C1302" s="793" t="s">
        <v>7911</v>
      </c>
      <c r="D1302" s="918"/>
      <c r="E1302" s="918"/>
      <c r="F1302" s="793"/>
      <c r="G1302" s="793"/>
      <c r="H1302" s="793"/>
      <c r="I1302" s="793"/>
      <c r="J1302" s="885"/>
      <c r="K1302" s="885"/>
      <c r="L1302" s="885"/>
      <c r="M1302" s="885"/>
      <c r="N1302" s="885"/>
      <c r="O1302" s="885"/>
      <c r="P1302" s="885"/>
      <c r="Q1302" s="885"/>
      <c r="R1302" s="885"/>
      <c r="S1302" s="885"/>
      <c r="T1302" s="885"/>
      <c r="U1302" s="885"/>
      <c r="V1302" s="885"/>
      <c r="W1302" s="885"/>
      <c r="X1302" s="885"/>
      <c r="Y1302" s="885"/>
      <c r="Z1302" s="885"/>
      <c r="AA1302" s="885"/>
      <c r="AB1302" s="885"/>
      <c r="AC1302" s="885"/>
      <c r="AD1302" s="885"/>
      <c r="AE1302" s="885"/>
      <c r="AF1302" s="885"/>
      <c r="AG1302" s="885"/>
      <c r="AH1302" s="885"/>
      <c r="AI1302" s="885"/>
      <c r="AJ1302" s="885"/>
      <c r="AK1302" s="885"/>
      <c r="AL1302" s="885"/>
      <c r="AM1302" s="885"/>
      <c r="AN1302" s="885"/>
      <c r="AO1302" s="885"/>
      <c r="AP1302" s="885"/>
      <c r="AQ1302" s="885"/>
      <c r="AR1302" s="885"/>
      <c r="AS1302" s="885"/>
      <c r="AT1302" s="885"/>
      <c r="AU1302" s="885"/>
      <c r="AV1302" s="885"/>
      <c r="AW1302" s="885"/>
      <c r="AX1302" s="885"/>
      <c r="AY1302" s="885"/>
      <c r="AZ1302" s="885"/>
      <c r="BA1302" s="885"/>
      <c r="BB1302" s="885"/>
      <c r="BC1302" s="885"/>
      <c r="BD1302" s="885"/>
      <c r="BE1302" s="885"/>
      <c r="BF1302" s="885"/>
      <c r="BG1302" s="885"/>
      <c r="BH1302" s="885"/>
      <c r="BI1302" s="885"/>
      <c r="BJ1302" s="885"/>
      <c r="BK1302" s="885"/>
      <c r="BL1302" s="885"/>
      <c r="BM1302" s="885"/>
      <c r="BN1302" s="885"/>
      <c r="BO1302" s="885"/>
      <c r="BP1302" s="885"/>
      <c r="BQ1302" s="885"/>
      <c r="BR1302" s="885"/>
      <c r="BS1302" s="885"/>
      <c r="BT1302" s="885"/>
      <c r="BU1302" s="885"/>
      <c r="BV1302" s="885"/>
      <c r="BW1302" s="885"/>
      <c r="BX1302" s="885"/>
      <c r="BY1302" s="885"/>
      <c r="BZ1302" s="885"/>
      <c r="CA1302" s="885"/>
      <c r="CB1302" s="885"/>
      <c r="CC1302" s="885"/>
      <c r="CD1302" s="885"/>
      <c r="CE1302" s="885"/>
      <c r="CF1302" s="885"/>
      <c r="CG1302" s="885"/>
      <c r="CH1302" s="885"/>
      <c r="CI1302" s="885"/>
      <c r="CJ1302" s="885"/>
      <c r="CK1302" s="885"/>
      <c r="CL1302" s="885"/>
      <c r="CM1302" s="885"/>
      <c r="CN1302" s="885"/>
      <c r="CO1302" s="885"/>
      <c r="CP1302" s="885"/>
      <c r="CQ1302" s="885"/>
      <c r="CR1302" s="885"/>
      <c r="CS1302" s="885"/>
      <c r="CT1302" s="885"/>
      <c r="CU1302" s="885"/>
      <c r="CV1302" s="885"/>
      <c r="CW1302" s="885"/>
      <c r="CX1302" s="885"/>
      <c r="CY1302" s="885"/>
      <c r="CZ1302" s="885"/>
      <c r="DA1302" s="885"/>
      <c r="DB1302" s="885"/>
      <c r="DC1302" s="885"/>
      <c r="DD1302" s="885"/>
      <c r="DE1302" s="885"/>
      <c r="DF1302" s="885"/>
      <c r="DG1302" s="885"/>
      <c r="DH1302" s="885"/>
      <c r="DI1302" s="885"/>
      <c r="DJ1302" s="885"/>
      <c r="DK1302" s="885"/>
      <c r="DL1302" s="885"/>
      <c r="DM1302" s="885"/>
      <c r="DN1302" s="885"/>
      <c r="DO1302" s="885"/>
      <c r="DP1302" s="885"/>
      <c r="DQ1302" s="885"/>
      <c r="DR1302" s="885"/>
      <c r="DS1302" s="885"/>
      <c r="DT1302" s="885"/>
      <c r="DU1302" s="885"/>
      <c r="DV1302" s="885"/>
      <c r="DW1302" s="885"/>
      <c r="DX1302" s="885"/>
      <c r="DY1302" s="885"/>
      <c r="DZ1302" s="885"/>
      <c r="EA1302" s="885"/>
      <c r="EB1302" s="885"/>
      <c r="EC1302" s="885"/>
      <c r="ED1302" s="885"/>
      <c r="EE1302" s="885"/>
      <c r="EF1302" s="885"/>
      <c r="EG1302" s="885"/>
      <c r="EH1302" s="885"/>
      <c r="EI1302" s="885"/>
      <c r="EJ1302" s="885"/>
      <c r="EK1302" s="885"/>
      <c r="EL1302" s="885"/>
      <c r="EM1302" s="885"/>
      <c r="EN1302" s="885"/>
      <c r="EO1302" s="885"/>
      <c r="EP1302" s="885"/>
      <c r="EQ1302" s="885"/>
      <c r="ER1302" s="885"/>
      <c r="ES1302" s="885"/>
      <c r="ET1302" s="885"/>
      <c r="EU1302" s="885"/>
      <c r="EV1302" s="885"/>
      <c r="EW1302" s="885"/>
      <c r="EX1302" s="885"/>
      <c r="EY1302" s="885"/>
      <c r="EZ1302" s="885"/>
      <c r="FA1302" s="885"/>
      <c r="FB1302" s="885"/>
      <c r="FC1302" s="885"/>
      <c r="FD1302" s="885"/>
      <c r="FE1302" s="885"/>
      <c r="FF1302" s="885"/>
      <c r="FG1302" s="885"/>
      <c r="FH1302" s="885"/>
      <c r="FI1302" s="885"/>
      <c r="FJ1302" s="885"/>
      <c r="FK1302" s="885"/>
      <c r="FL1302" s="885"/>
      <c r="FM1302" s="885"/>
      <c r="FN1302" s="885"/>
      <c r="FO1302" s="885"/>
      <c r="FP1302" s="885"/>
      <c r="FQ1302" s="885"/>
      <c r="FR1302" s="885"/>
      <c r="FS1302" s="885"/>
      <c r="FT1302" s="885"/>
      <c r="FU1302" s="885"/>
      <c r="FV1302" s="885"/>
      <c r="FW1302" s="885"/>
      <c r="FX1302" s="885"/>
      <c r="FY1302" s="885"/>
      <c r="FZ1302" s="885"/>
      <c r="GA1302" s="885"/>
      <c r="GB1302" s="885"/>
      <c r="GC1302" s="885"/>
      <c r="GD1302" s="885"/>
      <c r="GE1302" s="885"/>
      <c r="GF1302" s="885"/>
      <c r="GG1302" s="885"/>
      <c r="GH1302" s="885"/>
      <c r="GI1302" s="885"/>
      <c r="GJ1302" s="885"/>
      <c r="GK1302" s="885"/>
      <c r="GL1302" s="885"/>
      <c r="GM1302" s="885"/>
      <c r="GN1302" s="885"/>
      <c r="GO1302" s="885"/>
      <c r="GP1302" s="885"/>
      <c r="GQ1302" s="885"/>
      <c r="GR1302" s="885"/>
      <c r="GS1302" s="885"/>
      <c r="GT1302" s="885"/>
      <c r="GU1302" s="885"/>
      <c r="GV1302" s="885"/>
      <c r="GW1302" s="885"/>
      <c r="GX1302" s="885"/>
      <c r="GY1302" s="885"/>
      <c r="GZ1302" s="885"/>
      <c r="HA1302" s="885"/>
      <c r="HB1302" s="885"/>
      <c r="HC1302" s="885"/>
      <c r="HD1302" s="885"/>
      <c r="HE1302" s="885"/>
      <c r="HF1302" s="885"/>
      <c r="HG1302" s="885"/>
      <c r="HH1302" s="885"/>
      <c r="HI1302" s="885"/>
      <c r="HJ1302" s="885"/>
      <c r="HK1302" s="885"/>
      <c r="HL1302" s="885"/>
      <c r="HM1302" s="885"/>
      <c r="HN1302" s="885"/>
      <c r="HO1302" s="885"/>
      <c r="HP1302" s="885"/>
      <c r="HQ1302" s="885"/>
      <c r="HR1302" s="885"/>
      <c r="HS1302" s="885"/>
      <c r="HT1302" s="885"/>
      <c r="HU1302" s="885"/>
      <c r="HV1302" s="885"/>
      <c r="HW1302" s="885"/>
      <c r="HX1302" s="885"/>
      <c r="HY1302" s="885"/>
      <c r="HZ1302" s="885"/>
      <c r="IA1302" s="885"/>
      <c r="IB1302" s="885"/>
      <c r="IC1302" s="885"/>
      <c r="ID1302" s="885"/>
      <c r="IE1302" s="885"/>
      <c r="IF1302" s="885"/>
      <c r="IG1302" s="885"/>
      <c r="IH1302" s="885"/>
      <c r="II1302" s="885"/>
      <c r="IJ1302" s="885"/>
      <c r="IK1302" s="885"/>
      <c r="IL1302" s="885"/>
      <c r="IM1302" s="885"/>
      <c r="IN1302" s="885"/>
      <c r="IO1302" s="885"/>
      <c r="IP1302" s="885"/>
      <c r="IQ1302" s="885"/>
      <c r="IR1302" s="885"/>
      <c r="IS1302" s="885"/>
      <c r="IT1302" s="885"/>
      <c r="IU1302" s="885"/>
      <c r="IV1302" s="885"/>
      <c r="IW1302" s="885"/>
      <c r="IX1302" s="885"/>
    </row>
    <row r="1303" spans="1:258" x14ac:dyDescent="0.25">
      <c r="A1303" s="125">
        <f t="shared" si="134"/>
        <v>1263</v>
      </c>
      <c r="B1303" s="885"/>
      <c r="C1303" s="793" t="s">
        <v>8521</v>
      </c>
      <c r="D1303" s="918"/>
      <c r="E1303" s="918"/>
      <c r="F1303" s="793"/>
      <c r="G1303" s="793"/>
      <c r="H1303" s="793"/>
      <c r="I1303" s="793"/>
      <c r="J1303" s="885"/>
      <c r="K1303" s="885"/>
      <c r="L1303" s="885"/>
      <c r="M1303" s="885"/>
      <c r="N1303" s="885"/>
      <c r="O1303" s="885"/>
      <c r="P1303" s="885"/>
      <c r="Q1303" s="885"/>
      <c r="R1303" s="885"/>
      <c r="S1303" s="885"/>
      <c r="T1303" s="885"/>
      <c r="U1303" s="885"/>
      <c r="V1303" s="885"/>
      <c r="W1303" s="885"/>
      <c r="X1303" s="885"/>
      <c r="Y1303" s="885"/>
      <c r="Z1303" s="885"/>
      <c r="AA1303" s="885"/>
      <c r="AB1303" s="885"/>
      <c r="AC1303" s="885"/>
      <c r="AD1303" s="885"/>
      <c r="AE1303" s="885"/>
      <c r="AF1303" s="885"/>
      <c r="AG1303" s="885"/>
      <c r="AH1303" s="885"/>
      <c r="AI1303" s="885"/>
      <c r="AJ1303" s="885"/>
      <c r="AK1303" s="885"/>
      <c r="AL1303" s="885"/>
      <c r="AM1303" s="885"/>
      <c r="AN1303" s="885"/>
      <c r="AO1303" s="885"/>
      <c r="AP1303" s="885"/>
      <c r="AQ1303" s="885"/>
      <c r="AR1303" s="885"/>
      <c r="AS1303" s="885"/>
      <c r="AT1303" s="885"/>
      <c r="AU1303" s="885"/>
      <c r="AV1303" s="885"/>
      <c r="AW1303" s="885"/>
      <c r="AX1303" s="885"/>
      <c r="AY1303" s="885"/>
      <c r="AZ1303" s="885"/>
      <c r="BA1303" s="885"/>
      <c r="BB1303" s="885"/>
      <c r="BC1303" s="885"/>
      <c r="BD1303" s="885"/>
      <c r="BE1303" s="885"/>
      <c r="BF1303" s="885"/>
      <c r="BG1303" s="885"/>
      <c r="BH1303" s="885"/>
      <c r="BI1303" s="885"/>
      <c r="BJ1303" s="885"/>
      <c r="BK1303" s="885"/>
      <c r="BL1303" s="885"/>
      <c r="BM1303" s="885"/>
      <c r="BN1303" s="885"/>
      <c r="BO1303" s="885"/>
      <c r="BP1303" s="885"/>
      <c r="BQ1303" s="885"/>
      <c r="BR1303" s="885"/>
      <c r="BS1303" s="885"/>
      <c r="BT1303" s="885"/>
      <c r="BU1303" s="885"/>
      <c r="BV1303" s="885"/>
      <c r="BW1303" s="885"/>
      <c r="BX1303" s="885"/>
      <c r="BY1303" s="885"/>
      <c r="BZ1303" s="885"/>
      <c r="CA1303" s="885"/>
      <c r="CB1303" s="885"/>
      <c r="CC1303" s="885"/>
      <c r="CD1303" s="885"/>
      <c r="CE1303" s="885"/>
      <c r="CF1303" s="885"/>
      <c r="CG1303" s="885"/>
      <c r="CH1303" s="885"/>
      <c r="CI1303" s="885"/>
      <c r="CJ1303" s="885"/>
      <c r="CK1303" s="885"/>
      <c r="CL1303" s="885"/>
      <c r="CM1303" s="885"/>
      <c r="CN1303" s="885"/>
      <c r="CO1303" s="885"/>
      <c r="CP1303" s="885"/>
      <c r="CQ1303" s="885"/>
      <c r="CR1303" s="885"/>
      <c r="CS1303" s="885"/>
      <c r="CT1303" s="885"/>
      <c r="CU1303" s="885"/>
      <c r="CV1303" s="885"/>
      <c r="CW1303" s="885"/>
      <c r="CX1303" s="885"/>
      <c r="CY1303" s="885"/>
      <c r="CZ1303" s="885"/>
      <c r="DA1303" s="885"/>
      <c r="DB1303" s="885"/>
      <c r="DC1303" s="885"/>
      <c r="DD1303" s="885"/>
      <c r="DE1303" s="885"/>
      <c r="DF1303" s="885"/>
      <c r="DG1303" s="885"/>
      <c r="DH1303" s="885"/>
      <c r="DI1303" s="885"/>
      <c r="DJ1303" s="885"/>
      <c r="DK1303" s="885"/>
      <c r="DL1303" s="885"/>
      <c r="DM1303" s="885"/>
      <c r="DN1303" s="885"/>
      <c r="DO1303" s="885"/>
      <c r="DP1303" s="885"/>
      <c r="DQ1303" s="885"/>
      <c r="DR1303" s="885"/>
      <c r="DS1303" s="885"/>
      <c r="DT1303" s="885"/>
      <c r="DU1303" s="885"/>
      <c r="DV1303" s="885"/>
      <c r="DW1303" s="885"/>
      <c r="DX1303" s="885"/>
      <c r="DY1303" s="885"/>
      <c r="DZ1303" s="885"/>
      <c r="EA1303" s="885"/>
      <c r="EB1303" s="885"/>
      <c r="EC1303" s="885"/>
      <c r="ED1303" s="885"/>
      <c r="EE1303" s="885"/>
      <c r="EF1303" s="885"/>
      <c r="EG1303" s="885"/>
      <c r="EH1303" s="885"/>
      <c r="EI1303" s="885"/>
      <c r="EJ1303" s="885"/>
      <c r="EK1303" s="885"/>
      <c r="EL1303" s="885"/>
      <c r="EM1303" s="885"/>
      <c r="EN1303" s="885"/>
      <c r="EO1303" s="885"/>
      <c r="EP1303" s="885"/>
      <c r="EQ1303" s="885"/>
      <c r="ER1303" s="885"/>
      <c r="ES1303" s="885"/>
      <c r="ET1303" s="885"/>
      <c r="EU1303" s="885"/>
      <c r="EV1303" s="885"/>
      <c r="EW1303" s="885"/>
      <c r="EX1303" s="885"/>
      <c r="EY1303" s="885"/>
      <c r="EZ1303" s="885"/>
      <c r="FA1303" s="885"/>
      <c r="FB1303" s="885"/>
      <c r="FC1303" s="885"/>
      <c r="FD1303" s="885"/>
      <c r="FE1303" s="885"/>
      <c r="FF1303" s="885"/>
      <c r="FG1303" s="885"/>
      <c r="FH1303" s="885"/>
      <c r="FI1303" s="885"/>
      <c r="FJ1303" s="885"/>
      <c r="FK1303" s="885"/>
      <c r="FL1303" s="885"/>
      <c r="FM1303" s="885"/>
      <c r="FN1303" s="885"/>
      <c r="FO1303" s="885"/>
      <c r="FP1303" s="885"/>
      <c r="FQ1303" s="885"/>
      <c r="FR1303" s="885"/>
      <c r="FS1303" s="885"/>
      <c r="FT1303" s="885"/>
      <c r="FU1303" s="885"/>
      <c r="FV1303" s="885"/>
      <c r="FW1303" s="885"/>
      <c r="FX1303" s="885"/>
      <c r="FY1303" s="885"/>
      <c r="FZ1303" s="885"/>
      <c r="GA1303" s="885"/>
      <c r="GB1303" s="885"/>
      <c r="GC1303" s="885"/>
      <c r="GD1303" s="885"/>
      <c r="GE1303" s="885"/>
      <c r="GF1303" s="885"/>
      <c r="GG1303" s="885"/>
      <c r="GH1303" s="885"/>
      <c r="GI1303" s="885"/>
      <c r="GJ1303" s="885"/>
      <c r="GK1303" s="885"/>
      <c r="GL1303" s="885"/>
      <c r="GM1303" s="885"/>
      <c r="GN1303" s="885"/>
      <c r="GO1303" s="885"/>
      <c r="GP1303" s="885"/>
      <c r="GQ1303" s="885"/>
      <c r="GR1303" s="885"/>
      <c r="GS1303" s="885"/>
      <c r="GT1303" s="885"/>
      <c r="GU1303" s="885"/>
      <c r="GV1303" s="885"/>
      <c r="GW1303" s="885"/>
      <c r="GX1303" s="885"/>
      <c r="GY1303" s="885"/>
      <c r="GZ1303" s="885"/>
      <c r="HA1303" s="885"/>
      <c r="HB1303" s="885"/>
      <c r="HC1303" s="885"/>
      <c r="HD1303" s="885"/>
      <c r="HE1303" s="885"/>
      <c r="HF1303" s="885"/>
      <c r="HG1303" s="885"/>
      <c r="HH1303" s="885"/>
      <c r="HI1303" s="885"/>
      <c r="HJ1303" s="885"/>
      <c r="HK1303" s="885"/>
      <c r="HL1303" s="885"/>
      <c r="HM1303" s="885"/>
      <c r="HN1303" s="885"/>
      <c r="HO1303" s="885"/>
      <c r="HP1303" s="885"/>
      <c r="HQ1303" s="885"/>
      <c r="HR1303" s="885"/>
      <c r="HS1303" s="885"/>
      <c r="HT1303" s="885"/>
      <c r="HU1303" s="885"/>
      <c r="HV1303" s="885"/>
      <c r="HW1303" s="885"/>
      <c r="HX1303" s="885"/>
      <c r="HY1303" s="885"/>
      <c r="HZ1303" s="885"/>
      <c r="IA1303" s="885"/>
      <c r="IB1303" s="885"/>
      <c r="IC1303" s="885"/>
      <c r="ID1303" s="885"/>
      <c r="IE1303" s="885"/>
      <c r="IF1303" s="885"/>
      <c r="IG1303" s="885"/>
      <c r="IH1303" s="885"/>
      <c r="II1303" s="885"/>
      <c r="IJ1303" s="885"/>
      <c r="IK1303" s="885"/>
      <c r="IL1303" s="885"/>
      <c r="IM1303" s="885"/>
      <c r="IN1303" s="885"/>
      <c r="IO1303" s="885"/>
      <c r="IP1303" s="885"/>
      <c r="IQ1303" s="885"/>
      <c r="IR1303" s="885"/>
      <c r="IS1303" s="885"/>
      <c r="IT1303" s="885"/>
      <c r="IU1303" s="885"/>
      <c r="IV1303" s="885"/>
      <c r="IW1303" s="885"/>
      <c r="IX1303" s="885"/>
    </row>
    <row r="1304" spans="1:258" x14ac:dyDescent="0.25">
      <c r="A1304" s="125">
        <f t="shared" si="134"/>
        <v>1264</v>
      </c>
      <c r="B1304" s="885"/>
      <c r="C1304" s="927"/>
      <c r="D1304" s="928"/>
      <c r="E1304" s="928"/>
      <c r="F1304" s="129"/>
      <c r="H1304" s="885"/>
      <c r="I1304" s="885"/>
      <c r="J1304" s="885"/>
      <c r="K1304" s="885"/>
      <c r="L1304" s="885"/>
      <c r="M1304" s="885"/>
      <c r="N1304" s="885"/>
      <c r="O1304" s="885"/>
      <c r="P1304" s="885"/>
      <c r="Q1304" s="885"/>
      <c r="R1304" s="885"/>
      <c r="S1304" s="885"/>
      <c r="T1304" s="885"/>
      <c r="U1304" s="885"/>
      <c r="V1304" s="885"/>
      <c r="W1304" s="885"/>
      <c r="X1304" s="885"/>
      <c r="Y1304" s="885"/>
      <c r="Z1304" s="885"/>
      <c r="AA1304" s="885"/>
      <c r="AB1304" s="885"/>
      <c r="AC1304" s="885"/>
      <c r="AD1304" s="885"/>
      <c r="AE1304" s="885"/>
      <c r="AF1304" s="885"/>
      <c r="AG1304" s="885"/>
      <c r="AH1304" s="885"/>
      <c r="AI1304" s="885"/>
      <c r="AJ1304" s="885"/>
      <c r="AK1304" s="885"/>
      <c r="AL1304" s="885"/>
      <c r="AM1304" s="885"/>
      <c r="AN1304" s="885"/>
      <c r="AO1304" s="885"/>
      <c r="AP1304" s="885"/>
      <c r="AQ1304" s="885"/>
      <c r="AR1304" s="885"/>
      <c r="AS1304" s="885"/>
      <c r="AT1304" s="885"/>
      <c r="AU1304" s="885"/>
      <c r="AV1304" s="885"/>
      <c r="AW1304" s="885"/>
      <c r="AX1304" s="885"/>
      <c r="AY1304" s="885"/>
      <c r="AZ1304" s="885"/>
      <c r="BA1304" s="885"/>
      <c r="BB1304" s="885"/>
      <c r="BC1304" s="885"/>
      <c r="BD1304" s="885"/>
      <c r="BE1304" s="885"/>
      <c r="BF1304" s="885"/>
      <c r="BG1304" s="885"/>
      <c r="BH1304" s="885"/>
      <c r="BI1304" s="885"/>
      <c r="BJ1304" s="885"/>
      <c r="BK1304" s="885"/>
      <c r="BL1304" s="885"/>
      <c r="BM1304" s="885"/>
      <c r="BN1304" s="885"/>
      <c r="BO1304" s="885"/>
      <c r="BP1304" s="885"/>
      <c r="BQ1304" s="885"/>
      <c r="BR1304" s="885"/>
      <c r="BS1304" s="885"/>
      <c r="BT1304" s="885"/>
      <c r="BU1304" s="885"/>
      <c r="BV1304" s="885"/>
      <c r="BW1304" s="885"/>
      <c r="BX1304" s="885"/>
      <c r="BY1304" s="885"/>
      <c r="BZ1304" s="885"/>
      <c r="CA1304" s="885"/>
      <c r="CB1304" s="885"/>
      <c r="CC1304" s="885"/>
      <c r="CD1304" s="885"/>
      <c r="CE1304" s="885"/>
      <c r="CF1304" s="885"/>
      <c r="CG1304" s="885"/>
      <c r="CH1304" s="885"/>
      <c r="CI1304" s="885"/>
      <c r="CJ1304" s="885"/>
      <c r="CK1304" s="885"/>
      <c r="CL1304" s="885"/>
      <c r="CM1304" s="885"/>
      <c r="CN1304" s="885"/>
      <c r="CO1304" s="885"/>
      <c r="CP1304" s="885"/>
      <c r="CQ1304" s="885"/>
      <c r="CR1304" s="885"/>
      <c r="CS1304" s="885"/>
      <c r="CT1304" s="885"/>
      <c r="CU1304" s="885"/>
      <c r="CV1304" s="885"/>
      <c r="CW1304" s="885"/>
      <c r="CX1304" s="885"/>
      <c r="CY1304" s="885"/>
      <c r="CZ1304" s="885"/>
      <c r="DA1304" s="885"/>
      <c r="DB1304" s="885"/>
      <c r="DC1304" s="885"/>
      <c r="DD1304" s="885"/>
      <c r="DE1304" s="885"/>
      <c r="DF1304" s="885"/>
      <c r="DG1304" s="885"/>
      <c r="DH1304" s="885"/>
      <c r="DI1304" s="885"/>
      <c r="DJ1304" s="885"/>
      <c r="DK1304" s="885"/>
      <c r="DL1304" s="885"/>
      <c r="DM1304" s="885"/>
      <c r="DN1304" s="885"/>
      <c r="DO1304" s="885"/>
      <c r="DP1304" s="885"/>
      <c r="DQ1304" s="885"/>
      <c r="DR1304" s="885"/>
      <c r="DS1304" s="885"/>
      <c r="DT1304" s="885"/>
      <c r="DU1304" s="885"/>
      <c r="DV1304" s="885"/>
      <c r="DW1304" s="885"/>
      <c r="DX1304" s="885"/>
      <c r="DY1304" s="885"/>
      <c r="DZ1304" s="885"/>
      <c r="EA1304" s="885"/>
      <c r="EB1304" s="885"/>
      <c r="EC1304" s="885"/>
      <c r="ED1304" s="885"/>
      <c r="EE1304" s="885"/>
      <c r="EF1304" s="885"/>
      <c r="EG1304" s="885"/>
      <c r="EH1304" s="885"/>
      <c r="EI1304" s="885"/>
      <c r="EJ1304" s="885"/>
      <c r="EK1304" s="885"/>
      <c r="EL1304" s="885"/>
      <c r="EM1304" s="885"/>
      <c r="EN1304" s="885"/>
      <c r="EO1304" s="885"/>
      <c r="EP1304" s="885"/>
      <c r="EQ1304" s="885"/>
      <c r="ER1304" s="885"/>
      <c r="ES1304" s="885"/>
      <c r="ET1304" s="885"/>
      <c r="EU1304" s="885"/>
      <c r="EV1304" s="885"/>
      <c r="EW1304" s="885"/>
      <c r="EX1304" s="885"/>
      <c r="EY1304" s="885"/>
      <c r="EZ1304" s="885"/>
      <c r="FA1304" s="885"/>
      <c r="FB1304" s="885"/>
      <c r="FC1304" s="885"/>
      <c r="FD1304" s="885"/>
      <c r="FE1304" s="885"/>
      <c r="FF1304" s="885"/>
      <c r="FG1304" s="885"/>
      <c r="FH1304" s="885"/>
      <c r="FI1304" s="885"/>
      <c r="FJ1304" s="885"/>
      <c r="FK1304" s="885"/>
      <c r="FL1304" s="885"/>
      <c r="FM1304" s="885"/>
      <c r="FN1304" s="885"/>
      <c r="FO1304" s="885"/>
      <c r="FP1304" s="885"/>
      <c r="FQ1304" s="885"/>
      <c r="FR1304" s="885"/>
      <c r="FS1304" s="885"/>
      <c r="FT1304" s="885"/>
      <c r="FU1304" s="885"/>
      <c r="FV1304" s="885"/>
      <c r="FW1304" s="885"/>
      <c r="FX1304" s="885"/>
      <c r="FY1304" s="885"/>
      <c r="FZ1304" s="885"/>
      <c r="GA1304" s="885"/>
      <c r="GB1304" s="885"/>
      <c r="GC1304" s="885"/>
      <c r="GD1304" s="885"/>
      <c r="GE1304" s="885"/>
      <c r="GF1304" s="885"/>
      <c r="GG1304" s="885"/>
      <c r="GH1304" s="885"/>
      <c r="GI1304" s="885"/>
      <c r="GJ1304" s="885"/>
      <c r="GK1304" s="885"/>
      <c r="GL1304" s="885"/>
      <c r="GM1304" s="885"/>
      <c r="GN1304" s="885"/>
      <c r="GO1304" s="885"/>
      <c r="GP1304" s="885"/>
      <c r="GQ1304" s="885"/>
      <c r="GR1304" s="885"/>
      <c r="GS1304" s="885"/>
      <c r="GT1304" s="885"/>
      <c r="GU1304" s="885"/>
      <c r="GV1304" s="885"/>
      <c r="GW1304" s="885"/>
      <c r="GX1304" s="885"/>
      <c r="GY1304" s="885"/>
      <c r="GZ1304" s="885"/>
      <c r="HA1304" s="885"/>
      <c r="HB1304" s="885"/>
      <c r="HC1304" s="885"/>
      <c r="HD1304" s="885"/>
      <c r="HE1304" s="885"/>
      <c r="HF1304" s="885"/>
      <c r="HG1304" s="885"/>
      <c r="HH1304" s="885"/>
      <c r="HI1304" s="885"/>
      <c r="HJ1304" s="885"/>
      <c r="HK1304" s="885"/>
      <c r="HL1304" s="885"/>
      <c r="HM1304" s="885"/>
      <c r="HN1304" s="885"/>
      <c r="HO1304" s="885"/>
      <c r="HP1304" s="885"/>
      <c r="HQ1304" s="885"/>
      <c r="HR1304" s="885"/>
      <c r="HS1304" s="885"/>
      <c r="HT1304" s="885"/>
      <c r="HU1304" s="885"/>
      <c r="HV1304" s="885"/>
      <c r="HW1304" s="885"/>
      <c r="HX1304" s="885"/>
      <c r="HY1304" s="885"/>
      <c r="HZ1304" s="885"/>
      <c r="IA1304" s="885"/>
      <c r="IB1304" s="885"/>
      <c r="IC1304" s="885"/>
      <c r="ID1304" s="885"/>
      <c r="IE1304" s="885"/>
      <c r="IF1304" s="885"/>
      <c r="IG1304" s="885"/>
      <c r="IH1304" s="885"/>
      <c r="II1304" s="885"/>
      <c r="IJ1304" s="885"/>
      <c r="IK1304" s="885"/>
      <c r="IL1304" s="885"/>
      <c r="IM1304" s="885"/>
      <c r="IN1304" s="885"/>
      <c r="IO1304" s="885"/>
      <c r="IP1304" s="885"/>
      <c r="IQ1304" s="885"/>
      <c r="IR1304" s="885"/>
      <c r="IS1304" s="885"/>
      <c r="IT1304" s="885"/>
      <c r="IU1304" s="885"/>
      <c r="IV1304" s="885"/>
      <c r="IW1304" s="885"/>
      <c r="IX1304" s="885"/>
    </row>
    <row r="1305" spans="1:258" x14ac:dyDescent="0.25">
      <c r="A1305" s="125">
        <f t="shared" si="134"/>
        <v>1265</v>
      </c>
      <c r="B1305" s="885"/>
      <c r="C1305" s="927" t="s">
        <v>10005</v>
      </c>
      <c r="D1305" s="928"/>
      <c r="E1305" s="928"/>
      <c r="F1305" s="129"/>
      <c r="H1305" s="885"/>
      <c r="I1305" s="885"/>
      <c r="J1305" s="885"/>
      <c r="K1305" s="885"/>
      <c r="L1305" s="885"/>
      <c r="M1305" s="885"/>
      <c r="N1305" s="885"/>
      <c r="O1305" s="885"/>
      <c r="P1305" s="885"/>
      <c r="Q1305" s="885"/>
      <c r="R1305" s="885"/>
      <c r="S1305" s="885"/>
      <c r="T1305" s="885"/>
      <c r="U1305" s="885"/>
      <c r="V1305" s="885"/>
      <c r="W1305" s="885"/>
      <c r="X1305" s="885"/>
      <c r="Y1305" s="885"/>
      <c r="Z1305" s="885"/>
      <c r="AA1305" s="885"/>
      <c r="AB1305" s="885"/>
      <c r="AC1305" s="885"/>
      <c r="AD1305" s="885"/>
      <c r="AE1305" s="885"/>
      <c r="AF1305" s="885"/>
      <c r="AG1305" s="885"/>
      <c r="AH1305" s="885"/>
      <c r="AI1305" s="885"/>
      <c r="AJ1305" s="885"/>
      <c r="AK1305" s="885"/>
      <c r="AL1305" s="885"/>
      <c r="AM1305" s="885"/>
      <c r="AN1305" s="885"/>
      <c r="AO1305" s="885"/>
      <c r="AP1305" s="885"/>
      <c r="AQ1305" s="885"/>
      <c r="AR1305" s="885"/>
      <c r="AS1305" s="885"/>
      <c r="AT1305" s="885"/>
      <c r="AU1305" s="885"/>
      <c r="AV1305" s="885"/>
      <c r="AW1305" s="885"/>
      <c r="AX1305" s="885"/>
      <c r="AY1305" s="885"/>
      <c r="AZ1305" s="885"/>
      <c r="BA1305" s="885"/>
      <c r="BB1305" s="885"/>
      <c r="BC1305" s="885"/>
      <c r="BD1305" s="885"/>
      <c r="BE1305" s="885"/>
      <c r="BF1305" s="885"/>
      <c r="BG1305" s="885"/>
      <c r="BH1305" s="885"/>
      <c r="BI1305" s="885"/>
      <c r="BJ1305" s="885"/>
      <c r="BK1305" s="885"/>
      <c r="BL1305" s="885"/>
      <c r="BM1305" s="885"/>
      <c r="BN1305" s="885"/>
      <c r="BO1305" s="885"/>
      <c r="BP1305" s="885"/>
      <c r="BQ1305" s="885"/>
      <c r="BR1305" s="885"/>
      <c r="BS1305" s="885"/>
      <c r="BT1305" s="885"/>
      <c r="BU1305" s="885"/>
      <c r="BV1305" s="885"/>
      <c r="BW1305" s="885"/>
      <c r="BX1305" s="885"/>
      <c r="BY1305" s="885"/>
      <c r="BZ1305" s="885"/>
      <c r="CA1305" s="885"/>
      <c r="CB1305" s="885"/>
      <c r="CC1305" s="885"/>
      <c r="CD1305" s="885"/>
      <c r="CE1305" s="885"/>
      <c r="CF1305" s="885"/>
      <c r="CG1305" s="885"/>
      <c r="CH1305" s="885"/>
      <c r="CI1305" s="885"/>
      <c r="CJ1305" s="885"/>
      <c r="CK1305" s="885"/>
      <c r="CL1305" s="885"/>
      <c r="CM1305" s="885"/>
      <c r="CN1305" s="885"/>
      <c r="CO1305" s="885"/>
      <c r="CP1305" s="885"/>
      <c r="CQ1305" s="885"/>
      <c r="CR1305" s="885"/>
      <c r="CS1305" s="885"/>
      <c r="CT1305" s="885"/>
      <c r="CU1305" s="885"/>
      <c r="CV1305" s="885"/>
      <c r="CW1305" s="885"/>
      <c r="CX1305" s="885"/>
      <c r="CY1305" s="885"/>
      <c r="CZ1305" s="885"/>
      <c r="DA1305" s="885"/>
      <c r="DB1305" s="885"/>
      <c r="DC1305" s="885"/>
      <c r="DD1305" s="885"/>
      <c r="DE1305" s="885"/>
      <c r="DF1305" s="885"/>
      <c r="DG1305" s="885"/>
      <c r="DH1305" s="885"/>
      <c r="DI1305" s="885"/>
      <c r="DJ1305" s="885"/>
      <c r="DK1305" s="885"/>
      <c r="DL1305" s="885"/>
      <c r="DM1305" s="885"/>
      <c r="DN1305" s="885"/>
      <c r="DO1305" s="885"/>
      <c r="DP1305" s="885"/>
      <c r="DQ1305" s="885"/>
      <c r="DR1305" s="885"/>
      <c r="DS1305" s="885"/>
      <c r="DT1305" s="885"/>
      <c r="DU1305" s="885"/>
      <c r="DV1305" s="885"/>
      <c r="DW1305" s="885"/>
      <c r="DX1305" s="885"/>
      <c r="DY1305" s="885"/>
      <c r="DZ1305" s="885"/>
      <c r="EA1305" s="885"/>
      <c r="EB1305" s="885"/>
      <c r="EC1305" s="885"/>
      <c r="ED1305" s="885"/>
      <c r="EE1305" s="885"/>
      <c r="EF1305" s="885"/>
      <c r="EG1305" s="885"/>
      <c r="EH1305" s="885"/>
      <c r="EI1305" s="885"/>
      <c r="EJ1305" s="885"/>
      <c r="EK1305" s="885"/>
      <c r="EL1305" s="885"/>
      <c r="EM1305" s="885"/>
      <c r="EN1305" s="885"/>
      <c r="EO1305" s="885"/>
      <c r="EP1305" s="885"/>
      <c r="EQ1305" s="885"/>
      <c r="ER1305" s="885"/>
      <c r="ES1305" s="885"/>
      <c r="ET1305" s="885"/>
      <c r="EU1305" s="885"/>
      <c r="EV1305" s="885"/>
      <c r="EW1305" s="885"/>
      <c r="EX1305" s="885"/>
      <c r="EY1305" s="885"/>
      <c r="EZ1305" s="885"/>
      <c r="FA1305" s="885"/>
      <c r="FB1305" s="885"/>
      <c r="FC1305" s="885"/>
      <c r="FD1305" s="885"/>
      <c r="FE1305" s="885"/>
      <c r="FF1305" s="885"/>
      <c r="FG1305" s="885"/>
      <c r="FH1305" s="885"/>
      <c r="FI1305" s="885"/>
      <c r="FJ1305" s="885"/>
      <c r="FK1305" s="885"/>
      <c r="FL1305" s="885"/>
      <c r="FM1305" s="885"/>
      <c r="FN1305" s="885"/>
      <c r="FO1305" s="885"/>
      <c r="FP1305" s="885"/>
      <c r="FQ1305" s="885"/>
      <c r="FR1305" s="885"/>
      <c r="FS1305" s="885"/>
      <c r="FT1305" s="885"/>
      <c r="FU1305" s="885"/>
      <c r="FV1305" s="885"/>
      <c r="FW1305" s="885"/>
      <c r="FX1305" s="885"/>
      <c r="FY1305" s="885"/>
      <c r="FZ1305" s="885"/>
      <c r="GA1305" s="885"/>
      <c r="GB1305" s="885"/>
      <c r="GC1305" s="885"/>
      <c r="GD1305" s="885"/>
      <c r="GE1305" s="885"/>
      <c r="GF1305" s="885"/>
      <c r="GG1305" s="885"/>
      <c r="GH1305" s="885"/>
      <c r="GI1305" s="885"/>
      <c r="GJ1305" s="885"/>
      <c r="GK1305" s="885"/>
      <c r="GL1305" s="885"/>
      <c r="GM1305" s="885"/>
      <c r="GN1305" s="885"/>
      <c r="GO1305" s="885"/>
      <c r="GP1305" s="885"/>
      <c r="GQ1305" s="885"/>
      <c r="GR1305" s="885"/>
      <c r="GS1305" s="885"/>
      <c r="GT1305" s="885"/>
      <c r="GU1305" s="885"/>
      <c r="GV1305" s="885"/>
      <c r="GW1305" s="885"/>
      <c r="GX1305" s="885"/>
      <c r="GY1305" s="885"/>
      <c r="GZ1305" s="885"/>
      <c r="HA1305" s="885"/>
      <c r="HB1305" s="885"/>
      <c r="HC1305" s="885"/>
      <c r="HD1305" s="885"/>
      <c r="HE1305" s="885"/>
      <c r="HF1305" s="885"/>
      <c r="HG1305" s="885"/>
      <c r="HH1305" s="885"/>
      <c r="HI1305" s="885"/>
      <c r="HJ1305" s="885"/>
      <c r="HK1305" s="885"/>
      <c r="HL1305" s="885"/>
      <c r="HM1305" s="885"/>
      <c r="HN1305" s="885"/>
      <c r="HO1305" s="885"/>
      <c r="HP1305" s="885"/>
      <c r="HQ1305" s="885"/>
      <c r="HR1305" s="885"/>
      <c r="HS1305" s="885"/>
      <c r="HT1305" s="885"/>
      <c r="HU1305" s="885"/>
      <c r="HV1305" s="885"/>
      <c r="HW1305" s="885"/>
      <c r="HX1305" s="885"/>
      <c r="HY1305" s="885"/>
      <c r="HZ1305" s="885"/>
      <c r="IA1305" s="885"/>
      <c r="IB1305" s="885"/>
      <c r="IC1305" s="885"/>
      <c r="ID1305" s="885"/>
      <c r="IE1305" s="885"/>
      <c r="IF1305" s="885"/>
      <c r="IG1305" s="885"/>
      <c r="IH1305" s="885"/>
      <c r="II1305" s="885"/>
      <c r="IJ1305" s="885"/>
      <c r="IK1305" s="885"/>
      <c r="IL1305" s="885"/>
      <c r="IM1305" s="885"/>
      <c r="IN1305" s="885"/>
      <c r="IO1305" s="885"/>
      <c r="IP1305" s="885"/>
      <c r="IQ1305" s="885"/>
      <c r="IR1305" s="885"/>
      <c r="IS1305" s="885"/>
      <c r="IT1305" s="885"/>
      <c r="IU1305" s="885"/>
      <c r="IV1305" s="885"/>
      <c r="IW1305" s="885"/>
      <c r="IX1305" s="885"/>
    </row>
    <row r="1306" spans="1:258" x14ac:dyDescent="0.25">
      <c r="A1306" s="125">
        <f t="shared" si="134"/>
        <v>1266</v>
      </c>
      <c r="B1306" s="954"/>
      <c r="C1306" s="842" t="s">
        <v>11532</v>
      </c>
      <c r="D1306" s="924">
        <v>0</v>
      </c>
      <c r="E1306" s="924">
        <f t="shared" ref="E1306" si="150">D1306/8*12</f>
        <v>0</v>
      </c>
      <c r="F1306" s="129"/>
      <c r="H1306" s="954"/>
      <c r="I1306" s="954"/>
      <c r="J1306" s="954"/>
      <c r="K1306" s="954"/>
      <c r="L1306" s="954"/>
      <c r="M1306" s="954"/>
      <c r="N1306" s="954"/>
      <c r="O1306" s="954"/>
      <c r="P1306" s="954"/>
      <c r="Q1306" s="954"/>
      <c r="R1306" s="954"/>
      <c r="S1306" s="954"/>
      <c r="T1306" s="954"/>
      <c r="U1306" s="954"/>
      <c r="V1306" s="954"/>
      <c r="W1306" s="954"/>
      <c r="X1306" s="954"/>
      <c r="Y1306" s="954"/>
      <c r="Z1306" s="954"/>
      <c r="AA1306" s="954"/>
      <c r="AB1306" s="954"/>
      <c r="AC1306" s="954"/>
      <c r="AD1306" s="954"/>
      <c r="AE1306" s="954"/>
      <c r="AF1306" s="954"/>
      <c r="AG1306" s="954"/>
      <c r="AH1306" s="954"/>
      <c r="AI1306" s="954"/>
      <c r="AJ1306" s="954"/>
      <c r="AK1306" s="954"/>
      <c r="AL1306" s="954"/>
      <c r="AM1306" s="954"/>
      <c r="AN1306" s="954"/>
      <c r="AO1306" s="954"/>
      <c r="AP1306" s="954"/>
      <c r="AQ1306" s="954"/>
      <c r="AR1306" s="954"/>
      <c r="AS1306" s="954"/>
      <c r="AT1306" s="954"/>
      <c r="AU1306" s="954"/>
      <c r="AV1306" s="954"/>
      <c r="AW1306" s="954"/>
      <c r="AX1306" s="954"/>
      <c r="AY1306" s="954"/>
      <c r="AZ1306" s="954"/>
      <c r="BA1306" s="954"/>
      <c r="BB1306" s="954"/>
      <c r="BC1306" s="954"/>
      <c r="BD1306" s="954"/>
      <c r="BE1306" s="954"/>
      <c r="BF1306" s="954"/>
      <c r="BG1306" s="954"/>
      <c r="BH1306" s="954"/>
      <c r="BI1306" s="954"/>
      <c r="BJ1306" s="954"/>
      <c r="BK1306" s="954"/>
      <c r="BL1306" s="954"/>
      <c r="BM1306" s="954"/>
      <c r="BN1306" s="954"/>
      <c r="BO1306" s="954"/>
      <c r="BP1306" s="954"/>
      <c r="BQ1306" s="954"/>
      <c r="BR1306" s="954"/>
      <c r="BS1306" s="954"/>
      <c r="BT1306" s="954"/>
      <c r="BU1306" s="954"/>
      <c r="BV1306" s="954"/>
      <c r="BW1306" s="954"/>
      <c r="BX1306" s="954"/>
      <c r="BY1306" s="954"/>
      <c r="BZ1306" s="954"/>
      <c r="CA1306" s="954"/>
      <c r="CB1306" s="954"/>
      <c r="CC1306" s="954"/>
      <c r="CD1306" s="954"/>
      <c r="CE1306" s="954"/>
      <c r="CF1306" s="954"/>
      <c r="CG1306" s="954"/>
      <c r="CH1306" s="954"/>
      <c r="CI1306" s="954"/>
      <c r="CJ1306" s="954"/>
      <c r="CK1306" s="954"/>
      <c r="CL1306" s="954"/>
      <c r="CM1306" s="954"/>
      <c r="CN1306" s="954"/>
      <c r="CO1306" s="954"/>
      <c r="CP1306" s="954"/>
      <c r="CQ1306" s="954"/>
      <c r="CR1306" s="954"/>
      <c r="CS1306" s="954"/>
      <c r="CT1306" s="954"/>
      <c r="CU1306" s="954"/>
      <c r="CV1306" s="954"/>
      <c r="CW1306" s="954"/>
      <c r="CX1306" s="954"/>
      <c r="CY1306" s="954"/>
      <c r="CZ1306" s="954"/>
      <c r="DA1306" s="954"/>
      <c r="DB1306" s="954"/>
      <c r="DC1306" s="954"/>
      <c r="DD1306" s="954"/>
      <c r="DE1306" s="954"/>
      <c r="DF1306" s="954"/>
      <c r="DG1306" s="954"/>
      <c r="DH1306" s="954"/>
      <c r="DI1306" s="954"/>
      <c r="DJ1306" s="954"/>
      <c r="DK1306" s="954"/>
      <c r="DL1306" s="954"/>
      <c r="DM1306" s="954"/>
      <c r="DN1306" s="954"/>
      <c r="DO1306" s="954"/>
      <c r="DP1306" s="954"/>
      <c r="DQ1306" s="954"/>
      <c r="DR1306" s="954"/>
      <c r="DS1306" s="954"/>
      <c r="DT1306" s="954"/>
      <c r="DU1306" s="954"/>
      <c r="DV1306" s="954"/>
      <c r="DW1306" s="954"/>
      <c r="DX1306" s="954"/>
      <c r="DY1306" s="954"/>
      <c r="DZ1306" s="954"/>
      <c r="EA1306" s="954"/>
      <c r="EB1306" s="954"/>
      <c r="EC1306" s="954"/>
      <c r="ED1306" s="954"/>
      <c r="EE1306" s="954"/>
      <c r="EF1306" s="954"/>
      <c r="EG1306" s="954"/>
      <c r="EH1306" s="954"/>
      <c r="EI1306" s="954"/>
      <c r="EJ1306" s="954"/>
      <c r="EK1306" s="954"/>
      <c r="EL1306" s="954"/>
      <c r="EM1306" s="954"/>
      <c r="EN1306" s="954"/>
      <c r="EO1306" s="954"/>
      <c r="EP1306" s="954"/>
      <c r="EQ1306" s="954"/>
      <c r="ER1306" s="954"/>
      <c r="ES1306" s="954"/>
      <c r="ET1306" s="954"/>
      <c r="EU1306" s="954"/>
      <c r="EV1306" s="954"/>
      <c r="EW1306" s="954"/>
      <c r="EX1306" s="954"/>
      <c r="EY1306" s="954"/>
      <c r="EZ1306" s="954"/>
      <c r="FA1306" s="954"/>
      <c r="FB1306" s="954"/>
      <c r="FC1306" s="954"/>
      <c r="FD1306" s="954"/>
      <c r="FE1306" s="954"/>
      <c r="FF1306" s="954"/>
      <c r="FG1306" s="954"/>
      <c r="FH1306" s="954"/>
      <c r="FI1306" s="954"/>
      <c r="FJ1306" s="954"/>
      <c r="FK1306" s="954"/>
      <c r="FL1306" s="954"/>
      <c r="FM1306" s="954"/>
      <c r="FN1306" s="954"/>
      <c r="FO1306" s="954"/>
      <c r="FP1306" s="954"/>
      <c r="FQ1306" s="954"/>
      <c r="FR1306" s="954"/>
      <c r="FS1306" s="954"/>
      <c r="FT1306" s="954"/>
      <c r="FU1306" s="954"/>
      <c r="FV1306" s="954"/>
      <c r="FW1306" s="954"/>
      <c r="FX1306" s="954"/>
      <c r="FY1306" s="954"/>
      <c r="FZ1306" s="954"/>
      <c r="GA1306" s="954"/>
      <c r="GB1306" s="954"/>
      <c r="GC1306" s="954"/>
      <c r="GD1306" s="954"/>
      <c r="GE1306" s="954"/>
      <c r="GF1306" s="954"/>
      <c r="GG1306" s="954"/>
      <c r="GH1306" s="954"/>
      <c r="GI1306" s="954"/>
      <c r="GJ1306" s="954"/>
      <c r="GK1306" s="954"/>
      <c r="GL1306" s="954"/>
      <c r="GM1306" s="954"/>
      <c r="GN1306" s="954"/>
      <c r="GO1306" s="954"/>
      <c r="GP1306" s="954"/>
      <c r="GQ1306" s="954"/>
      <c r="GR1306" s="954"/>
      <c r="GS1306" s="954"/>
      <c r="GT1306" s="954"/>
      <c r="GU1306" s="954"/>
      <c r="GV1306" s="954"/>
      <c r="GW1306" s="954"/>
      <c r="GX1306" s="954"/>
      <c r="GY1306" s="954"/>
      <c r="GZ1306" s="954"/>
      <c r="HA1306" s="954"/>
      <c r="HB1306" s="954"/>
      <c r="HC1306" s="954"/>
      <c r="HD1306" s="954"/>
      <c r="HE1306" s="954"/>
      <c r="HF1306" s="954"/>
      <c r="HG1306" s="954"/>
      <c r="HH1306" s="954"/>
      <c r="HI1306" s="954"/>
      <c r="HJ1306" s="954"/>
      <c r="HK1306" s="954"/>
      <c r="HL1306" s="954"/>
      <c r="HM1306" s="954"/>
      <c r="HN1306" s="954"/>
      <c r="HO1306" s="954"/>
      <c r="HP1306" s="954"/>
      <c r="HQ1306" s="954"/>
      <c r="HR1306" s="954"/>
      <c r="HS1306" s="954"/>
      <c r="HT1306" s="954"/>
      <c r="HU1306" s="954"/>
      <c r="HV1306" s="954"/>
      <c r="HW1306" s="954"/>
      <c r="HX1306" s="954"/>
      <c r="HY1306" s="954"/>
      <c r="HZ1306" s="954"/>
      <c r="IA1306" s="954"/>
      <c r="IB1306" s="954"/>
      <c r="IC1306" s="954"/>
      <c r="ID1306" s="954"/>
      <c r="IE1306" s="954"/>
      <c r="IF1306" s="954"/>
      <c r="IG1306" s="954"/>
      <c r="IH1306" s="954"/>
      <c r="II1306" s="954"/>
      <c r="IJ1306" s="954"/>
      <c r="IK1306" s="954"/>
      <c r="IL1306" s="954"/>
      <c r="IM1306" s="954"/>
      <c r="IN1306" s="954"/>
      <c r="IO1306" s="954"/>
      <c r="IP1306" s="954"/>
      <c r="IQ1306" s="954"/>
      <c r="IR1306" s="954"/>
      <c r="IS1306" s="954"/>
      <c r="IT1306" s="954"/>
      <c r="IU1306" s="954"/>
      <c r="IV1306" s="954"/>
      <c r="IW1306" s="954"/>
      <c r="IX1306" s="954"/>
    </row>
    <row r="1307" spans="1:258" ht="31.5" x14ac:dyDescent="0.25">
      <c r="A1307" s="125">
        <f t="shared" si="134"/>
        <v>1267</v>
      </c>
      <c r="B1307" s="885"/>
      <c r="C1307" s="931" t="s">
        <v>10836</v>
      </c>
      <c r="D1307" s="924">
        <v>0</v>
      </c>
      <c r="E1307" s="924">
        <f t="shared" ref="E1307:E1311" si="151">D1307/8*12</f>
        <v>0</v>
      </c>
      <c r="F1307" s="978">
        <f>F1309*F$83</f>
        <v>160</v>
      </c>
      <c r="G1307" s="122" t="s">
        <v>1963</v>
      </c>
      <c r="H1307" s="885"/>
      <c r="I1307" s="885"/>
      <c r="J1307" s="885"/>
      <c r="K1307" s="885"/>
      <c r="L1307" s="885"/>
      <c r="M1307" s="885"/>
      <c r="N1307" s="885"/>
      <c r="O1307" s="885"/>
      <c r="P1307" s="885"/>
      <c r="Q1307" s="885"/>
      <c r="R1307" s="885"/>
      <c r="S1307" s="885"/>
      <c r="T1307" s="885"/>
      <c r="U1307" s="885"/>
      <c r="V1307" s="885"/>
      <c r="W1307" s="885"/>
      <c r="X1307" s="885"/>
      <c r="Y1307" s="885"/>
      <c r="Z1307" s="885"/>
      <c r="AA1307" s="885"/>
      <c r="AB1307" s="885"/>
      <c r="AC1307" s="885"/>
      <c r="AD1307" s="885"/>
      <c r="AE1307" s="885"/>
      <c r="AF1307" s="885"/>
      <c r="AG1307" s="885"/>
      <c r="AH1307" s="885"/>
      <c r="AI1307" s="885"/>
      <c r="AJ1307" s="885"/>
      <c r="AK1307" s="885"/>
      <c r="AL1307" s="885"/>
      <c r="AM1307" s="885"/>
      <c r="AN1307" s="885"/>
      <c r="AO1307" s="885"/>
      <c r="AP1307" s="885"/>
      <c r="AQ1307" s="885"/>
      <c r="AR1307" s="885"/>
      <c r="AS1307" s="885"/>
      <c r="AT1307" s="885"/>
      <c r="AU1307" s="885"/>
      <c r="AV1307" s="885"/>
      <c r="AW1307" s="885"/>
      <c r="AX1307" s="885"/>
      <c r="AY1307" s="885"/>
      <c r="AZ1307" s="885"/>
      <c r="BA1307" s="885"/>
      <c r="BB1307" s="885"/>
      <c r="BC1307" s="885"/>
      <c r="BD1307" s="885"/>
      <c r="BE1307" s="885"/>
      <c r="BF1307" s="885"/>
      <c r="BG1307" s="885"/>
      <c r="BH1307" s="885"/>
      <c r="BI1307" s="885"/>
      <c r="BJ1307" s="885"/>
      <c r="BK1307" s="885"/>
      <c r="BL1307" s="885"/>
      <c r="BM1307" s="885"/>
      <c r="BN1307" s="885"/>
      <c r="BO1307" s="885"/>
      <c r="BP1307" s="885"/>
      <c r="BQ1307" s="885"/>
      <c r="BR1307" s="885"/>
      <c r="BS1307" s="885"/>
      <c r="BT1307" s="885"/>
      <c r="BU1307" s="885"/>
      <c r="BV1307" s="885"/>
      <c r="BW1307" s="885"/>
      <c r="BX1307" s="885"/>
      <c r="BY1307" s="885"/>
      <c r="BZ1307" s="885"/>
      <c r="CA1307" s="885"/>
      <c r="CB1307" s="885"/>
      <c r="CC1307" s="885"/>
      <c r="CD1307" s="885"/>
      <c r="CE1307" s="885"/>
      <c r="CF1307" s="885"/>
      <c r="CG1307" s="885"/>
      <c r="CH1307" s="885"/>
      <c r="CI1307" s="885"/>
      <c r="CJ1307" s="885"/>
      <c r="CK1307" s="885"/>
      <c r="CL1307" s="885"/>
      <c r="CM1307" s="885"/>
      <c r="CN1307" s="885"/>
      <c r="CO1307" s="885"/>
      <c r="CP1307" s="885"/>
      <c r="CQ1307" s="885"/>
      <c r="CR1307" s="885"/>
      <c r="CS1307" s="885"/>
      <c r="CT1307" s="885"/>
      <c r="CU1307" s="885"/>
      <c r="CV1307" s="885"/>
      <c r="CW1307" s="885"/>
      <c r="CX1307" s="885"/>
      <c r="CY1307" s="885"/>
      <c r="CZ1307" s="885"/>
      <c r="DA1307" s="885"/>
      <c r="DB1307" s="885"/>
      <c r="DC1307" s="885"/>
      <c r="DD1307" s="885"/>
      <c r="DE1307" s="885"/>
      <c r="DF1307" s="885"/>
      <c r="DG1307" s="885"/>
      <c r="DH1307" s="885"/>
      <c r="DI1307" s="885"/>
      <c r="DJ1307" s="885"/>
      <c r="DK1307" s="885"/>
      <c r="DL1307" s="885"/>
      <c r="DM1307" s="885"/>
      <c r="DN1307" s="885"/>
      <c r="DO1307" s="885"/>
      <c r="DP1307" s="885"/>
      <c r="DQ1307" s="885"/>
      <c r="DR1307" s="885"/>
      <c r="DS1307" s="885"/>
      <c r="DT1307" s="885"/>
      <c r="DU1307" s="885"/>
      <c r="DV1307" s="885"/>
      <c r="DW1307" s="885"/>
      <c r="DX1307" s="885"/>
      <c r="DY1307" s="885"/>
      <c r="DZ1307" s="885"/>
      <c r="EA1307" s="885"/>
      <c r="EB1307" s="885"/>
      <c r="EC1307" s="885"/>
      <c r="ED1307" s="885"/>
      <c r="EE1307" s="885"/>
      <c r="EF1307" s="885"/>
      <c r="EG1307" s="885"/>
      <c r="EH1307" s="885"/>
      <c r="EI1307" s="885"/>
      <c r="EJ1307" s="885"/>
      <c r="EK1307" s="885"/>
      <c r="EL1307" s="885"/>
      <c r="EM1307" s="885"/>
      <c r="EN1307" s="885"/>
      <c r="EO1307" s="885"/>
      <c r="EP1307" s="885"/>
      <c r="EQ1307" s="885"/>
      <c r="ER1307" s="885"/>
      <c r="ES1307" s="885"/>
      <c r="ET1307" s="885"/>
      <c r="EU1307" s="885"/>
      <c r="EV1307" s="885"/>
      <c r="EW1307" s="885"/>
      <c r="EX1307" s="885"/>
      <c r="EY1307" s="885"/>
      <c r="EZ1307" s="885"/>
      <c r="FA1307" s="885"/>
      <c r="FB1307" s="885"/>
      <c r="FC1307" s="885"/>
      <c r="FD1307" s="885"/>
      <c r="FE1307" s="885"/>
      <c r="FF1307" s="885"/>
      <c r="FG1307" s="885"/>
      <c r="FH1307" s="885"/>
      <c r="FI1307" s="885"/>
      <c r="FJ1307" s="885"/>
      <c r="FK1307" s="885"/>
      <c r="FL1307" s="885"/>
      <c r="FM1307" s="885"/>
      <c r="FN1307" s="885"/>
      <c r="FO1307" s="885"/>
      <c r="FP1307" s="885"/>
      <c r="FQ1307" s="885"/>
      <c r="FR1307" s="885"/>
      <c r="FS1307" s="885"/>
      <c r="FT1307" s="885"/>
      <c r="FU1307" s="885"/>
      <c r="FV1307" s="885"/>
      <c r="FW1307" s="885"/>
      <c r="FX1307" s="885"/>
      <c r="FY1307" s="885"/>
      <c r="FZ1307" s="885"/>
      <c r="GA1307" s="885"/>
      <c r="GB1307" s="885"/>
      <c r="GC1307" s="885"/>
      <c r="GD1307" s="885"/>
      <c r="GE1307" s="885"/>
      <c r="GF1307" s="885"/>
      <c r="GG1307" s="885"/>
      <c r="GH1307" s="885"/>
      <c r="GI1307" s="885"/>
      <c r="GJ1307" s="885"/>
      <c r="GK1307" s="885"/>
      <c r="GL1307" s="885"/>
      <c r="GM1307" s="885"/>
      <c r="GN1307" s="885"/>
      <c r="GO1307" s="885"/>
      <c r="GP1307" s="885"/>
      <c r="GQ1307" s="885"/>
      <c r="GR1307" s="885"/>
      <c r="GS1307" s="885"/>
      <c r="GT1307" s="885"/>
      <c r="GU1307" s="885"/>
      <c r="GV1307" s="885"/>
      <c r="GW1307" s="885"/>
      <c r="GX1307" s="885"/>
      <c r="GY1307" s="885"/>
      <c r="GZ1307" s="885"/>
      <c r="HA1307" s="885"/>
      <c r="HB1307" s="885"/>
      <c r="HC1307" s="885"/>
      <c r="HD1307" s="885"/>
      <c r="HE1307" s="885"/>
      <c r="HF1307" s="885"/>
      <c r="HG1307" s="885"/>
      <c r="HH1307" s="885"/>
      <c r="HI1307" s="885"/>
      <c r="HJ1307" s="885"/>
      <c r="HK1307" s="885"/>
      <c r="HL1307" s="885"/>
      <c r="HM1307" s="885"/>
      <c r="HN1307" s="885"/>
      <c r="HO1307" s="885"/>
      <c r="HP1307" s="885"/>
      <c r="HQ1307" s="885"/>
      <c r="HR1307" s="885"/>
      <c r="HS1307" s="885"/>
      <c r="HT1307" s="885"/>
      <c r="HU1307" s="885"/>
      <c r="HV1307" s="885"/>
      <c r="HW1307" s="885"/>
      <c r="HX1307" s="885"/>
      <c r="HY1307" s="885"/>
      <c r="HZ1307" s="885"/>
      <c r="IA1307" s="885"/>
      <c r="IB1307" s="885"/>
      <c r="IC1307" s="885"/>
      <c r="ID1307" s="885"/>
      <c r="IE1307" s="885"/>
      <c r="IF1307" s="885"/>
      <c r="IG1307" s="885"/>
      <c r="IH1307" s="885"/>
      <c r="II1307" s="885"/>
      <c r="IJ1307" s="885"/>
      <c r="IK1307" s="885"/>
      <c r="IL1307" s="885"/>
      <c r="IM1307" s="885"/>
      <c r="IN1307" s="885"/>
      <c r="IO1307" s="885"/>
      <c r="IP1307" s="885"/>
      <c r="IQ1307" s="885"/>
      <c r="IR1307" s="885"/>
      <c r="IS1307" s="885"/>
      <c r="IT1307" s="885"/>
      <c r="IU1307" s="885"/>
      <c r="IV1307" s="885"/>
      <c r="IW1307" s="885"/>
      <c r="IX1307" s="885"/>
    </row>
    <row r="1308" spans="1:258" ht="31.5" x14ac:dyDescent="0.25">
      <c r="A1308" s="125">
        <f t="shared" si="134"/>
        <v>1268</v>
      </c>
      <c r="B1308" s="885"/>
      <c r="C1308" s="842" t="s">
        <v>10837</v>
      </c>
      <c r="D1308" s="924">
        <v>0</v>
      </c>
      <c r="E1308" s="924">
        <f t="shared" si="151"/>
        <v>0</v>
      </c>
      <c r="F1308" s="129">
        <v>500</v>
      </c>
      <c r="G1308" s="122" t="s">
        <v>1963</v>
      </c>
      <c r="H1308" s="885"/>
      <c r="I1308" s="885"/>
      <c r="J1308" s="885"/>
      <c r="K1308" s="885"/>
      <c r="L1308" s="885"/>
      <c r="M1308" s="885"/>
      <c r="N1308" s="885"/>
      <c r="O1308" s="885"/>
      <c r="P1308" s="885"/>
      <c r="Q1308" s="885"/>
      <c r="R1308" s="885"/>
      <c r="S1308" s="885"/>
      <c r="T1308" s="885"/>
      <c r="U1308" s="885"/>
      <c r="V1308" s="885"/>
      <c r="W1308" s="885"/>
      <c r="X1308" s="885"/>
      <c r="Y1308" s="885"/>
      <c r="Z1308" s="885"/>
      <c r="AA1308" s="885"/>
      <c r="AB1308" s="885"/>
      <c r="AC1308" s="885"/>
      <c r="AD1308" s="885"/>
      <c r="AE1308" s="885"/>
      <c r="AF1308" s="885"/>
      <c r="AG1308" s="885"/>
      <c r="AH1308" s="885"/>
      <c r="AI1308" s="885"/>
      <c r="AJ1308" s="885"/>
      <c r="AK1308" s="885"/>
      <c r="AL1308" s="885"/>
      <c r="AM1308" s="885"/>
      <c r="AN1308" s="885"/>
      <c r="AO1308" s="885"/>
      <c r="AP1308" s="885"/>
      <c r="AQ1308" s="885"/>
      <c r="AR1308" s="885"/>
      <c r="AS1308" s="885"/>
      <c r="AT1308" s="885"/>
      <c r="AU1308" s="885"/>
      <c r="AV1308" s="885"/>
      <c r="AW1308" s="885"/>
      <c r="AX1308" s="885"/>
      <c r="AY1308" s="885"/>
      <c r="AZ1308" s="885"/>
      <c r="BA1308" s="885"/>
      <c r="BB1308" s="885"/>
      <c r="BC1308" s="885"/>
      <c r="BD1308" s="885"/>
      <c r="BE1308" s="885"/>
      <c r="BF1308" s="885"/>
      <c r="BG1308" s="885"/>
      <c r="BH1308" s="885"/>
      <c r="BI1308" s="885"/>
      <c r="BJ1308" s="885"/>
      <c r="BK1308" s="885"/>
      <c r="BL1308" s="885"/>
      <c r="BM1308" s="885"/>
      <c r="BN1308" s="885"/>
      <c r="BO1308" s="885"/>
      <c r="BP1308" s="885"/>
      <c r="BQ1308" s="885"/>
      <c r="BR1308" s="885"/>
      <c r="BS1308" s="885"/>
      <c r="BT1308" s="885"/>
      <c r="BU1308" s="885"/>
      <c r="BV1308" s="885"/>
      <c r="BW1308" s="885"/>
      <c r="BX1308" s="885"/>
      <c r="BY1308" s="885"/>
      <c r="BZ1308" s="885"/>
      <c r="CA1308" s="885"/>
      <c r="CB1308" s="885"/>
      <c r="CC1308" s="885"/>
      <c r="CD1308" s="885"/>
      <c r="CE1308" s="885"/>
      <c r="CF1308" s="885"/>
      <c r="CG1308" s="885"/>
      <c r="CH1308" s="885"/>
      <c r="CI1308" s="885"/>
      <c r="CJ1308" s="885"/>
      <c r="CK1308" s="885"/>
      <c r="CL1308" s="885"/>
      <c r="CM1308" s="885"/>
      <c r="CN1308" s="885"/>
      <c r="CO1308" s="885"/>
      <c r="CP1308" s="885"/>
      <c r="CQ1308" s="885"/>
      <c r="CR1308" s="885"/>
      <c r="CS1308" s="885"/>
      <c r="CT1308" s="885"/>
      <c r="CU1308" s="885"/>
      <c r="CV1308" s="885"/>
      <c r="CW1308" s="885"/>
      <c r="CX1308" s="885"/>
      <c r="CY1308" s="885"/>
      <c r="CZ1308" s="885"/>
      <c r="DA1308" s="885"/>
      <c r="DB1308" s="885"/>
      <c r="DC1308" s="885"/>
      <c r="DD1308" s="885"/>
      <c r="DE1308" s="885"/>
      <c r="DF1308" s="885"/>
      <c r="DG1308" s="885"/>
      <c r="DH1308" s="885"/>
      <c r="DI1308" s="885"/>
      <c r="DJ1308" s="885"/>
      <c r="DK1308" s="885"/>
      <c r="DL1308" s="885"/>
      <c r="DM1308" s="885"/>
      <c r="DN1308" s="885"/>
      <c r="DO1308" s="885"/>
      <c r="DP1308" s="885"/>
      <c r="DQ1308" s="885"/>
      <c r="DR1308" s="885"/>
      <c r="DS1308" s="885"/>
      <c r="DT1308" s="885"/>
      <c r="DU1308" s="885"/>
      <c r="DV1308" s="885"/>
      <c r="DW1308" s="885"/>
      <c r="DX1308" s="885"/>
      <c r="DY1308" s="885"/>
      <c r="DZ1308" s="885"/>
      <c r="EA1308" s="885"/>
      <c r="EB1308" s="885"/>
      <c r="EC1308" s="885"/>
      <c r="ED1308" s="885"/>
      <c r="EE1308" s="885"/>
      <c r="EF1308" s="885"/>
      <c r="EG1308" s="885"/>
      <c r="EH1308" s="885"/>
      <c r="EI1308" s="885"/>
      <c r="EJ1308" s="885"/>
      <c r="EK1308" s="885"/>
      <c r="EL1308" s="885"/>
      <c r="EM1308" s="885"/>
      <c r="EN1308" s="885"/>
      <c r="EO1308" s="885"/>
      <c r="EP1308" s="885"/>
      <c r="EQ1308" s="885"/>
      <c r="ER1308" s="885"/>
      <c r="ES1308" s="885"/>
      <c r="ET1308" s="885"/>
      <c r="EU1308" s="885"/>
      <c r="EV1308" s="885"/>
      <c r="EW1308" s="885"/>
      <c r="EX1308" s="885"/>
      <c r="EY1308" s="885"/>
      <c r="EZ1308" s="885"/>
      <c r="FA1308" s="885"/>
      <c r="FB1308" s="885"/>
      <c r="FC1308" s="885"/>
      <c r="FD1308" s="885"/>
      <c r="FE1308" s="885"/>
      <c r="FF1308" s="885"/>
      <c r="FG1308" s="885"/>
      <c r="FH1308" s="885"/>
      <c r="FI1308" s="885"/>
      <c r="FJ1308" s="885"/>
      <c r="FK1308" s="885"/>
      <c r="FL1308" s="885"/>
      <c r="FM1308" s="885"/>
      <c r="FN1308" s="885"/>
      <c r="FO1308" s="885"/>
      <c r="FP1308" s="885"/>
      <c r="FQ1308" s="885"/>
      <c r="FR1308" s="885"/>
      <c r="FS1308" s="885"/>
      <c r="FT1308" s="885"/>
      <c r="FU1308" s="885"/>
      <c r="FV1308" s="885"/>
      <c r="FW1308" s="885"/>
      <c r="FX1308" s="885"/>
      <c r="FY1308" s="885"/>
      <c r="FZ1308" s="885"/>
      <c r="GA1308" s="885"/>
      <c r="GB1308" s="885"/>
      <c r="GC1308" s="885"/>
      <c r="GD1308" s="885"/>
      <c r="GE1308" s="885"/>
      <c r="GF1308" s="885"/>
      <c r="GG1308" s="885"/>
      <c r="GH1308" s="885"/>
      <c r="GI1308" s="885"/>
      <c r="GJ1308" s="885"/>
      <c r="GK1308" s="885"/>
      <c r="GL1308" s="885"/>
      <c r="GM1308" s="885"/>
      <c r="GN1308" s="885"/>
      <c r="GO1308" s="885"/>
      <c r="GP1308" s="885"/>
      <c r="GQ1308" s="885"/>
      <c r="GR1308" s="885"/>
      <c r="GS1308" s="885"/>
      <c r="GT1308" s="885"/>
      <c r="GU1308" s="885"/>
      <c r="GV1308" s="885"/>
      <c r="GW1308" s="885"/>
      <c r="GX1308" s="885"/>
      <c r="GY1308" s="885"/>
      <c r="GZ1308" s="885"/>
      <c r="HA1308" s="885"/>
      <c r="HB1308" s="885"/>
      <c r="HC1308" s="885"/>
      <c r="HD1308" s="885"/>
      <c r="HE1308" s="885"/>
      <c r="HF1308" s="885"/>
      <c r="HG1308" s="885"/>
      <c r="HH1308" s="885"/>
      <c r="HI1308" s="885"/>
      <c r="HJ1308" s="885"/>
      <c r="HK1308" s="885"/>
      <c r="HL1308" s="885"/>
      <c r="HM1308" s="885"/>
      <c r="HN1308" s="885"/>
      <c r="HO1308" s="885"/>
      <c r="HP1308" s="885"/>
      <c r="HQ1308" s="885"/>
      <c r="HR1308" s="885"/>
      <c r="HS1308" s="885"/>
      <c r="HT1308" s="885"/>
      <c r="HU1308" s="885"/>
      <c r="HV1308" s="885"/>
      <c r="HW1308" s="885"/>
      <c r="HX1308" s="885"/>
      <c r="HY1308" s="885"/>
      <c r="HZ1308" s="885"/>
      <c r="IA1308" s="885"/>
      <c r="IB1308" s="885"/>
      <c r="IC1308" s="885"/>
      <c r="ID1308" s="885"/>
      <c r="IE1308" s="885"/>
      <c r="IF1308" s="885"/>
      <c r="IG1308" s="885"/>
      <c r="IH1308" s="885"/>
      <c r="II1308" s="885"/>
      <c r="IJ1308" s="885"/>
      <c r="IK1308" s="885"/>
      <c r="IL1308" s="885"/>
      <c r="IM1308" s="885"/>
      <c r="IN1308" s="885"/>
      <c r="IO1308" s="885"/>
      <c r="IP1308" s="885"/>
      <c r="IQ1308" s="885"/>
      <c r="IR1308" s="885"/>
      <c r="IS1308" s="885"/>
      <c r="IT1308" s="885"/>
      <c r="IU1308" s="885"/>
      <c r="IV1308" s="885"/>
      <c r="IW1308" s="885"/>
      <c r="IX1308" s="885"/>
    </row>
    <row r="1309" spans="1:258" ht="31.5" x14ac:dyDescent="0.25">
      <c r="A1309" s="125">
        <f t="shared" si="134"/>
        <v>1269</v>
      </c>
      <c r="B1309" s="885"/>
      <c r="C1309" s="842" t="s">
        <v>10838</v>
      </c>
      <c r="D1309" s="924">
        <v>0</v>
      </c>
      <c r="E1309" s="924">
        <f t="shared" si="151"/>
        <v>0</v>
      </c>
      <c r="F1309" s="129">
        <v>800</v>
      </c>
      <c r="G1309" s="122" t="s">
        <v>1963</v>
      </c>
      <c r="H1309" s="885"/>
      <c r="I1309" s="885"/>
      <c r="J1309" s="885"/>
      <c r="K1309" s="885"/>
      <c r="L1309" s="885"/>
      <c r="M1309" s="885"/>
      <c r="N1309" s="885"/>
      <c r="O1309" s="885"/>
      <c r="P1309" s="885"/>
      <c r="Q1309" s="885"/>
      <c r="R1309" s="885"/>
      <c r="S1309" s="885"/>
      <c r="T1309" s="885"/>
      <c r="U1309" s="885"/>
      <c r="V1309" s="885"/>
      <c r="W1309" s="885"/>
      <c r="X1309" s="885"/>
      <c r="Y1309" s="885"/>
      <c r="Z1309" s="885"/>
      <c r="AA1309" s="885"/>
      <c r="AB1309" s="885"/>
      <c r="AC1309" s="885"/>
      <c r="AD1309" s="885"/>
      <c r="AE1309" s="885"/>
      <c r="AF1309" s="885"/>
      <c r="AG1309" s="885"/>
      <c r="AH1309" s="885"/>
      <c r="AI1309" s="885"/>
      <c r="AJ1309" s="885"/>
      <c r="AK1309" s="885"/>
      <c r="AL1309" s="885"/>
      <c r="AM1309" s="885"/>
      <c r="AN1309" s="885"/>
      <c r="AO1309" s="885"/>
      <c r="AP1309" s="885"/>
      <c r="AQ1309" s="885"/>
      <c r="AR1309" s="885"/>
      <c r="AS1309" s="885"/>
      <c r="AT1309" s="885"/>
      <c r="AU1309" s="885"/>
      <c r="AV1309" s="885"/>
      <c r="AW1309" s="885"/>
      <c r="AX1309" s="885"/>
      <c r="AY1309" s="885"/>
      <c r="AZ1309" s="885"/>
      <c r="BA1309" s="885"/>
      <c r="BB1309" s="885"/>
      <c r="BC1309" s="885"/>
      <c r="BD1309" s="885"/>
      <c r="BE1309" s="885"/>
      <c r="BF1309" s="885"/>
      <c r="BG1309" s="885"/>
      <c r="BH1309" s="885"/>
      <c r="BI1309" s="885"/>
      <c r="BJ1309" s="885"/>
      <c r="BK1309" s="885"/>
      <c r="BL1309" s="885"/>
      <c r="BM1309" s="885"/>
      <c r="BN1309" s="885"/>
      <c r="BO1309" s="885"/>
      <c r="BP1309" s="885"/>
      <c r="BQ1309" s="885"/>
      <c r="BR1309" s="885"/>
      <c r="BS1309" s="885"/>
      <c r="BT1309" s="885"/>
      <c r="BU1309" s="885"/>
      <c r="BV1309" s="885"/>
      <c r="BW1309" s="885"/>
      <c r="BX1309" s="885"/>
      <c r="BY1309" s="885"/>
      <c r="BZ1309" s="885"/>
      <c r="CA1309" s="885"/>
      <c r="CB1309" s="885"/>
      <c r="CC1309" s="885"/>
      <c r="CD1309" s="885"/>
      <c r="CE1309" s="885"/>
      <c r="CF1309" s="885"/>
      <c r="CG1309" s="885"/>
      <c r="CH1309" s="885"/>
      <c r="CI1309" s="885"/>
      <c r="CJ1309" s="885"/>
      <c r="CK1309" s="885"/>
      <c r="CL1309" s="885"/>
      <c r="CM1309" s="885"/>
      <c r="CN1309" s="885"/>
      <c r="CO1309" s="885"/>
      <c r="CP1309" s="885"/>
      <c r="CQ1309" s="885"/>
      <c r="CR1309" s="885"/>
      <c r="CS1309" s="885"/>
      <c r="CT1309" s="885"/>
      <c r="CU1309" s="885"/>
      <c r="CV1309" s="885"/>
      <c r="CW1309" s="885"/>
      <c r="CX1309" s="885"/>
      <c r="CY1309" s="885"/>
      <c r="CZ1309" s="885"/>
      <c r="DA1309" s="885"/>
      <c r="DB1309" s="885"/>
      <c r="DC1309" s="885"/>
      <c r="DD1309" s="885"/>
      <c r="DE1309" s="885"/>
      <c r="DF1309" s="885"/>
      <c r="DG1309" s="885"/>
      <c r="DH1309" s="885"/>
      <c r="DI1309" s="885"/>
      <c r="DJ1309" s="885"/>
      <c r="DK1309" s="885"/>
      <c r="DL1309" s="885"/>
      <c r="DM1309" s="885"/>
      <c r="DN1309" s="885"/>
      <c r="DO1309" s="885"/>
      <c r="DP1309" s="885"/>
      <c r="DQ1309" s="885"/>
      <c r="DR1309" s="885"/>
      <c r="DS1309" s="885"/>
      <c r="DT1309" s="885"/>
      <c r="DU1309" s="885"/>
      <c r="DV1309" s="885"/>
      <c r="DW1309" s="885"/>
      <c r="DX1309" s="885"/>
      <c r="DY1309" s="885"/>
      <c r="DZ1309" s="885"/>
      <c r="EA1309" s="885"/>
      <c r="EB1309" s="885"/>
      <c r="EC1309" s="885"/>
      <c r="ED1309" s="885"/>
      <c r="EE1309" s="885"/>
      <c r="EF1309" s="885"/>
      <c r="EG1309" s="885"/>
      <c r="EH1309" s="885"/>
      <c r="EI1309" s="885"/>
      <c r="EJ1309" s="885"/>
      <c r="EK1309" s="885"/>
      <c r="EL1309" s="885"/>
      <c r="EM1309" s="885"/>
      <c r="EN1309" s="885"/>
      <c r="EO1309" s="885"/>
      <c r="EP1309" s="885"/>
      <c r="EQ1309" s="885"/>
      <c r="ER1309" s="885"/>
      <c r="ES1309" s="885"/>
      <c r="ET1309" s="885"/>
      <c r="EU1309" s="885"/>
      <c r="EV1309" s="885"/>
      <c r="EW1309" s="885"/>
      <c r="EX1309" s="885"/>
      <c r="EY1309" s="885"/>
      <c r="EZ1309" s="885"/>
      <c r="FA1309" s="885"/>
      <c r="FB1309" s="885"/>
      <c r="FC1309" s="885"/>
      <c r="FD1309" s="885"/>
      <c r="FE1309" s="885"/>
      <c r="FF1309" s="885"/>
      <c r="FG1309" s="885"/>
      <c r="FH1309" s="885"/>
      <c r="FI1309" s="885"/>
      <c r="FJ1309" s="885"/>
      <c r="FK1309" s="885"/>
      <c r="FL1309" s="885"/>
      <c r="FM1309" s="885"/>
      <c r="FN1309" s="885"/>
      <c r="FO1309" s="885"/>
      <c r="FP1309" s="885"/>
      <c r="FQ1309" s="885"/>
      <c r="FR1309" s="885"/>
      <c r="FS1309" s="885"/>
      <c r="FT1309" s="885"/>
      <c r="FU1309" s="885"/>
      <c r="FV1309" s="885"/>
      <c r="FW1309" s="885"/>
      <c r="FX1309" s="885"/>
      <c r="FY1309" s="885"/>
      <c r="FZ1309" s="885"/>
      <c r="GA1309" s="885"/>
      <c r="GB1309" s="885"/>
      <c r="GC1309" s="885"/>
      <c r="GD1309" s="885"/>
      <c r="GE1309" s="885"/>
      <c r="GF1309" s="885"/>
      <c r="GG1309" s="885"/>
      <c r="GH1309" s="885"/>
      <c r="GI1309" s="885"/>
      <c r="GJ1309" s="885"/>
      <c r="GK1309" s="885"/>
      <c r="GL1309" s="885"/>
      <c r="GM1309" s="885"/>
      <c r="GN1309" s="885"/>
      <c r="GO1309" s="885"/>
      <c r="GP1309" s="885"/>
      <c r="GQ1309" s="885"/>
      <c r="GR1309" s="885"/>
      <c r="GS1309" s="885"/>
      <c r="GT1309" s="885"/>
      <c r="GU1309" s="885"/>
      <c r="GV1309" s="885"/>
      <c r="GW1309" s="885"/>
      <c r="GX1309" s="885"/>
      <c r="GY1309" s="885"/>
      <c r="GZ1309" s="885"/>
      <c r="HA1309" s="885"/>
      <c r="HB1309" s="885"/>
      <c r="HC1309" s="885"/>
      <c r="HD1309" s="885"/>
      <c r="HE1309" s="885"/>
      <c r="HF1309" s="885"/>
      <c r="HG1309" s="885"/>
      <c r="HH1309" s="885"/>
      <c r="HI1309" s="885"/>
      <c r="HJ1309" s="885"/>
      <c r="HK1309" s="885"/>
      <c r="HL1309" s="885"/>
      <c r="HM1309" s="885"/>
      <c r="HN1309" s="885"/>
      <c r="HO1309" s="885"/>
      <c r="HP1309" s="885"/>
      <c r="HQ1309" s="885"/>
      <c r="HR1309" s="885"/>
      <c r="HS1309" s="885"/>
      <c r="HT1309" s="885"/>
      <c r="HU1309" s="885"/>
      <c r="HV1309" s="885"/>
      <c r="HW1309" s="885"/>
      <c r="HX1309" s="885"/>
      <c r="HY1309" s="885"/>
      <c r="HZ1309" s="885"/>
      <c r="IA1309" s="885"/>
      <c r="IB1309" s="885"/>
      <c r="IC1309" s="885"/>
      <c r="ID1309" s="885"/>
      <c r="IE1309" s="885"/>
      <c r="IF1309" s="885"/>
      <c r="IG1309" s="885"/>
      <c r="IH1309" s="885"/>
      <c r="II1309" s="885"/>
      <c r="IJ1309" s="885"/>
      <c r="IK1309" s="885"/>
      <c r="IL1309" s="885"/>
      <c r="IM1309" s="885"/>
      <c r="IN1309" s="885"/>
      <c r="IO1309" s="885"/>
      <c r="IP1309" s="885"/>
      <c r="IQ1309" s="885"/>
      <c r="IR1309" s="885"/>
      <c r="IS1309" s="885"/>
      <c r="IT1309" s="885"/>
      <c r="IU1309" s="885"/>
      <c r="IV1309" s="885"/>
      <c r="IW1309" s="885"/>
      <c r="IX1309" s="885"/>
    </row>
    <row r="1310" spans="1:258" ht="31.5" x14ac:dyDescent="0.25">
      <c r="A1310" s="125">
        <f t="shared" ref="A1310:A1373" si="152">A1309+1</f>
        <v>1270</v>
      </c>
      <c r="B1310" s="885"/>
      <c r="C1310" s="842" t="s">
        <v>10839</v>
      </c>
      <c r="D1310" s="924">
        <v>0</v>
      </c>
      <c r="E1310" s="924">
        <f t="shared" si="151"/>
        <v>0</v>
      </c>
      <c r="F1310" s="129">
        <v>1000</v>
      </c>
      <c r="G1310" s="122" t="s">
        <v>1963</v>
      </c>
      <c r="H1310" s="885"/>
      <c r="I1310" s="885"/>
      <c r="J1310" s="885"/>
      <c r="K1310" s="885"/>
      <c r="L1310" s="885"/>
      <c r="M1310" s="885"/>
      <c r="N1310" s="885"/>
      <c r="O1310" s="885"/>
      <c r="P1310" s="885"/>
      <c r="Q1310" s="885"/>
      <c r="R1310" s="885"/>
      <c r="S1310" s="885"/>
      <c r="T1310" s="885"/>
      <c r="U1310" s="885"/>
      <c r="V1310" s="885"/>
      <c r="W1310" s="885"/>
      <c r="X1310" s="885"/>
      <c r="Y1310" s="885"/>
      <c r="Z1310" s="885"/>
      <c r="AA1310" s="885"/>
      <c r="AB1310" s="885"/>
      <c r="AC1310" s="885"/>
      <c r="AD1310" s="885"/>
      <c r="AE1310" s="885"/>
      <c r="AF1310" s="885"/>
      <c r="AG1310" s="885"/>
      <c r="AH1310" s="885"/>
      <c r="AI1310" s="885"/>
      <c r="AJ1310" s="885"/>
      <c r="AK1310" s="885"/>
      <c r="AL1310" s="885"/>
      <c r="AM1310" s="885"/>
      <c r="AN1310" s="885"/>
      <c r="AO1310" s="885"/>
      <c r="AP1310" s="885"/>
      <c r="AQ1310" s="885"/>
      <c r="AR1310" s="885"/>
      <c r="AS1310" s="885"/>
      <c r="AT1310" s="885"/>
      <c r="AU1310" s="885"/>
      <c r="AV1310" s="885"/>
      <c r="AW1310" s="885"/>
      <c r="AX1310" s="885"/>
      <c r="AY1310" s="885"/>
      <c r="AZ1310" s="885"/>
      <c r="BA1310" s="885"/>
      <c r="BB1310" s="885"/>
      <c r="BC1310" s="885"/>
      <c r="BD1310" s="885"/>
      <c r="BE1310" s="885"/>
      <c r="BF1310" s="885"/>
      <c r="BG1310" s="885"/>
      <c r="BH1310" s="885"/>
      <c r="BI1310" s="885"/>
      <c r="BJ1310" s="885"/>
      <c r="BK1310" s="885"/>
      <c r="BL1310" s="885"/>
      <c r="BM1310" s="885"/>
      <c r="BN1310" s="885"/>
      <c r="BO1310" s="885"/>
      <c r="BP1310" s="885"/>
      <c r="BQ1310" s="885"/>
      <c r="BR1310" s="885"/>
      <c r="BS1310" s="885"/>
      <c r="BT1310" s="885"/>
      <c r="BU1310" s="885"/>
      <c r="BV1310" s="885"/>
      <c r="BW1310" s="885"/>
      <c r="BX1310" s="885"/>
      <c r="BY1310" s="885"/>
      <c r="BZ1310" s="885"/>
      <c r="CA1310" s="885"/>
      <c r="CB1310" s="885"/>
      <c r="CC1310" s="885"/>
      <c r="CD1310" s="885"/>
      <c r="CE1310" s="885"/>
      <c r="CF1310" s="885"/>
      <c r="CG1310" s="885"/>
      <c r="CH1310" s="885"/>
      <c r="CI1310" s="885"/>
      <c r="CJ1310" s="885"/>
      <c r="CK1310" s="885"/>
      <c r="CL1310" s="885"/>
      <c r="CM1310" s="885"/>
      <c r="CN1310" s="885"/>
      <c r="CO1310" s="885"/>
      <c r="CP1310" s="885"/>
      <c r="CQ1310" s="885"/>
      <c r="CR1310" s="885"/>
      <c r="CS1310" s="885"/>
      <c r="CT1310" s="885"/>
      <c r="CU1310" s="885"/>
      <c r="CV1310" s="885"/>
      <c r="CW1310" s="885"/>
      <c r="CX1310" s="885"/>
      <c r="CY1310" s="885"/>
      <c r="CZ1310" s="885"/>
      <c r="DA1310" s="885"/>
      <c r="DB1310" s="885"/>
      <c r="DC1310" s="885"/>
      <c r="DD1310" s="885"/>
      <c r="DE1310" s="885"/>
      <c r="DF1310" s="885"/>
      <c r="DG1310" s="885"/>
      <c r="DH1310" s="885"/>
      <c r="DI1310" s="885"/>
      <c r="DJ1310" s="885"/>
      <c r="DK1310" s="885"/>
      <c r="DL1310" s="885"/>
      <c r="DM1310" s="885"/>
      <c r="DN1310" s="885"/>
      <c r="DO1310" s="885"/>
      <c r="DP1310" s="885"/>
      <c r="DQ1310" s="885"/>
      <c r="DR1310" s="885"/>
      <c r="DS1310" s="885"/>
      <c r="DT1310" s="885"/>
      <c r="DU1310" s="885"/>
      <c r="DV1310" s="885"/>
      <c r="DW1310" s="885"/>
      <c r="DX1310" s="885"/>
      <c r="DY1310" s="885"/>
      <c r="DZ1310" s="885"/>
      <c r="EA1310" s="885"/>
      <c r="EB1310" s="885"/>
      <c r="EC1310" s="885"/>
      <c r="ED1310" s="885"/>
      <c r="EE1310" s="885"/>
      <c r="EF1310" s="885"/>
      <c r="EG1310" s="885"/>
      <c r="EH1310" s="885"/>
      <c r="EI1310" s="885"/>
      <c r="EJ1310" s="885"/>
      <c r="EK1310" s="885"/>
      <c r="EL1310" s="885"/>
      <c r="EM1310" s="885"/>
      <c r="EN1310" s="885"/>
      <c r="EO1310" s="885"/>
      <c r="EP1310" s="885"/>
      <c r="EQ1310" s="885"/>
      <c r="ER1310" s="885"/>
      <c r="ES1310" s="885"/>
      <c r="ET1310" s="885"/>
      <c r="EU1310" s="885"/>
      <c r="EV1310" s="885"/>
      <c r="EW1310" s="885"/>
      <c r="EX1310" s="885"/>
      <c r="EY1310" s="885"/>
      <c r="EZ1310" s="885"/>
      <c r="FA1310" s="885"/>
      <c r="FB1310" s="885"/>
      <c r="FC1310" s="885"/>
      <c r="FD1310" s="885"/>
      <c r="FE1310" s="885"/>
      <c r="FF1310" s="885"/>
      <c r="FG1310" s="885"/>
      <c r="FH1310" s="885"/>
      <c r="FI1310" s="885"/>
      <c r="FJ1310" s="885"/>
      <c r="FK1310" s="885"/>
      <c r="FL1310" s="885"/>
      <c r="FM1310" s="885"/>
      <c r="FN1310" s="885"/>
      <c r="FO1310" s="885"/>
      <c r="FP1310" s="885"/>
      <c r="FQ1310" s="885"/>
      <c r="FR1310" s="885"/>
      <c r="FS1310" s="885"/>
      <c r="FT1310" s="885"/>
      <c r="FU1310" s="885"/>
      <c r="FV1310" s="885"/>
      <c r="FW1310" s="885"/>
      <c r="FX1310" s="885"/>
      <c r="FY1310" s="885"/>
      <c r="FZ1310" s="885"/>
      <c r="GA1310" s="885"/>
      <c r="GB1310" s="885"/>
      <c r="GC1310" s="885"/>
      <c r="GD1310" s="885"/>
      <c r="GE1310" s="885"/>
      <c r="GF1310" s="885"/>
      <c r="GG1310" s="885"/>
      <c r="GH1310" s="885"/>
      <c r="GI1310" s="885"/>
      <c r="GJ1310" s="885"/>
      <c r="GK1310" s="885"/>
      <c r="GL1310" s="885"/>
      <c r="GM1310" s="885"/>
      <c r="GN1310" s="885"/>
      <c r="GO1310" s="885"/>
      <c r="GP1310" s="885"/>
      <c r="GQ1310" s="885"/>
      <c r="GR1310" s="885"/>
      <c r="GS1310" s="885"/>
      <c r="GT1310" s="885"/>
      <c r="GU1310" s="885"/>
      <c r="GV1310" s="885"/>
      <c r="GW1310" s="885"/>
      <c r="GX1310" s="885"/>
      <c r="GY1310" s="885"/>
      <c r="GZ1310" s="885"/>
      <c r="HA1310" s="885"/>
      <c r="HB1310" s="885"/>
      <c r="HC1310" s="885"/>
      <c r="HD1310" s="885"/>
      <c r="HE1310" s="885"/>
      <c r="HF1310" s="885"/>
      <c r="HG1310" s="885"/>
      <c r="HH1310" s="885"/>
      <c r="HI1310" s="885"/>
      <c r="HJ1310" s="885"/>
      <c r="HK1310" s="885"/>
      <c r="HL1310" s="885"/>
      <c r="HM1310" s="885"/>
      <c r="HN1310" s="885"/>
      <c r="HO1310" s="885"/>
      <c r="HP1310" s="885"/>
      <c r="HQ1310" s="885"/>
      <c r="HR1310" s="885"/>
      <c r="HS1310" s="885"/>
      <c r="HT1310" s="885"/>
      <c r="HU1310" s="885"/>
      <c r="HV1310" s="885"/>
      <c r="HW1310" s="885"/>
      <c r="HX1310" s="885"/>
      <c r="HY1310" s="885"/>
      <c r="HZ1310" s="885"/>
      <c r="IA1310" s="885"/>
      <c r="IB1310" s="885"/>
      <c r="IC1310" s="885"/>
      <c r="ID1310" s="885"/>
      <c r="IE1310" s="885"/>
      <c r="IF1310" s="885"/>
      <c r="IG1310" s="885"/>
      <c r="IH1310" s="885"/>
      <c r="II1310" s="885"/>
      <c r="IJ1310" s="885"/>
      <c r="IK1310" s="885"/>
      <c r="IL1310" s="885"/>
      <c r="IM1310" s="885"/>
      <c r="IN1310" s="885"/>
      <c r="IO1310" s="885"/>
      <c r="IP1310" s="885"/>
      <c r="IQ1310" s="885"/>
      <c r="IR1310" s="885"/>
      <c r="IS1310" s="885"/>
      <c r="IT1310" s="885"/>
      <c r="IU1310" s="885"/>
      <c r="IV1310" s="885"/>
      <c r="IW1310" s="885"/>
      <c r="IX1310" s="885"/>
    </row>
    <row r="1311" spans="1:258" ht="31.5" x14ac:dyDescent="0.25">
      <c r="A1311" s="125">
        <f t="shared" si="152"/>
        <v>1271</v>
      </c>
      <c r="B1311" s="885"/>
      <c r="C1311" s="842" t="s">
        <v>10840</v>
      </c>
      <c r="D1311" s="924">
        <v>429</v>
      </c>
      <c r="E1311" s="924">
        <f t="shared" si="151"/>
        <v>643.5</v>
      </c>
      <c r="F1311" s="129">
        <v>2500</v>
      </c>
      <c r="G1311" s="122" t="s">
        <v>1963</v>
      </c>
      <c r="H1311" s="885"/>
      <c r="I1311" s="885"/>
      <c r="J1311" s="885"/>
      <c r="K1311" s="885"/>
      <c r="L1311" s="885"/>
      <c r="M1311" s="885"/>
      <c r="N1311" s="885"/>
      <c r="O1311" s="885"/>
      <c r="P1311" s="885"/>
      <c r="Q1311" s="885"/>
      <c r="R1311" s="885"/>
      <c r="S1311" s="885"/>
      <c r="T1311" s="885"/>
      <c r="U1311" s="885"/>
      <c r="V1311" s="885"/>
      <c r="W1311" s="885"/>
      <c r="X1311" s="885"/>
      <c r="Y1311" s="885"/>
      <c r="Z1311" s="885"/>
      <c r="AA1311" s="885"/>
      <c r="AB1311" s="885"/>
      <c r="AC1311" s="885"/>
      <c r="AD1311" s="885"/>
      <c r="AE1311" s="885"/>
      <c r="AF1311" s="885"/>
      <c r="AG1311" s="885"/>
      <c r="AH1311" s="885"/>
      <c r="AI1311" s="885"/>
      <c r="AJ1311" s="885"/>
      <c r="AK1311" s="885"/>
      <c r="AL1311" s="885"/>
      <c r="AM1311" s="885"/>
      <c r="AN1311" s="885"/>
      <c r="AO1311" s="885"/>
      <c r="AP1311" s="885"/>
      <c r="AQ1311" s="885"/>
      <c r="AR1311" s="885"/>
      <c r="AS1311" s="885"/>
      <c r="AT1311" s="885"/>
      <c r="AU1311" s="885"/>
      <c r="AV1311" s="885"/>
      <c r="AW1311" s="885"/>
      <c r="AX1311" s="885"/>
      <c r="AY1311" s="885"/>
      <c r="AZ1311" s="885"/>
      <c r="BA1311" s="885"/>
      <c r="BB1311" s="885"/>
      <c r="BC1311" s="885"/>
      <c r="BD1311" s="885"/>
      <c r="BE1311" s="885"/>
      <c r="BF1311" s="885"/>
      <c r="BG1311" s="885"/>
      <c r="BH1311" s="885"/>
      <c r="BI1311" s="885"/>
      <c r="BJ1311" s="885"/>
      <c r="BK1311" s="885"/>
      <c r="BL1311" s="885"/>
      <c r="BM1311" s="885"/>
      <c r="BN1311" s="885"/>
      <c r="BO1311" s="885"/>
      <c r="BP1311" s="885"/>
      <c r="BQ1311" s="885"/>
      <c r="BR1311" s="885"/>
      <c r="BS1311" s="885"/>
      <c r="BT1311" s="885"/>
      <c r="BU1311" s="885"/>
      <c r="BV1311" s="885"/>
      <c r="BW1311" s="885"/>
      <c r="BX1311" s="885"/>
      <c r="BY1311" s="885"/>
      <c r="BZ1311" s="885"/>
      <c r="CA1311" s="885"/>
      <c r="CB1311" s="885"/>
      <c r="CC1311" s="885"/>
      <c r="CD1311" s="885"/>
      <c r="CE1311" s="885"/>
      <c r="CF1311" s="885"/>
      <c r="CG1311" s="885"/>
      <c r="CH1311" s="885"/>
      <c r="CI1311" s="885"/>
      <c r="CJ1311" s="885"/>
      <c r="CK1311" s="885"/>
      <c r="CL1311" s="885"/>
      <c r="CM1311" s="885"/>
      <c r="CN1311" s="885"/>
      <c r="CO1311" s="885"/>
      <c r="CP1311" s="885"/>
      <c r="CQ1311" s="885"/>
      <c r="CR1311" s="885"/>
      <c r="CS1311" s="885"/>
      <c r="CT1311" s="885"/>
      <c r="CU1311" s="885"/>
      <c r="CV1311" s="885"/>
      <c r="CW1311" s="885"/>
      <c r="CX1311" s="885"/>
      <c r="CY1311" s="885"/>
      <c r="CZ1311" s="885"/>
      <c r="DA1311" s="885"/>
      <c r="DB1311" s="885"/>
      <c r="DC1311" s="885"/>
      <c r="DD1311" s="885"/>
      <c r="DE1311" s="885"/>
      <c r="DF1311" s="885"/>
      <c r="DG1311" s="885"/>
      <c r="DH1311" s="885"/>
      <c r="DI1311" s="885"/>
      <c r="DJ1311" s="885"/>
      <c r="DK1311" s="885"/>
      <c r="DL1311" s="885"/>
      <c r="DM1311" s="885"/>
      <c r="DN1311" s="885"/>
      <c r="DO1311" s="885"/>
      <c r="DP1311" s="885"/>
      <c r="DQ1311" s="885"/>
      <c r="DR1311" s="885"/>
      <c r="DS1311" s="885"/>
      <c r="DT1311" s="885"/>
      <c r="DU1311" s="885"/>
      <c r="DV1311" s="885"/>
      <c r="DW1311" s="885"/>
      <c r="DX1311" s="885"/>
      <c r="DY1311" s="885"/>
      <c r="DZ1311" s="885"/>
      <c r="EA1311" s="885"/>
      <c r="EB1311" s="885"/>
      <c r="EC1311" s="885"/>
      <c r="ED1311" s="885"/>
      <c r="EE1311" s="885"/>
      <c r="EF1311" s="885"/>
      <c r="EG1311" s="885"/>
      <c r="EH1311" s="885"/>
      <c r="EI1311" s="885"/>
      <c r="EJ1311" s="885"/>
      <c r="EK1311" s="885"/>
      <c r="EL1311" s="885"/>
      <c r="EM1311" s="885"/>
      <c r="EN1311" s="885"/>
      <c r="EO1311" s="885"/>
      <c r="EP1311" s="885"/>
      <c r="EQ1311" s="885"/>
      <c r="ER1311" s="885"/>
      <c r="ES1311" s="885"/>
      <c r="ET1311" s="885"/>
      <c r="EU1311" s="885"/>
      <c r="EV1311" s="885"/>
      <c r="EW1311" s="885"/>
      <c r="EX1311" s="885"/>
      <c r="EY1311" s="885"/>
      <c r="EZ1311" s="885"/>
      <c r="FA1311" s="885"/>
      <c r="FB1311" s="885"/>
      <c r="FC1311" s="885"/>
      <c r="FD1311" s="885"/>
      <c r="FE1311" s="885"/>
      <c r="FF1311" s="885"/>
      <c r="FG1311" s="885"/>
      <c r="FH1311" s="885"/>
      <c r="FI1311" s="885"/>
      <c r="FJ1311" s="885"/>
      <c r="FK1311" s="885"/>
      <c r="FL1311" s="885"/>
      <c r="FM1311" s="885"/>
      <c r="FN1311" s="885"/>
      <c r="FO1311" s="885"/>
      <c r="FP1311" s="885"/>
      <c r="FQ1311" s="885"/>
      <c r="FR1311" s="885"/>
      <c r="FS1311" s="885"/>
      <c r="FT1311" s="885"/>
      <c r="FU1311" s="885"/>
      <c r="FV1311" s="885"/>
      <c r="FW1311" s="885"/>
      <c r="FX1311" s="885"/>
      <c r="FY1311" s="885"/>
      <c r="FZ1311" s="885"/>
      <c r="GA1311" s="885"/>
      <c r="GB1311" s="885"/>
      <c r="GC1311" s="885"/>
      <c r="GD1311" s="885"/>
      <c r="GE1311" s="885"/>
      <c r="GF1311" s="885"/>
      <c r="GG1311" s="885"/>
      <c r="GH1311" s="885"/>
      <c r="GI1311" s="885"/>
      <c r="GJ1311" s="885"/>
      <c r="GK1311" s="885"/>
      <c r="GL1311" s="885"/>
      <c r="GM1311" s="885"/>
      <c r="GN1311" s="885"/>
      <c r="GO1311" s="885"/>
      <c r="GP1311" s="885"/>
      <c r="GQ1311" s="885"/>
      <c r="GR1311" s="885"/>
      <c r="GS1311" s="885"/>
      <c r="GT1311" s="885"/>
      <c r="GU1311" s="885"/>
      <c r="GV1311" s="885"/>
      <c r="GW1311" s="885"/>
      <c r="GX1311" s="885"/>
      <c r="GY1311" s="885"/>
      <c r="GZ1311" s="885"/>
      <c r="HA1311" s="885"/>
      <c r="HB1311" s="885"/>
      <c r="HC1311" s="885"/>
      <c r="HD1311" s="885"/>
      <c r="HE1311" s="885"/>
      <c r="HF1311" s="885"/>
      <c r="HG1311" s="885"/>
      <c r="HH1311" s="885"/>
      <c r="HI1311" s="885"/>
      <c r="HJ1311" s="885"/>
      <c r="HK1311" s="885"/>
      <c r="HL1311" s="885"/>
      <c r="HM1311" s="885"/>
      <c r="HN1311" s="885"/>
      <c r="HO1311" s="885"/>
      <c r="HP1311" s="885"/>
      <c r="HQ1311" s="885"/>
      <c r="HR1311" s="885"/>
      <c r="HS1311" s="885"/>
      <c r="HT1311" s="885"/>
      <c r="HU1311" s="885"/>
      <c r="HV1311" s="885"/>
      <c r="HW1311" s="885"/>
      <c r="HX1311" s="885"/>
      <c r="HY1311" s="885"/>
      <c r="HZ1311" s="885"/>
      <c r="IA1311" s="885"/>
      <c r="IB1311" s="885"/>
      <c r="IC1311" s="885"/>
      <c r="ID1311" s="885"/>
      <c r="IE1311" s="885"/>
      <c r="IF1311" s="885"/>
      <c r="IG1311" s="885"/>
      <c r="IH1311" s="885"/>
      <c r="II1311" s="885"/>
      <c r="IJ1311" s="885"/>
      <c r="IK1311" s="885"/>
      <c r="IL1311" s="885"/>
      <c r="IM1311" s="885"/>
      <c r="IN1311" s="885"/>
      <c r="IO1311" s="885"/>
      <c r="IP1311" s="885"/>
      <c r="IQ1311" s="885"/>
      <c r="IR1311" s="885"/>
      <c r="IS1311" s="885"/>
      <c r="IT1311" s="885"/>
      <c r="IU1311" s="885"/>
      <c r="IV1311" s="885"/>
      <c r="IW1311" s="885"/>
      <c r="IX1311" s="885"/>
    </row>
    <row r="1312" spans="1:258" x14ac:dyDescent="0.25">
      <c r="A1312" s="125">
        <f t="shared" si="152"/>
        <v>1272</v>
      </c>
      <c r="B1312" s="885"/>
      <c r="C1312" s="927" t="s">
        <v>10027</v>
      </c>
      <c r="D1312" s="928"/>
      <c r="E1312" s="928"/>
      <c r="F1312" s="129"/>
      <c r="H1312" s="885"/>
      <c r="I1312" s="885"/>
      <c r="J1312" s="885"/>
      <c r="K1312" s="885"/>
      <c r="L1312" s="885"/>
      <c r="M1312" s="885"/>
      <c r="N1312" s="885"/>
      <c r="O1312" s="885"/>
      <c r="P1312" s="885"/>
      <c r="Q1312" s="885"/>
      <c r="R1312" s="885"/>
      <c r="S1312" s="885"/>
      <c r="T1312" s="885"/>
      <c r="U1312" s="885"/>
      <c r="V1312" s="885"/>
      <c r="W1312" s="885"/>
      <c r="X1312" s="885"/>
      <c r="Y1312" s="885"/>
      <c r="Z1312" s="885"/>
      <c r="AA1312" s="885"/>
      <c r="AB1312" s="885"/>
      <c r="AC1312" s="885"/>
      <c r="AD1312" s="885"/>
      <c r="AE1312" s="885"/>
      <c r="AF1312" s="885"/>
      <c r="AG1312" s="885"/>
      <c r="AH1312" s="885"/>
      <c r="AI1312" s="885"/>
      <c r="AJ1312" s="885"/>
      <c r="AK1312" s="885"/>
      <c r="AL1312" s="885"/>
      <c r="AM1312" s="885"/>
      <c r="AN1312" s="885"/>
      <c r="AO1312" s="885"/>
      <c r="AP1312" s="885"/>
      <c r="AQ1312" s="885"/>
      <c r="AR1312" s="885"/>
      <c r="AS1312" s="885"/>
      <c r="AT1312" s="885"/>
      <c r="AU1312" s="885"/>
      <c r="AV1312" s="885"/>
      <c r="AW1312" s="885"/>
      <c r="AX1312" s="885"/>
      <c r="AY1312" s="885"/>
      <c r="AZ1312" s="885"/>
      <c r="BA1312" s="885"/>
      <c r="BB1312" s="885"/>
      <c r="BC1312" s="885"/>
      <c r="BD1312" s="885"/>
      <c r="BE1312" s="885"/>
      <c r="BF1312" s="885"/>
      <c r="BG1312" s="885"/>
      <c r="BH1312" s="885"/>
      <c r="BI1312" s="885"/>
      <c r="BJ1312" s="885"/>
      <c r="BK1312" s="885"/>
      <c r="BL1312" s="885"/>
      <c r="BM1312" s="885"/>
      <c r="BN1312" s="885"/>
      <c r="BO1312" s="885"/>
      <c r="BP1312" s="885"/>
      <c r="BQ1312" s="885"/>
      <c r="BR1312" s="885"/>
      <c r="BS1312" s="885"/>
      <c r="BT1312" s="885"/>
      <c r="BU1312" s="885"/>
      <c r="BV1312" s="885"/>
      <c r="BW1312" s="885"/>
      <c r="BX1312" s="885"/>
      <c r="BY1312" s="885"/>
      <c r="BZ1312" s="885"/>
      <c r="CA1312" s="885"/>
      <c r="CB1312" s="885"/>
      <c r="CC1312" s="885"/>
      <c r="CD1312" s="885"/>
      <c r="CE1312" s="885"/>
      <c r="CF1312" s="885"/>
      <c r="CG1312" s="885"/>
      <c r="CH1312" s="885"/>
      <c r="CI1312" s="885"/>
      <c r="CJ1312" s="885"/>
      <c r="CK1312" s="885"/>
      <c r="CL1312" s="885"/>
      <c r="CM1312" s="885"/>
      <c r="CN1312" s="885"/>
      <c r="CO1312" s="885"/>
      <c r="CP1312" s="885"/>
      <c r="CQ1312" s="885"/>
      <c r="CR1312" s="885"/>
      <c r="CS1312" s="885"/>
      <c r="CT1312" s="885"/>
      <c r="CU1312" s="885"/>
      <c r="CV1312" s="885"/>
      <c r="CW1312" s="885"/>
      <c r="CX1312" s="885"/>
      <c r="CY1312" s="885"/>
      <c r="CZ1312" s="885"/>
      <c r="DA1312" s="885"/>
      <c r="DB1312" s="885"/>
      <c r="DC1312" s="885"/>
      <c r="DD1312" s="885"/>
      <c r="DE1312" s="885"/>
      <c r="DF1312" s="885"/>
      <c r="DG1312" s="885"/>
      <c r="DH1312" s="885"/>
      <c r="DI1312" s="885"/>
      <c r="DJ1312" s="885"/>
      <c r="DK1312" s="885"/>
      <c r="DL1312" s="885"/>
      <c r="DM1312" s="885"/>
      <c r="DN1312" s="885"/>
      <c r="DO1312" s="885"/>
      <c r="DP1312" s="885"/>
      <c r="DQ1312" s="885"/>
      <c r="DR1312" s="885"/>
      <c r="DS1312" s="885"/>
      <c r="DT1312" s="885"/>
      <c r="DU1312" s="885"/>
      <c r="DV1312" s="885"/>
      <c r="DW1312" s="885"/>
      <c r="DX1312" s="885"/>
      <c r="DY1312" s="885"/>
      <c r="DZ1312" s="885"/>
      <c r="EA1312" s="885"/>
      <c r="EB1312" s="885"/>
      <c r="EC1312" s="885"/>
      <c r="ED1312" s="885"/>
      <c r="EE1312" s="885"/>
      <c r="EF1312" s="885"/>
      <c r="EG1312" s="885"/>
      <c r="EH1312" s="885"/>
      <c r="EI1312" s="885"/>
      <c r="EJ1312" s="885"/>
      <c r="EK1312" s="885"/>
      <c r="EL1312" s="885"/>
      <c r="EM1312" s="885"/>
      <c r="EN1312" s="885"/>
      <c r="EO1312" s="885"/>
      <c r="EP1312" s="885"/>
      <c r="EQ1312" s="885"/>
      <c r="ER1312" s="885"/>
      <c r="ES1312" s="885"/>
      <c r="ET1312" s="885"/>
      <c r="EU1312" s="885"/>
      <c r="EV1312" s="885"/>
      <c r="EW1312" s="885"/>
      <c r="EX1312" s="885"/>
      <c r="EY1312" s="885"/>
      <c r="EZ1312" s="885"/>
      <c r="FA1312" s="885"/>
      <c r="FB1312" s="885"/>
      <c r="FC1312" s="885"/>
      <c r="FD1312" s="885"/>
      <c r="FE1312" s="885"/>
      <c r="FF1312" s="885"/>
      <c r="FG1312" s="885"/>
      <c r="FH1312" s="885"/>
      <c r="FI1312" s="885"/>
      <c r="FJ1312" s="885"/>
      <c r="FK1312" s="885"/>
      <c r="FL1312" s="885"/>
      <c r="FM1312" s="885"/>
      <c r="FN1312" s="885"/>
      <c r="FO1312" s="885"/>
      <c r="FP1312" s="885"/>
      <c r="FQ1312" s="885"/>
      <c r="FR1312" s="885"/>
      <c r="FS1312" s="885"/>
      <c r="FT1312" s="885"/>
      <c r="FU1312" s="885"/>
      <c r="FV1312" s="885"/>
      <c r="FW1312" s="885"/>
      <c r="FX1312" s="885"/>
      <c r="FY1312" s="885"/>
      <c r="FZ1312" s="885"/>
      <c r="GA1312" s="885"/>
      <c r="GB1312" s="885"/>
      <c r="GC1312" s="885"/>
      <c r="GD1312" s="885"/>
      <c r="GE1312" s="885"/>
      <c r="GF1312" s="885"/>
      <c r="GG1312" s="885"/>
      <c r="GH1312" s="885"/>
      <c r="GI1312" s="885"/>
      <c r="GJ1312" s="885"/>
      <c r="GK1312" s="885"/>
      <c r="GL1312" s="885"/>
      <c r="GM1312" s="885"/>
      <c r="GN1312" s="885"/>
      <c r="GO1312" s="885"/>
      <c r="GP1312" s="885"/>
      <c r="GQ1312" s="885"/>
      <c r="GR1312" s="885"/>
      <c r="GS1312" s="885"/>
      <c r="GT1312" s="885"/>
      <c r="GU1312" s="885"/>
      <c r="GV1312" s="885"/>
      <c r="GW1312" s="885"/>
      <c r="GX1312" s="885"/>
      <c r="GY1312" s="885"/>
      <c r="GZ1312" s="885"/>
      <c r="HA1312" s="885"/>
      <c r="HB1312" s="885"/>
      <c r="HC1312" s="885"/>
      <c r="HD1312" s="885"/>
      <c r="HE1312" s="885"/>
      <c r="HF1312" s="885"/>
      <c r="HG1312" s="885"/>
      <c r="HH1312" s="885"/>
      <c r="HI1312" s="885"/>
      <c r="HJ1312" s="885"/>
      <c r="HK1312" s="885"/>
      <c r="HL1312" s="885"/>
      <c r="HM1312" s="885"/>
      <c r="HN1312" s="885"/>
      <c r="HO1312" s="885"/>
      <c r="HP1312" s="885"/>
      <c r="HQ1312" s="885"/>
      <c r="HR1312" s="885"/>
      <c r="HS1312" s="885"/>
      <c r="HT1312" s="885"/>
      <c r="HU1312" s="885"/>
      <c r="HV1312" s="885"/>
      <c r="HW1312" s="885"/>
      <c r="HX1312" s="885"/>
      <c r="HY1312" s="885"/>
      <c r="HZ1312" s="885"/>
      <c r="IA1312" s="885"/>
      <c r="IB1312" s="885"/>
      <c r="IC1312" s="885"/>
      <c r="ID1312" s="885"/>
      <c r="IE1312" s="885"/>
      <c r="IF1312" s="885"/>
      <c r="IG1312" s="885"/>
      <c r="IH1312" s="885"/>
      <c r="II1312" s="885"/>
      <c r="IJ1312" s="885"/>
      <c r="IK1312" s="885"/>
      <c r="IL1312" s="885"/>
      <c r="IM1312" s="885"/>
      <c r="IN1312" s="885"/>
      <c r="IO1312" s="885"/>
      <c r="IP1312" s="885"/>
      <c r="IQ1312" s="885"/>
      <c r="IR1312" s="885"/>
      <c r="IS1312" s="885"/>
      <c r="IT1312" s="885"/>
      <c r="IU1312" s="885"/>
      <c r="IV1312" s="885"/>
      <c r="IW1312" s="885"/>
      <c r="IX1312" s="885"/>
    </row>
    <row r="1313" spans="1:258" x14ac:dyDescent="0.25">
      <c r="A1313" s="125">
        <f t="shared" si="152"/>
        <v>1273</v>
      </c>
      <c r="B1313" s="885"/>
      <c r="C1313" s="842" t="s">
        <v>10842</v>
      </c>
      <c r="D1313" s="924">
        <v>0</v>
      </c>
      <c r="E1313" s="924">
        <f t="shared" ref="E1313" si="153">D1313/8*12</f>
        <v>0</v>
      </c>
      <c r="F1313" s="129">
        <v>1</v>
      </c>
      <c r="G1313" s="122" t="s">
        <v>1963</v>
      </c>
      <c r="H1313" s="885"/>
      <c r="I1313" s="885"/>
      <c r="J1313" s="885"/>
      <c r="K1313" s="885"/>
      <c r="L1313" s="885"/>
      <c r="M1313" s="885"/>
      <c r="N1313" s="885"/>
      <c r="O1313" s="885"/>
      <c r="P1313" s="885"/>
      <c r="Q1313" s="885"/>
      <c r="R1313" s="885"/>
      <c r="S1313" s="885"/>
      <c r="T1313" s="885"/>
      <c r="U1313" s="885"/>
      <c r="V1313" s="885"/>
      <c r="W1313" s="885"/>
      <c r="X1313" s="885"/>
      <c r="Y1313" s="885"/>
      <c r="Z1313" s="885"/>
      <c r="AA1313" s="885"/>
      <c r="AB1313" s="885"/>
      <c r="AC1313" s="885"/>
      <c r="AD1313" s="885"/>
      <c r="AE1313" s="885"/>
      <c r="AF1313" s="885"/>
      <c r="AG1313" s="885"/>
      <c r="AH1313" s="885"/>
      <c r="AI1313" s="885"/>
      <c r="AJ1313" s="885"/>
      <c r="AK1313" s="885"/>
      <c r="AL1313" s="885"/>
      <c r="AM1313" s="885"/>
      <c r="AN1313" s="885"/>
      <c r="AO1313" s="885"/>
      <c r="AP1313" s="885"/>
      <c r="AQ1313" s="885"/>
      <c r="AR1313" s="885"/>
      <c r="AS1313" s="885"/>
      <c r="AT1313" s="885"/>
      <c r="AU1313" s="885"/>
      <c r="AV1313" s="885"/>
      <c r="AW1313" s="885"/>
      <c r="AX1313" s="885"/>
      <c r="AY1313" s="885"/>
      <c r="AZ1313" s="885"/>
      <c r="BA1313" s="885"/>
      <c r="BB1313" s="885"/>
      <c r="BC1313" s="885"/>
      <c r="BD1313" s="885"/>
      <c r="BE1313" s="885"/>
      <c r="BF1313" s="885"/>
      <c r="BG1313" s="885"/>
      <c r="BH1313" s="885"/>
      <c r="BI1313" s="885"/>
      <c r="BJ1313" s="885"/>
      <c r="BK1313" s="885"/>
      <c r="BL1313" s="885"/>
      <c r="BM1313" s="885"/>
      <c r="BN1313" s="885"/>
      <c r="BO1313" s="885"/>
      <c r="BP1313" s="885"/>
      <c r="BQ1313" s="885"/>
      <c r="BR1313" s="885"/>
      <c r="BS1313" s="885"/>
      <c r="BT1313" s="885"/>
      <c r="BU1313" s="885"/>
      <c r="BV1313" s="885"/>
      <c r="BW1313" s="885"/>
      <c r="BX1313" s="885"/>
      <c r="BY1313" s="885"/>
      <c r="BZ1313" s="885"/>
      <c r="CA1313" s="885"/>
      <c r="CB1313" s="885"/>
      <c r="CC1313" s="885"/>
      <c r="CD1313" s="885"/>
      <c r="CE1313" s="885"/>
      <c r="CF1313" s="885"/>
      <c r="CG1313" s="885"/>
      <c r="CH1313" s="885"/>
      <c r="CI1313" s="885"/>
      <c r="CJ1313" s="885"/>
      <c r="CK1313" s="885"/>
      <c r="CL1313" s="885"/>
      <c r="CM1313" s="885"/>
      <c r="CN1313" s="885"/>
      <c r="CO1313" s="885"/>
      <c r="CP1313" s="885"/>
      <c r="CQ1313" s="885"/>
      <c r="CR1313" s="885"/>
      <c r="CS1313" s="885"/>
      <c r="CT1313" s="885"/>
      <c r="CU1313" s="885"/>
      <c r="CV1313" s="885"/>
      <c r="CW1313" s="885"/>
      <c r="CX1313" s="885"/>
      <c r="CY1313" s="885"/>
      <c r="CZ1313" s="885"/>
      <c r="DA1313" s="885"/>
      <c r="DB1313" s="885"/>
      <c r="DC1313" s="885"/>
      <c r="DD1313" s="885"/>
      <c r="DE1313" s="885"/>
      <c r="DF1313" s="885"/>
      <c r="DG1313" s="885"/>
      <c r="DH1313" s="885"/>
      <c r="DI1313" s="885"/>
      <c r="DJ1313" s="885"/>
      <c r="DK1313" s="885"/>
      <c r="DL1313" s="885"/>
      <c r="DM1313" s="885"/>
      <c r="DN1313" s="885"/>
      <c r="DO1313" s="885"/>
      <c r="DP1313" s="885"/>
      <c r="DQ1313" s="885"/>
      <c r="DR1313" s="885"/>
      <c r="DS1313" s="885"/>
      <c r="DT1313" s="885"/>
      <c r="DU1313" s="885"/>
      <c r="DV1313" s="885"/>
      <c r="DW1313" s="885"/>
      <c r="DX1313" s="885"/>
      <c r="DY1313" s="885"/>
      <c r="DZ1313" s="885"/>
      <c r="EA1313" s="885"/>
      <c r="EB1313" s="885"/>
      <c r="EC1313" s="885"/>
      <c r="ED1313" s="885"/>
      <c r="EE1313" s="885"/>
      <c r="EF1313" s="885"/>
      <c r="EG1313" s="885"/>
      <c r="EH1313" s="885"/>
      <c r="EI1313" s="885"/>
      <c r="EJ1313" s="885"/>
      <c r="EK1313" s="885"/>
      <c r="EL1313" s="885"/>
      <c r="EM1313" s="885"/>
      <c r="EN1313" s="885"/>
      <c r="EO1313" s="885"/>
      <c r="EP1313" s="885"/>
      <c r="EQ1313" s="885"/>
      <c r="ER1313" s="885"/>
      <c r="ES1313" s="885"/>
      <c r="ET1313" s="885"/>
      <c r="EU1313" s="885"/>
      <c r="EV1313" s="885"/>
      <c r="EW1313" s="885"/>
      <c r="EX1313" s="885"/>
      <c r="EY1313" s="885"/>
      <c r="EZ1313" s="885"/>
      <c r="FA1313" s="885"/>
      <c r="FB1313" s="885"/>
      <c r="FC1313" s="885"/>
      <c r="FD1313" s="885"/>
      <c r="FE1313" s="885"/>
      <c r="FF1313" s="885"/>
      <c r="FG1313" s="885"/>
      <c r="FH1313" s="885"/>
      <c r="FI1313" s="885"/>
      <c r="FJ1313" s="885"/>
      <c r="FK1313" s="885"/>
      <c r="FL1313" s="885"/>
      <c r="FM1313" s="885"/>
      <c r="FN1313" s="885"/>
      <c r="FO1313" s="885"/>
      <c r="FP1313" s="885"/>
      <c r="FQ1313" s="885"/>
      <c r="FR1313" s="885"/>
      <c r="FS1313" s="885"/>
      <c r="FT1313" s="885"/>
      <c r="FU1313" s="885"/>
      <c r="FV1313" s="885"/>
      <c r="FW1313" s="885"/>
      <c r="FX1313" s="885"/>
      <c r="FY1313" s="885"/>
      <c r="FZ1313" s="885"/>
      <c r="GA1313" s="885"/>
      <c r="GB1313" s="885"/>
      <c r="GC1313" s="885"/>
      <c r="GD1313" s="885"/>
      <c r="GE1313" s="885"/>
      <c r="GF1313" s="885"/>
      <c r="GG1313" s="885"/>
      <c r="GH1313" s="885"/>
      <c r="GI1313" s="885"/>
      <c r="GJ1313" s="885"/>
      <c r="GK1313" s="885"/>
      <c r="GL1313" s="885"/>
      <c r="GM1313" s="885"/>
      <c r="GN1313" s="885"/>
      <c r="GO1313" s="885"/>
      <c r="GP1313" s="885"/>
      <c r="GQ1313" s="885"/>
      <c r="GR1313" s="885"/>
      <c r="GS1313" s="885"/>
      <c r="GT1313" s="885"/>
      <c r="GU1313" s="885"/>
      <c r="GV1313" s="885"/>
      <c r="GW1313" s="885"/>
      <c r="GX1313" s="885"/>
      <c r="GY1313" s="885"/>
      <c r="GZ1313" s="885"/>
      <c r="HA1313" s="885"/>
      <c r="HB1313" s="885"/>
      <c r="HC1313" s="885"/>
      <c r="HD1313" s="885"/>
      <c r="HE1313" s="885"/>
      <c r="HF1313" s="885"/>
      <c r="HG1313" s="885"/>
      <c r="HH1313" s="885"/>
      <c r="HI1313" s="885"/>
      <c r="HJ1313" s="885"/>
      <c r="HK1313" s="885"/>
      <c r="HL1313" s="885"/>
      <c r="HM1313" s="885"/>
      <c r="HN1313" s="885"/>
      <c r="HO1313" s="885"/>
      <c r="HP1313" s="885"/>
      <c r="HQ1313" s="885"/>
      <c r="HR1313" s="885"/>
      <c r="HS1313" s="885"/>
      <c r="HT1313" s="885"/>
      <c r="HU1313" s="885"/>
      <c r="HV1313" s="885"/>
      <c r="HW1313" s="885"/>
      <c r="HX1313" s="885"/>
      <c r="HY1313" s="885"/>
      <c r="HZ1313" s="885"/>
      <c r="IA1313" s="885"/>
      <c r="IB1313" s="885"/>
      <c r="IC1313" s="885"/>
      <c r="ID1313" s="885"/>
      <c r="IE1313" s="885"/>
      <c r="IF1313" s="885"/>
      <c r="IG1313" s="885"/>
      <c r="IH1313" s="885"/>
      <c r="II1313" s="885"/>
      <c r="IJ1313" s="885"/>
      <c r="IK1313" s="885"/>
      <c r="IL1313" s="885"/>
      <c r="IM1313" s="885"/>
      <c r="IN1313" s="885"/>
      <c r="IO1313" s="885"/>
      <c r="IP1313" s="885"/>
      <c r="IQ1313" s="885"/>
      <c r="IR1313" s="885"/>
      <c r="IS1313" s="885"/>
      <c r="IT1313" s="885"/>
      <c r="IU1313" s="885"/>
      <c r="IV1313" s="885"/>
      <c r="IW1313" s="885"/>
      <c r="IX1313" s="885"/>
    </row>
    <row r="1314" spans="1:258" x14ac:dyDescent="0.25">
      <c r="A1314" s="125">
        <f t="shared" si="152"/>
        <v>1274</v>
      </c>
      <c r="B1314" s="885"/>
      <c r="C1314" s="842" t="s">
        <v>10843</v>
      </c>
      <c r="D1314" s="924">
        <v>13582.61</v>
      </c>
      <c r="E1314" s="924">
        <f>D1314/8*13.33</f>
        <v>22632.023912500001</v>
      </c>
      <c r="F1314" s="129">
        <f>E1314/13.33</f>
        <v>1697.8262500000001</v>
      </c>
      <c r="G1314" s="122" t="s">
        <v>1963</v>
      </c>
      <c r="H1314" s="885"/>
      <c r="I1314" s="885"/>
      <c r="J1314" s="885"/>
      <c r="K1314" s="885"/>
      <c r="L1314" s="885"/>
      <c r="M1314" s="885"/>
      <c r="N1314" s="885"/>
      <c r="O1314" s="885"/>
      <c r="P1314" s="885"/>
      <c r="Q1314" s="885"/>
      <c r="R1314" s="885"/>
      <c r="S1314" s="885"/>
      <c r="T1314" s="885"/>
      <c r="U1314" s="885"/>
      <c r="V1314" s="885"/>
      <c r="W1314" s="885"/>
      <c r="X1314" s="885"/>
      <c r="Y1314" s="885"/>
      <c r="Z1314" s="885"/>
      <c r="AA1314" s="885"/>
      <c r="AB1314" s="885"/>
      <c r="AC1314" s="885"/>
      <c r="AD1314" s="885"/>
      <c r="AE1314" s="885"/>
      <c r="AF1314" s="885"/>
      <c r="AG1314" s="885"/>
      <c r="AH1314" s="885"/>
      <c r="AI1314" s="885"/>
      <c r="AJ1314" s="885"/>
      <c r="AK1314" s="885"/>
      <c r="AL1314" s="885"/>
      <c r="AM1314" s="885"/>
      <c r="AN1314" s="885"/>
      <c r="AO1314" s="885"/>
      <c r="AP1314" s="885"/>
      <c r="AQ1314" s="885"/>
      <c r="AR1314" s="885"/>
      <c r="AS1314" s="885"/>
      <c r="AT1314" s="885"/>
      <c r="AU1314" s="885"/>
      <c r="AV1314" s="885"/>
      <c r="AW1314" s="885"/>
      <c r="AX1314" s="885"/>
      <c r="AY1314" s="885"/>
      <c r="AZ1314" s="885"/>
      <c r="BA1314" s="885"/>
      <c r="BB1314" s="885"/>
      <c r="BC1314" s="885"/>
      <c r="BD1314" s="885"/>
      <c r="BE1314" s="885"/>
      <c r="BF1314" s="885"/>
      <c r="BG1314" s="885"/>
      <c r="BH1314" s="885"/>
      <c r="BI1314" s="885"/>
      <c r="BJ1314" s="885"/>
      <c r="BK1314" s="885"/>
      <c r="BL1314" s="885"/>
      <c r="BM1314" s="885"/>
      <c r="BN1314" s="885"/>
      <c r="BO1314" s="885"/>
      <c r="BP1314" s="885"/>
      <c r="BQ1314" s="885"/>
      <c r="BR1314" s="885"/>
      <c r="BS1314" s="885"/>
      <c r="BT1314" s="885"/>
      <c r="BU1314" s="885"/>
      <c r="BV1314" s="885"/>
      <c r="BW1314" s="885"/>
      <c r="BX1314" s="885"/>
      <c r="BY1314" s="885"/>
      <c r="BZ1314" s="885"/>
      <c r="CA1314" s="885"/>
      <c r="CB1314" s="885"/>
      <c r="CC1314" s="885"/>
      <c r="CD1314" s="885"/>
      <c r="CE1314" s="885"/>
      <c r="CF1314" s="885"/>
      <c r="CG1314" s="885"/>
      <c r="CH1314" s="885"/>
      <c r="CI1314" s="885"/>
      <c r="CJ1314" s="885"/>
      <c r="CK1314" s="885"/>
      <c r="CL1314" s="885"/>
      <c r="CM1314" s="885"/>
      <c r="CN1314" s="885"/>
      <c r="CO1314" s="885"/>
      <c r="CP1314" s="885"/>
      <c r="CQ1314" s="885"/>
      <c r="CR1314" s="885"/>
      <c r="CS1314" s="885"/>
      <c r="CT1314" s="885"/>
      <c r="CU1314" s="885"/>
      <c r="CV1314" s="885"/>
      <c r="CW1314" s="885"/>
      <c r="CX1314" s="885"/>
      <c r="CY1314" s="885"/>
      <c r="CZ1314" s="885"/>
      <c r="DA1314" s="885"/>
      <c r="DB1314" s="885"/>
      <c r="DC1314" s="885"/>
      <c r="DD1314" s="885"/>
      <c r="DE1314" s="885"/>
      <c r="DF1314" s="885"/>
      <c r="DG1314" s="885"/>
      <c r="DH1314" s="885"/>
      <c r="DI1314" s="885"/>
      <c r="DJ1314" s="885"/>
      <c r="DK1314" s="885"/>
      <c r="DL1314" s="885"/>
      <c r="DM1314" s="885"/>
      <c r="DN1314" s="885"/>
      <c r="DO1314" s="885"/>
      <c r="DP1314" s="885"/>
      <c r="DQ1314" s="885"/>
      <c r="DR1314" s="885"/>
      <c r="DS1314" s="885"/>
      <c r="DT1314" s="885"/>
      <c r="DU1314" s="885"/>
      <c r="DV1314" s="885"/>
      <c r="DW1314" s="885"/>
      <c r="DX1314" s="885"/>
      <c r="DY1314" s="885"/>
      <c r="DZ1314" s="885"/>
      <c r="EA1314" s="885"/>
      <c r="EB1314" s="885"/>
      <c r="EC1314" s="885"/>
      <c r="ED1314" s="885"/>
      <c r="EE1314" s="885"/>
      <c r="EF1314" s="885"/>
      <c r="EG1314" s="885"/>
      <c r="EH1314" s="885"/>
      <c r="EI1314" s="885"/>
      <c r="EJ1314" s="885"/>
      <c r="EK1314" s="885"/>
      <c r="EL1314" s="885"/>
      <c r="EM1314" s="885"/>
      <c r="EN1314" s="885"/>
      <c r="EO1314" s="885"/>
      <c r="EP1314" s="885"/>
      <c r="EQ1314" s="885"/>
      <c r="ER1314" s="885"/>
      <c r="ES1314" s="885"/>
      <c r="ET1314" s="885"/>
      <c r="EU1314" s="885"/>
      <c r="EV1314" s="885"/>
      <c r="EW1314" s="885"/>
      <c r="EX1314" s="885"/>
      <c r="EY1314" s="885"/>
      <c r="EZ1314" s="885"/>
      <c r="FA1314" s="885"/>
      <c r="FB1314" s="885"/>
      <c r="FC1314" s="885"/>
      <c r="FD1314" s="885"/>
      <c r="FE1314" s="885"/>
      <c r="FF1314" s="885"/>
      <c r="FG1314" s="885"/>
      <c r="FH1314" s="885"/>
      <c r="FI1314" s="885"/>
      <c r="FJ1314" s="885"/>
      <c r="FK1314" s="885"/>
      <c r="FL1314" s="885"/>
      <c r="FM1314" s="885"/>
      <c r="FN1314" s="885"/>
      <c r="FO1314" s="885"/>
      <c r="FP1314" s="885"/>
      <c r="FQ1314" s="885"/>
      <c r="FR1314" s="885"/>
      <c r="FS1314" s="885"/>
      <c r="FT1314" s="885"/>
      <c r="FU1314" s="885"/>
      <c r="FV1314" s="885"/>
      <c r="FW1314" s="885"/>
      <c r="FX1314" s="885"/>
      <c r="FY1314" s="885"/>
      <c r="FZ1314" s="885"/>
      <c r="GA1314" s="885"/>
      <c r="GB1314" s="885"/>
      <c r="GC1314" s="885"/>
      <c r="GD1314" s="885"/>
      <c r="GE1314" s="885"/>
      <c r="GF1314" s="885"/>
      <c r="GG1314" s="885"/>
      <c r="GH1314" s="885"/>
      <c r="GI1314" s="885"/>
      <c r="GJ1314" s="885"/>
      <c r="GK1314" s="885"/>
      <c r="GL1314" s="885"/>
      <c r="GM1314" s="885"/>
      <c r="GN1314" s="885"/>
      <c r="GO1314" s="885"/>
      <c r="GP1314" s="885"/>
      <c r="GQ1314" s="885"/>
      <c r="GR1314" s="885"/>
      <c r="GS1314" s="885"/>
      <c r="GT1314" s="885"/>
      <c r="GU1314" s="885"/>
      <c r="GV1314" s="885"/>
      <c r="GW1314" s="885"/>
      <c r="GX1314" s="885"/>
      <c r="GY1314" s="885"/>
      <c r="GZ1314" s="885"/>
      <c r="HA1314" s="885"/>
      <c r="HB1314" s="885"/>
      <c r="HC1314" s="885"/>
      <c r="HD1314" s="885"/>
      <c r="HE1314" s="885"/>
      <c r="HF1314" s="885"/>
      <c r="HG1314" s="885"/>
      <c r="HH1314" s="885"/>
      <c r="HI1314" s="885"/>
      <c r="HJ1314" s="885"/>
      <c r="HK1314" s="885"/>
      <c r="HL1314" s="885"/>
      <c r="HM1314" s="885"/>
      <c r="HN1314" s="885"/>
      <c r="HO1314" s="885"/>
      <c r="HP1314" s="885"/>
      <c r="HQ1314" s="885"/>
      <c r="HR1314" s="885"/>
      <c r="HS1314" s="885"/>
      <c r="HT1314" s="885"/>
      <c r="HU1314" s="885"/>
      <c r="HV1314" s="885"/>
      <c r="HW1314" s="885"/>
      <c r="HX1314" s="885"/>
      <c r="HY1314" s="885"/>
      <c r="HZ1314" s="885"/>
      <c r="IA1314" s="885"/>
      <c r="IB1314" s="885"/>
      <c r="IC1314" s="885"/>
      <c r="ID1314" s="885"/>
      <c r="IE1314" s="885"/>
      <c r="IF1314" s="885"/>
      <c r="IG1314" s="885"/>
      <c r="IH1314" s="885"/>
      <c r="II1314" s="885"/>
      <c r="IJ1314" s="885"/>
      <c r="IK1314" s="885"/>
      <c r="IL1314" s="885"/>
      <c r="IM1314" s="885"/>
      <c r="IN1314" s="885"/>
      <c r="IO1314" s="885"/>
      <c r="IP1314" s="885"/>
      <c r="IQ1314" s="885"/>
      <c r="IR1314" s="885"/>
      <c r="IS1314" s="885"/>
      <c r="IT1314" s="885"/>
      <c r="IU1314" s="885"/>
      <c r="IV1314" s="885"/>
      <c r="IW1314" s="885"/>
      <c r="IX1314" s="885"/>
    </row>
    <row r="1315" spans="1:258" x14ac:dyDescent="0.25">
      <c r="A1315" s="125">
        <f t="shared" si="152"/>
        <v>1275</v>
      </c>
      <c r="B1315" s="954"/>
      <c r="C1315" s="842" t="s">
        <v>11532</v>
      </c>
      <c r="D1315" s="924">
        <v>2594.9699999999998</v>
      </c>
      <c r="E1315" s="924">
        <f>D1315/8*13.33</f>
        <v>4323.8687624999993</v>
      </c>
      <c r="F1315" s="129"/>
      <c r="H1315" s="954"/>
      <c r="I1315" s="954"/>
      <c r="J1315" s="954"/>
      <c r="K1315" s="954"/>
      <c r="L1315" s="954"/>
      <c r="M1315" s="954"/>
      <c r="N1315" s="954"/>
      <c r="O1315" s="954"/>
      <c r="P1315" s="954"/>
      <c r="Q1315" s="954"/>
      <c r="R1315" s="954"/>
      <c r="S1315" s="954"/>
      <c r="T1315" s="954"/>
      <c r="U1315" s="954"/>
      <c r="V1315" s="954"/>
      <c r="W1315" s="954"/>
      <c r="X1315" s="954"/>
      <c r="Y1315" s="954"/>
      <c r="Z1315" s="954"/>
      <c r="AA1315" s="954"/>
      <c r="AB1315" s="954"/>
      <c r="AC1315" s="954"/>
      <c r="AD1315" s="954"/>
      <c r="AE1315" s="954"/>
      <c r="AF1315" s="954"/>
      <c r="AG1315" s="954"/>
      <c r="AH1315" s="954"/>
      <c r="AI1315" s="954"/>
      <c r="AJ1315" s="954"/>
      <c r="AK1315" s="954"/>
      <c r="AL1315" s="954"/>
      <c r="AM1315" s="954"/>
      <c r="AN1315" s="954"/>
      <c r="AO1315" s="954"/>
      <c r="AP1315" s="954"/>
      <c r="AQ1315" s="954"/>
      <c r="AR1315" s="954"/>
      <c r="AS1315" s="954"/>
      <c r="AT1315" s="954"/>
      <c r="AU1315" s="954"/>
      <c r="AV1315" s="954"/>
      <c r="AW1315" s="954"/>
      <c r="AX1315" s="954"/>
      <c r="AY1315" s="954"/>
      <c r="AZ1315" s="954"/>
      <c r="BA1315" s="954"/>
      <c r="BB1315" s="954"/>
      <c r="BC1315" s="954"/>
      <c r="BD1315" s="954"/>
      <c r="BE1315" s="954"/>
      <c r="BF1315" s="954"/>
      <c r="BG1315" s="954"/>
      <c r="BH1315" s="954"/>
      <c r="BI1315" s="954"/>
      <c r="BJ1315" s="954"/>
      <c r="BK1315" s="954"/>
      <c r="BL1315" s="954"/>
      <c r="BM1315" s="954"/>
      <c r="BN1315" s="954"/>
      <c r="BO1315" s="954"/>
      <c r="BP1315" s="954"/>
      <c r="BQ1315" s="954"/>
      <c r="BR1315" s="954"/>
      <c r="BS1315" s="954"/>
      <c r="BT1315" s="954"/>
      <c r="BU1315" s="954"/>
      <c r="BV1315" s="954"/>
      <c r="BW1315" s="954"/>
      <c r="BX1315" s="954"/>
      <c r="BY1315" s="954"/>
      <c r="BZ1315" s="954"/>
      <c r="CA1315" s="954"/>
      <c r="CB1315" s="954"/>
      <c r="CC1315" s="954"/>
      <c r="CD1315" s="954"/>
      <c r="CE1315" s="954"/>
      <c r="CF1315" s="954"/>
      <c r="CG1315" s="954"/>
      <c r="CH1315" s="954"/>
      <c r="CI1315" s="954"/>
      <c r="CJ1315" s="954"/>
      <c r="CK1315" s="954"/>
      <c r="CL1315" s="954"/>
      <c r="CM1315" s="954"/>
      <c r="CN1315" s="954"/>
      <c r="CO1315" s="954"/>
      <c r="CP1315" s="954"/>
      <c r="CQ1315" s="954"/>
      <c r="CR1315" s="954"/>
      <c r="CS1315" s="954"/>
      <c r="CT1315" s="954"/>
      <c r="CU1315" s="954"/>
      <c r="CV1315" s="954"/>
      <c r="CW1315" s="954"/>
      <c r="CX1315" s="954"/>
      <c r="CY1315" s="954"/>
      <c r="CZ1315" s="954"/>
      <c r="DA1315" s="954"/>
      <c r="DB1315" s="954"/>
      <c r="DC1315" s="954"/>
      <c r="DD1315" s="954"/>
      <c r="DE1315" s="954"/>
      <c r="DF1315" s="954"/>
      <c r="DG1315" s="954"/>
      <c r="DH1315" s="954"/>
      <c r="DI1315" s="954"/>
      <c r="DJ1315" s="954"/>
      <c r="DK1315" s="954"/>
      <c r="DL1315" s="954"/>
      <c r="DM1315" s="954"/>
      <c r="DN1315" s="954"/>
      <c r="DO1315" s="954"/>
      <c r="DP1315" s="954"/>
      <c r="DQ1315" s="954"/>
      <c r="DR1315" s="954"/>
      <c r="DS1315" s="954"/>
      <c r="DT1315" s="954"/>
      <c r="DU1315" s="954"/>
      <c r="DV1315" s="954"/>
      <c r="DW1315" s="954"/>
      <c r="DX1315" s="954"/>
      <c r="DY1315" s="954"/>
      <c r="DZ1315" s="954"/>
      <c r="EA1315" s="954"/>
      <c r="EB1315" s="954"/>
      <c r="EC1315" s="954"/>
      <c r="ED1315" s="954"/>
      <c r="EE1315" s="954"/>
      <c r="EF1315" s="954"/>
      <c r="EG1315" s="954"/>
      <c r="EH1315" s="954"/>
      <c r="EI1315" s="954"/>
      <c r="EJ1315" s="954"/>
      <c r="EK1315" s="954"/>
      <c r="EL1315" s="954"/>
      <c r="EM1315" s="954"/>
      <c r="EN1315" s="954"/>
      <c r="EO1315" s="954"/>
      <c r="EP1315" s="954"/>
      <c r="EQ1315" s="954"/>
      <c r="ER1315" s="954"/>
      <c r="ES1315" s="954"/>
      <c r="ET1315" s="954"/>
      <c r="EU1315" s="954"/>
      <c r="EV1315" s="954"/>
      <c r="EW1315" s="954"/>
      <c r="EX1315" s="954"/>
      <c r="EY1315" s="954"/>
      <c r="EZ1315" s="954"/>
      <c r="FA1315" s="954"/>
      <c r="FB1315" s="954"/>
      <c r="FC1315" s="954"/>
      <c r="FD1315" s="954"/>
      <c r="FE1315" s="954"/>
      <c r="FF1315" s="954"/>
      <c r="FG1315" s="954"/>
      <c r="FH1315" s="954"/>
      <c r="FI1315" s="954"/>
      <c r="FJ1315" s="954"/>
      <c r="FK1315" s="954"/>
      <c r="FL1315" s="954"/>
      <c r="FM1315" s="954"/>
      <c r="FN1315" s="954"/>
      <c r="FO1315" s="954"/>
      <c r="FP1315" s="954"/>
      <c r="FQ1315" s="954"/>
      <c r="FR1315" s="954"/>
      <c r="FS1315" s="954"/>
      <c r="FT1315" s="954"/>
      <c r="FU1315" s="954"/>
      <c r="FV1315" s="954"/>
      <c r="FW1315" s="954"/>
      <c r="FX1315" s="954"/>
      <c r="FY1315" s="954"/>
      <c r="FZ1315" s="954"/>
      <c r="GA1315" s="954"/>
      <c r="GB1315" s="954"/>
      <c r="GC1315" s="954"/>
      <c r="GD1315" s="954"/>
      <c r="GE1315" s="954"/>
      <c r="GF1315" s="954"/>
      <c r="GG1315" s="954"/>
      <c r="GH1315" s="954"/>
      <c r="GI1315" s="954"/>
      <c r="GJ1315" s="954"/>
      <c r="GK1315" s="954"/>
      <c r="GL1315" s="954"/>
      <c r="GM1315" s="954"/>
      <c r="GN1315" s="954"/>
      <c r="GO1315" s="954"/>
      <c r="GP1315" s="954"/>
      <c r="GQ1315" s="954"/>
      <c r="GR1315" s="954"/>
      <c r="GS1315" s="954"/>
      <c r="GT1315" s="954"/>
      <c r="GU1315" s="954"/>
      <c r="GV1315" s="954"/>
      <c r="GW1315" s="954"/>
      <c r="GX1315" s="954"/>
      <c r="GY1315" s="954"/>
      <c r="GZ1315" s="954"/>
      <c r="HA1315" s="954"/>
      <c r="HB1315" s="954"/>
      <c r="HC1315" s="954"/>
      <c r="HD1315" s="954"/>
      <c r="HE1315" s="954"/>
      <c r="HF1315" s="954"/>
      <c r="HG1315" s="954"/>
      <c r="HH1315" s="954"/>
      <c r="HI1315" s="954"/>
      <c r="HJ1315" s="954"/>
      <c r="HK1315" s="954"/>
      <c r="HL1315" s="954"/>
      <c r="HM1315" s="954"/>
      <c r="HN1315" s="954"/>
      <c r="HO1315" s="954"/>
      <c r="HP1315" s="954"/>
      <c r="HQ1315" s="954"/>
      <c r="HR1315" s="954"/>
      <c r="HS1315" s="954"/>
      <c r="HT1315" s="954"/>
      <c r="HU1315" s="954"/>
      <c r="HV1315" s="954"/>
      <c r="HW1315" s="954"/>
      <c r="HX1315" s="954"/>
      <c r="HY1315" s="954"/>
      <c r="HZ1315" s="954"/>
      <c r="IA1315" s="954"/>
      <c r="IB1315" s="954"/>
      <c r="IC1315" s="954"/>
      <c r="ID1315" s="954"/>
      <c r="IE1315" s="954"/>
      <c r="IF1315" s="954"/>
      <c r="IG1315" s="954"/>
      <c r="IH1315" s="954"/>
      <c r="II1315" s="954"/>
      <c r="IJ1315" s="954"/>
      <c r="IK1315" s="954"/>
      <c r="IL1315" s="954"/>
      <c r="IM1315" s="954"/>
      <c r="IN1315" s="954"/>
      <c r="IO1315" s="954"/>
      <c r="IP1315" s="954"/>
      <c r="IQ1315" s="954"/>
      <c r="IR1315" s="954"/>
      <c r="IS1315" s="954"/>
      <c r="IT1315" s="954"/>
      <c r="IU1315" s="954"/>
      <c r="IV1315" s="954"/>
      <c r="IW1315" s="954"/>
      <c r="IX1315" s="954"/>
    </row>
    <row r="1316" spans="1:258" x14ac:dyDescent="0.25">
      <c r="A1316" s="125">
        <f t="shared" si="152"/>
        <v>1276</v>
      </c>
      <c r="B1316" s="885"/>
      <c r="C1316" s="842" t="s">
        <v>10844</v>
      </c>
      <c r="D1316" s="924">
        <v>0</v>
      </c>
      <c r="E1316" s="924">
        <f t="shared" ref="E1316:E1327" si="154">D1316/8*12</f>
        <v>0</v>
      </c>
      <c r="F1316" s="129">
        <v>1</v>
      </c>
      <c r="G1316" s="122" t="s">
        <v>1963</v>
      </c>
      <c r="H1316" s="885"/>
      <c r="I1316" s="885"/>
      <c r="J1316" s="885"/>
      <c r="K1316" s="885"/>
      <c r="L1316" s="885"/>
      <c r="M1316" s="885"/>
      <c r="N1316" s="885"/>
      <c r="O1316" s="885"/>
      <c r="P1316" s="885"/>
      <c r="Q1316" s="885"/>
      <c r="R1316" s="885"/>
      <c r="S1316" s="885"/>
      <c r="T1316" s="885"/>
      <c r="U1316" s="885"/>
      <c r="V1316" s="885"/>
      <c r="W1316" s="885"/>
      <c r="X1316" s="885"/>
      <c r="Y1316" s="885"/>
      <c r="Z1316" s="885"/>
      <c r="AA1316" s="885"/>
      <c r="AB1316" s="885"/>
      <c r="AC1316" s="885"/>
      <c r="AD1316" s="885"/>
      <c r="AE1316" s="885"/>
      <c r="AF1316" s="885"/>
      <c r="AG1316" s="885"/>
      <c r="AH1316" s="885"/>
      <c r="AI1316" s="885"/>
      <c r="AJ1316" s="885"/>
      <c r="AK1316" s="885"/>
      <c r="AL1316" s="885"/>
      <c r="AM1316" s="885"/>
      <c r="AN1316" s="885"/>
      <c r="AO1316" s="885"/>
      <c r="AP1316" s="885"/>
      <c r="AQ1316" s="885"/>
      <c r="AR1316" s="885"/>
      <c r="AS1316" s="885"/>
      <c r="AT1316" s="885"/>
      <c r="AU1316" s="885"/>
      <c r="AV1316" s="885"/>
      <c r="AW1316" s="885"/>
      <c r="AX1316" s="885"/>
      <c r="AY1316" s="885"/>
      <c r="AZ1316" s="885"/>
      <c r="BA1316" s="885"/>
      <c r="BB1316" s="885"/>
      <c r="BC1316" s="885"/>
      <c r="BD1316" s="885"/>
      <c r="BE1316" s="885"/>
      <c r="BF1316" s="885"/>
      <c r="BG1316" s="885"/>
      <c r="BH1316" s="885"/>
      <c r="BI1316" s="885"/>
      <c r="BJ1316" s="885"/>
      <c r="BK1316" s="885"/>
      <c r="BL1316" s="885"/>
      <c r="BM1316" s="885"/>
      <c r="BN1316" s="885"/>
      <c r="BO1316" s="885"/>
      <c r="BP1316" s="885"/>
      <c r="BQ1316" s="885"/>
      <c r="BR1316" s="885"/>
      <c r="BS1316" s="885"/>
      <c r="BT1316" s="885"/>
      <c r="BU1316" s="885"/>
      <c r="BV1316" s="885"/>
      <c r="BW1316" s="885"/>
      <c r="BX1316" s="885"/>
      <c r="BY1316" s="885"/>
      <c r="BZ1316" s="885"/>
      <c r="CA1316" s="885"/>
      <c r="CB1316" s="885"/>
      <c r="CC1316" s="885"/>
      <c r="CD1316" s="885"/>
      <c r="CE1316" s="885"/>
      <c r="CF1316" s="885"/>
      <c r="CG1316" s="885"/>
      <c r="CH1316" s="885"/>
      <c r="CI1316" s="885"/>
      <c r="CJ1316" s="885"/>
      <c r="CK1316" s="885"/>
      <c r="CL1316" s="885"/>
      <c r="CM1316" s="885"/>
      <c r="CN1316" s="885"/>
      <c r="CO1316" s="885"/>
      <c r="CP1316" s="885"/>
      <c r="CQ1316" s="885"/>
      <c r="CR1316" s="885"/>
      <c r="CS1316" s="885"/>
      <c r="CT1316" s="885"/>
      <c r="CU1316" s="885"/>
      <c r="CV1316" s="885"/>
      <c r="CW1316" s="885"/>
      <c r="CX1316" s="885"/>
      <c r="CY1316" s="885"/>
      <c r="CZ1316" s="885"/>
      <c r="DA1316" s="885"/>
      <c r="DB1316" s="885"/>
      <c r="DC1316" s="885"/>
      <c r="DD1316" s="885"/>
      <c r="DE1316" s="885"/>
      <c r="DF1316" s="885"/>
      <c r="DG1316" s="885"/>
      <c r="DH1316" s="885"/>
      <c r="DI1316" s="885"/>
      <c r="DJ1316" s="885"/>
      <c r="DK1316" s="885"/>
      <c r="DL1316" s="885"/>
      <c r="DM1316" s="885"/>
      <c r="DN1316" s="885"/>
      <c r="DO1316" s="885"/>
      <c r="DP1316" s="885"/>
      <c r="DQ1316" s="885"/>
      <c r="DR1316" s="885"/>
      <c r="DS1316" s="885"/>
      <c r="DT1316" s="885"/>
      <c r="DU1316" s="885"/>
      <c r="DV1316" s="885"/>
      <c r="DW1316" s="885"/>
      <c r="DX1316" s="885"/>
      <c r="DY1316" s="885"/>
      <c r="DZ1316" s="885"/>
      <c r="EA1316" s="885"/>
      <c r="EB1316" s="885"/>
      <c r="EC1316" s="885"/>
      <c r="ED1316" s="885"/>
      <c r="EE1316" s="885"/>
      <c r="EF1316" s="885"/>
      <c r="EG1316" s="885"/>
      <c r="EH1316" s="885"/>
      <c r="EI1316" s="885"/>
      <c r="EJ1316" s="885"/>
      <c r="EK1316" s="885"/>
      <c r="EL1316" s="885"/>
      <c r="EM1316" s="885"/>
      <c r="EN1316" s="885"/>
      <c r="EO1316" s="885"/>
      <c r="EP1316" s="885"/>
      <c r="EQ1316" s="885"/>
      <c r="ER1316" s="885"/>
      <c r="ES1316" s="885"/>
      <c r="ET1316" s="885"/>
      <c r="EU1316" s="885"/>
      <c r="EV1316" s="885"/>
      <c r="EW1316" s="885"/>
      <c r="EX1316" s="885"/>
      <c r="EY1316" s="885"/>
      <c r="EZ1316" s="885"/>
      <c r="FA1316" s="885"/>
      <c r="FB1316" s="885"/>
      <c r="FC1316" s="885"/>
      <c r="FD1316" s="885"/>
      <c r="FE1316" s="885"/>
      <c r="FF1316" s="885"/>
      <c r="FG1316" s="885"/>
      <c r="FH1316" s="885"/>
      <c r="FI1316" s="885"/>
      <c r="FJ1316" s="885"/>
      <c r="FK1316" s="885"/>
      <c r="FL1316" s="885"/>
      <c r="FM1316" s="885"/>
      <c r="FN1316" s="885"/>
      <c r="FO1316" s="885"/>
      <c r="FP1316" s="885"/>
      <c r="FQ1316" s="885"/>
      <c r="FR1316" s="885"/>
      <c r="FS1316" s="885"/>
      <c r="FT1316" s="885"/>
      <c r="FU1316" s="885"/>
      <c r="FV1316" s="885"/>
      <c r="FW1316" s="885"/>
      <c r="FX1316" s="885"/>
      <c r="FY1316" s="885"/>
      <c r="FZ1316" s="885"/>
      <c r="GA1316" s="885"/>
      <c r="GB1316" s="885"/>
      <c r="GC1316" s="885"/>
      <c r="GD1316" s="885"/>
      <c r="GE1316" s="885"/>
      <c r="GF1316" s="885"/>
      <c r="GG1316" s="885"/>
      <c r="GH1316" s="885"/>
      <c r="GI1316" s="885"/>
      <c r="GJ1316" s="885"/>
      <c r="GK1316" s="885"/>
      <c r="GL1316" s="885"/>
      <c r="GM1316" s="885"/>
      <c r="GN1316" s="885"/>
      <c r="GO1316" s="885"/>
      <c r="GP1316" s="885"/>
      <c r="GQ1316" s="885"/>
      <c r="GR1316" s="885"/>
      <c r="GS1316" s="885"/>
      <c r="GT1316" s="885"/>
      <c r="GU1316" s="885"/>
      <c r="GV1316" s="885"/>
      <c r="GW1316" s="885"/>
      <c r="GX1316" s="885"/>
      <c r="GY1316" s="885"/>
      <c r="GZ1316" s="885"/>
      <c r="HA1316" s="885"/>
      <c r="HB1316" s="885"/>
      <c r="HC1316" s="885"/>
      <c r="HD1316" s="885"/>
      <c r="HE1316" s="885"/>
      <c r="HF1316" s="885"/>
      <c r="HG1316" s="885"/>
      <c r="HH1316" s="885"/>
      <c r="HI1316" s="885"/>
      <c r="HJ1316" s="885"/>
      <c r="HK1316" s="885"/>
      <c r="HL1316" s="885"/>
      <c r="HM1316" s="885"/>
      <c r="HN1316" s="885"/>
      <c r="HO1316" s="885"/>
      <c r="HP1316" s="885"/>
      <c r="HQ1316" s="885"/>
      <c r="HR1316" s="885"/>
      <c r="HS1316" s="885"/>
      <c r="HT1316" s="885"/>
      <c r="HU1316" s="885"/>
      <c r="HV1316" s="885"/>
      <c r="HW1316" s="885"/>
      <c r="HX1316" s="885"/>
      <c r="HY1316" s="885"/>
      <c r="HZ1316" s="885"/>
      <c r="IA1316" s="885"/>
      <c r="IB1316" s="885"/>
      <c r="IC1316" s="885"/>
      <c r="ID1316" s="885"/>
      <c r="IE1316" s="885"/>
      <c r="IF1316" s="885"/>
      <c r="IG1316" s="885"/>
      <c r="IH1316" s="885"/>
      <c r="II1316" s="885"/>
      <c r="IJ1316" s="885"/>
      <c r="IK1316" s="885"/>
      <c r="IL1316" s="885"/>
      <c r="IM1316" s="885"/>
      <c r="IN1316" s="885"/>
      <c r="IO1316" s="885"/>
      <c r="IP1316" s="885"/>
      <c r="IQ1316" s="885"/>
      <c r="IR1316" s="885"/>
      <c r="IS1316" s="885"/>
      <c r="IT1316" s="885"/>
      <c r="IU1316" s="885"/>
      <c r="IV1316" s="885"/>
      <c r="IW1316" s="885"/>
      <c r="IX1316" s="885"/>
    </row>
    <row r="1317" spans="1:258" x14ac:dyDescent="0.25">
      <c r="A1317" s="125">
        <f t="shared" si="152"/>
        <v>1277</v>
      </c>
      <c r="B1317" s="885"/>
      <c r="C1317" s="842" t="s">
        <v>10845</v>
      </c>
      <c r="D1317" s="924">
        <v>0</v>
      </c>
      <c r="E1317" s="924">
        <f t="shared" si="154"/>
        <v>0</v>
      </c>
      <c r="F1317" s="129">
        <f>96*2</f>
        <v>192</v>
      </c>
      <c r="G1317" s="122" t="s">
        <v>1963</v>
      </c>
      <c r="H1317" s="885"/>
      <c r="I1317" s="885"/>
      <c r="J1317" s="885"/>
      <c r="K1317" s="885"/>
      <c r="L1317" s="885"/>
      <c r="M1317" s="885"/>
      <c r="N1317" s="885"/>
      <c r="O1317" s="885"/>
      <c r="P1317" s="885"/>
      <c r="Q1317" s="885"/>
      <c r="R1317" s="885"/>
      <c r="S1317" s="885"/>
      <c r="T1317" s="885"/>
      <c r="U1317" s="885"/>
      <c r="V1317" s="885"/>
      <c r="W1317" s="885"/>
      <c r="X1317" s="885"/>
      <c r="Y1317" s="885"/>
      <c r="Z1317" s="885"/>
      <c r="AA1317" s="885"/>
      <c r="AB1317" s="885"/>
      <c r="AC1317" s="885"/>
      <c r="AD1317" s="885"/>
      <c r="AE1317" s="885"/>
      <c r="AF1317" s="885"/>
      <c r="AG1317" s="885"/>
      <c r="AH1317" s="885"/>
      <c r="AI1317" s="885"/>
      <c r="AJ1317" s="885"/>
      <c r="AK1317" s="885"/>
      <c r="AL1317" s="885"/>
      <c r="AM1317" s="885"/>
      <c r="AN1317" s="885"/>
      <c r="AO1317" s="885"/>
      <c r="AP1317" s="885"/>
      <c r="AQ1317" s="885"/>
      <c r="AR1317" s="885"/>
      <c r="AS1317" s="885"/>
      <c r="AT1317" s="885"/>
      <c r="AU1317" s="885"/>
      <c r="AV1317" s="885"/>
      <c r="AW1317" s="885"/>
      <c r="AX1317" s="885"/>
      <c r="AY1317" s="885"/>
      <c r="AZ1317" s="885"/>
      <c r="BA1317" s="885"/>
      <c r="BB1317" s="885"/>
      <c r="BC1317" s="885"/>
      <c r="BD1317" s="885"/>
      <c r="BE1317" s="885"/>
      <c r="BF1317" s="885"/>
      <c r="BG1317" s="885"/>
      <c r="BH1317" s="885"/>
      <c r="BI1317" s="885"/>
      <c r="BJ1317" s="885"/>
      <c r="BK1317" s="885"/>
      <c r="BL1317" s="885"/>
      <c r="BM1317" s="885"/>
      <c r="BN1317" s="885"/>
      <c r="BO1317" s="885"/>
      <c r="BP1317" s="885"/>
      <c r="BQ1317" s="885"/>
      <c r="BR1317" s="885"/>
      <c r="BS1317" s="885"/>
      <c r="BT1317" s="885"/>
      <c r="BU1317" s="885"/>
      <c r="BV1317" s="885"/>
      <c r="BW1317" s="885"/>
      <c r="BX1317" s="885"/>
      <c r="BY1317" s="885"/>
      <c r="BZ1317" s="885"/>
      <c r="CA1317" s="885"/>
      <c r="CB1317" s="885"/>
      <c r="CC1317" s="885"/>
      <c r="CD1317" s="885"/>
      <c r="CE1317" s="885"/>
      <c r="CF1317" s="885"/>
      <c r="CG1317" s="885"/>
      <c r="CH1317" s="885"/>
      <c r="CI1317" s="885"/>
      <c r="CJ1317" s="885"/>
      <c r="CK1317" s="885"/>
      <c r="CL1317" s="885"/>
      <c r="CM1317" s="885"/>
      <c r="CN1317" s="885"/>
      <c r="CO1317" s="885"/>
      <c r="CP1317" s="885"/>
      <c r="CQ1317" s="885"/>
      <c r="CR1317" s="885"/>
      <c r="CS1317" s="885"/>
      <c r="CT1317" s="885"/>
      <c r="CU1317" s="885"/>
      <c r="CV1317" s="885"/>
      <c r="CW1317" s="885"/>
      <c r="CX1317" s="885"/>
      <c r="CY1317" s="885"/>
      <c r="CZ1317" s="885"/>
      <c r="DA1317" s="885"/>
      <c r="DB1317" s="885"/>
      <c r="DC1317" s="885"/>
      <c r="DD1317" s="885"/>
      <c r="DE1317" s="885"/>
      <c r="DF1317" s="885"/>
      <c r="DG1317" s="885"/>
      <c r="DH1317" s="885"/>
      <c r="DI1317" s="885"/>
      <c r="DJ1317" s="885"/>
      <c r="DK1317" s="885"/>
      <c r="DL1317" s="885"/>
      <c r="DM1317" s="885"/>
      <c r="DN1317" s="885"/>
      <c r="DO1317" s="885"/>
      <c r="DP1317" s="885"/>
      <c r="DQ1317" s="885"/>
      <c r="DR1317" s="885"/>
      <c r="DS1317" s="885"/>
      <c r="DT1317" s="885"/>
      <c r="DU1317" s="885"/>
      <c r="DV1317" s="885"/>
      <c r="DW1317" s="885"/>
      <c r="DX1317" s="885"/>
      <c r="DY1317" s="885"/>
      <c r="DZ1317" s="885"/>
      <c r="EA1317" s="885"/>
      <c r="EB1317" s="885"/>
      <c r="EC1317" s="885"/>
      <c r="ED1317" s="885"/>
      <c r="EE1317" s="885"/>
      <c r="EF1317" s="885"/>
      <c r="EG1317" s="885"/>
      <c r="EH1317" s="885"/>
      <c r="EI1317" s="885"/>
      <c r="EJ1317" s="885"/>
      <c r="EK1317" s="885"/>
      <c r="EL1317" s="885"/>
      <c r="EM1317" s="885"/>
      <c r="EN1317" s="885"/>
      <c r="EO1317" s="885"/>
      <c r="EP1317" s="885"/>
      <c r="EQ1317" s="885"/>
      <c r="ER1317" s="885"/>
      <c r="ES1317" s="885"/>
      <c r="ET1317" s="885"/>
      <c r="EU1317" s="885"/>
      <c r="EV1317" s="885"/>
      <c r="EW1317" s="885"/>
      <c r="EX1317" s="885"/>
      <c r="EY1317" s="885"/>
      <c r="EZ1317" s="885"/>
      <c r="FA1317" s="885"/>
      <c r="FB1317" s="885"/>
      <c r="FC1317" s="885"/>
      <c r="FD1317" s="885"/>
      <c r="FE1317" s="885"/>
      <c r="FF1317" s="885"/>
      <c r="FG1317" s="885"/>
      <c r="FH1317" s="885"/>
      <c r="FI1317" s="885"/>
      <c r="FJ1317" s="885"/>
      <c r="FK1317" s="885"/>
      <c r="FL1317" s="885"/>
      <c r="FM1317" s="885"/>
      <c r="FN1317" s="885"/>
      <c r="FO1317" s="885"/>
      <c r="FP1317" s="885"/>
      <c r="FQ1317" s="885"/>
      <c r="FR1317" s="885"/>
      <c r="FS1317" s="885"/>
      <c r="FT1317" s="885"/>
      <c r="FU1317" s="885"/>
      <c r="FV1317" s="885"/>
      <c r="FW1317" s="885"/>
      <c r="FX1317" s="885"/>
      <c r="FY1317" s="885"/>
      <c r="FZ1317" s="885"/>
      <c r="GA1317" s="885"/>
      <c r="GB1317" s="885"/>
      <c r="GC1317" s="885"/>
      <c r="GD1317" s="885"/>
      <c r="GE1317" s="885"/>
      <c r="GF1317" s="885"/>
      <c r="GG1317" s="885"/>
      <c r="GH1317" s="885"/>
      <c r="GI1317" s="885"/>
      <c r="GJ1317" s="885"/>
      <c r="GK1317" s="885"/>
      <c r="GL1317" s="885"/>
      <c r="GM1317" s="885"/>
      <c r="GN1317" s="885"/>
      <c r="GO1317" s="885"/>
      <c r="GP1317" s="885"/>
      <c r="GQ1317" s="885"/>
      <c r="GR1317" s="885"/>
      <c r="GS1317" s="885"/>
      <c r="GT1317" s="885"/>
      <c r="GU1317" s="885"/>
      <c r="GV1317" s="885"/>
      <c r="GW1317" s="885"/>
      <c r="GX1317" s="885"/>
      <c r="GY1317" s="885"/>
      <c r="GZ1317" s="885"/>
      <c r="HA1317" s="885"/>
      <c r="HB1317" s="885"/>
      <c r="HC1317" s="885"/>
      <c r="HD1317" s="885"/>
      <c r="HE1317" s="885"/>
      <c r="HF1317" s="885"/>
      <c r="HG1317" s="885"/>
      <c r="HH1317" s="885"/>
      <c r="HI1317" s="885"/>
      <c r="HJ1317" s="885"/>
      <c r="HK1317" s="885"/>
      <c r="HL1317" s="885"/>
      <c r="HM1317" s="885"/>
      <c r="HN1317" s="885"/>
      <c r="HO1317" s="885"/>
      <c r="HP1317" s="885"/>
      <c r="HQ1317" s="885"/>
      <c r="HR1317" s="885"/>
      <c r="HS1317" s="885"/>
      <c r="HT1317" s="885"/>
      <c r="HU1317" s="885"/>
      <c r="HV1317" s="885"/>
      <c r="HW1317" s="885"/>
      <c r="HX1317" s="885"/>
      <c r="HY1317" s="885"/>
      <c r="HZ1317" s="885"/>
      <c r="IA1317" s="885"/>
      <c r="IB1317" s="885"/>
      <c r="IC1317" s="885"/>
      <c r="ID1317" s="885"/>
      <c r="IE1317" s="885"/>
      <c r="IF1317" s="885"/>
      <c r="IG1317" s="885"/>
      <c r="IH1317" s="885"/>
      <c r="II1317" s="885"/>
      <c r="IJ1317" s="885"/>
      <c r="IK1317" s="885"/>
      <c r="IL1317" s="885"/>
      <c r="IM1317" s="885"/>
      <c r="IN1317" s="885"/>
      <c r="IO1317" s="885"/>
      <c r="IP1317" s="885"/>
      <c r="IQ1317" s="885"/>
      <c r="IR1317" s="885"/>
      <c r="IS1317" s="885"/>
      <c r="IT1317" s="885"/>
      <c r="IU1317" s="885"/>
      <c r="IV1317" s="885"/>
      <c r="IW1317" s="885"/>
      <c r="IX1317" s="885"/>
    </row>
    <row r="1318" spans="1:258" x14ac:dyDescent="0.25">
      <c r="A1318" s="125">
        <f t="shared" si="152"/>
        <v>1278</v>
      </c>
      <c r="B1318" s="885"/>
      <c r="C1318" s="842" t="s">
        <v>10846</v>
      </c>
      <c r="D1318" s="924">
        <v>59.33</v>
      </c>
      <c r="E1318" s="924">
        <f t="shared" si="154"/>
        <v>88.995000000000005</v>
      </c>
      <c r="F1318" s="129">
        <v>1000</v>
      </c>
      <c r="G1318" s="122" t="s">
        <v>1963</v>
      </c>
      <c r="H1318" s="885"/>
      <c r="I1318" s="885"/>
      <c r="J1318" s="885"/>
      <c r="K1318" s="885"/>
      <c r="L1318" s="885"/>
      <c r="M1318" s="885"/>
      <c r="N1318" s="885"/>
      <c r="O1318" s="885"/>
      <c r="P1318" s="885"/>
      <c r="Q1318" s="885"/>
      <c r="R1318" s="885"/>
      <c r="S1318" s="885"/>
      <c r="T1318" s="885"/>
      <c r="U1318" s="885"/>
      <c r="V1318" s="885"/>
      <c r="W1318" s="885"/>
      <c r="X1318" s="885"/>
      <c r="Y1318" s="885"/>
      <c r="Z1318" s="885"/>
      <c r="AA1318" s="885"/>
      <c r="AB1318" s="885"/>
      <c r="AC1318" s="885"/>
      <c r="AD1318" s="885"/>
      <c r="AE1318" s="885"/>
      <c r="AF1318" s="885"/>
      <c r="AG1318" s="885"/>
      <c r="AH1318" s="885"/>
      <c r="AI1318" s="885"/>
      <c r="AJ1318" s="885"/>
      <c r="AK1318" s="885"/>
      <c r="AL1318" s="885"/>
      <c r="AM1318" s="885"/>
      <c r="AN1318" s="885"/>
      <c r="AO1318" s="885"/>
      <c r="AP1318" s="885"/>
      <c r="AQ1318" s="885"/>
      <c r="AR1318" s="885"/>
      <c r="AS1318" s="885"/>
      <c r="AT1318" s="885"/>
      <c r="AU1318" s="885"/>
      <c r="AV1318" s="885"/>
      <c r="AW1318" s="885"/>
      <c r="AX1318" s="885"/>
      <c r="AY1318" s="885"/>
      <c r="AZ1318" s="885"/>
      <c r="BA1318" s="885"/>
      <c r="BB1318" s="885"/>
      <c r="BC1318" s="885"/>
      <c r="BD1318" s="885"/>
      <c r="BE1318" s="885"/>
      <c r="BF1318" s="885"/>
      <c r="BG1318" s="885"/>
      <c r="BH1318" s="885"/>
      <c r="BI1318" s="885"/>
      <c r="BJ1318" s="885"/>
      <c r="BK1318" s="885"/>
      <c r="BL1318" s="885"/>
      <c r="BM1318" s="885"/>
      <c r="BN1318" s="885"/>
      <c r="BO1318" s="885"/>
      <c r="BP1318" s="885"/>
      <c r="BQ1318" s="885"/>
      <c r="BR1318" s="885"/>
      <c r="BS1318" s="885"/>
      <c r="BT1318" s="885"/>
      <c r="BU1318" s="885"/>
      <c r="BV1318" s="885"/>
      <c r="BW1318" s="885"/>
      <c r="BX1318" s="885"/>
      <c r="BY1318" s="885"/>
      <c r="BZ1318" s="885"/>
      <c r="CA1318" s="885"/>
      <c r="CB1318" s="885"/>
      <c r="CC1318" s="885"/>
      <c r="CD1318" s="885"/>
      <c r="CE1318" s="885"/>
      <c r="CF1318" s="885"/>
      <c r="CG1318" s="885"/>
      <c r="CH1318" s="885"/>
      <c r="CI1318" s="885"/>
      <c r="CJ1318" s="885"/>
      <c r="CK1318" s="885"/>
      <c r="CL1318" s="885"/>
      <c r="CM1318" s="885"/>
      <c r="CN1318" s="885"/>
      <c r="CO1318" s="885"/>
      <c r="CP1318" s="885"/>
      <c r="CQ1318" s="885"/>
      <c r="CR1318" s="885"/>
      <c r="CS1318" s="885"/>
      <c r="CT1318" s="885"/>
      <c r="CU1318" s="885"/>
      <c r="CV1318" s="885"/>
      <c r="CW1318" s="885"/>
      <c r="CX1318" s="885"/>
      <c r="CY1318" s="885"/>
      <c r="CZ1318" s="885"/>
      <c r="DA1318" s="885"/>
      <c r="DB1318" s="885"/>
      <c r="DC1318" s="885"/>
      <c r="DD1318" s="885"/>
      <c r="DE1318" s="885"/>
      <c r="DF1318" s="885"/>
      <c r="DG1318" s="885"/>
      <c r="DH1318" s="885"/>
      <c r="DI1318" s="885"/>
      <c r="DJ1318" s="885"/>
      <c r="DK1318" s="885"/>
      <c r="DL1318" s="885"/>
      <c r="DM1318" s="885"/>
      <c r="DN1318" s="885"/>
      <c r="DO1318" s="885"/>
      <c r="DP1318" s="885"/>
      <c r="DQ1318" s="885"/>
      <c r="DR1318" s="885"/>
      <c r="DS1318" s="885"/>
      <c r="DT1318" s="885"/>
      <c r="DU1318" s="885"/>
      <c r="DV1318" s="885"/>
      <c r="DW1318" s="885"/>
      <c r="DX1318" s="885"/>
      <c r="DY1318" s="885"/>
      <c r="DZ1318" s="885"/>
      <c r="EA1318" s="885"/>
      <c r="EB1318" s="885"/>
      <c r="EC1318" s="885"/>
      <c r="ED1318" s="885"/>
      <c r="EE1318" s="885"/>
      <c r="EF1318" s="885"/>
      <c r="EG1318" s="885"/>
      <c r="EH1318" s="885"/>
      <c r="EI1318" s="885"/>
      <c r="EJ1318" s="885"/>
      <c r="EK1318" s="885"/>
      <c r="EL1318" s="885"/>
      <c r="EM1318" s="885"/>
      <c r="EN1318" s="885"/>
      <c r="EO1318" s="885"/>
      <c r="EP1318" s="885"/>
      <c r="EQ1318" s="885"/>
      <c r="ER1318" s="885"/>
      <c r="ES1318" s="885"/>
      <c r="ET1318" s="885"/>
      <c r="EU1318" s="885"/>
      <c r="EV1318" s="885"/>
      <c r="EW1318" s="885"/>
      <c r="EX1318" s="885"/>
      <c r="EY1318" s="885"/>
      <c r="EZ1318" s="885"/>
      <c r="FA1318" s="885"/>
      <c r="FB1318" s="885"/>
      <c r="FC1318" s="885"/>
      <c r="FD1318" s="885"/>
      <c r="FE1318" s="885"/>
      <c r="FF1318" s="885"/>
      <c r="FG1318" s="885"/>
      <c r="FH1318" s="885"/>
      <c r="FI1318" s="885"/>
      <c r="FJ1318" s="885"/>
      <c r="FK1318" s="885"/>
      <c r="FL1318" s="885"/>
      <c r="FM1318" s="885"/>
      <c r="FN1318" s="885"/>
      <c r="FO1318" s="885"/>
      <c r="FP1318" s="885"/>
      <c r="FQ1318" s="885"/>
      <c r="FR1318" s="885"/>
      <c r="FS1318" s="885"/>
      <c r="FT1318" s="885"/>
      <c r="FU1318" s="885"/>
      <c r="FV1318" s="885"/>
      <c r="FW1318" s="885"/>
      <c r="FX1318" s="885"/>
      <c r="FY1318" s="885"/>
      <c r="FZ1318" s="885"/>
      <c r="GA1318" s="885"/>
      <c r="GB1318" s="885"/>
      <c r="GC1318" s="885"/>
      <c r="GD1318" s="885"/>
      <c r="GE1318" s="885"/>
      <c r="GF1318" s="885"/>
      <c r="GG1318" s="885"/>
      <c r="GH1318" s="885"/>
      <c r="GI1318" s="885"/>
      <c r="GJ1318" s="885"/>
      <c r="GK1318" s="885"/>
      <c r="GL1318" s="885"/>
      <c r="GM1318" s="885"/>
      <c r="GN1318" s="885"/>
      <c r="GO1318" s="885"/>
      <c r="GP1318" s="885"/>
      <c r="GQ1318" s="885"/>
      <c r="GR1318" s="885"/>
      <c r="GS1318" s="885"/>
      <c r="GT1318" s="885"/>
      <c r="GU1318" s="885"/>
      <c r="GV1318" s="885"/>
      <c r="GW1318" s="885"/>
      <c r="GX1318" s="885"/>
      <c r="GY1318" s="885"/>
      <c r="GZ1318" s="885"/>
      <c r="HA1318" s="885"/>
      <c r="HB1318" s="885"/>
      <c r="HC1318" s="885"/>
      <c r="HD1318" s="885"/>
      <c r="HE1318" s="885"/>
      <c r="HF1318" s="885"/>
      <c r="HG1318" s="885"/>
      <c r="HH1318" s="885"/>
      <c r="HI1318" s="885"/>
      <c r="HJ1318" s="885"/>
      <c r="HK1318" s="885"/>
      <c r="HL1318" s="885"/>
      <c r="HM1318" s="885"/>
      <c r="HN1318" s="885"/>
      <c r="HO1318" s="885"/>
      <c r="HP1318" s="885"/>
      <c r="HQ1318" s="885"/>
      <c r="HR1318" s="885"/>
      <c r="HS1318" s="885"/>
      <c r="HT1318" s="885"/>
      <c r="HU1318" s="885"/>
      <c r="HV1318" s="885"/>
      <c r="HW1318" s="885"/>
      <c r="HX1318" s="885"/>
      <c r="HY1318" s="885"/>
      <c r="HZ1318" s="885"/>
      <c r="IA1318" s="885"/>
      <c r="IB1318" s="885"/>
      <c r="IC1318" s="885"/>
      <c r="ID1318" s="885"/>
      <c r="IE1318" s="885"/>
      <c r="IF1318" s="885"/>
      <c r="IG1318" s="885"/>
      <c r="IH1318" s="885"/>
      <c r="II1318" s="885"/>
      <c r="IJ1318" s="885"/>
      <c r="IK1318" s="885"/>
      <c r="IL1318" s="885"/>
      <c r="IM1318" s="885"/>
      <c r="IN1318" s="885"/>
      <c r="IO1318" s="885"/>
      <c r="IP1318" s="885"/>
      <c r="IQ1318" s="885"/>
      <c r="IR1318" s="885"/>
      <c r="IS1318" s="885"/>
      <c r="IT1318" s="885"/>
      <c r="IU1318" s="885"/>
      <c r="IV1318" s="885"/>
      <c r="IW1318" s="885"/>
      <c r="IX1318" s="885"/>
    </row>
    <row r="1319" spans="1:258" x14ac:dyDescent="0.25">
      <c r="A1319" s="125">
        <f t="shared" si="152"/>
        <v>1279</v>
      </c>
      <c r="B1319" s="885"/>
      <c r="C1319" s="842" t="s">
        <v>10847</v>
      </c>
      <c r="D1319" s="924">
        <v>0</v>
      </c>
      <c r="E1319" s="924">
        <f t="shared" si="154"/>
        <v>0</v>
      </c>
      <c r="F1319" s="129">
        <v>800</v>
      </c>
      <c r="G1319" s="122" t="s">
        <v>1963</v>
      </c>
      <c r="H1319" s="885"/>
      <c r="I1319" s="885"/>
      <c r="J1319" s="885"/>
      <c r="K1319" s="885"/>
      <c r="L1319" s="885"/>
      <c r="M1319" s="885"/>
      <c r="N1319" s="885"/>
      <c r="O1319" s="885"/>
      <c r="P1319" s="885"/>
      <c r="Q1319" s="885"/>
      <c r="R1319" s="885"/>
      <c r="S1319" s="885"/>
      <c r="T1319" s="885"/>
      <c r="U1319" s="885"/>
      <c r="V1319" s="885"/>
      <c r="W1319" s="885"/>
      <c r="X1319" s="885"/>
      <c r="Y1319" s="885"/>
      <c r="Z1319" s="885"/>
      <c r="AA1319" s="885"/>
      <c r="AB1319" s="885"/>
      <c r="AC1319" s="885"/>
      <c r="AD1319" s="885"/>
      <c r="AE1319" s="885"/>
      <c r="AF1319" s="885"/>
      <c r="AG1319" s="885"/>
      <c r="AH1319" s="885"/>
      <c r="AI1319" s="885"/>
      <c r="AJ1319" s="885"/>
      <c r="AK1319" s="885"/>
      <c r="AL1319" s="885"/>
      <c r="AM1319" s="885"/>
      <c r="AN1319" s="885"/>
      <c r="AO1319" s="885"/>
      <c r="AP1319" s="885"/>
      <c r="AQ1319" s="885"/>
      <c r="AR1319" s="885"/>
      <c r="AS1319" s="885"/>
      <c r="AT1319" s="885"/>
      <c r="AU1319" s="885"/>
      <c r="AV1319" s="885"/>
      <c r="AW1319" s="885"/>
      <c r="AX1319" s="885"/>
      <c r="AY1319" s="885"/>
      <c r="AZ1319" s="885"/>
      <c r="BA1319" s="885"/>
      <c r="BB1319" s="885"/>
      <c r="BC1319" s="885"/>
      <c r="BD1319" s="885"/>
      <c r="BE1319" s="885"/>
      <c r="BF1319" s="885"/>
      <c r="BG1319" s="885"/>
      <c r="BH1319" s="885"/>
      <c r="BI1319" s="885"/>
      <c r="BJ1319" s="885"/>
      <c r="BK1319" s="885"/>
      <c r="BL1319" s="885"/>
      <c r="BM1319" s="885"/>
      <c r="BN1319" s="885"/>
      <c r="BO1319" s="885"/>
      <c r="BP1319" s="885"/>
      <c r="BQ1319" s="885"/>
      <c r="BR1319" s="885"/>
      <c r="BS1319" s="885"/>
      <c r="BT1319" s="885"/>
      <c r="BU1319" s="885"/>
      <c r="BV1319" s="885"/>
      <c r="BW1319" s="885"/>
      <c r="BX1319" s="885"/>
      <c r="BY1319" s="885"/>
      <c r="BZ1319" s="885"/>
      <c r="CA1319" s="885"/>
      <c r="CB1319" s="885"/>
      <c r="CC1319" s="885"/>
      <c r="CD1319" s="885"/>
      <c r="CE1319" s="885"/>
      <c r="CF1319" s="885"/>
      <c r="CG1319" s="885"/>
      <c r="CH1319" s="885"/>
      <c r="CI1319" s="885"/>
      <c r="CJ1319" s="885"/>
      <c r="CK1319" s="885"/>
      <c r="CL1319" s="885"/>
      <c r="CM1319" s="885"/>
      <c r="CN1319" s="885"/>
      <c r="CO1319" s="885"/>
      <c r="CP1319" s="885"/>
      <c r="CQ1319" s="885"/>
      <c r="CR1319" s="885"/>
      <c r="CS1319" s="885"/>
      <c r="CT1319" s="885"/>
      <c r="CU1319" s="885"/>
      <c r="CV1319" s="885"/>
      <c r="CW1319" s="885"/>
      <c r="CX1319" s="885"/>
      <c r="CY1319" s="885"/>
      <c r="CZ1319" s="885"/>
      <c r="DA1319" s="885"/>
      <c r="DB1319" s="885"/>
      <c r="DC1319" s="885"/>
      <c r="DD1319" s="885"/>
      <c r="DE1319" s="885"/>
      <c r="DF1319" s="885"/>
      <c r="DG1319" s="885"/>
      <c r="DH1319" s="885"/>
      <c r="DI1319" s="885"/>
      <c r="DJ1319" s="885"/>
      <c r="DK1319" s="885"/>
      <c r="DL1319" s="885"/>
      <c r="DM1319" s="885"/>
      <c r="DN1319" s="885"/>
      <c r="DO1319" s="885"/>
      <c r="DP1319" s="885"/>
      <c r="DQ1319" s="885"/>
      <c r="DR1319" s="885"/>
      <c r="DS1319" s="885"/>
      <c r="DT1319" s="885"/>
      <c r="DU1319" s="885"/>
      <c r="DV1319" s="885"/>
      <c r="DW1319" s="885"/>
      <c r="DX1319" s="885"/>
      <c r="DY1319" s="885"/>
      <c r="DZ1319" s="885"/>
      <c r="EA1319" s="885"/>
      <c r="EB1319" s="885"/>
      <c r="EC1319" s="885"/>
      <c r="ED1319" s="885"/>
      <c r="EE1319" s="885"/>
      <c r="EF1319" s="885"/>
      <c r="EG1319" s="885"/>
      <c r="EH1319" s="885"/>
      <c r="EI1319" s="885"/>
      <c r="EJ1319" s="885"/>
      <c r="EK1319" s="885"/>
      <c r="EL1319" s="885"/>
      <c r="EM1319" s="885"/>
      <c r="EN1319" s="885"/>
      <c r="EO1319" s="885"/>
      <c r="EP1319" s="885"/>
      <c r="EQ1319" s="885"/>
      <c r="ER1319" s="885"/>
      <c r="ES1319" s="885"/>
      <c r="ET1319" s="885"/>
      <c r="EU1319" s="885"/>
      <c r="EV1319" s="885"/>
      <c r="EW1319" s="885"/>
      <c r="EX1319" s="885"/>
      <c r="EY1319" s="885"/>
      <c r="EZ1319" s="885"/>
      <c r="FA1319" s="885"/>
      <c r="FB1319" s="885"/>
      <c r="FC1319" s="885"/>
      <c r="FD1319" s="885"/>
      <c r="FE1319" s="885"/>
      <c r="FF1319" s="885"/>
      <c r="FG1319" s="885"/>
      <c r="FH1319" s="885"/>
      <c r="FI1319" s="885"/>
      <c r="FJ1319" s="885"/>
      <c r="FK1319" s="885"/>
      <c r="FL1319" s="885"/>
      <c r="FM1319" s="885"/>
      <c r="FN1319" s="885"/>
      <c r="FO1319" s="885"/>
      <c r="FP1319" s="885"/>
      <c r="FQ1319" s="885"/>
      <c r="FR1319" s="885"/>
      <c r="FS1319" s="885"/>
      <c r="FT1319" s="885"/>
      <c r="FU1319" s="885"/>
      <c r="FV1319" s="885"/>
      <c r="FW1319" s="885"/>
      <c r="FX1319" s="885"/>
      <c r="FY1319" s="885"/>
      <c r="FZ1319" s="885"/>
      <c r="GA1319" s="885"/>
      <c r="GB1319" s="885"/>
      <c r="GC1319" s="885"/>
      <c r="GD1319" s="885"/>
      <c r="GE1319" s="885"/>
      <c r="GF1319" s="885"/>
      <c r="GG1319" s="885"/>
      <c r="GH1319" s="885"/>
      <c r="GI1319" s="885"/>
      <c r="GJ1319" s="885"/>
      <c r="GK1319" s="885"/>
      <c r="GL1319" s="885"/>
      <c r="GM1319" s="885"/>
      <c r="GN1319" s="885"/>
      <c r="GO1319" s="885"/>
      <c r="GP1319" s="885"/>
      <c r="GQ1319" s="885"/>
      <c r="GR1319" s="885"/>
      <c r="GS1319" s="885"/>
      <c r="GT1319" s="885"/>
      <c r="GU1319" s="885"/>
      <c r="GV1319" s="885"/>
      <c r="GW1319" s="885"/>
      <c r="GX1319" s="885"/>
      <c r="GY1319" s="885"/>
      <c r="GZ1319" s="885"/>
      <c r="HA1319" s="885"/>
      <c r="HB1319" s="885"/>
      <c r="HC1319" s="885"/>
      <c r="HD1319" s="885"/>
      <c r="HE1319" s="885"/>
      <c r="HF1319" s="885"/>
      <c r="HG1319" s="885"/>
      <c r="HH1319" s="885"/>
      <c r="HI1319" s="885"/>
      <c r="HJ1319" s="885"/>
      <c r="HK1319" s="885"/>
      <c r="HL1319" s="885"/>
      <c r="HM1319" s="885"/>
      <c r="HN1319" s="885"/>
      <c r="HO1319" s="885"/>
      <c r="HP1319" s="885"/>
      <c r="HQ1319" s="885"/>
      <c r="HR1319" s="885"/>
      <c r="HS1319" s="885"/>
      <c r="HT1319" s="885"/>
      <c r="HU1319" s="885"/>
      <c r="HV1319" s="885"/>
      <c r="HW1319" s="885"/>
      <c r="HX1319" s="885"/>
      <c r="HY1319" s="885"/>
      <c r="HZ1319" s="885"/>
      <c r="IA1319" s="885"/>
      <c r="IB1319" s="885"/>
      <c r="IC1319" s="885"/>
      <c r="ID1319" s="885"/>
      <c r="IE1319" s="885"/>
      <c r="IF1319" s="885"/>
      <c r="IG1319" s="885"/>
      <c r="IH1319" s="885"/>
      <c r="II1319" s="885"/>
      <c r="IJ1319" s="885"/>
      <c r="IK1319" s="885"/>
      <c r="IL1319" s="885"/>
      <c r="IM1319" s="885"/>
      <c r="IN1319" s="885"/>
      <c r="IO1319" s="885"/>
      <c r="IP1319" s="885"/>
      <c r="IQ1319" s="885"/>
      <c r="IR1319" s="885"/>
      <c r="IS1319" s="885"/>
      <c r="IT1319" s="885"/>
      <c r="IU1319" s="885"/>
      <c r="IV1319" s="885"/>
      <c r="IW1319" s="885"/>
      <c r="IX1319" s="885"/>
    </row>
    <row r="1320" spans="1:258" x14ac:dyDescent="0.25">
      <c r="A1320" s="125">
        <f t="shared" si="152"/>
        <v>1280</v>
      </c>
      <c r="B1320" s="885"/>
      <c r="C1320" s="842" t="s">
        <v>10848</v>
      </c>
      <c r="D1320" s="924">
        <v>0</v>
      </c>
      <c r="E1320" s="924">
        <f t="shared" si="154"/>
        <v>0</v>
      </c>
      <c r="F1320" s="129">
        <v>500</v>
      </c>
      <c r="G1320" s="122" t="s">
        <v>1963</v>
      </c>
      <c r="H1320" s="885"/>
      <c r="I1320" s="885"/>
      <c r="J1320" s="885"/>
      <c r="K1320" s="885"/>
      <c r="L1320" s="885"/>
      <c r="M1320" s="885"/>
      <c r="N1320" s="885"/>
      <c r="O1320" s="885"/>
      <c r="P1320" s="885"/>
      <c r="Q1320" s="885"/>
      <c r="R1320" s="885"/>
      <c r="S1320" s="885"/>
      <c r="T1320" s="885"/>
      <c r="U1320" s="885"/>
      <c r="V1320" s="885"/>
      <c r="W1320" s="885"/>
      <c r="X1320" s="885"/>
      <c r="Y1320" s="885"/>
      <c r="Z1320" s="885"/>
      <c r="AA1320" s="885"/>
      <c r="AB1320" s="885"/>
      <c r="AC1320" s="885"/>
      <c r="AD1320" s="885"/>
      <c r="AE1320" s="885"/>
      <c r="AF1320" s="885"/>
      <c r="AG1320" s="885"/>
      <c r="AH1320" s="885"/>
      <c r="AI1320" s="885"/>
      <c r="AJ1320" s="885"/>
      <c r="AK1320" s="885"/>
      <c r="AL1320" s="885"/>
      <c r="AM1320" s="885"/>
      <c r="AN1320" s="885"/>
      <c r="AO1320" s="885"/>
      <c r="AP1320" s="885"/>
      <c r="AQ1320" s="885"/>
      <c r="AR1320" s="885"/>
      <c r="AS1320" s="885"/>
      <c r="AT1320" s="885"/>
      <c r="AU1320" s="885"/>
      <c r="AV1320" s="885"/>
      <c r="AW1320" s="885"/>
      <c r="AX1320" s="885"/>
      <c r="AY1320" s="885"/>
      <c r="AZ1320" s="885"/>
      <c r="BA1320" s="885"/>
      <c r="BB1320" s="885"/>
      <c r="BC1320" s="885"/>
      <c r="BD1320" s="885"/>
      <c r="BE1320" s="885"/>
      <c r="BF1320" s="885"/>
      <c r="BG1320" s="885"/>
      <c r="BH1320" s="885"/>
      <c r="BI1320" s="885"/>
      <c r="BJ1320" s="885"/>
      <c r="BK1320" s="885"/>
      <c r="BL1320" s="885"/>
      <c r="BM1320" s="885"/>
      <c r="BN1320" s="885"/>
      <c r="BO1320" s="885"/>
      <c r="BP1320" s="885"/>
      <c r="BQ1320" s="885"/>
      <c r="BR1320" s="885"/>
      <c r="BS1320" s="885"/>
      <c r="BT1320" s="885"/>
      <c r="BU1320" s="885"/>
      <c r="BV1320" s="885"/>
      <c r="BW1320" s="885"/>
      <c r="BX1320" s="885"/>
      <c r="BY1320" s="885"/>
      <c r="BZ1320" s="885"/>
      <c r="CA1320" s="885"/>
      <c r="CB1320" s="885"/>
      <c r="CC1320" s="885"/>
      <c r="CD1320" s="885"/>
      <c r="CE1320" s="885"/>
      <c r="CF1320" s="885"/>
      <c r="CG1320" s="885"/>
      <c r="CH1320" s="885"/>
      <c r="CI1320" s="885"/>
      <c r="CJ1320" s="885"/>
      <c r="CK1320" s="885"/>
      <c r="CL1320" s="885"/>
      <c r="CM1320" s="885"/>
      <c r="CN1320" s="885"/>
      <c r="CO1320" s="885"/>
      <c r="CP1320" s="885"/>
      <c r="CQ1320" s="885"/>
      <c r="CR1320" s="885"/>
      <c r="CS1320" s="885"/>
      <c r="CT1320" s="885"/>
      <c r="CU1320" s="885"/>
      <c r="CV1320" s="885"/>
      <c r="CW1320" s="885"/>
      <c r="CX1320" s="885"/>
      <c r="CY1320" s="885"/>
      <c r="CZ1320" s="885"/>
      <c r="DA1320" s="885"/>
      <c r="DB1320" s="885"/>
      <c r="DC1320" s="885"/>
      <c r="DD1320" s="885"/>
      <c r="DE1320" s="885"/>
      <c r="DF1320" s="885"/>
      <c r="DG1320" s="885"/>
      <c r="DH1320" s="885"/>
      <c r="DI1320" s="885"/>
      <c r="DJ1320" s="885"/>
      <c r="DK1320" s="885"/>
      <c r="DL1320" s="885"/>
      <c r="DM1320" s="885"/>
      <c r="DN1320" s="885"/>
      <c r="DO1320" s="885"/>
      <c r="DP1320" s="885"/>
      <c r="DQ1320" s="885"/>
      <c r="DR1320" s="885"/>
      <c r="DS1320" s="885"/>
      <c r="DT1320" s="885"/>
      <c r="DU1320" s="885"/>
      <c r="DV1320" s="885"/>
      <c r="DW1320" s="885"/>
      <c r="DX1320" s="885"/>
      <c r="DY1320" s="885"/>
      <c r="DZ1320" s="885"/>
      <c r="EA1320" s="885"/>
      <c r="EB1320" s="885"/>
      <c r="EC1320" s="885"/>
      <c r="ED1320" s="885"/>
      <c r="EE1320" s="885"/>
      <c r="EF1320" s="885"/>
      <c r="EG1320" s="885"/>
      <c r="EH1320" s="885"/>
      <c r="EI1320" s="885"/>
      <c r="EJ1320" s="885"/>
      <c r="EK1320" s="885"/>
      <c r="EL1320" s="885"/>
      <c r="EM1320" s="885"/>
      <c r="EN1320" s="885"/>
      <c r="EO1320" s="885"/>
      <c r="EP1320" s="885"/>
      <c r="EQ1320" s="885"/>
      <c r="ER1320" s="885"/>
      <c r="ES1320" s="885"/>
      <c r="ET1320" s="885"/>
      <c r="EU1320" s="885"/>
      <c r="EV1320" s="885"/>
      <c r="EW1320" s="885"/>
      <c r="EX1320" s="885"/>
      <c r="EY1320" s="885"/>
      <c r="EZ1320" s="885"/>
      <c r="FA1320" s="885"/>
      <c r="FB1320" s="885"/>
      <c r="FC1320" s="885"/>
      <c r="FD1320" s="885"/>
      <c r="FE1320" s="885"/>
      <c r="FF1320" s="885"/>
      <c r="FG1320" s="885"/>
      <c r="FH1320" s="885"/>
      <c r="FI1320" s="885"/>
      <c r="FJ1320" s="885"/>
      <c r="FK1320" s="885"/>
      <c r="FL1320" s="885"/>
      <c r="FM1320" s="885"/>
      <c r="FN1320" s="885"/>
      <c r="FO1320" s="885"/>
      <c r="FP1320" s="885"/>
      <c r="FQ1320" s="885"/>
      <c r="FR1320" s="885"/>
      <c r="FS1320" s="885"/>
      <c r="FT1320" s="885"/>
      <c r="FU1320" s="885"/>
      <c r="FV1320" s="885"/>
      <c r="FW1320" s="885"/>
      <c r="FX1320" s="885"/>
      <c r="FY1320" s="885"/>
      <c r="FZ1320" s="885"/>
      <c r="GA1320" s="885"/>
      <c r="GB1320" s="885"/>
      <c r="GC1320" s="885"/>
      <c r="GD1320" s="885"/>
      <c r="GE1320" s="885"/>
      <c r="GF1320" s="885"/>
      <c r="GG1320" s="885"/>
      <c r="GH1320" s="885"/>
      <c r="GI1320" s="885"/>
      <c r="GJ1320" s="885"/>
      <c r="GK1320" s="885"/>
      <c r="GL1320" s="885"/>
      <c r="GM1320" s="885"/>
      <c r="GN1320" s="885"/>
      <c r="GO1320" s="885"/>
      <c r="GP1320" s="885"/>
      <c r="GQ1320" s="885"/>
      <c r="GR1320" s="885"/>
      <c r="GS1320" s="885"/>
      <c r="GT1320" s="885"/>
      <c r="GU1320" s="885"/>
      <c r="GV1320" s="885"/>
      <c r="GW1320" s="885"/>
      <c r="GX1320" s="885"/>
      <c r="GY1320" s="885"/>
      <c r="GZ1320" s="885"/>
      <c r="HA1320" s="885"/>
      <c r="HB1320" s="885"/>
      <c r="HC1320" s="885"/>
      <c r="HD1320" s="885"/>
      <c r="HE1320" s="885"/>
      <c r="HF1320" s="885"/>
      <c r="HG1320" s="885"/>
      <c r="HH1320" s="885"/>
      <c r="HI1320" s="885"/>
      <c r="HJ1320" s="885"/>
      <c r="HK1320" s="885"/>
      <c r="HL1320" s="885"/>
      <c r="HM1320" s="885"/>
      <c r="HN1320" s="885"/>
      <c r="HO1320" s="885"/>
      <c r="HP1320" s="885"/>
      <c r="HQ1320" s="885"/>
      <c r="HR1320" s="885"/>
      <c r="HS1320" s="885"/>
      <c r="HT1320" s="885"/>
      <c r="HU1320" s="885"/>
      <c r="HV1320" s="885"/>
      <c r="HW1320" s="885"/>
      <c r="HX1320" s="885"/>
      <c r="HY1320" s="885"/>
      <c r="HZ1320" s="885"/>
      <c r="IA1320" s="885"/>
      <c r="IB1320" s="885"/>
      <c r="IC1320" s="885"/>
      <c r="ID1320" s="885"/>
      <c r="IE1320" s="885"/>
      <c r="IF1320" s="885"/>
      <c r="IG1320" s="885"/>
      <c r="IH1320" s="885"/>
      <c r="II1320" s="885"/>
      <c r="IJ1320" s="885"/>
      <c r="IK1320" s="885"/>
      <c r="IL1320" s="885"/>
      <c r="IM1320" s="885"/>
      <c r="IN1320" s="885"/>
      <c r="IO1320" s="885"/>
      <c r="IP1320" s="885"/>
      <c r="IQ1320" s="885"/>
      <c r="IR1320" s="885"/>
      <c r="IS1320" s="885"/>
      <c r="IT1320" s="885"/>
      <c r="IU1320" s="885"/>
      <c r="IV1320" s="885"/>
      <c r="IW1320" s="885"/>
      <c r="IX1320" s="885"/>
    </row>
    <row r="1321" spans="1:258" x14ac:dyDescent="0.25">
      <c r="A1321" s="125">
        <f t="shared" si="152"/>
        <v>1281</v>
      </c>
      <c r="B1321" s="885"/>
      <c r="C1321" s="842" t="s">
        <v>10849</v>
      </c>
      <c r="D1321" s="924">
        <v>0</v>
      </c>
      <c r="E1321" s="924">
        <f t="shared" si="154"/>
        <v>0</v>
      </c>
      <c r="F1321" s="129">
        <v>500</v>
      </c>
      <c r="G1321" s="122" t="s">
        <v>1963</v>
      </c>
      <c r="H1321" s="885"/>
      <c r="I1321" s="885"/>
      <c r="J1321" s="885"/>
      <c r="K1321" s="885"/>
      <c r="L1321" s="885"/>
      <c r="M1321" s="885"/>
      <c r="N1321" s="885"/>
      <c r="O1321" s="885"/>
      <c r="P1321" s="885"/>
      <c r="Q1321" s="885"/>
      <c r="R1321" s="885"/>
      <c r="S1321" s="885"/>
      <c r="T1321" s="885"/>
      <c r="U1321" s="885"/>
      <c r="V1321" s="885"/>
      <c r="W1321" s="885"/>
      <c r="X1321" s="885"/>
      <c r="Y1321" s="885"/>
      <c r="Z1321" s="885"/>
      <c r="AA1321" s="885"/>
      <c r="AB1321" s="885"/>
      <c r="AC1321" s="885"/>
      <c r="AD1321" s="885"/>
      <c r="AE1321" s="885"/>
      <c r="AF1321" s="885"/>
      <c r="AG1321" s="885"/>
      <c r="AH1321" s="885"/>
      <c r="AI1321" s="885"/>
      <c r="AJ1321" s="885"/>
      <c r="AK1321" s="885"/>
      <c r="AL1321" s="885"/>
      <c r="AM1321" s="885"/>
      <c r="AN1321" s="885"/>
      <c r="AO1321" s="885"/>
      <c r="AP1321" s="885"/>
      <c r="AQ1321" s="885"/>
      <c r="AR1321" s="885"/>
      <c r="AS1321" s="885"/>
      <c r="AT1321" s="885"/>
      <c r="AU1321" s="885"/>
      <c r="AV1321" s="885"/>
      <c r="AW1321" s="885"/>
      <c r="AX1321" s="885"/>
      <c r="AY1321" s="885"/>
      <c r="AZ1321" s="885"/>
      <c r="BA1321" s="885"/>
      <c r="BB1321" s="885"/>
      <c r="BC1321" s="885"/>
      <c r="BD1321" s="885"/>
      <c r="BE1321" s="885"/>
      <c r="BF1321" s="885"/>
      <c r="BG1321" s="885"/>
      <c r="BH1321" s="885"/>
      <c r="BI1321" s="885"/>
      <c r="BJ1321" s="885"/>
      <c r="BK1321" s="885"/>
      <c r="BL1321" s="885"/>
      <c r="BM1321" s="885"/>
      <c r="BN1321" s="885"/>
      <c r="BO1321" s="885"/>
      <c r="BP1321" s="885"/>
      <c r="BQ1321" s="885"/>
      <c r="BR1321" s="885"/>
      <c r="BS1321" s="885"/>
      <c r="BT1321" s="885"/>
      <c r="BU1321" s="885"/>
      <c r="BV1321" s="885"/>
      <c r="BW1321" s="885"/>
      <c r="BX1321" s="885"/>
      <c r="BY1321" s="885"/>
      <c r="BZ1321" s="885"/>
      <c r="CA1321" s="885"/>
      <c r="CB1321" s="885"/>
      <c r="CC1321" s="885"/>
      <c r="CD1321" s="885"/>
      <c r="CE1321" s="885"/>
      <c r="CF1321" s="885"/>
      <c r="CG1321" s="885"/>
      <c r="CH1321" s="885"/>
      <c r="CI1321" s="885"/>
      <c r="CJ1321" s="885"/>
      <c r="CK1321" s="885"/>
      <c r="CL1321" s="885"/>
      <c r="CM1321" s="885"/>
      <c r="CN1321" s="885"/>
      <c r="CO1321" s="885"/>
      <c r="CP1321" s="885"/>
      <c r="CQ1321" s="885"/>
      <c r="CR1321" s="885"/>
      <c r="CS1321" s="885"/>
      <c r="CT1321" s="885"/>
      <c r="CU1321" s="885"/>
      <c r="CV1321" s="885"/>
      <c r="CW1321" s="885"/>
      <c r="CX1321" s="885"/>
      <c r="CY1321" s="885"/>
      <c r="CZ1321" s="885"/>
      <c r="DA1321" s="885"/>
      <c r="DB1321" s="885"/>
      <c r="DC1321" s="885"/>
      <c r="DD1321" s="885"/>
      <c r="DE1321" s="885"/>
      <c r="DF1321" s="885"/>
      <c r="DG1321" s="885"/>
      <c r="DH1321" s="885"/>
      <c r="DI1321" s="885"/>
      <c r="DJ1321" s="885"/>
      <c r="DK1321" s="885"/>
      <c r="DL1321" s="885"/>
      <c r="DM1321" s="885"/>
      <c r="DN1321" s="885"/>
      <c r="DO1321" s="885"/>
      <c r="DP1321" s="885"/>
      <c r="DQ1321" s="885"/>
      <c r="DR1321" s="885"/>
      <c r="DS1321" s="885"/>
      <c r="DT1321" s="885"/>
      <c r="DU1321" s="885"/>
      <c r="DV1321" s="885"/>
      <c r="DW1321" s="885"/>
      <c r="DX1321" s="885"/>
      <c r="DY1321" s="885"/>
      <c r="DZ1321" s="885"/>
      <c r="EA1321" s="885"/>
      <c r="EB1321" s="885"/>
      <c r="EC1321" s="885"/>
      <c r="ED1321" s="885"/>
      <c r="EE1321" s="885"/>
      <c r="EF1321" s="885"/>
      <c r="EG1321" s="885"/>
      <c r="EH1321" s="885"/>
      <c r="EI1321" s="885"/>
      <c r="EJ1321" s="885"/>
      <c r="EK1321" s="885"/>
      <c r="EL1321" s="885"/>
      <c r="EM1321" s="885"/>
      <c r="EN1321" s="885"/>
      <c r="EO1321" s="885"/>
      <c r="EP1321" s="885"/>
      <c r="EQ1321" s="885"/>
      <c r="ER1321" s="885"/>
      <c r="ES1321" s="885"/>
      <c r="ET1321" s="885"/>
      <c r="EU1321" s="885"/>
      <c r="EV1321" s="885"/>
      <c r="EW1321" s="885"/>
      <c r="EX1321" s="885"/>
      <c r="EY1321" s="885"/>
      <c r="EZ1321" s="885"/>
      <c r="FA1321" s="885"/>
      <c r="FB1321" s="885"/>
      <c r="FC1321" s="885"/>
      <c r="FD1321" s="885"/>
      <c r="FE1321" s="885"/>
      <c r="FF1321" s="885"/>
      <c r="FG1321" s="885"/>
      <c r="FH1321" s="885"/>
      <c r="FI1321" s="885"/>
      <c r="FJ1321" s="885"/>
      <c r="FK1321" s="885"/>
      <c r="FL1321" s="885"/>
      <c r="FM1321" s="885"/>
      <c r="FN1321" s="885"/>
      <c r="FO1321" s="885"/>
      <c r="FP1321" s="885"/>
      <c r="FQ1321" s="885"/>
      <c r="FR1321" s="885"/>
      <c r="FS1321" s="885"/>
      <c r="FT1321" s="885"/>
      <c r="FU1321" s="885"/>
      <c r="FV1321" s="885"/>
      <c r="FW1321" s="885"/>
      <c r="FX1321" s="885"/>
      <c r="FY1321" s="885"/>
      <c r="FZ1321" s="885"/>
      <c r="GA1321" s="885"/>
      <c r="GB1321" s="885"/>
      <c r="GC1321" s="885"/>
      <c r="GD1321" s="885"/>
      <c r="GE1321" s="885"/>
      <c r="GF1321" s="885"/>
      <c r="GG1321" s="885"/>
      <c r="GH1321" s="885"/>
      <c r="GI1321" s="885"/>
      <c r="GJ1321" s="885"/>
      <c r="GK1321" s="885"/>
      <c r="GL1321" s="885"/>
      <c r="GM1321" s="885"/>
      <c r="GN1321" s="885"/>
      <c r="GO1321" s="885"/>
      <c r="GP1321" s="885"/>
      <c r="GQ1321" s="885"/>
      <c r="GR1321" s="885"/>
      <c r="GS1321" s="885"/>
      <c r="GT1321" s="885"/>
      <c r="GU1321" s="885"/>
      <c r="GV1321" s="885"/>
      <c r="GW1321" s="885"/>
      <c r="GX1321" s="885"/>
      <c r="GY1321" s="885"/>
      <c r="GZ1321" s="885"/>
      <c r="HA1321" s="885"/>
      <c r="HB1321" s="885"/>
      <c r="HC1321" s="885"/>
      <c r="HD1321" s="885"/>
      <c r="HE1321" s="885"/>
      <c r="HF1321" s="885"/>
      <c r="HG1321" s="885"/>
      <c r="HH1321" s="885"/>
      <c r="HI1321" s="885"/>
      <c r="HJ1321" s="885"/>
      <c r="HK1321" s="885"/>
      <c r="HL1321" s="885"/>
      <c r="HM1321" s="885"/>
      <c r="HN1321" s="885"/>
      <c r="HO1321" s="885"/>
      <c r="HP1321" s="885"/>
      <c r="HQ1321" s="885"/>
      <c r="HR1321" s="885"/>
      <c r="HS1321" s="885"/>
      <c r="HT1321" s="885"/>
      <c r="HU1321" s="885"/>
      <c r="HV1321" s="885"/>
      <c r="HW1321" s="885"/>
      <c r="HX1321" s="885"/>
      <c r="HY1321" s="885"/>
      <c r="HZ1321" s="885"/>
      <c r="IA1321" s="885"/>
      <c r="IB1321" s="885"/>
      <c r="IC1321" s="885"/>
      <c r="ID1321" s="885"/>
      <c r="IE1321" s="885"/>
      <c r="IF1321" s="885"/>
      <c r="IG1321" s="885"/>
      <c r="IH1321" s="885"/>
      <c r="II1321" s="885"/>
      <c r="IJ1321" s="885"/>
      <c r="IK1321" s="885"/>
      <c r="IL1321" s="885"/>
      <c r="IM1321" s="885"/>
      <c r="IN1321" s="885"/>
      <c r="IO1321" s="885"/>
      <c r="IP1321" s="885"/>
      <c r="IQ1321" s="885"/>
      <c r="IR1321" s="885"/>
      <c r="IS1321" s="885"/>
      <c r="IT1321" s="885"/>
      <c r="IU1321" s="885"/>
      <c r="IV1321" s="885"/>
      <c r="IW1321" s="885"/>
      <c r="IX1321" s="885"/>
    </row>
    <row r="1322" spans="1:258" x14ac:dyDescent="0.25">
      <c r="A1322" s="125">
        <f t="shared" si="152"/>
        <v>1282</v>
      </c>
      <c r="B1322" s="885"/>
      <c r="C1322" s="842" t="s">
        <v>10850</v>
      </c>
      <c r="D1322" s="924">
        <v>0</v>
      </c>
      <c r="E1322" s="924">
        <f t="shared" si="154"/>
        <v>0</v>
      </c>
      <c r="F1322" s="129">
        <v>1500</v>
      </c>
      <c r="G1322" s="122" t="s">
        <v>1963</v>
      </c>
      <c r="H1322" s="885"/>
      <c r="I1322" s="885"/>
      <c r="J1322" s="885"/>
      <c r="K1322" s="885"/>
      <c r="L1322" s="885"/>
      <c r="M1322" s="885"/>
      <c r="N1322" s="885"/>
      <c r="O1322" s="885"/>
      <c r="P1322" s="885"/>
      <c r="Q1322" s="885"/>
      <c r="R1322" s="885"/>
      <c r="S1322" s="885"/>
      <c r="T1322" s="885"/>
      <c r="U1322" s="885"/>
      <c r="V1322" s="885"/>
      <c r="W1322" s="885"/>
      <c r="X1322" s="885"/>
      <c r="Y1322" s="885"/>
      <c r="Z1322" s="885"/>
      <c r="AA1322" s="885"/>
      <c r="AB1322" s="885"/>
      <c r="AC1322" s="885"/>
      <c r="AD1322" s="885"/>
      <c r="AE1322" s="885"/>
      <c r="AF1322" s="885"/>
      <c r="AG1322" s="885"/>
      <c r="AH1322" s="885"/>
      <c r="AI1322" s="885"/>
      <c r="AJ1322" s="885"/>
      <c r="AK1322" s="885"/>
      <c r="AL1322" s="885"/>
      <c r="AM1322" s="885"/>
      <c r="AN1322" s="885"/>
      <c r="AO1322" s="885"/>
      <c r="AP1322" s="885"/>
      <c r="AQ1322" s="885"/>
      <c r="AR1322" s="885"/>
      <c r="AS1322" s="885"/>
      <c r="AT1322" s="885"/>
      <c r="AU1322" s="885"/>
      <c r="AV1322" s="885"/>
      <c r="AW1322" s="885"/>
      <c r="AX1322" s="885"/>
      <c r="AY1322" s="885"/>
      <c r="AZ1322" s="885"/>
      <c r="BA1322" s="885"/>
      <c r="BB1322" s="885"/>
      <c r="BC1322" s="885"/>
      <c r="BD1322" s="885"/>
      <c r="BE1322" s="885"/>
      <c r="BF1322" s="885"/>
      <c r="BG1322" s="885"/>
      <c r="BH1322" s="885"/>
      <c r="BI1322" s="885"/>
      <c r="BJ1322" s="885"/>
      <c r="BK1322" s="885"/>
      <c r="BL1322" s="885"/>
      <c r="BM1322" s="885"/>
      <c r="BN1322" s="885"/>
      <c r="BO1322" s="885"/>
      <c r="BP1322" s="885"/>
      <c r="BQ1322" s="885"/>
      <c r="BR1322" s="885"/>
      <c r="BS1322" s="885"/>
      <c r="BT1322" s="885"/>
      <c r="BU1322" s="885"/>
      <c r="BV1322" s="885"/>
      <c r="BW1322" s="885"/>
      <c r="BX1322" s="885"/>
      <c r="BY1322" s="885"/>
      <c r="BZ1322" s="885"/>
      <c r="CA1322" s="885"/>
      <c r="CB1322" s="885"/>
      <c r="CC1322" s="885"/>
      <c r="CD1322" s="885"/>
      <c r="CE1322" s="885"/>
      <c r="CF1322" s="885"/>
      <c r="CG1322" s="885"/>
      <c r="CH1322" s="885"/>
      <c r="CI1322" s="885"/>
      <c r="CJ1322" s="885"/>
      <c r="CK1322" s="885"/>
      <c r="CL1322" s="885"/>
      <c r="CM1322" s="885"/>
      <c r="CN1322" s="885"/>
      <c r="CO1322" s="885"/>
      <c r="CP1322" s="885"/>
      <c r="CQ1322" s="885"/>
      <c r="CR1322" s="885"/>
      <c r="CS1322" s="885"/>
      <c r="CT1322" s="885"/>
      <c r="CU1322" s="885"/>
      <c r="CV1322" s="885"/>
      <c r="CW1322" s="885"/>
      <c r="CX1322" s="885"/>
      <c r="CY1322" s="885"/>
      <c r="CZ1322" s="885"/>
      <c r="DA1322" s="885"/>
      <c r="DB1322" s="885"/>
      <c r="DC1322" s="885"/>
      <c r="DD1322" s="885"/>
      <c r="DE1322" s="885"/>
      <c r="DF1322" s="885"/>
      <c r="DG1322" s="885"/>
      <c r="DH1322" s="885"/>
      <c r="DI1322" s="885"/>
      <c r="DJ1322" s="885"/>
      <c r="DK1322" s="885"/>
      <c r="DL1322" s="885"/>
      <c r="DM1322" s="885"/>
      <c r="DN1322" s="885"/>
      <c r="DO1322" s="885"/>
      <c r="DP1322" s="885"/>
      <c r="DQ1322" s="885"/>
      <c r="DR1322" s="885"/>
      <c r="DS1322" s="885"/>
      <c r="DT1322" s="885"/>
      <c r="DU1322" s="885"/>
      <c r="DV1322" s="885"/>
      <c r="DW1322" s="885"/>
      <c r="DX1322" s="885"/>
      <c r="DY1322" s="885"/>
      <c r="DZ1322" s="885"/>
      <c r="EA1322" s="885"/>
      <c r="EB1322" s="885"/>
      <c r="EC1322" s="885"/>
      <c r="ED1322" s="885"/>
      <c r="EE1322" s="885"/>
      <c r="EF1322" s="885"/>
      <c r="EG1322" s="885"/>
      <c r="EH1322" s="885"/>
      <c r="EI1322" s="885"/>
      <c r="EJ1322" s="885"/>
      <c r="EK1322" s="885"/>
      <c r="EL1322" s="885"/>
      <c r="EM1322" s="885"/>
      <c r="EN1322" s="885"/>
      <c r="EO1322" s="885"/>
      <c r="EP1322" s="885"/>
      <c r="EQ1322" s="885"/>
      <c r="ER1322" s="885"/>
      <c r="ES1322" s="885"/>
      <c r="ET1322" s="885"/>
      <c r="EU1322" s="885"/>
      <c r="EV1322" s="885"/>
      <c r="EW1322" s="885"/>
      <c r="EX1322" s="885"/>
      <c r="EY1322" s="885"/>
      <c r="EZ1322" s="885"/>
      <c r="FA1322" s="885"/>
      <c r="FB1322" s="885"/>
      <c r="FC1322" s="885"/>
      <c r="FD1322" s="885"/>
      <c r="FE1322" s="885"/>
      <c r="FF1322" s="885"/>
      <c r="FG1322" s="885"/>
      <c r="FH1322" s="885"/>
      <c r="FI1322" s="885"/>
      <c r="FJ1322" s="885"/>
      <c r="FK1322" s="885"/>
      <c r="FL1322" s="885"/>
      <c r="FM1322" s="885"/>
      <c r="FN1322" s="885"/>
      <c r="FO1322" s="885"/>
      <c r="FP1322" s="885"/>
      <c r="FQ1322" s="885"/>
      <c r="FR1322" s="885"/>
      <c r="FS1322" s="885"/>
      <c r="FT1322" s="885"/>
      <c r="FU1322" s="885"/>
      <c r="FV1322" s="885"/>
      <c r="FW1322" s="885"/>
      <c r="FX1322" s="885"/>
      <c r="FY1322" s="885"/>
      <c r="FZ1322" s="885"/>
      <c r="GA1322" s="885"/>
      <c r="GB1322" s="885"/>
      <c r="GC1322" s="885"/>
      <c r="GD1322" s="885"/>
      <c r="GE1322" s="885"/>
      <c r="GF1322" s="885"/>
      <c r="GG1322" s="885"/>
      <c r="GH1322" s="885"/>
      <c r="GI1322" s="885"/>
      <c r="GJ1322" s="885"/>
      <c r="GK1322" s="885"/>
      <c r="GL1322" s="885"/>
      <c r="GM1322" s="885"/>
      <c r="GN1322" s="885"/>
      <c r="GO1322" s="885"/>
      <c r="GP1322" s="885"/>
      <c r="GQ1322" s="885"/>
      <c r="GR1322" s="885"/>
      <c r="GS1322" s="885"/>
      <c r="GT1322" s="885"/>
      <c r="GU1322" s="885"/>
      <c r="GV1322" s="885"/>
      <c r="GW1322" s="885"/>
      <c r="GX1322" s="885"/>
      <c r="GY1322" s="885"/>
      <c r="GZ1322" s="885"/>
      <c r="HA1322" s="885"/>
      <c r="HB1322" s="885"/>
      <c r="HC1322" s="885"/>
      <c r="HD1322" s="885"/>
      <c r="HE1322" s="885"/>
      <c r="HF1322" s="885"/>
      <c r="HG1322" s="885"/>
      <c r="HH1322" s="885"/>
      <c r="HI1322" s="885"/>
      <c r="HJ1322" s="885"/>
      <c r="HK1322" s="885"/>
      <c r="HL1322" s="885"/>
      <c r="HM1322" s="885"/>
      <c r="HN1322" s="885"/>
      <c r="HO1322" s="885"/>
      <c r="HP1322" s="885"/>
      <c r="HQ1322" s="885"/>
      <c r="HR1322" s="885"/>
      <c r="HS1322" s="885"/>
      <c r="HT1322" s="885"/>
      <c r="HU1322" s="885"/>
      <c r="HV1322" s="885"/>
      <c r="HW1322" s="885"/>
      <c r="HX1322" s="885"/>
      <c r="HY1322" s="885"/>
      <c r="HZ1322" s="885"/>
      <c r="IA1322" s="885"/>
      <c r="IB1322" s="885"/>
      <c r="IC1322" s="885"/>
      <c r="ID1322" s="885"/>
      <c r="IE1322" s="885"/>
      <c r="IF1322" s="885"/>
      <c r="IG1322" s="885"/>
      <c r="IH1322" s="885"/>
      <c r="II1322" s="885"/>
      <c r="IJ1322" s="885"/>
      <c r="IK1322" s="885"/>
      <c r="IL1322" s="885"/>
      <c r="IM1322" s="885"/>
      <c r="IN1322" s="885"/>
      <c r="IO1322" s="885"/>
      <c r="IP1322" s="885"/>
      <c r="IQ1322" s="885"/>
      <c r="IR1322" s="885"/>
      <c r="IS1322" s="885"/>
      <c r="IT1322" s="885"/>
      <c r="IU1322" s="885"/>
      <c r="IV1322" s="885"/>
      <c r="IW1322" s="885"/>
      <c r="IX1322" s="885"/>
    </row>
    <row r="1323" spans="1:258" x14ac:dyDescent="0.25">
      <c r="A1323" s="125">
        <f t="shared" si="152"/>
        <v>1283</v>
      </c>
      <c r="B1323" s="885"/>
      <c r="C1323" s="842" t="s">
        <v>10851</v>
      </c>
      <c r="D1323" s="924">
        <v>0</v>
      </c>
      <c r="E1323" s="924">
        <f t="shared" si="154"/>
        <v>0</v>
      </c>
      <c r="F1323" s="129">
        <v>2000</v>
      </c>
      <c r="G1323" s="122" t="s">
        <v>1963</v>
      </c>
      <c r="H1323" s="885"/>
      <c r="I1323" s="885"/>
      <c r="J1323" s="885"/>
      <c r="K1323" s="885"/>
      <c r="L1323" s="885"/>
      <c r="M1323" s="885"/>
      <c r="N1323" s="885"/>
      <c r="O1323" s="885"/>
      <c r="P1323" s="885"/>
      <c r="Q1323" s="885"/>
      <c r="R1323" s="885"/>
      <c r="S1323" s="885"/>
      <c r="T1323" s="885"/>
      <c r="U1323" s="885"/>
      <c r="V1323" s="885"/>
      <c r="W1323" s="885"/>
      <c r="X1323" s="885"/>
      <c r="Y1323" s="885"/>
      <c r="Z1323" s="885"/>
      <c r="AA1323" s="885"/>
      <c r="AB1323" s="885"/>
      <c r="AC1323" s="885"/>
      <c r="AD1323" s="885"/>
      <c r="AE1323" s="885"/>
      <c r="AF1323" s="885"/>
      <c r="AG1323" s="885"/>
      <c r="AH1323" s="885"/>
      <c r="AI1323" s="885"/>
      <c r="AJ1323" s="885"/>
      <c r="AK1323" s="885"/>
      <c r="AL1323" s="885"/>
      <c r="AM1323" s="885"/>
      <c r="AN1323" s="885"/>
      <c r="AO1323" s="885"/>
      <c r="AP1323" s="885"/>
      <c r="AQ1323" s="885"/>
      <c r="AR1323" s="885"/>
      <c r="AS1323" s="885"/>
      <c r="AT1323" s="885"/>
      <c r="AU1323" s="885"/>
      <c r="AV1323" s="885"/>
      <c r="AW1323" s="885"/>
      <c r="AX1323" s="885"/>
      <c r="AY1323" s="885"/>
      <c r="AZ1323" s="885"/>
      <c r="BA1323" s="885"/>
      <c r="BB1323" s="885"/>
      <c r="BC1323" s="885"/>
      <c r="BD1323" s="885"/>
      <c r="BE1323" s="885"/>
      <c r="BF1323" s="885"/>
      <c r="BG1323" s="885"/>
      <c r="BH1323" s="885"/>
      <c r="BI1323" s="885"/>
      <c r="BJ1323" s="885"/>
      <c r="BK1323" s="885"/>
      <c r="BL1323" s="885"/>
      <c r="BM1323" s="885"/>
      <c r="BN1323" s="885"/>
      <c r="BO1323" s="885"/>
      <c r="BP1323" s="885"/>
      <c r="BQ1323" s="885"/>
      <c r="BR1323" s="885"/>
      <c r="BS1323" s="885"/>
      <c r="BT1323" s="885"/>
      <c r="BU1323" s="885"/>
      <c r="BV1323" s="885"/>
      <c r="BW1323" s="885"/>
      <c r="BX1323" s="885"/>
      <c r="BY1323" s="885"/>
      <c r="BZ1323" s="885"/>
      <c r="CA1323" s="885"/>
      <c r="CB1323" s="885"/>
      <c r="CC1323" s="885"/>
      <c r="CD1323" s="885"/>
      <c r="CE1323" s="885"/>
      <c r="CF1323" s="885"/>
      <c r="CG1323" s="885"/>
      <c r="CH1323" s="885"/>
      <c r="CI1323" s="885"/>
      <c r="CJ1323" s="885"/>
      <c r="CK1323" s="885"/>
      <c r="CL1323" s="885"/>
      <c r="CM1323" s="885"/>
      <c r="CN1323" s="885"/>
      <c r="CO1323" s="885"/>
      <c r="CP1323" s="885"/>
      <c r="CQ1323" s="885"/>
      <c r="CR1323" s="885"/>
      <c r="CS1323" s="885"/>
      <c r="CT1323" s="885"/>
      <c r="CU1323" s="885"/>
      <c r="CV1323" s="885"/>
      <c r="CW1323" s="885"/>
      <c r="CX1323" s="885"/>
      <c r="CY1323" s="885"/>
      <c r="CZ1323" s="885"/>
      <c r="DA1323" s="885"/>
      <c r="DB1323" s="885"/>
      <c r="DC1323" s="885"/>
      <c r="DD1323" s="885"/>
      <c r="DE1323" s="885"/>
      <c r="DF1323" s="885"/>
      <c r="DG1323" s="885"/>
      <c r="DH1323" s="885"/>
      <c r="DI1323" s="885"/>
      <c r="DJ1323" s="885"/>
      <c r="DK1323" s="885"/>
      <c r="DL1323" s="885"/>
      <c r="DM1323" s="885"/>
      <c r="DN1323" s="885"/>
      <c r="DO1323" s="885"/>
      <c r="DP1323" s="885"/>
      <c r="DQ1323" s="885"/>
      <c r="DR1323" s="885"/>
      <c r="DS1323" s="885"/>
      <c r="DT1323" s="885"/>
      <c r="DU1323" s="885"/>
      <c r="DV1323" s="885"/>
      <c r="DW1323" s="885"/>
      <c r="DX1323" s="885"/>
      <c r="DY1323" s="885"/>
      <c r="DZ1323" s="885"/>
      <c r="EA1323" s="885"/>
      <c r="EB1323" s="885"/>
      <c r="EC1323" s="885"/>
      <c r="ED1323" s="885"/>
      <c r="EE1323" s="885"/>
      <c r="EF1323" s="885"/>
      <c r="EG1323" s="885"/>
      <c r="EH1323" s="885"/>
      <c r="EI1323" s="885"/>
      <c r="EJ1323" s="885"/>
      <c r="EK1323" s="885"/>
      <c r="EL1323" s="885"/>
      <c r="EM1323" s="885"/>
      <c r="EN1323" s="885"/>
      <c r="EO1323" s="885"/>
      <c r="EP1323" s="885"/>
      <c r="EQ1323" s="885"/>
      <c r="ER1323" s="885"/>
      <c r="ES1323" s="885"/>
      <c r="ET1323" s="885"/>
      <c r="EU1323" s="885"/>
      <c r="EV1323" s="885"/>
      <c r="EW1323" s="885"/>
      <c r="EX1323" s="885"/>
      <c r="EY1323" s="885"/>
      <c r="EZ1323" s="885"/>
      <c r="FA1323" s="885"/>
      <c r="FB1323" s="885"/>
      <c r="FC1323" s="885"/>
      <c r="FD1323" s="885"/>
      <c r="FE1323" s="885"/>
      <c r="FF1323" s="885"/>
      <c r="FG1323" s="885"/>
      <c r="FH1323" s="885"/>
      <c r="FI1323" s="885"/>
      <c r="FJ1323" s="885"/>
      <c r="FK1323" s="885"/>
      <c r="FL1323" s="885"/>
      <c r="FM1323" s="885"/>
      <c r="FN1323" s="885"/>
      <c r="FO1323" s="885"/>
      <c r="FP1323" s="885"/>
      <c r="FQ1323" s="885"/>
      <c r="FR1323" s="885"/>
      <c r="FS1323" s="885"/>
      <c r="FT1323" s="885"/>
      <c r="FU1323" s="885"/>
      <c r="FV1323" s="885"/>
      <c r="FW1323" s="885"/>
      <c r="FX1323" s="885"/>
      <c r="FY1323" s="885"/>
      <c r="FZ1323" s="885"/>
      <c r="GA1323" s="885"/>
      <c r="GB1323" s="885"/>
      <c r="GC1323" s="885"/>
      <c r="GD1323" s="885"/>
      <c r="GE1323" s="885"/>
      <c r="GF1323" s="885"/>
      <c r="GG1323" s="885"/>
      <c r="GH1323" s="885"/>
      <c r="GI1323" s="885"/>
      <c r="GJ1323" s="885"/>
      <c r="GK1323" s="885"/>
      <c r="GL1323" s="885"/>
      <c r="GM1323" s="885"/>
      <c r="GN1323" s="885"/>
      <c r="GO1323" s="885"/>
      <c r="GP1323" s="885"/>
      <c r="GQ1323" s="885"/>
      <c r="GR1323" s="885"/>
      <c r="GS1323" s="885"/>
      <c r="GT1323" s="885"/>
      <c r="GU1323" s="885"/>
      <c r="GV1323" s="885"/>
      <c r="GW1323" s="885"/>
      <c r="GX1323" s="885"/>
      <c r="GY1323" s="885"/>
      <c r="GZ1323" s="885"/>
      <c r="HA1323" s="885"/>
      <c r="HB1323" s="885"/>
      <c r="HC1323" s="885"/>
      <c r="HD1323" s="885"/>
      <c r="HE1323" s="885"/>
      <c r="HF1323" s="885"/>
      <c r="HG1323" s="885"/>
      <c r="HH1323" s="885"/>
      <c r="HI1323" s="885"/>
      <c r="HJ1323" s="885"/>
      <c r="HK1323" s="885"/>
      <c r="HL1323" s="885"/>
      <c r="HM1323" s="885"/>
      <c r="HN1323" s="885"/>
      <c r="HO1323" s="885"/>
      <c r="HP1323" s="885"/>
      <c r="HQ1323" s="885"/>
      <c r="HR1323" s="885"/>
      <c r="HS1323" s="885"/>
      <c r="HT1323" s="885"/>
      <c r="HU1323" s="885"/>
      <c r="HV1323" s="885"/>
      <c r="HW1323" s="885"/>
      <c r="HX1323" s="885"/>
      <c r="HY1323" s="885"/>
      <c r="HZ1323" s="885"/>
      <c r="IA1323" s="885"/>
      <c r="IB1323" s="885"/>
      <c r="IC1323" s="885"/>
      <c r="ID1323" s="885"/>
      <c r="IE1323" s="885"/>
      <c r="IF1323" s="885"/>
      <c r="IG1323" s="885"/>
      <c r="IH1323" s="885"/>
      <c r="II1323" s="885"/>
      <c r="IJ1323" s="885"/>
      <c r="IK1323" s="885"/>
      <c r="IL1323" s="885"/>
      <c r="IM1323" s="885"/>
      <c r="IN1323" s="885"/>
      <c r="IO1323" s="885"/>
      <c r="IP1323" s="885"/>
      <c r="IQ1323" s="885"/>
      <c r="IR1323" s="885"/>
      <c r="IS1323" s="885"/>
      <c r="IT1323" s="885"/>
      <c r="IU1323" s="885"/>
      <c r="IV1323" s="885"/>
      <c r="IW1323" s="885"/>
      <c r="IX1323" s="885"/>
    </row>
    <row r="1324" spans="1:258" x14ac:dyDescent="0.25">
      <c r="A1324" s="125">
        <f t="shared" si="152"/>
        <v>1284</v>
      </c>
      <c r="B1324" s="885"/>
      <c r="C1324" s="842" t="s">
        <v>10852</v>
      </c>
      <c r="D1324" s="924">
        <v>0</v>
      </c>
      <c r="E1324" s="924">
        <f t="shared" si="154"/>
        <v>0</v>
      </c>
      <c r="F1324" s="129">
        <f>F1322*F83</f>
        <v>300</v>
      </c>
      <c r="G1324" s="122" t="s">
        <v>1963</v>
      </c>
      <c r="H1324" s="885"/>
      <c r="I1324" s="885"/>
      <c r="J1324" s="885"/>
      <c r="K1324" s="885"/>
      <c r="L1324" s="885"/>
      <c r="M1324" s="885"/>
      <c r="N1324" s="885"/>
      <c r="O1324" s="885"/>
      <c r="P1324" s="885"/>
      <c r="Q1324" s="885"/>
      <c r="R1324" s="885"/>
      <c r="S1324" s="885"/>
      <c r="T1324" s="885"/>
      <c r="U1324" s="885"/>
      <c r="V1324" s="885"/>
      <c r="W1324" s="885"/>
      <c r="X1324" s="885"/>
      <c r="Y1324" s="885"/>
      <c r="Z1324" s="885"/>
      <c r="AA1324" s="885"/>
      <c r="AB1324" s="885"/>
      <c r="AC1324" s="885"/>
      <c r="AD1324" s="885"/>
      <c r="AE1324" s="885"/>
      <c r="AF1324" s="885"/>
      <c r="AG1324" s="885"/>
      <c r="AH1324" s="885"/>
      <c r="AI1324" s="885"/>
      <c r="AJ1324" s="885"/>
      <c r="AK1324" s="885"/>
      <c r="AL1324" s="885"/>
      <c r="AM1324" s="885"/>
      <c r="AN1324" s="885"/>
      <c r="AO1324" s="885"/>
      <c r="AP1324" s="885"/>
      <c r="AQ1324" s="885"/>
      <c r="AR1324" s="885"/>
      <c r="AS1324" s="885"/>
      <c r="AT1324" s="885"/>
      <c r="AU1324" s="885"/>
      <c r="AV1324" s="885"/>
      <c r="AW1324" s="885"/>
      <c r="AX1324" s="885"/>
      <c r="AY1324" s="885"/>
      <c r="AZ1324" s="885"/>
      <c r="BA1324" s="885"/>
      <c r="BB1324" s="885"/>
      <c r="BC1324" s="885"/>
      <c r="BD1324" s="885"/>
      <c r="BE1324" s="885"/>
      <c r="BF1324" s="885"/>
      <c r="BG1324" s="885"/>
      <c r="BH1324" s="885"/>
      <c r="BI1324" s="885"/>
      <c r="BJ1324" s="885"/>
      <c r="BK1324" s="885"/>
      <c r="BL1324" s="885"/>
      <c r="BM1324" s="885"/>
      <c r="BN1324" s="885"/>
      <c r="BO1324" s="885"/>
      <c r="BP1324" s="885"/>
      <c r="BQ1324" s="885"/>
      <c r="BR1324" s="885"/>
      <c r="BS1324" s="885"/>
      <c r="BT1324" s="885"/>
      <c r="BU1324" s="885"/>
      <c r="BV1324" s="885"/>
      <c r="BW1324" s="885"/>
      <c r="BX1324" s="885"/>
      <c r="BY1324" s="885"/>
      <c r="BZ1324" s="885"/>
      <c r="CA1324" s="885"/>
      <c r="CB1324" s="885"/>
      <c r="CC1324" s="885"/>
      <c r="CD1324" s="885"/>
      <c r="CE1324" s="885"/>
      <c r="CF1324" s="885"/>
      <c r="CG1324" s="885"/>
      <c r="CH1324" s="885"/>
      <c r="CI1324" s="885"/>
      <c r="CJ1324" s="885"/>
      <c r="CK1324" s="885"/>
      <c r="CL1324" s="885"/>
      <c r="CM1324" s="885"/>
      <c r="CN1324" s="885"/>
      <c r="CO1324" s="885"/>
      <c r="CP1324" s="885"/>
      <c r="CQ1324" s="885"/>
      <c r="CR1324" s="885"/>
      <c r="CS1324" s="885"/>
      <c r="CT1324" s="885"/>
      <c r="CU1324" s="885"/>
      <c r="CV1324" s="885"/>
      <c r="CW1324" s="885"/>
      <c r="CX1324" s="885"/>
      <c r="CY1324" s="885"/>
      <c r="CZ1324" s="885"/>
      <c r="DA1324" s="885"/>
      <c r="DB1324" s="885"/>
      <c r="DC1324" s="885"/>
      <c r="DD1324" s="885"/>
      <c r="DE1324" s="885"/>
      <c r="DF1324" s="885"/>
      <c r="DG1324" s="885"/>
      <c r="DH1324" s="885"/>
      <c r="DI1324" s="885"/>
      <c r="DJ1324" s="885"/>
      <c r="DK1324" s="885"/>
      <c r="DL1324" s="885"/>
      <c r="DM1324" s="885"/>
      <c r="DN1324" s="885"/>
      <c r="DO1324" s="885"/>
      <c r="DP1324" s="885"/>
      <c r="DQ1324" s="885"/>
      <c r="DR1324" s="885"/>
      <c r="DS1324" s="885"/>
      <c r="DT1324" s="885"/>
      <c r="DU1324" s="885"/>
      <c r="DV1324" s="885"/>
      <c r="DW1324" s="885"/>
      <c r="DX1324" s="885"/>
      <c r="DY1324" s="885"/>
      <c r="DZ1324" s="885"/>
      <c r="EA1324" s="885"/>
      <c r="EB1324" s="885"/>
      <c r="EC1324" s="885"/>
      <c r="ED1324" s="885"/>
      <c r="EE1324" s="885"/>
      <c r="EF1324" s="885"/>
      <c r="EG1324" s="885"/>
      <c r="EH1324" s="885"/>
      <c r="EI1324" s="885"/>
      <c r="EJ1324" s="885"/>
      <c r="EK1324" s="885"/>
      <c r="EL1324" s="885"/>
      <c r="EM1324" s="885"/>
      <c r="EN1324" s="885"/>
      <c r="EO1324" s="885"/>
      <c r="EP1324" s="885"/>
      <c r="EQ1324" s="885"/>
      <c r="ER1324" s="885"/>
      <c r="ES1324" s="885"/>
      <c r="ET1324" s="885"/>
      <c r="EU1324" s="885"/>
      <c r="EV1324" s="885"/>
      <c r="EW1324" s="885"/>
      <c r="EX1324" s="885"/>
      <c r="EY1324" s="885"/>
      <c r="EZ1324" s="885"/>
      <c r="FA1324" s="885"/>
      <c r="FB1324" s="885"/>
      <c r="FC1324" s="885"/>
      <c r="FD1324" s="885"/>
      <c r="FE1324" s="885"/>
      <c r="FF1324" s="885"/>
      <c r="FG1324" s="885"/>
      <c r="FH1324" s="885"/>
      <c r="FI1324" s="885"/>
      <c r="FJ1324" s="885"/>
      <c r="FK1324" s="885"/>
      <c r="FL1324" s="885"/>
      <c r="FM1324" s="885"/>
      <c r="FN1324" s="885"/>
      <c r="FO1324" s="885"/>
      <c r="FP1324" s="885"/>
      <c r="FQ1324" s="885"/>
      <c r="FR1324" s="885"/>
      <c r="FS1324" s="885"/>
      <c r="FT1324" s="885"/>
      <c r="FU1324" s="885"/>
      <c r="FV1324" s="885"/>
      <c r="FW1324" s="885"/>
      <c r="FX1324" s="885"/>
      <c r="FY1324" s="885"/>
      <c r="FZ1324" s="885"/>
      <c r="GA1324" s="885"/>
      <c r="GB1324" s="885"/>
      <c r="GC1324" s="885"/>
      <c r="GD1324" s="885"/>
      <c r="GE1324" s="885"/>
      <c r="GF1324" s="885"/>
      <c r="GG1324" s="885"/>
      <c r="GH1324" s="885"/>
      <c r="GI1324" s="885"/>
      <c r="GJ1324" s="885"/>
      <c r="GK1324" s="885"/>
      <c r="GL1324" s="885"/>
      <c r="GM1324" s="885"/>
      <c r="GN1324" s="885"/>
      <c r="GO1324" s="885"/>
      <c r="GP1324" s="885"/>
      <c r="GQ1324" s="885"/>
      <c r="GR1324" s="885"/>
      <c r="GS1324" s="885"/>
      <c r="GT1324" s="885"/>
      <c r="GU1324" s="885"/>
      <c r="GV1324" s="885"/>
      <c r="GW1324" s="885"/>
      <c r="GX1324" s="885"/>
      <c r="GY1324" s="885"/>
      <c r="GZ1324" s="885"/>
      <c r="HA1324" s="885"/>
      <c r="HB1324" s="885"/>
      <c r="HC1324" s="885"/>
      <c r="HD1324" s="885"/>
      <c r="HE1324" s="885"/>
      <c r="HF1324" s="885"/>
      <c r="HG1324" s="885"/>
      <c r="HH1324" s="885"/>
      <c r="HI1324" s="885"/>
      <c r="HJ1324" s="885"/>
      <c r="HK1324" s="885"/>
      <c r="HL1324" s="885"/>
      <c r="HM1324" s="885"/>
      <c r="HN1324" s="885"/>
      <c r="HO1324" s="885"/>
      <c r="HP1324" s="885"/>
      <c r="HQ1324" s="885"/>
      <c r="HR1324" s="885"/>
      <c r="HS1324" s="885"/>
      <c r="HT1324" s="885"/>
      <c r="HU1324" s="885"/>
      <c r="HV1324" s="885"/>
      <c r="HW1324" s="885"/>
      <c r="HX1324" s="885"/>
      <c r="HY1324" s="885"/>
      <c r="HZ1324" s="885"/>
      <c r="IA1324" s="885"/>
      <c r="IB1324" s="885"/>
      <c r="IC1324" s="885"/>
      <c r="ID1324" s="885"/>
      <c r="IE1324" s="885"/>
      <c r="IF1324" s="885"/>
      <c r="IG1324" s="885"/>
      <c r="IH1324" s="885"/>
      <c r="II1324" s="885"/>
      <c r="IJ1324" s="885"/>
      <c r="IK1324" s="885"/>
      <c r="IL1324" s="885"/>
      <c r="IM1324" s="885"/>
      <c r="IN1324" s="885"/>
      <c r="IO1324" s="885"/>
      <c r="IP1324" s="885"/>
      <c r="IQ1324" s="885"/>
      <c r="IR1324" s="885"/>
      <c r="IS1324" s="885"/>
      <c r="IT1324" s="885"/>
      <c r="IU1324" s="885"/>
      <c r="IV1324" s="885"/>
      <c r="IW1324" s="885"/>
      <c r="IX1324" s="885"/>
    </row>
    <row r="1325" spans="1:258" x14ac:dyDescent="0.25">
      <c r="A1325" s="125">
        <f t="shared" si="152"/>
        <v>1285</v>
      </c>
      <c r="B1325" s="885"/>
      <c r="C1325" s="842" t="s">
        <v>10853</v>
      </c>
      <c r="D1325" s="924">
        <v>0</v>
      </c>
      <c r="E1325" s="924">
        <f t="shared" si="154"/>
        <v>0</v>
      </c>
      <c r="F1325" s="129">
        <v>1</v>
      </c>
      <c r="G1325" s="122" t="s">
        <v>1963</v>
      </c>
      <c r="H1325" s="885"/>
      <c r="I1325" s="885"/>
      <c r="J1325" s="885"/>
      <c r="K1325" s="885"/>
      <c r="L1325" s="885"/>
      <c r="M1325" s="885"/>
      <c r="N1325" s="885"/>
      <c r="O1325" s="885"/>
      <c r="P1325" s="885"/>
      <c r="Q1325" s="885"/>
      <c r="R1325" s="885"/>
      <c r="S1325" s="885"/>
      <c r="T1325" s="885"/>
      <c r="U1325" s="885"/>
      <c r="V1325" s="885"/>
      <c r="W1325" s="885"/>
      <c r="X1325" s="885"/>
      <c r="Y1325" s="885"/>
      <c r="Z1325" s="885"/>
      <c r="AA1325" s="885"/>
      <c r="AB1325" s="885"/>
      <c r="AC1325" s="885"/>
      <c r="AD1325" s="885"/>
      <c r="AE1325" s="885"/>
      <c r="AF1325" s="885"/>
      <c r="AG1325" s="885"/>
      <c r="AH1325" s="885"/>
      <c r="AI1325" s="885"/>
      <c r="AJ1325" s="885"/>
      <c r="AK1325" s="885"/>
      <c r="AL1325" s="885"/>
      <c r="AM1325" s="885"/>
      <c r="AN1325" s="885"/>
      <c r="AO1325" s="885"/>
      <c r="AP1325" s="885"/>
      <c r="AQ1325" s="885"/>
      <c r="AR1325" s="885"/>
      <c r="AS1325" s="885"/>
      <c r="AT1325" s="885"/>
      <c r="AU1325" s="885"/>
      <c r="AV1325" s="885"/>
      <c r="AW1325" s="885"/>
      <c r="AX1325" s="885"/>
      <c r="AY1325" s="885"/>
      <c r="AZ1325" s="885"/>
      <c r="BA1325" s="885"/>
      <c r="BB1325" s="885"/>
      <c r="BC1325" s="885"/>
      <c r="BD1325" s="885"/>
      <c r="BE1325" s="885"/>
      <c r="BF1325" s="885"/>
      <c r="BG1325" s="885"/>
      <c r="BH1325" s="885"/>
      <c r="BI1325" s="885"/>
      <c r="BJ1325" s="885"/>
      <c r="BK1325" s="885"/>
      <c r="BL1325" s="885"/>
      <c r="BM1325" s="885"/>
      <c r="BN1325" s="885"/>
      <c r="BO1325" s="885"/>
      <c r="BP1325" s="885"/>
      <c r="BQ1325" s="885"/>
      <c r="BR1325" s="885"/>
      <c r="BS1325" s="885"/>
      <c r="BT1325" s="885"/>
      <c r="BU1325" s="885"/>
      <c r="BV1325" s="885"/>
      <c r="BW1325" s="885"/>
      <c r="BX1325" s="885"/>
      <c r="BY1325" s="885"/>
      <c r="BZ1325" s="885"/>
      <c r="CA1325" s="885"/>
      <c r="CB1325" s="885"/>
      <c r="CC1325" s="885"/>
      <c r="CD1325" s="885"/>
      <c r="CE1325" s="885"/>
      <c r="CF1325" s="885"/>
      <c r="CG1325" s="885"/>
      <c r="CH1325" s="885"/>
      <c r="CI1325" s="885"/>
      <c r="CJ1325" s="885"/>
      <c r="CK1325" s="885"/>
      <c r="CL1325" s="885"/>
      <c r="CM1325" s="885"/>
      <c r="CN1325" s="885"/>
      <c r="CO1325" s="885"/>
      <c r="CP1325" s="885"/>
      <c r="CQ1325" s="885"/>
      <c r="CR1325" s="885"/>
      <c r="CS1325" s="885"/>
      <c r="CT1325" s="885"/>
      <c r="CU1325" s="885"/>
      <c r="CV1325" s="885"/>
      <c r="CW1325" s="885"/>
      <c r="CX1325" s="885"/>
      <c r="CY1325" s="885"/>
      <c r="CZ1325" s="885"/>
      <c r="DA1325" s="885"/>
      <c r="DB1325" s="885"/>
      <c r="DC1325" s="885"/>
      <c r="DD1325" s="885"/>
      <c r="DE1325" s="885"/>
      <c r="DF1325" s="885"/>
      <c r="DG1325" s="885"/>
      <c r="DH1325" s="885"/>
      <c r="DI1325" s="885"/>
      <c r="DJ1325" s="885"/>
      <c r="DK1325" s="885"/>
      <c r="DL1325" s="885"/>
      <c r="DM1325" s="885"/>
      <c r="DN1325" s="885"/>
      <c r="DO1325" s="885"/>
      <c r="DP1325" s="885"/>
      <c r="DQ1325" s="885"/>
      <c r="DR1325" s="885"/>
      <c r="DS1325" s="885"/>
      <c r="DT1325" s="885"/>
      <c r="DU1325" s="885"/>
      <c r="DV1325" s="885"/>
      <c r="DW1325" s="885"/>
      <c r="DX1325" s="885"/>
      <c r="DY1325" s="885"/>
      <c r="DZ1325" s="885"/>
      <c r="EA1325" s="885"/>
      <c r="EB1325" s="885"/>
      <c r="EC1325" s="885"/>
      <c r="ED1325" s="885"/>
      <c r="EE1325" s="885"/>
      <c r="EF1325" s="885"/>
      <c r="EG1325" s="885"/>
      <c r="EH1325" s="885"/>
      <c r="EI1325" s="885"/>
      <c r="EJ1325" s="885"/>
      <c r="EK1325" s="885"/>
      <c r="EL1325" s="885"/>
      <c r="EM1325" s="885"/>
      <c r="EN1325" s="885"/>
      <c r="EO1325" s="885"/>
      <c r="EP1325" s="885"/>
      <c r="EQ1325" s="885"/>
      <c r="ER1325" s="885"/>
      <c r="ES1325" s="885"/>
      <c r="ET1325" s="885"/>
      <c r="EU1325" s="885"/>
      <c r="EV1325" s="885"/>
      <c r="EW1325" s="885"/>
      <c r="EX1325" s="885"/>
      <c r="EY1325" s="885"/>
      <c r="EZ1325" s="885"/>
      <c r="FA1325" s="885"/>
      <c r="FB1325" s="885"/>
      <c r="FC1325" s="885"/>
      <c r="FD1325" s="885"/>
      <c r="FE1325" s="885"/>
      <c r="FF1325" s="885"/>
      <c r="FG1325" s="885"/>
      <c r="FH1325" s="885"/>
      <c r="FI1325" s="885"/>
      <c r="FJ1325" s="885"/>
      <c r="FK1325" s="885"/>
      <c r="FL1325" s="885"/>
      <c r="FM1325" s="885"/>
      <c r="FN1325" s="885"/>
      <c r="FO1325" s="885"/>
      <c r="FP1325" s="885"/>
      <c r="FQ1325" s="885"/>
      <c r="FR1325" s="885"/>
      <c r="FS1325" s="885"/>
      <c r="FT1325" s="885"/>
      <c r="FU1325" s="885"/>
      <c r="FV1325" s="885"/>
      <c r="FW1325" s="885"/>
      <c r="FX1325" s="885"/>
      <c r="FY1325" s="885"/>
      <c r="FZ1325" s="885"/>
      <c r="GA1325" s="885"/>
      <c r="GB1325" s="885"/>
      <c r="GC1325" s="885"/>
      <c r="GD1325" s="885"/>
      <c r="GE1325" s="885"/>
      <c r="GF1325" s="885"/>
      <c r="GG1325" s="885"/>
      <c r="GH1325" s="885"/>
      <c r="GI1325" s="885"/>
      <c r="GJ1325" s="885"/>
      <c r="GK1325" s="885"/>
      <c r="GL1325" s="885"/>
      <c r="GM1325" s="885"/>
      <c r="GN1325" s="885"/>
      <c r="GO1325" s="885"/>
      <c r="GP1325" s="885"/>
      <c r="GQ1325" s="885"/>
      <c r="GR1325" s="885"/>
      <c r="GS1325" s="885"/>
      <c r="GT1325" s="885"/>
      <c r="GU1325" s="885"/>
      <c r="GV1325" s="885"/>
      <c r="GW1325" s="885"/>
      <c r="GX1325" s="885"/>
      <c r="GY1325" s="885"/>
      <c r="GZ1325" s="885"/>
      <c r="HA1325" s="885"/>
      <c r="HB1325" s="885"/>
      <c r="HC1325" s="885"/>
      <c r="HD1325" s="885"/>
      <c r="HE1325" s="885"/>
      <c r="HF1325" s="885"/>
      <c r="HG1325" s="885"/>
      <c r="HH1325" s="885"/>
      <c r="HI1325" s="885"/>
      <c r="HJ1325" s="885"/>
      <c r="HK1325" s="885"/>
      <c r="HL1325" s="885"/>
      <c r="HM1325" s="885"/>
      <c r="HN1325" s="885"/>
      <c r="HO1325" s="885"/>
      <c r="HP1325" s="885"/>
      <c r="HQ1325" s="885"/>
      <c r="HR1325" s="885"/>
      <c r="HS1325" s="885"/>
      <c r="HT1325" s="885"/>
      <c r="HU1325" s="885"/>
      <c r="HV1325" s="885"/>
      <c r="HW1325" s="885"/>
      <c r="HX1325" s="885"/>
      <c r="HY1325" s="885"/>
      <c r="HZ1325" s="885"/>
      <c r="IA1325" s="885"/>
      <c r="IB1325" s="885"/>
      <c r="IC1325" s="885"/>
      <c r="ID1325" s="885"/>
      <c r="IE1325" s="885"/>
      <c r="IF1325" s="885"/>
      <c r="IG1325" s="885"/>
      <c r="IH1325" s="885"/>
      <c r="II1325" s="885"/>
      <c r="IJ1325" s="885"/>
      <c r="IK1325" s="885"/>
      <c r="IL1325" s="885"/>
      <c r="IM1325" s="885"/>
      <c r="IN1325" s="885"/>
      <c r="IO1325" s="885"/>
      <c r="IP1325" s="885"/>
      <c r="IQ1325" s="885"/>
      <c r="IR1325" s="885"/>
      <c r="IS1325" s="885"/>
      <c r="IT1325" s="885"/>
      <c r="IU1325" s="885"/>
      <c r="IV1325" s="885"/>
      <c r="IW1325" s="885"/>
      <c r="IX1325" s="885"/>
    </row>
    <row r="1326" spans="1:258" x14ac:dyDescent="0.25">
      <c r="A1326" s="125">
        <f t="shared" si="152"/>
        <v>1286</v>
      </c>
      <c r="B1326" s="885"/>
      <c r="C1326" s="842" t="s">
        <v>10854</v>
      </c>
      <c r="D1326" s="924">
        <v>0</v>
      </c>
      <c r="E1326" s="924">
        <f t="shared" si="154"/>
        <v>0</v>
      </c>
      <c r="F1326" s="129">
        <v>500</v>
      </c>
      <c r="G1326" s="122" t="s">
        <v>1963</v>
      </c>
      <c r="H1326" s="885"/>
      <c r="I1326" s="885"/>
      <c r="J1326" s="885"/>
      <c r="K1326" s="885"/>
      <c r="L1326" s="885"/>
      <c r="M1326" s="885"/>
      <c r="N1326" s="885"/>
      <c r="O1326" s="885"/>
      <c r="P1326" s="885"/>
      <c r="Q1326" s="885"/>
      <c r="R1326" s="885"/>
      <c r="S1326" s="885"/>
      <c r="T1326" s="885"/>
      <c r="U1326" s="885"/>
      <c r="V1326" s="885"/>
      <c r="W1326" s="885"/>
      <c r="X1326" s="885"/>
      <c r="Y1326" s="885"/>
      <c r="Z1326" s="885"/>
      <c r="AA1326" s="885"/>
      <c r="AB1326" s="885"/>
      <c r="AC1326" s="885"/>
      <c r="AD1326" s="885"/>
      <c r="AE1326" s="885"/>
      <c r="AF1326" s="885"/>
      <c r="AG1326" s="885"/>
      <c r="AH1326" s="885"/>
      <c r="AI1326" s="885"/>
      <c r="AJ1326" s="885"/>
      <c r="AK1326" s="885"/>
      <c r="AL1326" s="885"/>
      <c r="AM1326" s="885"/>
      <c r="AN1326" s="885"/>
      <c r="AO1326" s="885"/>
      <c r="AP1326" s="885"/>
      <c r="AQ1326" s="885"/>
      <c r="AR1326" s="885"/>
      <c r="AS1326" s="885"/>
      <c r="AT1326" s="885"/>
      <c r="AU1326" s="885"/>
      <c r="AV1326" s="885"/>
      <c r="AW1326" s="885"/>
      <c r="AX1326" s="885"/>
      <c r="AY1326" s="885"/>
      <c r="AZ1326" s="885"/>
      <c r="BA1326" s="885"/>
      <c r="BB1326" s="885"/>
      <c r="BC1326" s="885"/>
      <c r="BD1326" s="885"/>
      <c r="BE1326" s="885"/>
      <c r="BF1326" s="885"/>
      <c r="BG1326" s="885"/>
      <c r="BH1326" s="885"/>
      <c r="BI1326" s="885"/>
      <c r="BJ1326" s="885"/>
      <c r="BK1326" s="885"/>
      <c r="BL1326" s="885"/>
      <c r="BM1326" s="885"/>
      <c r="BN1326" s="885"/>
      <c r="BO1326" s="885"/>
      <c r="BP1326" s="885"/>
      <c r="BQ1326" s="885"/>
      <c r="BR1326" s="885"/>
      <c r="BS1326" s="885"/>
      <c r="BT1326" s="885"/>
      <c r="BU1326" s="885"/>
      <c r="BV1326" s="885"/>
      <c r="BW1326" s="885"/>
      <c r="BX1326" s="885"/>
      <c r="BY1326" s="885"/>
      <c r="BZ1326" s="885"/>
      <c r="CA1326" s="885"/>
      <c r="CB1326" s="885"/>
      <c r="CC1326" s="885"/>
      <c r="CD1326" s="885"/>
      <c r="CE1326" s="885"/>
      <c r="CF1326" s="885"/>
      <c r="CG1326" s="885"/>
      <c r="CH1326" s="885"/>
      <c r="CI1326" s="885"/>
      <c r="CJ1326" s="885"/>
      <c r="CK1326" s="885"/>
      <c r="CL1326" s="885"/>
      <c r="CM1326" s="885"/>
      <c r="CN1326" s="885"/>
      <c r="CO1326" s="885"/>
      <c r="CP1326" s="885"/>
      <c r="CQ1326" s="885"/>
      <c r="CR1326" s="885"/>
      <c r="CS1326" s="885"/>
      <c r="CT1326" s="885"/>
      <c r="CU1326" s="885"/>
      <c r="CV1326" s="885"/>
      <c r="CW1326" s="885"/>
      <c r="CX1326" s="885"/>
      <c r="CY1326" s="885"/>
      <c r="CZ1326" s="885"/>
      <c r="DA1326" s="885"/>
      <c r="DB1326" s="885"/>
      <c r="DC1326" s="885"/>
      <c r="DD1326" s="885"/>
      <c r="DE1326" s="885"/>
      <c r="DF1326" s="885"/>
      <c r="DG1326" s="885"/>
      <c r="DH1326" s="885"/>
      <c r="DI1326" s="885"/>
      <c r="DJ1326" s="885"/>
      <c r="DK1326" s="885"/>
      <c r="DL1326" s="885"/>
      <c r="DM1326" s="885"/>
      <c r="DN1326" s="885"/>
      <c r="DO1326" s="885"/>
      <c r="DP1326" s="885"/>
      <c r="DQ1326" s="885"/>
      <c r="DR1326" s="885"/>
      <c r="DS1326" s="885"/>
      <c r="DT1326" s="885"/>
      <c r="DU1326" s="885"/>
      <c r="DV1326" s="885"/>
      <c r="DW1326" s="885"/>
      <c r="DX1326" s="885"/>
      <c r="DY1326" s="885"/>
      <c r="DZ1326" s="885"/>
      <c r="EA1326" s="885"/>
      <c r="EB1326" s="885"/>
      <c r="EC1326" s="885"/>
      <c r="ED1326" s="885"/>
      <c r="EE1326" s="885"/>
      <c r="EF1326" s="885"/>
      <c r="EG1326" s="885"/>
      <c r="EH1326" s="885"/>
      <c r="EI1326" s="885"/>
      <c r="EJ1326" s="885"/>
      <c r="EK1326" s="885"/>
      <c r="EL1326" s="885"/>
      <c r="EM1326" s="885"/>
      <c r="EN1326" s="885"/>
      <c r="EO1326" s="885"/>
      <c r="EP1326" s="885"/>
      <c r="EQ1326" s="885"/>
      <c r="ER1326" s="885"/>
      <c r="ES1326" s="885"/>
      <c r="ET1326" s="885"/>
      <c r="EU1326" s="885"/>
      <c r="EV1326" s="885"/>
      <c r="EW1326" s="885"/>
      <c r="EX1326" s="885"/>
      <c r="EY1326" s="885"/>
      <c r="EZ1326" s="885"/>
      <c r="FA1326" s="885"/>
      <c r="FB1326" s="885"/>
      <c r="FC1326" s="885"/>
      <c r="FD1326" s="885"/>
      <c r="FE1326" s="885"/>
      <c r="FF1326" s="885"/>
      <c r="FG1326" s="885"/>
      <c r="FH1326" s="885"/>
      <c r="FI1326" s="885"/>
      <c r="FJ1326" s="885"/>
      <c r="FK1326" s="885"/>
      <c r="FL1326" s="885"/>
      <c r="FM1326" s="885"/>
      <c r="FN1326" s="885"/>
      <c r="FO1326" s="885"/>
      <c r="FP1326" s="885"/>
      <c r="FQ1326" s="885"/>
      <c r="FR1326" s="885"/>
      <c r="FS1326" s="885"/>
      <c r="FT1326" s="885"/>
      <c r="FU1326" s="885"/>
      <c r="FV1326" s="885"/>
      <c r="FW1326" s="885"/>
      <c r="FX1326" s="885"/>
      <c r="FY1326" s="885"/>
      <c r="FZ1326" s="885"/>
      <c r="GA1326" s="885"/>
      <c r="GB1326" s="885"/>
      <c r="GC1326" s="885"/>
      <c r="GD1326" s="885"/>
      <c r="GE1326" s="885"/>
      <c r="GF1326" s="885"/>
      <c r="GG1326" s="885"/>
      <c r="GH1326" s="885"/>
      <c r="GI1326" s="885"/>
      <c r="GJ1326" s="885"/>
      <c r="GK1326" s="885"/>
      <c r="GL1326" s="885"/>
      <c r="GM1326" s="885"/>
      <c r="GN1326" s="885"/>
      <c r="GO1326" s="885"/>
      <c r="GP1326" s="885"/>
      <c r="GQ1326" s="885"/>
      <c r="GR1326" s="885"/>
      <c r="GS1326" s="885"/>
      <c r="GT1326" s="885"/>
      <c r="GU1326" s="885"/>
      <c r="GV1326" s="885"/>
      <c r="GW1326" s="885"/>
      <c r="GX1326" s="885"/>
      <c r="GY1326" s="885"/>
      <c r="GZ1326" s="885"/>
      <c r="HA1326" s="885"/>
      <c r="HB1326" s="885"/>
      <c r="HC1326" s="885"/>
      <c r="HD1326" s="885"/>
      <c r="HE1326" s="885"/>
      <c r="HF1326" s="885"/>
      <c r="HG1326" s="885"/>
      <c r="HH1326" s="885"/>
      <c r="HI1326" s="885"/>
      <c r="HJ1326" s="885"/>
      <c r="HK1326" s="885"/>
      <c r="HL1326" s="885"/>
      <c r="HM1326" s="885"/>
      <c r="HN1326" s="885"/>
      <c r="HO1326" s="885"/>
      <c r="HP1326" s="885"/>
      <c r="HQ1326" s="885"/>
      <c r="HR1326" s="885"/>
      <c r="HS1326" s="885"/>
      <c r="HT1326" s="885"/>
      <c r="HU1326" s="885"/>
      <c r="HV1326" s="885"/>
      <c r="HW1326" s="885"/>
      <c r="HX1326" s="885"/>
      <c r="HY1326" s="885"/>
      <c r="HZ1326" s="885"/>
      <c r="IA1326" s="885"/>
      <c r="IB1326" s="885"/>
      <c r="IC1326" s="885"/>
      <c r="ID1326" s="885"/>
      <c r="IE1326" s="885"/>
      <c r="IF1326" s="885"/>
      <c r="IG1326" s="885"/>
      <c r="IH1326" s="885"/>
      <c r="II1326" s="885"/>
      <c r="IJ1326" s="885"/>
      <c r="IK1326" s="885"/>
      <c r="IL1326" s="885"/>
      <c r="IM1326" s="885"/>
      <c r="IN1326" s="885"/>
      <c r="IO1326" s="885"/>
      <c r="IP1326" s="885"/>
      <c r="IQ1326" s="885"/>
      <c r="IR1326" s="885"/>
      <c r="IS1326" s="885"/>
      <c r="IT1326" s="885"/>
      <c r="IU1326" s="885"/>
      <c r="IV1326" s="885"/>
      <c r="IW1326" s="885"/>
      <c r="IX1326" s="885"/>
    </row>
    <row r="1327" spans="1:258" x14ac:dyDescent="0.25">
      <c r="A1327" s="125">
        <f t="shared" si="152"/>
        <v>1287</v>
      </c>
      <c r="B1327" s="885"/>
      <c r="C1327" s="842" t="s">
        <v>10855</v>
      </c>
      <c r="D1327" s="924">
        <v>0</v>
      </c>
      <c r="E1327" s="924">
        <f t="shared" si="154"/>
        <v>0</v>
      </c>
      <c r="F1327" s="129">
        <v>500</v>
      </c>
      <c r="G1327" s="122" t="s">
        <v>1963</v>
      </c>
      <c r="H1327" s="885"/>
      <c r="I1327" s="885"/>
      <c r="J1327" s="885"/>
      <c r="K1327" s="885"/>
      <c r="L1327" s="885"/>
      <c r="M1327" s="885"/>
      <c r="N1327" s="885"/>
      <c r="O1327" s="885"/>
      <c r="P1327" s="885"/>
      <c r="Q1327" s="885"/>
      <c r="R1327" s="885"/>
      <c r="S1327" s="885"/>
      <c r="T1327" s="885"/>
      <c r="U1327" s="885"/>
      <c r="V1327" s="885"/>
      <c r="W1327" s="885"/>
      <c r="X1327" s="885"/>
      <c r="Y1327" s="885"/>
      <c r="Z1327" s="885"/>
      <c r="AA1327" s="885"/>
      <c r="AB1327" s="885"/>
      <c r="AC1327" s="885"/>
      <c r="AD1327" s="885"/>
      <c r="AE1327" s="885"/>
      <c r="AF1327" s="885"/>
      <c r="AG1327" s="885"/>
      <c r="AH1327" s="885"/>
      <c r="AI1327" s="885"/>
      <c r="AJ1327" s="885"/>
      <c r="AK1327" s="885"/>
      <c r="AL1327" s="885"/>
      <c r="AM1327" s="885"/>
      <c r="AN1327" s="885"/>
      <c r="AO1327" s="885"/>
      <c r="AP1327" s="885"/>
      <c r="AQ1327" s="885"/>
      <c r="AR1327" s="885"/>
      <c r="AS1327" s="885"/>
      <c r="AT1327" s="885"/>
      <c r="AU1327" s="885"/>
      <c r="AV1327" s="885"/>
      <c r="AW1327" s="885"/>
      <c r="AX1327" s="885"/>
      <c r="AY1327" s="885"/>
      <c r="AZ1327" s="885"/>
      <c r="BA1327" s="885"/>
      <c r="BB1327" s="885"/>
      <c r="BC1327" s="885"/>
      <c r="BD1327" s="885"/>
      <c r="BE1327" s="885"/>
      <c r="BF1327" s="885"/>
      <c r="BG1327" s="885"/>
      <c r="BH1327" s="885"/>
      <c r="BI1327" s="885"/>
      <c r="BJ1327" s="885"/>
      <c r="BK1327" s="885"/>
      <c r="BL1327" s="885"/>
      <c r="BM1327" s="885"/>
      <c r="BN1327" s="885"/>
      <c r="BO1327" s="885"/>
      <c r="BP1327" s="885"/>
      <c r="BQ1327" s="885"/>
      <c r="BR1327" s="885"/>
      <c r="BS1327" s="885"/>
      <c r="BT1327" s="885"/>
      <c r="BU1327" s="885"/>
      <c r="BV1327" s="885"/>
      <c r="BW1327" s="885"/>
      <c r="BX1327" s="885"/>
      <c r="BY1327" s="885"/>
      <c r="BZ1327" s="885"/>
      <c r="CA1327" s="885"/>
      <c r="CB1327" s="885"/>
      <c r="CC1327" s="885"/>
      <c r="CD1327" s="885"/>
      <c r="CE1327" s="885"/>
      <c r="CF1327" s="885"/>
      <c r="CG1327" s="885"/>
      <c r="CH1327" s="885"/>
      <c r="CI1327" s="885"/>
      <c r="CJ1327" s="885"/>
      <c r="CK1327" s="885"/>
      <c r="CL1327" s="885"/>
      <c r="CM1327" s="885"/>
      <c r="CN1327" s="885"/>
      <c r="CO1327" s="885"/>
      <c r="CP1327" s="885"/>
      <c r="CQ1327" s="885"/>
      <c r="CR1327" s="885"/>
      <c r="CS1327" s="885"/>
      <c r="CT1327" s="885"/>
      <c r="CU1327" s="885"/>
      <c r="CV1327" s="885"/>
      <c r="CW1327" s="885"/>
      <c r="CX1327" s="885"/>
      <c r="CY1327" s="885"/>
      <c r="CZ1327" s="885"/>
      <c r="DA1327" s="885"/>
      <c r="DB1327" s="885"/>
      <c r="DC1327" s="885"/>
      <c r="DD1327" s="885"/>
      <c r="DE1327" s="885"/>
      <c r="DF1327" s="885"/>
      <c r="DG1327" s="885"/>
      <c r="DH1327" s="885"/>
      <c r="DI1327" s="885"/>
      <c r="DJ1327" s="885"/>
      <c r="DK1327" s="885"/>
      <c r="DL1327" s="885"/>
      <c r="DM1327" s="885"/>
      <c r="DN1327" s="885"/>
      <c r="DO1327" s="885"/>
      <c r="DP1327" s="885"/>
      <c r="DQ1327" s="885"/>
      <c r="DR1327" s="885"/>
      <c r="DS1327" s="885"/>
      <c r="DT1327" s="885"/>
      <c r="DU1327" s="885"/>
      <c r="DV1327" s="885"/>
      <c r="DW1327" s="885"/>
      <c r="DX1327" s="885"/>
      <c r="DY1327" s="885"/>
      <c r="DZ1327" s="885"/>
      <c r="EA1327" s="885"/>
      <c r="EB1327" s="885"/>
      <c r="EC1327" s="885"/>
      <c r="ED1327" s="885"/>
      <c r="EE1327" s="885"/>
      <c r="EF1327" s="885"/>
      <c r="EG1327" s="885"/>
      <c r="EH1327" s="885"/>
      <c r="EI1327" s="885"/>
      <c r="EJ1327" s="885"/>
      <c r="EK1327" s="885"/>
      <c r="EL1327" s="885"/>
      <c r="EM1327" s="885"/>
      <c r="EN1327" s="885"/>
      <c r="EO1327" s="885"/>
      <c r="EP1327" s="885"/>
      <c r="EQ1327" s="885"/>
      <c r="ER1327" s="885"/>
      <c r="ES1327" s="885"/>
      <c r="ET1327" s="885"/>
      <c r="EU1327" s="885"/>
      <c r="EV1327" s="885"/>
      <c r="EW1327" s="885"/>
      <c r="EX1327" s="885"/>
      <c r="EY1327" s="885"/>
      <c r="EZ1327" s="885"/>
      <c r="FA1327" s="885"/>
      <c r="FB1327" s="885"/>
      <c r="FC1327" s="885"/>
      <c r="FD1327" s="885"/>
      <c r="FE1327" s="885"/>
      <c r="FF1327" s="885"/>
      <c r="FG1327" s="885"/>
      <c r="FH1327" s="885"/>
      <c r="FI1327" s="885"/>
      <c r="FJ1327" s="885"/>
      <c r="FK1327" s="885"/>
      <c r="FL1327" s="885"/>
      <c r="FM1327" s="885"/>
      <c r="FN1327" s="885"/>
      <c r="FO1327" s="885"/>
      <c r="FP1327" s="885"/>
      <c r="FQ1327" s="885"/>
      <c r="FR1327" s="885"/>
      <c r="FS1327" s="885"/>
      <c r="FT1327" s="885"/>
      <c r="FU1327" s="885"/>
      <c r="FV1327" s="885"/>
      <c r="FW1327" s="885"/>
      <c r="FX1327" s="885"/>
      <c r="FY1327" s="885"/>
      <c r="FZ1327" s="885"/>
      <c r="GA1327" s="885"/>
      <c r="GB1327" s="885"/>
      <c r="GC1327" s="885"/>
      <c r="GD1327" s="885"/>
      <c r="GE1327" s="885"/>
      <c r="GF1327" s="885"/>
      <c r="GG1327" s="885"/>
      <c r="GH1327" s="885"/>
      <c r="GI1327" s="885"/>
      <c r="GJ1327" s="885"/>
      <c r="GK1327" s="885"/>
      <c r="GL1327" s="885"/>
      <c r="GM1327" s="885"/>
      <c r="GN1327" s="885"/>
      <c r="GO1327" s="885"/>
      <c r="GP1327" s="885"/>
      <c r="GQ1327" s="885"/>
      <c r="GR1327" s="885"/>
      <c r="GS1327" s="885"/>
      <c r="GT1327" s="885"/>
      <c r="GU1327" s="885"/>
      <c r="GV1327" s="885"/>
      <c r="GW1327" s="885"/>
      <c r="GX1327" s="885"/>
      <c r="GY1327" s="885"/>
      <c r="GZ1327" s="885"/>
      <c r="HA1327" s="885"/>
      <c r="HB1327" s="885"/>
      <c r="HC1327" s="885"/>
      <c r="HD1327" s="885"/>
      <c r="HE1327" s="885"/>
      <c r="HF1327" s="885"/>
      <c r="HG1327" s="885"/>
      <c r="HH1327" s="885"/>
      <c r="HI1327" s="885"/>
      <c r="HJ1327" s="885"/>
      <c r="HK1327" s="885"/>
      <c r="HL1327" s="885"/>
      <c r="HM1327" s="885"/>
      <c r="HN1327" s="885"/>
      <c r="HO1327" s="885"/>
      <c r="HP1327" s="885"/>
      <c r="HQ1327" s="885"/>
      <c r="HR1327" s="885"/>
      <c r="HS1327" s="885"/>
      <c r="HT1327" s="885"/>
      <c r="HU1327" s="885"/>
      <c r="HV1327" s="885"/>
      <c r="HW1327" s="885"/>
      <c r="HX1327" s="885"/>
      <c r="HY1327" s="885"/>
      <c r="HZ1327" s="885"/>
      <c r="IA1327" s="885"/>
      <c r="IB1327" s="885"/>
      <c r="IC1327" s="885"/>
      <c r="ID1327" s="885"/>
      <c r="IE1327" s="885"/>
      <c r="IF1327" s="885"/>
      <c r="IG1327" s="885"/>
      <c r="IH1327" s="885"/>
      <c r="II1327" s="885"/>
      <c r="IJ1327" s="885"/>
      <c r="IK1327" s="885"/>
      <c r="IL1327" s="885"/>
      <c r="IM1327" s="885"/>
      <c r="IN1327" s="885"/>
      <c r="IO1327" s="885"/>
      <c r="IP1327" s="885"/>
      <c r="IQ1327" s="885"/>
      <c r="IR1327" s="885"/>
      <c r="IS1327" s="885"/>
      <c r="IT1327" s="885"/>
      <c r="IU1327" s="885"/>
      <c r="IV1327" s="885"/>
      <c r="IW1327" s="885"/>
      <c r="IX1327" s="885"/>
    </row>
    <row r="1328" spans="1:258" x14ac:dyDescent="0.25">
      <c r="A1328" s="125">
        <f t="shared" si="152"/>
        <v>1288</v>
      </c>
      <c r="B1328" s="885"/>
      <c r="C1328" s="927" t="s">
        <v>10841</v>
      </c>
      <c r="D1328" s="928"/>
      <c r="E1328" s="928"/>
      <c r="F1328" s="129"/>
      <c r="H1328" s="885"/>
      <c r="I1328" s="885"/>
      <c r="J1328" s="885"/>
      <c r="K1328" s="885"/>
      <c r="L1328" s="885"/>
      <c r="M1328" s="885"/>
      <c r="N1328" s="885"/>
      <c r="O1328" s="885"/>
      <c r="P1328" s="885"/>
      <c r="Q1328" s="885"/>
      <c r="R1328" s="885"/>
      <c r="S1328" s="885"/>
      <c r="T1328" s="885"/>
      <c r="U1328" s="885"/>
      <c r="V1328" s="885"/>
      <c r="W1328" s="885"/>
      <c r="X1328" s="885"/>
      <c r="Y1328" s="885"/>
      <c r="Z1328" s="885"/>
      <c r="AA1328" s="885"/>
      <c r="AB1328" s="885"/>
      <c r="AC1328" s="885"/>
      <c r="AD1328" s="885"/>
      <c r="AE1328" s="885"/>
      <c r="AF1328" s="885"/>
      <c r="AG1328" s="885"/>
      <c r="AH1328" s="885"/>
      <c r="AI1328" s="885"/>
      <c r="AJ1328" s="885"/>
      <c r="AK1328" s="885"/>
      <c r="AL1328" s="885"/>
      <c r="AM1328" s="885"/>
      <c r="AN1328" s="885"/>
      <c r="AO1328" s="885"/>
      <c r="AP1328" s="885"/>
      <c r="AQ1328" s="885"/>
      <c r="AR1328" s="885"/>
      <c r="AS1328" s="885"/>
      <c r="AT1328" s="885"/>
      <c r="AU1328" s="885"/>
      <c r="AV1328" s="885"/>
      <c r="AW1328" s="885"/>
      <c r="AX1328" s="885"/>
      <c r="AY1328" s="885"/>
      <c r="AZ1328" s="885"/>
      <c r="BA1328" s="885"/>
      <c r="BB1328" s="885"/>
      <c r="BC1328" s="885"/>
      <c r="BD1328" s="885"/>
      <c r="BE1328" s="885"/>
      <c r="BF1328" s="885"/>
      <c r="BG1328" s="885"/>
      <c r="BH1328" s="885"/>
      <c r="BI1328" s="885"/>
      <c r="BJ1328" s="885"/>
      <c r="BK1328" s="885"/>
      <c r="BL1328" s="885"/>
      <c r="BM1328" s="885"/>
      <c r="BN1328" s="885"/>
      <c r="BO1328" s="885"/>
      <c r="BP1328" s="885"/>
      <c r="BQ1328" s="885"/>
      <c r="BR1328" s="885"/>
      <c r="BS1328" s="885"/>
      <c r="BT1328" s="885"/>
      <c r="BU1328" s="885"/>
      <c r="BV1328" s="885"/>
      <c r="BW1328" s="885"/>
      <c r="BX1328" s="885"/>
      <c r="BY1328" s="885"/>
      <c r="BZ1328" s="885"/>
      <c r="CA1328" s="885"/>
      <c r="CB1328" s="885"/>
      <c r="CC1328" s="885"/>
      <c r="CD1328" s="885"/>
      <c r="CE1328" s="885"/>
      <c r="CF1328" s="885"/>
      <c r="CG1328" s="885"/>
      <c r="CH1328" s="885"/>
      <c r="CI1328" s="885"/>
      <c r="CJ1328" s="885"/>
      <c r="CK1328" s="885"/>
      <c r="CL1328" s="885"/>
      <c r="CM1328" s="885"/>
      <c r="CN1328" s="885"/>
      <c r="CO1328" s="885"/>
      <c r="CP1328" s="885"/>
      <c r="CQ1328" s="885"/>
      <c r="CR1328" s="885"/>
      <c r="CS1328" s="885"/>
      <c r="CT1328" s="885"/>
      <c r="CU1328" s="885"/>
      <c r="CV1328" s="885"/>
      <c r="CW1328" s="885"/>
      <c r="CX1328" s="885"/>
      <c r="CY1328" s="885"/>
      <c r="CZ1328" s="885"/>
      <c r="DA1328" s="885"/>
      <c r="DB1328" s="885"/>
      <c r="DC1328" s="885"/>
      <c r="DD1328" s="885"/>
      <c r="DE1328" s="885"/>
      <c r="DF1328" s="885"/>
      <c r="DG1328" s="885"/>
      <c r="DH1328" s="885"/>
      <c r="DI1328" s="885"/>
      <c r="DJ1328" s="885"/>
      <c r="DK1328" s="885"/>
      <c r="DL1328" s="885"/>
      <c r="DM1328" s="885"/>
      <c r="DN1328" s="885"/>
      <c r="DO1328" s="885"/>
      <c r="DP1328" s="885"/>
      <c r="DQ1328" s="885"/>
      <c r="DR1328" s="885"/>
      <c r="DS1328" s="885"/>
      <c r="DT1328" s="885"/>
      <c r="DU1328" s="885"/>
      <c r="DV1328" s="885"/>
      <c r="DW1328" s="885"/>
      <c r="DX1328" s="885"/>
      <c r="DY1328" s="885"/>
      <c r="DZ1328" s="885"/>
      <c r="EA1328" s="885"/>
      <c r="EB1328" s="885"/>
      <c r="EC1328" s="885"/>
      <c r="ED1328" s="885"/>
      <c r="EE1328" s="885"/>
      <c r="EF1328" s="885"/>
      <c r="EG1328" s="885"/>
      <c r="EH1328" s="885"/>
      <c r="EI1328" s="885"/>
      <c r="EJ1328" s="885"/>
      <c r="EK1328" s="885"/>
      <c r="EL1328" s="885"/>
      <c r="EM1328" s="885"/>
      <c r="EN1328" s="885"/>
      <c r="EO1328" s="885"/>
      <c r="EP1328" s="885"/>
      <c r="EQ1328" s="885"/>
      <c r="ER1328" s="885"/>
      <c r="ES1328" s="885"/>
      <c r="ET1328" s="885"/>
      <c r="EU1328" s="885"/>
      <c r="EV1328" s="885"/>
      <c r="EW1328" s="885"/>
      <c r="EX1328" s="885"/>
      <c r="EY1328" s="885"/>
      <c r="EZ1328" s="885"/>
      <c r="FA1328" s="885"/>
      <c r="FB1328" s="885"/>
      <c r="FC1328" s="885"/>
      <c r="FD1328" s="885"/>
      <c r="FE1328" s="885"/>
      <c r="FF1328" s="885"/>
      <c r="FG1328" s="885"/>
      <c r="FH1328" s="885"/>
      <c r="FI1328" s="885"/>
      <c r="FJ1328" s="885"/>
      <c r="FK1328" s="885"/>
      <c r="FL1328" s="885"/>
      <c r="FM1328" s="885"/>
      <c r="FN1328" s="885"/>
      <c r="FO1328" s="885"/>
      <c r="FP1328" s="885"/>
      <c r="FQ1328" s="885"/>
      <c r="FR1328" s="885"/>
      <c r="FS1328" s="885"/>
      <c r="FT1328" s="885"/>
      <c r="FU1328" s="885"/>
      <c r="FV1328" s="885"/>
      <c r="FW1328" s="885"/>
      <c r="FX1328" s="885"/>
      <c r="FY1328" s="885"/>
      <c r="FZ1328" s="885"/>
      <c r="GA1328" s="885"/>
      <c r="GB1328" s="885"/>
      <c r="GC1328" s="885"/>
      <c r="GD1328" s="885"/>
      <c r="GE1328" s="885"/>
      <c r="GF1328" s="885"/>
      <c r="GG1328" s="885"/>
      <c r="GH1328" s="885"/>
      <c r="GI1328" s="885"/>
      <c r="GJ1328" s="885"/>
      <c r="GK1328" s="885"/>
      <c r="GL1328" s="885"/>
      <c r="GM1328" s="885"/>
      <c r="GN1328" s="885"/>
      <c r="GO1328" s="885"/>
      <c r="GP1328" s="885"/>
      <c r="GQ1328" s="885"/>
      <c r="GR1328" s="885"/>
      <c r="GS1328" s="885"/>
      <c r="GT1328" s="885"/>
      <c r="GU1328" s="885"/>
      <c r="GV1328" s="885"/>
      <c r="GW1328" s="885"/>
      <c r="GX1328" s="885"/>
      <c r="GY1328" s="885"/>
      <c r="GZ1328" s="885"/>
      <c r="HA1328" s="885"/>
      <c r="HB1328" s="885"/>
      <c r="HC1328" s="885"/>
      <c r="HD1328" s="885"/>
      <c r="HE1328" s="885"/>
      <c r="HF1328" s="885"/>
      <c r="HG1328" s="885"/>
      <c r="HH1328" s="885"/>
      <c r="HI1328" s="885"/>
      <c r="HJ1328" s="885"/>
      <c r="HK1328" s="885"/>
      <c r="HL1328" s="885"/>
      <c r="HM1328" s="885"/>
      <c r="HN1328" s="885"/>
      <c r="HO1328" s="885"/>
      <c r="HP1328" s="885"/>
      <c r="HQ1328" s="885"/>
      <c r="HR1328" s="885"/>
      <c r="HS1328" s="885"/>
      <c r="HT1328" s="885"/>
      <c r="HU1328" s="885"/>
      <c r="HV1328" s="885"/>
      <c r="HW1328" s="885"/>
      <c r="HX1328" s="885"/>
      <c r="HY1328" s="885"/>
      <c r="HZ1328" s="885"/>
      <c r="IA1328" s="885"/>
      <c r="IB1328" s="885"/>
      <c r="IC1328" s="885"/>
      <c r="ID1328" s="885"/>
      <c r="IE1328" s="885"/>
      <c r="IF1328" s="885"/>
      <c r="IG1328" s="885"/>
      <c r="IH1328" s="885"/>
      <c r="II1328" s="885"/>
      <c r="IJ1328" s="885"/>
      <c r="IK1328" s="885"/>
      <c r="IL1328" s="885"/>
      <c r="IM1328" s="885"/>
      <c r="IN1328" s="885"/>
      <c r="IO1328" s="885"/>
      <c r="IP1328" s="885"/>
      <c r="IQ1328" s="885"/>
      <c r="IR1328" s="885"/>
      <c r="IS1328" s="885"/>
      <c r="IT1328" s="885"/>
      <c r="IU1328" s="885"/>
      <c r="IV1328" s="885"/>
      <c r="IW1328" s="885"/>
      <c r="IX1328" s="885"/>
    </row>
    <row r="1329" spans="1:258" x14ac:dyDescent="0.25">
      <c r="A1329" s="125">
        <f t="shared" si="152"/>
        <v>1289</v>
      </c>
      <c r="B1329" s="885"/>
      <c r="C1329" s="134" t="s">
        <v>10856</v>
      </c>
      <c r="D1329" s="924">
        <v>5560</v>
      </c>
      <c r="E1329" s="924">
        <f>D1329/8*12</f>
        <v>8340</v>
      </c>
      <c r="F1329" s="129">
        <f>500+400+300+3500+600+100+900+400+600</f>
        <v>7300</v>
      </c>
      <c r="G1329" s="122" t="s">
        <v>1963</v>
      </c>
      <c r="H1329" s="885"/>
      <c r="I1329" s="885"/>
      <c r="J1329" s="885"/>
      <c r="K1329" s="885"/>
      <c r="L1329" s="885"/>
      <c r="M1329" s="885"/>
      <c r="N1329" s="885"/>
      <c r="O1329" s="885"/>
      <c r="P1329" s="885"/>
      <c r="Q1329" s="885"/>
      <c r="R1329" s="885"/>
      <c r="S1329" s="885"/>
      <c r="T1329" s="885"/>
      <c r="U1329" s="885"/>
      <c r="V1329" s="885"/>
      <c r="W1329" s="885"/>
      <c r="X1329" s="885"/>
      <c r="Y1329" s="885"/>
      <c r="Z1329" s="885"/>
      <c r="AA1329" s="885"/>
      <c r="AB1329" s="885"/>
      <c r="AC1329" s="885"/>
      <c r="AD1329" s="885"/>
      <c r="AE1329" s="885"/>
      <c r="AF1329" s="885"/>
      <c r="AG1329" s="885"/>
      <c r="AH1329" s="885"/>
      <c r="AI1329" s="885"/>
      <c r="AJ1329" s="885"/>
      <c r="AK1329" s="885"/>
      <c r="AL1329" s="885"/>
      <c r="AM1329" s="885"/>
      <c r="AN1329" s="885"/>
      <c r="AO1329" s="885"/>
      <c r="AP1329" s="885"/>
      <c r="AQ1329" s="885"/>
      <c r="AR1329" s="885"/>
      <c r="AS1329" s="885"/>
      <c r="AT1329" s="885"/>
      <c r="AU1329" s="885"/>
      <c r="AV1329" s="885"/>
      <c r="AW1329" s="885"/>
      <c r="AX1329" s="885"/>
      <c r="AY1329" s="885"/>
      <c r="AZ1329" s="885"/>
      <c r="BA1329" s="885"/>
      <c r="BB1329" s="885"/>
      <c r="BC1329" s="885"/>
      <c r="BD1329" s="885"/>
      <c r="BE1329" s="885"/>
      <c r="BF1329" s="885"/>
      <c r="BG1329" s="885"/>
      <c r="BH1329" s="885"/>
      <c r="BI1329" s="885"/>
      <c r="BJ1329" s="885"/>
      <c r="BK1329" s="885"/>
      <c r="BL1329" s="885"/>
      <c r="BM1329" s="885"/>
      <c r="BN1329" s="885"/>
      <c r="BO1329" s="885"/>
      <c r="BP1329" s="885"/>
      <c r="BQ1329" s="885"/>
      <c r="BR1329" s="885"/>
      <c r="BS1329" s="885"/>
      <c r="BT1329" s="885"/>
      <c r="BU1329" s="885"/>
      <c r="BV1329" s="885"/>
      <c r="BW1329" s="885"/>
      <c r="BX1329" s="885"/>
      <c r="BY1329" s="885"/>
      <c r="BZ1329" s="885"/>
      <c r="CA1329" s="885"/>
      <c r="CB1329" s="885"/>
      <c r="CC1329" s="885"/>
      <c r="CD1329" s="885"/>
      <c r="CE1329" s="885"/>
      <c r="CF1329" s="885"/>
      <c r="CG1329" s="885"/>
      <c r="CH1329" s="885"/>
      <c r="CI1329" s="885"/>
      <c r="CJ1329" s="885"/>
      <c r="CK1329" s="885"/>
      <c r="CL1329" s="885"/>
      <c r="CM1329" s="885"/>
      <c r="CN1329" s="885"/>
      <c r="CO1329" s="885"/>
      <c r="CP1329" s="885"/>
      <c r="CQ1329" s="885"/>
      <c r="CR1329" s="885"/>
      <c r="CS1329" s="885"/>
      <c r="CT1329" s="885"/>
      <c r="CU1329" s="885"/>
      <c r="CV1329" s="885"/>
      <c r="CW1329" s="885"/>
      <c r="CX1329" s="885"/>
      <c r="CY1329" s="885"/>
      <c r="CZ1329" s="885"/>
      <c r="DA1329" s="885"/>
      <c r="DB1329" s="885"/>
      <c r="DC1329" s="885"/>
      <c r="DD1329" s="885"/>
      <c r="DE1329" s="885"/>
      <c r="DF1329" s="885"/>
      <c r="DG1329" s="885"/>
      <c r="DH1329" s="885"/>
      <c r="DI1329" s="885"/>
      <c r="DJ1329" s="885"/>
      <c r="DK1329" s="885"/>
      <c r="DL1329" s="885"/>
      <c r="DM1329" s="885"/>
      <c r="DN1329" s="885"/>
      <c r="DO1329" s="885"/>
      <c r="DP1329" s="885"/>
      <c r="DQ1329" s="885"/>
      <c r="DR1329" s="885"/>
      <c r="DS1329" s="885"/>
      <c r="DT1329" s="885"/>
      <c r="DU1329" s="885"/>
      <c r="DV1329" s="885"/>
      <c r="DW1329" s="885"/>
      <c r="DX1329" s="885"/>
      <c r="DY1329" s="885"/>
      <c r="DZ1329" s="885"/>
      <c r="EA1329" s="885"/>
      <c r="EB1329" s="885"/>
      <c r="EC1329" s="885"/>
      <c r="ED1329" s="885"/>
      <c r="EE1329" s="885"/>
      <c r="EF1329" s="885"/>
      <c r="EG1329" s="885"/>
      <c r="EH1329" s="885"/>
      <c r="EI1329" s="885"/>
      <c r="EJ1329" s="885"/>
      <c r="EK1329" s="885"/>
      <c r="EL1329" s="885"/>
      <c r="EM1329" s="885"/>
      <c r="EN1329" s="885"/>
      <c r="EO1329" s="885"/>
      <c r="EP1329" s="885"/>
      <c r="EQ1329" s="885"/>
      <c r="ER1329" s="885"/>
      <c r="ES1329" s="885"/>
      <c r="ET1329" s="885"/>
      <c r="EU1329" s="885"/>
      <c r="EV1329" s="885"/>
      <c r="EW1329" s="885"/>
      <c r="EX1329" s="885"/>
      <c r="EY1329" s="885"/>
      <c r="EZ1329" s="885"/>
      <c r="FA1329" s="885"/>
      <c r="FB1329" s="885"/>
      <c r="FC1329" s="885"/>
      <c r="FD1329" s="885"/>
      <c r="FE1329" s="885"/>
      <c r="FF1329" s="885"/>
      <c r="FG1329" s="885"/>
      <c r="FH1329" s="885"/>
      <c r="FI1329" s="885"/>
      <c r="FJ1329" s="885"/>
      <c r="FK1329" s="885"/>
      <c r="FL1329" s="885"/>
      <c r="FM1329" s="885"/>
      <c r="FN1329" s="885"/>
      <c r="FO1329" s="885"/>
      <c r="FP1329" s="885"/>
      <c r="FQ1329" s="885"/>
      <c r="FR1329" s="885"/>
      <c r="FS1329" s="885"/>
      <c r="FT1329" s="885"/>
      <c r="FU1329" s="885"/>
      <c r="FV1329" s="885"/>
      <c r="FW1329" s="885"/>
      <c r="FX1329" s="885"/>
      <c r="FY1329" s="885"/>
      <c r="FZ1329" s="885"/>
      <c r="GA1329" s="885"/>
      <c r="GB1329" s="885"/>
      <c r="GC1329" s="885"/>
      <c r="GD1329" s="885"/>
      <c r="GE1329" s="885"/>
      <c r="GF1329" s="885"/>
      <c r="GG1329" s="885"/>
      <c r="GH1329" s="885"/>
      <c r="GI1329" s="885"/>
      <c r="GJ1329" s="885"/>
      <c r="GK1329" s="885"/>
      <c r="GL1329" s="885"/>
      <c r="GM1329" s="885"/>
      <c r="GN1329" s="885"/>
      <c r="GO1329" s="885"/>
      <c r="GP1329" s="885"/>
      <c r="GQ1329" s="885"/>
      <c r="GR1329" s="885"/>
      <c r="GS1329" s="885"/>
      <c r="GT1329" s="885"/>
      <c r="GU1329" s="885"/>
      <c r="GV1329" s="885"/>
      <c r="GW1329" s="885"/>
      <c r="GX1329" s="885"/>
      <c r="GY1329" s="885"/>
      <c r="GZ1329" s="885"/>
      <c r="HA1329" s="885"/>
      <c r="HB1329" s="885"/>
      <c r="HC1329" s="885"/>
      <c r="HD1329" s="885"/>
      <c r="HE1329" s="885"/>
      <c r="HF1329" s="885"/>
      <c r="HG1329" s="885"/>
      <c r="HH1329" s="885"/>
      <c r="HI1329" s="885"/>
      <c r="HJ1329" s="885"/>
      <c r="HK1329" s="885"/>
      <c r="HL1329" s="885"/>
      <c r="HM1329" s="885"/>
      <c r="HN1329" s="885"/>
      <c r="HO1329" s="885"/>
      <c r="HP1329" s="885"/>
      <c r="HQ1329" s="885"/>
      <c r="HR1329" s="885"/>
      <c r="HS1329" s="885"/>
      <c r="HT1329" s="885"/>
      <c r="HU1329" s="885"/>
      <c r="HV1329" s="885"/>
      <c r="HW1329" s="885"/>
      <c r="HX1329" s="885"/>
      <c r="HY1329" s="885"/>
      <c r="HZ1329" s="885"/>
      <c r="IA1329" s="885"/>
      <c r="IB1329" s="885"/>
      <c r="IC1329" s="885"/>
      <c r="ID1329" s="885"/>
      <c r="IE1329" s="885"/>
      <c r="IF1329" s="885"/>
      <c r="IG1329" s="885"/>
      <c r="IH1329" s="885"/>
      <c r="II1329" s="885"/>
      <c r="IJ1329" s="885"/>
      <c r="IK1329" s="885"/>
      <c r="IL1329" s="885"/>
      <c r="IM1329" s="885"/>
      <c r="IN1329" s="885"/>
      <c r="IO1329" s="885"/>
      <c r="IP1329" s="885"/>
      <c r="IQ1329" s="885"/>
      <c r="IR1329" s="885"/>
      <c r="IS1329" s="885"/>
      <c r="IT1329" s="885"/>
      <c r="IU1329" s="885"/>
      <c r="IV1329" s="885"/>
      <c r="IW1329" s="885"/>
      <c r="IX1329" s="885"/>
    </row>
    <row r="1330" spans="1:258" x14ac:dyDescent="0.25">
      <c r="A1330" s="125">
        <f t="shared" si="152"/>
        <v>1290</v>
      </c>
      <c r="B1330" s="885"/>
      <c r="C1330" s="134" t="s">
        <v>10857</v>
      </c>
      <c r="D1330" s="924">
        <v>513.4</v>
      </c>
      <c r="E1330" s="924">
        <f>D1330/8*12</f>
        <v>770.09999999999991</v>
      </c>
      <c r="F1330" s="129">
        <v>4950</v>
      </c>
      <c r="G1330" s="122" t="s">
        <v>1963</v>
      </c>
      <c r="H1330" s="885"/>
      <c r="I1330" s="885"/>
      <c r="J1330" s="885"/>
      <c r="K1330" s="885"/>
      <c r="L1330" s="885"/>
      <c r="M1330" s="885"/>
      <c r="N1330" s="885"/>
      <c r="O1330" s="885"/>
      <c r="P1330" s="885"/>
      <c r="Q1330" s="885"/>
      <c r="R1330" s="885"/>
      <c r="S1330" s="885"/>
      <c r="T1330" s="885"/>
      <c r="U1330" s="885"/>
      <c r="V1330" s="885"/>
      <c r="W1330" s="885"/>
      <c r="X1330" s="885"/>
      <c r="Y1330" s="885"/>
      <c r="Z1330" s="885"/>
      <c r="AA1330" s="885"/>
      <c r="AB1330" s="885"/>
      <c r="AC1330" s="885"/>
      <c r="AD1330" s="885"/>
      <c r="AE1330" s="885"/>
      <c r="AF1330" s="885"/>
      <c r="AG1330" s="885"/>
      <c r="AH1330" s="885"/>
      <c r="AI1330" s="885"/>
      <c r="AJ1330" s="885"/>
      <c r="AK1330" s="885"/>
      <c r="AL1330" s="885"/>
      <c r="AM1330" s="885"/>
      <c r="AN1330" s="885"/>
      <c r="AO1330" s="885"/>
      <c r="AP1330" s="885"/>
      <c r="AQ1330" s="885"/>
      <c r="AR1330" s="885"/>
      <c r="AS1330" s="885"/>
      <c r="AT1330" s="885"/>
      <c r="AU1330" s="885"/>
      <c r="AV1330" s="885"/>
      <c r="AW1330" s="885"/>
      <c r="AX1330" s="885"/>
      <c r="AY1330" s="885"/>
      <c r="AZ1330" s="885"/>
      <c r="BA1330" s="885"/>
      <c r="BB1330" s="885"/>
      <c r="BC1330" s="885"/>
      <c r="BD1330" s="885"/>
      <c r="BE1330" s="885"/>
      <c r="BF1330" s="885"/>
      <c r="BG1330" s="885"/>
      <c r="BH1330" s="885"/>
      <c r="BI1330" s="885"/>
      <c r="BJ1330" s="885"/>
      <c r="BK1330" s="885"/>
      <c r="BL1330" s="885"/>
      <c r="BM1330" s="885"/>
      <c r="BN1330" s="885"/>
      <c r="BO1330" s="885"/>
      <c r="BP1330" s="885"/>
      <c r="BQ1330" s="885"/>
      <c r="BR1330" s="885"/>
      <c r="BS1330" s="885"/>
      <c r="BT1330" s="885"/>
      <c r="BU1330" s="885"/>
      <c r="BV1330" s="885"/>
      <c r="BW1330" s="885"/>
      <c r="BX1330" s="885"/>
      <c r="BY1330" s="885"/>
      <c r="BZ1330" s="885"/>
      <c r="CA1330" s="885"/>
      <c r="CB1330" s="885"/>
      <c r="CC1330" s="885"/>
      <c r="CD1330" s="885"/>
      <c r="CE1330" s="885"/>
      <c r="CF1330" s="885"/>
      <c r="CG1330" s="885"/>
      <c r="CH1330" s="885"/>
      <c r="CI1330" s="885"/>
      <c r="CJ1330" s="885"/>
      <c r="CK1330" s="885"/>
      <c r="CL1330" s="885"/>
      <c r="CM1330" s="885"/>
      <c r="CN1330" s="885"/>
      <c r="CO1330" s="885"/>
      <c r="CP1330" s="885"/>
      <c r="CQ1330" s="885"/>
      <c r="CR1330" s="885"/>
      <c r="CS1330" s="885"/>
      <c r="CT1330" s="885"/>
      <c r="CU1330" s="885"/>
      <c r="CV1330" s="885"/>
      <c r="CW1330" s="885"/>
      <c r="CX1330" s="885"/>
      <c r="CY1330" s="885"/>
      <c r="CZ1330" s="885"/>
      <c r="DA1330" s="885"/>
      <c r="DB1330" s="885"/>
      <c r="DC1330" s="885"/>
      <c r="DD1330" s="885"/>
      <c r="DE1330" s="885"/>
      <c r="DF1330" s="885"/>
      <c r="DG1330" s="885"/>
      <c r="DH1330" s="885"/>
      <c r="DI1330" s="885"/>
      <c r="DJ1330" s="885"/>
      <c r="DK1330" s="885"/>
      <c r="DL1330" s="885"/>
      <c r="DM1330" s="885"/>
      <c r="DN1330" s="885"/>
      <c r="DO1330" s="885"/>
      <c r="DP1330" s="885"/>
      <c r="DQ1330" s="885"/>
      <c r="DR1330" s="885"/>
      <c r="DS1330" s="885"/>
      <c r="DT1330" s="885"/>
      <c r="DU1330" s="885"/>
      <c r="DV1330" s="885"/>
      <c r="DW1330" s="885"/>
      <c r="DX1330" s="885"/>
      <c r="DY1330" s="885"/>
      <c r="DZ1330" s="885"/>
      <c r="EA1330" s="885"/>
      <c r="EB1330" s="885"/>
      <c r="EC1330" s="885"/>
      <c r="ED1330" s="885"/>
      <c r="EE1330" s="885"/>
      <c r="EF1330" s="885"/>
      <c r="EG1330" s="885"/>
      <c r="EH1330" s="885"/>
      <c r="EI1330" s="885"/>
      <c r="EJ1330" s="885"/>
      <c r="EK1330" s="885"/>
      <c r="EL1330" s="885"/>
      <c r="EM1330" s="885"/>
      <c r="EN1330" s="885"/>
      <c r="EO1330" s="885"/>
      <c r="EP1330" s="885"/>
      <c r="EQ1330" s="885"/>
      <c r="ER1330" s="885"/>
      <c r="ES1330" s="885"/>
      <c r="ET1330" s="885"/>
      <c r="EU1330" s="885"/>
      <c r="EV1330" s="885"/>
      <c r="EW1330" s="885"/>
      <c r="EX1330" s="885"/>
      <c r="EY1330" s="885"/>
      <c r="EZ1330" s="885"/>
      <c r="FA1330" s="885"/>
      <c r="FB1330" s="885"/>
      <c r="FC1330" s="885"/>
      <c r="FD1330" s="885"/>
      <c r="FE1330" s="885"/>
      <c r="FF1330" s="885"/>
      <c r="FG1330" s="885"/>
      <c r="FH1330" s="885"/>
      <c r="FI1330" s="885"/>
      <c r="FJ1330" s="885"/>
      <c r="FK1330" s="885"/>
      <c r="FL1330" s="885"/>
      <c r="FM1330" s="885"/>
      <c r="FN1330" s="885"/>
      <c r="FO1330" s="885"/>
      <c r="FP1330" s="885"/>
      <c r="FQ1330" s="885"/>
      <c r="FR1330" s="885"/>
      <c r="FS1330" s="885"/>
      <c r="FT1330" s="885"/>
      <c r="FU1330" s="885"/>
      <c r="FV1330" s="885"/>
      <c r="FW1330" s="885"/>
      <c r="FX1330" s="885"/>
      <c r="FY1330" s="885"/>
      <c r="FZ1330" s="885"/>
      <c r="GA1330" s="885"/>
      <c r="GB1330" s="885"/>
      <c r="GC1330" s="885"/>
      <c r="GD1330" s="885"/>
      <c r="GE1330" s="885"/>
      <c r="GF1330" s="885"/>
      <c r="GG1330" s="885"/>
      <c r="GH1330" s="885"/>
      <c r="GI1330" s="885"/>
      <c r="GJ1330" s="885"/>
      <c r="GK1330" s="885"/>
      <c r="GL1330" s="885"/>
      <c r="GM1330" s="885"/>
      <c r="GN1330" s="885"/>
      <c r="GO1330" s="885"/>
      <c r="GP1330" s="885"/>
      <c r="GQ1330" s="885"/>
      <c r="GR1330" s="885"/>
      <c r="GS1330" s="885"/>
      <c r="GT1330" s="885"/>
      <c r="GU1330" s="885"/>
      <c r="GV1330" s="885"/>
      <c r="GW1330" s="885"/>
      <c r="GX1330" s="885"/>
      <c r="GY1330" s="885"/>
      <c r="GZ1330" s="885"/>
      <c r="HA1330" s="885"/>
      <c r="HB1330" s="885"/>
      <c r="HC1330" s="885"/>
      <c r="HD1330" s="885"/>
      <c r="HE1330" s="885"/>
      <c r="HF1330" s="885"/>
      <c r="HG1330" s="885"/>
      <c r="HH1330" s="885"/>
      <c r="HI1330" s="885"/>
      <c r="HJ1330" s="885"/>
      <c r="HK1330" s="885"/>
      <c r="HL1330" s="885"/>
      <c r="HM1330" s="885"/>
      <c r="HN1330" s="885"/>
      <c r="HO1330" s="885"/>
      <c r="HP1330" s="885"/>
      <c r="HQ1330" s="885"/>
      <c r="HR1330" s="885"/>
      <c r="HS1330" s="885"/>
      <c r="HT1330" s="885"/>
      <c r="HU1330" s="885"/>
      <c r="HV1330" s="885"/>
      <c r="HW1330" s="885"/>
      <c r="HX1330" s="885"/>
      <c r="HY1330" s="885"/>
      <c r="HZ1330" s="885"/>
      <c r="IA1330" s="885"/>
      <c r="IB1330" s="885"/>
      <c r="IC1330" s="885"/>
      <c r="ID1330" s="885"/>
      <c r="IE1330" s="885"/>
      <c r="IF1330" s="885"/>
      <c r="IG1330" s="885"/>
      <c r="IH1330" s="885"/>
      <c r="II1330" s="885"/>
      <c r="IJ1330" s="885"/>
      <c r="IK1330" s="885"/>
      <c r="IL1330" s="885"/>
      <c r="IM1330" s="885"/>
      <c r="IN1330" s="885"/>
      <c r="IO1330" s="885"/>
      <c r="IP1330" s="885"/>
      <c r="IQ1330" s="885"/>
      <c r="IR1330" s="885"/>
      <c r="IS1330" s="885"/>
      <c r="IT1330" s="885"/>
      <c r="IU1330" s="885"/>
      <c r="IV1330" s="885"/>
      <c r="IW1330" s="885"/>
      <c r="IX1330" s="885"/>
    </row>
    <row r="1331" spans="1:258" x14ac:dyDescent="0.25">
      <c r="A1331" s="125">
        <f t="shared" si="152"/>
        <v>1291</v>
      </c>
      <c r="B1331" s="885"/>
      <c r="C1331" s="134" t="s">
        <v>10862</v>
      </c>
      <c r="D1331" s="924">
        <v>0</v>
      </c>
      <c r="E1331" s="924">
        <f t="shared" ref="E1331:E1336" si="155">D1331/8*12</f>
        <v>0</v>
      </c>
      <c r="F1331" s="129">
        <f>2000</f>
        <v>2000</v>
      </c>
      <c r="G1331" s="122" t="s">
        <v>1963</v>
      </c>
      <c r="H1331" s="885"/>
      <c r="I1331" s="885"/>
      <c r="J1331" s="885"/>
      <c r="K1331" s="885"/>
      <c r="L1331" s="885"/>
      <c r="M1331" s="885"/>
      <c r="N1331" s="885"/>
      <c r="O1331" s="885"/>
      <c r="P1331" s="885"/>
      <c r="Q1331" s="885"/>
      <c r="R1331" s="885"/>
      <c r="S1331" s="885"/>
      <c r="T1331" s="885"/>
      <c r="U1331" s="885"/>
      <c r="V1331" s="885"/>
      <c r="W1331" s="885"/>
      <c r="X1331" s="885"/>
      <c r="Y1331" s="885"/>
      <c r="Z1331" s="885"/>
      <c r="AA1331" s="885"/>
      <c r="AB1331" s="885"/>
      <c r="AC1331" s="885"/>
      <c r="AD1331" s="885"/>
      <c r="AE1331" s="885"/>
      <c r="AF1331" s="885"/>
      <c r="AG1331" s="885"/>
      <c r="AH1331" s="885"/>
      <c r="AI1331" s="885"/>
      <c r="AJ1331" s="885"/>
      <c r="AK1331" s="885"/>
      <c r="AL1331" s="885"/>
      <c r="AM1331" s="885"/>
      <c r="AN1331" s="885"/>
      <c r="AO1331" s="885"/>
      <c r="AP1331" s="885"/>
      <c r="AQ1331" s="885"/>
      <c r="AR1331" s="885"/>
      <c r="AS1331" s="885"/>
      <c r="AT1331" s="885"/>
      <c r="AU1331" s="885"/>
      <c r="AV1331" s="885"/>
      <c r="AW1331" s="885"/>
      <c r="AX1331" s="885"/>
      <c r="AY1331" s="885"/>
      <c r="AZ1331" s="885"/>
      <c r="BA1331" s="885"/>
      <c r="BB1331" s="885"/>
      <c r="BC1331" s="885"/>
      <c r="BD1331" s="885"/>
      <c r="BE1331" s="885"/>
      <c r="BF1331" s="885"/>
      <c r="BG1331" s="885"/>
      <c r="BH1331" s="885"/>
      <c r="BI1331" s="885"/>
      <c r="BJ1331" s="885"/>
      <c r="BK1331" s="885"/>
      <c r="BL1331" s="885"/>
      <c r="BM1331" s="885"/>
      <c r="BN1331" s="885"/>
      <c r="BO1331" s="885"/>
      <c r="BP1331" s="885"/>
      <c r="BQ1331" s="885"/>
      <c r="BR1331" s="885"/>
      <c r="BS1331" s="885"/>
      <c r="BT1331" s="885"/>
      <c r="BU1331" s="885"/>
      <c r="BV1331" s="885"/>
      <c r="BW1331" s="885"/>
      <c r="BX1331" s="885"/>
      <c r="BY1331" s="885"/>
      <c r="BZ1331" s="885"/>
      <c r="CA1331" s="885"/>
      <c r="CB1331" s="885"/>
      <c r="CC1331" s="885"/>
      <c r="CD1331" s="885"/>
      <c r="CE1331" s="885"/>
      <c r="CF1331" s="885"/>
      <c r="CG1331" s="885"/>
      <c r="CH1331" s="885"/>
      <c r="CI1331" s="885"/>
      <c r="CJ1331" s="885"/>
      <c r="CK1331" s="885"/>
      <c r="CL1331" s="885"/>
      <c r="CM1331" s="885"/>
      <c r="CN1331" s="885"/>
      <c r="CO1331" s="885"/>
      <c r="CP1331" s="885"/>
      <c r="CQ1331" s="885"/>
      <c r="CR1331" s="885"/>
      <c r="CS1331" s="885"/>
      <c r="CT1331" s="885"/>
      <c r="CU1331" s="885"/>
      <c r="CV1331" s="885"/>
      <c r="CW1331" s="885"/>
      <c r="CX1331" s="885"/>
      <c r="CY1331" s="885"/>
      <c r="CZ1331" s="885"/>
      <c r="DA1331" s="885"/>
      <c r="DB1331" s="885"/>
      <c r="DC1331" s="885"/>
      <c r="DD1331" s="885"/>
      <c r="DE1331" s="885"/>
      <c r="DF1331" s="885"/>
      <c r="DG1331" s="885"/>
      <c r="DH1331" s="885"/>
      <c r="DI1331" s="885"/>
      <c r="DJ1331" s="885"/>
      <c r="DK1331" s="885"/>
      <c r="DL1331" s="885"/>
      <c r="DM1331" s="885"/>
      <c r="DN1331" s="885"/>
      <c r="DO1331" s="885"/>
      <c r="DP1331" s="885"/>
      <c r="DQ1331" s="885"/>
      <c r="DR1331" s="885"/>
      <c r="DS1331" s="885"/>
      <c r="DT1331" s="885"/>
      <c r="DU1331" s="885"/>
      <c r="DV1331" s="885"/>
      <c r="DW1331" s="885"/>
      <c r="DX1331" s="885"/>
      <c r="DY1331" s="885"/>
      <c r="DZ1331" s="885"/>
      <c r="EA1331" s="885"/>
      <c r="EB1331" s="885"/>
      <c r="EC1331" s="885"/>
      <c r="ED1331" s="885"/>
      <c r="EE1331" s="885"/>
      <c r="EF1331" s="885"/>
      <c r="EG1331" s="885"/>
      <c r="EH1331" s="885"/>
      <c r="EI1331" s="885"/>
      <c r="EJ1331" s="885"/>
      <c r="EK1331" s="885"/>
      <c r="EL1331" s="885"/>
      <c r="EM1331" s="885"/>
      <c r="EN1331" s="885"/>
      <c r="EO1331" s="885"/>
      <c r="EP1331" s="885"/>
      <c r="EQ1331" s="885"/>
      <c r="ER1331" s="885"/>
      <c r="ES1331" s="885"/>
      <c r="ET1331" s="885"/>
      <c r="EU1331" s="885"/>
      <c r="EV1331" s="885"/>
      <c r="EW1331" s="885"/>
      <c r="EX1331" s="885"/>
      <c r="EY1331" s="885"/>
      <c r="EZ1331" s="885"/>
      <c r="FA1331" s="885"/>
      <c r="FB1331" s="885"/>
      <c r="FC1331" s="885"/>
      <c r="FD1331" s="885"/>
      <c r="FE1331" s="885"/>
      <c r="FF1331" s="885"/>
      <c r="FG1331" s="885"/>
      <c r="FH1331" s="885"/>
      <c r="FI1331" s="885"/>
      <c r="FJ1331" s="885"/>
      <c r="FK1331" s="885"/>
      <c r="FL1331" s="885"/>
      <c r="FM1331" s="885"/>
      <c r="FN1331" s="885"/>
      <c r="FO1331" s="885"/>
      <c r="FP1331" s="885"/>
      <c r="FQ1331" s="885"/>
      <c r="FR1331" s="885"/>
      <c r="FS1331" s="885"/>
      <c r="FT1331" s="885"/>
      <c r="FU1331" s="885"/>
      <c r="FV1331" s="885"/>
      <c r="FW1331" s="885"/>
      <c r="FX1331" s="885"/>
      <c r="FY1331" s="885"/>
      <c r="FZ1331" s="885"/>
      <c r="GA1331" s="885"/>
      <c r="GB1331" s="885"/>
      <c r="GC1331" s="885"/>
      <c r="GD1331" s="885"/>
      <c r="GE1331" s="885"/>
      <c r="GF1331" s="885"/>
      <c r="GG1331" s="885"/>
      <c r="GH1331" s="885"/>
      <c r="GI1331" s="885"/>
      <c r="GJ1331" s="885"/>
      <c r="GK1331" s="885"/>
      <c r="GL1331" s="885"/>
      <c r="GM1331" s="885"/>
      <c r="GN1331" s="885"/>
      <c r="GO1331" s="885"/>
      <c r="GP1331" s="885"/>
      <c r="GQ1331" s="885"/>
      <c r="GR1331" s="885"/>
      <c r="GS1331" s="885"/>
      <c r="GT1331" s="885"/>
      <c r="GU1331" s="885"/>
      <c r="GV1331" s="885"/>
      <c r="GW1331" s="885"/>
      <c r="GX1331" s="885"/>
      <c r="GY1331" s="885"/>
      <c r="GZ1331" s="885"/>
      <c r="HA1331" s="885"/>
      <c r="HB1331" s="885"/>
      <c r="HC1331" s="885"/>
      <c r="HD1331" s="885"/>
      <c r="HE1331" s="885"/>
      <c r="HF1331" s="885"/>
      <c r="HG1331" s="885"/>
      <c r="HH1331" s="885"/>
      <c r="HI1331" s="885"/>
      <c r="HJ1331" s="885"/>
      <c r="HK1331" s="885"/>
      <c r="HL1331" s="885"/>
      <c r="HM1331" s="885"/>
      <c r="HN1331" s="885"/>
      <c r="HO1331" s="885"/>
      <c r="HP1331" s="885"/>
      <c r="HQ1331" s="885"/>
      <c r="HR1331" s="885"/>
      <c r="HS1331" s="885"/>
      <c r="HT1331" s="885"/>
      <c r="HU1331" s="885"/>
      <c r="HV1331" s="885"/>
      <c r="HW1331" s="885"/>
      <c r="HX1331" s="885"/>
      <c r="HY1331" s="885"/>
      <c r="HZ1331" s="885"/>
      <c r="IA1331" s="885"/>
      <c r="IB1331" s="885"/>
      <c r="IC1331" s="885"/>
      <c r="ID1331" s="885"/>
      <c r="IE1331" s="885"/>
      <c r="IF1331" s="885"/>
      <c r="IG1331" s="885"/>
      <c r="IH1331" s="885"/>
      <c r="II1331" s="885"/>
      <c r="IJ1331" s="885"/>
      <c r="IK1331" s="885"/>
      <c r="IL1331" s="885"/>
      <c r="IM1331" s="885"/>
      <c r="IN1331" s="885"/>
      <c r="IO1331" s="885"/>
      <c r="IP1331" s="885"/>
      <c r="IQ1331" s="885"/>
      <c r="IR1331" s="885"/>
      <c r="IS1331" s="885"/>
      <c r="IT1331" s="885"/>
      <c r="IU1331" s="885"/>
      <c r="IV1331" s="885"/>
      <c r="IW1331" s="885"/>
      <c r="IX1331" s="885"/>
    </row>
    <row r="1332" spans="1:258" x14ac:dyDescent="0.25">
      <c r="A1332" s="125">
        <f t="shared" si="152"/>
        <v>1292</v>
      </c>
      <c r="B1332" s="885"/>
      <c r="C1332" s="134" t="s">
        <v>10858</v>
      </c>
      <c r="D1332" s="924">
        <v>0</v>
      </c>
      <c r="E1332" s="924">
        <f t="shared" si="155"/>
        <v>0</v>
      </c>
      <c r="F1332" s="129">
        <v>3000</v>
      </c>
      <c r="G1332" s="122" t="s">
        <v>1963</v>
      </c>
      <c r="H1332" s="885"/>
      <c r="I1332" s="885"/>
      <c r="J1332" s="885"/>
      <c r="K1332" s="885"/>
      <c r="L1332" s="885"/>
      <c r="M1332" s="885"/>
      <c r="N1332" s="885"/>
      <c r="O1332" s="885"/>
      <c r="P1332" s="885"/>
      <c r="Q1332" s="885"/>
      <c r="R1332" s="885"/>
      <c r="S1332" s="885"/>
      <c r="T1332" s="885"/>
      <c r="U1332" s="885"/>
      <c r="V1332" s="885"/>
      <c r="W1332" s="885"/>
      <c r="X1332" s="885"/>
      <c r="Y1332" s="885"/>
      <c r="Z1332" s="885"/>
      <c r="AA1332" s="885"/>
      <c r="AB1332" s="885"/>
      <c r="AC1332" s="885"/>
      <c r="AD1332" s="885"/>
      <c r="AE1332" s="885"/>
      <c r="AF1332" s="885"/>
      <c r="AG1332" s="885"/>
      <c r="AH1332" s="885"/>
      <c r="AI1332" s="885"/>
      <c r="AJ1332" s="885"/>
      <c r="AK1332" s="885"/>
      <c r="AL1332" s="885"/>
      <c r="AM1332" s="885"/>
      <c r="AN1332" s="885"/>
      <c r="AO1332" s="885"/>
      <c r="AP1332" s="885"/>
      <c r="AQ1332" s="885"/>
      <c r="AR1332" s="885"/>
      <c r="AS1332" s="885"/>
      <c r="AT1332" s="885"/>
      <c r="AU1332" s="885"/>
      <c r="AV1332" s="885"/>
      <c r="AW1332" s="885"/>
      <c r="AX1332" s="885"/>
      <c r="AY1332" s="885"/>
      <c r="AZ1332" s="885"/>
      <c r="BA1332" s="885"/>
      <c r="BB1332" s="885"/>
      <c r="BC1332" s="885"/>
      <c r="BD1332" s="885"/>
      <c r="BE1332" s="885"/>
      <c r="BF1332" s="885"/>
      <c r="BG1332" s="885"/>
      <c r="BH1332" s="885"/>
      <c r="BI1332" s="885"/>
      <c r="BJ1332" s="885"/>
      <c r="BK1332" s="885"/>
      <c r="BL1332" s="885"/>
      <c r="BM1332" s="885"/>
      <c r="BN1332" s="885"/>
      <c r="BO1332" s="885"/>
      <c r="BP1332" s="885"/>
      <c r="BQ1332" s="885"/>
      <c r="BR1332" s="885"/>
      <c r="BS1332" s="885"/>
      <c r="BT1332" s="885"/>
      <c r="BU1332" s="885"/>
      <c r="BV1332" s="885"/>
      <c r="BW1332" s="885"/>
      <c r="BX1332" s="885"/>
      <c r="BY1332" s="885"/>
      <c r="BZ1332" s="885"/>
      <c r="CA1332" s="885"/>
      <c r="CB1332" s="885"/>
      <c r="CC1332" s="885"/>
      <c r="CD1332" s="885"/>
      <c r="CE1332" s="885"/>
      <c r="CF1332" s="885"/>
      <c r="CG1332" s="885"/>
      <c r="CH1332" s="885"/>
      <c r="CI1332" s="885"/>
      <c r="CJ1332" s="885"/>
      <c r="CK1332" s="885"/>
      <c r="CL1332" s="885"/>
      <c r="CM1332" s="885"/>
      <c r="CN1332" s="885"/>
      <c r="CO1332" s="885"/>
      <c r="CP1332" s="885"/>
      <c r="CQ1332" s="885"/>
      <c r="CR1332" s="885"/>
      <c r="CS1332" s="885"/>
      <c r="CT1332" s="885"/>
      <c r="CU1332" s="885"/>
      <c r="CV1332" s="885"/>
      <c r="CW1332" s="885"/>
      <c r="CX1332" s="885"/>
      <c r="CY1332" s="885"/>
      <c r="CZ1332" s="885"/>
      <c r="DA1332" s="885"/>
      <c r="DB1332" s="885"/>
      <c r="DC1332" s="885"/>
      <c r="DD1332" s="885"/>
      <c r="DE1332" s="885"/>
      <c r="DF1332" s="885"/>
      <c r="DG1332" s="885"/>
      <c r="DH1332" s="885"/>
      <c r="DI1332" s="885"/>
      <c r="DJ1332" s="885"/>
      <c r="DK1332" s="885"/>
      <c r="DL1332" s="885"/>
      <c r="DM1332" s="885"/>
      <c r="DN1332" s="885"/>
      <c r="DO1332" s="885"/>
      <c r="DP1332" s="885"/>
      <c r="DQ1332" s="885"/>
      <c r="DR1332" s="885"/>
      <c r="DS1332" s="885"/>
      <c r="DT1332" s="885"/>
      <c r="DU1332" s="885"/>
      <c r="DV1332" s="885"/>
      <c r="DW1332" s="885"/>
      <c r="DX1332" s="885"/>
      <c r="DY1332" s="885"/>
      <c r="DZ1332" s="885"/>
      <c r="EA1332" s="885"/>
      <c r="EB1332" s="885"/>
      <c r="EC1332" s="885"/>
      <c r="ED1332" s="885"/>
      <c r="EE1332" s="885"/>
      <c r="EF1332" s="885"/>
      <c r="EG1332" s="885"/>
      <c r="EH1332" s="885"/>
      <c r="EI1332" s="885"/>
      <c r="EJ1332" s="885"/>
      <c r="EK1332" s="885"/>
      <c r="EL1332" s="885"/>
      <c r="EM1332" s="885"/>
      <c r="EN1332" s="885"/>
      <c r="EO1332" s="885"/>
      <c r="EP1332" s="885"/>
      <c r="EQ1332" s="885"/>
      <c r="ER1332" s="885"/>
      <c r="ES1332" s="885"/>
      <c r="ET1332" s="885"/>
      <c r="EU1332" s="885"/>
      <c r="EV1332" s="885"/>
      <c r="EW1332" s="885"/>
      <c r="EX1332" s="885"/>
      <c r="EY1332" s="885"/>
      <c r="EZ1332" s="885"/>
      <c r="FA1332" s="885"/>
      <c r="FB1332" s="885"/>
      <c r="FC1332" s="885"/>
      <c r="FD1332" s="885"/>
      <c r="FE1332" s="885"/>
      <c r="FF1332" s="885"/>
      <c r="FG1332" s="885"/>
      <c r="FH1332" s="885"/>
      <c r="FI1332" s="885"/>
      <c r="FJ1332" s="885"/>
      <c r="FK1332" s="885"/>
      <c r="FL1332" s="885"/>
      <c r="FM1332" s="885"/>
      <c r="FN1332" s="885"/>
      <c r="FO1332" s="885"/>
      <c r="FP1332" s="885"/>
      <c r="FQ1332" s="885"/>
      <c r="FR1332" s="885"/>
      <c r="FS1332" s="885"/>
      <c r="FT1332" s="885"/>
      <c r="FU1332" s="885"/>
      <c r="FV1332" s="885"/>
      <c r="FW1332" s="885"/>
      <c r="FX1332" s="885"/>
      <c r="FY1332" s="885"/>
      <c r="FZ1332" s="885"/>
      <c r="GA1332" s="885"/>
      <c r="GB1332" s="885"/>
      <c r="GC1332" s="885"/>
      <c r="GD1332" s="885"/>
      <c r="GE1332" s="885"/>
      <c r="GF1332" s="885"/>
      <c r="GG1332" s="885"/>
      <c r="GH1332" s="885"/>
      <c r="GI1332" s="885"/>
      <c r="GJ1332" s="885"/>
      <c r="GK1332" s="885"/>
      <c r="GL1332" s="885"/>
      <c r="GM1332" s="885"/>
      <c r="GN1332" s="885"/>
      <c r="GO1332" s="885"/>
      <c r="GP1332" s="885"/>
      <c r="GQ1332" s="885"/>
      <c r="GR1332" s="885"/>
      <c r="GS1332" s="885"/>
      <c r="GT1332" s="885"/>
      <c r="GU1332" s="885"/>
      <c r="GV1332" s="885"/>
      <c r="GW1332" s="885"/>
      <c r="GX1332" s="885"/>
      <c r="GY1332" s="885"/>
      <c r="GZ1332" s="885"/>
      <c r="HA1332" s="885"/>
      <c r="HB1332" s="885"/>
      <c r="HC1332" s="885"/>
      <c r="HD1332" s="885"/>
      <c r="HE1332" s="885"/>
      <c r="HF1332" s="885"/>
      <c r="HG1332" s="885"/>
      <c r="HH1332" s="885"/>
      <c r="HI1332" s="885"/>
      <c r="HJ1332" s="885"/>
      <c r="HK1332" s="885"/>
      <c r="HL1332" s="885"/>
      <c r="HM1332" s="885"/>
      <c r="HN1332" s="885"/>
      <c r="HO1332" s="885"/>
      <c r="HP1332" s="885"/>
      <c r="HQ1332" s="885"/>
      <c r="HR1332" s="885"/>
      <c r="HS1332" s="885"/>
      <c r="HT1332" s="885"/>
      <c r="HU1332" s="885"/>
      <c r="HV1332" s="885"/>
      <c r="HW1332" s="885"/>
      <c r="HX1332" s="885"/>
      <c r="HY1332" s="885"/>
      <c r="HZ1332" s="885"/>
      <c r="IA1332" s="885"/>
      <c r="IB1332" s="885"/>
      <c r="IC1332" s="885"/>
      <c r="ID1332" s="885"/>
      <c r="IE1332" s="885"/>
      <c r="IF1332" s="885"/>
      <c r="IG1332" s="885"/>
      <c r="IH1332" s="885"/>
      <c r="II1332" s="885"/>
      <c r="IJ1332" s="885"/>
      <c r="IK1332" s="885"/>
      <c r="IL1332" s="885"/>
      <c r="IM1332" s="885"/>
      <c r="IN1332" s="885"/>
      <c r="IO1332" s="885"/>
      <c r="IP1332" s="885"/>
      <c r="IQ1332" s="885"/>
      <c r="IR1332" s="885"/>
      <c r="IS1332" s="885"/>
      <c r="IT1332" s="885"/>
      <c r="IU1332" s="885"/>
      <c r="IV1332" s="885"/>
      <c r="IW1332" s="885"/>
      <c r="IX1332" s="885"/>
    </row>
    <row r="1333" spans="1:258" x14ac:dyDescent="0.25">
      <c r="A1333" s="125">
        <f t="shared" si="152"/>
        <v>1293</v>
      </c>
      <c r="B1333" s="971"/>
      <c r="C1333" s="842" t="s">
        <v>11532</v>
      </c>
      <c r="D1333" s="924">
        <v>0</v>
      </c>
      <c r="E1333" s="924">
        <f t="shared" ref="E1333" si="156">D1333/8*12</f>
        <v>0</v>
      </c>
      <c r="F1333" s="129">
        <v>0</v>
      </c>
      <c r="H1333" s="971"/>
      <c r="I1333" s="971"/>
      <c r="J1333" s="971"/>
      <c r="K1333" s="971"/>
      <c r="L1333" s="971"/>
      <c r="M1333" s="971"/>
      <c r="N1333" s="971"/>
      <c r="O1333" s="971"/>
      <c r="P1333" s="971"/>
      <c r="Q1333" s="971"/>
      <c r="R1333" s="971"/>
      <c r="S1333" s="971"/>
      <c r="T1333" s="971"/>
      <c r="U1333" s="971"/>
      <c r="V1333" s="971"/>
      <c r="W1333" s="971"/>
      <c r="X1333" s="971"/>
      <c r="Y1333" s="971"/>
      <c r="Z1333" s="971"/>
      <c r="AA1333" s="971"/>
      <c r="AB1333" s="971"/>
      <c r="AC1333" s="971"/>
      <c r="AD1333" s="971"/>
      <c r="AE1333" s="971"/>
      <c r="AF1333" s="971"/>
      <c r="AG1333" s="971"/>
      <c r="AH1333" s="971"/>
      <c r="AI1333" s="971"/>
      <c r="AJ1333" s="971"/>
      <c r="AK1333" s="971"/>
      <c r="AL1333" s="971"/>
      <c r="AM1333" s="971"/>
      <c r="AN1333" s="971"/>
      <c r="AO1333" s="971"/>
      <c r="AP1333" s="971"/>
      <c r="AQ1333" s="971"/>
      <c r="AR1333" s="971"/>
      <c r="AS1333" s="971"/>
      <c r="AT1333" s="971"/>
      <c r="AU1333" s="971"/>
      <c r="AV1333" s="971"/>
      <c r="AW1333" s="971"/>
      <c r="AX1333" s="971"/>
      <c r="AY1333" s="971"/>
      <c r="AZ1333" s="971"/>
      <c r="BA1333" s="971"/>
      <c r="BB1333" s="971"/>
      <c r="BC1333" s="971"/>
      <c r="BD1333" s="971"/>
      <c r="BE1333" s="971"/>
      <c r="BF1333" s="971"/>
      <c r="BG1333" s="971"/>
      <c r="BH1333" s="971"/>
      <c r="BI1333" s="971"/>
      <c r="BJ1333" s="971"/>
      <c r="BK1333" s="971"/>
      <c r="BL1333" s="971"/>
      <c r="BM1333" s="971"/>
      <c r="BN1333" s="971"/>
      <c r="BO1333" s="971"/>
      <c r="BP1333" s="971"/>
      <c r="BQ1333" s="971"/>
      <c r="BR1333" s="971"/>
      <c r="BS1333" s="971"/>
      <c r="BT1333" s="971"/>
      <c r="BU1333" s="971"/>
      <c r="BV1333" s="971"/>
      <c r="BW1333" s="971"/>
      <c r="BX1333" s="971"/>
      <c r="BY1333" s="971"/>
      <c r="BZ1333" s="971"/>
      <c r="CA1333" s="971"/>
      <c r="CB1333" s="971"/>
      <c r="CC1333" s="971"/>
      <c r="CD1333" s="971"/>
      <c r="CE1333" s="971"/>
      <c r="CF1333" s="971"/>
      <c r="CG1333" s="971"/>
      <c r="CH1333" s="971"/>
      <c r="CI1333" s="971"/>
      <c r="CJ1333" s="971"/>
      <c r="CK1333" s="971"/>
      <c r="CL1333" s="971"/>
      <c r="CM1333" s="971"/>
      <c r="CN1333" s="971"/>
      <c r="CO1333" s="971"/>
      <c r="CP1333" s="971"/>
      <c r="CQ1333" s="971"/>
      <c r="CR1333" s="971"/>
      <c r="CS1333" s="971"/>
      <c r="CT1333" s="971"/>
      <c r="CU1333" s="971"/>
      <c r="CV1333" s="971"/>
      <c r="CW1333" s="971"/>
      <c r="CX1333" s="971"/>
      <c r="CY1333" s="971"/>
      <c r="CZ1333" s="971"/>
      <c r="DA1333" s="971"/>
      <c r="DB1333" s="971"/>
      <c r="DC1333" s="971"/>
      <c r="DD1333" s="971"/>
      <c r="DE1333" s="971"/>
      <c r="DF1333" s="971"/>
      <c r="DG1333" s="971"/>
      <c r="DH1333" s="971"/>
      <c r="DI1333" s="971"/>
      <c r="DJ1333" s="971"/>
      <c r="DK1333" s="971"/>
      <c r="DL1333" s="971"/>
      <c r="DM1333" s="971"/>
      <c r="DN1333" s="971"/>
      <c r="DO1333" s="971"/>
      <c r="DP1333" s="971"/>
      <c r="DQ1333" s="971"/>
      <c r="DR1333" s="971"/>
      <c r="DS1333" s="971"/>
      <c r="DT1333" s="971"/>
      <c r="DU1333" s="971"/>
      <c r="DV1333" s="971"/>
      <c r="DW1333" s="971"/>
      <c r="DX1333" s="971"/>
      <c r="DY1333" s="971"/>
      <c r="DZ1333" s="971"/>
      <c r="EA1333" s="971"/>
      <c r="EB1333" s="971"/>
      <c r="EC1333" s="971"/>
      <c r="ED1333" s="971"/>
      <c r="EE1333" s="971"/>
      <c r="EF1333" s="971"/>
      <c r="EG1333" s="971"/>
      <c r="EH1333" s="971"/>
      <c r="EI1333" s="971"/>
      <c r="EJ1333" s="971"/>
      <c r="EK1333" s="971"/>
      <c r="EL1333" s="971"/>
      <c r="EM1333" s="971"/>
      <c r="EN1333" s="971"/>
      <c r="EO1333" s="971"/>
      <c r="EP1333" s="971"/>
      <c r="EQ1333" s="971"/>
      <c r="ER1333" s="971"/>
      <c r="ES1333" s="971"/>
      <c r="ET1333" s="971"/>
      <c r="EU1333" s="971"/>
      <c r="EV1333" s="971"/>
      <c r="EW1333" s="971"/>
      <c r="EX1333" s="971"/>
      <c r="EY1333" s="971"/>
      <c r="EZ1333" s="971"/>
      <c r="FA1333" s="971"/>
      <c r="FB1333" s="971"/>
      <c r="FC1333" s="971"/>
      <c r="FD1333" s="971"/>
      <c r="FE1333" s="971"/>
      <c r="FF1333" s="971"/>
      <c r="FG1333" s="971"/>
      <c r="FH1333" s="971"/>
      <c r="FI1333" s="971"/>
      <c r="FJ1333" s="971"/>
      <c r="FK1333" s="971"/>
      <c r="FL1333" s="971"/>
      <c r="FM1333" s="971"/>
      <c r="FN1333" s="971"/>
      <c r="FO1333" s="971"/>
      <c r="FP1333" s="971"/>
      <c r="FQ1333" s="971"/>
      <c r="FR1333" s="971"/>
      <c r="FS1333" s="971"/>
      <c r="FT1333" s="971"/>
      <c r="FU1333" s="971"/>
      <c r="FV1333" s="971"/>
      <c r="FW1333" s="971"/>
      <c r="FX1333" s="971"/>
      <c r="FY1333" s="971"/>
      <c r="FZ1333" s="971"/>
      <c r="GA1333" s="971"/>
      <c r="GB1333" s="971"/>
      <c r="GC1333" s="971"/>
      <c r="GD1333" s="971"/>
      <c r="GE1333" s="971"/>
      <c r="GF1333" s="971"/>
      <c r="GG1333" s="971"/>
      <c r="GH1333" s="971"/>
      <c r="GI1333" s="971"/>
      <c r="GJ1333" s="971"/>
      <c r="GK1333" s="971"/>
      <c r="GL1333" s="971"/>
      <c r="GM1333" s="971"/>
      <c r="GN1333" s="971"/>
      <c r="GO1333" s="971"/>
      <c r="GP1333" s="971"/>
      <c r="GQ1333" s="971"/>
      <c r="GR1333" s="971"/>
      <c r="GS1333" s="971"/>
      <c r="GT1333" s="971"/>
      <c r="GU1333" s="971"/>
      <c r="GV1333" s="971"/>
      <c r="GW1333" s="971"/>
      <c r="GX1333" s="971"/>
      <c r="GY1333" s="971"/>
      <c r="GZ1333" s="971"/>
      <c r="HA1333" s="971"/>
      <c r="HB1333" s="971"/>
      <c r="HC1333" s="971"/>
      <c r="HD1333" s="971"/>
      <c r="HE1333" s="971"/>
      <c r="HF1333" s="971"/>
      <c r="HG1333" s="971"/>
      <c r="HH1333" s="971"/>
      <c r="HI1333" s="971"/>
      <c r="HJ1333" s="971"/>
      <c r="HK1333" s="971"/>
      <c r="HL1333" s="971"/>
      <c r="HM1333" s="971"/>
      <c r="HN1333" s="971"/>
      <c r="HO1333" s="971"/>
      <c r="HP1333" s="971"/>
      <c r="HQ1333" s="971"/>
      <c r="HR1333" s="971"/>
      <c r="HS1333" s="971"/>
      <c r="HT1333" s="971"/>
      <c r="HU1333" s="971"/>
      <c r="HV1333" s="971"/>
      <c r="HW1333" s="971"/>
      <c r="HX1333" s="971"/>
      <c r="HY1333" s="971"/>
      <c r="HZ1333" s="971"/>
      <c r="IA1333" s="971"/>
      <c r="IB1333" s="971"/>
      <c r="IC1333" s="971"/>
      <c r="ID1333" s="971"/>
      <c r="IE1333" s="971"/>
      <c r="IF1333" s="971"/>
      <c r="IG1333" s="971"/>
      <c r="IH1333" s="971"/>
      <c r="II1333" s="971"/>
      <c r="IJ1333" s="971"/>
      <c r="IK1333" s="971"/>
      <c r="IL1333" s="971"/>
      <c r="IM1333" s="971"/>
      <c r="IN1333" s="971"/>
      <c r="IO1333" s="971"/>
      <c r="IP1333" s="971"/>
      <c r="IQ1333" s="971"/>
      <c r="IR1333" s="971"/>
      <c r="IS1333" s="971"/>
      <c r="IT1333" s="971"/>
      <c r="IU1333" s="971"/>
      <c r="IV1333" s="971"/>
      <c r="IW1333" s="971"/>
      <c r="IX1333" s="971"/>
    </row>
    <row r="1334" spans="1:258" x14ac:dyDescent="0.25">
      <c r="A1334" s="125">
        <f t="shared" si="152"/>
        <v>1294</v>
      </c>
      <c r="B1334" s="885"/>
      <c r="C1334" s="122" t="s">
        <v>10859</v>
      </c>
      <c r="D1334" s="924">
        <v>5660</v>
      </c>
      <c r="E1334" s="924">
        <f t="shared" si="155"/>
        <v>8490</v>
      </c>
      <c r="F1334" s="129">
        <v>10000</v>
      </c>
      <c r="G1334" s="122" t="s">
        <v>1963</v>
      </c>
      <c r="H1334" s="885"/>
      <c r="I1334" s="885"/>
      <c r="J1334" s="885"/>
      <c r="K1334" s="885"/>
      <c r="L1334" s="885"/>
      <c r="M1334" s="885"/>
      <c r="N1334" s="885"/>
      <c r="O1334" s="885"/>
      <c r="P1334" s="885"/>
      <c r="Q1334" s="885"/>
      <c r="R1334" s="885"/>
      <c r="S1334" s="885"/>
      <c r="T1334" s="885"/>
      <c r="U1334" s="885"/>
      <c r="V1334" s="885"/>
      <c r="W1334" s="885"/>
      <c r="X1334" s="885"/>
      <c r="Y1334" s="885"/>
      <c r="Z1334" s="885"/>
      <c r="AA1334" s="885"/>
      <c r="AB1334" s="885"/>
      <c r="AC1334" s="885"/>
      <c r="AD1334" s="885"/>
      <c r="AE1334" s="885"/>
      <c r="AF1334" s="885"/>
      <c r="AG1334" s="885"/>
      <c r="AH1334" s="885"/>
      <c r="AI1334" s="885"/>
      <c r="AJ1334" s="885"/>
      <c r="AK1334" s="885"/>
      <c r="AL1334" s="885"/>
      <c r="AM1334" s="885"/>
      <c r="AN1334" s="885"/>
      <c r="AO1334" s="885"/>
      <c r="AP1334" s="885"/>
      <c r="AQ1334" s="885"/>
      <c r="AR1334" s="885"/>
      <c r="AS1334" s="885"/>
      <c r="AT1334" s="885"/>
      <c r="AU1334" s="885"/>
      <c r="AV1334" s="885"/>
      <c r="AW1334" s="885"/>
      <c r="AX1334" s="885"/>
      <c r="AY1334" s="885"/>
      <c r="AZ1334" s="885"/>
      <c r="BA1334" s="885"/>
      <c r="BB1334" s="885"/>
      <c r="BC1334" s="885"/>
      <c r="BD1334" s="885"/>
      <c r="BE1334" s="885"/>
      <c r="BF1334" s="885"/>
      <c r="BG1334" s="885"/>
      <c r="BH1334" s="885"/>
      <c r="BI1334" s="885"/>
      <c r="BJ1334" s="885"/>
      <c r="BK1334" s="885"/>
      <c r="BL1334" s="885"/>
      <c r="BM1334" s="885"/>
      <c r="BN1334" s="885"/>
      <c r="BO1334" s="885"/>
      <c r="BP1334" s="885"/>
      <c r="BQ1334" s="885"/>
      <c r="BR1334" s="885"/>
      <c r="BS1334" s="885"/>
      <c r="BT1334" s="885"/>
      <c r="BU1334" s="885"/>
      <c r="BV1334" s="885"/>
      <c r="BW1334" s="885"/>
      <c r="BX1334" s="885"/>
      <c r="BY1334" s="885"/>
      <c r="BZ1334" s="885"/>
      <c r="CA1334" s="885"/>
      <c r="CB1334" s="885"/>
      <c r="CC1334" s="885"/>
      <c r="CD1334" s="885"/>
      <c r="CE1334" s="885"/>
      <c r="CF1334" s="885"/>
      <c r="CG1334" s="885"/>
      <c r="CH1334" s="885"/>
      <c r="CI1334" s="885"/>
      <c r="CJ1334" s="885"/>
      <c r="CK1334" s="885"/>
      <c r="CL1334" s="885"/>
      <c r="CM1334" s="885"/>
      <c r="CN1334" s="885"/>
      <c r="CO1334" s="885"/>
      <c r="CP1334" s="885"/>
      <c r="CQ1334" s="885"/>
      <c r="CR1334" s="885"/>
      <c r="CS1334" s="885"/>
      <c r="CT1334" s="885"/>
      <c r="CU1334" s="885"/>
      <c r="CV1334" s="885"/>
      <c r="CW1334" s="885"/>
      <c r="CX1334" s="885"/>
      <c r="CY1334" s="885"/>
      <c r="CZ1334" s="885"/>
      <c r="DA1334" s="885"/>
      <c r="DB1334" s="885"/>
      <c r="DC1334" s="885"/>
      <c r="DD1334" s="885"/>
      <c r="DE1334" s="885"/>
      <c r="DF1334" s="885"/>
      <c r="DG1334" s="885"/>
      <c r="DH1334" s="885"/>
      <c r="DI1334" s="885"/>
      <c r="DJ1334" s="885"/>
      <c r="DK1334" s="885"/>
      <c r="DL1334" s="885"/>
      <c r="DM1334" s="885"/>
      <c r="DN1334" s="885"/>
      <c r="DO1334" s="885"/>
      <c r="DP1334" s="885"/>
      <c r="DQ1334" s="885"/>
      <c r="DR1334" s="885"/>
      <c r="DS1334" s="885"/>
      <c r="DT1334" s="885"/>
      <c r="DU1334" s="885"/>
      <c r="DV1334" s="885"/>
      <c r="DW1334" s="885"/>
      <c r="DX1334" s="885"/>
      <c r="DY1334" s="885"/>
      <c r="DZ1334" s="885"/>
      <c r="EA1334" s="885"/>
      <c r="EB1334" s="885"/>
      <c r="EC1334" s="885"/>
      <c r="ED1334" s="885"/>
      <c r="EE1334" s="885"/>
      <c r="EF1334" s="885"/>
      <c r="EG1334" s="885"/>
      <c r="EH1334" s="885"/>
      <c r="EI1334" s="885"/>
      <c r="EJ1334" s="885"/>
      <c r="EK1334" s="885"/>
      <c r="EL1334" s="885"/>
      <c r="EM1334" s="885"/>
      <c r="EN1334" s="885"/>
      <c r="EO1334" s="885"/>
      <c r="EP1334" s="885"/>
      <c r="EQ1334" s="885"/>
      <c r="ER1334" s="885"/>
      <c r="ES1334" s="885"/>
      <c r="ET1334" s="885"/>
      <c r="EU1334" s="885"/>
      <c r="EV1334" s="885"/>
      <c r="EW1334" s="885"/>
      <c r="EX1334" s="885"/>
      <c r="EY1334" s="885"/>
      <c r="EZ1334" s="885"/>
      <c r="FA1334" s="885"/>
      <c r="FB1334" s="885"/>
      <c r="FC1334" s="885"/>
      <c r="FD1334" s="885"/>
      <c r="FE1334" s="885"/>
      <c r="FF1334" s="885"/>
      <c r="FG1334" s="885"/>
      <c r="FH1334" s="885"/>
      <c r="FI1334" s="885"/>
      <c r="FJ1334" s="885"/>
      <c r="FK1334" s="885"/>
      <c r="FL1334" s="885"/>
      <c r="FM1334" s="885"/>
      <c r="FN1334" s="885"/>
      <c r="FO1334" s="885"/>
      <c r="FP1334" s="885"/>
      <c r="FQ1334" s="885"/>
      <c r="FR1334" s="885"/>
      <c r="FS1334" s="885"/>
      <c r="FT1334" s="885"/>
      <c r="FU1334" s="885"/>
      <c r="FV1334" s="885"/>
      <c r="FW1334" s="885"/>
      <c r="FX1334" s="885"/>
      <c r="FY1334" s="885"/>
      <c r="FZ1334" s="885"/>
      <c r="GA1334" s="885"/>
      <c r="GB1334" s="885"/>
      <c r="GC1334" s="885"/>
      <c r="GD1334" s="885"/>
      <c r="GE1334" s="885"/>
      <c r="GF1334" s="885"/>
      <c r="GG1334" s="885"/>
      <c r="GH1334" s="885"/>
      <c r="GI1334" s="885"/>
      <c r="GJ1334" s="885"/>
      <c r="GK1334" s="885"/>
      <c r="GL1334" s="885"/>
      <c r="GM1334" s="885"/>
      <c r="GN1334" s="885"/>
      <c r="GO1334" s="885"/>
      <c r="GP1334" s="885"/>
      <c r="GQ1334" s="885"/>
      <c r="GR1334" s="885"/>
      <c r="GS1334" s="885"/>
      <c r="GT1334" s="885"/>
      <c r="GU1334" s="885"/>
      <c r="GV1334" s="885"/>
      <c r="GW1334" s="885"/>
      <c r="GX1334" s="885"/>
      <c r="GY1334" s="885"/>
      <c r="GZ1334" s="885"/>
      <c r="HA1334" s="885"/>
      <c r="HB1334" s="885"/>
      <c r="HC1334" s="885"/>
      <c r="HD1334" s="885"/>
      <c r="HE1334" s="885"/>
      <c r="HF1334" s="885"/>
      <c r="HG1334" s="885"/>
      <c r="HH1334" s="885"/>
      <c r="HI1334" s="885"/>
      <c r="HJ1334" s="885"/>
      <c r="HK1334" s="885"/>
      <c r="HL1334" s="885"/>
      <c r="HM1334" s="885"/>
      <c r="HN1334" s="885"/>
      <c r="HO1334" s="885"/>
      <c r="HP1334" s="885"/>
      <c r="HQ1334" s="885"/>
      <c r="HR1334" s="885"/>
      <c r="HS1334" s="885"/>
      <c r="HT1334" s="885"/>
      <c r="HU1334" s="885"/>
      <c r="HV1334" s="885"/>
      <c r="HW1334" s="885"/>
      <c r="HX1334" s="885"/>
      <c r="HY1334" s="885"/>
      <c r="HZ1334" s="885"/>
      <c r="IA1334" s="885"/>
      <c r="IB1334" s="885"/>
      <c r="IC1334" s="885"/>
      <c r="ID1334" s="885"/>
      <c r="IE1334" s="885"/>
      <c r="IF1334" s="885"/>
      <c r="IG1334" s="885"/>
      <c r="IH1334" s="885"/>
      <c r="II1334" s="885"/>
      <c r="IJ1334" s="885"/>
      <c r="IK1334" s="885"/>
      <c r="IL1334" s="885"/>
      <c r="IM1334" s="885"/>
      <c r="IN1334" s="885"/>
      <c r="IO1334" s="885"/>
      <c r="IP1334" s="885"/>
      <c r="IQ1334" s="885"/>
      <c r="IR1334" s="885"/>
      <c r="IS1334" s="885"/>
      <c r="IT1334" s="885"/>
      <c r="IU1334" s="885"/>
      <c r="IV1334" s="885"/>
      <c r="IW1334" s="885"/>
      <c r="IX1334" s="885"/>
    </row>
    <row r="1335" spans="1:258" x14ac:dyDescent="0.25">
      <c r="A1335" s="125">
        <f t="shared" si="152"/>
        <v>1295</v>
      </c>
      <c r="B1335" s="885"/>
      <c r="C1335" s="134" t="s">
        <v>10860</v>
      </c>
      <c r="D1335" s="924">
        <v>0</v>
      </c>
      <c r="E1335" s="924">
        <f t="shared" si="155"/>
        <v>0</v>
      </c>
      <c r="F1335" s="129">
        <v>20000</v>
      </c>
      <c r="G1335" s="122" t="s">
        <v>1963</v>
      </c>
      <c r="H1335" s="885"/>
      <c r="I1335" s="885"/>
      <c r="J1335" s="885"/>
      <c r="K1335" s="885"/>
      <c r="L1335" s="885"/>
      <c r="M1335" s="885"/>
      <c r="N1335" s="885"/>
      <c r="O1335" s="885"/>
      <c r="P1335" s="885"/>
      <c r="Q1335" s="885"/>
      <c r="R1335" s="885"/>
      <c r="S1335" s="885"/>
      <c r="T1335" s="885"/>
      <c r="U1335" s="885"/>
      <c r="V1335" s="885"/>
      <c r="W1335" s="885"/>
      <c r="X1335" s="885"/>
      <c r="Y1335" s="885"/>
      <c r="Z1335" s="885"/>
      <c r="AA1335" s="885"/>
      <c r="AB1335" s="885"/>
      <c r="AC1335" s="885"/>
      <c r="AD1335" s="885"/>
      <c r="AE1335" s="885"/>
      <c r="AF1335" s="885"/>
      <c r="AG1335" s="885"/>
      <c r="AH1335" s="885"/>
      <c r="AI1335" s="885"/>
      <c r="AJ1335" s="885"/>
      <c r="AK1335" s="885"/>
      <c r="AL1335" s="885"/>
      <c r="AM1335" s="885"/>
      <c r="AN1335" s="885"/>
      <c r="AO1335" s="885"/>
      <c r="AP1335" s="885"/>
      <c r="AQ1335" s="885"/>
      <c r="AR1335" s="885"/>
      <c r="AS1335" s="885"/>
      <c r="AT1335" s="885"/>
      <c r="AU1335" s="885"/>
      <c r="AV1335" s="885"/>
      <c r="AW1335" s="885"/>
      <c r="AX1335" s="885"/>
      <c r="AY1335" s="885"/>
      <c r="AZ1335" s="885"/>
      <c r="BA1335" s="885"/>
      <c r="BB1335" s="885"/>
      <c r="BC1335" s="885"/>
      <c r="BD1335" s="885"/>
      <c r="BE1335" s="885"/>
      <c r="BF1335" s="885"/>
      <c r="BG1335" s="885"/>
      <c r="BH1335" s="885"/>
      <c r="BI1335" s="885"/>
      <c r="BJ1335" s="885"/>
      <c r="BK1335" s="885"/>
      <c r="BL1335" s="885"/>
      <c r="BM1335" s="885"/>
      <c r="BN1335" s="885"/>
      <c r="BO1335" s="885"/>
      <c r="BP1335" s="885"/>
      <c r="BQ1335" s="885"/>
      <c r="BR1335" s="885"/>
      <c r="BS1335" s="885"/>
      <c r="BT1335" s="885"/>
      <c r="BU1335" s="885"/>
      <c r="BV1335" s="885"/>
      <c r="BW1335" s="885"/>
      <c r="BX1335" s="885"/>
      <c r="BY1335" s="885"/>
      <c r="BZ1335" s="885"/>
      <c r="CA1335" s="885"/>
      <c r="CB1335" s="885"/>
      <c r="CC1335" s="885"/>
      <c r="CD1335" s="885"/>
      <c r="CE1335" s="885"/>
      <c r="CF1335" s="885"/>
      <c r="CG1335" s="885"/>
      <c r="CH1335" s="885"/>
      <c r="CI1335" s="885"/>
      <c r="CJ1335" s="885"/>
      <c r="CK1335" s="885"/>
      <c r="CL1335" s="885"/>
      <c r="CM1335" s="885"/>
      <c r="CN1335" s="885"/>
      <c r="CO1335" s="885"/>
      <c r="CP1335" s="885"/>
      <c r="CQ1335" s="885"/>
      <c r="CR1335" s="885"/>
      <c r="CS1335" s="885"/>
      <c r="CT1335" s="885"/>
      <c r="CU1335" s="885"/>
      <c r="CV1335" s="885"/>
      <c r="CW1335" s="885"/>
      <c r="CX1335" s="885"/>
      <c r="CY1335" s="885"/>
      <c r="CZ1335" s="885"/>
      <c r="DA1335" s="885"/>
      <c r="DB1335" s="885"/>
      <c r="DC1335" s="885"/>
      <c r="DD1335" s="885"/>
      <c r="DE1335" s="885"/>
      <c r="DF1335" s="885"/>
      <c r="DG1335" s="885"/>
      <c r="DH1335" s="885"/>
      <c r="DI1335" s="885"/>
      <c r="DJ1335" s="885"/>
      <c r="DK1335" s="885"/>
      <c r="DL1335" s="885"/>
      <c r="DM1335" s="885"/>
      <c r="DN1335" s="885"/>
      <c r="DO1335" s="885"/>
      <c r="DP1335" s="885"/>
      <c r="DQ1335" s="885"/>
      <c r="DR1335" s="885"/>
      <c r="DS1335" s="885"/>
      <c r="DT1335" s="885"/>
      <c r="DU1335" s="885"/>
      <c r="DV1335" s="885"/>
      <c r="DW1335" s="885"/>
      <c r="DX1335" s="885"/>
      <c r="DY1335" s="885"/>
      <c r="DZ1335" s="885"/>
      <c r="EA1335" s="885"/>
      <c r="EB1335" s="885"/>
      <c r="EC1335" s="885"/>
      <c r="ED1335" s="885"/>
      <c r="EE1335" s="885"/>
      <c r="EF1335" s="885"/>
      <c r="EG1335" s="885"/>
      <c r="EH1335" s="885"/>
      <c r="EI1335" s="885"/>
      <c r="EJ1335" s="885"/>
      <c r="EK1335" s="885"/>
      <c r="EL1335" s="885"/>
      <c r="EM1335" s="885"/>
      <c r="EN1335" s="885"/>
      <c r="EO1335" s="885"/>
      <c r="EP1335" s="885"/>
      <c r="EQ1335" s="885"/>
      <c r="ER1335" s="885"/>
      <c r="ES1335" s="885"/>
      <c r="ET1335" s="885"/>
      <c r="EU1335" s="885"/>
      <c r="EV1335" s="885"/>
      <c r="EW1335" s="885"/>
      <c r="EX1335" s="885"/>
      <c r="EY1335" s="885"/>
      <c r="EZ1335" s="885"/>
      <c r="FA1335" s="885"/>
      <c r="FB1335" s="885"/>
      <c r="FC1335" s="885"/>
      <c r="FD1335" s="885"/>
      <c r="FE1335" s="885"/>
      <c r="FF1335" s="885"/>
      <c r="FG1335" s="885"/>
      <c r="FH1335" s="885"/>
      <c r="FI1335" s="885"/>
      <c r="FJ1335" s="885"/>
      <c r="FK1335" s="885"/>
      <c r="FL1335" s="885"/>
      <c r="FM1335" s="885"/>
      <c r="FN1335" s="885"/>
      <c r="FO1335" s="885"/>
      <c r="FP1335" s="885"/>
      <c r="FQ1335" s="885"/>
      <c r="FR1335" s="885"/>
      <c r="FS1335" s="885"/>
      <c r="FT1335" s="885"/>
      <c r="FU1335" s="885"/>
      <c r="FV1335" s="885"/>
      <c r="FW1335" s="885"/>
      <c r="FX1335" s="885"/>
      <c r="FY1335" s="885"/>
      <c r="FZ1335" s="885"/>
      <c r="GA1335" s="885"/>
      <c r="GB1335" s="885"/>
      <c r="GC1335" s="885"/>
      <c r="GD1335" s="885"/>
      <c r="GE1335" s="885"/>
      <c r="GF1335" s="885"/>
      <c r="GG1335" s="885"/>
      <c r="GH1335" s="885"/>
      <c r="GI1335" s="885"/>
      <c r="GJ1335" s="885"/>
      <c r="GK1335" s="885"/>
      <c r="GL1335" s="885"/>
      <c r="GM1335" s="885"/>
      <c r="GN1335" s="885"/>
      <c r="GO1335" s="885"/>
      <c r="GP1335" s="885"/>
      <c r="GQ1335" s="885"/>
      <c r="GR1335" s="885"/>
      <c r="GS1335" s="885"/>
      <c r="GT1335" s="885"/>
      <c r="GU1335" s="885"/>
      <c r="GV1335" s="885"/>
      <c r="GW1335" s="885"/>
      <c r="GX1335" s="885"/>
      <c r="GY1335" s="885"/>
      <c r="GZ1335" s="885"/>
      <c r="HA1335" s="885"/>
      <c r="HB1335" s="885"/>
      <c r="HC1335" s="885"/>
      <c r="HD1335" s="885"/>
      <c r="HE1335" s="885"/>
      <c r="HF1335" s="885"/>
      <c r="HG1335" s="885"/>
      <c r="HH1335" s="885"/>
      <c r="HI1335" s="885"/>
      <c r="HJ1335" s="885"/>
      <c r="HK1335" s="885"/>
      <c r="HL1335" s="885"/>
      <c r="HM1335" s="885"/>
      <c r="HN1335" s="885"/>
      <c r="HO1335" s="885"/>
      <c r="HP1335" s="885"/>
      <c r="HQ1335" s="885"/>
      <c r="HR1335" s="885"/>
      <c r="HS1335" s="885"/>
      <c r="HT1335" s="885"/>
      <c r="HU1335" s="885"/>
      <c r="HV1335" s="885"/>
      <c r="HW1335" s="885"/>
      <c r="HX1335" s="885"/>
      <c r="HY1335" s="885"/>
      <c r="HZ1335" s="885"/>
      <c r="IA1335" s="885"/>
      <c r="IB1335" s="885"/>
      <c r="IC1335" s="885"/>
      <c r="ID1335" s="885"/>
      <c r="IE1335" s="885"/>
      <c r="IF1335" s="885"/>
      <c r="IG1335" s="885"/>
      <c r="IH1335" s="885"/>
      <c r="II1335" s="885"/>
      <c r="IJ1335" s="885"/>
      <c r="IK1335" s="885"/>
      <c r="IL1335" s="885"/>
      <c r="IM1335" s="885"/>
      <c r="IN1335" s="885"/>
      <c r="IO1335" s="885"/>
      <c r="IP1335" s="885"/>
      <c r="IQ1335" s="885"/>
      <c r="IR1335" s="885"/>
      <c r="IS1335" s="885"/>
      <c r="IT1335" s="885"/>
      <c r="IU1335" s="885"/>
      <c r="IV1335" s="885"/>
      <c r="IW1335" s="885"/>
      <c r="IX1335" s="885"/>
    </row>
    <row r="1336" spans="1:258" x14ac:dyDescent="0.25">
      <c r="A1336" s="125">
        <f t="shared" si="152"/>
        <v>1296</v>
      </c>
      <c r="B1336" s="885"/>
      <c r="C1336" s="134" t="s">
        <v>10861</v>
      </c>
      <c r="D1336" s="924">
        <v>0</v>
      </c>
      <c r="E1336" s="924">
        <f t="shared" si="155"/>
        <v>0</v>
      </c>
      <c r="F1336" s="129">
        <v>3000</v>
      </c>
      <c r="G1336" s="122" t="s">
        <v>1963</v>
      </c>
      <c r="H1336" s="885"/>
      <c r="I1336" s="885"/>
      <c r="J1336" s="885"/>
      <c r="K1336" s="885"/>
      <c r="L1336" s="885"/>
      <c r="M1336" s="885"/>
      <c r="N1336" s="885"/>
      <c r="O1336" s="885"/>
      <c r="P1336" s="885"/>
      <c r="Q1336" s="885"/>
      <c r="R1336" s="885"/>
      <c r="S1336" s="885"/>
      <c r="T1336" s="885"/>
      <c r="U1336" s="885"/>
      <c r="V1336" s="885"/>
      <c r="W1336" s="885"/>
      <c r="X1336" s="885"/>
      <c r="Y1336" s="885"/>
      <c r="Z1336" s="885"/>
      <c r="AA1336" s="885"/>
      <c r="AB1336" s="885"/>
      <c r="AC1336" s="885"/>
      <c r="AD1336" s="885"/>
      <c r="AE1336" s="885"/>
      <c r="AF1336" s="885"/>
      <c r="AG1336" s="885"/>
      <c r="AH1336" s="885"/>
      <c r="AI1336" s="885"/>
      <c r="AJ1336" s="885"/>
      <c r="AK1336" s="885"/>
      <c r="AL1336" s="885"/>
      <c r="AM1336" s="885"/>
      <c r="AN1336" s="885"/>
      <c r="AO1336" s="885"/>
      <c r="AP1336" s="885"/>
      <c r="AQ1336" s="885"/>
      <c r="AR1336" s="885"/>
      <c r="AS1336" s="885"/>
      <c r="AT1336" s="885"/>
      <c r="AU1336" s="885"/>
      <c r="AV1336" s="885"/>
      <c r="AW1336" s="885"/>
      <c r="AX1336" s="885"/>
      <c r="AY1336" s="885"/>
      <c r="AZ1336" s="885"/>
      <c r="BA1336" s="885"/>
      <c r="BB1336" s="885"/>
      <c r="BC1336" s="885"/>
      <c r="BD1336" s="885"/>
      <c r="BE1336" s="885"/>
      <c r="BF1336" s="885"/>
      <c r="BG1336" s="885"/>
      <c r="BH1336" s="885"/>
      <c r="BI1336" s="885"/>
      <c r="BJ1336" s="885"/>
      <c r="BK1336" s="885"/>
      <c r="BL1336" s="885"/>
      <c r="BM1336" s="885"/>
      <c r="BN1336" s="885"/>
      <c r="BO1336" s="885"/>
      <c r="BP1336" s="885"/>
      <c r="BQ1336" s="885"/>
      <c r="BR1336" s="885"/>
      <c r="BS1336" s="885"/>
      <c r="BT1336" s="885"/>
      <c r="BU1336" s="885"/>
      <c r="BV1336" s="885"/>
      <c r="BW1336" s="885"/>
      <c r="BX1336" s="885"/>
      <c r="BY1336" s="885"/>
      <c r="BZ1336" s="885"/>
      <c r="CA1336" s="885"/>
      <c r="CB1336" s="885"/>
      <c r="CC1336" s="885"/>
      <c r="CD1336" s="885"/>
      <c r="CE1336" s="885"/>
      <c r="CF1336" s="885"/>
      <c r="CG1336" s="885"/>
      <c r="CH1336" s="885"/>
      <c r="CI1336" s="885"/>
      <c r="CJ1336" s="885"/>
      <c r="CK1336" s="885"/>
      <c r="CL1336" s="885"/>
      <c r="CM1336" s="885"/>
      <c r="CN1336" s="885"/>
      <c r="CO1336" s="885"/>
      <c r="CP1336" s="885"/>
      <c r="CQ1336" s="885"/>
      <c r="CR1336" s="885"/>
      <c r="CS1336" s="885"/>
      <c r="CT1336" s="885"/>
      <c r="CU1336" s="885"/>
      <c r="CV1336" s="885"/>
      <c r="CW1336" s="885"/>
      <c r="CX1336" s="885"/>
      <c r="CY1336" s="885"/>
      <c r="CZ1336" s="885"/>
      <c r="DA1336" s="885"/>
      <c r="DB1336" s="885"/>
      <c r="DC1336" s="885"/>
      <c r="DD1336" s="885"/>
      <c r="DE1336" s="885"/>
      <c r="DF1336" s="885"/>
      <c r="DG1336" s="885"/>
      <c r="DH1336" s="885"/>
      <c r="DI1336" s="885"/>
      <c r="DJ1336" s="885"/>
      <c r="DK1336" s="885"/>
      <c r="DL1336" s="885"/>
      <c r="DM1336" s="885"/>
      <c r="DN1336" s="885"/>
      <c r="DO1336" s="885"/>
      <c r="DP1336" s="885"/>
      <c r="DQ1336" s="885"/>
      <c r="DR1336" s="885"/>
      <c r="DS1336" s="885"/>
      <c r="DT1336" s="885"/>
      <c r="DU1336" s="885"/>
      <c r="DV1336" s="885"/>
      <c r="DW1336" s="885"/>
      <c r="DX1336" s="885"/>
      <c r="DY1336" s="885"/>
      <c r="DZ1336" s="885"/>
      <c r="EA1336" s="885"/>
      <c r="EB1336" s="885"/>
      <c r="EC1336" s="885"/>
      <c r="ED1336" s="885"/>
      <c r="EE1336" s="885"/>
      <c r="EF1336" s="885"/>
      <c r="EG1336" s="885"/>
      <c r="EH1336" s="885"/>
      <c r="EI1336" s="885"/>
      <c r="EJ1336" s="885"/>
      <c r="EK1336" s="885"/>
      <c r="EL1336" s="885"/>
      <c r="EM1336" s="885"/>
      <c r="EN1336" s="885"/>
      <c r="EO1336" s="885"/>
      <c r="EP1336" s="885"/>
      <c r="EQ1336" s="885"/>
      <c r="ER1336" s="885"/>
      <c r="ES1336" s="885"/>
      <c r="ET1336" s="885"/>
      <c r="EU1336" s="885"/>
      <c r="EV1336" s="885"/>
      <c r="EW1336" s="885"/>
      <c r="EX1336" s="885"/>
      <c r="EY1336" s="885"/>
      <c r="EZ1336" s="885"/>
      <c r="FA1336" s="885"/>
      <c r="FB1336" s="885"/>
      <c r="FC1336" s="885"/>
      <c r="FD1336" s="885"/>
      <c r="FE1336" s="885"/>
      <c r="FF1336" s="885"/>
      <c r="FG1336" s="885"/>
      <c r="FH1336" s="885"/>
      <c r="FI1336" s="885"/>
      <c r="FJ1336" s="885"/>
      <c r="FK1336" s="885"/>
      <c r="FL1336" s="885"/>
      <c r="FM1336" s="885"/>
      <c r="FN1336" s="885"/>
      <c r="FO1336" s="885"/>
      <c r="FP1336" s="885"/>
      <c r="FQ1336" s="885"/>
      <c r="FR1336" s="885"/>
      <c r="FS1336" s="885"/>
      <c r="FT1336" s="885"/>
      <c r="FU1336" s="885"/>
      <c r="FV1336" s="885"/>
      <c r="FW1336" s="885"/>
      <c r="FX1336" s="885"/>
      <c r="FY1336" s="885"/>
      <c r="FZ1336" s="885"/>
      <c r="GA1336" s="885"/>
      <c r="GB1336" s="885"/>
      <c r="GC1336" s="885"/>
      <c r="GD1336" s="885"/>
      <c r="GE1336" s="885"/>
      <c r="GF1336" s="885"/>
      <c r="GG1336" s="885"/>
      <c r="GH1336" s="885"/>
      <c r="GI1336" s="885"/>
      <c r="GJ1336" s="885"/>
      <c r="GK1336" s="885"/>
      <c r="GL1336" s="885"/>
      <c r="GM1336" s="885"/>
      <c r="GN1336" s="885"/>
      <c r="GO1336" s="885"/>
      <c r="GP1336" s="885"/>
      <c r="GQ1336" s="885"/>
      <c r="GR1336" s="885"/>
      <c r="GS1336" s="885"/>
      <c r="GT1336" s="885"/>
      <c r="GU1336" s="885"/>
      <c r="GV1336" s="885"/>
      <c r="GW1336" s="885"/>
      <c r="GX1336" s="885"/>
      <c r="GY1336" s="885"/>
      <c r="GZ1336" s="885"/>
      <c r="HA1336" s="885"/>
      <c r="HB1336" s="885"/>
      <c r="HC1336" s="885"/>
      <c r="HD1336" s="885"/>
      <c r="HE1336" s="885"/>
      <c r="HF1336" s="885"/>
      <c r="HG1336" s="885"/>
      <c r="HH1336" s="885"/>
      <c r="HI1336" s="885"/>
      <c r="HJ1336" s="885"/>
      <c r="HK1336" s="885"/>
      <c r="HL1336" s="885"/>
      <c r="HM1336" s="885"/>
      <c r="HN1336" s="885"/>
      <c r="HO1336" s="885"/>
      <c r="HP1336" s="885"/>
      <c r="HQ1336" s="885"/>
      <c r="HR1336" s="885"/>
      <c r="HS1336" s="885"/>
      <c r="HT1336" s="885"/>
      <c r="HU1336" s="885"/>
      <c r="HV1336" s="885"/>
      <c r="HW1336" s="885"/>
      <c r="HX1336" s="885"/>
      <c r="HY1336" s="885"/>
      <c r="HZ1336" s="885"/>
      <c r="IA1336" s="885"/>
      <c r="IB1336" s="885"/>
      <c r="IC1336" s="885"/>
      <c r="ID1336" s="885"/>
      <c r="IE1336" s="885"/>
      <c r="IF1336" s="885"/>
      <c r="IG1336" s="885"/>
      <c r="IH1336" s="885"/>
      <c r="II1336" s="885"/>
      <c r="IJ1336" s="885"/>
      <c r="IK1336" s="885"/>
      <c r="IL1336" s="885"/>
      <c r="IM1336" s="885"/>
      <c r="IN1336" s="885"/>
      <c r="IO1336" s="885"/>
      <c r="IP1336" s="885"/>
      <c r="IQ1336" s="885"/>
      <c r="IR1336" s="885"/>
      <c r="IS1336" s="885"/>
      <c r="IT1336" s="885"/>
      <c r="IU1336" s="885"/>
      <c r="IV1336" s="885"/>
      <c r="IW1336" s="885"/>
      <c r="IX1336" s="885"/>
    </row>
    <row r="1337" spans="1:258" x14ac:dyDescent="0.25">
      <c r="A1337" s="125">
        <f t="shared" si="152"/>
        <v>1297</v>
      </c>
      <c r="B1337" s="885"/>
      <c r="C1337" s="123" t="s">
        <v>10864</v>
      </c>
      <c r="D1337" s="904"/>
      <c r="E1337" s="904"/>
      <c r="G1337" s="885"/>
      <c r="H1337" s="885"/>
      <c r="I1337" s="885"/>
      <c r="J1337" s="885"/>
      <c r="K1337" s="885"/>
      <c r="L1337" s="885"/>
      <c r="M1337" s="885"/>
      <c r="N1337" s="885"/>
      <c r="O1337" s="885"/>
      <c r="P1337" s="885"/>
      <c r="Q1337" s="885"/>
      <c r="R1337" s="885"/>
      <c r="S1337" s="885"/>
      <c r="T1337" s="885"/>
      <c r="U1337" s="885"/>
      <c r="V1337" s="885"/>
      <c r="W1337" s="885"/>
      <c r="X1337" s="885"/>
      <c r="Y1337" s="885"/>
      <c r="Z1337" s="885"/>
      <c r="AA1337" s="885"/>
      <c r="AB1337" s="885"/>
      <c r="AC1337" s="885"/>
      <c r="AD1337" s="885"/>
      <c r="AE1337" s="885"/>
      <c r="AF1337" s="885"/>
      <c r="AG1337" s="885"/>
      <c r="AH1337" s="885"/>
      <c r="AI1337" s="885"/>
      <c r="AJ1337" s="885"/>
      <c r="AK1337" s="885"/>
      <c r="AL1337" s="885"/>
      <c r="AM1337" s="885"/>
      <c r="AN1337" s="885"/>
      <c r="AO1337" s="885"/>
      <c r="AP1337" s="885"/>
      <c r="AQ1337" s="885"/>
      <c r="AR1337" s="885"/>
      <c r="AS1337" s="885"/>
      <c r="AT1337" s="885"/>
      <c r="AU1337" s="885"/>
      <c r="AV1337" s="885"/>
      <c r="AW1337" s="885"/>
      <c r="AX1337" s="885"/>
      <c r="AY1337" s="885"/>
      <c r="AZ1337" s="885"/>
      <c r="BA1337" s="885"/>
      <c r="BB1337" s="885"/>
      <c r="BC1337" s="885"/>
      <c r="BD1337" s="885"/>
      <c r="BE1337" s="885"/>
      <c r="BF1337" s="885"/>
      <c r="BG1337" s="885"/>
      <c r="BH1337" s="885"/>
      <c r="BI1337" s="885"/>
      <c r="BJ1337" s="885"/>
      <c r="BK1337" s="885"/>
      <c r="BL1337" s="885"/>
      <c r="BM1337" s="885"/>
      <c r="BN1337" s="885"/>
      <c r="BO1337" s="885"/>
      <c r="BP1337" s="885"/>
      <c r="BQ1337" s="885"/>
      <c r="BR1337" s="885"/>
      <c r="BS1337" s="885"/>
      <c r="BT1337" s="885"/>
      <c r="BU1337" s="885"/>
      <c r="BV1337" s="885"/>
      <c r="BW1337" s="885"/>
      <c r="BX1337" s="885"/>
      <c r="BY1337" s="885"/>
      <c r="BZ1337" s="885"/>
      <c r="CA1337" s="885"/>
      <c r="CB1337" s="885"/>
      <c r="CC1337" s="885"/>
      <c r="CD1337" s="885"/>
      <c r="CE1337" s="885"/>
      <c r="CF1337" s="885"/>
      <c r="CG1337" s="885"/>
      <c r="CH1337" s="885"/>
      <c r="CI1337" s="885"/>
      <c r="CJ1337" s="885"/>
      <c r="CK1337" s="885"/>
      <c r="CL1337" s="885"/>
      <c r="CM1337" s="885"/>
      <c r="CN1337" s="885"/>
      <c r="CO1337" s="885"/>
      <c r="CP1337" s="885"/>
      <c r="CQ1337" s="885"/>
      <c r="CR1337" s="885"/>
      <c r="CS1337" s="885"/>
      <c r="CT1337" s="885"/>
      <c r="CU1337" s="885"/>
      <c r="CV1337" s="885"/>
      <c r="CW1337" s="885"/>
      <c r="CX1337" s="885"/>
      <c r="CY1337" s="885"/>
      <c r="CZ1337" s="885"/>
      <c r="DA1337" s="885"/>
      <c r="DB1337" s="885"/>
      <c r="DC1337" s="885"/>
      <c r="DD1337" s="885"/>
      <c r="DE1337" s="885"/>
      <c r="DF1337" s="885"/>
      <c r="DG1337" s="885"/>
      <c r="DH1337" s="885"/>
      <c r="DI1337" s="885"/>
      <c r="DJ1337" s="885"/>
      <c r="DK1337" s="885"/>
      <c r="DL1337" s="885"/>
      <c r="DM1337" s="885"/>
      <c r="DN1337" s="885"/>
      <c r="DO1337" s="885"/>
      <c r="DP1337" s="885"/>
      <c r="DQ1337" s="885"/>
      <c r="DR1337" s="885"/>
      <c r="DS1337" s="885"/>
      <c r="DT1337" s="885"/>
      <c r="DU1337" s="885"/>
      <c r="DV1337" s="885"/>
      <c r="DW1337" s="885"/>
      <c r="DX1337" s="885"/>
      <c r="DY1337" s="885"/>
      <c r="DZ1337" s="885"/>
      <c r="EA1337" s="885"/>
      <c r="EB1337" s="885"/>
      <c r="EC1337" s="885"/>
      <c r="ED1337" s="885"/>
      <c r="EE1337" s="885"/>
      <c r="EF1337" s="885"/>
      <c r="EG1337" s="885"/>
      <c r="EH1337" s="885"/>
      <c r="EI1337" s="885"/>
      <c r="EJ1337" s="885"/>
      <c r="EK1337" s="885"/>
      <c r="EL1337" s="885"/>
      <c r="EM1337" s="885"/>
      <c r="EN1337" s="885"/>
      <c r="EO1337" s="885"/>
      <c r="EP1337" s="885"/>
      <c r="EQ1337" s="885"/>
      <c r="ER1337" s="885"/>
      <c r="ES1337" s="885"/>
      <c r="ET1337" s="885"/>
      <c r="EU1337" s="885"/>
      <c r="EV1337" s="885"/>
      <c r="EW1337" s="885"/>
      <c r="EX1337" s="885"/>
      <c r="EY1337" s="885"/>
      <c r="EZ1337" s="885"/>
      <c r="FA1337" s="885"/>
      <c r="FB1337" s="885"/>
      <c r="FC1337" s="885"/>
      <c r="FD1337" s="885"/>
      <c r="FE1337" s="885"/>
      <c r="FF1337" s="885"/>
      <c r="FG1337" s="885"/>
      <c r="FH1337" s="885"/>
      <c r="FI1337" s="885"/>
      <c r="FJ1337" s="885"/>
      <c r="FK1337" s="885"/>
      <c r="FL1337" s="885"/>
      <c r="FM1337" s="885"/>
      <c r="FN1337" s="885"/>
      <c r="FO1337" s="885"/>
      <c r="FP1337" s="885"/>
      <c r="FQ1337" s="885"/>
      <c r="FR1337" s="885"/>
      <c r="FS1337" s="885"/>
      <c r="FT1337" s="885"/>
      <c r="FU1337" s="885"/>
      <c r="FV1337" s="885"/>
      <c r="FW1337" s="885"/>
      <c r="FX1337" s="885"/>
      <c r="FY1337" s="885"/>
      <c r="FZ1337" s="885"/>
      <c r="GA1337" s="885"/>
      <c r="GB1337" s="885"/>
      <c r="GC1337" s="885"/>
      <c r="GD1337" s="885"/>
      <c r="GE1337" s="885"/>
      <c r="GF1337" s="885"/>
      <c r="GG1337" s="885"/>
      <c r="GH1337" s="885"/>
      <c r="GI1337" s="885"/>
      <c r="GJ1337" s="885"/>
      <c r="GK1337" s="885"/>
      <c r="GL1337" s="885"/>
      <c r="GM1337" s="885"/>
      <c r="GN1337" s="885"/>
      <c r="GO1337" s="885"/>
      <c r="GP1337" s="885"/>
      <c r="GQ1337" s="885"/>
      <c r="GR1337" s="885"/>
      <c r="GS1337" s="885"/>
      <c r="GT1337" s="885"/>
      <c r="GU1337" s="885"/>
      <c r="GV1337" s="885"/>
      <c r="GW1337" s="885"/>
      <c r="GX1337" s="885"/>
      <c r="GY1337" s="885"/>
      <c r="GZ1337" s="885"/>
      <c r="HA1337" s="885"/>
      <c r="HB1337" s="885"/>
      <c r="HC1337" s="885"/>
      <c r="HD1337" s="885"/>
      <c r="HE1337" s="885"/>
      <c r="HF1337" s="885"/>
      <c r="HG1337" s="885"/>
      <c r="HH1337" s="885"/>
      <c r="HI1337" s="885"/>
      <c r="HJ1337" s="885"/>
      <c r="HK1337" s="885"/>
      <c r="HL1337" s="885"/>
      <c r="HM1337" s="885"/>
      <c r="HN1337" s="885"/>
      <c r="HO1337" s="885"/>
      <c r="HP1337" s="885"/>
      <c r="HQ1337" s="885"/>
      <c r="HR1337" s="885"/>
      <c r="HS1337" s="885"/>
      <c r="HT1337" s="885"/>
      <c r="HU1337" s="885"/>
      <c r="HV1337" s="885"/>
      <c r="HW1337" s="885"/>
      <c r="HX1337" s="885"/>
      <c r="HY1337" s="885"/>
      <c r="HZ1337" s="885"/>
      <c r="IA1337" s="885"/>
      <c r="IB1337" s="885"/>
      <c r="IC1337" s="885"/>
      <c r="ID1337" s="885"/>
      <c r="IE1337" s="885"/>
      <c r="IF1337" s="885"/>
      <c r="IG1337" s="885"/>
      <c r="IH1337" s="885"/>
      <c r="II1337" s="885"/>
      <c r="IJ1337" s="885"/>
      <c r="IK1337" s="885"/>
      <c r="IL1337" s="885"/>
      <c r="IM1337" s="885"/>
      <c r="IN1337" s="885"/>
      <c r="IO1337" s="885"/>
      <c r="IP1337" s="885"/>
      <c r="IQ1337" s="885"/>
      <c r="IR1337" s="885"/>
      <c r="IS1337" s="885"/>
      <c r="IT1337" s="885"/>
      <c r="IU1337" s="885"/>
      <c r="IV1337" s="885"/>
      <c r="IW1337" s="885"/>
      <c r="IX1337" s="885"/>
    </row>
    <row r="1338" spans="1:258" x14ac:dyDescent="0.25">
      <c r="A1338" s="125">
        <f t="shared" si="152"/>
        <v>1298</v>
      </c>
      <c r="B1338" s="885"/>
      <c r="C1338" s="842" t="s">
        <v>10865</v>
      </c>
      <c r="D1338" s="924">
        <v>0</v>
      </c>
      <c r="E1338" s="924">
        <f t="shared" ref="E1338:E1345" si="157">D1338/8*12</f>
        <v>0</v>
      </c>
      <c r="F1338" s="129">
        <v>1</v>
      </c>
      <c r="G1338" s="122" t="s">
        <v>1963</v>
      </c>
      <c r="H1338" s="885"/>
      <c r="I1338" s="885"/>
      <c r="J1338" s="885"/>
      <c r="K1338" s="885"/>
      <c r="L1338" s="885"/>
      <c r="M1338" s="885"/>
      <c r="N1338" s="885"/>
      <c r="O1338" s="885"/>
      <c r="P1338" s="885"/>
      <c r="Q1338" s="885"/>
      <c r="R1338" s="885"/>
      <c r="S1338" s="885"/>
      <c r="T1338" s="885"/>
      <c r="U1338" s="885"/>
      <c r="V1338" s="885"/>
      <c r="W1338" s="885"/>
      <c r="X1338" s="885"/>
      <c r="Y1338" s="885"/>
      <c r="Z1338" s="885"/>
      <c r="AA1338" s="885"/>
      <c r="AB1338" s="885"/>
      <c r="AC1338" s="885"/>
      <c r="AD1338" s="885"/>
      <c r="AE1338" s="885"/>
      <c r="AF1338" s="885"/>
      <c r="AG1338" s="885"/>
      <c r="AH1338" s="885"/>
      <c r="AI1338" s="885"/>
      <c r="AJ1338" s="885"/>
      <c r="AK1338" s="885"/>
      <c r="AL1338" s="885"/>
      <c r="AM1338" s="885"/>
      <c r="AN1338" s="885"/>
      <c r="AO1338" s="885"/>
      <c r="AP1338" s="885"/>
      <c r="AQ1338" s="885"/>
      <c r="AR1338" s="885"/>
      <c r="AS1338" s="885"/>
      <c r="AT1338" s="885"/>
      <c r="AU1338" s="885"/>
      <c r="AV1338" s="885"/>
      <c r="AW1338" s="885"/>
      <c r="AX1338" s="885"/>
      <c r="AY1338" s="885"/>
      <c r="AZ1338" s="885"/>
      <c r="BA1338" s="885"/>
      <c r="BB1338" s="885"/>
      <c r="BC1338" s="885"/>
      <c r="BD1338" s="885"/>
      <c r="BE1338" s="885"/>
      <c r="BF1338" s="885"/>
      <c r="BG1338" s="885"/>
      <c r="BH1338" s="885"/>
      <c r="BI1338" s="885"/>
      <c r="BJ1338" s="885"/>
      <c r="BK1338" s="885"/>
      <c r="BL1338" s="885"/>
      <c r="BM1338" s="885"/>
      <c r="BN1338" s="885"/>
      <c r="BO1338" s="885"/>
      <c r="BP1338" s="885"/>
      <c r="BQ1338" s="885"/>
      <c r="BR1338" s="885"/>
      <c r="BS1338" s="885"/>
      <c r="BT1338" s="885"/>
      <c r="BU1338" s="885"/>
      <c r="BV1338" s="885"/>
      <c r="BW1338" s="885"/>
      <c r="BX1338" s="885"/>
      <c r="BY1338" s="885"/>
      <c r="BZ1338" s="885"/>
      <c r="CA1338" s="885"/>
      <c r="CB1338" s="885"/>
      <c r="CC1338" s="885"/>
      <c r="CD1338" s="885"/>
      <c r="CE1338" s="885"/>
      <c r="CF1338" s="885"/>
      <c r="CG1338" s="885"/>
      <c r="CH1338" s="885"/>
      <c r="CI1338" s="885"/>
      <c r="CJ1338" s="885"/>
      <c r="CK1338" s="885"/>
      <c r="CL1338" s="885"/>
      <c r="CM1338" s="885"/>
      <c r="CN1338" s="885"/>
      <c r="CO1338" s="885"/>
      <c r="CP1338" s="885"/>
      <c r="CQ1338" s="885"/>
      <c r="CR1338" s="885"/>
      <c r="CS1338" s="885"/>
      <c r="CT1338" s="885"/>
      <c r="CU1338" s="885"/>
      <c r="CV1338" s="885"/>
      <c r="CW1338" s="885"/>
      <c r="CX1338" s="885"/>
      <c r="CY1338" s="885"/>
      <c r="CZ1338" s="885"/>
      <c r="DA1338" s="885"/>
      <c r="DB1338" s="885"/>
      <c r="DC1338" s="885"/>
      <c r="DD1338" s="885"/>
      <c r="DE1338" s="885"/>
      <c r="DF1338" s="885"/>
      <c r="DG1338" s="885"/>
      <c r="DH1338" s="885"/>
      <c r="DI1338" s="885"/>
      <c r="DJ1338" s="885"/>
      <c r="DK1338" s="885"/>
      <c r="DL1338" s="885"/>
      <c r="DM1338" s="885"/>
      <c r="DN1338" s="885"/>
      <c r="DO1338" s="885"/>
      <c r="DP1338" s="885"/>
      <c r="DQ1338" s="885"/>
      <c r="DR1338" s="885"/>
      <c r="DS1338" s="885"/>
      <c r="DT1338" s="885"/>
      <c r="DU1338" s="885"/>
      <c r="DV1338" s="885"/>
      <c r="DW1338" s="885"/>
      <c r="DX1338" s="885"/>
      <c r="DY1338" s="885"/>
      <c r="DZ1338" s="885"/>
      <c r="EA1338" s="885"/>
      <c r="EB1338" s="885"/>
      <c r="EC1338" s="885"/>
      <c r="ED1338" s="885"/>
      <c r="EE1338" s="885"/>
      <c r="EF1338" s="885"/>
      <c r="EG1338" s="885"/>
      <c r="EH1338" s="885"/>
      <c r="EI1338" s="885"/>
      <c r="EJ1338" s="885"/>
      <c r="EK1338" s="885"/>
      <c r="EL1338" s="885"/>
      <c r="EM1338" s="885"/>
      <c r="EN1338" s="885"/>
      <c r="EO1338" s="885"/>
      <c r="EP1338" s="885"/>
      <c r="EQ1338" s="885"/>
      <c r="ER1338" s="885"/>
      <c r="ES1338" s="885"/>
      <c r="ET1338" s="885"/>
      <c r="EU1338" s="885"/>
      <c r="EV1338" s="885"/>
      <c r="EW1338" s="885"/>
      <c r="EX1338" s="885"/>
      <c r="EY1338" s="885"/>
      <c r="EZ1338" s="885"/>
      <c r="FA1338" s="885"/>
      <c r="FB1338" s="885"/>
      <c r="FC1338" s="885"/>
      <c r="FD1338" s="885"/>
      <c r="FE1338" s="885"/>
      <c r="FF1338" s="885"/>
      <c r="FG1338" s="885"/>
      <c r="FH1338" s="885"/>
      <c r="FI1338" s="885"/>
      <c r="FJ1338" s="885"/>
      <c r="FK1338" s="885"/>
      <c r="FL1338" s="885"/>
      <c r="FM1338" s="885"/>
      <c r="FN1338" s="885"/>
      <c r="FO1338" s="885"/>
      <c r="FP1338" s="885"/>
      <c r="FQ1338" s="885"/>
      <c r="FR1338" s="885"/>
      <c r="FS1338" s="885"/>
      <c r="FT1338" s="885"/>
      <c r="FU1338" s="885"/>
      <c r="FV1338" s="885"/>
      <c r="FW1338" s="885"/>
      <c r="FX1338" s="885"/>
      <c r="FY1338" s="885"/>
      <c r="FZ1338" s="885"/>
      <c r="GA1338" s="885"/>
      <c r="GB1338" s="885"/>
      <c r="GC1338" s="885"/>
      <c r="GD1338" s="885"/>
      <c r="GE1338" s="885"/>
      <c r="GF1338" s="885"/>
      <c r="GG1338" s="885"/>
      <c r="GH1338" s="885"/>
      <c r="GI1338" s="885"/>
      <c r="GJ1338" s="885"/>
      <c r="GK1338" s="885"/>
      <c r="GL1338" s="885"/>
      <c r="GM1338" s="885"/>
      <c r="GN1338" s="885"/>
      <c r="GO1338" s="885"/>
      <c r="GP1338" s="885"/>
      <c r="GQ1338" s="885"/>
      <c r="GR1338" s="885"/>
      <c r="GS1338" s="885"/>
      <c r="GT1338" s="885"/>
      <c r="GU1338" s="885"/>
      <c r="GV1338" s="885"/>
      <c r="GW1338" s="885"/>
      <c r="GX1338" s="885"/>
      <c r="GY1338" s="885"/>
      <c r="GZ1338" s="885"/>
      <c r="HA1338" s="885"/>
      <c r="HB1338" s="885"/>
      <c r="HC1338" s="885"/>
      <c r="HD1338" s="885"/>
      <c r="HE1338" s="885"/>
      <c r="HF1338" s="885"/>
      <c r="HG1338" s="885"/>
      <c r="HH1338" s="885"/>
      <c r="HI1338" s="885"/>
      <c r="HJ1338" s="885"/>
      <c r="HK1338" s="885"/>
      <c r="HL1338" s="885"/>
      <c r="HM1338" s="885"/>
      <c r="HN1338" s="885"/>
      <c r="HO1338" s="885"/>
      <c r="HP1338" s="885"/>
      <c r="HQ1338" s="885"/>
      <c r="HR1338" s="885"/>
      <c r="HS1338" s="885"/>
      <c r="HT1338" s="885"/>
      <c r="HU1338" s="885"/>
      <c r="HV1338" s="885"/>
      <c r="HW1338" s="885"/>
      <c r="HX1338" s="885"/>
      <c r="HY1338" s="885"/>
      <c r="HZ1338" s="885"/>
      <c r="IA1338" s="885"/>
      <c r="IB1338" s="885"/>
      <c r="IC1338" s="885"/>
      <c r="ID1338" s="885"/>
      <c r="IE1338" s="885"/>
      <c r="IF1338" s="885"/>
      <c r="IG1338" s="885"/>
      <c r="IH1338" s="885"/>
      <c r="II1338" s="885"/>
      <c r="IJ1338" s="885"/>
      <c r="IK1338" s="885"/>
      <c r="IL1338" s="885"/>
      <c r="IM1338" s="885"/>
      <c r="IN1338" s="885"/>
      <c r="IO1338" s="885"/>
      <c r="IP1338" s="885"/>
      <c r="IQ1338" s="885"/>
      <c r="IR1338" s="885"/>
      <c r="IS1338" s="885"/>
      <c r="IT1338" s="885"/>
      <c r="IU1338" s="885"/>
      <c r="IV1338" s="885"/>
      <c r="IW1338" s="885"/>
      <c r="IX1338" s="885"/>
    </row>
    <row r="1339" spans="1:258" x14ac:dyDescent="0.25">
      <c r="A1339" s="125">
        <f t="shared" si="152"/>
        <v>1299</v>
      </c>
      <c r="B1339" s="885"/>
      <c r="C1339" s="842" t="s">
        <v>10866</v>
      </c>
      <c r="D1339" s="924">
        <v>0</v>
      </c>
      <c r="E1339" s="924">
        <f t="shared" si="157"/>
        <v>0</v>
      </c>
      <c r="F1339" s="129">
        <v>1</v>
      </c>
      <c r="G1339" s="122" t="s">
        <v>1963</v>
      </c>
      <c r="H1339" s="885"/>
      <c r="I1339" s="885"/>
      <c r="J1339" s="885"/>
      <c r="K1339" s="885"/>
      <c r="L1339" s="885"/>
      <c r="M1339" s="885"/>
      <c r="N1339" s="885"/>
      <c r="O1339" s="885"/>
      <c r="P1339" s="885"/>
      <c r="Q1339" s="885"/>
      <c r="R1339" s="885"/>
      <c r="S1339" s="885"/>
      <c r="T1339" s="885"/>
      <c r="U1339" s="885"/>
      <c r="V1339" s="885"/>
      <c r="W1339" s="885"/>
      <c r="X1339" s="885"/>
      <c r="Y1339" s="885"/>
      <c r="Z1339" s="885"/>
      <c r="AA1339" s="885"/>
      <c r="AB1339" s="885"/>
      <c r="AC1339" s="885"/>
      <c r="AD1339" s="885"/>
      <c r="AE1339" s="885"/>
      <c r="AF1339" s="885"/>
      <c r="AG1339" s="885"/>
      <c r="AH1339" s="885"/>
      <c r="AI1339" s="885"/>
      <c r="AJ1339" s="885"/>
      <c r="AK1339" s="885"/>
      <c r="AL1339" s="885"/>
      <c r="AM1339" s="885"/>
      <c r="AN1339" s="885"/>
      <c r="AO1339" s="885"/>
      <c r="AP1339" s="885"/>
      <c r="AQ1339" s="885"/>
      <c r="AR1339" s="885"/>
      <c r="AS1339" s="885"/>
      <c r="AT1339" s="885"/>
      <c r="AU1339" s="885"/>
      <c r="AV1339" s="885"/>
      <c r="AW1339" s="885"/>
      <c r="AX1339" s="885"/>
      <c r="AY1339" s="885"/>
      <c r="AZ1339" s="885"/>
      <c r="BA1339" s="885"/>
      <c r="BB1339" s="885"/>
      <c r="BC1339" s="885"/>
      <c r="BD1339" s="885"/>
      <c r="BE1339" s="885"/>
      <c r="BF1339" s="885"/>
      <c r="BG1339" s="885"/>
      <c r="BH1339" s="885"/>
      <c r="BI1339" s="885"/>
      <c r="BJ1339" s="885"/>
      <c r="BK1339" s="885"/>
      <c r="BL1339" s="885"/>
      <c r="BM1339" s="885"/>
      <c r="BN1339" s="885"/>
      <c r="BO1339" s="885"/>
      <c r="BP1339" s="885"/>
      <c r="BQ1339" s="885"/>
      <c r="BR1339" s="885"/>
      <c r="BS1339" s="885"/>
      <c r="BT1339" s="885"/>
      <c r="BU1339" s="885"/>
      <c r="BV1339" s="885"/>
      <c r="BW1339" s="885"/>
      <c r="BX1339" s="885"/>
      <c r="BY1339" s="885"/>
      <c r="BZ1339" s="885"/>
      <c r="CA1339" s="885"/>
      <c r="CB1339" s="885"/>
      <c r="CC1339" s="885"/>
      <c r="CD1339" s="885"/>
      <c r="CE1339" s="885"/>
      <c r="CF1339" s="885"/>
      <c r="CG1339" s="885"/>
      <c r="CH1339" s="885"/>
      <c r="CI1339" s="885"/>
      <c r="CJ1339" s="885"/>
      <c r="CK1339" s="885"/>
      <c r="CL1339" s="885"/>
      <c r="CM1339" s="885"/>
      <c r="CN1339" s="885"/>
      <c r="CO1339" s="885"/>
      <c r="CP1339" s="885"/>
      <c r="CQ1339" s="885"/>
      <c r="CR1339" s="885"/>
      <c r="CS1339" s="885"/>
      <c r="CT1339" s="885"/>
      <c r="CU1339" s="885"/>
      <c r="CV1339" s="885"/>
      <c r="CW1339" s="885"/>
      <c r="CX1339" s="885"/>
      <c r="CY1339" s="885"/>
      <c r="CZ1339" s="885"/>
      <c r="DA1339" s="885"/>
      <c r="DB1339" s="885"/>
      <c r="DC1339" s="885"/>
      <c r="DD1339" s="885"/>
      <c r="DE1339" s="885"/>
      <c r="DF1339" s="885"/>
      <c r="DG1339" s="885"/>
      <c r="DH1339" s="885"/>
      <c r="DI1339" s="885"/>
      <c r="DJ1339" s="885"/>
      <c r="DK1339" s="885"/>
      <c r="DL1339" s="885"/>
      <c r="DM1339" s="885"/>
      <c r="DN1339" s="885"/>
      <c r="DO1339" s="885"/>
      <c r="DP1339" s="885"/>
      <c r="DQ1339" s="885"/>
      <c r="DR1339" s="885"/>
      <c r="DS1339" s="885"/>
      <c r="DT1339" s="885"/>
      <c r="DU1339" s="885"/>
      <c r="DV1339" s="885"/>
      <c r="DW1339" s="885"/>
      <c r="DX1339" s="885"/>
      <c r="DY1339" s="885"/>
      <c r="DZ1339" s="885"/>
      <c r="EA1339" s="885"/>
      <c r="EB1339" s="885"/>
      <c r="EC1339" s="885"/>
      <c r="ED1339" s="885"/>
      <c r="EE1339" s="885"/>
      <c r="EF1339" s="885"/>
      <c r="EG1339" s="885"/>
      <c r="EH1339" s="885"/>
      <c r="EI1339" s="885"/>
      <c r="EJ1339" s="885"/>
      <c r="EK1339" s="885"/>
      <c r="EL1339" s="885"/>
      <c r="EM1339" s="885"/>
      <c r="EN1339" s="885"/>
      <c r="EO1339" s="885"/>
      <c r="EP1339" s="885"/>
      <c r="EQ1339" s="885"/>
      <c r="ER1339" s="885"/>
      <c r="ES1339" s="885"/>
      <c r="ET1339" s="885"/>
      <c r="EU1339" s="885"/>
      <c r="EV1339" s="885"/>
      <c r="EW1339" s="885"/>
      <c r="EX1339" s="885"/>
      <c r="EY1339" s="885"/>
      <c r="EZ1339" s="885"/>
      <c r="FA1339" s="885"/>
      <c r="FB1339" s="885"/>
      <c r="FC1339" s="885"/>
      <c r="FD1339" s="885"/>
      <c r="FE1339" s="885"/>
      <c r="FF1339" s="885"/>
      <c r="FG1339" s="885"/>
      <c r="FH1339" s="885"/>
      <c r="FI1339" s="885"/>
      <c r="FJ1339" s="885"/>
      <c r="FK1339" s="885"/>
      <c r="FL1339" s="885"/>
      <c r="FM1339" s="885"/>
      <c r="FN1339" s="885"/>
      <c r="FO1339" s="885"/>
      <c r="FP1339" s="885"/>
      <c r="FQ1339" s="885"/>
      <c r="FR1339" s="885"/>
      <c r="FS1339" s="885"/>
      <c r="FT1339" s="885"/>
      <c r="FU1339" s="885"/>
      <c r="FV1339" s="885"/>
      <c r="FW1339" s="885"/>
      <c r="FX1339" s="885"/>
      <c r="FY1339" s="885"/>
      <c r="FZ1339" s="885"/>
      <c r="GA1339" s="885"/>
      <c r="GB1339" s="885"/>
      <c r="GC1339" s="885"/>
      <c r="GD1339" s="885"/>
      <c r="GE1339" s="885"/>
      <c r="GF1339" s="885"/>
      <c r="GG1339" s="885"/>
      <c r="GH1339" s="885"/>
      <c r="GI1339" s="885"/>
      <c r="GJ1339" s="885"/>
      <c r="GK1339" s="885"/>
      <c r="GL1339" s="885"/>
      <c r="GM1339" s="885"/>
      <c r="GN1339" s="885"/>
      <c r="GO1339" s="885"/>
      <c r="GP1339" s="885"/>
      <c r="GQ1339" s="885"/>
      <c r="GR1339" s="885"/>
      <c r="GS1339" s="885"/>
      <c r="GT1339" s="885"/>
      <c r="GU1339" s="885"/>
      <c r="GV1339" s="885"/>
      <c r="GW1339" s="885"/>
      <c r="GX1339" s="885"/>
      <c r="GY1339" s="885"/>
      <c r="GZ1339" s="885"/>
      <c r="HA1339" s="885"/>
      <c r="HB1339" s="885"/>
      <c r="HC1339" s="885"/>
      <c r="HD1339" s="885"/>
      <c r="HE1339" s="885"/>
      <c r="HF1339" s="885"/>
      <c r="HG1339" s="885"/>
      <c r="HH1339" s="885"/>
      <c r="HI1339" s="885"/>
      <c r="HJ1339" s="885"/>
      <c r="HK1339" s="885"/>
      <c r="HL1339" s="885"/>
      <c r="HM1339" s="885"/>
      <c r="HN1339" s="885"/>
      <c r="HO1339" s="885"/>
      <c r="HP1339" s="885"/>
      <c r="HQ1339" s="885"/>
      <c r="HR1339" s="885"/>
      <c r="HS1339" s="885"/>
      <c r="HT1339" s="885"/>
      <c r="HU1339" s="885"/>
      <c r="HV1339" s="885"/>
      <c r="HW1339" s="885"/>
      <c r="HX1339" s="885"/>
      <c r="HY1339" s="885"/>
      <c r="HZ1339" s="885"/>
      <c r="IA1339" s="885"/>
      <c r="IB1339" s="885"/>
      <c r="IC1339" s="885"/>
      <c r="ID1339" s="885"/>
      <c r="IE1339" s="885"/>
      <c r="IF1339" s="885"/>
      <c r="IG1339" s="885"/>
      <c r="IH1339" s="885"/>
      <c r="II1339" s="885"/>
      <c r="IJ1339" s="885"/>
      <c r="IK1339" s="885"/>
      <c r="IL1339" s="885"/>
      <c r="IM1339" s="885"/>
      <c r="IN1339" s="885"/>
      <c r="IO1339" s="885"/>
      <c r="IP1339" s="885"/>
      <c r="IQ1339" s="885"/>
      <c r="IR1339" s="885"/>
      <c r="IS1339" s="885"/>
      <c r="IT1339" s="885"/>
      <c r="IU1339" s="885"/>
      <c r="IV1339" s="885"/>
      <c r="IW1339" s="885"/>
      <c r="IX1339" s="885"/>
    </row>
    <row r="1340" spans="1:258" x14ac:dyDescent="0.25">
      <c r="A1340" s="125">
        <f t="shared" si="152"/>
        <v>1300</v>
      </c>
      <c r="B1340" s="885"/>
      <c r="C1340" s="842" t="s">
        <v>10867</v>
      </c>
      <c r="D1340" s="924">
        <v>0</v>
      </c>
      <c r="E1340" s="924">
        <f t="shared" si="157"/>
        <v>0</v>
      </c>
      <c r="F1340" s="129">
        <v>1</v>
      </c>
      <c r="G1340" s="122" t="s">
        <v>1963</v>
      </c>
      <c r="H1340" s="885"/>
      <c r="I1340" s="885"/>
      <c r="J1340" s="885"/>
      <c r="K1340" s="885"/>
      <c r="L1340" s="885"/>
      <c r="M1340" s="885"/>
      <c r="N1340" s="885"/>
      <c r="O1340" s="885"/>
      <c r="P1340" s="885"/>
      <c r="Q1340" s="885"/>
      <c r="R1340" s="885"/>
      <c r="S1340" s="885"/>
      <c r="T1340" s="885"/>
      <c r="U1340" s="885"/>
      <c r="V1340" s="885"/>
      <c r="W1340" s="885"/>
      <c r="X1340" s="885"/>
      <c r="Y1340" s="885"/>
      <c r="Z1340" s="885"/>
      <c r="AA1340" s="885"/>
      <c r="AB1340" s="885"/>
      <c r="AC1340" s="885"/>
      <c r="AD1340" s="885"/>
      <c r="AE1340" s="885"/>
      <c r="AF1340" s="885"/>
      <c r="AG1340" s="885"/>
      <c r="AH1340" s="885"/>
      <c r="AI1340" s="885"/>
      <c r="AJ1340" s="885"/>
      <c r="AK1340" s="885"/>
      <c r="AL1340" s="885"/>
      <c r="AM1340" s="885"/>
      <c r="AN1340" s="885"/>
      <c r="AO1340" s="885"/>
      <c r="AP1340" s="885"/>
      <c r="AQ1340" s="885"/>
      <c r="AR1340" s="885"/>
      <c r="AS1340" s="885"/>
      <c r="AT1340" s="885"/>
      <c r="AU1340" s="885"/>
      <c r="AV1340" s="885"/>
      <c r="AW1340" s="885"/>
      <c r="AX1340" s="885"/>
      <c r="AY1340" s="885"/>
      <c r="AZ1340" s="885"/>
      <c r="BA1340" s="885"/>
      <c r="BB1340" s="885"/>
      <c r="BC1340" s="885"/>
      <c r="BD1340" s="885"/>
      <c r="BE1340" s="885"/>
      <c r="BF1340" s="885"/>
      <c r="BG1340" s="885"/>
      <c r="BH1340" s="885"/>
      <c r="BI1340" s="885"/>
      <c r="BJ1340" s="885"/>
      <c r="BK1340" s="885"/>
      <c r="BL1340" s="885"/>
      <c r="BM1340" s="885"/>
      <c r="BN1340" s="885"/>
      <c r="BO1340" s="885"/>
      <c r="BP1340" s="885"/>
      <c r="BQ1340" s="885"/>
      <c r="BR1340" s="885"/>
      <c r="BS1340" s="885"/>
      <c r="BT1340" s="885"/>
      <c r="BU1340" s="885"/>
      <c r="BV1340" s="885"/>
      <c r="BW1340" s="885"/>
      <c r="BX1340" s="885"/>
      <c r="BY1340" s="885"/>
      <c r="BZ1340" s="885"/>
      <c r="CA1340" s="885"/>
      <c r="CB1340" s="885"/>
      <c r="CC1340" s="885"/>
      <c r="CD1340" s="885"/>
      <c r="CE1340" s="885"/>
      <c r="CF1340" s="885"/>
      <c r="CG1340" s="885"/>
      <c r="CH1340" s="885"/>
      <c r="CI1340" s="885"/>
      <c r="CJ1340" s="885"/>
      <c r="CK1340" s="885"/>
      <c r="CL1340" s="885"/>
      <c r="CM1340" s="885"/>
      <c r="CN1340" s="885"/>
      <c r="CO1340" s="885"/>
      <c r="CP1340" s="885"/>
      <c r="CQ1340" s="885"/>
      <c r="CR1340" s="885"/>
      <c r="CS1340" s="885"/>
      <c r="CT1340" s="885"/>
      <c r="CU1340" s="885"/>
      <c r="CV1340" s="885"/>
      <c r="CW1340" s="885"/>
      <c r="CX1340" s="885"/>
      <c r="CY1340" s="885"/>
      <c r="CZ1340" s="885"/>
      <c r="DA1340" s="885"/>
      <c r="DB1340" s="885"/>
      <c r="DC1340" s="885"/>
      <c r="DD1340" s="885"/>
      <c r="DE1340" s="885"/>
      <c r="DF1340" s="885"/>
      <c r="DG1340" s="885"/>
      <c r="DH1340" s="885"/>
      <c r="DI1340" s="885"/>
      <c r="DJ1340" s="885"/>
      <c r="DK1340" s="885"/>
      <c r="DL1340" s="885"/>
      <c r="DM1340" s="885"/>
      <c r="DN1340" s="885"/>
      <c r="DO1340" s="885"/>
      <c r="DP1340" s="885"/>
      <c r="DQ1340" s="885"/>
      <c r="DR1340" s="885"/>
      <c r="DS1340" s="885"/>
      <c r="DT1340" s="885"/>
      <c r="DU1340" s="885"/>
      <c r="DV1340" s="885"/>
      <c r="DW1340" s="885"/>
      <c r="DX1340" s="885"/>
      <c r="DY1340" s="885"/>
      <c r="DZ1340" s="885"/>
      <c r="EA1340" s="885"/>
      <c r="EB1340" s="885"/>
      <c r="EC1340" s="885"/>
      <c r="ED1340" s="885"/>
      <c r="EE1340" s="885"/>
      <c r="EF1340" s="885"/>
      <c r="EG1340" s="885"/>
      <c r="EH1340" s="885"/>
      <c r="EI1340" s="885"/>
      <c r="EJ1340" s="885"/>
      <c r="EK1340" s="885"/>
      <c r="EL1340" s="885"/>
      <c r="EM1340" s="885"/>
      <c r="EN1340" s="885"/>
      <c r="EO1340" s="885"/>
      <c r="EP1340" s="885"/>
      <c r="EQ1340" s="885"/>
      <c r="ER1340" s="885"/>
      <c r="ES1340" s="885"/>
      <c r="ET1340" s="885"/>
      <c r="EU1340" s="885"/>
      <c r="EV1340" s="885"/>
      <c r="EW1340" s="885"/>
      <c r="EX1340" s="885"/>
      <c r="EY1340" s="885"/>
      <c r="EZ1340" s="885"/>
      <c r="FA1340" s="885"/>
      <c r="FB1340" s="885"/>
      <c r="FC1340" s="885"/>
      <c r="FD1340" s="885"/>
      <c r="FE1340" s="885"/>
      <c r="FF1340" s="885"/>
      <c r="FG1340" s="885"/>
      <c r="FH1340" s="885"/>
      <c r="FI1340" s="885"/>
      <c r="FJ1340" s="885"/>
      <c r="FK1340" s="885"/>
      <c r="FL1340" s="885"/>
      <c r="FM1340" s="885"/>
      <c r="FN1340" s="885"/>
      <c r="FO1340" s="885"/>
      <c r="FP1340" s="885"/>
      <c r="FQ1340" s="885"/>
      <c r="FR1340" s="885"/>
      <c r="FS1340" s="885"/>
      <c r="FT1340" s="885"/>
      <c r="FU1340" s="885"/>
      <c r="FV1340" s="885"/>
      <c r="FW1340" s="885"/>
      <c r="FX1340" s="885"/>
      <c r="FY1340" s="885"/>
      <c r="FZ1340" s="885"/>
      <c r="GA1340" s="885"/>
      <c r="GB1340" s="885"/>
      <c r="GC1340" s="885"/>
      <c r="GD1340" s="885"/>
      <c r="GE1340" s="885"/>
      <c r="GF1340" s="885"/>
      <c r="GG1340" s="885"/>
      <c r="GH1340" s="885"/>
      <c r="GI1340" s="885"/>
      <c r="GJ1340" s="885"/>
      <c r="GK1340" s="885"/>
      <c r="GL1340" s="885"/>
      <c r="GM1340" s="885"/>
      <c r="GN1340" s="885"/>
      <c r="GO1340" s="885"/>
      <c r="GP1340" s="885"/>
      <c r="GQ1340" s="885"/>
      <c r="GR1340" s="885"/>
      <c r="GS1340" s="885"/>
      <c r="GT1340" s="885"/>
      <c r="GU1340" s="885"/>
      <c r="GV1340" s="885"/>
      <c r="GW1340" s="885"/>
      <c r="GX1340" s="885"/>
      <c r="GY1340" s="885"/>
      <c r="GZ1340" s="885"/>
      <c r="HA1340" s="885"/>
      <c r="HB1340" s="885"/>
      <c r="HC1340" s="885"/>
      <c r="HD1340" s="885"/>
      <c r="HE1340" s="885"/>
      <c r="HF1340" s="885"/>
      <c r="HG1340" s="885"/>
      <c r="HH1340" s="885"/>
      <c r="HI1340" s="885"/>
      <c r="HJ1340" s="885"/>
      <c r="HK1340" s="885"/>
      <c r="HL1340" s="885"/>
      <c r="HM1340" s="885"/>
      <c r="HN1340" s="885"/>
      <c r="HO1340" s="885"/>
      <c r="HP1340" s="885"/>
      <c r="HQ1340" s="885"/>
      <c r="HR1340" s="885"/>
      <c r="HS1340" s="885"/>
      <c r="HT1340" s="885"/>
      <c r="HU1340" s="885"/>
      <c r="HV1340" s="885"/>
      <c r="HW1340" s="885"/>
      <c r="HX1340" s="885"/>
      <c r="HY1340" s="885"/>
      <c r="HZ1340" s="885"/>
      <c r="IA1340" s="885"/>
      <c r="IB1340" s="885"/>
      <c r="IC1340" s="885"/>
      <c r="ID1340" s="885"/>
      <c r="IE1340" s="885"/>
      <c r="IF1340" s="885"/>
      <c r="IG1340" s="885"/>
      <c r="IH1340" s="885"/>
      <c r="II1340" s="885"/>
      <c r="IJ1340" s="885"/>
      <c r="IK1340" s="885"/>
      <c r="IL1340" s="885"/>
      <c r="IM1340" s="885"/>
      <c r="IN1340" s="885"/>
      <c r="IO1340" s="885"/>
      <c r="IP1340" s="885"/>
      <c r="IQ1340" s="885"/>
      <c r="IR1340" s="885"/>
      <c r="IS1340" s="885"/>
      <c r="IT1340" s="885"/>
      <c r="IU1340" s="885"/>
      <c r="IV1340" s="885"/>
      <c r="IW1340" s="885"/>
      <c r="IX1340" s="885"/>
    </row>
    <row r="1341" spans="1:258" ht="31.5" x14ac:dyDescent="0.25">
      <c r="A1341" s="125">
        <f t="shared" si="152"/>
        <v>1301</v>
      </c>
      <c r="B1341" s="885"/>
      <c r="C1341" s="842" t="s">
        <v>10868</v>
      </c>
      <c r="D1341" s="924">
        <v>0</v>
      </c>
      <c r="E1341" s="924">
        <f t="shared" si="157"/>
        <v>0</v>
      </c>
      <c r="F1341" s="129">
        <v>1</v>
      </c>
      <c r="G1341" s="122" t="s">
        <v>1963</v>
      </c>
      <c r="H1341" s="885"/>
      <c r="I1341" s="885"/>
      <c r="J1341" s="885"/>
      <c r="K1341" s="885"/>
      <c r="L1341" s="885"/>
      <c r="M1341" s="885"/>
      <c r="N1341" s="885"/>
      <c r="O1341" s="885"/>
      <c r="P1341" s="885"/>
      <c r="Q1341" s="885"/>
      <c r="R1341" s="885"/>
      <c r="S1341" s="885"/>
      <c r="T1341" s="885"/>
      <c r="U1341" s="885"/>
      <c r="V1341" s="885"/>
      <c r="W1341" s="885"/>
      <c r="X1341" s="885"/>
      <c r="Y1341" s="885"/>
      <c r="Z1341" s="885"/>
      <c r="AA1341" s="885"/>
      <c r="AB1341" s="885"/>
      <c r="AC1341" s="885"/>
      <c r="AD1341" s="885"/>
      <c r="AE1341" s="885"/>
      <c r="AF1341" s="885"/>
      <c r="AG1341" s="885"/>
      <c r="AH1341" s="885"/>
      <c r="AI1341" s="885"/>
      <c r="AJ1341" s="885"/>
      <c r="AK1341" s="885"/>
      <c r="AL1341" s="885"/>
      <c r="AM1341" s="885"/>
      <c r="AN1341" s="885"/>
      <c r="AO1341" s="885"/>
      <c r="AP1341" s="885"/>
      <c r="AQ1341" s="885"/>
      <c r="AR1341" s="885"/>
      <c r="AS1341" s="885"/>
      <c r="AT1341" s="885"/>
      <c r="AU1341" s="885"/>
      <c r="AV1341" s="885"/>
      <c r="AW1341" s="885"/>
      <c r="AX1341" s="885"/>
      <c r="AY1341" s="885"/>
      <c r="AZ1341" s="885"/>
      <c r="BA1341" s="885"/>
      <c r="BB1341" s="885"/>
      <c r="BC1341" s="885"/>
      <c r="BD1341" s="885"/>
      <c r="BE1341" s="885"/>
      <c r="BF1341" s="885"/>
      <c r="BG1341" s="885"/>
      <c r="BH1341" s="885"/>
      <c r="BI1341" s="885"/>
      <c r="BJ1341" s="885"/>
      <c r="BK1341" s="885"/>
      <c r="BL1341" s="885"/>
      <c r="BM1341" s="885"/>
      <c r="BN1341" s="885"/>
      <c r="BO1341" s="885"/>
      <c r="BP1341" s="885"/>
      <c r="BQ1341" s="885"/>
      <c r="BR1341" s="885"/>
      <c r="BS1341" s="885"/>
      <c r="BT1341" s="885"/>
      <c r="BU1341" s="885"/>
      <c r="BV1341" s="885"/>
      <c r="BW1341" s="885"/>
      <c r="BX1341" s="885"/>
      <c r="BY1341" s="885"/>
      <c r="BZ1341" s="885"/>
      <c r="CA1341" s="885"/>
      <c r="CB1341" s="885"/>
      <c r="CC1341" s="885"/>
      <c r="CD1341" s="885"/>
      <c r="CE1341" s="885"/>
      <c r="CF1341" s="885"/>
      <c r="CG1341" s="885"/>
      <c r="CH1341" s="885"/>
      <c r="CI1341" s="885"/>
      <c r="CJ1341" s="885"/>
      <c r="CK1341" s="885"/>
      <c r="CL1341" s="885"/>
      <c r="CM1341" s="885"/>
      <c r="CN1341" s="885"/>
      <c r="CO1341" s="885"/>
      <c r="CP1341" s="885"/>
      <c r="CQ1341" s="885"/>
      <c r="CR1341" s="885"/>
      <c r="CS1341" s="885"/>
      <c r="CT1341" s="885"/>
      <c r="CU1341" s="885"/>
      <c r="CV1341" s="885"/>
      <c r="CW1341" s="885"/>
      <c r="CX1341" s="885"/>
      <c r="CY1341" s="885"/>
      <c r="CZ1341" s="885"/>
      <c r="DA1341" s="885"/>
      <c r="DB1341" s="885"/>
      <c r="DC1341" s="885"/>
      <c r="DD1341" s="885"/>
      <c r="DE1341" s="885"/>
      <c r="DF1341" s="885"/>
      <c r="DG1341" s="885"/>
      <c r="DH1341" s="885"/>
      <c r="DI1341" s="885"/>
      <c r="DJ1341" s="885"/>
      <c r="DK1341" s="885"/>
      <c r="DL1341" s="885"/>
      <c r="DM1341" s="885"/>
      <c r="DN1341" s="885"/>
      <c r="DO1341" s="885"/>
      <c r="DP1341" s="885"/>
      <c r="DQ1341" s="885"/>
      <c r="DR1341" s="885"/>
      <c r="DS1341" s="885"/>
      <c r="DT1341" s="885"/>
      <c r="DU1341" s="885"/>
      <c r="DV1341" s="885"/>
      <c r="DW1341" s="885"/>
      <c r="DX1341" s="885"/>
      <c r="DY1341" s="885"/>
      <c r="DZ1341" s="885"/>
      <c r="EA1341" s="885"/>
      <c r="EB1341" s="885"/>
      <c r="EC1341" s="885"/>
      <c r="ED1341" s="885"/>
      <c r="EE1341" s="885"/>
      <c r="EF1341" s="885"/>
      <c r="EG1341" s="885"/>
      <c r="EH1341" s="885"/>
      <c r="EI1341" s="885"/>
      <c r="EJ1341" s="885"/>
      <c r="EK1341" s="885"/>
      <c r="EL1341" s="885"/>
      <c r="EM1341" s="885"/>
      <c r="EN1341" s="885"/>
      <c r="EO1341" s="885"/>
      <c r="EP1341" s="885"/>
      <c r="EQ1341" s="885"/>
      <c r="ER1341" s="885"/>
      <c r="ES1341" s="885"/>
      <c r="ET1341" s="885"/>
      <c r="EU1341" s="885"/>
      <c r="EV1341" s="885"/>
      <c r="EW1341" s="885"/>
      <c r="EX1341" s="885"/>
      <c r="EY1341" s="885"/>
      <c r="EZ1341" s="885"/>
      <c r="FA1341" s="885"/>
      <c r="FB1341" s="885"/>
      <c r="FC1341" s="885"/>
      <c r="FD1341" s="885"/>
      <c r="FE1341" s="885"/>
      <c r="FF1341" s="885"/>
      <c r="FG1341" s="885"/>
      <c r="FH1341" s="885"/>
      <c r="FI1341" s="885"/>
      <c r="FJ1341" s="885"/>
      <c r="FK1341" s="885"/>
      <c r="FL1341" s="885"/>
      <c r="FM1341" s="885"/>
      <c r="FN1341" s="885"/>
      <c r="FO1341" s="885"/>
      <c r="FP1341" s="885"/>
      <c r="FQ1341" s="885"/>
      <c r="FR1341" s="885"/>
      <c r="FS1341" s="885"/>
      <c r="FT1341" s="885"/>
      <c r="FU1341" s="885"/>
      <c r="FV1341" s="885"/>
      <c r="FW1341" s="885"/>
      <c r="FX1341" s="885"/>
      <c r="FY1341" s="885"/>
      <c r="FZ1341" s="885"/>
      <c r="GA1341" s="885"/>
      <c r="GB1341" s="885"/>
      <c r="GC1341" s="885"/>
      <c r="GD1341" s="885"/>
      <c r="GE1341" s="885"/>
      <c r="GF1341" s="885"/>
      <c r="GG1341" s="885"/>
      <c r="GH1341" s="885"/>
      <c r="GI1341" s="885"/>
      <c r="GJ1341" s="885"/>
      <c r="GK1341" s="885"/>
      <c r="GL1341" s="885"/>
      <c r="GM1341" s="885"/>
      <c r="GN1341" s="885"/>
      <c r="GO1341" s="885"/>
      <c r="GP1341" s="885"/>
      <c r="GQ1341" s="885"/>
      <c r="GR1341" s="885"/>
      <c r="GS1341" s="885"/>
      <c r="GT1341" s="885"/>
      <c r="GU1341" s="885"/>
      <c r="GV1341" s="885"/>
      <c r="GW1341" s="885"/>
      <c r="GX1341" s="885"/>
      <c r="GY1341" s="885"/>
      <c r="GZ1341" s="885"/>
      <c r="HA1341" s="885"/>
      <c r="HB1341" s="885"/>
      <c r="HC1341" s="885"/>
      <c r="HD1341" s="885"/>
      <c r="HE1341" s="885"/>
      <c r="HF1341" s="885"/>
      <c r="HG1341" s="885"/>
      <c r="HH1341" s="885"/>
      <c r="HI1341" s="885"/>
      <c r="HJ1341" s="885"/>
      <c r="HK1341" s="885"/>
      <c r="HL1341" s="885"/>
      <c r="HM1341" s="885"/>
      <c r="HN1341" s="885"/>
      <c r="HO1341" s="885"/>
      <c r="HP1341" s="885"/>
      <c r="HQ1341" s="885"/>
      <c r="HR1341" s="885"/>
      <c r="HS1341" s="885"/>
      <c r="HT1341" s="885"/>
      <c r="HU1341" s="885"/>
      <c r="HV1341" s="885"/>
      <c r="HW1341" s="885"/>
      <c r="HX1341" s="885"/>
      <c r="HY1341" s="885"/>
      <c r="HZ1341" s="885"/>
      <c r="IA1341" s="885"/>
      <c r="IB1341" s="885"/>
      <c r="IC1341" s="885"/>
      <c r="ID1341" s="885"/>
      <c r="IE1341" s="885"/>
      <c r="IF1341" s="885"/>
      <c r="IG1341" s="885"/>
      <c r="IH1341" s="885"/>
      <c r="II1341" s="885"/>
      <c r="IJ1341" s="885"/>
      <c r="IK1341" s="885"/>
      <c r="IL1341" s="885"/>
      <c r="IM1341" s="885"/>
      <c r="IN1341" s="885"/>
      <c r="IO1341" s="885"/>
      <c r="IP1341" s="885"/>
      <c r="IQ1341" s="885"/>
      <c r="IR1341" s="885"/>
      <c r="IS1341" s="885"/>
      <c r="IT1341" s="885"/>
      <c r="IU1341" s="885"/>
      <c r="IV1341" s="885"/>
      <c r="IW1341" s="885"/>
      <c r="IX1341" s="885"/>
    </row>
    <row r="1342" spans="1:258" ht="31.5" x14ac:dyDescent="0.25">
      <c r="A1342" s="125">
        <f t="shared" si="152"/>
        <v>1302</v>
      </c>
      <c r="B1342" s="885"/>
      <c r="C1342" s="842" t="s">
        <v>10869</v>
      </c>
      <c r="D1342" s="924">
        <v>0</v>
      </c>
      <c r="E1342" s="924">
        <f t="shared" si="157"/>
        <v>0</v>
      </c>
      <c r="F1342" s="129">
        <v>5000</v>
      </c>
      <c r="G1342" s="122" t="s">
        <v>1963</v>
      </c>
      <c r="H1342" s="885"/>
      <c r="I1342" s="885"/>
      <c r="J1342" s="885"/>
      <c r="K1342" s="885"/>
      <c r="L1342" s="885"/>
      <c r="M1342" s="885"/>
      <c r="N1342" s="885"/>
      <c r="O1342" s="885"/>
      <c r="P1342" s="885"/>
      <c r="Q1342" s="885"/>
      <c r="R1342" s="885"/>
      <c r="S1342" s="885"/>
      <c r="T1342" s="885"/>
      <c r="U1342" s="885"/>
      <c r="V1342" s="885"/>
      <c r="W1342" s="885"/>
      <c r="X1342" s="885"/>
      <c r="Y1342" s="885"/>
      <c r="Z1342" s="885"/>
      <c r="AA1342" s="885"/>
      <c r="AB1342" s="885"/>
      <c r="AC1342" s="885"/>
      <c r="AD1342" s="885"/>
      <c r="AE1342" s="885"/>
      <c r="AF1342" s="885"/>
      <c r="AG1342" s="885"/>
      <c r="AH1342" s="885"/>
      <c r="AI1342" s="885"/>
      <c r="AJ1342" s="885"/>
      <c r="AK1342" s="885"/>
      <c r="AL1342" s="885"/>
      <c r="AM1342" s="885"/>
      <c r="AN1342" s="885"/>
      <c r="AO1342" s="885"/>
      <c r="AP1342" s="885"/>
      <c r="AQ1342" s="885"/>
      <c r="AR1342" s="885"/>
      <c r="AS1342" s="885"/>
      <c r="AT1342" s="885"/>
      <c r="AU1342" s="885"/>
      <c r="AV1342" s="885"/>
      <c r="AW1342" s="885"/>
      <c r="AX1342" s="885"/>
      <c r="AY1342" s="885"/>
      <c r="AZ1342" s="885"/>
      <c r="BA1342" s="885"/>
      <c r="BB1342" s="885"/>
      <c r="BC1342" s="885"/>
      <c r="BD1342" s="885"/>
      <c r="BE1342" s="885"/>
      <c r="BF1342" s="885"/>
      <c r="BG1342" s="885"/>
      <c r="BH1342" s="885"/>
      <c r="BI1342" s="885"/>
      <c r="BJ1342" s="885"/>
      <c r="BK1342" s="885"/>
      <c r="BL1342" s="885"/>
      <c r="BM1342" s="885"/>
      <c r="BN1342" s="885"/>
      <c r="BO1342" s="885"/>
      <c r="BP1342" s="885"/>
      <c r="BQ1342" s="885"/>
      <c r="BR1342" s="885"/>
      <c r="BS1342" s="885"/>
      <c r="BT1342" s="885"/>
      <c r="BU1342" s="885"/>
      <c r="BV1342" s="885"/>
      <c r="BW1342" s="885"/>
      <c r="BX1342" s="885"/>
      <c r="BY1342" s="885"/>
      <c r="BZ1342" s="885"/>
      <c r="CA1342" s="885"/>
      <c r="CB1342" s="885"/>
      <c r="CC1342" s="885"/>
      <c r="CD1342" s="885"/>
      <c r="CE1342" s="885"/>
      <c r="CF1342" s="885"/>
      <c r="CG1342" s="885"/>
      <c r="CH1342" s="885"/>
      <c r="CI1342" s="885"/>
      <c r="CJ1342" s="885"/>
      <c r="CK1342" s="885"/>
      <c r="CL1342" s="885"/>
      <c r="CM1342" s="885"/>
      <c r="CN1342" s="885"/>
      <c r="CO1342" s="885"/>
      <c r="CP1342" s="885"/>
      <c r="CQ1342" s="885"/>
      <c r="CR1342" s="885"/>
      <c r="CS1342" s="885"/>
      <c r="CT1342" s="885"/>
      <c r="CU1342" s="885"/>
      <c r="CV1342" s="885"/>
      <c r="CW1342" s="885"/>
      <c r="CX1342" s="885"/>
      <c r="CY1342" s="885"/>
      <c r="CZ1342" s="885"/>
      <c r="DA1342" s="885"/>
      <c r="DB1342" s="885"/>
      <c r="DC1342" s="885"/>
      <c r="DD1342" s="885"/>
      <c r="DE1342" s="885"/>
      <c r="DF1342" s="885"/>
      <c r="DG1342" s="885"/>
      <c r="DH1342" s="885"/>
      <c r="DI1342" s="885"/>
      <c r="DJ1342" s="885"/>
      <c r="DK1342" s="885"/>
      <c r="DL1342" s="885"/>
      <c r="DM1342" s="885"/>
      <c r="DN1342" s="885"/>
      <c r="DO1342" s="885"/>
      <c r="DP1342" s="885"/>
      <c r="DQ1342" s="885"/>
      <c r="DR1342" s="885"/>
      <c r="DS1342" s="885"/>
      <c r="DT1342" s="885"/>
      <c r="DU1342" s="885"/>
      <c r="DV1342" s="885"/>
      <c r="DW1342" s="885"/>
      <c r="DX1342" s="885"/>
      <c r="DY1342" s="885"/>
      <c r="DZ1342" s="885"/>
      <c r="EA1342" s="885"/>
      <c r="EB1342" s="885"/>
      <c r="EC1342" s="885"/>
      <c r="ED1342" s="885"/>
      <c r="EE1342" s="885"/>
      <c r="EF1342" s="885"/>
      <c r="EG1342" s="885"/>
      <c r="EH1342" s="885"/>
      <c r="EI1342" s="885"/>
      <c r="EJ1342" s="885"/>
      <c r="EK1342" s="885"/>
      <c r="EL1342" s="885"/>
      <c r="EM1342" s="885"/>
      <c r="EN1342" s="885"/>
      <c r="EO1342" s="885"/>
      <c r="EP1342" s="885"/>
      <c r="EQ1342" s="885"/>
      <c r="ER1342" s="885"/>
      <c r="ES1342" s="885"/>
      <c r="ET1342" s="885"/>
      <c r="EU1342" s="885"/>
      <c r="EV1342" s="885"/>
      <c r="EW1342" s="885"/>
      <c r="EX1342" s="885"/>
      <c r="EY1342" s="885"/>
      <c r="EZ1342" s="885"/>
      <c r="FA1342" s="885"/>
      <c r="FB1342" s="885"/>
      <c r="FC1342" s="885"/>
      <c r="FD1342" s="885"/>
      <c r="FE1342" s="885"/>
      <c r="FF1342" s="885"/>
      <c r="FG1342" s="885"/>
      <c r="FH1342" s="885"/>
      <c r="FI1342" s="885"/>
      <c r="FJ1342" s="885"/>
      <c r="FK1342" s="885"/>
      <c r="FL1342" s="885"/>
      <c r="FM1342" s="885"/>
      <c r="FN1342" s="885"/>
      <c r="FO1342" s="885"/>
      <c r="FP1342" s="885"/>
      <c r="FQ1342" s="885"/>
      <c r="FR1342" s="885"/>
      <c r="FS1342" s="885"/>
      <c r="FT1342" s="885"/>
      <c r="FU1342" s="885"/>
      <c r="FV1342" s="885"/>
      <c r="FW1342" s="885"/>
      <c r="FX1342" s="885"/>
      <c r="FY1342" s="885"/>
      <c r="FZ1342" s="885"/>
      <c r="GA1342" s="885"/>
      <c r="GB1342" s="885"/>
      <c r="GC1342" s="885"/>
      <c r="GD1342" s="885"/>
      <c r="GE1342" s="885"/>
      <c r="GF1342" s="885"/>
      <c r="GG1342" s="885"/>
      <c r="GH1342" s="885"/>
      <c r="GI1342" s="885"/>
      <c r="GJ1342" s="885"/>
      <c r="GK1342" s="885"/>
      <c r="GL1342" s="885"/>
      <c r="GM1342" s="885"/>
      <c r="GN1342" s="885"/>
      <c r="GO1342" s="885"/>
      <c r="GP1342" s="885"/>
      <c r="GQ1342" s="885"/>
      <c r="GR1342" s="885"/>
      <c r="GS1342" s="885"/>
      <c r="GT1342" s="885"/>
      <c r="GU1342" s="885"/>
      <c r="GV1342" s="885"/>
      <c r="GW1342" s="885"/>
      <c r="GX1342" s="885"/>
      <c r="GY1342" s="885"/>
      <c r="GZ1342" s="885"/>
      <c r="HA1342" s="885"/>
      <c r="HB1342" s="885"/>
      <c r="HC1342" s="885"/>
      <c r="HD1342" s="885"/>
      <c r="HE1342" s="885"/>
      <c r="HF1342" s="885"/>
      <c r="HG1342" s="885"/>
      <c r="HH1342" s="885"/>
      <c r="HI1342" s="885"/>
      <c r="HJ1342" s="885"/>
      <c r="HK1342" s="885"/>
      <c r="HL1342" s="885"/>
      <c r="HM1342" s="885"/>
      <c r="HN1342" s="885"/>
      <c r="HO1342" s="885"/>
      <c r="HP1342" s="885"/>
      <c r="HQ1342" s="885"/>
      <c r="HR1342" s="885"/>
      <c r="HS1342" s="885"/>
      <c r="HT1342" s="885"/>
      <c r="HU1342" s="885"/>
      <c r="HV1342" s="885"/>
      <c r="HW1342" s="885"/>
      <c r="HX1342" s="885"/>
      <c r="HY1342" s="885"/>
      <c r="HZ1342" s="885"/>
      <c r="IA1342" s="885"/>
      <c r="IB1342" s="885"/>
      <c r="IC1342" s="885"/>
      <c r="ID1342" s="885"/>
      <c r="IE1342" s="885"/>
      <c r="IF1342" s="885"/>
      <c r="IG1342" s="885"/>
      <c r="IH1342" s="885"/>
      <c r="II1342" s="885"/>
      <c r="IJ1342" s="885"/>
      <c r="IK1342" s="885"/>
      <c r="IL1342" s="885"/>
      <c r="IM1342" s="885"/>
      <c r="IN1342" s="885"/>
      <c r="IO1342" s="885"/>
      <c r="IP1342" s="885"/>
      <c r="IQ1342" s="885"/>
      <c r="IR1342" s="885"/>
      <c r="IS1342" s="885"/>
      <c r="IT1342" s="885"/>
      <c r="IU1342" s="885"/>
      <c r="IV1342" s="885"/>
      <c r="IW1342" s="885"/>
      <c r="IX1342" s="885"/>
    </row>
    <row r="1343" spans="1:258" x14ac:dyDescent="0.25">
      <c r="A1343" s="125">
        <f t="shared" si="152"/>
        <v>1303</v>
      </c>
      <c r="B1343" s="885"/>
      <c r="C1343" s="842" t="s">
        <v>10870</v>
      </c>
      <c r="D1343" s="924">
        <v>0</v>
      </c>
      <c r="E1343" s="924">
        <f t="shared" si="157"/>
        <v>0</v>
      </c>
      <c r="F1343" s="129">
        <f>F1340*F83</f>
        <v>0.2</v>
      </c>
      <c r="G1343" s="122" t="s">
        <v>1963</v>
      </c>
      <c r="H1343" s="885"/>
      <c r="I1343" s="885"/>
      <c r="J1343" s="885"/>
      <c r="K1343" s="885"/>
      <c r="L1343" s="885"/>
      <c r="M1343" s="885"/>
      <c r="N1343" s="885"/>
      <c r="O1343" s="885"/>
      <c r="P1343" s="885"/>
      <c r="Q1343" s="885"/>
      <c r="R1343" s="885"/>
      <c r="S1343" s="885"/>
      <c r="T1343" s="885"/>
      <c r="U1343" s="885"/>
      <c r="V1343" s="885"/>
      <c r="W1343" s="885"/>
      <c r="X1343" s="885"/>
      <c r="Y1343" s="885"/>
      <c r="Z1343" s="885"/>
      <c r="AA1343" s="885"/>
      <c r="AB1343" s="885"/>
      <c r="AC1343" s="885"/>
      <c r="AD1343" s="885"/>
      <c r="AE1343" s="885"/>
      <c r="AF1343" s="885"/>
      <c r="AG1343" s="885"/>
      <c r="AH1343" s="885"/>
      <c r="AI1343" s="885"/>
      <c r="AJ1343" s="885"/>
      <c r="AK1343" s="885"/>
      <c r="AL1343" s="885"/>
      <c r="AM1343" s="885"/>
      <c r="AN1343" s="885"/>
      <c r="AO1343" s="885"/>
      <c r="AP1343" s="885"/>
      <c r="AQ1343" s="885"/>
      <c r="AR1343" s="885"/>
      <c r="AS1343" s="885"/>
      <c r="AT1343" s="885"/>
      <c r="AU1343" s="885"/>
      <c r="AV1343" s="885"/>
      <c r="AW1343" s="885"/>
      <c r="AX1343" s="885"/>
      <c r="AY1343" s="885"/>
      <c r="AZ1343" s="885"/>
      <c r="BA1343" s="885"/>
      <c r="BB1343" s="885"/>
      <c r="BC1343" s="885"/>
      <c r="BD1343" s="885"/>
      <c r="BE1343" s="885"/>
      <c r="BF1343" s="885"/>
      <c r="BG1343" s="885"/>
      <c r="BH1343" s="885"/>
      <c r="BI1343" s="885"/>
      <c r="BJ1343" s="885"/>
      <c r="BK1343" s="885"/>
      <c r="BL1343" s="885"/>
      <c r="BM1343" s="885"/>
      <c r="BN1343" s="885"/>
      <c r="BO1343" s="885"/>
      <c r="BP1343" s="885"/>
      <c r="BQ1343" s="885"/>
      <c r="BR1343" s="885"/>
      <c r="BS1343" s="885"/>
      <c r="BT1343" s="885"/>
      <c r="BU1343" s="885"/>
      <c r="BV1343" s="885"/>
      <c r="BW1343" s="885"/>
      <c r="BX1343" s="885"/>
      <c r="BY1343" s="885"/>
      <c r="BZ1343" s="885"/>
      <c r="CA1343" s="885"/>
      <c r="CB1343" s="885"/>
      <c r="CC1343" s="885"/>
      <c r="CD1343" s="885"/>
      <c r="CE1343" s="885"/>
      <c r="CF1343" s="885"/>
      <c r="CG1343" s="885"/>
      <c r="CH1343" s="885"/>
      <c r="CI1343" s="885"/>
      <c r="CJ1343" s="885"/>
      <c r="CK1343" s="885"/>
      <c r="CL1343" s="885"/>
      <c r="CM1343" s="885"/>
      <c r="CN1343" s="885"/>
      <c r="CO1343" s="885"/>
      <c r="CP1343" s="885"/>
      <c r="CQ1343" s="885"/>
      <c r="CR1343" s="885"/>
      <c r="CS1343" s="885"/>
      <c r="CT1343" s="885"/>
      <c r="CU1343" s="885"/>
      <c r="CV1343" s="885"/>
      <c r="CW1343" s="885"/>
      <c r="CX1343" s="885"/>
      <c r="CY1343" s="885"/>
      <c r="CZ1343" s="885"/>
      <c r="DA1343" s="885"/>
      <c r="DB1343" s="885"/>
      <c r="DC1343" s="885"/>
      <c r="DD1343" s="885"/>
      <c r="DE1343" s="885"/>
      <c r="DF1343" s="885"/>
      <c r="DG1343" s="885"/>
      <c r="DH1343" s="885"/>
      <c r="DI1343" s="885"/>
      <c r="DJ1343" s="885"/>
      <c r="DK1343" s="885"/>
      <c r="DL1343" s="885"/>
      <c r="DM1343" s="885"/>
      <c r="DN1343" s="885"/>
      <c r="DO1343" s="885"/>
      <c r="DP1343" s="885"/>
      <c r="DQ1343" s="885"/>
      <c r="DR1343" s="885"/>
      <c r="DS1343" s="885"/>
      <c r="DT1343" s="885"/>
      <c r="DU1343" s="885"/>
      <c r="DV1343" s="885"/>
      <c r="DW1343" s="885"/>
      <c r="DX1343" s="885"/>
      <c r="DY1343" s="885"/>
      <c r="DZ1343" s="885"/>
      <c r="EA1343" s="885"/>
      <c r="EB1343" s="885"/>
      <c r="EC1343" s="885"/>
      <c r="ED1343" s="885"/>
      <c r="EE1343" s="885"/>
      <c r="EF1343" s="885"/>
      <c r="EG1343" s="885"/>
      <c r="EH1343" s="885"/>
      <c r="EI1343" s="885"/>
      <c r="EJ1343" s="885"/>
      <c r="EK1343" s="885"/>
      <c r="EL1343" s="885"/>
      <c r="EM1343" s="885"/>
      <c r="EN1343" s="885"/>
      <c r="EO1343" s="885"/>
      <c r="EP1343" s="885"/>
      <c r="EQ1343" s="885"/>
      <c r="ER1343" s="885"/>
      <c r="ES1343" s="885"/>
      <c r="ET1343" s="885"/>
      <c r="EU1343" s="885"/>
      <c r="EV1343" s="885"/>
      <c r="EW1343" s="885"/>
      <c r="EX1343" s="885"/>
      <c r="EY1343" s="885"/>
      <c r="EZ1343" s="885"/>
      <c r="FA1343" s="885"/>
      <c r="FB1343" s="885"/>
      <c r="FC1343" s="885"/>
      <c r="FD1343" s="885"/>
      <c r="FE1343" s="885"/>
      <c r="FF1343" s="885"/>
      <c r="FG1343" s="885"/>
      <c r="FH1343" s="885"/>
      <c r="FI1343" s="885"/>
      <c r="FJ1343" s="885"/>
      <c r="FK1343" s="885"/>
      <c r="FL1343" s="885"/>
      <c r="FM1343" s="885"/>
      <c r="FN1343" s="885"/>
      <c r="FO1343" s="885"/>
      <c r="FP1343" s="885"/>
      <c r="FQ1343" s="885"/>
      <c r="FR1343" s="885"/>
      <c r="FS1343" s="885"/>
      <c r="FT1343" s="885"/>
      <c r="FU1343" s="885"/>
      <c r="FV1343" s="885"/>
      <c r="FW1343" s="885"/>
      <c r="FX1343" s="885"/>
      <c r="FY1343" s="885"/>
      <c r="FZ1343" s="885"/>
      <c r="GA1343" s="885"/>
      <c r="GB1343" s="885"/>
      <c r="GC1343" s="885"/>
      <c r="GD1343" s="885"/>
      <c r="GE1343" s="885"/>
      <c r="GF1343" s="885"/>
      <c r="GG1343" s="885"/>
      <c r="GH1343" s="885"/>
      <c r="GI1343" s="885"/>
      <c r="GJ1343" s="885"/>
      <c r="GK1343" s="885"/>
      <c r="GL1343" s="885"/>
      <c r="GM1343" s="885"/>
      <c r="GN1343" s="885"/>
      <c r="GO1343" s="885"/>
      <c r="GP1343" s="885"/>
      <c r="GQ1343" s="885"/>
      <c r="GR1343" s="885"/>
      <c r="GS1343" s="885"/>
      <c r="GT1343" s="885"/>
      <c r="GU1343" s="885"/>
      <c r="GV1343" s="885"/>
      <c r="GW1343" s="885"/>
      <c r="GX1343" s="885"/>
      <c r="GY1343" s="885"/>
      <c r="GZ1343" s="885"/>
      <c r="HA1343" s="885"/>
      <c r="HB1343" s="885"/>
      <c r="HC1343" s="885"/>
      <c r="HD1343" s="885"/>
      <c r="HE1343" s="885"/>
      <c r="HF1343" s="885"/>
      <c r="HG1343" s="885"/>
      <c r="HH1343" s="885"/>
      <c r="HI1343" s="885"/>
      <c r="HJ1343" s="885"/>
      <c r="HK1343" s="885"/>
      <c r="HL1343" s="885"/>
      <c r="HM1343" s="885"/>
      <c r="HN1343" s="885"/>
      <c r="HO1343" s="885"/>
      <c r="HP1343" s="885"/>
      <c r="HQ1343" s="885"/>
      <c r="HR1343" s="885"/>
      <c r="HS1343" s="885"/>
      <c r="HT1343" s="885"/>
      <c r="HU1343" s="885"/>
      <c r="HV1343" s="885"/>
      <c r="HW1343" s="885"/>
      <c r="HX1343" s="885"/>
      <c r="HY1343" s="885"/>
      <c r="HZ1343" s="885"/>
      <c r="IA1343" s="885"/>
      <c r="IB1343" s="885"/>
      <c r="IC1343" s="885"/>
      <c r="ID1343" s="885"/>
      <c r="IE1343" s="885"/>
      <c r="IF1343" s="885"/>
      <c r="IG1343" s="885"/>
      <c r="IH1343" s="885"/>
      <c r="II1343" s="885"/>
      <c r="IJ1343" s="885"/>
      <c r="IK1343" s="885"/>
      <c r="IL1343" s="885"/>
      <c r="IM1343" s="885"/>
      <c r="IN1343" s="885"/>
      <c r="IO1343" s="885"/>
      <c r="IP1343" s="885"/>
      <c r="IQ1343" s="885"/>
      <c r="IR1343" s="885"/>
      <c r="IS1343" s="885"/>
      <c r="IT1343" s="885"/>
      <c r="IU1343" s="885"/>
      <c r="IV1343" s="885"/>
      <c r="IW1343" s="885"/>
      <c r="IX1343" s="885"/>
    </row>
    <row r="1344" spans="1:258" ht="31.5" x14ac:dyDescent="0.25">
      <c r="A1344" s="125">
        <f t="shared" si="152"/>
        <v>1304</v>
      </c>
      <c r="B1344" s="885"/>
      <c r="C1344" s="842" t="s">
        <v>10871</v>
      </c>
      <c r="D1344" s="924">
        <v>0</v>
      </c>
      <c r="E1344" s="924">
        <f t="shared" si="157"/>
        <v>0</v>
      </c>
      <c r="F1344" s="129">
        <v>1</v>
      </c>
      <c r="G1344" s="122" t="s">
        <v>1963</v>
      </c>
      <c r="H1344" s="885"/>
      <c r="I1344" s="885"/>
      <c r="J1344" s="885"/>
      <c r="K1344" s="885"/>
      <c r="L1344" s="885"/>
      <c r="M1344" s="885"/>
      <c r="N1344" s="885"/>
      <c r="O1344" s="885"/>
      <c r="P1344" s="885"/>
      <c r="Q1344" s="885"/>
      <c r="R1344" s="885"/>
      <c r="S1344" s="885"/>
      <c r="T1344" s="885"/>
      <c r="U1344" s="885"/>
      <c r="V1344" s="885"/>
      <c r="W1344" s="885"/>
      <c r="X1344" s="885"/>
      <c r="Y1344" s="885"/>
      <c r="Z1344" s="885"/>
      <c r="AA1344" s="885"/>
      <c r="AB1344" s="885"/>
      <c r="AC1344" s="885"/>
      <c r="AD1344" s="885"/>
      <c r="AE1344" s="885"/>
      <c r="AF1344" s="885"/>
      <c r="AG1344" s="885"/>
      <c r="AH1344" s="885"/>
      <c r="AI1344" s="885"/>
      <c r="AJ1344" s="885"/>
      <c r="AK1344" s="885"/>
      <c r="AL1344" s="885"/>
      <c r="AM1344" s="885"/>
      <c r="AN1344" s="885"/>
      <c r="AO1344" s="885"/>
      <c r="AP1344" s="885"/>
      <c r="AQ1344" s="885"/>
      <c r="AR1344" s="885"/>
      <c r="AS1344" s="885"/>
      <c r="AT1344" s="885"/>
      <c r="AU1344" s="885"/>
      <c r="AV1344" s="885"/>
      <c r="AW1344" s="885"/>
      <c r="AX1344" s="885"/>
      <c r="AY1344" s="885"/>
      <c r="AZ1344" s="885"/>
      <c r="BA1344" s="885"/>
      <c r="BB1344" s="885"/>
      <c r="BC1344" s="885"/>
      <c r="BD1344" s="885"/>
      <c r="BE1344" s="885"/>
      <c r="BF1344" s="885"/>
      <c r="BG1344" s="885"/>
      <c r="BH1344" s="885"/>
      <c r="BI1344" s="885"/>
      <c r="BJ1344" s="885"/>
      <c r="BK1344" s="885"/>
      <c r="BL1344" s="885"/>
      <c r="BM1344" s="885"/>
      <c r="BN1344" s="885"/>
      <c r="BO1344" s="885"/>
      <c r="BP1344" s="885"/>
      <c r="BQ1344" s="885"/>
      <c r="BR1344" s="885"/>
      <c r="BS1344" s="885"/>
      <c r="BT1344" s="885"/>
      <c r="BU1344" s="885"/>
      <c r="BV1344" s="885"/>
      <c r="BW1344" s="885"/>
      <c r="BX1344" s="885"/>
      <c r="BY1344" s="885"/>
      <c r="BZ1344" s="885"/>
      <c r="CA1344" s="885"/>
      <c r="CB1344" s="885"/>
      <c r="CC1344" s="885"/>
      <c r="CD1344" s="885"/>
      <c r="CE1344" s="885"/>
      <c r="CF1344" s="885"/>
      <c r="CG1344" s="885"/>
      <c r="CH1344" s="885"/>
      <c r="CI1344" s="885"/>
      <c r="CJ1344" s="885"/>
      <c r="CK1344" s="885"/>
      <c r="CL1344" s="885"/>
      <c r="CM1344" s="885"/>
      <c r="CN1344" s="885"/>
      <c r="CO1344" s="885"/>
      <c r="CP1344" s="885"/>
      <c r="CQ1344" s="885"/>
      <c r="CR1344" s="885"/>
      <c r="CS1344" s="885"/>
      <c r="CT1344" s="885"/>
      <c r="CU1344" s="885"/>
      <c r="CV1344" s="885"/>
      <c r="CW1344" s="885"/>
      <c r="CX1344" s="885"/>
      <c r="CY1344" s="885"/>
      <c r="CZ1344" s="885"/>
      <c r="DA1344" s="885"/>
      <c r="DB1344" s="885"/>
      <c r="DC1344" s="885"/>
      <c r="DD1344" s="885"/>
      <c r="DE1344" s="885"/>
      <c r="DF1344" s="885"/>
      <c r="DG1344" s="885"/>
      <c r="DH1344" s="885"/>
      <c r="DI1344" s="885"/>
      <c r="DJ1344" s="885"/>
      <c r="DK1344" s="885"/>
      <c r="DL1344" s="885"/>
      <c r="DM1344" s="885"/>
      <c r="DN1344" s="885"/>
      <c r="DO1344" s="885"/>
      <c r="DP1344" s="885"/>
      <c r="DQ1344" s="885"/>
      <c r="DR1344" s="885"/>
      <c r="DS1344" s="885"/>
      <c r="DT1344" s="885"/>
      <c r="DU1344" s="885"/>
      <c r="DV1344" s="885"/>
      <c r="DW1344" s="885"/>
      <c r="DX1344" s="885"/>
      <c r="DY1344" s="885"/>
      <c r="DZ1344" s="885"/>
      <c r="EA1344" s="885"/>
      <c r="EB1344" s="885"/>
      <c r="EC1344" s="885"/>
      <c r="ED1344" s="885"/>
      <c r="EE1344" s="885"/>
      <c r="EF1344" s="885"/>
      <c r="EG1344" s="885"/>
      <c r="EH1344" s="885"/>
      <c r="EI1344" s="885"/>
      <c r="EJ1344" s="885"/>
      <c r="EK1344" s="885"/>
      <c r="EL1344" s="885"/>
      <c r="EM1344" s="885"/>
      <c r="EN1344" s="885"/>
      <c r="EO1344" s="885"/>
      <c r="EP1344" s="885"/>
      <c r="EQ1344" s="885"/>
      <c r="ER1344" s="885"/>
      <c r="ES1344" s="885"/>
      <c r="ET1344" s="885"/>
      <c r="EU1344" s="885"/>
      <c r="EV1344" s="885"/>
      <c r="EW1344" s="885"/>
      <c r="EX1344" s="885"/>
      <c r="EY1344" s="885"/>
      <c r="EZ1344" s="885"/>
      <c r="FA1344" s="885"/>
      <c r="FB1344" s="885"/>
      <c r="FC1344" s="885"/>
      <c r="FD1344" s="885"/>
      <c r="FE1344" s="885"/>
      <c r="FF1344" s="885"/>
      <c r="FG1344" s="885"/>
      <c r="FH1344" s="885"/>
      <c r="FI1344" s="885"/>
      <c r="FJ1344" s="885"/>
      <c r="FK1344" s="885"/>
      <c r="FL1344" s="885"/>
      <c r="FM1344" s="885"/>
      <c r="FN1344" s="885"/>
      <c r="FO1344" s="885"/>
      <c r="FP1344" s="885"/>
      <c r="FQ1344" s="885"/>
      <c r="FR1344" s="885"/>
      <c r="FS1344" s="885"/>
      <c r="FT1344" s="885"/>
      <c r="FU1344" s="885"/>
      <c r="FV1344" s="885"/>
      <c r="FW1344" s="885"/>
      <c r="FX1344" s="885"/>
      <c r="FY1344" s="885"/>
      <c r="FZ1344" s="885"/>
      <c r="GA1344" s="885"/>
      <c r="GB1344" s="885"/>
      <c r="GC1344" s="885"/>
      <c r="GD1344" s="885"/>
      <c r="GE1344" s="885"/>
      <c r="GF1344" s="885"/>
      <c r="GG1344" s="885"/>
      <c r="GH1344" s="885"/>
      <c r="GI1344" s="885"/>
      <c r="GJ1344" s="885"/>
      <c r="GK1344" s="885"/>
      <c r="GL1344" s="885"/>
      <c r="GM1344" s="885"/>
      <c r="GN1344" s="885"/>
      <c r="GO1344" s="885"/>
      <c r="GP1344" s="885"/>
      <c r="GQ1344" s="885"/>
      <c r="GR1344" s="885"/>
      <c r="GS1344" s="885"/>
      <c r="GT1344" s="885"/>
      <c r="GU1344" s="885"/>
      <c r="GV1344" s="885"/>
      <c r="GW1344" s="885"/>
      <c r="GX1344" s="885"/>
      <c r="GY1344" s="885"/>
      <c r="GZ1344" s="885"/>
      <c r="HA1344" s="885"/>
      <c r="HB1344" s="885"/>
      <c r="HC1344" s="885"/>
      <c r="HD1344" s="885"/>
      <c r="HE1344" s="885"/>
      <c r="HF1344" s="885"/>
      <c r="HG1344" s="885"/>
      <c r="HH1344" s="885"/>
      <c r="HI1344" s="885"/>
      <c r="HJ1344" s="885"/>
      <c r="HK1344" s="885"/>
      <c r="HL1344" s="885"/>
      <c r="HM1344" s="885"/>
      <c r="HN1344" s="885"/>
      <c r="HO1344" s="885"/>
      <c r="HP1344" s="885"/>
      <c r="HQ1344" s="885"/>
      <c r="HR1344" s="885"/>
      <c r="HS1344" s="885"/>
      <c r="HT1344" s="885"/>
      <c r="HU1344" s="885"/>
      <c r="HV1344" s="885"/>
      <c r="HW1344" s="885"/>
      <c r="HX1344" s="885"/>
      <c r="HY1344" s="885"/>
      <c r="HZ1344" s="885"/>
      <c r="IA1344" s="885"/>
      <c r="IB1344" s="885"/>
      <c r="IC1344" s="885"/>
      <c r="ID1344" s="885"/>
      <c r="IE1344" s="885"/>
      <c r="IF1344" s="885"/>
      <c r="IG1344" s="885"/>
      <c r="IH1344" s="885"/>
      <c r="II1344" s="885"/>
      <c r="IJ1344" s="885"/>
      <c r="IK1344" s="885"/>
      <c r="IL1344" s="885"/>
      <c r="IM1344" s="885"/>
      <c r="IN1344" s="885"/>
      <c r="IO1344" s="885"/>
      <c r="IP1344" s="885"/>
      <c r="IQ1344" s="885"/>
      <c r="IR1344" s="885"/>
      <c r="IS1344" s="885"/>
      <c r="IT1344" s="885"/>
      <c r="IU1344" s="885"/>
      <c r="IV1344" s="885"/>
      <c r="IW1344" s="885"/>
      <c r="IX1344" s="885"/>
    </row>
    <row r="1345" spans="1:258" ht="31.5" x14ac:dyDescent="0.25">
      <c r="A1345" s="125">
        <f t="shared" si="152"/>
        <v>1305</v>
      </c>
      <c r="B1345" s="885"/>
      <c r="C1345" s="842" t="s">
        <v>10872</v>
      </c>
      <c r="D1345" s="924">
        <v>0</v>
      </c>
      <c r="E1345" s="924">
        <f t="shared" si="157"/>
        <v>0</v>
      </c>
      <c r="F1345" s="129">
        <f>8100-F1338-F1339-F1340-F1343-F1344</f>
        <v>8095.8</v>
      </c>
      <c r="G1345" s="122" t="s">
        <v>1963</v>
      </c>
      <c r="H1345" s="885"/>
      <c r="I1345" s="885"/>
      <c r="J1345" s="885"/>
      <c r="K1345" s="885"/>
      <c r="L1345" s="885"/>
      <c r="M1345" s="885"/>
      <c r="N1345" s="885"/>
      <c r="O1345" s="885"/>
      <c r="P1345" s="885"/>
      <c r="Q1345" s="885"/>
      <c r="R1345" s="885"/>
      <c r="S1345" s="885"/>
      <c r="T1345" s="885"/>
      <c r="U1345" s="885"/>
      <c r="V1345" s="885"/>
      <c r="W1345" s="885"/>
      <c r="X1345" s="885"/>
      <c r="Y1345" s="885"/>
      <c r="Z1345" s="885"/>
      <c r="AA1345" s="885"/>
      <c r="AB1345" s="885"/>
      <c r="AC1345" s="885"/>
      <c r="AD1345" s="885"/>
      <c r="AE1345" s="885"/>
      <c r="AF1345" s="885"/>
      <c r="AG1345" s="885"/>
      <c r="AH1345" s="885"/>
      <c r="AI1345" s="885"/>
      <c r="AJ1345" s="885"/>
      <c r="AK1345" s="885"/>
      <c r="AL1345" s="885"/>
      <c r="AM1345" s="885"/>
      <c r="AN1345" s="885"/>
      <c r="AO1345" s="885"/>
      <c r="AP1345" s="885"/>
      <c r="AQ1345" s="885"/>
      <c r="AR1345" s="885"/>
      <c r="AS1345" s="885"/>
      <c r="AT1345" s="885"/>
      <c r="AU1345" s="885"/>
      <c r="AV1345" s="885"/>
      <c r="AW1345" s="885"/>
      <c r="AX1345" s="885"/>
      <c r="AY1345" s="885"/>
      <c r="AZ1345" s="885"/>
      <c r="BA1345" s="885"/>
      <c r="BB1345" s="885"/>
      <c r="BC1345" s="885"/>
      <c r="BD1345" s="885"/>
      <c r="BE1345" s="885"/>
      <c r="BF1345" s="885"/>
      <c r="BG1345" s="885"/>
      <c r="BH1345" s="885"/>
      <c r="BI1345" s="885"/>
      <c r="BJ1345" s="885"/>
      <c r="BK1345" s="885"/>
      <c r="BL1345" s="885"/>
      <c r="BM1345" s="885"/>
      <c r="BN1345" s="885"/>
      <c r="BO1345" s="885"/>
      <c r="BP1345" s="885"/>
      <c r="BQ1345" s="885"/>
      <c r="BR1345" s="885"/>
      <c r="BS1345" s="885"/>
      <c r="BT1345" s="885"/>
      <c r="BU1345" s="885"/>
      <c r="BV1345" s="885"/>
      <c r="BW1345" s="885"/>
      <c r="BX1345" s="885"/>
      <c r="BY1345" s="885"/>
      <c r="BZ1345" s="885"/>
      <c r="CA1345" s="885"/>
      <c r="CB1345" s="885"/>
      <c r="CC1345" s="885"/>
      <c r="CD1345" s="885"/>
      <c r="CE1345" s="885"/>
      <c r="CF1345" s="885"/>
      <c r="CG1345" s="885"/>
      <c r="CH1345" s="885"/>
      <c r="CI1345" s="885"/>
      <c r="CJ1345" s="885"/>
      <c r="CK1345" s="885"/>
      <c r="CL1345" s="885"/>
      <c r="CM1345" s="885"/>
      <c r="CN1345" s="885"/>
      <c r="CO1345" s="885"/>
      <c r="CP1345" s="885"/>
      <c r="CQ1345" s="885"/>
      <c r="CR1345" s="885"/>
      <c r="CS1345" s="885"/>
      <c r="CT1345" s="885"/>
      <c r="CU1345" s="885"/>
      <c r="CV1345" s="885"/>
      <c r="CW1345" s="885"/>
      <c r="CX1345" s="885"/>
      <c r="CY1345" s="885"/>
      <c r="CZ1345" s="885"/>
      <c r="DA1345" s="885"/>
      <c r="DB1345" s="885"/>
      <c r="DC1345" s="885"/>
      <c r="DD1345" s="885"/>
      <c r="DE1345" s="885"/>
      <c r="DF1345" s="885"/>
      <c r="DG1345" s="885"/>
      <c r="DH1345" s="885"/>
      <c r="DI1345" s="885"/>
      <c r="DJ1345" s="885"/>
      <c r="DK1345" s="885"/>
      <c r="DL1345" s="885"/>
      <c r="DM1345" s="885"/>
      <c r="DN1345" s="885"/>
      <c r="DO1345" s="885"/>
      <c r="DP1345" s="885"/>
      <c r="DQ1345" s="885"/>
      <c r="DR1345" s="885"/>
      <c r="DS1345" s="885"/>
      <c r="DT1345" s="885"/>
      <c r="DU1345" s="885"/>
      <c r="DV1345" s="885"/>
      <c r="DW1345" s="885"/>
      <c r="DX1345" s="885"/>
      <c r="DY1345" s="885"/>
      <c r="DZ1345" s="885"/>
      <c r="EA1345" s="885"/>
      <c r="EB1345" s="885"/>
      <c r="EC1345" s="885"/>
      <c r="ED1345" s="885"/>
      <c r="EE1345" s="885"/>
      <c r="EF1345" s="885"/>
      <c r="EG1345" s="885"/>
      <c r="EH1345" s="885"/>
      <c r="EI1345" s="885"/>
      <c r="EJ1345" s="885"/>
      <c r="EK1345" s="885"/>
      <c r="EL1345" s="885"/>
      <c r="EM1345" s="885"/>
      <c r="EN1345" s="885"/>
      <c r="EO1345" s="885"/>
      <c r="EP1345" s="885"/>
      <c r="EQ1345" s="885"/>
      <c r="ER1345" s="885"/>
      <c r="ES1345" s="885"/>
      <c r="ET1345" s="885"/>
      <c r="EU1345" s="885"/>
      <c r="EV1345" s="885"/>
      <c r="EW1345" s="885"/>
      <c r="EX1345" s="885"/>
      <c r="EY1345" s="885"/>
      <c r="EZ1345" s="885"/>
      <c r="FA1345" s="885"/>
      <c r="FB1345" s="885"/>
      <c r="FC1345" s="885"/>
      <c r="FD1345" s="885"/>
      <c r="FE1345" s="885"/>
      <c r="FF1345" s="885"/>
      <c r="FG1345" s="885"/>
      <c r="FH1345" s="885"/>
      <c r="FI1345" s="885"/>
      <c r="FJ1345" s="885"/>
      <c r="FK1345" s="885"/>
      <c r="FL1345" s="885"/>
      <c r="FM1345" s="885"/>
      <c r="FN1345" s="885"/>
      <c r="FO1345" s="885"/>
      <c r="FP1345" s="885"/>
      <c r="FQ1345" s="885"/>
      <c r="FR1345" s="885"/>
      <c r="FS1345" s="885"/>
      <c r="FT1345" s="885"/>
      <c r="FU1345" s="885"/>
      <c r="FV1345" s="885"/>
      <c r="FW1345" s="885"/>
      <c r="FX1345" s="885"/>
      <c r="FY1345" s="885"/>
      <c r="FZ1345" s="885"/>
      <c r="GA1345" s="885"/>
      <c r="GB1345" s="885"/>
      <c r="GC1345" s="885"/>
      <c r="GD1345" s="885"/>
      <c r="GE1345" s="885"/>
      <c r="GF1345" s="885"/>
      <c r="GG1345" s="885"/>
      <c r="GH1345" s="885"/>
      <c r="GI1345" s="885"/>
      <c r="GJ1345" s="885"/>
      <c r="GK1345" s="885"/>
      <c r="GL1345" s="885"/>
      <c r="GM1345" s="885"/>
      <c r="GN1345" s="885"/>
      <c r="GO1345" s="885"/>
      <c r="GP1345" s="885"/>
      <c r="GQ1345" s="885"/>
      <c r="GR1345" s="885"/>
      <c r="GS1345" s="885"/>
      <c r="GT1345" s="885"/>
      <c r="GU1345" s="885"/>
      <c r="GV1345" s="885"/>
      <c r="GW1345" s="885"/>
      <c r="GX1345" s="885"/>
      <c r="GY1345" s="885"/>
      <c r="GZ1345" s="885"/>
      <c r="HA1345" s="885"/>
      <c r="HB1345" s="885"/>
      <c r="HC1345" s="885"/>
      <c r="HD1345" s="885"/>
      <c r="HE1345" s="885"/>
      <c r="HF1345" s="885"/>
      <c r="HG1345" s="885"/>
      <c r="HH1345" s="885"/>
      <c r="HI1345" s="885"/>
      <c r="HJ1345" s="885"/>
      <c r="HK1345" s="885"/>
      <c r="HL1345" s="885"/>
      <c r="HM1345" s="885"/>
      <c r="HN1345" s="885"/>
      <c r="HO1345" s="885"/>
      <c r="HP1345" s="885"/>
      <c r="HQ1345" s="885"/>
      <c r="HR1345" s="885"/>
      <c r="HS1345" s="885"/>
      <c r="HT1345" s="885"/>
      <c r="HU1345" s="885"/>
      <c r="HV1345" s="885"/>
      <c r="HW1345" s="885"/>
      <c r="HX1345" s="885"/>
      <c r="HY1345" s="885"/>
      <c r="HZ1345" s="885"/>
      <c r="IA1345" s="885"/>
      <c r="IB1345" s="885"/>
      <c r="IC1345" s="885"/>
      <c r="ID1345" s="885"/>
      <c r="IE1345" s="885"/>
      <c r="IF1345" s="885"/>
      <c r="IG1345" s="885"/>
      <c r="IH1345" s="885"/>
      <c r="II1345" s="885"/>
      <c r="IJ1345" s="885"/>
      <c r="IK1345" s="885"/>
      <c r="IL1345" s="885"/>
      <c r="IM1345" s="885"/>
      <c r="IN1345" s="885"/>
      <c r="IO1345" s="885"/>
      <c r="IP1345" s="885"/>
      <c r="IQ1345" s="885"/>
      <c r="IR1345" s="885"/>
      <c r="IS1345" s="885"/>
      <c r="IT1345" s="885"/>
      <c r="IU1345" s="885"/>
      <c r="IV1345" s="885"/>
      <c r="IW1345" s="885"/>
      <c r="IX1345" s="885"/>
    </row>
    <row r="1346" spans="1:258" x14ac:dyDescent="0.25">
      <c r="A1346" s="125">
        <f t="shared" si="152"/>
        <v>1306</v>
      </c>
      <c r="B1346" s="885"/>
      <c r="C1346" s="134"/>
      <c r="D1346" s="914"/>
      <c r="E1346" s="914"/>
      <c r="F1346" s="129"/>
      <c r="H1346" s="885"/>
      <c r="I1346" s="885"/>
      <c r="J1346" s="885"/>
      <c r="K1346" s="885"/>
      <c r="L1346" s="885"/>
      <c r="M1346" s="885"/>
      <c r="N1346" s="885"/>
      <c r="O1346" s="885"/>
      <c r="P1346" s="885"/>
      <c r="Q1346" s="885"/>
      <c r="R1346" s="885"/>
      <c r="S1346" s="885"/>
      <c r="T1346" s="885"/>
      <c r="U1346" s="885"/>
      <c r="V1346" s="885"/>
      <c r="W1346" s="885"/>
      <c r="X1346" s="885"/>
      <c r="Y1346" s="885"/>
      <c r="Z1346" s="885"/>
      <c r="AA1346" s="885"/>
      <c r="AB1346" s="885"/>
      <c r="AC1346" s="885"/>
      <c r="AD1346" s="885"/>
      <c r="AE1346" s="885"/>
      <c r="AF1346" s="885"/>
      <c r="AG1346" s="885"/>
      <c r="AH1346" s="885"/>
      <c r="AI1346" s="885"/>
      <c r="AJ1346" s="885"/>
      <c r="AK1346" s="885"/>
      <c r="AL1346" s="885"/>
      <c r="AM1346" s="885"/>
      <c r="AN1346" s="885"/>
      <c r="AO1346" s="885"/>
      <c r="AP1346" s="885"/>
      <c r="AQ1346" s="885"/>
      <c r="AR1346" s="885"/>
      <c r="AS1346" s="885"/>
      <c r="AT1346" s="885"/>
      <c r="AU1346" s="885"/>
      <c r="AV1346" s="885"/>
      <c r="AW1346" s="885"/>
      <c r="AX1346" s="885"/>
      <c r="AY1346" s="885"/>
      <c r="AZ1346" s="885"/>
      <c r="BA1346" s="885"/>
      <c r="BB1346" s="885"/>
      <c r="BC1346" s="885"/>
      <c r="BD1346" s="885"/>
      <c r="BE1346" s="885"/>
      <c r="BF1346" s="885"/>
      <c r="BG1346" s="885"/>
      <c r="BH1346" s="885"/>
      <c r="BI1346" s="885"/>
      <c r="BJ1346" s="885"/>
      <c r="BK1346" s="885"/>
      <c r="BL1346" s="885"/>
      <c r="BM1346" s="885"/>
      <c r="BN1346" s="885"/>
      <c r="BO1346" s="885"/>
      <c r="BP1346" s="885"/>
      <c r="BQ1346" s="885"/>
      <c r="BR1346" s="885"/>
      <c r="BS1346" s="885"/>
      <c r="BT1346" s="885"/>
      <c r="BU1346" s="885"/>
      <c r="BV1346" s="885"/>
      <c r="BW1346" s="885"/>
      <c r="BX1346" s="885"/>
      <c r="BY1346" s="885"/>
      <c r="BZ1346" s="885"/>
      <c r="CA1346" s="885"/>
      <c r="CB1346" s="885"/>
      <c r="CC1346" s="885"/>
      <c r="CD1346" s="885"/>
      <c r="CE1346" s="885"/>
      <c r="CF1346" s="885"/>
      <c r="CG1346" s="885"/>
      <c r="CH1346" s="885"/>
      <c r="CI1346" s="885"/>
      <c r="CJ1346" s="885"/>
      <c r="CK1346" s="885"/>
      <c r="CL1346" s="885"/>
      <c r="CM1346" s="885"/>
      <c r="CN1346" s="885"/>
      <c r="CO1346" s="885"/>
      <c r="CP1346" s="885"/>
      <c r="CQ1346" s="885"/>
      <c r="CR1346" s="885"/>
      <c r="CS1346" s="885"/>
      <c r="CT1346" s="885"/>
      <c r="CU1346" s="885"/>
      <c r="CV1346" s="885"/>
      <c r="CW1346" s="885"/>
      <c r="CX1346" s="885"/>
      <c r="CY1346" s="885"/>
      <c r="CZ1346" s="885"/>
      <c r="DA1346" s="885"/>
      <c r="DB1346" s="885"/>
      <c r="DC1346" s="885"/>
      <c r="DD1346" s="885"/>
      <c r="DE1346" s="885"/>
      <c r="DF1346" s="885"/>
      <c r="DG1346" s="885"/>
      <c r="DH1346" s="885"/>
      <c r="DI1346" s="885"/>
      <c r="DJ1346" s="885"/>
      <c r="DK1346" s="885"/>
      <c r="DL1346" s="885"/>
      <c r="DM1346" s="885"/>
      <c r="DN1346" s="885"/>
      <c r="DO1346" s="885"/>
      <c r="DP1346" s="885"/>
      <c r="DQ1346" s="885"/>
      <c r="DR1346" s="885"/>
      <c r="DS1346" s="885"/>
      <c r="DT1346" s="885"/>
      <c r="DU1346" s="885"/>
      <c r="DV1346" s="885"/>
      <c r="DW1346" s="885"/>
      <c r="DX1346" s="885"/>
      <c r="DY1346" s="885"/>
      <c r="DZ1346" s="885"/>
      <c r="EA1346" s="885"/>
      <c r="EB1346" s="885"/>
      <c r="EC1346" s="885"/>
      <c r="ED1346" s="885"/>
      <c r="EE1346" s="885"/>
      <c r="EF1346" s="885"/>
      <c r="EG1346" s="885"/>
      <c r="EH1346" s="885"/>
      <c r="EI1346" s="885"/>
      <c r="EJ1346" s="885"/>
      <c r="EK1346" s="885"/>
      <c r="EL1346" s="885"/>
      <c r="EM1346" s="885"/>
      <c r="EN1346" s="885"/>
      <c r="EO1346" s="885"/>
      <c r="EP1346" s="885"/>
      <c r="EQ1346" s="885"/>
      <c r="ER1346" s="885"/>
      <c r="ES1346" s="885"/>
      <c r="ET1346" s="885"/>
      <c r="EU1346" s="885"/>
      <c r="EV1346" s="885"/>
      <c r="EW1346" s="885"/>
      <c r="EX1346" s="885"/>
      <c r="EY1346" s="885"/>
      <c r="EZ1346" s="885"/>
      <c r="FA1346" s="885"/>
      <c r="FB1346" s="885"/>
      <c r="FC1346" s="885"/>
      <c r="FD1346" s="885"/>
      <c r="FE1346" s="885"/>
      <c r="FF1346" s="885"/>
      <c r="FG1346" s="885"/>
      <c r="FH1346" s="885"/>
      <c r="FI1346" s="885"/>
      <c r="FJ1346" s="885"/>
      <c r="FK1346" s="885"/>
      <c r="FL1346" s="885"/>
      <c r="FM1346" s="885"/>
      <c r="FN1346" s="885"/>
      <c r="FO1346" s="885"/>
      <c r="FP1346" s="885"/>
      <c r="FQ1346" s="885"/>
      <c r="FR1346" s="885"/>
      <c r="FS1346" s="885"/>
      <c r="FT1346" s="885"/>
      <c r="FU1346" s="885"/>
      <c r="FV1346" s="885"/>
      <c r="FW1346" s="885"/>
      <c r="FX1346" s="885"/>
      <c r="FY1346" s="885"/>
      <c r="FZ1346" s="885"/>
      <c r="GA1346" s="885"/>
      <c r="GB1346" s="885"/>
      <c r="GC1346" s="885"/>
      <c r="GD1346" s="885"/>
      <c r="GE1346" s="885"/>
      <c r="GF1346" s="885"/>
      <c r="GG1346" s="885"/>
      <c r="GH1346" s="885"/>
      <c r="GI1346" s="885"/>
      <c r="GJ1346" s="885"/>
      <c r="GK1346" s="885"/>
      <c r="GL1346" s="885"/>
      <c r="GM1346" s="885"/>
      <c r="GN1346" s="885"/>
      <c r="GO1346" s="885"/>
      <c r="GP1346" s="885"/>
      <c r="GQ1346" s="885"/>
      <c r="GR1346" s="885"/>
      <c r="GS1346" s="885"/>
      <c r="GT1346" s="885"/>
      <c r="GU1346" s="885"/>
      <c r="GV1346" s="885"/>
      <c r="GW1346" s="885"/>
      <c r="GX1346" s="885"/>
      <c r="GY1346" s="885"/>
      <c r="GZ1346" s="885"/>
      <c r="HA1346" s="885"/>
      <c r="HB1346" s="885"/>
      <c r="HC1346" s="885"/>
      <c r="HD1346" s="885"/>
      <c r="HE1346" s="885"/>
      <c r="HF1346" s="885"/>
      <c r="HG1346" s="885"/>
      <c r="HH1346" s="885"/>
      <c r="HI1346" s="885"/>
      <c r="HJ1346" s="885"/>
      <c r="HK1346" s="885"/>
      <c r="HL1346" s="885"/>
      <c r="HM1346" s="885"/>
      <c r="HN1346" s="885"/>
      <c r="HO1346" s="885"/>
      <c r="HP1346" s="885"/>
      <c r="HQ1346" s="885"/>
      <c r="HR1346" s="885"/>
      <c r="HS1346" s="885"/>
      <c r="HT1346" s="885"/>
      <c r="HU1346" s="885"/>
      <c r="HV1346" s="885"/>
      <c r="HW1346" s="885"/>
      <c r="HX1346" s="885"/>
      <c r="HY1346" s="885"/>
      <c r="HZ1346" s="885"/>
      <c r="IA1346" s="885"/>
      <c r="IB1346" s="885"/>
      <c r="IC1346" s="885"/>
      <c r="ID1346" s="885"/>
      <c r="IE1346" s="885"/>
      <c r="IF1346" s="885"/>
      <c r="IG1346" s="885"/>
      <c r="IH1346" s="885"/>
      <c r="II1346" s="885"/>
      <c r="IJ1346" s="885"/>
      <c r="IK1346" s="885"/>
      <c r="IL1346" s="885"/>
      <c r="IM1346" s="885"/>
      <c r="IN1346" s="885"/>
      <c r="IO1346" s="885"/>
      <c r="IP1346" s="885"/>
      <c r="IQ1346" s="885"/>
      <c r="IR1346" s="885"/>
      <c r="IS1346" s="885"/>
      <c r="IT1346" s="885"/>
      <c r="IU1346" s="885"/>
      <c r="IV1346" s="885"/>
      <c r="IW1346" s="885"/>
      <c r="IX1346" s="885"/>
    </row>
    <row r="1347" spans="1:258" x14ac:dyDescent="0.25">
      <c r="A1347" s="125">
        <f t="shared" si="152"/>
        <v>1307</v>
      </c>
      <c r="B1347" s="885"/>
      <c r="C1347" s="1371" t="s">
        <v>7911</v>
      </c>
      <c r="D1347" s="1371"/>
      <c r="E1347" s="1371"/>
      <c r="F1347" s="1371"/>
      <c r="G1347" s="1371"/>
      <c r="H1347" s="1371"/>
      <c r="I1347" s="1371"/>
      <c r="J1347" s="885"/>
      <c r="K1347" s="885"/>
      <c r="L1347" s="885"/>
      <c r="M1347" s="885"/>
      <c r="N1347" s="885"/>
      <c r="O1347" s="885"/>
      <c r="P1347" s="885"/>
      <c r="Q1347" s="885"/>
      <c r="R1347" s="885"/>
      <c r="S1347" s="885"/>
      <c r="T1347" s="885"/>
      <c r="U1347" s="885"/>
      <c r="V1347" s="885"/>
      <c r="W1347" s="885"/>
      <c r="X1347" s="885"/>
      <c r="Y1347" s="885"/>
      <c r="Z1347" s="885"/>
      <c r="AA1347" s="885"/>
      <c r="AB1347" s="885"/>
      <c r="AC1347" s="885"/>
      <c r="AD1347" s="885"/>
      <c r="AE1347" s="885"/>
      <c r="AF1347" s="885"/>
      <c r="AG1347" s="885"/>
      <c r="AH1347" s="885"/>
      <c r="AI1347" s="885"/>
      <c r="AJ1347" s="885"/>
      <c r="AK1347" s="885"/>
      <c r="AL1347" s="885"/>
      <c r="AM1347" s="885"/>
      <c r="AN1347" s="885"/>
      <c r="AO1347" s="885"/>
      <c r="AP1347" s="885"/>
      <c r="AQ1347" s="885"/>
      <c r="AR1347" s="885"/>
      <c r="AS1347" s="885"/>
      <c r="AT1347" s="885"/>
      <c r="AU1347" s="885"/>
      <c r="AV1347" s="885"/>
      <c r="AW1347" s="885"/>
      <c r="AX1347" s="885"/>
      <c r="AY1347" s="885"/>
      <c r="AZ1347" s="885"/>
      <c r="BA1347" s="885"/>
      <c r="BB1347" s="885"/>
      <c r="BC1347" s="885"/>
      <c r="BD1347" s="885"/>
      <c r="BE1347" s="885"/>
      <c r="BF1347" s="885"/>
      <c r="BG1347" s="885"/>
      <c r="BH1347" s="885"/>
      <c r="BI1347" s="885"/>
      <c r="BJ1347" s="885"/>
      <c r="BK1347" s="885"/>
      <c r="BL1347" s="885"/>
      <c r="BM1347" s="885"/>
      <c r="BN1347" s="885"/>
      <c r="BO1347" s="885"/>
      <c r="BP1347" s="885"/>
      <c r="BQ1347" s="885"/>
      <c r="BR1347" s="885"/>
      <c r="BS1347" s="885"/>
      <c r="BT1347" s="885"/>
      <c r="BU1347" s="885"/>
      <c r="BV1347" s="885"/>
      <c r="BW1347" s="885"/>
      <c r="BX1347" s="885"/>
      <c r="BY1347" s="885"/>
      <c r="BZ1347" s="885"/>
      <c r="CA1347" s="885"/>
      <c r="CB1347" s="885"/>
      <c r="CC1347" s="885"/>
      <c r="CD1347" s="885"/>
      <c r="CE1347" s="885"/>
      <c r="CF1347" s="885"/>
      <c r="CG1347" s="885"/>
      <c r="CH1347" s="885"/>
      <c r="CI1347" s="885"/>
      <c r="CJ1347" s="885"/>
      <c r="CK1347" s="885"/>
      <c r="CL1347" s="885"/>
      <c r="CM1347" s="885"/>
      <c r="CN1347" s="885"/>
      <c r="CO1347" s="885"/>
      <c r="CP1347" s="885"/>
      <c r="CQ1347" s="885"/>
      <c r="CR1347" s="885"/>
      <c r="CS1347" s="885"/>
      <c r="CT1347" s="885"/>
      <c r="CU1347" s="885"/>
      <c r="CV1347" s="885"/>
      <c r="CW1347" s="885"/>
      <c r="CX1347" s="885"/>
      <c r="CY1347" s="885"/>
      <c r="CZ1347" s="885"/>
      <c r="DA1347" s="885"/>
      <c r="DB1347" s="885"/>
      <c r="DC1347" s="885"/>
      <c r="DD1347" s="885"/>
      <c r="DE1347" s="885"/>
      <c r="DF1347" s="885"/>
      <c r="DG1347" s="885"/>
      <c r="DH1347" s="885"/>
      <c r="DI1347" s="885"/>
      <c r="DJ1347" s="885"/>
      <c r="DK1347" s="885"/>
      <c r="DL1347" s="885"/>
      <c r="DM1347" s="885"/>
      <c r="DN1347" s="885"/>
      <c r="DO1347" s="885"/>
      <c r="DP1347" s="885"/>
      <c r="DQ1347" s="885"/>
      <c r="DR1347" s="885"/>
      <c r="DS1347" s="885"/>
      <c r="DT1347" s="885"/>
      <c r="DU1347" s="885"/>
      <c r="DV1347" s="885"/>
      <c r="DW1347" s="885"/>
      <c r="DX1347" s="885"/>
      <c r="DY1347" s="885"/>
      <c r="DZ1347" s="885"/>
      <c r="EA1347" s="885"/>
      <c r="EB1347" s="885"/>
      <c r="EC1347" s="885"/>
      <c r="ED1347" s="885"/>
      <c r="EE1347" s="885"/>
      <c r="EF1347" s="885"/>
      <c r="EG1347" s="885"/>
      <c r="EH1347" s="885"/>
      <c r="EI1347" s="885"/>
      <c r="EJ1347" s="885"/>
      <c r="EK1347" s="885"/>
      <c r="EL1347" s="885"/>
      <c r="EM1347" s="885"/>
      <c r="EN1347" s="885"/>
      <c r="EO1347" s="885"/>
      <c r="EP1347" s="885"/>
      <c r="EQ1347" s="885"/>
      <c r="ER1347" s="885"/>
      <c r="ES1347" s="885"/>
      <c r="ET1347" s="885"/>
      <c r="EU1347" s="885"/>
      <c r="EV1347" s="885"/>
      <c r="EW1347" s="885"/>
      <c r="EX1347" s="885"/>
      <c r="EY1347" s="885"/>
      <c r="EZ1347" s="885"/>
      <c r="FA1347" s="885"/>
      <c r="FB1347" s="885"/>
      <c r="FC1347" s="885"/>
      <c r="FD1347" s="885"/>
      <c r="FE1347" s="885"/>
      <c r="FF1347" s="885"/>
      <c r="FG1347" s="885"/>
      <c r="FH1347" s="885"/>
      <c r="FI1347" s="885"/>
      <c r="FJ1347" s="885"/>
      <c r="FK1347" s="885"/>
      <c r="FL1347" s="885"/>
      <c r="FM1347" s="885"/>
      <c r="FN1347" s="885"/>
      <c r="FO1347" s="885"/>
      <c r="FP1347" s="885"/>
      <c r="FQ1347" s="885"/>
      <c r="FR1347" s="885"/>
      <c r="FS1347" s="885"/>
      <c r="FT1347" s="885"/>
      <c r="FU1347" s="885"/>
      <c r="FV1347" s="885"/>
      <c r="FW1347" s="885"/>
      <c r="FX1347" s="885"/>
      <c r="FY1347" s="885"/>
      <c r="FZ1347" s="885"/>
      <c r="GA1347" s="885"/>
      <c r="GB1347" s="885"/>
      <c r="GC1347" s="885"/>
      <c r="GD1347" s="885"/>
      <c r="GE1347" s="885"/>
      <c r="GF1347" s="885"/>
      <c r="GG1347" s="885"/>
      <c r="GH1347" s="885"/>
      <c r="GI1347" s="885"/>
      <c r="GJ1347" s="885"/>
      <c r="GK1347" s="885"/>
      <c r="GL1347" s="885"/>
      <c r="GM1347" s="885"/>
      <c r="GN1347" s="885"/>
      <c r="GO1347" s="885"/>
      <c r="GP1347" s="885"/>
      <c r="GQ1347" s="885"/>
      <c r="GR1347" s="885"/>
      <c r="GS1347" s="885"/>
      <c r="GT1347" s="885"/>
      <c r="GU1347" s="885"/>
      <c r="GV1347" s="885"/>
      <c r="GW1347" s="885"/>
      <c r="GX1347" s="885"/>
      <c r="GY1347" s="885"/>
      <c r="GZ1347" s="885"/>
      <c r="HA1347" s="885"/>
      <c r="HB1347" s="885"/>
      <c r="HC1347" s="885"/>
      <c r="HD1347" s="885"/>
      <c r="HE1347" s="885"/>
      <c r="HF1347" s="885"/>
      <c r="HG1347" s="885"/>
      <c r="HH1347" s="885"/>
      <c r="HI1347" s="885"/>
      <c r="HJ1347" s="885"/>
      <c r="HK1347" s="885"/>
      <c r="HL1347" s="885"/>
      <c r="HM1347" s="885"/>
      <c r="HN1347" s="885"/>
      <c r="HO1347" s="885"/>
      <c r="HP1347" s="885"/>
      <c r="HQ1347" s="885"/>
      <c r="HR1347" s="885"/>
      <c r="HS1347" s="885"/>
      <c r="HT1347" s="885"/>
      <c r="HU1347" s="885"/>
      <c r="HV1347" s="885"/>
      <c r="HW1347" s="885"/>
      <c r="HX1347" s="885"/>
      <c r="HY1347" s="885"/>
      <c r="HZ1347" s="885"/>
      <c r="IA1347" s="885"/>
      <c r="IB1347" s="885"/>
      <c r="IC1347" s="885"/>
      <c r="ID1347" s="885"/>
      <c r="IE1347" s="885"/>
      <c r="IF1347" s="885"/>
      <c r="IG1347" s="885"/>
      <c r="IH1347" s="885"/>
      <c r="II1347" s="885"/>
      <c r="IJ1347" s="885"/>
      <c r="IK1347" s="885"/>
      <c r="IL1347" s="885"/>
      <c r="IM1347" s="885"/>
      <c r="IN1347" s="885"/>
      <c r="IO1347" s="885"/>
      <c r="IP1347" s="885"/>
      <c r="IQ1347" s="885"/>
      <c r="IR1347" s="885"/>
      <c r="IS1347" s="885"/>
      <c r="IT1347" s="885"/>
      <c r="IU1347" s="885"/>
      <c r="IV1347" s="885"/>
      <c r="IW1347" s="885"/>
      <c r="IX1347" s="885"/>
    </row>
    <row r="1348" spans="1:258" x14ac:dyDescent="0.25">
      <c r="A1348" s="125">
        <f t="shared" si="152"/>
        <v>1308</v>
      </c>
      <c r="B1348" s="885"/>
      <c r="C1348" s="1371" t="s">
        <v>8664</v>
      </c>
      <c r="D1348" s="1371"/>
      <c r="E1348" s="1371"/>
      <c r="F1348" s="1371"/>
      <c r="G1348" s="1371"/>
      <c r="H1348" s="1371"/>
      <c r="I1348" s="1371"/>
      <c r="J1348" s="885"/>
      <c r="K1348" s="885"/>
      <c r="L1348" s="885"/>
      <c r="M1348" s="885"/>
      <c r="N1348" s="885"/>
      <c r="O1348" s="885"/>
      <c r="P1348" s="885"/>
      <c r="Q1348" s="885"/>
      <c r="R1348" s="885"/>
      <c r="S1348" s="885"/>
      <c r="T1348" s="885"/>
      <c r="U1348" s="885"/>
      <c r="V1348" s="885"/>
      <c r="W1348" s="885"/>
      <c r="X1348" s="885"/>
      <c r="Y1348" s="885"/>
      <c r="Z1348" s="885"/>
      <c r="AA1348" s="885"/>
      <c r="AB1348" s="885"/>
      <c r="AC1348" s="885"/>
      <c r="AD1348" s="885"/>
      <c r="AE1348" s="885"/>
      <c r="AF1348" s="885"/>
      <c r="AG1348" s="885"/>
      <c r="AH1348" s="885"/>
      <c r="AI1348" s="885"/>
      <c r="AJ1348" s="885"/>
      <c r="AK1348" s="885"/>
      <c r="AL1348" s="885"/>
      <c r="AM1348" s="885"/>
      <c r="AN1348" s="885"/>
      <c r="AO1348" s="885"/>
      <c r="AP1348" s="885"/>
      <c r="AQ1348" s="885"/>
      <c r="AR1348" s="885"/>
      <c r="AS1348" s="885"/>
      <c r="AT1348" s="885"/>
      <c r="AU1348" s="885"/>
      <c r="AV1348" s="885"/>
      <c r="AW1348" s="885"/>
      <c r="AX1348" s="885"/>
      <c r="AY1348" s="885"/>
      <c r="AZ1348" s="885"/>
      <c r="BA1348" s="885"/>
      <c r="BB1348" s="885"/>
      <c r="BC1348" s="885"/>
      <c r="BD1348" s="885"/>
      <c r="BE1348" s="885"/>
      <c r="BF1348" s="885"/>
      <c r="BG1348" s="885"/>
      <c r="BH1348" s="885"/>
      <c r="BI1348" s="885"/>
      <c r="BJ1348" s="885"/>
      <c r="BK1348" s="885"/>
      <c r="BL1348" s="885"/>
      <c r="BM1348" s="885"/>
      <c r="BN1348" s="885"/>
      <c r="BO1348" s="885"/>
      <c r="BP1348" s="885"/>
      <c r="BQ1348" s="885"/>
      <c r="BR1348" s="885"/>
      <c r="BS1348" s="885"/>
      <c r="BT1348" s="885"/>
      <c r="BU1348" s="885"/>
      <c r="BV1348" s="885"/>
      <c r="BW1348" s="885"/>
      <c r="BX1348" s="885"/>
      <c r="BY1348" s="885"/>
      <c r="BZ1348" s="885"/>
      <c r="CA1348" s="885"/>
      <c r="CB1348" s="885"/>
      <c r="CC1348" s="885"/>
      <c r="CD1348" s="885"/>
      <c r="CE1348" s="885"/>
      <c r="CF1348" s="885"/>
      <c r="CG1348" s="885"/>
      <c r="CH1348" s="885"/>
      <c r="CI1348" s="885"/>
      <c r="CJ1348" s="885"/>
      <c r="CK1348" s="885"/>
      <c r="CL1348" s="885"/>
      <c r="CM1348" s="885"/>
      <c r="CN1348" s="885"/>
      <c r="CO1348" s="885"/>
      <c r="CP1348" s="885"/>
      <c r="CQ1348" s="885"/>
      <c r="CR1348" s="885"/>
      <c r="CS1348" s="885"/>
      <c r="CT1348" s="885"/>
      <c r="CU1348" s="885"/>
      <c r="CV1348" s="885"/>
      <c r="CW1348" s="885"/>
      <c r="CX1348" s="885"/>
      <c r="CY1348" s="885"/>
      <c r="CZ1348" s="885"/>
      <c r="DA1348" s="885"/>
      <c r="DB1348" s="885"/>
      <c r="DC1348" s="885"/>
      <c r="DD1348" s="885"/>
      <c r="DE1348" s="885"/>
      <c r="DF1348" s="885"/>
      <c r="DG1348" s="885"/>
      <c r="DH1348" s="885"/>
      <c r="DI1348" s="885"/>
      <c r="DJ1348" s="885"/>
      <c r="DK1348" s="885"/>
      <c r="DL1348" s="885"/>
      <c r="DM1348" s="885"/>
      <c r="DN1348" s="885"/>
      <c r="DO1348" s="885"/>
      <c r="DP1348" s="885"/>
      <c r="DQ1348" s="885"/>
      <c r="DR1348" s="885"/>
      <c r="DS1348" s="885"/>
      <c r="DT1348" s="885"/>
      <c r="DU1348" s="885"/>
      <c r="DV1348" s="885"/>
      <c r="DW1348" s="885"/>
      <c r="DX1348" s="885"/>
      <c r="DY1348" s="885"/>
      <c r="DZ1348" s="885"/>
      <c r="EA1348" s="885"/>
      <c r="EB1348" s="885"/>
      <c r="EC1348" s="885"/>
      <c r="ED1348" s="885"/>
      <c r="EE1348" s="885"/>
      <c r="EF1348" s="885"/>
      <c r="EG1348" s="885"/>
      <c r="EH1348" s="885"/>
      <c r="EI1348" s="885"/>
      <c r="EJ1348" s="885"/>
      <c r="EK1348" s="885"/>
      <c r="EL1348" s="885"/>
      <c r="EM1348" s="885"/>
      <c r="EN1348" s="885"/>
      <c r="EO1348" s="885"/>
      <c r="EP1348" s="885"/>
      <c r="EQ1348" s="885"/>
      <c r="ER1348" s="885"/>
      <c r="ES1348" s="885"/>
      <c r="ET1348" s="885"/>
      <c r="EU1348" s="885"/>
      <c r="EV1348" s="885"/>
      <c r="EW1348" s="885"/>
      <c r="EX1348" s="885"/>
      <c r="EY1348" s="885"/>
      <c r="EZ1348" s="885"/>
      <c r="FA1348" s="885"/>
      <c r="FB1348" s="885"/>
      <c r="FC1348" s="885"/>
      <c r="FD1348" s="885"/>
      <c r="FE1348" s="885"/>
      <c r="FF1348" s="885"/>
      <c r="FG1348" s="885"/>
      <c r="FH1348" s="885"/>
      <c r="FI1348" s="885"/>
      <c r="FJ1348" s="885"/>
      <c r="FK1348" s="885"/>
      <c r="FL1348" s="885"/>
      <c r="FM1348" s="885"/>
      <c r="FN1348" s="885"/>
      <c r="FO1348" s="885"/>
      <c r="FP1348" s="885"/>
      <c r="FQ1348" s="885"/>
      <c r="FR1348" s="885"/>
      <c r="FS1348" s="885"/>
      <c r="FT1348" s="885"/>
      <c r="FU1348" s="885"/>
      <c r="FV1348" s="885"/>
      <c r="FW1348" s="885"/>
      <c r="FX1348" s="885"/>
      <c r="FY1348" s="885"/>
      <c r="FZ1348" s="885"/>
      <c r="GA1348" s="885"/>
      <c r="GB1348" s="885"/>
      <c r="GC1348" s="885"/>
      <c r="GD1348" s="885"/>
      <c r="GE1348" s="885"/>
      <c r="GF1348" s="885"/>
      <c r="GG1348" s="885"/>
      <c r="GH1348" s="885"/>
      <c r="GI1348" s="885"/>
      <c r="GJ1348" s="885"/>
      <c r="GK1348" s="885"/>
      <c r="GL1348" s="885"/>
      <c r="GM1348" s="885"/>
      <c r="GN1348" s="885"/>
      <c r="GO1348" s="885"/>
      <c r="GP1348" s="885"/>
      <c r="GQ1348" s="885"/>
      <c r="GR1348" s="885"/>
      <c r="GS1348" s="885"/>
      <c r="GT1348" s="885"/>
      <c r="GU1348" s="885"/>
      <c r="GV1348" s="885"/>
      <c r="GW1348" s="885"/>
      <c r="GX1348" s="885"/>
      <c r="GY1348" s="885"/>
      <c r="GZ1348" s="885"/>
      <c r="HA1348" s="885"/>
      <c r="HB1348" s="885"/>
      <c r="HC1348" s="885"/>
      <c r="HD1348" s="885"/>
      <c r="HE1348" s="885"/>
      <c r="HF1348" s="885"/>
      <c r="HG1348" s="885"/>
      <c r="HH1348" s="885"/>
      <c r="HI1348" s="885"/>
      <c r="HJ1348" s="885"/>
      <c r="HK1348" s="885"/>
      <c r="HL1348" s="885"/>
      <c r="HM1348" s="885"/>
      <c r="HN1348" s="885"/>
      <c r="HO1348" s="885"/>
      <c r="HP1348" s="885"/>
      <c r="HQ1348" s="885"/>
      <c r="HR1348" s="885"/>
      <c r="HS1348" s="885"/>
      <c r="HT1348" s="885"/>
      <c r="HU1348" s="885"/>
      <c r="HV1348" s="885"/>
      <c r="HW1348" s="885"/>
      <c r="HX1348" s="885"/>
      <c r="HY1348" s="885"/>
      <c r="HZ1348" s="885"/>
      <c r="IA1348" s="885"/>
      <c r="IB1348" s="885"/>
      <c r="IC1348" s="885"/>
      <c r="ID1348" s="885"/>
      <c r="IE1348" s="885"/>
      <c r="IF1348" s="885"/>
      <c r="IG1348" s="885"/>
      <c r="IH1348" s="885"/>
      <c r="II1348" s="885"/>
      <c r="IJ1348" s="885"/>
      <c r="IK1348" s="885"/>
      <c r="IL1348" s="885"/>
      <c r="IM1348" s="885"/>
      <c r="IN1348" s="885"/>
      <c r="IO1348" s="885"/>
      <c r="IP1348" s="885"/>
      <c r="IQ1348" s="885"/>
      <c r="IR1348" s="885"/>
      <c r="IS1348" s="885"/>
      <c r="IT1348" s="885"/>
      <c r="IU1348" s="885"/>
      <c r="IV1348" s="885"/>
      <c r="IW1348" s="885"/>
      <c r="IX1348" s="885"/>
    </row>
    <row r="1349" spans="1:258" x14ac:dyDescent="0.25">
      <c r="A1349" s="125">
        <f t="shared" si="152"/>
        <v>1309</v>
      </c>
      <c r="B1349" s="885"/>
      <c r="C1349" s="134"/>
      <c r="D1349" s="914"/>
      <c r="E1349" s="914"/>
      <c r="F1349" s="129"/>
      <c r="H1349" s="885"/>
      <c r="I1349" s="885"/>
      <c r="J1349" s="885"/>
      <c r="K1349" s="885"/>
      <c r="L1349" s="885"/>
      <c r="M1349" s="885"/>
      <c r="N1349" s="885"/>
      <c r="O1349" s="885"/>
      <c r="P1349" s="885"/>
      <c r="Q1349" s="885"/>
      <c r="R1349" s="885"/>
      <c r="S1349" s="885"/>
      <c r="T1349" s="885"/>
      <c r="U1349" s="885"/>
      <c r="V1349" s="885"/>
      <c r="W1349" s="885"/>
      <c r="X1349" s="885"/>
      <c r="Y1349" s="885"/>
      <c r="Z1349" s="885"/>
      <c r="AA1349" s="885"/>
      <c r="AB1349" s="885"/>
      <c r="AC1349" s="885"/>
      <c r="AD1349" s="885"/>
      <c r="AE1349" s="885"/>
      <c r="AF1349" s="885"/>
      <c r="AG1349" s="885"/>
      <c r="AH1349" s="885"/>
      <c r="AI1349" s="885"/>
      <c r="AJ1349" s="885"/>
      <c r="AK1349" s="885"/>
      <c r="AL1349" s="885"/>
      <c r="AM1349" s="885"/>
      <c r="AN1349" s="885"/>
      <c r="AO1349" s="885"/>
      <c r="AP1349" s="885"/>
      <c r="AQ1349" s="885"/>
      <c r="AR1349" s="885"/>
      <c r="AS1349" s="885"/>
      <c r="AT1349" s="885"/>
      <c r="AU1349" s="885"/>
      <c r="AV1349" s="885"/>
      <c r="AW1349" s="885"/>
      <c r="AX1349" s="885"/>
      <c r="AY1349" s="885"/>
      <c r="AZ1349" s="885"/>
      <c r="BA1349" s="885"/>
      <c r="BB1349" s="885"/>
      <c r="BC1349" s="885"/>
      <c r="BD1349" s="885"/>
      <c r="BE1349" s="885"/>
      <c r="BF1349" s="885"/>
      <c r="BG1349" s="885"/>
      <c r="BH1349" s="885"/>
      <c r="BI1349" s="885"/>
      <c r="BJ1349" s="885"/>
      <c r="BK1349" s="885"/>
      <c r="BL1349" s="885"/>
      <c r="BM1349" s="885"/>
      <c r="BN1349" s="885"/>
      <c r="BO1349" s="885"/>
      <c r="BP1349" s="885"/>
      <c r="BQ1349" s="885"/>
      <c r="BR1349" s="885"/>
      <c r="BS1349" s="885"/>
      <c r="BT1349" s="885"/>
      <c r="BU1349" s="885"/>
      <c r="BV1349" s="885"/>
      <c r="BW1349" s="885"/>
      <c r="BX1349" s="885"/>
      <c r="BY1349" s="885"/>
      <c r="BZ1349" s="885"/>
      <c r="CA1349" s="885"/>
      <c r="CB1349" s="885"/>
      <c r="CC1349" s="885"/>
      <c r="CD1349" s="885"/>
      <c r="CE1349" s="885"/>
      <c r="CF1349" s="885"/>
      <c r="CG1349" s="885"/>
      <c r="CH1349" s="885"/>
      <c r="CI1349" s="885"/>
      <c r="CJ1349" s="885"/>
      <c r="CK1349" s="885"/>
      <c r="CL1349" s="885"/>
      <c r="CM1349" s="885"/>
      <c r="CN1349" s="885"/>
      <c r="CO1349" s="885"/>
      <c r="CP1349" s="885"/>
      <c r="CQ1349" s="885"/>
      <c r="CR1349" s="885"/>
      <c r="CS1349" s="885"/>
      <c r="CT1349" s="885"/>
      <c r="CU1349" s="885"/>
      <c r="CV1349" s="885"/>
      <c r="CW1349" s="885"/>
      <c r="CX1349" s="885"/>
      <c r="CY1349" s="885"/>
      <c r="CZ1349" s="885"/>
      <c r="DA1349" s="885"/>
      <c r="DB1349" s="885"/>
      <c r="DC1349" s="885"/>
      <c r="DD1349" s="885"/>
      <c r="DE1349" s="885"/>
      <c r="DF1349" s="885"/>
      <c r="DG1349" s="885"/>
      <c r="DH1349" s="885"/>
      <c r="DI1349" s="885"/>
      <c r="DJ1349" s="885"/>
      <c r="DK1349" s="885"/>
      <c r="DL1349" s="885"/>
      <c r="DM1349" s="885"/>
      <c r="DN1349" s="885"/>
      <c r="DO1349" s="885"/>
      <c r="DP1349" s="885"/>
      <c r="DQ1349" s="885"/>
      <c r="DR1349" s="885"/>
      <c r="DS1349" s="885"/>
      <c r="DT1349" s="885"/>
      <c r="DU1349" s="885"/>
      <c r="DV1349" s="885"/>
      <c r="DW1349" s="885"/>
      <c r="DX1349" s="885"/>
      <c r="DY1349" s="885"/>
      <c r="DZ1349" s="885"/>
      <c r="EA1349" s="885"/>
      <c r="EB1349" s="885"/>
      <c r="EC1349" s="885"/>
      <c r="ED1349" s="885"/>
      <c r="EE1349" s="885"/>
      <c r="EF1349" s="885"/>
      <c r="EG1349" s="885"/>
      <c r="EH1349" s="885"/>
      <c r="EI1349" s="885"/>
      <c r="EJ1349" s="885"/>
      <c r="EK1349" s="885"/>
      <c r="EL1349" s="885"/>
      <c r="EM1349" s="885"/>
      <c r="EN1349" s="885"/>
      <c r="EO1349" s="885"/>
      <c r="EP1349" s="885"/>
      <c r="EQ1349" s="885"/>
      <c r="ER1349" s="885"/>
      <c r="ES1349" s="885"/>
      <c r="ET1349" s="885"/>
      <c r="EU1349" s="885"/>
      <c r="EV1349" s="885"/>
      <c r="EW1349" s="885"/>
      <c r="EX1349" s="885"/>
      <c r="EY1349" s="885"/>
      <c r="EZ1349" s="885"/>
      <c r="FA1349" s="885"/>
      <c r="FB1349" s="885"/>
      <c r="FC1349" s="885"/>
      <c r="FD1349" s="885"/>
      <c r="FE1349" s="885"/>
      <c r="FF1349" s="885"/>
      <c r="FG1349" s="885"/>
      <c r="FH1349" s="885"/>
      <c r="FI1349" s="885"/>
      <c r="FJ1349" s="885"/>
      <c r="FK1349" s="885"/>
      <c r="FL1349" s="885"/>
      <c r="FM1349" s="885"/>
      <c r="FN1349" s="885"/>
      <c r="FO1349" s="885"/>
      <c r="FP1349" s="885"/>
      <c r="FQ1349" s="885"/>
      <c r="FR1349" s="885"/>
      <c r="FS1349" s="885"/>
      <c r="FT1349" s="885"/>
      <c r="FU1349" s="885"/>
      <c r="FV1349" s="885"/>
      <c r="FW1349" s="885"/>
      <c r="FX1349" s="885"/>
      <c r="FY1349" s="885"/>
      <c r="FZ1349" s="885"/>
      <c r="GA1349" s="885"/>
      <c r="GB1349" s="885"/>
      <c r="GC1349" s="885"/>
      <c r="GD1349" s="885"/>
      <c r="GE1349" s="885"/>
      <c r="GF1349" s="885"/>
      <c r="GG1349" s="885"/>
      <c r="GH1349" s="885"/>
      <c r="GI1349" s="885"/>
      <c r="GJ1349" s="885"/>
      <c r="GK1349" s="885"/>
      <c r="GL1349" s="885"/>
      <c r="GM1349" s="885"/>
      <c r="GN1349" s="885"/>
      <c r="GO1349" s="885"/>
      <c r="GP1349" s="885"/>
      <c r="GQ1349" s="885"/>
      <c r="GR1349" s="885"/>
      <c r="GS1349" s="885"/>
      <c r="GT1349" s="885"/>
      <c r="GU1349" s="885"/>
      <c r="GV1349" s="885"/>
      <c r="GW1349" s="885"/>
      <c r="GX1349" s="885"/>
      <c r="GY1349" s="885"/>
      <c r="GZ1349" s="885"/>
      <c r="HA1349" s="885"/>
      <c r="HB1349" s="885"/>
      <c r="HC1349" s="885"/>
      <c r="HD1349" s="885"/>
      <c r="HE1349" s="885"/>
      <c r="HF1349" s="885"/>
      <c r="HG1349" s="885"/>
      <c r="HH1349" s="885"/>
      <c r="HI1349" s="885"/>
      <c r="HJ1349" s="885"/>
      <c r="HK1349" s="885"/>
      <c r="HL1349" s="885"/>
      <c r="HM1349" s="885"/>
      <c r="HN1349" s="885"/>
      <c r="HO1349" s="885"/>
      <c r="HP1349" s="885"/>
      <c r="HQ1349" s="885"/>
      <c r="HR1349" s="885"/>
      <c r="HS1349" s="885"/>
      <c r="HT1349" s="885"/>
      <c r="HU1349" s="885"/>
      <c r="HV1349" s="885"/>
      <c r="HW1349" s="885"/>
      <c r="HX1349" s="885"/>
      <c r="HY1349" s="885"/>
      <c r="HZ1349" s="885"/>
      <c r="IA1349" s="885"/>
      <c r="IB1349" s="885"/>
      <c r="IC1349" s="885"/>
      <c r="ID1349" s="885"/>
      <c r="IE1349" s="885"/>
      <c r="IF1349" s="885"/>
      <c r="IG1349" s="885"/>
      <c r="IH1349" s="885"/>
      <c r="II1349" s="885"/>
      <c r="IJ1349" s="885"/>
      <c r="IK1349" s="885"/>
      <c r="IL1349" s="885"/>
      <c r="IM1349" s="885"/>
      <c r="IN1349" s="885"/>
      <c r="IO1349" s="885"/>
      <c r="IP1349" s="885"/>
      <c r="IQ1349" s="885"/>
      <c r="IR1349" s="885"/>
      <c r="IS1349" s="885"/>
      <c r="IT1349" s="885"/>
      <c r="IU1349" s="885"/>
      <c r="IV1349" s="885"/>
      <c r="IW1349" s="885"/>
      <c r="IX1349" s="885"/>
    </row>
    <row r="1350" spans="1:258" x14ac:dyDescent="0.25">
      <c r="A1350" s="125">
        <f t="shared" si="152"/>
        <v>1310</v>
      </c>
      <c r="B1350" s="885"/>
      <c r="C1350" s="232" t="s">
        <v>10873</v>
      </c>
      <c r="D1350" s="915"/>
      <c r="E1350" s="915"/>
      <c r="F1350" s="129">
        <f>SUM(F1351:F1362)</f>
        <v>141501.16</v>
      </c>
      <c r="H1350" s="974"/>
      <c r="I1350" s="885"/>
      <c r="J1350" s="885"/>
      <c r="K1350" s="885"/>
      <c r="L1350" s="885"/>
      <c r="M1350" s="885"/>
      <c r="N1350" s="885"/>
      <c r="O1350" s="885"/>
      <c r="P1350" s="885"/>
      <c r="Q1350" s="885"/>
      <c r="R1350" s="885"/>
      <c r="S1350" s="885"/>
      <c r="T1350" s="885"/>
      <c r="U1350" s="885"/>
      <c r="V1350" s="885"/>
      <c r="W1350" s="885"/>
      <c r="X1350" s="885"/>
      <c r="Y1350" s="885"/>
      <c r="Z1350" s="885"/>
      <c r="AA1350" s="885"/>
      <c r="AB1350" s="885"/>
      <c r="AC1350" s="885"/>
      <c r="AD1350" s="885"/>
      <c r="AE1350" s="885"/>
      <c r="AF1350" s="885"/>
      <c r="AG1350" s="885"/>
      <c r="AH1350" s="885"/>
      <c r="AI1350" s="885"/>
      <c r="AJ1350" s="885"/>
      <c r="AK1350" s="885"/>
      <c r="AL1350" s="885"/>
      <c r="AM1350" s="885"/>
      <c r="AN1350" s="885"/>
      <c r="AO1350" s="885"/>
      <c r="AP1350" s="885"/>
      <c r="AQ1350" s="885"/>
      <c r="AR1350" s="885"/>
      <c r="AS1350" s="885"/>
      <c r="AT1350" s="885"/>
      <c r="AU1350" s="885"/>
      <c r="AV1350" s="885"/>
      <c r="AW1350" s="885"/>
      <c r="AX1350" s="885"/>
      <c r="AY1350" s="885"/>
      <c r="AZ1350" s="885"/>
      <c r="BA1350" s="885"/>
      <c r="BB1350" s="885"/>
      <c r="BC1350" s="885"/>
      <c r="BD1350" s="885"/>
      <c r="BE1350" s="885"/>
      <c r="BF1350" s="885"/>
      <c r="BG1350" s="885"/>
      <c r="BH1350" s="885"/>
      <c r="BI1350" s="885"/>
      <c r="BJ1350" s="885"/>
      <c r="BK1350" s="885"/>
      <c r="BL1350" s="885"/>
      <c r="BM1350" s="885"/>
      <c r="BN1350" s="885"/>
      <c r="BO1350" s="885"/>
      <c r="BP1350" s="885"/>
      <c r="BQ1350" s="885"/>
      <c r="BR1350" s="885"/>
      <c r="BS1350" s="885"/>
      <c r="BT1350" s="885"/>
      <c r="BU1350" s="885"/>
      <c r="BV1350" s="885"/>
      <c r="BW1350" s="885"/>
      <c r="BX1350" s="885"/>
      <c r="BY1350" s="885"/>
      <c r="BZ1350" s="885"/>
      <c r="CA1350" s="885"/>
      <c r="CB1350" s="885"/>
      <c r="CC1350" s="885"/>
      <c r="CD1350" s="885"/>
      <c r="CE1350" s="885"/>
      <c r="CF1350" s="885"/>
      <c r="CG1350" s="885"/>
      <c r="CH1350" s="885"/>
      <c r="CI1350" s="885"/>
      <c r="CJ1350" s="885"/>
      <c r="CK1350" s="885"/>
      <c r="CL1350" s="885"/>
      <c r="CM1350" s="885"/>
      <c r="CN1350" s="885"/>
      <c r="CO1350" s="885"/>
      <c r="CP1350" s="885"/>
      <c r="CQ1350" s="885"/>
      <c r="CR1350" s="885"/>
      <c r="CS1350" s="885"/>
      <c r="CT1350" s="885"/>
      <c r="CU1350" s="885"/>
      <c r="CV1350" s="885"/>
      <c r="CW1350" s="885"/>
      <c r="CX1350" s="885"/>
      <c r="CY1350" s="885"/>
      <c r="CZ1350" s="885"/>
      <c r="DA1350" s="885"/>
      <c r="DB1350" s="885"/>
      <c r="DC1350" s="885"/>
      <c r="DD1350" s="885"/>
      <c r="DE1350" s="885"/>
      <c r="DF1350" s="885"/>
      <c r="DG1350" s="885"/>
      <c r="DH1350" s="885"/>
      <c r="DI1350" s="885"/>
      <c r="DJ1350" s="885"/>
      <c r="DK1350" s="885"/>
      <c r="DL1350" s="885"/>
      <c r="DM1350" s="885"/>
      <c r="DN1350" s="885"/>
      <c r="DO1350" s="885"/>
      <c r="DP1350" s="885"/>
      <c r="DQ1350" s="885"/>
      <c r="DR1350" s="885"/>
      <c r="DS1350" s="885"/>
      <c r="DT1350" s="885"/>
      <c r="DU1350" s="885"/>
      <c r="DV1350" s="885"/>
      <c r="DW1350" s="885"/>
      <c r="DX1350" s="885"/>
      <c r="DY1350" s="885"/>
      <c r="DZ1350" s="885"/>
      <c r="EA1350" s="885"/>
      <c r="EB1350" s="885"/>
      <c r="EC1350" s="885"/>
      <c r="ED1350" s="885"/>
      <c r="EE1350" s="885"/>
      <c r="EF1350" s="885"/>
      <c r="EG1350" s="885"/>
      <c r="EH1350" s="885"/>
      <c r="EI1350" s="885"/>
      <c r="EJ1350" s="885"/>
      <c r="EK1350" s="885"/>
      <c r="EL1350" s="885"/>
      <c r="EM1350" s="885"/>
      <c r="EN1350" s="885"/>
      <c r="EO1350" s="885"/>
      <c r="EP1350" s="885"/>
      <c r="EQ1350" s="885"/>
      <c r="ER1350" s="885"/>
      <c r="ES1350" s="885"/>
      <c r="ET1350" s="885"/>
      <c r="EU1350" s="885"/>
      <c r="EV1350" s="885"/>
      <c r="EW1350" s="885"/>
      <c r="EX1350" s="885"/>
      <c r="EY1350" s="885"/>
      <c r="EZ1350" s="885"/>
      <c r="FA1350" s="885"/>
      <c r="FB1350" s="885"/>
      <c r="FC1350" s="885"/>
      <c r="FD1350" s="885"/>
      <c r="FE1350" s="885"/>
      <c r="FF1350" s="885"/>
      <c r="FG1350" s="885"/>
      <c r="FH1350" s="885"/>
      <c r="FI1350" s="885"/>
      <c r="FJ1350" s="885"/>
      <c r="FK1350" s="885"/>
      <c r="FL1350" s="885"/>
      <c r="FM1350" s="885"/>
      <c r="FN1350" s="885"/>
      <c r="FO1350" s="885"/>
      <c r="FP1350" s="885"/>
      <c r="FQ1350" s="885"/>
      <c r="FR1350" s="885"/>
      <c r="FS1350" s="885"/>
      <c r="FT1350" s="885"/>
      <c r="FU1350" s="885"/>
      <c r="FV1350" s="885"/>
      <c r="FW1350" s="885"/>
      <c r="FX1350" s="885"/>
      <c r="FY1350" s="885"/>
      <c r="FZ1350" s="885"/>
      <c r="GA1350" s="885"/>
      <c r="GB1350" s="885"/>
      <c r="GC1350" s="885"/>
      <c r="GD1350" s="885"/>
      <c r="GE1350" s="885"/>
      <c r="GF1350" s="885"/>
      <c r="GG1350" s="885"/>
      <c r="GH1350" s="885"/>
      <c r="GI1350" s="885"/>
      <c r="GJ1350" s="885"/>
      <c r="GK1350" s="885"/>
      <c r="GL1350" s="885"/>
      <c r="GM1350" s="885"/>
      <c r="GN1350" s="885"/>
      <c r="GO1350" s="885"/>
      <c r="GP1350" s="885"/>
      <c r="GQ1350" s="885"/>
      <c r="GR1350" s="885"/>
      <c r="GS1350" s="885"/>
      <c r="GT1350" s="885"/>
      <c r="GU1350" s="885"/>
      <c r="GV1350" s="885"/>
      <c r="GW1350" s="885"/>
      <c r="GX1350" s="885"/>
      <c r="GY1350" s="885"/>
      <c r="GZ1350" s="885"/>
      <c r="HA1350" s="885"/>
      <c r="HB1350" s="885"/>
      <c r="HC1350" s="885"/>
      <c r="HD1350" s="885"/>
      <c r="HE1350" s="885"/>
      <c r="HF1350" s="885"/>
      <c r="HG1350" s="885"/>
      <c r="HH1350" s="885"/>
      <c r="HI1350" s="885"/>
      <c r="HJ1350" s="885"/>
      <c r="HK1350" s="885"/>
      <c r="HL1350" s="885"/>
      <c r="HM1350" s="885"/>
      <c r="HN1350" s="885"/>
      <c r="HO1350" s="885"/>
      <c r="HP1350" s="885"/>
      <c r="HQ1350" s="885"/>
      <c r="HR1350" s="885"/>
      <c r="HS1350" s="885"/>
      <c r="HT1350" s="885"/>
      <c r="HU1350" s="885"/>
      <c r="HV1350" s="885"/>
      <c r="HW1350" s="885"/>
      <c r="HX1350" s="885"/>
      <c r="HY1350" s="885"/>
      <c r="HZ1350" s="885"/>
      <c r="IA1350" s="885"/>
      <c r="IB1350" s="885"/>
      <c r="IC1350" s="885"/>
      <c r="ID1350" s="885"/>
      <c r="IE1350" s="885"/>
      <c r="IF1350" s="885"/>
      <c r="IG1350" s="885"/>
      <c r="IH1350" s="885"/>
      <c r="II1350" s="885"/>
      <c r="IJ1350" s="885"/>
      <c r="IK1350" s="885"/>
      <c r="IL1350" s="885"/>
      <c r="IM1350" s="885"/>
      <c r="IN1350" s="885"/>
      <c r="IO1350" s="885"/>
      <c r="IP1350" s="885"/>
      <c r="IQ1350" s="885"/>
      <c r="IR1350" s="885"/>
      <c r="IS1350" s="885"/>
      <c r="IT1350" s="885"/>
      <c r="IU1350" s="885"/>
      <c r="IV1350" s="885"/>
      <c r="IW1350" s="885"/>
      <c r="IX1350" s="885"/>
    </row>
    <row r="1351" spans="1:258" x14ac:dyDescent="0.25">
      <c r="A1351" s="125">
        <f t="shared" si="152"/>
        <v>1311</v>
      </c>
      <c r="B1351" s="885"/>
      <c r="C1351" s="842" t="s">
        <v>10874</v>
      </c>
      <c r="D1351" s="924">
        <v>0</v>
      </c>
      <c r="E1351" s="924">
        <f t="shared" ref="E1351:E1362" si="158">D1351/8*12</f>
        <v>0</v>
      </c>
      <c r="F1351" s="129">
        <v>2000</v>
      </c>
      <c r="G1351" s="122" t="s">
        <v>1963</v>
      </c>
      <c r="H1351" s="885"/>
      <c r="I1351" s="885"/>
      <c r="J1351" s="885"/>
      <c r="K1351" s="885"/>
      <c r="L1351" s="885"/>
      <c r="M1351" s="885"/>
      <c r="N1351" s="885"/>
      <c r="O1351" s="885"/>
      <c r="P1351" s="885"/>
      <c r="Q1351" s="885"/>
      <c r="R1351" s="885"/>
      <c r="S1351" s="885"/>
      <c r="T1351" s="885"/>
      <c r="U1351" s="885"/>
      <c r="V1351" s="885"/>
      <c r="W1351" s="885"/>
      <c r="X1351" s="885"/>
      <c r="Y1351" s="885"/>
      <c r="Z1351" s="885"/>
      <c r="AA1351" s="885"/>
      <c r="AB1351" s="885"/>
      <c r="AC1351" s="885"/>
      <c r="AD1351" s="885"/>
      <c r="AE1351" s="885"/>
      <c r="AF1351" s="885"/>
      <c r="AG1351" s="885"/>
      <c r="AH1351" s="885"/>
      <c r="AI1351" s="885"/>
      <c r="AJ1351" s="885"/>
      <c r="AK1351" s="885"/>
      <c r="AL1351" s="885"/>
      <c r="AM1351" s="885"/>
      <c r="AN1351" s="885"/>
      <c r="AO1351" s="885"/>
      <c r="AP1351" s="885"/>
      <c r="AQ1351" s="885"/>
      <c r="AR1351" s="885"/>
      <c r="AS1351" s="885"/>
      <c r="AT1351" s="885"/>
      <c r="AU1351" s="885"/>
      <c r="AV1351" s="885"/>
      <c r="AW1351" s="885"/>
      <c r="AX1351" s="885"/>
      <c r="AY1351" s="885"/>
      <c r="AZ1351" s="885"/>
      <c r="BA1351" s="885"/>
      <c r="BB1351" s="885"/>
      <c r="BC1351" s="885"/>
      <c r="BD1351" s="885"/>
      <c r="BE1351" s="885"/>
      <c r="BF1351" s="885"/>
      <c r="BG1351" s="885"/>
      <c r="BH1351" s="885"/>
      <c r="BI1351" s="885"/>
      <c r="BJ1351" s="885"/>
      <c r="BK1351" s="885"/>
      <c r="BL1351" s="885"/>
      <c r="BM1351" s="885"/>
      <c r="BN1351" s="885"/>
      <c r="BO1351" s="885"/>
      <c r="BP1351" s="885"/>
      <c r="BQ1351" s="885"/>
      <c r="BR1351" s="885"/>
      <c r="BS1351" s="885"/>
      <c r="BT1351" s="885"/>
      <c r="BU1351" s="885"/>
      <c r="BV1351" s="885"/>
      <c r="BW1351" s="885"/>
      <c r="BX1351" s="885"/>
      <c r="BY1351" s="885"/>
      <c r="BZ1351" s="885"/>
      <c r="CA1351" s="885"/>
      <c r="CB1351" s="885"/>
      <c r="CC1351" s="885"/>
      <c r="CD1351" s="885"/>
      <c r="CE1351" s="885"/>
      <c r="CF1351" s="885"/>
      <c r="CG1351" s="885"/>
      <c r="CH1351" s="885"/>
      <c r="CI1351" s="885"/>
      <c r="CJ1351" s="885"/>
      <c r="CK1351" s="885"/>
      <c r="CL1351" s="885"/>
      <c r="CM1351" s="885"/>
      <c r="CN1351" s="885"/>
      <c r="CO1351" s="885"/>
      <c r="CP1351" s="885"/>
      <c r="CQ1351" s="885"/>
      <c r="CR1351" s="885"/>
      <c r="CS1351" s="885"/>
      <c r="CT1351" s="885"/>
      <c r="CU1351" s="885"/>
      <c r="CV1351" s="885"/>
      <c r="CW1351" s="885"/>
      <c r="CX1351" s="885"/>
      <c r="CY1351" s="885"/>
      <c r="CZ1351" s="885"/>
      <c r="DA1351" s="885"/>
      <c r="DB1351" s="885"/>
      <c r="DC1351" s="885"/>
      <c r="DD1351" s="885"/>
      <c r="DE1351" s="885"/>
      <c r="DF1351" s="885"/>
      <c r="DG1351" s="885"/>
      <c r="DH1351" s="885"/>
      <c r="DI1351" s="885"/>
      <c r="DJ1351" s="885"/>
      <c r="DK1351" s="885"/>
      <c r="DL1351" s="885"/>
      <c r="DM1351" s="885"/>
      <c r="DN1351" s="885"/>
      <c r="DO1351" s="885"/>
      <c r="DP1351" s="885"/>
      <c r="DQ1351" s="885"/>
      <c r="DR1351" s="885"/>
      <c r="DS1351" s="885"/>
      <c r="DT1351" s="885"/>
      <c r="DU1351" s="885"/>
      <c r="DV1351" s="885"/>
      <c r="DW1351" s="885"/>
      <c r="DX1351" s="885"/>
      <c r="DY1351" s="885"/>
      <c r="DZ1351" s="885"/>
      <c r="EA1351" s="885"/>
      <c r="EB1351" s="885"/>
      <c r="EC1351" s="885"/>
      <c r="ED1351" s="885"/>
      <c r="EE1351" s="885"/>
      <c r="EF1351" s="885"/>
      <c r="EG1351" s="885"/>
      <c r="EH1351" s="885"/>
      <c r="EI1351" s="885"/>
      <c r="EJ1351" s="885"/>
      <c r="EK1351" s="885"/>
      <c r="EL1351" s="885"/>
      <c r="EM1351" s="885"/>
      <c r="EN1351" s="885"/>
      <c r="EO1351" s="885"/>
      <c r="EP1351" s="885"/>
      <c r="EQ1351" s="885"/>
      <c r="ER1351" s="885"/>
      <c r="ES1351" s="885"/>
      <c r="ET1351" s="885"/>
      <c r="EU1351" s="885"/>
      <c r="EV1351" s="885"/>
      <c r="EW1351" s="885"/>
      <c r="EX1351" s="885"/>
      <c r="EY1351" s="885"/>
      <c r="EZ1351" s="885"/>
      <c r="FA1351" s="885"/>
      <c r="FB1351" s="885"/>
      <c r="FC1351" s="885"/>
      <c r="FD1351" s="885"/>
      <c r="FE1351" s="885"/>
      <c r="FF1351" s="885"/>
      <c r="FG1351" s="885"/>
      <c r="FH1351" s="885"/>
      <c r="FI1351" s="885"/>
      <c r="FJ1351" s="885"/>
      <c r="FK1351" s="885"/>
      <c r="FL1351" s="885"/>
      <c r="FM1351" s="885"/>
      <c r="FN1351" s="885"/>
      <c r="FO1351" s="885"/>
      <c r="FP1351" s="885"/>
      <c r="FQ1351" s="885"/>
      <c r="FR1351" s="885"/>
      <c r="FS1351" s="885"/>
      <c r="FT1351" s="885"/>
      <c r="FU1351" s="885"/>
      <c r="FV1351" s="885"/>
      <c r="FW1351" s="885"/>
      <c r="FX1351" s="885"/>
      <c r="FY1351" s="885"/>
      <c r="FZ1351" s="885"/>
      <c r="GA1351" s="885"/>
      <c r="GB1351" s="885"/>
      <c r="GC1351" s="885"/>
      <c r="GD1351" s="885"/>
      <c r="GE1351" s="885"/>
      <c r="GF1351" s="885"/>
      <c r="GG1351" s="885"/>
      <c r="GH1351" s="885"/>
      <c r="GI1351" s="885"/>
      <c r="GJ1351" s="885"/>
      <c r="GK1351" s="885"/>
      <c r="GL1351" s="885"/>
      <c r="GM1351" s="885"/>
      <c r="GN1351" s="885"/>
      <c r="GO1351" s="885"/>
      <c r="GP1351" s="885"/>
      <c r="GQ1351" s="885"/>
      <c r="GR1351" s="885"/>
      <c r="GS1351" s="885"/>
      <c r="GT1351" s="885"/>
      <c r="GU1351" s="885"/>
      <c r="GV1351" s="885"/>
      <c r="GW1351" s="885"/>
      <c r="GX1351" s="885"/>
      <c r="GY1351" s="885"/>
      <c r="GZ1351" s="885"/>
      <c r="HA1351" s="885"/>
      <c r="HB1351" s="885"/>
      <c r="HC1351" s="885"/>
      <c r="HD1351" s="885"/>
      <c r="HE1351" s="885"/>
      <c r="HF1351" s="885"/>
      <c r="HG1351" s="885"/>
      <c r="HH1351" s="885"/>
      <c r="HI1351" s="885"/>
      <c r="HJ1351" s="885"/>
      <c r="HK1351" s="885"/>
      <c r="HL1351" s="885"/>
      <c r="HM1351" s="885"/>
      <c r="HN1351" s="885"/>
      <c r="HO1351" s="885"/>
      <c r="HP1351" s="885"/>
      <c r="HQ1351" s="885"/>
      <c r="HR1351" s="885"/>
      <c r="HS1351" s="885"/>
      <c r="HT1351" s="885"/>
      <c r="HU1351" s="885"/>
      <c r="HV1351" s="885"/>
      <c r="HW1351" s="885"/>
      <c r="HX1351" s="885"/>
      <c r="HY1351" s="885"/>
      <c r="HZ1351" s="885"/>
      <c r="IA1351" s="885"/>
      <c r="IB1351" s="885"/>
      <c r="IC1351" s="885"/>
      <c r="ID1351" s="885"/>
      <c r="IE1351" s="885"/>
      <c r="IF1351" s="885"/>
      <c r="IG1351" s="885"/>
      <c r="IH1351" s="885"/>
      <c r="II1351" s="885"/>
      <c r="IJ1351" s="885"/>
      <c r="IK1351" s="885"/>
      <c r="IL1351" s="885"/>
      <c r="IM1351" s="885"/>
      <c r="IN1351" s="885"/>
      <c r="IO1351" s="885"/>
      <c r="IP1351" s="885"/>
      <c r="IQ1351" s="885"/>
      <c r="IR1351" s="885"/>
      <c r="IS1351" s="885"/>
      <c r="IT1351" s="885"/>
      <c r="IU1351" s="885"/>
      <c r="IV1351" s="885"/>
      <c r="IW1351" s="885"/>
      <c r="IX1351" s="885"/>
    </row>
    <row r="1352" spans="1:258" x14ac:dyDescent="0.25">
      <c r="A1352" s="125">
        <f t="shared" si="152"/>
        <v>1312</v>
      </c>
      <c r="B1352" s="885"/>
      <c r="C1352" s="842" t="s">
        <v>10875</v>
      </c>
      <c r="D1352" s="924">
        <v>11477.07</v>
      </c>
      <c r="E1352" s="924">
        <f t="shared" ref="E1352:E1361" si="159">D1352</f>
        <v>11477.07</v>
      </c>
      <c r="F1352" s="129">
        <v>15000</v>
      </c>
      <c r="G1352" s="122" t="s">
        <v>1963</v>
      </c>
      <c r="H1352" s="885"/>
      <c r="I1352" s="885"/>
      <c r="J1352" s="885"/>
      <c r="K1352" s="885"/>
      <c r="L1352" s="885"/>
      <c r="M1352" s="885"/>
      <c r="N1352" s="885"/>
      <c r="O1352" s="885"/>
      <c r="P1352" s="885"/>
      <c r="Q1352" s="885"/>
      <c r="R1352" s="885"/>
      <c r="S1352" s="885"/>
      <c r="T1352" s="885"/>
      <c r="U1352" s="885"/>
      <c r="V1352" s="885"/>
      <c r="W1352" s="885"/>
      <c r="X1352" s="885"/>
      <c r="Y1352" s="885"/>
      <c r="Z1352" s="885"/>
      <c r="AA1352" s="885"/>
      <c r="AB1352" s="885"/>
      <c r="AC1352" s="885"/>
      <c r="AD1352" s="885"/>
      <c r="AE1352" s="885"/>
      <c r="AF1352" s="885"/>
      <c r="AG1352" s="885"/>
      <c r="AH1352" s="885"/>
      <c r="AI1352" s="885"/>
      <c r="AJ1352" s="885"/>
      <c r="AK1352" s="885"/>
      <c r="AL1352" s="885"/>
      <c r="AM1352" s="885"/>
      <c r="AN1352" s="885"/>
      <c r="AO1352" s="885"/>
      <c r="AP1352" s="885"/>
      <c r="AQ1352" s="885"/>
      <c r="AR1352" s="885"/>
      <c r="AS1352" s="885"/>
      <c r="AT1352" s="885"/>
      <c r="AU1352" s="885"/>
      <c r="AV1352" s="885"/>
      <c r="AW1352" s="885"/>
      <c r="AX1352" s="885"/>
      <c r="AY1352" s="885"/>
      <c r="AZ1352" s="885"/>
      <c r="BA1352" s="885"/>
      <c r="BB1352" s="885"/>
      <c r="BC1352" s="885"/>
      <c r="BD1352" s="885"/>
      <c r="BE1352" s="885"/>
      <c r="BF1352" s="885"/>
      <c r="BG1352" s="885"/>
      <c r="BH1352" s="885"/>
      <c r="BI1352" s="885"/>
      <c r="BJ1352" s="885"/>
      <c r="BK1352" s="885"/>
      <c r="BL1352" s="885"/>
      <c r="BM1352" s="885"/>
      <c r="BN1352" s="885"/>
      <c r="BO1352" s="885"/>
      <c r="BP1352" s="885"/>
      <c r="BQ1352" s="885"/>
      <c r="BR1352" s="885"/>
      <c r="BS1352" s="885"/>
      <c r="BT1352" s="885"/>
      <c r="BU1352" s="885"/>
      <c r="BV1352" s="885"/>
      <c r="BW1352" s="885"/>
      <c r="BX1352" s="885"/>
      <c r="BY1352" s="885"/>
      <c r="BZ1352" s="885"/>
      <c r="CA1352" s="885"/>
      <c r="CB1352" s="885"/>
      <c r="CC1352" s="885"/>
      <c r="CD1352" s="885"/>
      <c r="CE1352" s="885"/>
      <c r="CF1352" s="885"/>
      <c r="CG1352" s="885"/>
      <c r="CH1352" s="885"/>
      <c r="CI1352" s="885"/>
      <c r="CJ1352" s="885"/>
      <c r="CK1352" s="885"/>
      <c r="CL1352" s="885"/>
      <c r="CM1352" s="885"/>
      <c r="CN1352" s="885"/>
      <c r="CO1352" s="885"/>
      <c r="CP1352" s="885"/>
      <c r="CQ1352" s="885"/>
      <c r="CR1352" s="885"/>
      <c r="CS1352" s="885"/>
      <c r="CT1352" s="885"/>
      <c r="CU1352" s="885"/>
      <c r="CV1352" s="885"/>
      <c r="CW1352" s="885"/>
      <c r="CX1352" s="885"/>
      <c r="CY1352" s="885"/>
      <c r="CZ1352" s="885"/>
      <c r="DA1352" s="885"/>
      <c r="DB1352" s="885"/>
      <c r="DC1352" s="885"/>
      <c r="DD1352" s="885"/>
      <c r="DE1352" s="885"/>
      <c r="DF1352" s="885"/>
      <c r="DG1352" s="885"/>
      <c r="DH1352" s="885"/>
      <c r="DI1352" s="885"/>
      <c r="DJ1352" s="885"/>
      <c r="DK1352" s="885"/>
      <c r="DL1352" s="885"/>
      <c r="DM1352" s="885"/>
      <c r="DN1352" s="885"/>
      <c r="DO1352" s="885"/>
      <c r="DP1352" s="885"/>
      <c r="DQ1352" s="885"/>
      <c r="DR1352" s="885"/>
      <c r="DS1352" s="885"/>
      <c r="DT1352" s="885"/>
      <c r="DU1352" s="885"/>
      <c r="DV1352" s="885"/>
      <c r="DW1352" s="885"/>
      <c r="DX1352" s="885"/>
      <c r="DY1352" s="885"/>
      <c r="DZ1352" s="885"/>
      <c r="EA1352" s="885"/>
      <c r="EB1352" s="885"/>
      <c r="EC1352" s="885"/>
      <c r="ED1352" s="885"/>
      <c r="EE1352" s="885"/>
      <c r="EF1352" s="885"/>
      <c r="EG1352" s="885"/>
      <c r="EH1352" s="885"/>
      <c r="EI1352" s="885"/>
      <c r="EJ1352" s="885"/>
      <c r="EK1352" s="885"/>
      <c r="EL1352" s="885"/>
      <c r="EM1352" s="885"/>
      <c r="EN1352" s="885"/>
      <c r="EO1352" s="885"/>
      <c r="EP1352" s="885"/>
      <c r="EQ1352" s="885"/>
      <c r="ER1352" s="885"/>
      <c r="ES1352" s="885"/>
      <c r="ET1352" s="885"/>
      <c r="EU1352" s="885"/>
      <c r="EV1352" s="885"/>
      <c r="EW1352" s="885"/>
      <c r="EX1352" s="885"/>
      <c r="EY1352" s="885"/>
      <c r="EZ1352" s="885"/>
      <c r="FA1352" s="885"/>
      <c r="FB1352" s="885"/>
      <c r="FC1352" s="885"/>
      <c r="FD1352" s="885"/>
      <c r="FE1352" s="885"/>
      <c r="FF1352" s="885"/>
      <c r="FG1352" s="885"/>
      <c r="FH1352" s="885"/>
      <c r="FI1352" s="885"/>
      <c r="FJ1352" s="885"/>
      <c r="FK1352" s="885"/>
      <c r="FL1352" s="885"/>
      <c r="FM1352" s="885"/>
      <c r="FN1352" s="885"/>
      <c r="FO1352" s="885"/>
      <c r="FP1352" s="885"/>
      <c r="FQ1352" s="885"/>
      <c r="FR1352" s="885"/>
      <c r="FS1352" s="885"/>
      <c r="FT1352" s="885"/>
      <c r="FU1352" s="885"/>
      <c r="FV1352" s="885"/>
      <c r="FW1352" s="885"/>
      <c r="FX1352" s="885"/>
      <c r="FY1352" s="885"/>
      <c r="FZ1352" s="885"/>
      <c r="GA1352" s="885"/>
      <c r="GB1352" s="885"/>
      <c r="GC1352" s="885"/>
      <c r="GD1352" s="885"/>
      <c r="GE1352" s="885"/>
      <c r="GF1352" s="885"/>
      <c r="GG1352" s="885"/>
      <c r="GH1352" s="885"/>
      <c r="GI1352" s="885"/>
      <c r="GJ1352" s="885"/>
      <c r="GK1352" s="885"/>
      <c r="GL1352" s="885"/>
      <c r="GM1352" s="885"/>
      <c r="GN1352" s="885"/>
      <c r="GO1352" s="885"/>
      <c r="GP1352" s="885"/>
      <c r="GQ1352" s="885"/>
      <c r="GR1352" s="885"/>
      <c r="GS1352" s="885"/>
      <c r="GT1352" s="885"/>
      <c r="GU1352" s="885"/>
      <c r="GV1352" s="885"/>
      <c r="GW1352" s="885"/>
      <c r="GX1352" s="885"/>
      <c r="GY1352" s="885"/>
      <c r="GZ1352" s="885"/>
      <c r="HA1352" s="885"/>
      <c r="HB1352" s="885"/>
      <c r="HC1352" s="885"/>
      <c r="HD1352" s="885"/>
      <c r="HE1352" s="885"/>
      <c r="HF1352" s="885"/>
      <c r="HG1352" s="885"/>
      <c r="HH1352" s="885"/>
      <c r="HI1352" s="885"/>
      <c r="HJ1352" s="885"/>
      <c r="HK1352" s="885"/>
      <c r="HL1352" s="885"/>
      <c r="HM1352" s="885"/>
      <c r="HN1352" s="885"/>
      <c r="HO1352" s="885"/>
      <c r="HP1352" s="885"/>
      <c r="HQ1352" s="885"/>
      <c r="HR1352" s="885"/>
      <c r="HS1352" s="885"/>
      <c r="HT1352" s="885"/>
      <c r="HU1352" s="885"/>
      <c r="HV1352" s="885"/>
      <c r="HW1352" s="885"/>
      <c r="HX1352" s="885"/>
      <c r="HY1352" s="885"/>
      <c r="HZ1352" s="885"/>
      <c r="IA1352" s="885"/>
      <c r="IB1352" s="885"/>
      <c r="IC1352" s="885"/>
      <c r="ID1352" s="885"/>
      <c r="IE1352" s="885"/>
      <c r="IF1352" s="885"/>
      <c r="IG1352" s="885"/>
      <c r="IH1352" s="885"/>
      <c r="II1352" s="885"/>
      <c r="IJ1352" s="885"/>
      <c r="IK1352" s="885"/>
      <c r="IL1352" s="885"/>
      <c r="IM1352" s="885"/>
      <c r="IN1352" s="885"/>
      <c r="IO1352" s="885"/>
      <c r="IP1352" s="885"/>
      <c r="IQ1352" s="885"/>
      <c r="IR1352" s="885"/>
      <c r="IS1352" s="885"/>
      <c r="IT1352" s="885"/>
      <c r="IU1352" s="885"/>
      <c r="IV1352" s="885"/>
      <c r="IW1352" s="885"/>
      <c r="IX1352" s="885"/>
    </row>
    <row r="1353" spans="1:258" x14ac:dyDescent="0.25">
      <c r="A1353" s="125">
        <f t="shared" si="152"/>
        <v>1313</v>
      </c>
      <c r="B1353" s="991"/>
      <c r="C1353" s="842" t="s">
        <v>11594</v>
      </c>
      <c r="D1353" s="924">
        <v>5700</v>
      </c>
      <c r="E1353" s="924">
        <f t="shared" si="159"/>
        <v>5700</v>
      </c>
      <c r="F1353" s="129">
        <v>6000</v>
      </c>
      <c r="H1353" s="991"/>
      <c r="I1353" s="991"/>
      <c r="J1353" s="991"/>
      <c r="K1353" s="991"/>
      <c r="L1353" s="991"/>
      <c r="M1353" s="991"/>
      <c r="N1353" s="991"/>
      <c r="O1353" s="991"/>
      <c r="P1353" s="991"/>
      <c r="Q1353" s="991"/>
      <c r="R1353" s="991"/>
      <c r="S1353" s="991"/>
      <c r="T1353" s="991"/>
      <c r="U1353" s="991"/>
      <c r="V1353" s="991"/>
      <c r="W1353" s="991"/>
      <c r="X1353" s="991"/>
      <c r="Y1353" s="991"/>
      <c r="Z1353" s="991"/>
      <c r="AA1353" s="991"/>
      <c r="AB1353" s="991"/>
      <c r="AC1353" s="991"/>
      <c r="AD1353" s="991"/>
      <c r="AE1353" s="991"/>
      <c r="AF1353" s="991"/>
      <c r="AG1353" s="991"/>
      <c r="AH1353" s="991"/>
      <c r="AI1353" s="991"/>
      <c r="AJ1353" s="991"/>
      <c r="AK1353" s="991"/>
      <c r="AL1353" s="991"/>
      <c r="AM1353" s="991"/>
      <c r="AN1353" s="991"/>
      <c r="AO1353" s="991"/>
      <c r="AP1353" s="991"/>
      <c r="AQ1353" s="991"/>
      <c r="AR1353" s="991"/>
      <c r="AS1353" s="991"/>
      <c r="AT1353" s="991"/>
      <c r="AU1353" s="991"/>
      <c r="AV1353" s="991"/>
      <c r="AW1353" s="991"/>
      <c r="AX1353" s="991"/>
      <c r="AY1353" s="991"/>
      <c r="AZ1353" s="991"/>
      <c r="BA1353" s="991"/>
      <c r="BB1353" s="991"/>
      <c r="BC1353" s="991"/>
      <c r="BD1353" s="991"/>
      <c r="BE1353" s="991"/>
      <c r="BF1353" s="991"/>
      <c r="BG1353" s="991"/>
      <c r="BH1353" s="991"/>
      <c r="BI1353" s="991"/>
      <c r="BJ1353" s="991"/>
      <c r="BK1353" s="991"/>
      <c r="BL1353" s="991"/>
      <c r="BM1353" s="991"/>
      <c r="BN1353" s="991"/>
      <c r="BO1353" s="991"/>
      <c r="BP1353" s="991"/>
      <c r="BQ1353" s="991"/>
      <c r="BR1353" s="991"/>
      <c r="BS1353" s="991"/>
      <c r="BT1353" s="991"/>
      <c r="BU1353" s="991"/>
      <c r="BV1353" s="991"/>
      <c r="BW1353" s="991"/>
      <c r="BX1353" s="991"/>
      <c r="BY1353" s="991"/>
      <c r="BZ1353" s="991"/>
      <c r="CA1353" s="991"/>
      <c r="CB1353" s="991"/>
      <c r="CC1353" s="991"/>
      <c r="CD1353" s="991"/>
      <c r="CE1353" s="991"/>
      <c r="CF1353" s="991"/>
      <c r="CG1353" s="991"/>
      <c r="CH1353" s="991"/>
      <c r="CI1353" s="991"/>
      <c r="CJ1353" s="991"/>
      <c r="CK1353" s="991"/>
      <c r="CL1353" s="991"/>
      <c r="CM1353" s="991"/>
      <c r="CN1353" s="991"/>
      <c r="CO1353" s="991"/>
      <c r="CP1353" s="991"/>
      <c r="CQ1353" s="991"/>
      <c r="CR1353" s="991"/>
      <c r="CS1353" s="991"/>
      <c r="CT1353" s="991"/>
      <c r="CU1353" s="991"/>
      <c r="CV1353" s="991"/>
      <c r="CW1353" s="991"/>
      <c r="CX1353" s="991"/>
      <c r="CY1353" s="991"/>
      <c r="CZ1353" s="991"/>
      <c r="DA1353" s="991"/>
      <c r="DB1353" s="991"/>
      <c r="DC1353" s="991"/>
      <c r="DD1353" s="991"/>
      <c r="DE1353" s="991"/>
      <c r="DF1353" s="991"/>
      <c r="DG1353" s="991"/>
      <c r="DH1353" s="991"/>
      <c r="DI1353" s="991"/>
      <c r="DJ1353" s="991"/>
      <c r="DK1353" s="991"/>
      <c r="DL1353" s="991"/>
      <c r="DM1353" s="991"/>
      <c r="DN1353" s="991"/>
      <c r="DO1353" s="991"/>
      <c r="DP1353" s="991"/>
      <c r="DQ1353" s="991"/>
      <c r="DR1353" s="991"/>
      <c r="DS1353" s="991"/>
      <c r="DT1353" s="991"/>
      <c r="DU1353" s="991"/>
      <c r="DV1353" s="991"/>
      <c r="DW1353" s="991"/>
      <c r="DX1353" s="991"/>
      <c r="DY1353" s="991"/>
      <c r="DZ1353" s="991"/>
      <c r="EA1353" s="991"/>
      <c r="EB1353" s="991"/>
      <c r="EC1353" s="991"/>
      <c r="ED1353" s="991"/>
      <c r="EE1353" s="991"/>
      <c r="EF1353" s="991"/>
      <c r="EG1353" s="991"/>
      <c r="EH1353" s="991"/>
      <c r="EI1353" s="991"/>
      <c r="EJ1353" s="991"/>
      <c r="EK1353" s="991"/>
      <c r="EL1353" s="991"/>
      <c r="EM1353" s="991"/>
      <c r="EN1353" s="991"/>
      <c r="EO1353" s="991"/>
      <c r="EP1353" s="991"/>
      <c r="EQ1353" s="991"/>
      <c r="ER1353" s="991"/>
      <c r="ES1353" s="991"/>
      <c r="ET1353" s="991"/>
      <c r="EU1353" s="991"/>
      <c r="EV1353" s="991"/>
      <c r="EW1353" s="991"/>
      <c r="EX1353" s="991"/>
      <c r="EY1353" s="991"/>
      <c r="EZ1353" s="991"/>
      <c r="FA1353" s="991"/>
      <c r="FB1353" s="991"/>
      <c r="FC1353" s="991"/>
      <c r="FD1353" s="991"/>
      <c r="FE1353" s="991"/>
      <c r="FF1353" s="991"/>
      <c r="FG1353" s="991"/>
      <c r="FH1353" s="991"/>
      <c r="FI1353" s="991"/>
      <c r="FJ1353" s="991"/>
      <c r="FK1353" s="991"/>
      <c r="FL1353" s="991"/>
      <c r="FM1353" s="991"/>
      <c r="FN1353" s="991"/>
      <c r="FO1353" s="991"/>
      <c r="FP1353" s="991"/>
      <c r="FQ1353" s="991"/>
      <c r="FR1353" s="991"/>
      <c r="FS1353" s="991"/>
      <c r="FT1353" s="991"/>
      <c r="FU1353" s="991"/>
      <c r="FV1353" s="991"/>
      <c r="FW1353" s="991"/>
      <c r="FX1353" s="991"/>
      <c r="FY1353" s="991"/>
      <c r="FZ1353" s="991"/>
      <c r="GA1353" s="991"/>
      <c r="GB1353" s="991"/>
      <c r="GC1353" s="991"/>
      <c r="GD1353" s="991"/>
      <c r="GE1353" s="991"/>
      <c r="GF1353" s="991"/>
      <c r="GG1353" s="991"/>
      <c r="GH1353" s="991"/>
      <c r="GI1353" s="991"/>
      <c r="GJ1353" s="991"/>
      <c r="GK1353" s="991"/>
      <c r="GL1353" s="991"/>
      <c r="GM1353" s="991"/>
      <c r="GN1353" s="991"/>
      <c r="GO1353" s="991"/>
      <c r="GP1353" s="991"/>
      <c r="GQ1353" s="991"/>
      <c r="GR1353" s="991"/>
      <c r="GS1353" s="991"/>
      <c r="GT1353" s="991"/>
      <c r="GU1353" s="991"/>
      <c r="GV1353" s="991"/>
      <c r="GW1353" s="991"/>
      <c r="GX1353" s="991"/>
      <c r="GY1353" s="991"/>
      <c r="GZ1353" s="991"/>
      <c r="HA1353" s="991"/>
      <c r="HB1353" s="991"/>
      <c r="HC1353" s="991"/>
      <c r="HD1353" s="991"/>
      <c r="HE1353" s="991"/>
      <c r="HF1353" s="991"/>
      <c r="HG1353" s="991"/>
      <c r="HH1353" s="991"/>
      <c r="HI1353" s="991"/>
      <c r="HJ1353" s="991"/>
      <c r="HK1353" s="991"/>
      <c r="HL1353" s="991"/>
      <c r="HM1353" s="991"/>
      <c r="HN1353" s="991"/>
      <c r="HO1353" s="991"/>
      <c r="HP1353" s="991"/>
      <c r="HQ1353" s="991"/>
      <c r="HR1353" s="991"/>
      <c r="HS1353" s="991"/>
      <c r="HT1353" s="991"/>
      <c r="HU1353" s="991"/>
      <c r="HV1353" s="991"/>
      <c r="HW1353" s="991"/>
      <c r="HX1353" s="991"/>
      <c r="HY1353" s="991"/>
      <c r="HZ1353" s="991"/>
      <c r="IA1353" s="991"/>
      <c r="IB1353" s="991"/>
      <c r="IC1353" s="991"/>
      <c r="ID1353" s="991"/>
      <c r="IE1353" s="991"/>
      <c r="IF1353" s="991"/>
      <c r="IG1353" s="991"/>
      <c r="IH1353" s="991"/>
      <c r="II1353" s="991"/>
      <c r="IJ1353" s="991"/>
      <c r="IK1353" s="991"/>
      <c r="IL1353" s="991"/>
      <c r="IM1353" s="991"/>
      <c r="IN1353" s="991"/>
      <c r="IO1353" s="991"/>
      <c r="IP1353" s="991"/>
      <c r="IQ1353" s="991"/>
      <c r="IR1353" s="991"/>
      <c r="IS1353" s="991"/>
      <c r="IT1353" s="991"/>
      <c r="IU1353" s="991"/>
      <c r="IV1353" s="991"/>
      <c r="IW1353" s="991"/>
      <c r="IX1353" s="991"/>
    </row>
    <row r="1354" spans="1:258" ht="16.5" customHeight="1" x14ac:dyDescent="0.25">
      <c r="A1354" s="125">
        <f t="shared" si="152"/>
        <v>1314</v>
      </c>
      <c r="B1354" s="804"/>
      <c r="C1354" s="842" t="s">
        <v>10876</v>
      </c>
      <c r="D1354" s="924">
        <v>0</v>
      </c>
      <c r="E1354" s="924">
        <f t="shared" si="159"/>
        <v>0</v>
      </c>
      <c r="F1354" s="129">
        <v>2500</v>
      </c>
      <c r="G1354" s="122" t="s">
        <v>1963</v>
      </c>
      <c r="H1354" s="885"/>
      <c r="I1354" s="885"/>
      <c r="J1354" s="885"/>
      <c r="K1354" s="885"/>
      <c r="L1354" s="885"/>
      <c r="M1354" s="885"/>
      <c r="N1354" s="885"/>
      <c r="O1354" s="885"/>
      <c r="P1354" s="885"/>
      <c r="Q1354" s="885"/>
      <c r="R1354" s="885"/>
      <c r="S1354" s="885"/>
      <c r="T1354" s="885"/>
      <c r="U1354" s="885"/>
      <c r="V1354" s="885"/>
      <c r="W1354" s="885"/>
      <c r="X1354" s="885"/>
      <c r="Y1354" s="885"/>
      <c r="Z1354" s="885"/>
      <c r="AA1354" s="885"/>
      <c r="AB1354" s="885"/>
      <c r="AC1354" s="885"/>
      <c r="AD1354" s="885"/>
      <c r="AE1354" s="885"/>
      <c r="AF1354" s="885"/>
      <c r="AG1354" s="885"/>
      <c r="AH1354" s="885"/>
      <c r="AI1354" s="885"/>
      <c r="AJ1354" s="885"/>
      <c r="AK1354" s="885"/>
      <c r="AL1354" s="885"/>
      <c r="AM1354" s="885"/>
      <c r="AN1354" s="885"/>
      <c r="AO1354" s="885"/>
      <c r="AP1354" s="885"/>
      <c r="AQ1354" s="885"/>
      <c r="AR1354" s="885"/>
      <c r="AS1354" s="885"/>
      <c r="AT1354" s="885"/>
      <c r="AU1354" s="885"/>
      <c r="AV1354" s="885"/>
      <c r="AW1354" s="885"/>
      <c r="AX1354" s="885"/>
      <c r="AY1354" s="885"/>
      <c r="AZ1354" s="885"/>
      <c r="BA1354" s="885"/>
      <c r="BB1354" s="885"/>
      <c r="BC1354" s="885"/>
      <c r="BD1354" s="885"/>
      <c r="BE1354" s="885"/>
      <c r="BF1354" s="885"/>
      <c r="BG1354" s="885"/>
      <c r="BH1354" s="885"/>
      <c r="BI1354" s="885"/>
      <c r="BJ1354" s="885"/>
      <c r="BK1354" s="885"/>
      <c r="BL1354" s="885"/>
      <c r="BM1354" s="885"/>
      <c r="BN1354" s="885"/>
      <c r="BO1354" s="885"/>
      <c r="BP1354" s="885"/>
      <c r="BQ1354" s="885"/>
      <c r="BR1354" s="885"/>
      <c r="BS1354" s="885"/>
      <c r="BT1354" s="885"/>
      <c r="BU1354" s="885"/>
      <c r="BV1354" s="885"/>
      <c r="BW1354" s="885"/>
      <c r="BX1354" s="885"/>
      <c r="BY1354" s="885"/>
      <c r="BZ1354" s="885"/>
      <c r="CA1354" s="885"/>
      <c r="CB1354" s="885"/>
      <c r="CC1354" s="885"/>
      <c r="CD1354" s="885"/>
      <c r="CE1354" s="885"/>
      <c r="CF1354" s="885"/>
      <c r="CG1354" s="885"/>
      <c r="CH1354" s="885"/>
      <c r="CI1354" s="885"/>
      <c r="CJ1354" s="885"/>
      <c r="CK1354" s="885"/>
      <c r="CL1354" s="885"/>
      <c r="CM1354" s="885"/>
      <c r="CN1354" s="885"/>
      <c r="CO1354" s="885"/>
      <c r="CP1354" s="885"/>
      <c r="CQ1354" s="885"/>
      <c r="CR1354" s="885"/>
      <c r="CS1354" s="885"/>
      <c r="CT1354" s="885"/>
      <c r="CU1354" s="885"/>
      <c r="CV1354" s="885"/>
      <c r="CW1354" s="885"/>
      <c r="CX1354" s="885"/>
      <c r="CY1354" s="885"/>
      <c r="CZ1354" s="885"/>
      <c r="DA1354" s="885"/>
      <c r="DB1354" s="885"/>
      <c r="DC1354" s="885"/>
      <c r="DD1354" s="885"/>
      <c r="DE1354" s="885"/>
      <c r="DF1354" s="885"/>
      <c r="DG1354" s="885"/>
      <c r="DH1354" s="885"/>
      <c r="DI1354" s="885"/>
      <c r="DJ1354" s="885"/>
      <c r="DK1354" s="885"/>
      <c r="DL1354" s="885"/>
      <c r="DM1354" s="885"/>
      <c r="DN1354" s="885"/>
      <c r="DO1354" s="885"/>
      <c r="DP1354" s="885"/>
      <c r="DQ1354" s="885"/>
      <c r="DR1354" s="885"/>
      <c r="DS1354" s="885"/>
      <c r="DT1354" s="885"/>
      <c r="DU1354" s="885"/>
      <c r="DV1354" s="885"/>
      <c r="DW1354" s="885"/>
      <c r="DX1354" s="885"/>
      <c r="DY1354" s="885"/>
      <c r="DZ1354" s="885"/>
      <c r="EA1354" s="885"/>
      <c r="EB1354" s="885"/>
      <c r="EC1354" s="885"/>
      <c r="ED1354" s="885"/>
      <c r="EE1354" s="885"/>
      <c r="EF1354" s="885"/>
      <c r="EG1354" s="885"/>
      <c r="EH1354" s="885"/>
      <c r="EI1354" s="885"/>
      <c r="EJ1354" s="885"/>
      <c r="EK1354" s="885"/>
      <c r="EL1354" s="885"/>
      <c r="EM1354" s="885"/>
      <c r="EN1354" s="885"/>
      <c r="EO1354" s="885"/>
      <c r="EP1354" s="885"/>
      <c r="EQ1354" s="885"/>
      <c r="ER1354" s="885"/>
      <c r="ES1354" s="885"/>
      <c r="ET1354" s="885"/>
      <c r="EU1354" s="885"/>
      <c r="EV1354" s="885"/>
      <c r="EW1354" s="885"/>
      <c r="EX1354" s="885"/>
      <c r="EY1354" s="885"/>
      <c r="EZ1354" s="885"/>
      <c r="FA1354" s="885"/>
      <c r="FB1354" s="885"/>
      <c r="FC1354" s="885"/>
      <c r="FD1354" s="885"/>
      <c r="FE1354" s="885"/>
      <c r="FF1354" s="885"/>
      <c r="FG1354" s="885"/>
      <c r="FH1354" s="885"/>
      <c r="FI1354" s="885"/>
      <c r="FJ1354" s="885"/>
      <c r="FK1354" s="885"/>
      <c r="FL1354" s="885"/>
      <c r="FM1354" s="885"/>
      <c r="FN1354" s="885"/>
      <c r="FO1354" s="885"/>
      <c r="FP1354" s="885"/>
      <c r="FQ1354" s="885"/>
      <c r="FR1354" s="885"/>
      <c r="FS1354" s="885"/>
      <c r="FT1354" s="885"/>
      <c r="FU1354" s="885"/>
      <c r="FV1354" s="885"/>
      <c r="FW1354" s="885"/>
      <c r="FX1354" s="885"/>
      <c r="FY1354" s="885"/>
      <c r="FZ1354" s="885"/>
      <c r="GA1354" s="885"/>
      <c r="GB1354" s="885"/>
      <c r="GC1354" s="885"/>
      <c r="GD1354" s="885"/>
      <c r="GE1354" s="885"/>
      <c r="GF1354" s="885"/>
      <c r="GG1354" s="885"/>
      <c r="GH1354" s="885"/>
      <c r="GI1354" s="885"/>
      <c r="GJ1354" s="885"/>
      <c r="GK1354" s="885"/>
      <c r="GL1354" s="885"/>
      <c r="GM1354" s="885"/>
      <c r="GN1354" s="885"/>
      <c r="GO1354" s="885"/>
      <c r="GP1354" s="885"/>
      <c r="GQ1354" s="885"/>
      <c r="GR1354" s="885"/>
      <c r="GS1354" s="885"/>
      <c r="GT1354" s="885"/>
      <c r="GU1354" s="885"/>
      <c r="GV1354" s="885"/>
      <c r="GW1354" s="885"/>
      <c r="GX1354" s="885"/>
      <c r="GY1354" s="885"/>
      <c r="GZ1354" s="885"/>
      <c r="HA1354" s="885"/>
      <c r="HB1354" s="885"/>
      <c r="HC1354" s="885"/>
      <c r="HD1354" s="885"/>
      <c r="HE1354" s="885"/>
      <c r="HF1354" s="885"/>
      <c r="HG1354" s="885"/>
      <c r="HH1354" s="885"/>
      <c r="HI1354" s="885"/>
      <c r="HJ1354" s="885"/>
      <c r="HK1354" s="885"/>
      <c r="HL1354" s="885"/>
      <c r="HM1354" s="885"/>
      <c r="HN1354" s="885"/>
      <c r="HO1354" s="885"/>
      <c r="HP1354" s="885"/>
      <c r="HQ1354" s="885"/>
      <c r="HR1354" s="885"/>
      <c r="HS1354" s="885"/>
      <c r="HT1354" s="885"/>
      <c r="HU1354" s="885"/>
      <c r="HV1354" s="885"/>
      <c r="HW1354" s="885"/>
      <c r="HX1354" s="885"/>
      <c r="HY1354" s="885"/>
      <c r="HZ1354" s="885"/>
      <c r="IA1354" s="885"/>
      <c r="IB1354" s="885"/>
      <c r="IC1354" s="885"/>
      <c r="ID1354" s="885"/>
      <c r="IE1354" s="885"/>
      <c r="IF1354" s="885"/>
      <c r="IG1354" s="885"/>
      <c r="IH1354" s="885"/>
      <c r="II1354" s="885"/>
      <c r="IJ1354" s="885"/>
      <c r="IK1354" s="885"/>
      <c r="IL1354" s="885"/>
      <c r="IM1354" s="885"/>
      <c r="IN1354" s="885"/>
      <c r="IO1354" s="885"/>
      <c r="IP1354" s="885"/>
      <c r="IQ1354" s="885"/>
      <c r="IR1354" s="885"/>
      <c r="IS1354" s="885"/>
      <c r="IT1354" s="885"/>
      <c r="IU1354" s="885"/>
      <c r="IV1354" s="885"/>
      <c r="IW1354" s="885"/>
      <c r="IX1354" s="885"/>
    </row>
    <row r="1355" spans="1:258" x14ac:dyDescent="0.25">
      <c r="A1355" s="125">
        <f t="shared" si="152"/>
        <v>1315</v>
      </c>
      <c r="B1355" s="885"/>
      <c r="C1355" s="842" t="s">
        <v>10877</v>
      </c>
      <c r="D1355" s="924">
        <v>0</v>
      </c>
      <c r="E1355" s="924">
        <f t="shared" si="159"/>
        <v>0</v>
      </c>
      <c r="F1355" s="129">
        <v>500</v>
      </c>
      <c r="G1355" s="122" t="s">
        <v>1963</v>
      </c>
      <c r="H1355" s="885"/>
      <c r="I1355" s="885"/>
      <c r="J1355" s="885"/>
      <c r="K1355" s="885"/>
      <c r="L1355" s="885"/>
      <c r="M1355" s="885"/>
      <c r="N1355" s="885"/>
      <c r="O1355" s="885"/>
      <c r="P1355" s="885"/>
      <c r="Q1355" s="885"/>
      <c r="R1355" s="885"/>
      <c r="S1355" s="885"/>
      <c r="T1355" s="885"/>
      <c r="U1355" s="885"/>
      <c r="V1355" s="885"/>
      <c r="W1355" s="885"/>
      <c r="X1355" s="885"/>
      <c r="Y1355" s="885"/>
      <c r="Z1355" s="885"/>
      <c r="AA1355" s="885"/>
      <c r="AB1355" s="885"/>
      <c r="AC1355" s="885"/>
      <c r="AD1355" s="885"/>
      <c r="AE1355" s="885"/>
      <c r="AF1355" s="885"/>
      <c r="AG1355" s="885"/>
      <c r="AH1355" s="885"/>
      <c r="AI1355" s="885"/>
      <c r="AJ1355" s="885"/>
      <c r="AK1355" s="885"/>
      <c r="AL1355" s="885"/>
      <c r="AM1355" s="885"/>
      <c r="AN1355" s="885"/>
      <c r="AO1355" s="885"/>
      <c r="AP1355" s="885"/>
      <c r="AQ1355" s="885"/>
      <c r="AR1355" s="885"/>
      <c r="AS1355" s="885"/>
      <c r="AT1355" s="885"/>
      <c r="AU1355" s="885"/>
      <c r="AV1355" s="885"/>
      <c r="AW1355" s="885"/>
      <c r="AX1355" s="885"/>
      <c r="AY1355" s="885"/>
      <c r="AZ1355" s="885"/>
      <c r="BA1355" s="885"/>
      <c r="BB1355" s="885"/>
      <c r="BC1355" s="885"/>
      <c r="BD1355" s="885"/>
      <c r="BE1355" s="885"/>
      <c r="BF1355" s="885"/>
      <c r="BG1355" s="885"/>
      <c r="BH1355" s="885"/>
      <c r="BI1355" s="885"/>
      <c r="BJ1355" s="885"/>
      <c r="BK1355" s="885"/>
      <c r="BL1355" s="885"/>
      <c r="BM1355" s="885"/>
      <c r="BN1355" s="885"/>
      <c r="BO1355" s="885"/>
      <c r="BP1355" s="885"/>
      <c r="BQ1355" s="885"/>
      <c r="BR1355" s="885"/>
      <c r="BS1355" s="885"/>
      <c r="BT1355" s="885"/>
      <c r="BU1355" s="885"/>
      <c r="BV1355" s="885"/>
      <c r="BW1355" s="885"/>
      <c r="BX1355" s="885"/>
      <c r="BY1355" s="885"/>
      <c r="BZ1355" s="885"/>
      <c r="CA1355" s="885"/>
      <c r="CB1355" s="885"/>
      <c r="CC1355" s="885"/>
      <c r="CD1355" s="885"/>
      <c r="CE1355" s="885"/>
      <c r="CF1355" s="885"/>
      <c r="CG1355" s="885"/>
      <c r="CH1355" s="885"/>
      <c r="CI1355" s="885"/>
      <c r="CJ1355" s="885"/>
      <c r="CK1355" s="885"/>
      <c r="CL1355" s="885"/>
      <c r="CM1355" s="885"/>
      <c r="CN1355" s="885"/>
      <c r="CO1355" s="885"/>
      <c r="CP1355" s="885"/>
      <c r="CQ1355" s="885"/>
      <c r="CR1355" s="885"/>
      <c r="CS1355" s="885"/>
      <c r="CT1355" s="885"/>
      <c r="CU1355" s="885"/>
      <c r="CV1355" s="885"/>
      <c r="CW1355" s="885"/>
      <c r="CX1355" s="885"/>
      <c r="CY1355" s="885"/>
      <c r="CZ1355" s="885"/>
      <c r="DA1355" s="885"/>
      <c r="DB1355" s="885"/>
      <c r="DC1355" s="885"/>
      <c r="DD1355" s="885"/>
      <c r="DE1355" s="885"/>
      <c r="DF1355" s="885"/>
      <c r="DG1355" s="885"/>
      <c r="DH1355" s="885"/>
      <c r="DI1355" s="885"/>
      <c r="DJ1355" s="885"/>
      <c r="DK1355" s="885"/>
      <c r="DL1355" s="885"/>
      <c r="DM1355" s="885"/>
      <c r="DN1355" s="885"/>
      <c r="DO1355" s="885"/>
      <c r="DP1355" s="885"/>
      <c r="DQ1355" s="885"/>
      <c r="DR1355" s="885"/>
      <c r="DS1355" s="885"/>
      <c r="DT1355" s="885"/>
      <c r="DU1355" s="885"/>
      <c r="DV1355" s="885"/>
      <c r="DW1355" s="885"/>
      <c r="DX1355" s="885"/>
      <c r="DY1355" s="885"/>
      <c r="DZ1355" s="885"/>
      <c r="EA1355" s="885"/>
      <c r="EB1355" s="885"/>
      <c r="EC1355" s="885"/>
      <c r="ED1355" s="885"/>
      <c r="EE1355" s="885"/>
      <c r="EF1355" s="885"/>
      <c r="EG1355" s="885"/>
      <c r="EH1355" s="885"/>
      <c r="EI1355" s="885"/>
      <c r="EJ1355" s="885"/>
      <c r="EK1355" s="885"/>
      <c r="EL1355" s="885"/>
      <c r="EM1355" s="885"/>
      <c r="EN1355" s="885"/>
      <c r="EO1355" s="885"/>
      <c r="EP1355" s="885"/>
      <c r="EQ1355" s="885"/>
      <c r="ER1355" s="885"/>
      <c r="ES1355" s="885"/>
      <c r="ET1355" s="885"/>
      <c r="EU1355" s="885"/>
      <c r="EV1355" s="885"/>
      <c r="EW1355" s="885"/>
      <c r="EX1355" s="885"/>
      <c r="EY1355" s="885"/>
      <c r="EZ1355" s="885"/>
      <c r="FA1355" s="885"/>
      <c r="FB1355" s="885"/>
      <c r="FC1355" s="885"/>
      <c r="FD1355" s="885"/>
      <c r="FE1355" s="885"/>
      <c r="FF1355" s="885"/>
      <c r="FG1355" s="885"/>
      <c r="FH1355" s="885"/>
      <c r="FI1355" s="885"/>
      <c r="FJ1355" s="885"/>
      <c r="FK1355" s="885"/>
      <c r="FL1355" s="885"/>
      <c r="FM1355" s="885"/>
      <c r="FN1355" s="885"/>
      <c r="FO1355" s="885"/>
      <c r="FP1355" s="885"/>
      <c r="FQ1355" s="885"/>
      <c r="FR1355" s="885"/>
      <c r="FS1355" s="885"/>
      <c r="FT1355" s="885"/>
      <c r="FU1355" s="885"/>
      <c r="FV1355" s="885"/>
      <c r="FW1355" s="885"/>
      <c r="FX1355" s="885"/>
      <c r="FY1355" s="885"/>
      <c r="FZ1355" s="885"/>
      <c r="GA1355" s="885"/>
      <c r="GB1355" s="885"/>
      <c r="GC1355" s="885"/>
      <c r="GD1355" s="885"/>
      <c r="GE1355" s="885"/>
      <c r="GF1355" s="885"/>
      <c r="GG1355" s="885"/>
      <c r="GH1355" s="885"/>
      <c r="GI1355" s="885"/>
      <c r="GJ1355" s="885"/>
      <c r="GK1355" s="885"/>
      <c r="GL1355" s="885"/>
      <c r="GM1355" s="885"/>
      <c r="GN1355" s="885"/>
      <c r="GO1355" s="885"/>
      <c r="GP1355" s="885"/>
      <c r="GQ1355" s="885"/>
      <c r="GR1355" s="885"/>
      <c r="GS1355" s="885"/>
      <c r="GT1355" s="885"/>
      <c r="GU1355" s="885"/>
      <c r="GV1355" s="885"/>
      <c r="GW1355" s="885"/>
      <c r="GX1355" s="885"/>
      <c r="GY1355" s="885"/>
      <c r="GZ1355" s="885"/>
      <c r="HA1355" s="885"/>
      <c r="HB1355" s="885"/>
      <c r="HC1355" s="885"/>
      <c r="HD1355" s="885"/>
      <c r="HE1355" s="885"/>
      <c r="HF1355" s="885"/>
      <c r="HG1355" s="885"/>
      <c r="HH1355" s="885"/>
      <c r="HI1355" s="885"/>
      <c r="HJ1355" s="885"/>
      <c r="HK1355" s="885"/>
      <c r="HL1355" s="885"/>
      <c r="HM1355" s="885"/>
      <c r="HN1355" s="885"/>
      <c r="HO1355" s="885"/>
      <c r="HP1355" s="885"/>
      <c r="HQ1355" s="885"/>
      <c r="HR1355" s="885"/>
      <c r="HS1355" s="885"/>
      <c r="HT1355" s="885"/>
      <c r="HU1355" s="885"/>
      <c r="HV1355" s="885"/>
      <c r="HW1355" s="885"/>
      <c r="HX1355" s="885"/>
      <c r="HY1355" s="885"/>
      <c r="HZ1355" s="885"/>
      <c r="IA1355" s="885"/>
      <c r="IB1355" s="885"/>
      <c r="IC1355" s="885"/>
      <c r="ID1355" s="885"/>
      <c r="IE1355" s="885"/>
      <c r="IF1355" s="885"/>
      <c r="IG1355" s="885"/>
      <c r="IH1355" s="885"/>
      <c r="II1355" s="885"/>
      <c r="IJ1355" s="885"/>
      <c r="IK1355" s="885"/>
      <c r="IL1355" s="885"/>
      <c r="IM1355" s="885"/>
      <c r="IN1355" s="885"/>
      <c r="IO1355" s="885"/>
      <c r="IP1355" s="885"/>
      <c r="IQ1355" s="885"/>
      <c r="IR1355" s="885"/>
      <c r="IS1355" s="885"/>
      <c r="IT1355" s="885"/>
      <c r="IU1355" s="885"/>
      <c r="IV1355" s="885"/>
      <c r="IW1355" s="885"/>
      <c r="IX1355" s="885"/>
    </row>
    <row r="1356" spans="1:258" x14ac:dyDescent="0.25">
      <c r="A1356" s="125">
        <f t="shared" si="152"/>
        <v>1316</v>
      </c>
      <c r="B1356" s="885"/>
      <c r="C1356" s="842" t="s">
        <v>10878</v>
      </c>
      <c r="D1356" s="924">
        <v>14681</v>
      </c>
      <c r="E1356" s="924">
        <f t="shared" si="159"/>
        <v>14681</v>
      </c>
      <c r="F1356" s="129">
        <v>18000</v>
      </c>
      <c r="G1356" s="122" t="s">
        <v>1963</v>
      </c>
      <c r="H1356" s="885"/>
      <c r="I1356" s="885"/>
      <c r="J1356" s="885"/>
      <c r="K1356" s="885"/>
      <c r="L1356" s="885"/>
      <c r="M1356" s="885"/>
      <c r="N1356" s="885"/>
      <c r="O1356" s="885"/>
      <c r="P1356" s="885"/>
      <c r="Q1356" s="885"/>
      <c r="R1356" s="885"/>
      <c r="S1356" s="885"/>
      <c r="T1356" s="885"/>
      <c r="U1356" s="885"/>
      <c r="V1356" s="885"/>
      <c r="W1356" s="885"/>
      <c r="X1356" s="885"/>
      <c r="Y1356" s="885"/>
      <c r="Z1356" s="885"/>
      <c r="AA1356" s="885"/>
      <c r="AB1356" s="885"/>
      <c r="AC1356" s="885"/>
      <c r="AD1356" s="885"/>
      <c r="AE1356" s="885"/>
      <c r="AF1356" s="885"/>
      <c r="AG1356" s="885"/>
      <c r="AH1356" s="885"/>
      <c r="AI1356" s="885"/>
      <c r="AJ1356" s="885"/>
      <c r="AK1356" s="885"/>
      <c r="AL1356" s="885"/>
      <c r="AM1356" s="885"/>
      <c r="AN1356" s="885"/>
      <c r="AO1356" s="885"/>
      <c r="AP1356" s="885"/>
      <c r="AQ1356" s="885"/>
      <c r="AR1356" s="885"/>
      <c r="AS1356" s="885"/>
      <c r="AT1356" s="885"/>
      <c r="AU1356" s="885"/>
      <c r="AV1356" s="885"/>
      <c r="AW1356" s="885"/>
      <c r="AX1356" s="885"/>
      <c r="AY1356" s="885"/>
      <c r="AZ1356" s="885"/>
      <c r="BA1356" s="885"/>
      <c r="BB1356" s="885"/>
      <c r="BC1356" s="885"/>
      <c r="BD1356" s="885"/>
      <c r="BE1356" s="885"/>
      <c r="BF1356" s="885"/>
      <c r="BG1356" s="885"/>
      <c r="BH1356" s="885"/>
      <c r="BI1356" s="885"/>
      <c r="BJ1356" s="885"/>
      <c r="BK1356" s="885"/>
      <c r="BL1356" s="885"/>
      <c r="BM1356" s="885"/>
      <c r="BN1356" s="885"/>
      <c r="BO1356" s="885"/>
      <c r="BP1356" s="885"/>
      <c r="BQ1356" s="885"/>
      <c r="BR1356" s="885"/>
      <c r="BS1356" s="885"/>
      <c r="BT1356" s="885"/>
      <c r="BU1356" s="885"/>
      <c r="BV1356" s="885"/>
      <c r="BW1356" s="885"/>
      <c r="BX1356" s="885"/>
      <c r="BY1356" s="885"/>
      <c r="BZ1356" s="885"/>
      <c r="CA1356" s="885"/>
      <c r="CB1356" s="885"/>
      <c r="CC1356" s="885"/>
      <c r="CD1356" s="885"/>
      <c r="CE1356" s="885"/>
      <c r="CF1356" s="885"/>
      <c r="CG1356" s="885"/>
      <c r="CH1356" s="885"/>
      <c r="CI1356" s="885"/>
      <c r="CJ1356" s="885"/>
      <c r="CK1356" s="885"/>
      <c r="CL1356" s="885"/>
      <c r="CM1356" s="885"/>
      <c r="CN1356" s="885"/>
      <c r="CO1356" s="885"/>
      <c r="CP1356" s="885"/>
      <c r="CQ1356" s="885"/>
      <c r="CR1356" s="885"/>
      <c r="CS1356" s="885"/>
      <c r="CT1356" s="885"/>
      <c r="CU1356" s="885"/>
      <c r="CV1356" s="885"/>
      <c r="CW1356" s="885"/>
      <c r="CX1356" s="885"/>
      <c r="CY1356" s="885"/>
      <c r="CZ1356" s="885"/>
      <c r="DA1356" s="885"/>
      <c r="DB1356" s="885"/>
      <c r="DC1356" s="885"/>
      <c r="DD1356" s="885"/>
      <c r="DE1356" s="885"/>
      <c r="DF1356" s="885"/>
      <c r="DG1356" s="885"/>
      <c r="DH1356" s="885"/>
      <c r="DI1356" s="885"/>
      <c r="DJ1356" s="885"/>
      <c r="DK1356" s="885"/>
      <c r="DL1356" s="885"/>
      <c r="DM1356" s="885"/>
      <c r="DN1356" s="885"/>
      <c r="DO1356" s="885"/>
      <c r="DP1356" s="885"/>
      <c r="DQ1356" s="885"/>
      <c r="DR1356" s="885"/>
      <c r="DS1356" s="885"/>
      <c r="DT1356" s="885"/>
      <c r="DU1356" s="885"/>
      <c r="DV1356" s="885"/>
      <c r="DW1356" s="885"/>
      <c r="DX1356" s="885"/>
      <c r="DY1356" s="885"/>
      <c r="DZ1356" s="885"/>
      <c r="EA1356" s="885"/>
      <c r="EB1356" s="885"/>
      <c r="EC1356" s="885"/>
      <c r="ED1356" s="885"/>
      <c r="EE1356" s="885"/>
      <c r="EF1356" s="885"/>
      <c r="EG1356" s="885"/>
      <c r="EH1356" s="885"/>
      <c r="EI1356" s="885"/>
      <c r="EJ1356" s="885"/>
      <c r="EK1356" s="885"/>
      <c r="EL1356" s="885"/>
      <c r="EM1356" s="885"/>
      <c r="EN1356" s="885"/>
      <c r="EO1356" s="885"/>
      <c r="EP1356" s="885"/>
      <c r="EQ1356" s="885"/>
      <c r="ER1356" s="885"/>
      <c r="ES1356" s="885"/>
      <c r="ET1356" s="885"/>
      <c r="EU1356" s="885"/>
      <c r="EV1356" s="885"/>
      <c r="EW1356" s="885"/>
      <c r="EX1356" s="885"/>
      <c r="EY1356" s="885"/>
      <c r="EZ1356" s="885"/>
      <c r="FA1356" s="885"/>
      <c r="FB1356" s="885"/>
      <c r="FC1356" s="885"/>
      <c r="FD1356" s="885"/>
      <c r="FE1356" s="885"/>
      <c r="FF1356" s="885"/>
      <c r="FG1356" s="885"/>
      <c r="FH1356" s="885"/>
      <c r="FI1356" s="885"/>
      <c r="FJ1356" s="885"/>
      <c r="FK1356" s="885"/>
      <c r="FL1356" s="885"/>
      <c r="FM1356" s="885"/>
      <c r="FN1356" s="885"/>
      <c r="FO1356" s="885"/>
      <c r="FP1356" s="885"/>
      <c r="FQ1356" s="885"/>
      <c r="FR1356" s="885"/>
      <c r="FS1356" s="885"/>
      <c r="FT1356" s="885"/>
      <c r="FU1356" s="885"/>
      <c r="FV1356" s="885"/>
      <c r="FW1356" s="885"/>
      <c r="FX1356" s="885"/>
      <c r="FY1356" s="885"/>
      <c r="FZ1356" s="885"/>
      <c r="GA1356" s="885"/>
      <c r="GB1356" s="885"/>
      <c r="GC1356" s="885"/>
      <c r="GD1356" s="885"/>
      <c r="GE1356" s="885"/>
      <c r="GF1356" s="885"/>
      <c r="GG1356" s="885"/>
      <c r="GH1356" s="885"/>
      <c r="GI1356" s="885"/>
      <c r="GJ1356" s="885"/>
      <c r="GK1356" s="885"/>
      <c r="GL1356" s="885"/>
      <c r="GM1356" s="885"/>
      <c r="GN1356" s="885"/>
      <c r="GO1356" s="885"/>
      <c r="GP1356" s="885"/>
      <c r="GQ1356" s="885"/>
      <c r="GR1356" s="885"/>
      <c r="GS1356" s="885"/>
      <c r="GT1356" s="885"/>
      <c r="GU1356" s="885"/>
      <c r="GV1356" s="885"/>
      <c r="GW1356" s="885"/>
      <c r="GX1356" s="885"/>
      <c r="GY1356" s="885"/>
      <c r="GZ1356" s="885"/>
      <c r="HA1356" s="885"/>
      <c r="HB1356" s="885"/>
      <c r="HC1356" s="885"/>
      <c r="HD1356" s="885"/>
      <c r="HE1356" s="885"/>
      <c r="HF1356" s="885"/>
      <c r="HG1356" s="885"/>
      <c r="HH1356" s="885"/>
      <c r="HI1356" s="885"/>
      <c r="HJ1356" s="885"/>
      <c r="HK1356" s="885"/>
      <c r="HL1356" s="885"/>
      <c r="HM1356" s="885"/>
      <c r="HN1356" s="885"/>
      <c r="HO1356" s="885"/>
      <c r="HP1356" s="885"/>
      <c r="HQ1356" s="885"/>
      <c r="HR1356" s="885"/>
      <c r="HS1356" s="885"/>
      <c r="HT1356" s="885"/>
      <c r="HU1356" s="885"/>
      <c r="HV1356" s="885"/>
      <c r="HW1356" s="885"/>
      <c r="HX1356" s="885"/>
      <c r="HY1356" s="885"/>
      <c r="HZ1356" s="885"/>
      <c r="IA1356" s="885"/>
      <c r="IB1356" s="885"/>
      <c r="IC1356" s="885"/>
      <c r="ID1356" s="885"/>
      <c r="IE1356" s="885"/>
      <c r="IF1356" s="885"/>
      <c r="IG1356" s="885"/>
      <c r="IH1356" s="885"/>
      <c r="II1356" s="885"/>
      <c r="IJ1356" s="885"/>
      <c r="IK1356" s="885"/>
      <c r="IL1356" s="885"/>
      <c r="IM1356" s="885"/>
      <c r="IN1356" s="885"/>
      <c r="IO1356" s="885"/>
      <c r="IP1356" s="885"/>
      <c r="IQ1356" s="885"/>
      <c r="IR1356" s="885"/>
      <c r="IS1356" s="885"/>
      <c r="IT1356" s="885"/>
      <c r="IU1356" s="885"/>
      <c r="IV1356" s="885"/>
      <c r="IW1356" s="885"/>
      <c r="IX1356" s="885"/>
    </row>
    <row r="1357" spans="1:258" x14ac:dyDescent="0.25">
      <c r="A1357" s="125">
        <f t="shared" si="152"/>
        <v>1317</v>
      </c>
      <c r="B1357" s="885"/>
      <c r="C1357" s="842" t="s">
        <v>10879</v>
      </c>
      <c r="D1357" s="924">
        <v>72602.8</v>
      </c>
      <c r="E1357" s="924">
        <f t="shared" si="159"/>
        <v>72602.8</v>
      </c>
      <c r="F1357" s="129">
        <v>78401.16</v>
      </c>
      <c r="G1357" s="122" t="s">
        <v>1963</v>
      </c>
      <c r="H1357" s="885"/>
      <c r="I1357" s="885"/>
      <c r="J1357" s="885"/>
      <c r="K1357" s="885"/>
      <c r="L1357" s="885"/>
      <c r="M1357" s="885"/>
      <c r="N1357" s="885"/>
      <c r="O1357" s="885"/>
      <c r="P1357" s="885"/>
      <c r="Q1357" s="885"/>
      <c r="R1357" s="885"/>
      <c r="S1357" s="885"/>
      <c r="T1357" s="885"/>
      <c r="U1357" s="885"/>
      <c r="V1357" s="885"/>
      <c r="W1357" s="885"/>
      <c r="X1357" s="885"/>
      <c r="Y1357" s="885"/>
      <c r="Z1357" s="885"/>
      <c r="AA1357" s="885"/>
      <c r="AB1357" s="885"/>
      <c r="AC1357" s="885"/>
      <c r="AD1357" s="885"/>
      <c r="AE1357" s="885"/>
      <c r="AF1357" s="885"/>
      <c r="AG1357" s="885"/>
      <c r="AH1357" s="885"/>
      <c r="AI1357" s="885"/>
      <c r="AJ1357" s="885"/>
      <c r="AK1357" s="885"/>
      <c r="AL1357" s="885"/>
      <c r="AM1357" s="885"/>
      <c r="AN1357" s="885"/>
      <c r="AO1357" s="885"/>
      <c r="AP1357" s="885"/>
      <c r="AQ1357" s="885"/>
      <c r="AR1357" s="885"/>
      <c r="AS1357" s="885"/>
      <c r="AT1357" s="885"/>
      <c r="AU1357" s="885"/>
      <c r="AV1357" s="885"/>
      <c r="AW1357" s="885"/>
      <c r="AX1357" s="885"/>
      <c r="AY1357" s="885"/>
      <c r="AZ1357" s="885"/>
      <c r="BA1357" s="885"/>
      <c r="BB1357" s="885"/>
      <c r="BC1357" s="885"/>
      <c r="BD1357" s="885"/>
      <c r="BE1357" s="885"/>
      <c r="BF1357" s="885"/>
      <c r="BG1357" s="885"/>
      <c r="BH1357" s="885"/>
      <c r="BI1357" s="885"/>
      <c r="BJ1357" s="885"/>
      <c r="BK1357" s="885"/>
      <c r="BL1357" s="885"/>
      <c r="BM1357" s="885"/>
      <c r="BN1357" s="885"/>
      <c r="BO1357" s="885"/>
      <c r="BP1357" s="885"/>
      <c r="BQ1357" s="885"/>
      <c r="BR1357" s="885"/>
      <c r="BS1357" s="885"/>
      <c r="BT1357" s="885"/>
      <c r="BU1357" s="885"/>
      <c r="BV1357" s="885"/>
      <c r="BW1357" s="885"/>
      <c r="BX1357" s="885"/>
      <c r="BY1357" s="885"/>
      <c r="BZ1357" s="885"/>
      <c r="CA1357" s="885"/>
      <c r="CB1357" s="885"/>
      <c r="CC1357" s="885"/>
      <c r="CD1357" s="885"/>
      <c r="CE1357" s="885"/>
      <c r="CF1357" s="885"/>
      <c r="CG1357" s="885"/>
      <c r="CH1357" s="885"/>
      <c r="CI1357" s="885"/>
      <c r="CJ1357" s="885"/>
      <c r="CK1357" s="885"/>
      <c r="CL1357" s="885"/>
      <c r="CM1357" s="885"/>
      <c r="CN1357" s="885"/>
      <c r="CO1357" s="885"/>
      <c r="CP1357" s="885"/>
      <c r="CQ1357" s="885"/>
      <c r="CR1357" s="885"/>
      <c r="CS1357" s="885"/>
      <c r="CT1357" s="885"/>
      <c r="CU1357" s="885"/>
      <c r="CV1357" s="885"/>
      <c r="CW1357" s="885"/>
      <c r="CX1357" s="885"/>
      <c r="CY1357" s="885"/>
      <c r="CZ1357" s="885"/>
      <c r="DA1357" s="885"/>
      <c r="DB1357" s="885"/>
      <c r="DC1357" s="885"/>
      <c r="DD1357" s="885"/>
      <c r="DE1357" s="885"/>
      <c r="DF1357" s="885"/>
      <c r="DG1357" s="885"/>
      <c r="DH1357" s="885"/>
      <c r="DI1357" s="885"/>
      <c r="DJ1357" s="885"/>
      <c r="DK1357" s="885"/>
      <c r="DL1357" s="885"/>
      <c r="DM1357" s="885"/>
      <c r="DN1357" s="885"/>
      <c r="DO1357" s="885"/>
      <c r="DP1357" s="885"/>
      <c r="DQ1357" s="885"/>
      <c r="DR1357" s="885"/>
      <c r="DS1357" s="885"/>
      <c r="DT1357" s="885"/>
      <c r="DU1357" s="885"/>
      <c r="DV1357" s="885"/>
      <c r="DW1357" s="885"/>
      <c r="DX1357" s="885"/>
      <c r="DY1357" s="885"/>
      <c r="DZ1357" s="885"/>
      <c r="EA1357" s="885"/>
      <c r="EB1357" s="885"/>
      <c r="EC1357" s="885"/>
      <c r="ED1357" s="885"/>
      <c r="EE1357" s="885"/>
      <c r="EF1357" s="885"/>
      <c r="EG1357" s="885"/>
      <c r="EH1357" s="885"/>
      <c r="EI1357" s="885"/>
      <c r="EJ1357" s="885"/>
      <c r="EK1357" s="885"/>
      <c r="EL1357" s="885"/>
      <c r="EM1357" s="885"/>
      <c r="EN1357" s="885"/>
      <c r="EO1357" s="885"/>
      <c r="EP1357" s="885"/>
      <c r="EQ1357" s="885"/>
      <c r="ER1357" s="885"/>
      <c r="ES1357" s="885"/>
      <c r="ET1357" s="885"/>
      <c r="EU1357" s="885"/>
      <c r="EV1357" s="885"/>
      <c r="EW1357" s="885"/>
      <c r="EX1357" s="885"/>
      <c r="EY1357" s="885"/>
      <c r="EZ1357" s="885"/>
      <c r="FA1357" s="885"/>
      <c r="FB1357" s="885"/>
      <c r="FC1357" s="885"/>
      <c r="FD1357" s="885"/>
      <c r="FE1357" s="885"/>
      <c r="FF1357" s="885"/>
      <c r="FG1357" s="885"/>
      <c r="FH1357" s="885"/>
      <c r="FI1357" s="885"/>
      <c r="FJ1357" s="885"/>
      <c r="FK1357" s="885"/>
      <c r="FL1357" s="885"/>
      <c r="FM1357" s="885"/>
      <c r="FN1357" s="885"/>
      <c r="FO1357" s="885"/>
      <c r="FP1357" s="885"/>
      <c r="FQ1357" s="885"/>
      <c r="FR1357" s="885"/>
      <c r="FS1357" s="885"/>
      <c r="FT1357" s="885"/>
      <c r="FU1357" s="885"/>
      <c r="FV1357" s="885"/>
      <c r="FW1357" s="885"/>
      <c r="FX1357" s="885"/>
      <c r="FY1357" s="885"/>
      <c r="FZ1357" s="885"/>
      <c r="GA1357" s="885"/>
      <c r="GB1357" s="885"/>
      <c r="GC1357" s="885"/>
      <c r="GD1357" s="885"/>
      <c r="GE1357" s="885"/>
      <c r="GF1357" s="885"/>
      <c r="GG1357" s="885"/>
      <c r="GH1357" s="885"/>
      <c r="GI1357" s="885"/>
      <c r="GJ1357" s="885"/>
      <c r="GK1357" s="885"/>
      <c r="GL1357" s="885"/>
      <c r="GM1357" s="885"/>
      <c r="GN1357" s="885"/>
      <c r="GO1357" s="885"/>
      <c r="GP1357" s="885"/>
      <c r="GQ1357" s="885"/>
      <c r="GR1357" s="885"/>
      <c r="GS1357" s="885"/>
      <c r="GT1357" s="885"/>
      <c r="GU1357" s="885"/>
      <c r="GV1357" s="885"/>
      <c r="GW1357" s="885"/>
      <c r="GX1357" s="885"/>
      <c r="GY1357" s="885"/>
      <c r="GZ1357" s="885"/>
      <c r="HA1357" s="885"/>
      <c r="HB1357" s="885"/>
      <c r="HC1357" s="885"/>
      <c r="HD1357" s="885"/>
      <c r="HE1357" s="885"/>
      <c r="HF1357" s="885"/>
      <c r="HG1357" s="885"/>
      <c r="HH1357" s="885"/>
      <c r="HI1357" s="885"/>
      <c r="HJ1357" s="885"/>
      <c r="HK1357" s="885"/>
      <c r="HL1357" s="885"/>
      <c r="HM1357" s="885"/>
      <c r="HN1357" s="885"/>
      <c r="HO1357" s="885"/>
      <c r="HP1357" s="885"/>
      <c r="HQ1357" s="885"/>
      <c r="HR1357" s="885"/>
      <c r="HS1357" s="885"/>
      <c r="HT1357" s="885"/>
      <c r="HU1357" s="885"/>
      <c r="HV1357" s="885"/>
      <c r="HW1357" s="885"/>
      <c r="HX1357" s="885"/>
      <c r="HY1357" s="885"/>
      <c r="HZ1357" s="885"/>
      <c r="IA1357" s="885"/>
      <c r="IB1357" s="885"/>
      <c r="IC1357" s="885"/>
      <c r="ID1357" s="885"/>
      <c r="IE1357" s="885"/>
      <c r="IF1357" s="885"/>
      <c r="IG1357" s="885"/>
      <c r="IH1357" s="885"/>
      <c r="II1357" s="885"/>
      <c r="IJ1357" s="885"/>
      <c r="IK1357" s="885"/>
      <c r="IL1357" s="885"/>
      <c r="IM1357" s="885"/>
      <c r="IN1357" s="885"/>
      <c r="IO1357" s="885"/>
      <c r="IP1357" s="885"/>
      <c r="IQ1357" s="885"/>
      <c r="IR1357" s="885"/>
      <c r="IS1357" s="885"/>
      <c r="IT1357" s="885"/>
      <c r="IU1357" s="885"/>
      <c r="IV1357" s="885"/>
      <c r="IW1357" s="885"/>
      <c r="IX1357" s="885"/>
    </row>
    <row r="1358" spans="1:258" x14ac:dyDescent="0.25">
      <c r="A1358" s="125">
        <f t="shared" si="152"/>
        <v>1318</v>
      </c>
      <c r="B1358" s="885"/>
      <c r="C1358" s="842" t="s">
        <v>10880</v>
      </c>
      <c r="D1358" s="924">
        <v>2872.26</v>
      </c>
      <c r="E1358" s="924">
        <f t="shared" si="159"/>
        <v>2872.26</v>
      </c>
      <c r="F1358" s="129">
        <f>F1356*F83</f>
        <v>3600</v>
      </c>
      <c r="G1358" s="122" t="s">
        <v>1963</v>
      </c>
      <c r="H1358" s="885"/>
      <c r="I1358" s="885"/>
      <c r="J1358" s="885"/>
      <c r="K1358" s="885"/>
      <c r="L1358" s="885"/>
      <c r="M1358" s="885"/>
      <c r="N1358" s="885"/>
      <c r="O1358" s="885"/>
      <c r="P1358" s="885"/>
      <c r="Q1358" s="885"/>
      <c r="R1358" s="885"/>
      <c r="S1358" s="885"/>
      <c r="T1358" s="885"/>
      <c r="U1358" s="885"/>
      <c r="V1358" s="885"/>
      <c r="W1358" s="885"/>
      <c r="X1358" s="885"/>
      <c r="Y1358" s="885"/>
      <c r="Z1358" s="885"/>
      <c r="AA1358" s="885"/>
      <c r="AB1358" s="885"/>
      <c r="AC1358" s="885"/>
      <c r="AD1358" s="885"/>
      <c r="AE1358" s="885"/>
      <c r="AF1358" s="885"/>
      <c r="AG1358" s="885"/>
      <c r="AH1358" s="885"/>
      <c r="AI1358" s="885"/>
      <c r="AJ1358" s="885"/>
      <c r="AK1358" s="885"/>
      <c r="AL1358" s="885"/>
      <c r="AM1358" s="885"/>
      <c r="AN1358" s="885"/>
      <c r="AO1358" s="885"/>
      <c r="AP1358" s="885"/>
      <c r="AQ1358" s="885"/>
      <c r="AR1358" s="885"/>
      <c r="AS1358" s="885"/>
      <c r="AT1358" s="885"/>
      <c r="AU1358" s="885"/>
      <c r="AV1358" s="885"/>
      <c r="AW1358" s="885"/>
      <c r="AX1358" s="885"/>
      <c r="AY1358" s="885"/>
      <c r="AZ1358" s="885"/>
      <c r="BA1358" s="885"/>
      <c r="BB1358" s="885"/>
      <c r="BC1358" s="885"/>
      <c r="BD1358" s="885"/>
      <c r="BE1358" s="885"/>
      <c r="BF1358" s="885"/>
      <c r="BG1358" s="885"/>
      <c r="BH1358" s="885"/>
      <c r="BI1358" s="885"/>
      <c r="BJ1358" s="885"/>
      <c r="BK1358" s="885"/>
      <c r="BL1358" s="885"/>
      <c r="BM1358" s="885"/>
      <c r="BN1358" s="885"/>
      <c r="BO1358" s="885"/>
      <c r="BP1358" s="885"/>
      <c r="BQ1358" s="885"/>
      <c r="BR1358" s="885"/>
      <c r="BS1358" s="885"/>
      <c r="BT1358" s="885"/>
      <c r="BU1358" s="885"/>
      <c r="BV1358" s="885"/>
      <c r="BW1358" s="885"/>
      <c r="BX1358" s="885"/>
      <c r="BY1358" s="885"/>
      <c r="BZ1358" s="885"/>
      <c r="CA1358" s="885"/>
      <c r="CB1358" s="885"/>
      <c r="CC1358" s="885"/>
      <c r="CD1358" s="885"/>
      <c r="CE1358" s="885"/>
      <c r="CF1358" s="885"/>
      <c r="CG1358" s="885"/>
      <c r="CH1358" s="885"/>
      <c r="CI1358" s="885"/>
      <c r="CJ1358" s="885"/>
      <c r="CK1358" s="885"/>
      <c r="CL1358" s="885"/>
      <c r="CM1358" s="885"/>
      <c r="CN1358" s="885"/>
      <c r="CO1358" s="885"/>
      <c r="CP1358" s="885"/>
      <c r="CQ1358" s="885"/>
      <c r="CR1358" s="885"/>
      <c r="CS1358" s="885"/>
      <c r="CT1358" s="885"/>
      <c r="CU1358" s="885"/>
      <c r="CV1358" s="885"/>
      <c r="CW1358" s="885"/>
      <c r="CX1358" s="885"/>
      <c r="CY1358" s="885"/>
      <c r="CZ1358" s="885"/>
      <c r="DA1358" s="885"/>
      <c r="DB1358" s="885"/>
      <c r="DC1358" s="885"/>
      <c r="DD1358" s="885"/>
      <c r="DE1358" s="885"/>
      <c r="DF1358" s="885"/>
      <c r="DG1358" s="885"/>
      <c r="DH1358" s="885"/>
      <c r="DI1358" s="885"/>
      <c r="DJ1358" s="885"/>
      <c r="DK1358" s="885"/>
      <c r="DL1358" s="885"/>
      <c r="DM1358" s="885"/>
      <c r="DN1358" s="885"/>
      <c r="DO1358" s="885"/>
      <c r="DP1358" s="885"/>
      <c r="DQ1358" s="885"/>
      <c r="DR1358" s="885"/>
      <c r="DS1358" s="885"/>
      <c r="DT1358" s="885"/>
      <c r="DU1358" s="885"/>
      <c r="DV1358" s="885"/>
      <c r="DW1358" s="885"/>
      <c r="DX1358" s="885"/>
      <c r="DY1358" s="885"/>
      <c r="DZ1358" s="885"/>
      <c r="EA1358" s="885"/>
      <c r="EB1358" s="885"/>
      <c r="EC1358" s="885"/>
      <c r="ED1358" s="885"/>
      <c r="EE1358" s="885"/>
      <c r="EF1358" s="885"/>
      <c r="EG1358" s="885"/>
      <c r="EH1358" s="885"/>
      <c r="EI1358" s="885"/>
      <c r="EJ1358" s="885"/>
      <c r="EK1358" s="885"/>
      <c r="EL1358" s="885"/>
      <c r="EM1358" s="885"/>
      <c r="EN1358" s="885"/>
      <c r="EO1358" s="885"/>
      <c r="EP1358" s="885"/>
      <c r="EQ1358" s="885"/>
      <c r="ER1358" s="885"/>
      <c r="ES1358" s="885"/>
      <c r="ET1358" s="885"/>
      <c r="EU1358" s="885"/>
      <c r="EV1358" s="885"/>
      <c r="EW1358" s="885"/>
      <c r="EX1358" s="885"/>
      <c r="EY1358" s="885"/>
      <c r="EZ1358" s="885"/>
      <c r="FA1358" s="885"/>
      <c r="FB1358" s="885"/>
      <c r="FC1358" s="885"/>
      <c r="FD1358" s="885"/>
      <c r="FE1358" s="885"/>
      <c r="FF1358" s="885"/>
      <c r="FG1358" s="885"/>
      <c r="FH1358" s="885"/>
      <c r="FI1358" s="885"/>
      <c r="FJ1358" s="885"/>
      <c r="FK1358" s="885"/>
      <c r="FL1358" s="885"/>
      <c r="FM1358" s="885"/>
      <c r="FN1358" s="885"/>
      <c r="FO1358" s="885"/>
      <c r="FP1358" s="885"/>
      <c r="FQ1358" s="885"/>
      <c r="FR1358" s="885"/>
      <c r="FS1358" s="885"/>
      <c r="FT1358" s="885"/>
      <c r="FU1358" s="885"/>
      <c r="FV1358" s="885"/>
      <c r="FW1358" s="885"/>
      <c r="FX1358" s="885"/>
      <c r="FY1358" s="885"/>
      <c r="FZ1358" s="885"/>
      <c r="GA1358" s="885"/>
      <c r="GB1358" s="885"/>
      <c r="GC1358" s="885"/>
      <c r="GD1358" s="885"/>
      <c r="GE1358" s="885"/>
      <c r="GF1358" s="885"/>
      <c r="GG1358" s="885"/>
      <c r="GH1358" s="885"/>
      <c r="GI1358" s="885"/>
      <c r="GJ1358" s="885"/>
      <c r="GK1358" s="885"/>
      <c r="GL1358" s="885"/>
      <c r="GM1358" s="885"/>
      <c r="GN1358" s="885"/>
      <c r="GO1358" s="885"/>
      <c r="GP1358" s="885"/>
      <c r="GQ1358" s="885"/>
      <c r="GR1358" s="885"/>
      <c r="GS1358" s="885"/>
      <c r="GT1358" s="885"/>
      <c r="GU1358" s="885"/>
      <c r="GV1358" s="885"/>
      <c r="GW1358" s="885"/>
      <c r="GX1358" s="885"/>
      <c r="GY1358" s="885"/>
      <c r="GZ1358" s="885"/>
      <c r="HA1358" s="885"/>
      <c r="HB1358" s="885"/>
      <c r="HC1358" s="885"/>
      <c r="HD1358" s="885"/>
      <c r="HE1358" s="885"/>
      <c r="HF1358" s="885"/>
      <c r="HG1358" s="885"/>
      <c r="HH1358" s="885"/>
      <c r="HI1358" s="885"/>
      <c r="HJ1358" s="885"/>
      <c r="HK1358" s="885"/>
      <c r="HL1358" s="885"/>
      <c r="HM1358" s="885"/>
      <c r="HN1358" s="885"/>
      <c r="HO1358" s="885"/>
      <c r="HP1358" s="885"/>
      <c r="HQ1358" s="885"/>
      <c r="HR1358" s="885"/>
      <c r="HS1358" s="885"/>
      <c r="HT1358" s="885"/>
      <c r="HU1358" s="885"/>
      <c r="HV1358" s="885"/>
      <c r="HW1358" s="885"/>
      <c r="HX1358" s="885"/>
      <c r="HY1358" s="885"/>
      <c r="HZ1358" s="885"/>
      <c r="IA1358" s="885"/>
      <c r="IB1358" s="885"/>
      <c r="IC1358" s="885"/>
      <c r="ID1358" s="885"/>
      <c r="IE1358" s="885"/>
      <c r="IF1358" s="885"/>
      <c r="IG1358" s="885"/>
      <c r="IH1358" s="885"/>
      <c r="II1358" s="885"/>
      <c r="IJ1358" s="885"/>
      <c r="IK1358" s="885"/>
      <c r="IL1358" s="885"/>
      <c r="IM1358" s="885"/>
      <c r="IN1358" s="885"/>
      <c r="IO1358" s="885"/>
      <c r="IP1358" s="885"/>
      <c r="IQ1358" s="885"/>
      <c r="IR1358" s="885"/>
      <c r="IS1358" s="885"/>
      <c r="IT1358" s="885"/>
      <c r="IU1358" s="885"/>
      <c r="IV1358" s="885"/>
      <c r="IW1358" s="885"/>
      <c r="IX1358" s="885"/>
    </row>
    <row r="1359" spans="1:258" x14ac:dyDescent="0.25">
      <c r="A1359" s="125">
        <f t="shared" si="152"/>
        <v>1319</v>
      </c>
      <c r="B1359" s="885"/>
      <c r="C1359" s="842" t="s">
        <v>10881</v>
      </c>
      <c r="D1359" s="924">
        <v>0</v>
      </c>
      <c r="E1359" s="924">
        <f t="shared" si="159"/>
        <v>0</v>
      </c>
      <c r="F1359" s="129">
        <v>1500</v>
      </c>
      <c r="G1359" s="122" t="s">
        <v>1963</v>
      </c>
      <c r="H1359" s="885"/>
      <c r="I1359" s="885"/>
      <c r="J1359" s="885"/>
      <c r="K1359" s="885"/>
      <c r="L1359" s="885"/>
      <c r="M1359" s="885"/>
      <c r="N1359" s="885"/>
      <c r="O1359" s="885"/>
      <c r="P1359" s="885"/>
      <c r="Q1359" s="885"/>
      <c r="R1359" s="885"/>
      <c r="S1359" s="885"/>
      <c r="T1359" s="885"/>
      <c r="U1359" s="885"/>
      <c r="V1359" s="885"/>
      <c r="W1359" s="885"/>
      <c r="X1359" s="885"/>
      <c r="Y1359" s="885"/>
      <c r="Z1359" s="885"/>
      <c r="AA1359" s="885"/>
      <c r="AB1359" s="885"/>
      <c r="AC1359" s="885"/>
      <c r="AD1359" s="885"/>
      <c r="AE1359" s="885"/>
      <c r="AF1359" s="885"/>
      <c r="AG1359" s="885"/>
      <c r="AH1359" s="885"/>
      <c r="AI1359" s="885"/>
      <c r="AJ1359" s="885"/>
      <c r="AK1359" s="885"/>
      <c r="AL1359" s="885"/>
      <c r="AM1359" s="885"/>
      <c r="AN1359" s="885"/>
      <c r="AO1359" s="885"/>
      <c r="AP1359" s="885"/>
      <c r="AQ1359" s="885"/>
      <c r="AR1359" s="885"/>
      <c r="AS1359" s="885"/>
      <c r="AT1359" s="885"/>
      <c r="AU1359" s="885"/>
      <c r="AV1359" s="885"/>
      <c r="AW1359" s="885"/>
      <c r="AX1359" s="885"/>
      <c r="AY1359" s="885"/>
      <c r="AZ1359" s="885"/>
      <c r="BA1359" s="885"/>
      <c r="BB1359" s="885"/>
      <c r="BC1359" s="885"/>
      <c r="BD1359" s="885"/>
      <c r="BE1359" s="885"/>
      <c r="BF1359" s="885"/>
      <c r="BG1359" s="885"/>
      <c r="BH1359" s="885"/>
      <c r="BI1359" s="885"/>
      <c r="BJ1359" s="885"/>
      <c r="BK1359" s="885"/>
      <c r="BL1359" s="885"/>
      <c r="BM1359" s="885"/>
      <c r="BN1359" s="885"/>
      <c r="BO1359" s="885"/>
      <c r="BP1359" s="885"/>
      <c r="BQ1359" s="885"/>
      <c r="BR1359" s="885"/>
      <c r="BS1359" s="885"/>
      <c r="BT1359" s="885"/>
      <c r="BU1359" s="885"/>
      <c r="BV1359" s="885"/>
      <c r="BW1359" s="885"/>
      <c r="BX1359" s="885"/>
      <c r="BY1359" s="885"/>
      <c r="BZ1359" s="885"/>
      <c r="CA1359" s="885"/>
      <c r="CB1359" s="885"/>
      <c r="CC1359" s="885"/>
      <c r="CD1359" s="885"/>
      <c r="CE1359" s="885"/>
      <c r="CF1359" s="885"/>
      <c r="CG1359" s="885"/>
      <c r="CH1359" s="885"/>
      <c r="CI1359" s="885"/>
      <c r="CJ1359" s="885"/>
      <c r="CK1359" s="885"/>
      <c r="CL1359" s="885"/>
      <c r="CM1359" s="885"/>
      <c r="CN1359" s="885"/>
      <c r="CO1359" s="885"/>
      <c r="CP1359" s="885"/>
      <c r="CQ1359" s="885"/>
      <c r="CR1359" s="885"/>
      <c r="CS1359" s="885"/>
      <c r="CT1359" s="885"/>
      <c r="CU1359" s="885"/>
      <c r="CV1359" s="885"/>
      <c r="CW1359" s="885"/>
      <c r="CX1359" s="885"/>
      <c r="CY1359" s="885"/>
      <c r="CZ1359" s="885"/>
      <c r="DA1359" s="885"/>
      <c r="DB1359" s="885"/>
      <c r="DC1359" s="885"/>
      <c r="DD1359" s="885"/>
      <c r="DE1359" s="885"/>
      <c r="DF1359" s="885"/>
      <c r="DG1359" s="885"/>
      <c r="DH1359" s="885"/>
      <c r="DI1359" s="885"/>
      <c r="DJ1359" s="885"/>
      <c r="DK1359" s="885"/>
      <c r="DL1359" s="885"/>
      <c r="DM1359" s="885"/>
      <c r="DN1359" s="885"/>
      <c r="DO1359" s="885"/>
      <c r="DP1359" s="885"/>
      <c r="DQ1359" s="885"/>
      <c r="DR1359" s="885"/>
      <c r="DS1359" s="885"/>
      <c r="DT1359" s="885"/>
      <c r="DU1359" s="885"/>
      <c r="DV1359" s="885"/>
      <c r="DW1359" s="885"/>
      <c r="DX1359" s="885"/>
      <c r="DY1359" s="885"/>
      <c r="DZ1359" s="885"/>
      <c r="EA1359" s="885"/>
      <c r="EB1359" s="885"/>
      <c r="EC1359" s="885"/>
      <c r="ED1359" s="885"/>
      <c r="EE1359" s="885"/>
      <c r="EF1359" s="885"/>
      <c r="EG1359" s="885"/>
      <c r="EH1359" s="885"/>
      <c r="EI1359" s="885"/>
      <c r="EJ1359" s="885"/>
      <c r="EK1359" s="885"/>
      <c r="EL1359" s="885"/>
      <c r="EM1359" s="885"/>
      <c r="EN1359" s="885"/>
      <c r="EO1359" s="885"/>
      <c r="EP1359" s="885"/>
      <c r="EQ1359" s="885"/>
      <c r="ER1359" s="885"/>
      <c r="ES1359" s="885"/>
      <c r="ET1359" s="885"/>
      <c r="EU1359" s="885"/>
      <c r="EV1359" s="885"/>
      <c r="EW1359" s="885"/>
      <c r="EX1359" s="885"/>
      <c r="EY1359" s="885"/>
      <c r="EZ1359" s="885"/>
      <c r="FA1359" s="885"/>
      <c r="FB1359" s="885"/>
      <c r="FC1359" s="885"/>
      <c r="FD1359" s="885"/>
      <c r="FE1359" s="885"/>
      <c r="FF1359" s="885"/>
      <c r="FG1359" s="885"/>
      <c r="FH1359" s="885"/>
      <c r="FI1359" s="885"/>
      <c r="FJ1359" s="885"/>
      <c r="FK1359" s="885"/>
      <c r="FL1359" s="885"/>
      <c r="FM1359" s="885"/>
      <c r="FN1359" s="885"/>
      <c r="FO1359" s="885"/>
      <c r="FP1359" s="885"/>
      <c r="FQ1359" s="885"/>
      <c r="FR1359" s="885"/>
      <c r="FS1359" s="885"/>
      <c r="FT1359" s="885"/>
      <c r="FU1359" s="885"/>
      <c r="FV1359" s="885"/>
      <c r="FW1359" s="885"/>
      <c r="FX1359" s="885"/>
      <c r="FY1359" s="885"/>
      <c r="FZ1359" s="885"/>
      <c r="GA1359" s="885"/>
      <c r="GB1359" s="885"/>
      <c r="GC1359" s="885"/>
      <c r="GD1359" s="885"/>
      <c r="GE1359" s="885"/>
      <c r="GF1359" s="885"/>
      <c r="GG1359" s="885"/>
      <c r="GH1359" s="885"/>
      <c r="GI1359" s="885"/>
      <c r="GJ1359" s="885"/>
      <c r="GK1359" s="885"/>
      <c r="GL1359" s="885"/>
      <c r="GM1359" s="885"/>
      <c r="GN1359" s="885"/>
      <c r="GO1359" s="885"/>
      <c r="GP1359" s="885"/>
      <c r="GQ1359" s="885"/>
      <c r="GR1359" s="885"/>
      <c r="GS1359" s="885"/>
      <c r="GT1359" s="885"/>
      <c r="GU1359" s="885"/>
      <c r="GV1359" s="885"/>
      <c r="GW1359" s="885"/>
      <c r="GX1359" s="885"/>
      <c r="GY1359" s="885"/>
      <c r="GZ1359" s="885"/>
      <c r="HA1359" s="885"/>
      <c r="HB1359" s="885"/>
      <c r="HC1359" s="885"/>
      <c r="HD1359" s="885"/>
      <c r="HE1359" s="885"/>
      <c r="HF1359" s="885"/>
      <c r="HG1359" s="885"/>
      <c r="HH1359" s="885"/>
      <c r="HI1359" s="885"/>
      <c r="HJ1359" s="885"/>
      <c r="HK1359" s="885"/>
      <c r="HL1359" s="885"/>
      <c r="HM1359" s="885"/>
      <c r="HN1359" s="885"/>
      <c r="HO1359" s="885"/>
      <c r="HP1359" s="885"/>
      <c r="HQ1359" s="885"/>
      <c r="HR1359" s="885"/>
      <c r="HS1359" s="885"/>
      <c r="HT1359" s="885"/>
      <c r="HU1359" s="885"/>
      <c r="HV1359" s="885"/>
      <c r="HW1359" s="885"/>
      <c r="HX1359" s="885"/>
      <c r="HY1359" s="885"/>
      <c r="HZ1359" s="885"/>
      <c r="IA1359" s="885"/>
      <c r="IB1359" s="885"/>
      <c r="IC1359" s="885"/>
      <c r="ID1359" s="885"/>
      <c r="IE1359" s="885"/>
      <c r="IF1359" s="885"/>
      <c r="IG1359" s="885"/>
      <c r="IH1359" s="885"/>
      <c r="II1359" s="885"/>
      <c r="IJ1359" s="885"/>
      <c r="IK1359" s="885"/>
      <c r="IL1359" s="885"/>
      <c r="IM1359" s="885"/>
      <c r="IN1359" s="885"/>
      <c r="IO1359" s="885"/>
      <c r="IP1359" s="885"/>
      <c r="IQ1359" s="885"/>
      <c r="IR1359" s="885"/>
      <c r="IS1359" s="885"/>
      <c r="IT1359" s="885"/>
      <c r="IU1359" s="885"/>
      <c r="IV1359" s="885"/>
      <c r="IW1359" s="885"/>
      <c r="IX1359" s="885"/>
    </row>
    <row r="1360" spans="1:258" ht="31.5" x14ac:dyDescent="0.25">
      <c r="A1360" s="125">
        <f t="shared" si="152"/>
        <v>1320</v>
      </c>
      <c r="B1360" s="885"/>
      <c r="C1360" s="842" t="s">
        <v>10882</v>
      </c>
      <c r="D1360" s="924">
        <v>0</v>
      </c>
      <c r="E1360" s="924">
        <f t="shared" si="159"/>
        <v>0</v>
      </c>
      <c r="F1360" s="129">
        <v>1000</v>
      </c>
      <c r="G1360" s="122" t="s">
        <v>1963</v>
      </c>
      <c r="H1360" s="885"/>
      <c r="I1360" s="885"/>
      <c r="J1360" s="885"/>
      <c r="K1360" s="885"/>
      <c r="L1360" s="885"/>
      <c r="M1360" s="885"/>
      <c r="N1360" s="885"/>
      <c r="O1360" s="885"/>
      <c r="P1360" s="885"/>
      <c r="Q1360" s="885"/>
      <c r="R1360" s="885"/>
      <c r="S1360" s="885"/>
      <c r="T1360" s="885"/>
      <c r="U1360" s="885"/>
      <c r="V1360" s="885"/>
      <c r="W1360" s="885"/>
      <c r="X1360" s="885"/>
      <c r="Y1360" s="885"/>
      <c r="Z1360" s="885"/>
      <c r="AA1360" s="885"/>
      <c r="AB1360" s="885"/>
      <c r="AC1360" s="885"/>
      <c r="AD1360" s="885"/>
      <c r="AE1360" s="885"/>
      <c r="AF1360" s="885"/>
      <c r="AG1360" s="885"/>
      <c r="AH1360" s="885"/>
      <c r="AI1360" s="885"/>
      <c r="AJ1360" s="885"/>
      <c r="AK1360" s="885"/>
      <c r="AL1360" s="885"/>
      <c r="AM1360" s="885"/>
      <c r="AN1360" s="885"/>
      <c r="AO1360" s="885"/>
      <c r="AP1360" s="885"/>
      <c r="AQ1360" s="885"/>
      <c r="AR1360" s="885"/>
      <c r="AS1360" s="885"/>
      <c r="AT1360" s="885"/>
      <c r="AU1360" s="885"/>
      <c r="AV1360" s="885"/>
      <c r="AW1360" s="885"/>
      <c r="AX1360" s="885"/>
      <c r="AY1360" s="885"/>
      <c r="AZ1360" s="885"/>
      <c r="BA1360" s="885"/>
      <c r="BB1360" s="885"/>
      <c r="BC1360" s="885"/>
      <c r="BD1360" s="885"/>
      <c r="BE1360" s="885"/>
      <c r="BF1360" s="885"/>
      <c r="BG1360" s="885"/>
      <c r="BH1360" s="885"/>
      <c r="BI1360" s="885"/>
      <c r="BJ1360" s="885"/>
      <c r="BK1360" s="885"/>
      <c r="BL1360" s="885"/>
      <c r="BM1360" s="885"/>
      <c r="BN1360" s="885"/>
      <c r="BO1360" s="885"/>
      <c r="BP1360" s="885"/>
      <c r="BQ1360" s="885"/>
      <c r="BR1360" s="885"/>
      <c r="BS1360" s="885"/>
      <c r="BT1360" s="885"/>
      <c r="BU1360" s="885"/>
      <c r="BV1360" s="885"/>
      <c r="BW1360" s="885"/>
      <c r="BX1360" s="885"/>
      <c r="BY1360" s="885"/>
      <c r="BZ1360" s="885"/>
      <c r="CA1360" s="885"/>
      <c r="CB1360" s="885"/>
      <c r="CC1360" s="885"/>
      <c r="CD1360" s="885"/>
      <c r="CE1360" s="885"/>
      <c r="CF1360" s="885"/>
      <c r="CG1360" s="885"/>
      <c r="CH1360" s="885"/>
      <c r="CI1360" s="885"/>
      <c r="CJ1360" s="885"/>
      <c r="CK1360" s="885"/>
      <c r="CL1360" s="885"/>
      <c r="CM1360" s="885"/>
      <c r="CN1360" s="885"/>
      <c r="CO1360" s="885"/>
      <c r="CP1360" s="885"/>
      <c r="CQ1360" s="885"/>
      <c r="CR1360" s="885"/>
      <c r="CS1360" s="885"/>
      <c r="CT1360" s="885"/>
      <c r="CU1360" s="885"/>
      <c r="CV1360" s="885"/>
      <c r="CW1360" s="885"/>
      <c r="CX1360" s="885"/>
      <c r="CY1360" s="885"/>
      <c r="CZ1360" s="885"/>
      <c r="DA1360" s="885"/>
      <c r="DB1360" s="885"/>
      <c r="DC1360" s="885"/>
      <c r="DD1360" s="885"/>
      <c r="DE1360" s="885"/>
      <c r="DF1360" s="885"/>
      <c r="DG1360" s="885"/>
      <c r="DH1360" s="885"/>
      <c r="DI1360" s="885"/>
      <c r="DJ1360" s="885"/>
      <c r="DK1360" s="885"/>
      <c r="DL1360" s="885"/>
      <c r="DM1360" s="885"/>
      <c r="DN1360" s="885"/>
      <c r="DO1360" s="885"/>
      <c r="DP1360" s="885"/>
      <c r="DQ1360" s="885"/>
      <c r="DR1360" s="885"/>
      <c r="DS1360" s="885"/>
      <c r="DT1360" s="885"/>
      <c r="DU1360" s="885"/>
      <c r="DV1360" s="885"/>
      <c r="DW1360" s="885"/>
      <c r="DX1360" s="885"/>
      <c r="DY1360" s="885"/>
      <c r="DZ1360" s="885"/>
      <c r="EA1360" s="885"/>
      <c r="EB1360" s="885"/>
      <c r="EC1360" s="885"/>
      <c r="ED1360" s="885"/>
      <c r="EE1360" s="885"/>
      <c r="EF1360" s="885"/>
      <c r="EG1360" s="885"/>
      <c r="EH1360" s="885"/>
      <c r="EI1360" s="885"/>
      <c r="EJ1360" s="885"/>
      <c r="EK1360" s="885"/>
      <c r="EL1360" s="885"/>
      <c r="EM1360" s="885"/>
      <c r="EN1360" s="885"/>
      <c r="EO1360" s="885"/>
      <c r="EP1360" s="885"/>
      <c r="EQ1360" s="885"/>
      <c r="ER1360" s="885"/>
      <c r="ES1360" s="885"/>
      <c r="ET1360" s="885"/>
      <c r="EU1360" s="885"/>
      <c r="EV1360" s="885"/>
      <c r="EW1360" s="885"/>
      <c r="EX1360" s="885"/>
      <c r="EY1360" s="885"/>
      <c r="EZ1360" s="885"/>
      <c r="FA1360" s="885"/>
      <c r="FB1360" s="885"/>
      <c r="FC1360" s="885"/>
      <c r="FD1360" s="885"/>
      <c r="FE1360" s="885"/>
      <c r="FF1360" s="885"/>
      <c r="FG1360" s="885"/>
      <c r="FH1360" s="885"/>
      <c r="FI1360" s="885"/>
      <c r="FJ1360" s="885"/>
      <c r="FK1360" s="885"/>
      <c r="FL1360" s="885"/>
      <c r="FM1360" s="885"/>
      <c r="FN1360" s="885"/>
      <c r="FO1360" s="885"/>
      <c r="FP1360" s="885"/>
      <c r="FQ1360" s="885"/>
      <c r="FR1360" s="885"/>
      <c r="FS1360" s="885"/>
      <c r="FT1360" s="885"/>
      <c r="FU1360" s="885"/>
      <c r="FV1360" s="885"/>
      <c r="FW1360" s="885"/>
      <c r="FX1360" s="885"/>
      <c r="FY1360" s="885"/>
      <c r="FZ1360" s="885"/>
      <c r="GA1360" s="885"/>
      <c r="GB1360" s="885"/>
      <c r="GC1360" s="885"/>
      <c r="GD1360" s="885"/>
      <c r="GE1360" s="885"/>
      <c r="GF1360" s="885"/>
      <c r="GG1360" s="885"/>
      <c r="GH1360" s="885"/>
      <c r="GI1360" s="885"/>
      <c r="GJ1360" s="885"/>
      <c r="GK1360" s="885"/>
      <c r="GL1360" s="885"/>
      <c r="GM1360" s="885"/>
      <c r="GN1360" s="885"/>
      <c r="GO1360" s="885"/>
      <c r="GP1360" s="885"/>
      <c r="GQ1360" s="885"/>
      <c r="GR1360" s="885"/>
      <c r="GS1360" s="885"/>
      <c r="GT1360" s="885"/>
      <c r="GU1360" s="885"/>
      <c r="GV1360" s="885"/>
      <c r="GW1360" s="885"/>
      <c r="GX1360" s="885"/>
      <c r="GY1360" s="885"/>
      <c r="GZ1360" s="885"/>
      <c r="HA1360" s="885"/>
      <c r="HB1360" s="885"/>
      <c r="HC1360" s="885"/>
      <c r="HD1360" s="885"/>
      <c r="HE1360" s="885"/>
      <c r="HF1360" s="885"/>
      <c r="HG1360" s="885"/>
      <c r="HH1360" s="885"/>
      <c r="HI1360" s="885"/>
      <c r="HJ1360" s="885"/>
      <c r="HK1360" s="885"/>
      <c r="HL1360" s="885"/>
      <c r="HM1360" s="885"/>
      <c r="HN1360" s="885"/>
      <c r="HO1360" s="885"/>
      <c r="HP1360" s="885"/>
      <c r="HQ1360" s="885"/>
      <c r="HR1360" s="885"/>
      <c r="HS1360" s="885"/>
      <c r="HT1360" s="885"/>
      <c r="HU1360" s="885"/>
      <c r="HV1360" s="885"/>
      <c r="HW1360" s="885"/>
      <c r="HX1360" s="885"/>
      <c r="HY1360" s="885"/>
      <c r="HZ1360" s="885"/>
      <c r="IA1360" s="885"/>
      <c r="IB1360" s="885"/>
      <c r="IC1360" s="885"/>
      <c r="ID1360" s="885"/>
      <c r="IE1360" s="885"/>
      <c r="IF1360" s="885"/>
      <c r="IG1360" s="885"/>
      <c r="IH1360" s="885"/>
      <c r="II1360" s="885"/>
      <c r="IJ1360" s="885"/>
      <c r="IK1360" s="885"/>
      <c r="IL1360" s="885"/>
      <c r="IM1360" s="885"/>
      <c r="IN1360" s="885"/>
      <c r="IO1360" s="885"/>
      <c r="IP1360" s="885"/>
      <c r="IQ1360" s="885"/>
      <c r="IR1360" s="885"/>
      <c r="IS1360" s="885"/>
      <c r="IT1360" s="885"/>
      <c r="IU1360" s="885"/>
      <c r="IV1360" s="885"/>
      <c r="IW1360" s="885"/>
      <c r="IX1360" s="885"/>
    </row>
    <row r="1361" spans="1:258" x14ac:dyDescent="0.25">
      <c r="A1361" s="125">
        <f t="shared" si="152"/>
        <v>1321</v>
      </c>
      <c r="B1361" s="885"/>
      <c r="C1361" s="842" t="s">
        <v>10883</v>
      </c>
      <c r="D1361" s="924">
        <v>0</v>
      </c>
      <c r="E1361" s="924">
        <f t="shared" si="159"/>
        <v>0</v>
      </c>
      <c r="F1361" s="129">
        <v>8000</v>
      </c>
      <c r="G1361" s="122" t="s">
        <v>1963</v>
      </c>
      <c r="H1361" s="885"/>
      <c r="I1361" s="885"/>
      <c r="J1361" s="885"/>
      <c r="K1361" s="885"/>
      <c r="L1361" s="885"/>
      <c r="M1361" s="885"/>
      <c r="N1361" s="885"/>
      <c r="O1361" s="885"/>
      <c r="P1361" s="885"/>
      <c r="Q1361" s="885"/>
      <c r="R1361" s="885"/>
      <c r="S1361" s="885"/>
      <c r="T1361" s="885"/>
      <c r="U1361" s="885"/>
      <c r="V1361" s="885"/>
      <c r="W1361" s="885"/>
      <c r="X1361" s="885"/>
      <c r="Y1361" s="885"/>
      <c r="Z1361" s="885"/>
      <c r="AA1361" s="885"/>
      <c r="AB1361" s="885"/>
      <c r="AC1361" s="885"/>
      <c r="AD1361" s="885"/>
      <c r="AE1361" s="885"/>
      <c r="AF1361" s="885"/>
      <c r="AG1361" s="885"/>
      <c r="AH1361" s="885"/>
      <c r="AI1361" s="885"/>
      <c r="AJ1361" s="885"/>
      <c r="AK1361" s="885"/>
      <c r="AL1361" s="885"/>
      <c r="AM1361" s="885"/>
      <c r="AN1361" s="885"/>
      <c r="AO1361" s="885"/>
      <c r="AP1361" s="885"/>
      <c r="AQ1361" s="885"/>
      <c r="AR1361" s="885"/>
      <c r="AS1361" s="885"/>
      <c r="AT1361" s="885"/>
      <c r="AU1361" s="885"/>
      <c r="AV1361" s="885"/>
      <c r="AW1361" s="885"/>
      <c r="AX1361" s="885"/>
      <c r="AY1361" s="885"/>
      <c r="AZ1361" s="885"/>
      <c r="BA1361" s="885"/>
      <c r="BB1361" s="885"/>
      <c r="BC1361" s="885"/>
      <c r="BD1361" s="885"/>
      <c r="BE1361" s="885"/>
      <c r="BF1361" s="885"/>
      <c r="BG1361" s="885"/>
      <c r="BH1361" s="885"/>
      <c r="BI1361" s="885"/>
      <c r="BJ1361" s="885"/>
      <c r="BK1361" s="885"/>
      <c r="BL1361" s="885"/>
      <c r="BM1361" s="885"/>
      <c r="BN1361" s="885"/>
      <c r="BO1361" s="885"/>
      <c r="BP1361" s="885"/>
      <c r="BQ1361" s="885"/>
      <c r="BR1361" s="885"/>
      <c r="BS1361" s="885"/>
      <c r="BT1361" s="885"/>
      <c r="BU1361" s="885"/>
      <c r="BV1361" s="885"/>
      <c r="BW1361" s="885"/>
      <c r="BX1361" s="885"/>
      <c r="BY1361" s="885"/>
      <c r="BZ1361" s="885"/>
      <c r="CA1361" s="885"/>
      <c r="CB1361" s="885"/>
      <c r="CC1361" s="885"/>
      <c r="CD1361" s="885"/>
      <c r="CE1361" s="885"/>
      <c r="CF1361" s="885"/>
      <c r="CG1361" s="885"/>
      <c r="CH1361" s="885"/>
      <c r="CI1361" s="885"/>
      <c r="CJ1361" s="885"/>
      <c r="CK1361" s="885"/>
      <c r="CL1361" s="885"/>
      <c r="CM1361" s="885"/>
      <c r="CN1361" s="885"/>
      <c r="CO1361" s="885"/>
      <c r="CP1361" s="885"/>
      <c r="CQ1361" s="885"/>
      <c r="CR1361" s="885"/>
      <c r="CS1361" s="885"/>
      <c r="CT1361" s="885"/>
      <c r="CU1361" s="885"/>
      <c r="CV1361" s="885"/>
      <c r="CW1361" s="885"/>
      <c r="CX1361" s="885"/>
      <c r="CY1361" s="885"/>
      <c r="CZ1361" s="885"/>
      <c r="DA1361" s="885"/>
      <c r="DB1361" s="885"/>
      <c r="DC1361" s="885"/>
      <c r="DD1361" s="885"/>
      <c r="DE1361" s="885"/>
      <c r="DF1361" s="885"/>
      <c r="DG1361" s="885"/>
      <c r="DH1361" s="885"/>
      <c r="DI1361" s="885"/>
      <c r="DJ1361" s="885"/>
      <c r="DK1361" s="885"/>
      <c r="DL1361" s="885"/>
      <c r="DM1361" s="885"/>
      <c r="DN1361" s="885"/>
      <c r="DO1361" s="885"/>
      <c r="DP1361" s="885"/>
      <c r="DQ1361" s="885"/>
      <c r="DR1361" s="885"/>
      <c r="DS1361" s="885"/>
      <c r="DT1361" s="885"/>
      <c r="DU1361" s="885"/>
      <c r="DV1361" s="885"/>
      <c r="DW1361" s="885"/>
      <c r="DX1361" s="885"/>
      <c r="DY1361" s="885"/>
      <c r="DZ1361" s="885"/>
      <c r="EA1361" s="885"/>
      <c r="EB1361" s="885"/>
      <c r="EC1361" s="885"/>
      <c r="ED1361" s="885"/>
      <c r="EE1361" s="885"/>
      <c r="EF1361" s="885"/>
      <c r="EG1361" s="885"/>
      <c r="EH1361" s="885"/>
      <c r="EI1361" s="885"/>
      <c r="EJ1361" s="885"/>
      <c r="EK1361" s="885"/>
      <c r="EL1361" s="885"/>
      <c r="EM1361" s="885"/>
      <c r="EN1361" s="885"/>
      <c r="EO1361" s="885"/>
      <c r="EP1361" s="885"/>
      <c r="EQ1361" s="885"/>
      <c r="ER1361" s="885"/>
      <c r="ES1361" s="885"/>
      <c r="ET1361" s="885"/>
      <c r="EU1361" s="885"/>
      <c r="EV1361" s="885"/>
      <c r="EW1361" s="885"/>
      <c r="EX1361" s="885"/>
      <c r="EY1361" s="885"/>
      <c r="EZ1361" s="885"/>
      <c r="FA1361" s="885"/>
      <c r="FB1361" s="885"/>
      <c r="FC1361" s="885"/>
      <c r="FD1361" s="885"/>
      <c r="FE1361" s="885"/>
      <c r="FF1361" s="885"/>
      <c r="FG1361" s="885"/>
      <c r="FH1361" s="885"/>
      <c r="FI1361" s="885"/>
      <c r="FJ1361" s="885"/>
      <c r="FK1361" s="885"/>
      <c r="FL1361" s="885"/>
      <c r="FM1361" s="885"/>
      <c r="FN1361" s="885"/>
      <c r="FO1361" s="885"/>
      <c r="FP1361" s="885"/>
      <c r="FQ1361" s="885"/>
      <c r="FR1361" s="885"/>
      <c r="FS1361" s="885"/>
      <c r="FT1361" s="885"/>
      <c r="FU1361" s="885"/>
      <c r="FV1361" s="885"/>
      <c r="FW1361" s="885"/>
      <c r="FX1361" s="885"/>
      <c r="FY1361" s="885"/>
      <c r="FZ1361" s="885"/>
      <c r="GA1361" s="885"/>
      <c r="GB1361" s="885"/>
      <c r="GC1361" s="885"/>
      <c r="GD1361" s="885"/>
      <c r="GE1361" s="885"/>
      <c r="GF1361" s="885"/>
      <c r="GG1361" s="885"/>
      <c r="GH1361" s="885"/>
      <c r="GI1361" s="885"/>
      <c r="GJ1361" s="885"/>
      <c r="GK1361" s="885"/>
      <c r="GL1361" s="885"/>
      <c r="GM1361" s="885"/>
      <c r="GN1361" s="885"/>
      <c r="GO1361" s="885"/>
      <c r="GP1361" s="885"/>
      <c r="GQ1361" s="885"/>
      <c r="GR1361" s="885"/>
      <c r="GS1361" s="885"/>
      <c r="GT1361" s="885"/>
      <c r="GU1361" s="885"/>
      <c r="GV1361" s="885"/>
      <c r="GW1361" s="885"/>
      <c r="GX1361" s="885"/>
      <c r="GY1361" s="885"/>
      <c r="GZ1361" s="885"/>
      <c r="HA1361" s="885"/>
      <c r="HB1361" s="885"/>
      <c r="HC1361" s="885"/>
      <c r="HD1361" s="885"/>
      <c r="HE1361" s="885"/>
      <c r="HF1361" s="885"/>
      <c r="HG1361" s="885"/>
      <c r="HH1361" s="885"/>
      <c r="HI1361" s="885"/>
      <c r="HJ1361" s="885"/>
      <c r="HK1361" s="885"/>
      <c r="HL1361" s="885"/>
      <c r="HM1361" s="885"/>
      <c r="HN1361" s="885"/>
      <c r="HO1361" s="885"/>
      <c r="HP1361" s="885"/>
      <c r="HQ1361" s="885"/>
      <c r="HR1361" s="885"/>
      <c r="HS1361" s="885"/>
      <c r="HT1361" s="885"/>
      <c r="HU1361" s="885"/>
      <c r="HV1361" s="885"/>
      <c r="HW1361" s="885"/>
      <c r="HX1361" s="885"/>
      <c r="HY1361" s="885"/>
      <c r="HZ1361" s="885"/>
      <c r="IA1361" s="885"/>
      <c r="IB1361" s="885"/>
      <c r="IC1361" s="885"/>
      <c r="ID1361" s="885"/>
      <c r="IE1361" s="885"/>
      <c r="IF1361" s="885"/>
      <c r="IG1361" s="885"/>
      <c r="IH1361" s="885"/>
      <c r="II1361" s="885"/>
      <c r="IJ1361" s="885"/>
      <c r="IK1361" s="885"/>
      <c r="IL1361" s="885"/>
      <c r="IM1361" s="885"/>
      <c r="IN1361" s="885"/>
      <c r="IO1361" s="885"/>
      <c r="IP1361" s="885"/>
      <c r="IQ1361" s="885"/>
      <c r="IR1361" s="885"/>
      <c r="IS1361" s="885"/>
      <c r="IT1361" s="885"/>
      <c r="IU1361" s="885"/>
      <c r="IV1361" s="885"/>
      <c r="IW1361" s="885"/>
      <c r="IX1361" s="885"/>
    </row>
    <row r="1362" spans="1:258" x14ac:dyDescent="0.25">
      <c r="A1362" s="125">
        <f t="shared" si="152"/>
        <v>1322</v>
      </c>
      <c r="B1362" s="885"/>
      <c r="C1362" s="842" t="s">
        <v>10884</v>
      </c>
      <c r="D1362" s="924">
        <v>0</v>
      </c>
      <c r="E1362" s="924">
        <f t="shared" si="158"/>
        <v>0</v>
      </c>
      <c r="F1362" s="129">
        <v>5000</v>
      </c>
      <c r="G1362" s="122" t="s">
        <v>1963</v>
      </c>
      <c r="H1362" s="885"/>
      <c r="I1362" s="885"/>
      <c r="J1362" s="885"/>
      <c r="K1362" s="885"/>
      <c r="L1362" s="885"/>
      <c r="M1362" s="885"/>
      <c r="N1362" s="885"/>
      <c r="O1362" s="885"/>
      <c r="P1362" s="885"/>
      <c r="Q1362" s="885"/>
      <c r="R1362" s="885"/>
      <c r="S1362" s="885"/>
      <c r="T1362" s="885"/>
      <c r="U1362" s="885"/>
      <c r="V1362" s="885"/>
      <c r="W1362" s="885"/>
      <c r="X1362" s="885"/>
      <c r="Y1362" s="885"/>
      <c r="Z1362" s="885"/>
      <c r="AA1362" s="885"/>
      <c r="AB1362" s="885"/>
      <c r="AC1362" s="885"/>
      <c r="AD1362" s="885"/>
      <c r="AE1362" s="885"/>
      <c r="AF1362" s="885"/>
      <c r="AG1362" s="885"/>
      <c r="AH1362" s="885"/>
      <c r="AI1362" s="885"/>
      <c r="AJ1362" s="885"/>
      <c r="AK1362" s="885"/>
      <c r="AL1362" s="885"/>
      <c r="AM1362" s="885"/>
      <c r="AN1362" s="885"/>
      <c r="AO1362" s="885"/>
      <c r="AP1362" s="885"/>
      <c r="AQ1362" s="885"/>
      <c r="AR1362" s="885"/>
      <c r="AS1362" s="885"/>
      <c r="AT1362" s="885"/>
      <c r="AU1362" s="885"/>
      <c r="AV1362" s="885"/>
      <c r="AW1362" s="885"/>
      <c r="AX1362" s="885"/>
      <c r="AY1362" s="885"/>
      <c r="AZ1362" s="885"/>
      <c r="BA1362" s="885"/>
      <c r="BB1362" s="885"/>
      <c r="BC1362" s="885"/>
      <c r="BD1362" s="885"/>
      <c r="BE1362" s="885"/>
      <c r="BF1362" s="885"/>
      <c r="BG1362" s="885"/>
      <c r="BH1362" s="885"/>
      <c r="BI1362" s="885"/>
      <c r="BJ1362" s="885"/>
      <c r="BK1362" s="885"/>
      <c r="BL1362" s="885"/>
      <c r="BM1362" s="885"/>
      <c r="BN1362" s="885"/>
      <c r="BO1362" s="885"/>
      <c r="BP1362" s="885"/>
      <c r="BQ1362" s="885"/>
      <c r="BR1362" s="885"/>
      <c r="BS1362" s="885"/>
      <c r="BT1362" s="885"/>
      <c r="BU1362" s="885"/>
      <c r="BV1362" s="885"/>
      <c r="BW1362" s="885"/>
      <c r="BX1362" s="885"/>
      <c r="BY1362" s="885"/>
      <c r="BZ1362" s="885"/>
      <c r="CA1362" s="885"/>
      <c r="CB1362" s="885"/>
      <c r="CC1362" s="885"/>
      <c r="CD1362" s="885"/>
      <c r="CE1362" s="885"/>
      <c r="CF1362" s="885"/>
      <c r="CG1362" s="885"/>
      <c r="CH1362" s="885"/>
      <c r="CI1362" s="885"/>
      <c r="CJ1362" s="885"/>
      <c r="CK1362" s="885"/>
      <c r="CL1362" s="885"/>
      <c r="CM1362" s="885"/>
      <c r="CN1362" s="885"/>
      <c r="CO1362" s="885"/>
      <c r="CP1362" s="885"/>
      <c r="CQ1362" s="885"/>
      <c r="CR1362" s="885"/>
      <c r="CS1362" s="885"/>
      <c r="CT1362" s="885"/>
      <c r="CU1362" s="885"/>
      <c r="CV1362" s="885"/>
      <c r="CW1362" s="885"/>
      <c r="CX1362" s="885"/>
      <c r="CY1362" s="885"/>
      <c r="CZ1362" s="885"/>
      <c r="DA1362" s="885"/>
      <c r="DB1362" s="885"/>
      <c r="DC1362" s="885"/>
      <c r="DD1362" s="885"/>
      <c r="DE1362" s="885"/>
      <c r="DF1362" s="885"/>
      <c r="DG1362" s="885"/>
      <c r="DH1362" s="885"/>
      <c r="DI1362" s="885"/>
      <c r="DJ1362" s="885"/>
      <c r="DK1362" s="885"/>
      <c r="DL1362" s="885"/>
      <c r="DM1362" s="885"/>
      <c r="DN1362" s="885"/>
      <c r="DO1362" s="885"/>
      <c r="DP1362" s="885"/>
      <c r="DQ1362" s="885"/>
      <c r="DR1362" s="885"/>
      <c r="DS1362" s="885"/>
      <c r="DT1362" s="885"/>
      <c r="DU1362" s="885"/>
      <c r="DV1362" s="885"/>
      <c r="DW1362" s="885"/>
      <c r="DX1362" s="885"/>
      <c r="DY1362" s="885"/>
      <c r="DZ1362" s="885"/>
      <c r="EA1362" s="885"/>
      <c r="EB1362" s="885"/>
      <c r="EC1362" s="885"/>
      <c r="ED1362" s="885"/>
      <c r="EE1362" s="885"/>
      <c r="EF1362" s="885"/>
      <c r="EG1362" s="885"/>
      <c r="EH1362" s="885"/>
      <c r="EI1362" s="885"/>
      <c r="EJ1362" s="885"/>
      <c r="EK1362" s="885"/>
      <c r="EL1362" s="885"/>
      <c r="EM1362" s="885"/>
      <c r="EN1362" s="885"/>
      <c r="EO1362" s="885"/>
      <c r="EP1362" s="885"/>
      <c r="EQ1362" s="885"/>
      <c r="ER1362" s="885"/>
      <c r="ES1362" s="885"/>
      <c r="ET1362" s="885"/>
      <c r="EU1362" s="885"/>
      <c r="EV1362" s="885"/>
      <c r="EW1362" s="885"/>
      <c r="EX1362" s="885"/>
      <c r="EY1362" s="885"/>
      <c r="EZ1362" s="885"/>
      <c r="FA1362" s="885"/>
      <c r="FB1362" s="885"/>
      <c r="FC1362" s="885"/>
      <c r="FD1362" s="885"/>
      <c r="FE1362" s="885"/>
      <c r="FF1362" s="885"/>
      <c r="FG1362" s="885"/>
      <c r="FH1362" s="885"/>
      <c r="FI1362" s="885"/>
      <c r="FJ1362" s="885"/>
      <c r="FK1362" s="885"/>
      <c r="FL1362" s="885"/>
      <c r="FM1362" s="885"/>
      <c r="FN1362" s="885"/>
      <c r="FO1362" s="885"/>
      <c r="FP1362" s="885"/>
      <c r="FQ1362" s="885"/>
      <c r="FR1362" s="885"/>
      <c r="FS1362" s="885"/>
      <c r="FT1362" s="885"/>
      <c r="FU1362" s="885"/>
      <c r="FV1362" s="885"/>
      <c r="FW1362" s="885"/>
      <c r="FX1362" s="885"/>
      <c r="FY1362" s="885"/>
      <c r="FZ1362" s="885"/>
      <c r="GA1362" s="885"/>
      <c r="GB1362" s="885"/>
      <c r="GC1362" s="885"/>
      <c r="GD1362" s="885"/>
      <c r="GE1362" s="885"/>
      <c r="GF1362" s="885"/>
      <c r="GG1362" s="885"/>
      <c r="GH1362" s="885"/>
      <c r="GI1362" s="885"/>
      <c r="GJ1362" s="885"/>
      <c r="GK1362" s="885"/>
      <c r="GL1362" s="885"/>
      <c r="GM1362" s="885"/>
      <c r="GN1362" s="885"/>
      <c r="GO1362" s="885"/>
      <c r="GP1362" s="885"/>
      <c r="GQ1362" s="885"/>
      <c r="GR1362" s="885"/>
      <c r="GS1362" s="885"/>
      <c r="GT1362" s="885"/>
      <c r="GU1362" s="885"/>
      <c r="GV1362" s="885"/>
      <c r="GW1362" s="885"/>
      <c r="GX1362" s="885"/>
      <c r="GY1362" s="885"/>
      <c r="GZ1362" s="885"/>
      <c r="HA1362" s="885"/>
      <c r="HB1362" s="885"/>
      <c r="HC1362" s="885"/>
      <c r="HD1362" s="885"/>
      <c r="HE1362" s="885"/>
      <c r="HF1362" s="885"/>
      <c r="HG1362" s="885"/>
      <c r="HH1362" s="885"/>
      <c r="HI1362" s="885"/>
      <c r="HJ1362" s="885"/>
      <c r="HK1362" s="885"/>
      <c r="HL1362" s="885"/>
      <c r="HM1362" s="885"/>
      <c r="HN1362" s="885"/>
      <c r="HO1362" s="885"/>
      <c r="HP1362" s="885"/>
      <c r="HQ1362" s="885"/>
      <c r="HR1362" s="885"/>
      <c r="HS1362" s="885"/>
      <c r="HT1362" s="885"/>
      <c r="HU1362" s="885"/>
      <c r="HV1362" s="885"/>
      <c r="HW1362" s="885"/>
      <c r="HX1362" s="885"/>
      <c r="HY1362" s="885"/>
      <c r="HZ1362" s="885"/>
      <c r="IA1362" s="885"/>
      <c r="IB1362" s="885"/>
      <c r="IC1362" s="885"/>
      <c r="ID1362" s="885"/>
      <c r="IE1362" s="885"/>
      <c r="IF1362" s="885"/>
      <c r="IG1362" s="885"/>
      <c r="IH1362" s="885"/>
      <c r="II1362" s="885"/>
      <c r="IJ1362" s="885"/>
      <c r="IK1362" s="885"/>
      <c r="IL1362" s="885"/>
      <c r="IM1362" s="885"/>
      <c r="IN1362" s="885"/>
      <c r="IO1362" s="885"/>
      <c r="IP1362" s="885"/>
      <c r="IQ1362" s="885"/>
      <c r="IR1362" s="885"/>
      <c r="IS1362" s="885"/>
      <c r="IT1362" s="885"/>
      <c r="IU1362" s="885"/>
      <c r="IV1362" s="885"/>
      <c r="IW1362" s="885"/>
      <c r="IX1362" s="885"/>
    </row>
    <row r="1363" spans="1:258" x14ac:dyDescent="0.25">
      <c r="A1363" s="125">
        <f t="shared" si="152"/>
        <v>1323</v>
      </c>
      <c r="B1363" s="885"/>
      <c r="C1363" s="232" t="s">
        <v>10885</v>
      </c>
      <c r="D1363" s="915"/>
      <c r="E1363" s="915"/>
      <c r="F1363" s="129"/>
      <c r="H1363" s="885"/>
      <c r="I1363" s="885"/>
      <c r="J1363" s="885"/>
      <c r="K1363" s="885"/>
      <c r="L1363" s="885"/>
      <c r="M1363" s="885"/>
      <c r="N1363" s="885"/>
      <c r="O1363" s="885"/>
      <c r="P1363" s="885"/>
      <c r="Q1363" s="885"/>
      <c r="R1363" s="885"/>
      <c r="S1363" s="885"/>
      <c r="T1363" s="885"/>
      <c r="U1363" s="885"/>
      <c r="V1363" s="885"/>
      <c r="W1363" s="885"/>
      <c r="X1363" s="885"/>
      <c r="Y1363" s="885"/>
      <c r="Z1363" s="885"/>
      <c r="AA1363" s="885"/>
      <c r="AB1363" s="885"/>
      <c r="AC1363" s="885"/>
      <c r="AD1363" s="885"/>
      <c r="AE1363" s="885"/>
      <c r="AF1363" s="885"/>
      <c r="AG1363" s="885"/>
      <c r="AH1363" s="885"/>
      <c r="AI1363" s="885"/>
      <c r="AJ1363" s="885"/>
      <c r="AK1363" s="885"/>
      <c r="AL1363" s="885"/>
      <c r="AM1363" s="885"/>
      <c r="AN1363" s="885"/>
      <c r="AO1363" s="885"/>
      <c r="AP1363" s="885"/>
      <c r="AQ1363" s="885"/>
      <c r="AR1363" s="885"/>
      <c r="AS1363" s="885"/>
      <c r="AT1363" s="885"/>
      <c r="AU1363" s="885"/>
      <c r="AV1363" s="885"/>
      <c r="AW1363" s="885"/>
      <c r="AX1363" s="885"/>
      <c r="AY1363" s="885"/>
      <c r="AZ1363" s="885"/>
      <c r="BA1363" s="885"/>
      <c r="BB1363" s="885"/>
      <c r="BC1363" s="885"/>
      <c r="BD1363" s="885"/>
      <c r="BE1363" s="885"/>
      <c r="BF1363" s="885"/>
      <c r="BG1363" s="885"/>
      <c r="BH1363" s="885"/>
      <c r="BI1363" s="885"/>
      <c r="BJ1363" s="885"/>
      <c r="BK1363" s="885"/>
      <c r="BL1363" s="885"/>
      <c r="BM1363" s="885"/>
      <c r="BN1363" s="885"/>
      <c r="BO1363" s="885"/>
      <c r="BP1363" s="885"/>
      <c r="BQ1363" s="885"/>
      <c r="BR1363" s="885"/>
      <c r="BS1363" s="885"/>
      <c r="BT1363" s="885"/>
      <c r="BU1363" s="885"/>
      <c r="BV1363" s="885"/>
      <c r="BW1363" s="885"/>
      <c r="BX1363" s="885"/>
      <c r="BY1363" s="885"/>
      <c r="BZ1363" s="885"/>
      <c r="CA1363" s="885"/>
      <c r="CB1363" s="885"/>
      <c r="CC1363" s="885"/>
      <c r="CD1363" s="885"/>
      <c r="CE1363" s="885"/>
      <c r="CF1363" s="885"/>
      <c r="CG1363" s="885"/>
      <c r="CH1363" s="885"/>
      <c r="CI1363" s="885"/>
      <c r="CJ1363" s="885"/>
      <c r="CK1363" s="885"/>
      <c r="CL1363" s="885"/>
      <c r="CM1363" s="885"/>
      <c r="CN1363" s="885"/>
      <c r="CO1363" s="885"/>
      <c r="CP1363" s="885"/>
      <c r="CQ1363" s="885"/>
      <c r="CR1363" s="885"/>
      <c r="CS1363" s="885"/>
      <c r="CT1363" s="885"/>
      <c r="CU1363" s="885"/>
      <c r="CV1363" s="885"/>
      <c r="CW1363" s="885"/>
      <c r="CX1363" s="885"/>
      <c r="CY1363" s="885"/>
      <c r="CZ1363" s="885"/>
      <c r="DA1363" s="885"/>
      <c r="DB1363" s="885"/>
      <c r="DC1363" s="885"/>
      <c r="DD1363" s="885"/>
      <c r="DE1363" s="885"/>
      <c r="DF1363" s="885"/>
      <c r="DG1363" s="885"/>
      <c r="DH1363" s="885"/>
      <c r="DI1363" s="885"/>
      <c r="DJ1363" s="885"/>
      <c r="DK1363" s="885"/>
      <c r="DL1363" s="885"/>
      <c r="DM1363" s="885"/>
      <c r="DN1363" s="885"/>
      <c r="DO1363" s="885"/>
      <c r="DP1363" s="885"/>
      <c r="DQ1363" s="885"/>
      <c r="DR1363" s="885"/>
      <c r="DS1363" s="885"/>
      <c r="DT1363" s="885"/>
      <c r="DU1363" s="885"/>
      <c r="DV1363" s="885"/>
      <c r="DW1363" s="885"/>
      <c r="DX1363" s="885"/>
      <c r="DY1363" s="885"/>
      <c r="DZ1363" s="885"/>
      <c r="EA1363" s="885"/>
      <c r="EB1363" s="885"/>
      <c r="EC1363" s="885"/>
      <c r="ED1363" s="885"/>
      <c r="EE1363" s="885"/>
      <c r="EF1363" s="885"/>
      <c r="EG1363" s="885"/>
      <c r="EH1363" s="885"/>
      <c r="EI1363" s="885"/>
      <c r="EJ1363" s="885"/>
      <c r="EK1363" s="885"/>
      <c r="EL1363" s="885"/>
      <c r="EM1363" s="885"/>
      <c r="EN1363" s="885"/>
      <c r="EO1363" s="885"/>
      <c r="EP1363" s="885"/>
      <c r="EQ1363" s="885"/>
      <c r="ER1363" s="885"/>
      <c r="ES1363" s="885"/>
      <c r="ET1363" s="885"/>
      <c r="EU1363" s="885"/>
      <c r="EV1363" s="885"/>
      <c r="EW1363" s="885"/>
      <c r="EX1363" s="885"/>
      <c r="EY1363" s="885"/>
      <c r="EZ1363" s="885"/>
      <c r="FA1363" s="885"/>
      <c r="FB1363" s="885"/>
      <c r="FC1363" s="885"/>
      <c r="FD1363" s="885"/>
      <c r="FE1363" s="885"/>
      <c r="FF1363" s="885"/>
      <c r="FG1363" s="885"/>
      <c r="FH1363" s="885"/>
      <c r="FI1363" s="885"/>
      <c r="FJ1363" s="885"/>
      <c r="FK1363" s="885"/>
      <c r="FL1363" s="885"/>
      <c r="FM1363" s="885"/>
      <c r="FN1363" s="885"/>
      <c r="FO1363" s="885"/>
      <c r="FP1363" s="885"/>
      <c r="FQ1363" s="885"/>
      <c r="FR1363" s="885"/>
      <c r="FS1363" s="885"/>
      <c r="FT1363" s="885"/>
      <c r="FU1363" s="885"/>
      <c r="FV1363" s="885"/>
      <c r="FW1363" s="885"/>
      <c r="FX1363" s="885"/>
      <c r="FY1363" s="885"/>
      <c r="FZ1363" s="885"/>
      <c r="GA1363" s="885"/>
      <c r="GB1363" s="885"/>
      <c r="GC1363" s="885"/>
      <c r="GD1363" s="885"/>
      <c r="GE1363" s="885"/>
      <c r="GF1363" s="885"/>
      <c r="GG1363" s="885"/>
      <c r="GH1363" s="885"/>
      <c r="GI1363" s="885"/>
      <c r="GJ1363" s="885"/>
      <c r="GK1363" s="885"/>
      <c r="GL1363" s="885"/>
      <c r="GM1363" s="885"/>
      <c r="GN1363" s="885"/>
      <c r="GO1363" s="885"/>
      <c r="GP1363" s="885"/>
      <c r="GQ1363" s="885"/>
      <c r="GR1363" s="885"/>
      <c r="GS1363" s="885"/>
      <c r="GT1363" s="885"/>
      <c r="GU1363" s="885"/>
      <c r="GV1363" s="885"/>
      <c r="GW1363" s="885"/>
      <c r="GX1363" s="885"/>
      <c r="GY1363" s="885"/>
      <c r="GZ1363" s="885"/>
      <c r="HA1363" s="885"/>
      <c r="HB1363" s="885"/>
      <c r="HC1363" s="885"/>
      <c r="HD1363" s="885"/>
      <c r="HE1363" s="885"/>
      <c r="HF1363" s="885"/>
      <c r="HG1363" s="885"/>
      <c r="HH1363" s="885"/>
      <c r="HI1363" s="885"/>
      <c r="HJ1363" s="885"/>
      <c r="HK1363" s="885"/>
      <c r="HL1363" s="885"/>
      <c r="HM1363" s="885"/>
      <c r="HN1363" s="885"/>
      <c r="HO1363" s="885"/>
      <c r="HP1363" s="885"/>
      <c r="HQ1363" s="885"/>
      <c r="HR1363" s="885"/>
      <c r="HS1363" s="885"/>
      <c r="HT1363" s="885"/>
      <c r="HU1363" s="885"/>
      <c r="HV1363" s="885"/>
      <c r="HW1363" s="885"/>
      <c r="HX1363" s="885"/>
      <c r="HY1363" s="885"/>
      <c r="HZ1363" s="885"/>
      <c r="IA1363" s="885"/>
      <c r="IB1363" s="885"/>
      <c r="IC1363" s="885"/>
      <c r="ID1363" s="885"/>
      <c r="IE1363" s="885"/>
      <c r="IF1363" s="885"/>
      <c r="IG1363" s="885"/>
      <c r="IH1363" s="885"/>
      <c r="II1363" s="885"/>
      <c r="IJ1363" s="885"/>
      <c r="IK1363" s="885"/>
      <c r="IL1363" s="885"/>
      <c r="IM1363" s="885"/>
      <c r="IN1363" s="885"/>
      <c r="IO1363" s="885"/>
      <c r="IP1363" s="885"/>
      <c r="IQ1363" s="885"/>
      <c r="IR1363" s="885"/>
      <c r="IS1363" s="885"/>
      <c r="IT1363" s="885"/>
      <c r="IU1363" s="885"/>
      <c r="IV1363" s="885"/>
      <c r="IW1363" s="885"/>
      <c r="IX1363" s="885"/>
    </row>
    <row r="1364" spans="1:258" x14ac:dyDescent="0.25">
      <c r="A1364" s="125">
        <f t="shared" si="152"/>
        <v>1324</v>
      </c>
      <c r="B1364" s="885"/>
      <c r="C1364" s="842" t="s">
        <v>10886</v>
      </c>
      <c r="D1364" s="924">
        <v>0</v>
      </c>
      <c r="E1364" s="924">
        <f t="shared" ref="E1364:E1370" si="160">D1364/8*12</f>
        <v>0</v>
      </c>
      <c r="F1364" s="129">
        <v>1</v>
      </c>
      <c r="G1364" s="122" t="s">
        <v>1963</v>
      </c>
      <c r="H1364" s="885"/>
      <c r="I1364" s="885"/>
      <c r="J1364" s="885"/>
      <c r="K1364" s="885"/>
      <c r="L1364" s="885"/>
      <c r="M1364" s="885"/>
      <c r="N1364" s="885"/>
      <c r="O1364" s="885"/>
      <c r="P1364" s="885"/>
      <c r="Q1364" s="885"/>
      <c r="R1364" s="885"/>
      <c r="S1364" s="885"/>
      <c r="T1364" s="885"/>
      <c r="U1364" s="885"/>
      <c r="V1364" s="885"/>
      <c r="W1364" s="885"/>
      <c r="X1364" s="885"/>
      <c r="Y1364" s="885"/>
      <c r="Z1364" s="885"/>
      <c r="AA1364" s="885"/>
      <c r="AB1364" s="885"/>
      <c r="AC1364" s="885"/>
      <c r="AD1364" s="885"/>
      <c r="AE1364" s="885"/>
      <c r="AF1364" s="885"/>
      <c r="AG1364" s="885"/>
      <c r="AH1364" s="885"/>
      <c r="AI1364" s="885"/>
      <c r="AJ1364" s="885"/>
      <c r="AK1364" s="885"/>
      <c r="AL1364" s="885"/>
      <c r="AM1364" s="885"/>
      <c r="AN1364" s="885"/>
      <c r="AO1364" s="885"/>
      <c r="AP1364" s="885"/>
      <c r="AQ1364" s="885"/>
      <c r="AR1364" s="885"/>
      <c r="AS1364" s="885"/>
      <c r="AT1364" s="885"/>
      <c r="AU1364" s="885"/>
      <c r="AV1364" s="885"/>
      <c r="AW1364" s="885"/>
      <c r="AX1364" s="885"/>
      <c r="AY1364" s="885"/>
      <c r="AZ1364" s="885"/>
      <c r="BA1364" s="885"/>
      <c r="BB1364" s="885"/>
      <c r="BC1364" s="885"/>
      <c r="BD1364" s="885"/>
      <c r="BE1364" s="885"/>
      <c r="BF1364" s="885"/>
      <c r="BG1364" s="885"/>
      <c r="BH1364" s="885"/>
      <c r="BI1364" s="885"/>
      <c r="BJ1364" s="885"/>
      <c r="BK1364" s="885"/>
      <c r="BL1364" s="885"/>
      <c r="BM1364" s="885"/>
      <c r="BN1364" s="885"/>
      <c r="BO1364" s="885"/>
      <c r="BP1364" s="885"/>
      <c r="BQ1364" s="885"/>
      <c r="BR1364" s="885"/>
      <c r="BS1364" s="885"/>
      <c r="BT1364" s="885"/>
      <c r="BU1364" s="885"/>
      <c r="BV1364" s="885"/>
      <c r="BW1364" s="885"/>
      <c r="BX1364" s="885"/>
      <c r="BY1364" s="885"/>
      <c r="BZ1364" s="885"/>
      <c r="CA1364" s="885"/>
      <c r="CB1364" s="885"/>
      <c r="CC1364" s="885"/>
      <c r="CD1364" s="885"/>
      <c r="CE1364" s="885"/>
      <c r="CF1364" s="885"/>
      <c r="CG1364" s="885"/>
      <c r="CH1364" s="885"/>
      <c r="CI1364" s="885"/>
      <c r="CJ1364" s="885"/>
      <c r="CK1364" s="885"/>
      <c r="CL1364" s="885"/>
      <c r="CM1364" s="885"/>
      <c r="CN1364" s="885"/>
      <c r="CO1364" s="885"/>
      <c r="CP1364" s="885"/>
      <c r="CQ1364" s="885"/>
      <c r="CR1364" s="885"/>
      <c r="CS1364" s="885"/>
      <c r="CT1364" s="885"/>
      <c r="CU1364" s="885"/>
      <c r="CV1364" s="885"/>
      <c r="CW1364" s="885"/>
      <c r="CX1364" s="885"/>
      <c r="CY1364" s="885"/>
      <c r="CZ1364" s="885"/>
      <c r="DA1364" s="885"/>
      <c r="DB1364" s="885"/>
      <c r="DC1364" s="885"/>
      <c r="DD1364" s="885"/>
      <c r="DE1364" s="885"/>
      <c r="DF1364" s="885"/>
      <c r="DG1364" s="885"/>
      <c r="DH1364" s="885"/>
      <c r="DI1364" s="885"/>
      <c r="DJ1364" s="885"/>
      <c r="DK1364" s="885"/>
      <c r="DL1364" s="885"/>
      <c r="DM1364" s="885"/>
      <c r="DN1364" s="885"/>
      <c r="DO1364" s="885"/>
      <c r="DP1364" s="885"/>
      <c r="DQ1364" s="885"/>
      <c r="DR1364" s="885"/>
      <c r="DS1364" s="885"/>
      <c r="DT1364" s="885"/>
      <c r="DU1364" s="885"/>
      <c r="DV1364" s="885"/>
      <c r="DW1364" s="885"/>
      <c r="DX1364" s="885"/>
      <c r="DY1364" s="885"/>
      <c r="DZ1364" s="885"/>
      <c r="EA1364" s="885"/>
      <c r="EB1364" s="885"/>
      <c r="EC1364" s="885"/>
      <c r="ED1364" s="885"/>
      <c r="EE1364" s="885"/>
      <c r="EF1364" s="885"/>
      <c r="EG1364" s="885"/>
      <c r="EH1364" s="885"/>
      <c r="EI1364" s="885"/>
      <c r="EJ1364" s="885"/>
      <c r="EK1364" s="885"/>
      <c r="EL1364" s="885"/>
      <c r="EM1364" s="885"/>
      <c r="EN1364" s="885"/>
      <c r="EO1364" s="885"/>
      <c r="EP1364" s="885"/>
      <c r="EQ1364" s="885"/>
      <c r="ER1364" s="885"/>
      <c r="ES1364" s="885"/>
      <c r="ET1364" s="885"/>
      <c r="EU1364" s="885"/>
      <c r="EV1364" s="885"/>
      <c r="EW1364" s="885"/>
      <c r="EX1364" s="885"/>
      <c r="EY1364" s="885"/>
      <c r="EZ1364" s="885"/>
      <c r="FA1364" s="885"/>
      <c r="FB1364" s="885"/>
      <c r="FC1364" s="885"/>
      <c r="FD1364" s="885"/>
      <c r="FE1364" s="885"/>
      <c r="FF1364" s="885"/>
      <c r="FG1364" s="885"/>
      <c r="FH1364" s="885"/>
      <c r="FI1364" s="885"/>
      <c r="FJ1364" s="885"/>
      <c r="FK1364" s="885"/>
      <c r="FL1364" s="885"/>
      <c r="FM1364" s="885"/>
      <c r="FN1364" s="885"/>
      <c r="FO1364" s="885"/>
      <c r="FP1364" s="885"/>
      <c r="FQ1364" s="885"/>
      <c r="FR1364" s="885"/>
      <c r="FS1364" s="885"/>
      <c r="FT1364" s="885"/>
      <c r="FU1364" s="885"/>
      <c r="FV1364" s="885"/>
      <c r="FW1364" s="885"/>
      <c r="FX1364" s="885"/>
      <c r="FY1364" s="885"/>
      <c r="FZ1364" s="885"/>
      <c r="GA1364" s="885"/>
      <c r="GB1364" s="885"/>
      <c r="GC1364" s="885"/>
      <c r="GD1364" s="885"/>
      <c r="GE1364" s="885"/>
      <c r="GF1364" s="885"/>
      <c r="GG1364" s="885"/>
      <c r="GH1364" s="885"/>
      <c r="GI1364" s="885"/>
      <c r="GJ1364" s="885"/>
      <c r="GK1364" s="885"/>
      <c r="GL1364" s="885"/>
      <c r="GM1364" s="885"/>
      <c r="GN1364" s="885"/>
      <c r="GO1364" s="885"/>
      <c r="GP1364" s="885"/>
      <c r="GQ1364" s="885"/>
      <c r="GR1364" s="885"/>
      <c r="GS1364" s="885"/>
      <c r="GT1364" s="885"/>
      <c r="GU1364" s="885"/>
      <c r="GV1364" s="885"/>
      <c r="GW1364" s="885"/>
      <c r="GX1364" s="885"/>
      <c r="GY1364" s="885"/>
      <c r="GZ1364" s="885"/>
      <c r="HA1364" s="885"/>
      <c r="HB1364" s="885"/>
      <c r="HC1364" s="885"/>
      <c r="HD1364" s="885"/>
      <c r="HE1364" s="885"/>
      <c r="HF1364" s="885"/>
      <c r="HG1364" s="885"/>
      <c r="HH1364" s="885"/>
      <c r="HI1364" s="885"/>
      <c r="HJ1364" s="885"/>
      <c r="HK1364" s="885"/>
      <c r="HL1364" s="885"/>
      <c r="HM1364" s="885"/>
      <c r="HN1364" s="885"/>
      <c r="HO1364" s="885"/>
      <c r="HP1364" s="885"/>
      <c r="HQ1364" s="885"/>
      <c r="HR1364" s="885"/>
      <c r="HS1364" s="885"/>
      <c r="HT1364" s="885"/>
      <c r="HU1364" s="885"/>
      <c r="HV1364" s="885"/>
      <c r="HW1364" s="885"/>
      <c r="HX1364" s="885"/>
      <c r="HY1364" s="885"/>
      <c r="HZ1364" s="885"/>
      <c r="IA1364" s="885"/>
      <c r="IB1364" s="885"/>
      <c r="IC1364" s="885"/>
      <c r="ID1364" s="885"/>
      <c r="IE1364" s="885"/>
      <c r="IF1364" s="885"/>
      <c r="IG1364" s="885"/>
      <c r="IH1364" s="885"/>
      <c r="II1364" s="885"/>
      <c r="IJ1364" s="885"/>
      <c r="IK1364" s="885"/>
      <c r="IL1364" s="885"/>
      <c r="IM1364" s="885"/>
      <c r="IN1364" s="885"/>
      <c r="IO1364" s="885"/>
      <c r="IP1364" s="885"/>
      <c r="IQ1364" s="885"/>
      <c r="IR1364" s="885"/>
      <c r="IS1364" s="885"/>
      <c r="IT1364" s="885"/>
      <c r="IU1364" s="885"/>
      <c r="IV1364" s="885"/>
      <c r="IW1364" s="885"/>
      <c r="IX1364" s="885"/>
    </row>
    <row r="1365" spans="1:258" x14ac:dyDescent="0.25">
      <c r="A1365" s="125">
        <f t="shared" si="152"/>
        <v>1325</v>
      </c>
      <c r="B1365" s="885"/>
      <c r="C1365" s="842" t="s">
        <v>10887</v>
      </c>
      <c r="D1365" s="924">
        <v>0</v>
      </c>
      <c r="E1365" s="924">
        <f t="shared" si="160"/>
        <v>0</v>
      </c>
      <c r="F1365" s="129">
        <v>1</v>
      </c>
      <c r="G1365" s="122" t="s">
        <v>1963</v>
      </c>
      <c r="H1365" s="885"/>
      <c r="I1365" s="885"/>
      <c r="J1365" s="885"/>
      <c r="K1365" s="885"/>
      <c r="L1365" s="885"/>
      <c r="M1365" s="885"/>
      <c r="N1365" s="885"/>
      <c r="O1365" s="885"/>
      <c r="P1365" s="885"/>
      <c r="Q1365" s="885"/>
      <c r="R1365" s="885"/>
      <c r="S1365" s="885"/>
      <c r="T1365" s="885"/>
      <c r="U1365" s="885"/>
      <c r="V1365" s="885"/>
      <c r="W1365" s="885"/>
      <c r="X1365" s="885"/>
      <c r="Y1365" s="885"/>
      <c r="Z1365" s="885"/>
      <c r="AA1365" s="885"/>
      <c r="AB1365" s="885"/>
      <c r="AC1365" s="885"/>
      <c r="AD1365" s="885"/>
      <c r="AE1365" s="885"/>
      <c r="AF1365" s="885"/>
      <c r="AG1365" s="885"/>
      <c r="AH1365" s="885"/>
      <c r="AI1365" s="885"/>
      <c r="AJ1365" s="885"/>
      <c r="AK1365" s="885"/>
      <c r="AL1365" s="885"/>
      <c r="AM1365" s="885"/>
      <c r="AN1365" s="885"/>
      <c r="AO1365" s="885"/>
      <c r="AP1365" s="885"/>
      <c r="AQ1365" s="885"/>
      <c r="AR1365" s="885"/>
      <c r="AS1365" s="885"/>
      <c r="AT1365" s="885"/>
      <c r="AU1365" s="885"/>
      <c r="AV1365" s="885"/>
      <c r="AW1365" s="885"/>
      <c r="AX1365" s="885"/>
      <c r="AY1365" s="885"/>
      <c r="AZ1365" s="885"/>
      <c r="BA1365" s="885"/>
      <c r="BB1365" s="885"/>
      <c r="BC1365" s="885"/>
      <c r="BD1365" s="885"/>
      <c r="BE1365" s="885"/>
      <c r="BF1365" s="885"/>
      <c r="BG1365" s="885"/>
      <c r="BH1365" s="885"/>
      <c r="BI1365" s="885"/>
      <c r="BJ1365" s="885"/>
      <c r="BK1365" s="885"/>
      <c r="BL1365" s="885"/>
      <c r="BM1365" s="885"/>
      <c r="BN1365" s="885"/>
      <c r="BO1365" s="885"/>
      <c r="BP1365" s="885"/>
      <c r="BQ1365" s="885"/>
      <c r="BR1365" s="885"/>
      <c r="BS1365" s="885"/>
      <c r="BT1365" s="885"/>
      <c r="BU1365" s="885"/>
      <c r="BV1365" s="885"/>
      <c r="BW1365" s="885"/>
      <c r="BX1365" s="885"/>
      <c r="BY1365" s="885"/>
      <c r="BZ1365" s="885"/>
      <c r="CA1365" s="885"/>
      <c r="CB1365" s="885"/>
      <c r="CC1365" s="885"/>
      <c r="CD1365" s="885"/>
      <c r="CE1365" s="885"/>
      <c r="CF1365" s="885"/>
      <c r="CG1365" s="885"/>
      <c r="CH1365" s="885"/>
      <c r="CI1365" s="885"/>
      <c r="CJ1365" s="885"/>
      <c r="CK1365" s="885"/>
      <c r="CL1365" s="885"/>
      <c r="CM1365" s="885"/>
      <c r="CN1365" s="885"/>
      <c r="CO1365" s="885"/>
      <c r="CP1365" s="885"/>
      <c r="CQ1365" s="885"/>
      <c r="CR1365" s="885"/>
      <c r="CS1365" s="885"/>
      <c r="CT1365" s="885"/>
      <c r="CU1365" s="885"/>
      <c r="CV1365" s="885"/>
      <c r="CW1365" s="885"/>
      <c r="CX1365" s="885"/>
      <c r="CY1365" s="885"/>
      <c r="CZ1365" s="885"/>
      <c r="DA1365" s="885"/>
      <c r="DB1365" s="885"/>
      <c r="DC1365" s="885"/>
      <c r="DD1365" s="885"/>
      <c r="DE1365" s="885"/>
      <c r="DF1365" s="885"/>
      <c r="DG1365" s="885"/>
      <c r="DH1365" s="885"/>
      <c r="DI1365" s="885"/>
      <c r="DJ1365" s="885"/>
      <c r="DK1365" s="885"/>
      <c r="DL1365" s="885"/>
      <c r="DM1365" s="885"/>
      <c r="DN1365" s="885"/>
      <c r="DO1365" s="885"/>
      <c r="DP1365" s="885"/>
      <c r="DQ1365" s="885"/>
      <c r="DR1365" s="885"/>
      <c r="DS1365" s="885"/>
      <c r="DT1365" s="885"/>
      <c r="DU1365" s="885"/>
      <c r="DV1365" s="885"/>
      <c r="DW1365" s="885"/>
      <c r="DX1365" s="885"/>
      <c r="DY1365" s="885"/>
      <c r="DZ1365" s="885"/>
      <c r="EA1365" s="885"/>
      <c r="EB1365" s="885"/>
      <c r="EC1365" s="885"/>
      <c r="ED1365" s="885"/>
      <c r="EE1365" s="885"/>
      <c r="EF1365" s="885"/>
      <c r="EG1365" s="885"/>
      <c r="EH1365" s="885"/>
      <c r="EI1365" s="885"/>
      <c r="EJ1365" s="885"/>
      <c r="EK1365" s="885"/>
      <c r="EL1365" s="885"/>
      <c r="EM1365" s="885"/>
      <c r="EN1365" s="885"/>
      <c r="EO1365" s="885"/>
      <c r="EP1365" s="885"/>
      <c r="EQ1365" s="885"/>
      <c r="ER1365" s="885"/>
      <c r="ES1365" s="885"/>
      <c r="ET1365" s="885"/>
      <c r="EU1365" s="885"/>
      <c r="EV1365" s="885"/>
      <c r="EW1365" s="885"/>
      <c r="EX1365" s="885"/>
      <c r="EY1365" s="885"/>
      <c r="EZ1365" s="885"/>
      <c r="FA1365" s="885"/>
      <c r="FB1365" s="885"/>
      <c r="FC1365" s="885"/>
      <c r="FD1365" s="885"/>
      <c r="FE1365" s="885"/>
      <c r="FF1365" s="885"/>
      <c r="FG1365" s="885"/>
      <c r="FH1365" s="885"/>
      <c r="FI1365" s="885"/>
      <c r="FJ1365" s="885"/>
      <c r="FK1365" s="885"/>
      <c r="FL1365" s="885"/>
      <c r="FM1365" s="885"/>
      <c r="FN1365" s="885"/>
      <c r="FO1365" s="885"/>
      <c r="FP1365" s="885"/>
      <c r="FQ1365" s="885"/>
      <c r="FR1365" s="885"/>
      <c r="FS1365" s="885"/>
      <c r="FT1365" s="885"/>
      <c r="FU1365" s="885"/>
      <c r="FV1365" s="885"/>
      <c r="FW1365" s="885"/>
      <c r="FX1365" s="885"/>
      <c r="FY1365" s="885"/>
      <c r="FZ1365" s="885"/>
      <c r="GA1365" s="885"/>
      <c r="GB1365" s="885"/>
      <c r="GC1365" s="885"/>
      <c r="GD1365" s="885"/>
      <c r="GE1365" s="885"/>
      <c r="GF1365" s="885"/>
      <c r="GG1365" s="885"/>
      <c r="GH1365" s="885"/>
      <c r="GI1365" s="885"/>
      <c r="GJ1365" s="885"/>
      <c r="GK1365" s="885"/>
      <c r="GL1365" s="885"/>
      <c r="GM1365" s="885"/>
      <c r="GN1365" s="885"/>
      <c r="GO1365" s="885"/>
      <c r="GP1365" s="885"/>
      <c r="GQ1365" s="885"/>
      <c r="GR1365" s="885"/>
      <c r="GS1365" s="885"/>
      <c r="GT1365" s="885"/>
      <c r="GU1365" s="885"/>
      <c r="GV1365" s="885"/>
      <c r="GW1365" s="885"/>
      <c r="GX1365" s="885"/>
      <c r="GY1365" s="885"/>
      <c r="GZ1365" s="885"/>
      <c r="HA1365" s="885"/>
      <c r="HB1365" s="885"/>
      <c r="HC1365" s="885"/>
      <c r="HD1365" s="885"/>
      <c r="HE1365" s="885"/>
      <c r="HF1365" s="885"/>
      <c r="HG1365" s="885"/>
      <c r="HH1365" s="885"/>
      <c r="HI1365" s="885"/>
      <c r="HJ1365" s="885"/>
      <c r="HK1365" s="885"/>
      <c r="HL1365" s="885"/>
      <c r="HM1365" s="885"/>
      <c r="HN1365" s="885"/>
      <c r="HO1365" s="885"/>
      <c r="HP1365" s="885"/>
      <c r="HQ1365" s="885"/>
      <c r="HR1365" s="885"/>
      <c r="HS1365" s="885"/>
      <c r="HT1365" s="885"/>
      <c r="HU1365" s="885"/>
      <c r="HV1365" s="885"/>
      <c r="HW1365" s="885"/>
      <c r="HX1365" s="885"/>
      <c r="HY1365" s="885"/>
      <c r="HZ1365" s="885"/>
      <c r="IA1365" s="885"/>
      <c r="IB1365" s="885"/>
      <c r="IC1365" s="885"/>
      <c r="ID1365" s="885"/>
      <c r="IE1365" s="885"/>
      <c r="IF1365" s="885"/>
      <c r="IG1365" s="885"/>
      <c r="IH1365" s="885"/>
      <c r="II1365" s="885"/>
      <c r="IJ1365" s="885"/>
      <c r="IK1365" s="885"/>
      <c r="IL1365" s="885"/>
      <c r="IM1365" s="885"/>
      <c r="IN1365" s="885"/>
      <c r="IO1365" s="885"/>
      <c r="IP1365" s="885"/>
      <c r="IQ1365" s="885"/>
      <c r="IR1365" s="885"/>
      <c r="IS1365" s="885"/>
      <c r="IT1365" s="885"/>
      <c r="IU1365" s="885"/>
      <c r="IV1365" s="885"/>
      <c r="IW1365" s="885"/>
      <c r="IX1365" s="885"/>
    </row>
    <row r="1366" spans="1:258" x14ac:dyDescent="0.25">
      <c r="A1366" s="125">
        <f t="shared" si="152"/>
        <v>1326</v>
      </c>
      <c r="B1366" s="885"/>
      <c r="C1366" s="842" t="s">
        <v>10888</v>
      </c>
      <c r="D1366" s="924">
        <v>0</v>
      </c>
      <c r="E1366" s="924">
        <f t="shared" si="160"/>
        <v>0</v>
      </c>
      <c r="F1366" s="129">
        <v>1</v>
      </c>
      <c r="G1366" s="122" t="s">
        <v>1963</v>
      </c>
      <c r="H1366" s="885"/>
      <c r="I1366" s="885"/>
      <c r="J1366" s="885"/>
      <c r="K1366" s="885"/>
      <c r="L1366" s="885"/>
      <c r="M1366" s="885"/>
      <c r="N1366" s="885"/>
      <c r="O1366" s="885"/>
      <c r="P1366" s="885"/>
      <c r="Q1366" s="885"/>
      <c r="R1366" s="885"/>
      <c r="S1366" s="885"/>
      <c r="T1366" s="885"/>
      <c r="U1366" s="885"/>
      <c r="V1366" s="885"/>
      <c r="W1366" s="885"/>
      <c r="X1366" s="885"/>
      <c r="Y1366" s="885"/>
      <c r="Z1366" s="885"/>
      <c r="AA1366" s="885"/>
      <c r="AB1366" s="885"/>
      <c r="AC1366" s="885"/>
      <c r="AD1366" s="885"/>
      <c r="AE1366" s="885"/>
      <c r="AF1366" s="885"/>
      <c r="AG1366" s="885"/>
      <c r="AH1366" s="885"/>
      <c r="AI1366" s="885"/>
      <c r="AJ1366" s="885"/>
      <c r="AK1366" s="885"/>
      <c r="AL1366" s="885"/>
      <c r="AM1366" s="885"/>
      <c r="AN1366" s="885"/>
      <c r="AO1366" s="885"/>
      <c r="AP1366" s="885"/>
      <c r="AQ1366" s="885"/>
      <c r="AR1366" s="885"/>
      <c r="AS1366" s="885"/>
      <c r="AT1366" s="885"/>
      <c r="AU1366" s="885"/>
      <c r="AV1366" s="885"/>
      <c r="AW1366" s="885"/>
      <c r="AX1366" s="885"/>
      <c r="AY1366" s="885"/>
      <c r="AZ1366" s="885"/>
      <c r="BA1366" s="885"/>
      <c r="BB1366" s="885"/>
      <c r="BC1366" s="885"/>
      <c r="BD1366" s="885"/>
      <c r="BE1366" s="885"/>
      <c r="BF1366" s="885"/>
      <c r="BG1366" s="885"/>
      <c r="BH1366" s="885"/>
      <c r="BI1366" s="885"/>
      <c r="BJ1366" s="885"/>
      <c r="BK1366" s="885"/>
      <c r="BL1366" s="885"/>
      <c r="BM1366" s="885"/>
      <c r="BN1366" s="885"/>
      <c r="BO1366" s="885"/>
      <c r="BP1366" s="885"/>
      <c r="BQ1366" s="885"/>
      <c r="BR1366" s="885"/>
      <c r="BS1366" s="885"/>
      <c r="BT1366" s="885"/>
      <c r="BU1366" s="885"/>
      <c r="BV1366" s="885"/>
      <c r="BW1366" s="885"/>
      <c r="BX1366" s="885"/>
      <c r="BY1366" s="885"/>
      <c r="BZ1366" s="885"/>
      <c r="CA1366" s="885"/>
      <c r="CB1366" s="885"/>
      <c r="CC1366" s="885"/>
      <c r="CD1366" s="885"/>
      <c r="CE1366" s="885"/>
      <c r="CF1366" s="885"/>
      <c r="CG1366" s="885"/>
      <c r="CH1366" s="885"/>
      <c r="CI1366" s="885"/>
      <c r="CJ1366" s="885"/>
      <c r="CK1366" s="885"/>
      <c r="CL1366" s="885"/>
      <c r="CM1366" s="885"/>
      <c r="CN1366" s="885"/>
      <c r="CO1366" s="885"/>
      <c r="CP1366" s="885"/>
      <c r="CQ1366" s="885"/>
      <c r="CR1366" s="885"/>
      <c r="CS1366" s="885"/>
      <c r="CT1366" s="885"/>
      <c r="CU1366" s="885"/>
      <c r="CV1366" s="885"/>
      <c r="CW1366" s="885"/>
      <c r="CX1366" s="885"/>
      <c r="CY1366" s="885"/>
      <c r="CZ1366" s="885"/>
      <c r="DA1366" s="885"/>
      <c r="DB1366" s="885"/>
      <c r="DC1366" s="885"/>
      <c r="DD1366" s="885"/>
      <c r="DE1366" s="885"/>
      <c r="DF1366" s="885"/>
      <c r="DG1366" s="885"/>
      <c r="DH1366" s="885"/>
      <c r="DI1366" s="885"/>
      <c r="DJ1366" s="885"/>
      <c r="DK1366" s="885"/>
      <c r="DL1366" s="885"/>
      <c r="DM1366" s="885"/>
      <c r="DN1366" s="885"/>
      <c r="DO1366" s="885"/>
      <c r="DP1366" s="885"/>
      <c r="DQ1366" s="885"/>
      <c r="DR1366" s="885"/>
      <c r="DS1366" s="885"/>
      <c r="DT1366" s="885"/>
      <c r="DU1366" s="885"/>
      <c r="DV1366" s="885"/>
      <c r="DW1366" s="885"/>
      <c r="DX1366" s="885"/>
      <c r="DY1366" s="885"/>
      <c r="DZ1366" s="885"/>
      <c r="EA1366" s="885"/>
      <c r="EB1366" s="885"/>
      <c r="EC1366" s="885"/>
      <c r="ED1366" s="885"/>
      <c r="EE1366" s="885"/>
      <c r="EF1366" s="885"/>
      <c r="EG1366" s="885"/>
      <c r="EH1366" s="885"/>
      <c r="EI1366" s="885"/>
      <c r="EJ1366" s="885"/>
      <c r="EK1366" s="885"/>
      <c r="EL1366" s="885"/>
      <c r="EM1366" s="885"/>
      <c r="EN1366" s="885"/>
      <c r="EO1366" s="885"/>
      <c r="EP1366" s="885"/>
      <c r="EQ1366" s="885"/>
      <c r="ER1366" s="885"/>
      <c r="ES1366" s="885"/>
      <c r="ET1366" s="885"/>
      <c r="EU1366" s="885"/>
      <c r="EV1366" s="885"/>
      <c r="EW1366" s="885"/>
      <c r="EX1366" s="885"/>
      <c r="EY1366" s="885"/>
      <c r="EZ1366" s="885"/>
      <c r="FA1366" s="885"/>
      <c r="FB1366" s="885"/>
      <c r="FC1366" s="885"/>
      <c r="FD1366" s="885"/>
      <c r="FE1366" s="885"/>
      <c r="FF1366" s="885"/>
      <c r="FG1366" s="885"/>
      <c r="FH1366" s="885"/>
      <c r="FI1366" s="885"/>
      <c r="FJ1366" s="885"/>
      <c r="FK1366" s="885"/>
      <c r="FL1366" s="885"/>
      <c r="FM1366" s="885"/>
      <c r="FN1366" s="885"/>
      <c r="FO1366" s="885"/>
      <c r="FP1366" s="885"/>
      <c r="FQ1366" s="885"/>
      <c r="FR1366" s="885"/>
      <c r="FS1366" s="885"/>
      <c r="FT1366" s="885"/>
      <c r="FU1366" s="885"/>
      <c r="FV1366" s="885"/>
      <c r="FW1366" s="885"/>
      <c r="FX1366" s="885"/>
      <c r="FY1366" s="885"/>
      <c r="FZ1366" s="885"/>
      <c r="GA1366" s="885"/>
      <c r="GB1366" s="885"/>
      <c r="GC1366" s="885"/>
      <c r="GD1366" s="885"/>
      <c r="GE1366" s="885"/>
      <c r="GF1366" s="885"/>
      <c r="GG1366" s="885"/>
      <c r="GH1366" s="885"/>
      <c r="GI1366" s="885"/>
      <c r="GJ1366" s="885"/>
      <c r="GK1366" s="885"/>
      <c r="GL1366" s="885"/>
      <c r="GM1366" s="885"/>
      <c r="GN1366" s="885"/>
      <c r="GO1366" s="885"/>
      <c r="GP1366" s="885"/>
      <c r="GQ1366" s="885"/>
      <c r="GR1366" s="885"/>
      <c r="GS1366" s="885"/>
      <c r="GT1366" s="885"/>
      <c r="GU1366" s="885"/>
      <c r="GV1366" s="885"/>
      <c r="GW1366" s="885"/>
      <c r="GX1366" s="885"/>
      <c r="GY1366" s="885"/>
      <c r="GZ1366" s="885"/>
      <c r="HA1366" s="885"/>
      <c r="HB1366" s="885"/>
      <c r="HC1366" s="885"/>
      <c r="HD1366" s="885"/>
      <c r="HE1366" s="885"/>
      <c r="HF1366" s="885"/>
      <c r="HG1366" s="885"/>
      <c r="HH1366" s="885"/>
      <c r="HI1366" s="885"/>
      <c r="HJ1366" s="885"/>
      <c r="HK1366" s="885"/>
      <c r="HL1366" s="885"/>
      <c r="HM1366" s="885"/>
      <c r="HN1366" s="885"/>
      <c r="HO1366" s="885"/>
      <c r="HP1366" s="885"/>
      <c r="HQ1366" s="885"/>
      <c r="HR1366" s="885"/>
      <c r="HS1366" s="885"/>
      <c r="HT1366" s="885"/>
      <c r="HU1366" s="885"/>
      <c r="HV1366" s="885"/>
      <c r="HW1366" s="885"/>
      <c r="HX1366" s="885"/>
      <c r="HY1366" s="885"/>
      <c r="HZ1366" s="885"/>
      <c r="IA1366" s="885"/>
      <c r="IB1366" s="885"/>
      <c r="IC1366" s="885"/>
      <c r="ID1366" s="885"/>
      <c r="IE1366" s="885"/>
      <c r="IF1366" s="885"/>
      <c r="IG1366" s="885"/>
      <c r="IH1366" s="885"/>
      <c r="II1366" s="885"/>
      <c r="IJ1366" s="885"/>
      <c r="IK1366" s="885"/>
      <c r="IL1366" s="885"/>
      <c r="IM1366" s="885"/>
      <c r="IN1366" s="885"/>
      <c r="IO1366" s="885"/>
      <c r="IP1366" s="885"/>
      <c r="IQ1366" s="885"/>
      <c r="IR1366" s="885"/>
      <c r="IS1366" s="885"/>
      <c r="IT1366" s="885"/>
      <c r="IU1366" s="885"/>
      <c r="IV1366" s="885"/>
      <c r="IW1366" s="885"/>
      <c r="IX1366" s="885"/>
    </row>
    <row r="1367" spans="1:258" x14ac:dyDescent="0.25">
      <c r="A1367" s="125">
        <f t="shared" si="152"/>
        <v>1327</v>
      </c>
      <c r="B1367" s="885"/>
      <c r="C1367" s="842" t="s">
        <v>10889</v>
      </c>
      <c r="D1367" s="924">
        <v>0</v>
      </c>
      <c r="E1367" s="924">
        <f t="shared" si="160"/>
        <v>0</v>
      </c>
      <c r="F1367" s="129">
        <v>1</v>
      </c>
      <c r="G1367" s="122" t="s">
        <v>1963</v>
      </c>
      <c r="H1367" s="885"/>
      <c r="I1367" s="885"/>
      <c r="J1367" s="885"/>
      <c r="K1367" s="885"/>
      <c r="L1367" s="885"/>
      <c r="M1367" s="885"/>
      <c r="N1367" s="885"/>
      <c r="O1367" s="885"/>
      <c r="P1367" s="885"/>
      <c r="Q1367" s="885"/>
      <c r="R1367" s="885"/>
      <c r="S1367" s="885"/>
      <c r="T1367" s="885"/>
      <c r="U1367" s="885"/>
      <c r="V1367" s="885"/>
      <c r="W1367" s="885"/>
      <c r="X1367" s="885"/>
      <c r="Y1367" s="885"/>
      <c r="Z1367" s="885"/>
      <c r="AA1367" s="885"/>
      <c r="AB1367" s="885"/>
      <c r="AC1367" s="885"/>
      <c r="AD1367" s="885"/>
      <c r="AE1367" s="885"/>
      <c r="AF1367" s="885"/>
      <c r="AG1367" s="885"/>
      <c r="AH1367" s="885"/>
      <c r="AI1367" s="885"/>
      <c r="AJ1367" s="885"/>
      <c r="AK1367" s="885"/>
      <c r="AL1367" s="885"/>
      <c r="AM1367" s="885"/>
      <c r="AN1367" s="885"/>
      <c r="AO1367" s="885"/>
      <c r="AP1367" s="885"/>
      <c r="AQ1367" s="885"/>
      <c r="AR1367" s="885"/>
      <c r="AS1367" s="885"/>
      <c r="AT1367" s="885"/>
      <c r="AU1367" s="885"/>
      <c r="AV1367" s="885"/>
      <c r="AW1367" s="885"/>
      <c r="AX1367" s="885"/>
      <c r="AY1367" s="885"/>
      <c r="AZ1367" s="885"/>
      <c r="BA1367" s="885"/>
      <c r="BB1367" s="885"/>
      <c r="BC1367" s="885"/>
      <c r="BD1367" s="885"/>
      <c r="BE1367" s="885"/>
      <c r="BF1367" s="885"/>
      <c r="BG1367" s="885"/>
      <c r="BH1367" s="885"/>
      <c r="BI1367" s="885"/>
      <c r="BJ1367" s="885"/>
      <c r="BK1367" s="885"/>
      <c r="BL1367" s="885"/>
      <c r="BM1367" s="885"/>
      <c r="BN1367" s="885"/>
      <c r="BO1367" s="885"/>
      <c r="BP1367" s="885"/>
      <c r="BQ1367" s="885"/>
      <c r="BR1367" s="885"/>
      <c r="BS1367" s="885"/>
      <c r="BT1367" s="885"/>
      <c r="BU1367" s="885"/>
      <c r="BV1367" s="885"/>
      <c r="BW1367" s="885"/>
      <c r="BX1367" s="885"/>
      <c r="BY1367" s="885"/>
      <c r="BZ1367" s="885"/>
      <c r="CA1367" s="885"/>
      <c r="CB1367" s="885"/>
      <c r="CC1367" s="885"/>
      <c r="CD1367" s="885"/>
      <c r="CE1367" s="885"/>
      <c r="CF1367" s="885"/>
      <c r="CG1367" s="885"/>
      <c r="CH1367" s="885"/>
      <c r="CI1367" s="885"/>
      <c r="CJ1367" s="885"/>
      <c r="CK1367" s="885"/>
      <c r="CL1367" s="885"/>
      <c r="CM1367" s="885"/>
      <c r="CN1367" s="885"/>
      <c r="CO1367" s="885"/>
      <c r="CP1367" s="885"/>
      <c r="CQ1367" s="885"/>
      <c r="CR1367" s="885"/>
      <c r="CS1367" s="885"/>
      <c r="CT1367" s="885"/>
      <c r="CU1367" s="885"/>
      <c r="CV1367" s="885"/>
      <c r="CW1367" s="885"/>
      <c r="CX1367" s="885"/>
      <c r="CY1367" s="885"/>
      <c r="CZ1367" s="885"/>
      <c r="DA1367" s="885"/>
      <c r="DB1367" s="885"/>
      <c r="DC1367" s="885"/>
      <c r="DD1367" s="885"/>
      <c r="DE1367" s="885"/>
      <c r="DF1367" s="885"/>
      <c r="DG1367" s="885"/>
      <c r="DH1367" s="885"/>
      <c r="DI1367" s="885"/>
      <c r="DJ1367" s="885"/>
      <c r="DK1367" s="885"/>
      <c r="DL1367" s="885"/>
      <c r="DM1367" s="885"/>
      <c r="DN1367" s="885"/>
      <c r="DO1367" s="885"/>
      <c r="DP1367" s="885"/>
      <c r="DQ1367" s="885"/>
      <c r="DR1367" s="885"/>
      <c r="DS1367" s="885"/>
      <c r="DT1367" s="885"/>
      <c r="DU1367" s="885"/>
      <c r="DV1367" s="885"/>
      <c r="DW1367" s="885"/>
      <c r="DX1367" s="885"/>
      <c r="DY1367" s="885"/>
      <c r="DZ1367" s="885"/>
      <c r="EA1367" s="885"/>
      <c r="EB1367" s="885"/>
      <c r="EC1367" s="885"/>
      <c r="ED1367" s="885"/>
      <c r="EE1367" s="885"/>
      <c r="EF1367" s="885"/>
      <c r="EG1367" s="885"/>
      <c r="EH1367" s="885"/>
      <c r="EI1367" s="885"/>
      <c r="EJ1367" s="885"/>
      <c r="EK1367" s="885"/>
      <c r="EL1367" s="885"/>
      <c r="EM1367" s="885"/>
      <c r="EN1367" s="885"/>
      <c r="EO1367" s="885"/>
      <c r="EP1367" s="885"/>
      <c r="EQ1367" s="885"/>
      <c r="ER1367" s="885"/>
      <c r="ES1367" s="885"/>
      <c r="ET1367" s="885"/>
      <c r="EU1367" s="885"/>
      <c r="EV1367" s="885"/>
      <c r="EW1367" s="885"/>
      <c r="EX1367" s="885"/>
      <c r="EY1367" s="885"/>
      <c r="EZ1367" s="885"/>
      <c r="FA1367" s="885"/>
      <c r="FB1367" s="885"/>
      <c r="FC1367" s="885"/>
      <c r="FD1367" s="885"/>
      <c r="FE1367" s="885"/>
      <c r="FF1367" s="885"/>
      <c r="FG1367" s="885"/>
      <c r="FH1367" s="885"/>
      <c r="FI1367" s="885"/>
      <c r="FJ1367" s="885"/>
      <c r="FK1367" s="885"/>
      <c r="FL1367" s="885"/>
      <c r="FM1367" s="885"/>
      <c r="FN1367" s="885"/>
      <c r="FO1367" s="885"/>
      <c r="FP1367" s="885"/>
      <c r="FQ1367" s="885"/>
      <c r="FR1367" s="885"/>
      <c r="FS1367" s="885"/>
      <c r="FT1367" s="885"/>
      <c r="FU1367" s="885"/>
      <c r="FV1367" s="885"/>
      <c r="FW1367" s="885"/>
      <c r="FX1367" s="885"/>
      <c r="FY1367" s="885"/>
      <c r="FZ1367" s="885"/>
      <c r="GA1367" s="885"/>
      <c r="GB1367" s="885"/>
      <c r="GC1367" s="885"/>
      <c r="GD1367" s="885"/>
      <c r="GE1367" s="885"/>
      <c r="GF1367" s="885"/>
      <c r="GG1367" s="885"/>
      <c r="GH1367" s="885"/>
      <c r="GI1367" s="885"/>
      <c r="GJ1367" s="885"/>
      <c r="GK1367" s="885"/>
      <c r="GL1367" s="885"/>
      <c r="GM1367" s="885"/>
      <c r="GN1367" s="885"/>
      <c r="GO1367" s="885"/>
      <c r="GP1367" s="885"/>
      <c r="GQ1367" s="885"/>
      <c r="GR1367" s="885"/>
      <c r="GS1367" s="885"/>
      <c r="GT1367" s="885"/>
      <c r="GU1367" s="885"/>
      <c r="GV1367" s="885"/>
      <c r="GW1367" s="885"/>
      <c r="GX1367" s="885"/>
      <c r="GY1367" s="885"/>
      <c r="GZ1367" s="885"/>
      <c r="HA1367" s="885"/>
      <c r="HB1367" s="885"/>
      <c r="HC1367" s="885"/>
      <c r="HD1367" s="885"/>
      <c r="HE1367" s="885"/>
      <c r="HF1367" s="885"/>
      <c r="HG1367" s="885"/>
      <c r="HH1367" s="885"/>
      <c r="HI1367" s="885"/>
      <c r="HJ1367" s="885"/>
      <c r="HK1367" s="885"/>
      <c r="HL1367" s="885"/>
      <c r="HM1367" s="885"/>
      <c r="HN1367" s="885"/>
      <c r="HO1367" s="885"/>
      <c r="HP1367" s="885"/>
      <c r="HQ1367" s="885"/>
      <c r="HR1367" s="885"/>
      <c r="HS1367" s="885"/>
      <c r="HT1367" s="885"/>
      <c r="HU1367" s="885"/>
      <c r="HV1367" s="885"/>
      <c r="HW1367" s="885"/>
      <c r="HX1367" s="885"/>
      <c r="HY1367" s="885"/>
      <c r="HZ1367" s="885"/>
      <c r="IA1367" s="885"/>
      <c r="IB1367" s="885"/>
      <c r="IC1367" s="885"/>
      <c r="ID1367" s="885"/>
      <c r="IE1367" s="885"/>
      <c r="IF1367" s="885"/>
      <c r="IG1367" s="885"/>
      <c r="IH1367" s="885"/>
      <c r="II1367" s="885"/>
      <c r="IJ1367" s="885"/>
      <c r="IK1367" s="885"/>
      <c r="IL1367" s="885"/>
      <c r="IM1367" s="885"/>
      <c r="IN1367" s="885"/>
      <c r="IO1367" s="885"/>
      <c r="IP1367" s="885"/>
      <c r="IQ1367" s="885"/>
      <c r="IR1367" s="885"/>
      <c r="IS1367" s="885"/>
      <c r="IT1367" s="885"/>
      <c r="IU1367" s="885"/>
      <c r="IV1367" s="885"/>
      <c r="IW1367" s="885"/>
      <c r="IX1367" s="885"/>
    </row>
    <row r="1368" spans="1:258" x14ac:dyDescent="0.25">
      <c r="A1368" s="125">
        <f t="shared" si="152"/>
        <v>1328</v>
      </c>
      <c r="B1368" s="885"/>
      <c r="C1368" s="842" t="s">
        <v>10890</v>
      </c>
      <c r="D1368" s="924">
        <v>0</v>
      </c>
      <c r="E1368" s="924">
        <f t="shared" si="160"/>
        <v>0</v>
      </c>
      <c r="F1368" s="129">
        <v>1</v>
      </c>
      <c r="G1368" s="122" t="s">
        <v>1963</v>
      </c>
      <c r="H1368" s="885"/>
      <c r="I1368" s="885"/>
      <c r="J1368" s="885"/>
      <c r="K1368" s="885"/>
      <c r="L1368" s="885"/>
      <c r="M1368" s="885"/>
      <c r="N1368" s="885"/>
      <c r="O1368" s="885"/>
      <c r="P1368" s="885"/>
      <c r="Q1368" s="885"/>
      <c r="R1368" s="885"/>
      <c r="S1368" s="885"/>
      <c r="T1368" s="885"/>
      <c r="U1368" s="885"/>
      <c r="V1368" s="885"/>
      <c r="W1368" s="885"/>
      <c r="X1368" s="885"/>
      <c r="Y1368" s="885"/>
      <c r="Z1368" s="885"/>
      <c r="AA1368" s="885"/>
      <c r="AB1368" s="885"/>
      <c r="AC1368" s="885"/>
      <c r="AD1368" s="885"/>
      <c r="AE1368" s="885"/>
      <c r="AF1368" s="885"/>
      <c r="AG1368" s="885"/>
      <c r="AH1368" s="885"/>
      <c r="AI1368" s="885"/>
      <c r="AJ1368" s="885"/>
      <c r="AK1368" s="885"/>
      <c r="AL1368" s="885"/>
      <c r="AM1368" s="885"/>
      <c r="AN1368" s="885"/>
      <c r="AO1368" s="885"/>
      <c r="AP1368" s="885"/>
      <c r="AQ1368" s="885"/>
      <c r="AR1368" s="885"/>
      <c r="AS1368" s="885"/>
      <c r="AT1368" s="885"/>
      <c r="AU1368" s="885"/>
      <c r="AV1368" s="885"/>
      <c r="AW1368" s="885"/>
      <c r="AX1368" s="885"/>
      <c r="AY1368" s="885"/>
      <c r="AZ1368" s="885"/>
      <c r="BA1368" s="885"/>
      <c r="BB1368" s="885"/>
      <c r="BC1368" s="885"/>
      <c r="BD1368" s="885"/>
      <c r="BE1368" s="885"/>
      <c r="BF1368" s="885"/>
      <c r="BG1368" s="885"/>
      <c r="BH1368" s="885"/>
      <c r="BI1368" s="885"/>
      <c r="BJ1368" s="885"/>
      <c r="BK1368" s="885"/>
      <c r="BL1368" s="885"/>
      <c r="BM1368" s="885"/>
      <c r="BN1368" s="885"/>
      <c r="BO1368" s="885"/>
      <c r="BP1368" s="885"/>
      <c r="BQ1368" s="885"/>
      <c r="BR1368" s="885"/>
      <c r="BS1368" s="885"/>
      <c r="BT1368" s="885"/>
      <c r="BU1368" s="885"/>
      <c r="BV1368" s="885"/>
      <c r="BW1368" s="885"/>
      <c r="BX1368" s="885"/>
      <c r="BY1368" s="885"/>
      <c r="BZ1368" s="885"/>
      <c r="CA1368" s="885"/>
      <c r="CB1368" s="885"/>
      <c r="CC1368" s="885"/>
      <c r="CD1368" s="885"/>
      <c r="CE1368" s="885"/>
      <c r="CF1368" s="885"/>
      <c r="CG1368" s="885"/>
      <c r="CH1368" s="885"/>
      <c r="CI1368" s="885"/>
      <c r="CJ1368" s="885"/>
      <c r="CK1368" s="885"/>
      <c r="CL1368" s="885"/>
      <c r="CM1368" s="885"/>
      <c r="CN1368" s="885"/>
      <c r="CO1368" s="885"/>
      <c r="CP1368" s="885"/>
      <c r="CQ1368" s="885"/>
      <c r="CR1368" s="885"/>
      <c r="CS1368" s="885"/>
      <c r="CT1368" s="885"/>
      <c r="CU1368" s="885"/>
      <c r="CV1368" s="885"/>
      <c r="CW1368" s="885"/>
      <c r="CX1368" s="885"/>
      <c r="CY1368" s="885"/>
      <c r="CZ1368" s="885"/>
      <c r="DA1368" s="885"/>
      <c r="DB1368" s="885"/>
      <c r="DC1368" s="885"/>
      <c r="DD1368" s="885"/>
      <c r="DE1368" s="885"/>
      <c r="DF1368" s="885"/>
      <c r="DG1368" s="885"/>
      <c r="DH1368" s="885"/>
      <c r="DI1368" s="885"/>
      <c r="DJ1368" s="885"/>
      <c r="DK1368" s="885"/>
      <c r="DL1368" s="885"/>
      <c r="DM1368" s="885"/>
      <c r="DN1368" s="885"/>
      <c r="DO1368" s="885"/>
      <c r="DP1368" s="885"/>
      <c r="DQ1368" s="885"/>
      <c r="DR1368" s="885"/>
      <c r="DS1368" s="885"/>
      <c r="DT1368" s="885"/>
      <c r="DU1368" s="885"/>
      <c r="DV1368" s="885"/>
      <c r="DW1368" s="885"/>
      <c r="DX1368" s="885"/>
      <c r="DY1368" s="885"/>
      <c r="DZ1368" s="885"/>
      <c r="EA1368" s="885"/>
      <c r="EB1368" s="885"/>
      <c r="EC1368" s="885"/>
      <c r="ED1368" s="885"/>
      <c r="EE1368" s="885"/>
      <c r="EF1368" s="885"/>
      <c r="EG1368" s="885"/>
      <c r="EH1368" s="885"/>
      <c r="EI1368" s="885"/>
      <c r="EJ1368" s="885"/>
      <c r="EK1368" s="885"/>
      <c r="EL1368" s="885"/>
      <c r="EM1368" s="885"/>
      <c r="EN1368" s="885"/>
      <c r="EO1368" s="885"/>
      <c r="EP1368" s="885"/>
      <c r="EQ1368" s="885"/>
      <c r="ER1368" s="885"/>
      <c r="ES1368" s="885"/>
      <c r="ET1368" s="885"/>
      <c r="EU1368" s="885"/>
      <c r="EV1368" s="885"/>
      <c r="EW1368" s="885"/>
      <c r="EX1368" s="885"/>
      <c r="EY1368" s="885"/>
      <c r="EZ1368" s="885"/>
      <c r="FA1368" s="885"/>
      <c r="FB1368" s="885"/>
      <c r="FC1368" s="885"/>
      <c r="FD1368" s="885"/>
      <c r="FE1368" s="885"/>
      <c r="FF1368" s="885"/>
      <c r="FG1368" s="885"/>
      <c r="FH1368" s="885"/>
      <c r="FI1368" s="885"/>
      <c r="FJ1368" s="885"/>
      <c r="FK1368" s="885"/>
      <c r="FL1368" s="885"/>
      <c r="FM1368" s="885"/>
      <c r="FN1368" s="885"/>
      <c r="FO1368" s="885"/>
      <c r="FP1368" s="885"/>
      <c r="FQ1368" s="885"/>
      <c r="FR1368" s="885"/>
      <c r="FS1368" s="885"/>
      <c r="FT1368" s="885"/>
      <c r="FU1368" s="885"/>
      <c r="FV1368" s="885"/>
      <c r="FW1368" s="885"/>
      <c r="FX1368" s="885"/>
      <c r="FY1368" s="885"/>
      <c r="FZ1368" s="885"/>
      <c r="GA1368" s="885"/>
      <c r="GB1368" s="885"/>
      <c r="GC1368" s="885"/>
      <c r="GD1368" s="885"/>
      <c r="GE1368" s="885"/>
      <c r="GF1368" s="885"/>
      <c r="GG1368" s="885"/>
      <c r="GH1368" s="885"/>
      <c r="GI1368" s="885"/>
      <c r="GJ1368" s="885"/>
      <c r="GK1368" s="885"/>
      <c r="GL1368" s="885"/>
      <c r="GM1368" s="885"/>
      <c r="GN1368" s="885"/>
      <c r="GO1368" s="885"/>
      <c r="GP1368" s="885"/>
      <c r="GQ1368" s="885"/>
      <c r="GR1368" s="885"/>
      <c r="GS1368" s="885"/>
      <c r="GT1368" s="885"/>
      <c r="GU1368" s="885"/>
      <c r="GV1368" s="885"/>
      <c r="GW1368" s="885"/>
      <c r="GX1368" s="885"/>
      <c r="GY1368" s="885"/>
      <c r="GZ1368" s="885"/>
      <c r="HA1368" s="885"/>
      <c r="HB1368" s="885"/>
      <c r="HC1368" s="885"/>
      <c r="HD1368" s="885"/>
      <c r="HE1368" s="885"/>
      <c r="HF1368" s="885"/>
      <c r="HG1368" s="885"/>
      <c r="HH1368" s="885"/>
      <c r="HI1368" s="885"/>
      <c r="HJ1368" s="885"/>
      <c r="HK1368" s="885"/>
      <c r="HL1368" s="885"/>
      <c r="HM1368" s="885"/>
      <c r="HN1368" s="885"/>
      <c r="HO1368" s="885"/>
      <c r="HP1368" s="885"/>
      <c r="HQ1368" s="885"/>
      <c r="HR1368" s="885"/>
      <c r="HS1368" s="885"/>
      <c r="HT1368" s="885"/>
      <c r="HU1368" s="885"/>
      <c r="HV1368" s="885"/>
      <c r="HW1368" s="885"/>
      <c r="HX1368" s="885"/>
      <c r="HY1368" s="885"/>
      <c r="HZ1368" s="885"/>
      <c r="IA1368" s="885"/>
      <c r="IB1368" s="885"/>
      <c r="IC1368" s="885"/>
      <c r="ID1368" s="885"/>
      <c r="IE1368" s="885"/>
      <c r="IF1368" s="885"/>
      <c r="IG1368" s="885"/>
      <c r="IH1368" s="885"/>
      <c r="II1368" s="885"/>
      <c r="IJ1368" s="885"/>
      <c r="IK1368" s="885"/>
      <c r="IL1368" s="885"/>
      <c r="IM1368" s="885"/>
      <c r="IN1368" s="885"/>
      <c r="IO1368" s="885"/>
      <c r="IP1368" s="885"/>
      <c r="IQ1368" s="885"/>
      <c r="IR1368" s="885"/>
      <c r="IS1368" s="885"/>
      <c r="IT1368" s="885"/>
      <c r="IU1368" s="885"/>
      <c r="IV1368" s="885"/>
      <c r="IW1368" s="885"/>
      <c r="IX1368" s="885"/>
    </row>
    <row r="1369" spans="1:258" x14ac:dyDescent="0.25">
      <c r="A1369" s="125">
        <f t="shared" si="152"/>
        <v>1329</v>
      </c>
      <c r="B1369" s="885"/>
      <c r="C1369" s="842" t="s">
        <v>10890</v>
      </c>
      <c r="D1369" s="924">
        <v>0</v>
      </c>
      <c r="E1369" s="924">
        <f t="shared" si="160"/>
        <v>0</v>
      </c>
      <c r="F1369" s="129">
        <v>1</v>
      </c>
      <c r="G1369" s="122" t="s">
        <v>1963</v>
      </c>
      <c r="H1369" s="885"/>
      <c r="I1369" s="885"/>
      <c r="J1369" s="885"/>
      <c r="K1369" s="885"/>
      <c r="L1369" s="885"/>
      <c r="M1369" s="885"/>
      <c r="N1369" s="885"/>
      <c r="O1369" s="885"/>
      <c r="P1369" s="885"/>
      <c r="Q1369" s="885"/>
      <c r="R1369" s="885"/>
      <c r="S1369" s="885"/>
      <c r="T1369" s="885"/>
      <c r="U1369" s="885"/>
      <c r="V1369" s="885"/>
      <c r="W1369" s="885"/>
      <c r="X1369" s="885"/>
      <c r="Y1369" s="885"/>
      <c r="Z1369" s="885"/>
      <c r="AA1369" s="885"/>
      <c r="AB1369" s="885"/>
      <c r="AC1369" s="885"/>
      <c r="AD1369" s="885"/>
      <c r="AE1369" s="885"/>
      <c r="AF1369" s="885"/>
      <c r="AG1369" s="885"/>
      <c r="AH1369" s="885"/>
      <c r="AI1369" s="885"/>
      <c r="AJ1369" s="885"/>
      <c r="AK1369" s="885"/>
      <c r="AL1369" s="885"/>
      <c r="AM1369" s="885"/>
      <c r="AN1369" s="885"/>
      <c r="AO1369" s="885"/>
      <c r="AP1369" s="885"/>
      <c r="AQ1369" s="885"/>
      <c r="AR1369" s="885"/>
      <c r="AS1369" s="885"/>
      <c r="AT1369" s="885"/>
      <c r="AU1369" s="885"/>
      <c r="AV1369" s="885"/>
      <c r="AW1369" s="885"/>
      <c r="AX1369" s="885"/>
      <c r="AY1369" s="885"/>
      <c r="AZ1369" s="885"/>
      <c r="BA1369" s="885"/>
      <c r="BB1369" s="885"/>
      <c r="BC1369" s="885"/>
      <c r="BD1369" s="885"/>
      <c r="BE1369" s="885"/>
      <c r="BF1369" s="885"/>
      <c r="BG1369" s="885"/>
      <c r="BH1369" s="885"/>
      <c r="BI1369" s="885"/>
      <c r="BJ1369" s="885"/>
      <c r="BK1369" s="885"/>
      <c r="BL1369" s="885"/>
      <c r="BM1369" s="885"/>
      <c r="BN1369" s="885"/>
      <c r="BO1369" s="885"/>
      <c r="BP1369" s="885"/>
      <c r="BQ1369" s="885"/>
      <c r="BR1369" s="885"/>
      <c r="BS1369" s="885"/>
      <c r="BT1369" s="885"/>
      <c r="BU1369" s="885"/>
      <c r="BV1369" s="885"/>
      <c r="BW1369" s="885"/>
      <c r="BX1369" s="885"/>
      <c r="BY1369" s="885"/>
      <c r="BZ1369" s="885"/>
      <c r="CA1369" s="885"/>
      <c r="CB1369" s="885"/>
      <c r="CC1369" s="885"/>
      <c r="CD1369" s="885"/>
      <c r="CE1369" s="885"/>
      <c r="CF1369" s="885"/>
      <c r="CG1369" s="885"/>
      <c r="CH1369" s="885"/>
      <c r="CI1369" s="885"/>
      <c r="CJ1369" s="885"/>
      <c r="CK1369" s="885"/>
      <c r="CL1369" s="885"/>
      <c r="CM1369" s="885"/>
      <c r="CN1369" s="885"/>
      <c r="CO1369" s="885"/>
      <c r="CP1369" s="885"/>
      <c r="CQ1369" s="885"/>
      <c r="CR1369" s="885"/>
      <c r="CS1369" s="885"/>
      <c r="CT1369" s="885"/>
      <c r="CU1369" s="885"/>
      <c r="CV1369" s="885"/>
      <c r="CW1369" s="885"/>
      <c r="CX1369" s="885"/>
      <c r="CY1369" s="885"/>
      <c r="CZ1369" s="885"/>
      <c r="DA1369" s="885"/>
      <c r="DB1369" s="885"/>
      <c r="DC1369" s="885"/>
      <c r="DD1369" s="885"/>
      <c r="DE1369" s="885"/>
      <c r="DF1369" s="885"/>
      <c r="DG1369" s="885"/>
      <c r="DH1369" s="885"/>
      <c r="DI1369" s="885"/>
      <c r="DJ1369" s="885"/>
      <c r="DK1369" s="885"/>
      <c r="DL1369" s="885"/>
      <c r="DM1369" s="885"/>
      <c r="DN1369" s="885"/>
      <c r="DO1369" s="885"/>
      <c r="DP1369" s="885"/>
      <c r="DQ1369" s="885"/>
      <c r="DR1369" s="885"/>
      <c r="DS1369" s="885"/>
      <c r="DT1369" s="885"/>
      <c r="DU1369" s="885"/>
      <c r="DV1369" s="885"/>
      <c r="DW1369" s="885"/>
      <c r="DX1369" s="885"/>
      <c r="DY1369" s="885"/>
      <c r="DZ1369" s="885"/>
      <c r="EA1369" s="885"/>
      <c r="EB1369" s="885"/>
      <c r="EC1369" s="885"/>
      <c r="ED1369" s="885"/>
      <c r="EE1369" s="885"/>
      <c r="EF1369" s="885"/>
      <c r="EG1369" s="885"/>
      <c r="EH1369" s="885"/>
      <c r="EI1369" s="885"/>
      <c r="EJ1369" s="885"/>
      <c r="EK1369" s="885"/>
      <c r="EL1369" s="885"/>
      <c r="EM1369" s="885"/>
      <c r="EN1369" s="885"/>
      <c r="EO1369" s="885"/>
      <c r="EP1369" s="885"/>
      <c r="EQ1369" s="885"/>
      <c r="ER1369" s="885"/>
      <c r="ES1369" s="885"/>
      <c r="ET1369" s="885"/>
      <c r="EU1369" s="885"/>
      <c r="EV1369" s="885"/>
      <c r="EW1369" s="885"/>
      <c r="EX1369" s="885"/>
      <c r="EY1369" s="885"/>
      <c r="EZ1369" s="885"/>
      <c r="FA1369" s="885"/>
      <c r="FB1369" s="885"/>
      <c r="FC1369" s="885"/>
      <c r="FD1369" s="885"/>
      <c r="FE1369" s="885"/>
      <c r="FF1369" s="885"/>
      <c r="FG1369" s="885"/>
      <c r="FH1369" s="885"/>
      <c r="FI1369" s="885"/>
      <c r="FJ1369" s="885"/>
      <c r="FK1369" s="885"/>
      <c r="FL1369" s="885"/>
      <c r="FM1369" s="885"/>
      <c r="FN1369" s="885"/>
      <c r="FO1369" s="885"/>
      <c r="FP1369" s="885"/>
      <c r="FQ1369" s="885"/>
      <c r="FR1369" s="885"/>
      <c r="FS1369" s="885"/>
      <c r="FT1369" s="885"/>
      <c r="FU1369" s="885"/>
      <c r="FV1369" s="885"/>
      <c r="FW1369" s="885"/>
      <c r="FX1369" s="885"/>
      <c r="FY1369" s="885"/>
      <c r="FZ1369" s="885"/>
      <c r="GA1369" s="885"/>
      <c r="GB1369" s="885"/>
      <c r="GC1369" s="885"/>
      <c r="GD1369" s="885"/>
      <c r="GE1369" s="885"/>
      <c r="GF1369" s="885"/>
      <c r="GG1369" s="885"/>
      <c r="GH1369" s="885"/>
      <c r="GI1369" s="885"/>
      <c r="GJ1369" s="885"/>
      <c r="GK1369" s="885"/>
      <c r="GL1369" s="885"/>
      <c r="GM1369" s="885"/>
      <c r="GN1369" s="885"/>
      <c r="GO1369" s="885"/>
      <c r="GP1369" s="885"/>
      <c r="GQ1369" s="885"/>
      <c r="GR1369" s="885"/>
      <c r="GS1369" s="885"/>
      <c r="GT1369" s="885"/>
      <c r="GU1369" s="885"/>
      <c r="GV1369" s="885"/>
      <c r="GW1369" s="885"/>
      <c r="GX1369" s="885"/>
      <c r="GY1369" s="885"/>
      <c r="GZ1369" s="885"/>
      <c r="HA1369" s="885"/>
      <c r="HB1369" s="885"/>
      <c r="HC1369" s="885"/>
      <c r="HD1369" s="885"/>
      <c r="HE1369" s="885"/>
      <c r="HF1369" s="885"/>
      <c r="HG1369" s="885"/>
      <c r="HH1369" s="885"/>
      <c r="HI1369" s="885"/>
      <c r="HJ1369" s="885"/>
      <c r="HK1369" s="885"/>
      <c r="HL1369" s="885"/>
      <c r="HM1369" s="885"/>
      <c r="HN1369" s="885"/>
      <c r="HO1369" s="885"/>
      <c r="HP1369" s="885"/>
      <c r="HQ1369" s="885"/>
      <c r="HR1369" s="885"/>
      <c r="HS1369" s="885"/>
      <c r="HT1369" s="885"/>
      <c r="HU1369" s="885"/>
      <c r="HV1369" s="885"/>
      <c r="HW1369" s="885"/>
      <c r="HX1369" s="885"/>
      <c r="HY1369" s="885"/>
      <c r="HZ1369" s="885"/>
      <c r="IA1369" s="885"/>
      <c r="IB1369" s="885"/>
      <c r="IC1369" s="885"/>
      <c r="ID1369" s="885"/>
      <c r="IE1369" s="885"/>
      <c r="IF1369" s="885"/>
      <c r="IG1369" s="885"/>
      <c r="IH1369" s="885"/>
      <c r="II1369" s="885"/>
      <c r="IJ1369" s="885"/>
      <c r="IK1369" s="885"/>
      <c r="IL1369" s="885"/>
      <c r="IM1369" s="885"/>
      <c r="IN1369" s="885"/>
      <c r="IO1369" s="885"/>
      <c r="IP1369" s="885"/>
      <c r="IQ1369" s="885"/>
      <c r="IR1369" s="885"/>
      <c r="IS1369" s="885"/>
      <c r="IT1369" s="885"/>
      <c r="IU1369" s="885"/>
      <c r="IV1369" s="885"/>
      <c r="IW1369" s="885"/>
      <c r="IX1369" s="885"/>
    </row>
    <row r="1370" spans="1:258" x14ac:dyDescent="0.25">
      <c r="A1370" s="125">
        <f t="shared" si="152"/>
        <v>1330</v>
      </c>
      <c r="B1370" s="885"/>
      <c r="C1370" s="842" t="s">
        <v>10891</v>
      </c>
      <c r="D1370" s="924">
        <v>0</v>
      </c>
      <c r="E1370" s="924">
        <f t="shared" si="160"/>
        <v>0</v>
      </c>
      <c r="F1370" s="129">
        <f>1000-F1364-F1365-F1366-F1367-F1369</f>
        <v>995</v>
      </c>
      <c r="G1370" s="122" t="s">
        <v>1963</v>
      </c>
      <c r="H1370" s="885"/>
      <c r="I1370" s="885"/>
      <c r="J1370" s="885"/>
      <c r="K1370" s="885"/>
      <c r="L1370" s="885"/>
      <c r="M1370" s="885"/>
      <c r="N1370" s="885"/>
      <c r="O1370" s="885"/>
      <c r="P1370" s="885"/>
      <c r="Q1370" s="885"/>
      <c r="R1370" s="885"/>
      <c r="S1370" s="885"/>
      <c r="T1370" s="885"/>
      <c r="U1370" s="885"/>
      <c r="V1370" s="885"/>
      <c r="W1370" s="885"/>
      <c r="X1370" s="885"/>
      <c r="Y1370" s="885"/>
      <c r="Z1370" s="885"/>
      <c r="AA1370" s="885"/>
      <c r="AB1370" s="885"/>
      <c r="AC1370" s="885"/>
      <c r="AD1370" s="885"/>
      <c r="AE1370" s="885"/>
      <c r="AF1370" s="885"/>
      <c r="AG1370" s="885"/>
      <c r="AH1370" s="885"/>
      <c r="AI1370" s="885"/>
      <c r="AJ1370" s="885"/>
      <c r="AK1370" s="885"/>
      <c r="AL1370" s="885"/>
      <c r="AM1370" s="885"/>
      <c r="AN1370" s="885"/>
      <c r="AO1370" s="885"/>
      <c r="AP1370" s="885"/>
      <c r="AQ1370" s="885"/>
      <c r="AR1370" s="885"/>
      <c r="AS1370" s="885"/>
      <c r="AT1370" s="885"/>
      <c r="AU1370" s="885"/>
      <c r="AV1370" s="885"/>
      <c r="AW1370" s="885"/>
      <c r="AX1370" s="885"/>
      <c r="AY1370" s="885"/>
      <c r="AZ1370" s="885"/>
      <c r="BA1370" s="885"/>
      <c r="BB1370" s="885"/>
      <c r="BC1370" s="885"/>
      <c r="BD1370" s="885"/>
      <c r="BE1370" s="885"/>
      <c r="BF1370" s="885"/>
      <c r="BG1370" s="885"/>
      <c r="BH1370" s="885"/>
      <c r="BI1370" s="885"/>
      <c r="BJ1370" s="885"/>
      <c r="BK1370" s="885"/>
      <c r="BL1370" s="885"/>
      <c r="BM1370" s="885"/>
      <c r="BN1370" s="885"/>
      <c r="BO1370" s="885"/>
      <c r="BP1370" s="885"/>
      <c r="BQ1370" s="885"/>
      <c r="BR1370" s="885"/>
      <c r="BS1370" s="885"/>
      <c r="BT1370" s="885"/>
      <c r="BU1370" s="885"/>
      <c r="BV1370" s="885"/>
      <c r="BW1370" s="885"/>
      <c r="BX1370" s="885"/>
      <c r="BY1370" s="885"/>
      <c r="BZ1370" s="885"/>
      <c r="CA1370" s="885"/>
      <c r="CB1370" s="885"/>
      <c r="CC1370" s="885"/>
      <c r="CD1370" s="885"/>
      <c r="CE1370" s="885"/>
      <c r="CF1370" s="885"/>
      <c r="CG1370" s="885"/>
      <c r="CH1370" s="885"/>
      <c r="CI1370" s="885"/>
      <c r="CJ1370" s="885"/>
      <c r="CK1370" s="885"/>
      <c r="CL1370" s="885"/>
      <c r="CM1370" s="885"/>
      <c r="CN1370" s="885"/>
      <c r="CO1370" s="885"/>
      <c r="CP1370" s="885"/>
      <c r="CQ1370" s="885"/>
      <c r="CR1370" s="885"/>
      <c r="CS1370" s="885"/>
      <c r="CT1370" s="885"/>
      <c r="CU1370" s="885"/>
      <c r="CV1370" s="885"/>
      <c r="CW1370" s="885"/>
      <c r="CX1370" s="885"/>
      <c r="CY1370" s="885"/>
      <c r="CZ1370" s="885"/>
      <c r="DA1370" s="885"/>
      <c r="DB1370" s="885"/>
      <c r="DC1370" s="885"/>
      <c r="DD1370" s="885"/>
      <c r="DE1370" s="885"/>
      <c r="DF1370" s="885"/>
      <c r="DG1370" s="885"/>
      <c r="DH1370" s="885"/>
      <c r="DI1370" s="885"/>
      <c r="DJ1370" s="885"/>
      <c r="DK1370" s="885"/>
      <c r="DL1370" s="885"/>
      <c r="DM1370" s="885"/>
      <c r="DN1370" s="885"/>
      <c r="DO1370" s="885"/>
      <c r="DP1370" s="885"/>
      <c r="DQ1370" s="885"/>
      <c r="DR1370" s="885"/>
      <c r="DS1370" s="885"/>
      <c r="DT1370" s="885"/>
      <c r="DU1370" s="885"/>
      <c r="DV1370" s="885"/>
      <c r="DW1370" s="885"/>
      <c r="DX1370" s="885"/>
      <c r="DY1370" s="885"/>
      <c r="DZ1370" s="885"/>
      <c r="EA1370" s="885"/>
      <c r="EB1370" s="885"/>
      <c r="EC1370" s="885"/>
      <c r="ED1370" s="885"/>
      <c r="EE1370" s="885"/>
      <c r="EF1370" s="885"/>
      <c r="EG1370" s="885"/>
      <c r="EH1370" s="885"/>
      <c r="EI1370" s="885"/>
      <c r="EJ1370" s="885"/>
      <c r="EK1370" s="885"/>
      <c r="EL1370" s="885"/>
      <c r="EM1370" s="885"/>
      <c r="EN1370" s="885"/>
      <c r="EO1370" s="885"/>
      <c r="EP1370" s="885"/>
      <c r="EQ1370" s="885"/>
      <c r="ER1370" s="885"/>
      <c r="ES1370" s="885"/>
      <c r="ET1370" s="885"/>
      <c r="EU1370" s="885"/>
      <c r="EV1370" s="885"/>
      <c r="EW1370" s="885"/>
      <c r="EX1370" s="885"/>
      <c r="EY1370" s="885"/>
      <c r="EZ1370" s="885"/>
      <c r="FA1370" s="885"/>
      <c r="FB1370" s="885"/>
      <c r="FC1370" s="885"/>
      <c r="FD1370" s="885"/>
      <c r="FE1370" s="885"/>
      <c r="FF1370" s="885"/>
      <c r="FG1370" s="885"/>
      <c r="FH1370" s="885"/>
      <c r="FI1370" s="885"/>
      <c r="FJ1370" s="885"/>
      <c r="FK1370" s="885"/>
      <c r="FL1370" s="885"/>
      <c r="FM1370" s="885"/>
      <c r="FN1370" s="885"/>
      <c r="FO1370" s="885"/>
      <c r="FP1370" s="885"/>
      <c r="FQ1370" s="885"/>
      <c r="FR1370" s="885"/>
      <c r="FS1370" s="885"/>
      <c r="FT1370" s="885"/>
      <c r="FU1370" s="885"/>
      <c r="FV1370" s="885"/>
      <c r="FW1370" s="885"/>
      <c r="FX1370" s="885"/>
      <c r="FY1370" s="885"/>
      <c r="FZ1370" s="885"/>
      <c r="GA1370" s="885"/>
      <c r="GB1370" s="885"/>
      <c r="GC1370" s="885"/>
      <c r="GD1370" s="885"/>
      <c r="GE1370" s="885"/>
      <c r="GF1370" s="885"/>
      <c r="GG1370" s="885"/>
      <c r="GH1370" s="885"/>
      <c r="GI1370" s="885"/>
      <c r="GJ1370" s="885"/>
      <c r="GK1370" s="885"/>
      <c r="GL1370" s="885"/>
      <c r="GM1370" s="885"/>
      <c r="GN1370" s="885"/>
      <c r="GO1370" s="885"/>
      <c r="GP1370" s="885"/>
      <c r="GQ1370" s="885"/>
      <c r="GR1370" s="885"/>
      <c r="GS1370" s="885"/>
      <c r="GT1370" s="885"/>
      <c r="GU1370" s="885"/>
      <c r="GV1370" s="885"/>
      <c r="GW1370" s="885"/>
      <c r="GX1370" s="885"/>
      <c r="GY1370" s="885"/>
      <c r="GZ1370" s="885"/>
      <c r="HA1370" s="885"/>
      <c r="HB1370" s="885"/>
      <c r="HC1370" s="885"/>
      <c r="HD1370" s="885"/>
      <c r="HE1370" s="885"/>
      <c r="HF1370" s="885"/>
      <c r="HG1370" s="885"/>
      <c r="HH1370" s="885"/>
      <c r="HI1370" s="885"/>
      <c r="HJ1370" s="885"/>
      <c r="HK1370" s="885"/>
      <c r="HL1370" s="885"/>
      <c r="HM1370" s="885"/>
      <c r="HN1370" s="885"/>
      <c r="HO1370" s="885"/>
      <c r="HP1370" s="885"/>
      <c r="HQ1370" s="885"/>
      <c r="HR1370" s="885"/>
      <c r="HS1370" s="885"/>
      <c r="HT1370" s="885"/>
      <c r="HU1370" s="885"/>
      <c r="HV1370" s="885"/>
      <c r="HW1370" s="885"/>
      <c r="HX1370" s="885"/>
      <c r="HY1370" s="885"/>
      <c r="HZ1370" s="885"/>
      <c r="IA1370" s="885"/>
      <c r="IB1370" s="885"/>
      <c r="IC1370" s="885"/>
      <c r="ID1370" s="885"/>
      <c r="IE1370" s="885"/>
      <c r="IF1370" s="885"/>
      <c r="IG1370" s="885"/>
      <c r="IH1370" s="885"/>
      <c r="II1370" s="885"/>
      <c r="IJ1370" s="885"/>
      <c r="IK1370" s="885"/>
      <c r="IL1370" s="885"/>
      <c r="IM1370" s="885"/>
      <c r="IN1370" s="885"/>
      <c r="IO1370" s="885"/>
      <c r="IP1370" s="885"/>
      <c r="IQ1370" s="885"/>
      <c r="IR1370" s="885"/>
      <c r="IS1370" s="885"/>
      <c r="IT1370" s="885"/>
      <c r="IU1370" s="885"/>
      <c r="IV1370" s="885"/>
      <c r="IW1370" s="885"/>
      <c r="IX1370" s="885"/>
    </row>
    <row r="1371" spans="1:258" x14ac:dyDescent="0.25">
      <c r="A1371" s="125">
        <f t="shared" si="152"/>
        <v>1331</v>
      </c>
      <c r="B1371" s="885"/>
      <c r="C1371" s="233"/>
      <c r="D1371" s="921"/>
      <c r="E1371" s="921"/>
      <c r="F1371" s="129"/>
      <c r="G1371" s="885"/>
      <c r="H1371" s="885"/>
      <c r="I1371" s="885"/>
      <c r="J1371" s="885"/>
      <c r="K1371" s="885"/>
      <c r="L1371" s="885"/>
      <c r="M1371" s="885"/>
      <c r="N1371" s="885"/>
      <c r="O1371" s="885"/>
      <c r="P1371" s="885"/>
      <c r="Q1371" s="885"/>
      <c r="R1371" s="885"/>
      <c r="S1371" s="885"/>
      <c r="T1371" s="885"/>
      <c r="U1371" s="885"/>
      <c r="V1371" s="885"/>
      <c r="W1371" s="885"/>
      <c r="X1371" s="885"/>
      <c r="Y1371" s="885"/>
      <c r="Z1371" s="885"/>
      <c r="AA1371" s="885"/>
      <c r="AB1371" s="885"/>
      <c r="AC1371" s="885"/>
      <c r="AD1371" s="885"/>
      <c r="AE1371" s="885"/>
      <c r="AF1371" s="885"/>
      <c r="AG1371" s="885"/>
      <c r="AH1371" s="885"/>
      <c r="AI1371" s="885"/>
      <c r="AJ1371" s="885"/>
      <c r="AK1371" s="885"/>
      <c r="AL1371" s="885"/>
      <c r="AM1371" s="885"/>
      <c r="AN1371" s="885"/>
      <c r="AO1371" s="885"/>
      <c r="AP1371" s="885"/>
      <c r="AQ1371" s="885"/>
      <c r="AR1371" s="885"/>
      <c r="AS1371" s="885"/>
      <c r="AT1371" s="885"/>
      <c r="AU1371" s="885"/>
      <c r="AV1371" s="885"/>
      <c r="AW1371" s="885"/>
      <c r="AX1371" s="885"/>
      <c r="AY1371" s="885"/>
      <c r="AZ1371" s="885"/>
      <c r="BA1371" s="885"/>
      <c r="BB1371" s="885"/>
      <c r="BC1371" s="885"/>
      <c r="BD1371" s="885"/>
      <c r="BE1371" s="885"/>
      <c r="BF1371" s="885"/>
      <c r="BG1371" s="885"/>
      <c r="BH1371" s="885"/>
      <c r="BI1371" s="885"/>
      <c r="BJ1371" s="885"/>
      <c r="BK1371" s="885"/>
      <c r="BL1371" s="885"/>
      <c r="BM1371" s="885"/>
      <c r="BN1371" s="885"/>
      <c r="BO1371" s="885"/>
      <c r="BP1371" s="885"/>
      <c r="BQ1371" s="885"/>
      <c r="BR1371" s="885"/>
      <c r="BS1371" s="885"/>
      <c r="BT1371" s="885"/>
      <c r="BU1371" s="885"/>
      <c r="BV1371" s="885"/>
      <c r="BW1371" s="885"/>
      <c r="BX1371" s="885"/>
      <c r="BY1371" s="885"/>
      <c r="BZ1371" s="885"/>
      <c r="CA1371" s="885"/>
      <c r="CB1371" s="885"/>
      <c r="CC1371" s="885"/>
      <c r="CD1371" s="885"/>
      <c r="CE1371" s="885"/>
      <c r="CF1371" s="885"/>
      <c r="CG1371" s="885"/>
      <c r="CH1371" s="885"/>
      <c r="CI1371" s="885"/>
      <c r="CJ1371" s="885"/>
      <c r="CK1371" s="885"/>
      <c r="CL1371" s="885"/>
      <c r="CM1371" s="885"/>
      <c r="CN1371" s="885"/>
      <c r="CO1371" s="885"/>
      <c r="CP1371" s="885"/>
      <c r="CQ1371" s="885"/>
      <c r="CR1371" s="885"/>
      <c r="CS1371" s="885"/>
      <c r="CT1371" s="885"/>
      <c r="CU1371" s="885"/>
      <c r="CV1371" s="885"/>
      <c r="CW1371" s="885"/>
      <c r="CX1371" s="885"/>
      <c r="CY1371" s="885"/>
      <c r="CZ1371" s="885"/>
      <c r="DA1371" s="885"/>
      <c r="DB1371" s="885"/>
      <c r="DC1371" s="885"/>
      <c r="DD1371" s="885"/>
      <c r="DE1371" s="885"/>
      <c r="DF1371" s="885"/>
      <c r="DG1371" s="885"/>
      <c r="DH1371" s="885"/>
      <c r="DI1371" s="885"/>
      <c r="DJ1371" s="885"/>
      <c r="DK1371" s="885"/>
      <c r="DL1371" s="885"/>
      <c r="DM1371" s="885"/>
      <c r="DN1371" s="885"/>
      <c r="DO1371" s="885"/>
      <c r="DP1371" s="885"/>
      <c r="DQ1371" s="885"/>
      <c r="DR1371" s="885"/>
      <c r="DS1371" s="885"/>
      <c r="DT1371" s="885"/>
      <c r="DU1371" s="885"/>
      <c r="DV1371" s="885"/>
      <c r="DW1371" s="885"/>
      <c r="DX1371" s="885"/>
      <c r="DY1371" s="885"/>
      <c r="DZ1371" s="885"/>
      <c r="EA1371" s="885"/>
      <c r="EB1371" s="885"/>
      <c r="EC1371" s="885"/>
      <c r="ED1371" s="885"/>
      <c r="EE1371" s="885"/>
      <c r="EF1371" s="885"/>
      <c r="EG1371" s="885"/>
      <c r="EH1371" s="885"/>
      <c r="EI1371" s="885"/>
      <c r="EJ1371" s="885"/>
      <c r="EK1371" s="885"/>
      <c r="EL1371" s="885"/>
      <c r="EM1371" s="885"/>
      <c r="EN1371" s="885"/>
      <c r="EO1371" s="885"/>
      <c r="EP1371" s="885"/>
      <c r="EQ1371" s="885"/>
      <c r="ER1371" s="885"/>
      <c r="ES1371" s="885"/>
      <c r="ET1371" s="885"/>
      <c r="EU1371" s="885"/>
      <c r="EV1371" s="885"/>
      <c r="EW1371" s="885"/>
      <c r="EX1371" s="885"/>
      <c r="EY1371" s="885"/>
      <c r="EZ1371" s="885"/>
      <c r="FA1371" s="885"/>
      <c r="FB1371" s="885"/>
      <c r="FC1371" s="885"/>
      <c r="FD1371" s="885"/>
      <c r="FE1371" s="885"/>
      <c r="FF1371" s="885"/>
      <c r="FG1371" s="885"/>
      <c r="FH1371" s="885"/>
      <c r="FI1371" s="885"/>
      <c r="FJ1371" s="885"/>
      <c r="FK1371" s="885"/>
      <c r="FL1371" s="885"/>
      <c r="FM1371" s="885"/>
      <c r="FN1371" s="885"/>
      <c r="FO1371" s="885"/>
      <c r="FP1371" s="885"/>
      <c r="FQ1371" s="885"/>
      <c r="FR1371" s="885"/>
      <c r="FS1371" s="885"/>
      <c r="FT1371" s="885"/>
      <c r="FU1371" s="885"/>
      <c r="FV1371" s="885"/>
      <c r="FW1371" s="885"/>
      <c r="FX1371" s="885"/>
      <c r="FY1371" s="885"/>
      <c r="FZ1371" s="885"/>
      <c r="GA1371" s="885"/>
      <c r="GB1371" s="885"/>
      <c r="GC1371" s="885"/>
      <c r="GD1371" s="885"/>
      <c r="GE1371" s="885"/>
      <c r="GF1371" s="885"/>
      <c r="GG1371" s="885"/>
      <c r="GH1371" s="885"/>
      <c r="GI1371" s="885"/>
      <c r="GJ1371" s="885"/>
      <c r="GK1371" s="885"/>
      <c r="GL1371" s="885"/>
      <c r="GM1371" s="885"/>
      <c r="GN1371" s="885"/>
      <c r="GO1371" s="885"/>
      <c r="GP1371" s="885"/>
      <c r="GQ1371" s="885"/>
      <c r="GR1371" s="885"/>
      <c r="GS1371" s="885"/>
      <c r="GT1371" s="885"/>
      <c r="GU1371" s="885"/>
      <c r="GV1371" s="885"/>
      <c r="GW1371" s="885"/>
      <c r="GX1371" s="885"/>
      <c r="GY1371" s="885"/>
      <c r="GZ1371" s="885"/>
      <c r="HA1371" s="885"/>
      <c r="HB1371" s="885"/>
      <c r="HC1371" s="885"/>
      <c r="HD1371" s="885"/>
      <c r="HE1371" s="885"/>
      <c r="HF1371" s="885"/>
      <c r="HG1371" s="885"/>
      <c r="HH1371" s="885"/>
      <c r="HI1371" s="885"/>
      <c r="HJ1371" s="885"/>
      <c r="HK1371" s="885"/>
      <c r="HL1371" s="885"/>
      <c r="HM1371" s="885"/>
      <c r="HN1371" s="885"/>
      <c r="HO1371" s="885"/>
      <c r="HP1371" s="885"/>
      <c r="HQ1371" s="885"/>
      <c r="HR1371" s="885"/>
      <c r="HS1371" s="885"/>
      <c r="HT1371" s="885"/>
      <c r="HU1371" s="885"/>
      <c r="HV1371" s="885"/>
      <c r="HW1371" s="885"/>
      <c r="HX1371" s="885"/>
      <c r="HY1371" s="885"/>
      <c r="HZ1371" s="885"/>
      <c r="IA1371" s="885"/>
      <c r="IB1371" s="885"/>
      <c r="IC1371" s="885"/>
      <c r="ID1371" s="885"/>
      <c r="IE1371" s="885"/>
      <c r="IF1371" s="885"/>
      <c r="IG1371" s="885"/>
      <c r="IH1371" s="885"/>
      <c r="II1371" s="885"/>
      <c r="IJ1371" s="885"/>
      <c r="IK1371" s="885"/>
      <c r="IL1371" s="885"/>
      <c r="IM1371" s="885"/>
      <c r="IN1371" s="885"/>
      <c r="IO1371" s="885"/>
      <c r="IP1371" s="885"/>
      <c r="IQ1371" s="885"/>
      <c r="IR1371" s="885"/>
      <c r="IS1371" s="885"/>
      <c r="IT1371" s="885"/>
      <c r="IU1371" s="885"/>
      <c r="IV1371" s="885"/>
      <c r="IW1371" s="885"/>
      <c r="IX1371" s="885"/>
    </row>
    <row r="1372" spans="1:258" x14ac:dyDescent="0.25">
      <c r="A1372" s="125">
        <f t="shared" si="152"/>
        <v>1332</v>
      </c>
      <c r="B1372" s="885"/>
      <c r="C1372" s="793" t="s">
        <v>9485</v>
      </c>
      <c r="D1372" s="918"/>
      <c r="E1372" s="918"/>
      <c r="F1372" s="793"/>
      <c r="G1372" s="793"/>
      <c r="H1372" s="793"/>
      <c r="I1372" s="793"/>
      <c r="J1372" s="885"/>
      <c r="K1372" s="885"/>
      <c r="L1372" s="885"/>
      <c r="M1372" s="885"/>
      <c r="N1372" s="885"/>
      <c r="O1372" s="885"/>
      <c r="P1372" s="885"/>
      <c r="Q1372" s="885"/>
      <c r="R1372" s="885"/>
      <c r="S1372" s="885"/>
      <c r="T1372" s="885"/>
      <c r="U1372" s="885"/>
      <c r="V1372" s="885"/>
      <c r="W1372" s="885"/>
      <c r="X1372" s="885"/>
      <c r="Y1372" s="885"/>
      <c r="Z1372" s="885"/>
      <c r="AA1372" s="885"/>
      <c r="AB1372" s="885"/>
      <c r="AC1372" s="885"/>
      <c r="AD1372" s="885"/>
      <c r="AE1372" s="885"/>
      <c r="AF1372" s="885"/>
      <c r="AG1372" s="885"/>
      <c r="AH1372" s="885"/>
      <c r="AI1372" s="885"/>
      <c r="AJ1372" s="885"/>
      <c r="AK1372" s="885"/>
      <c r="AL1372" s="885"/>
      <c r="AM1372" s="885"/>
      <c r="AN1372" s="885"/>
      <c r="AO1372" s="885"/>
      <c r="AP1372" s="885"/>
      <c r="AQ1372" s="885"/>
      <c r="AR1372" s="885"/>
      <c r="AS1372" s="885"/>
      <c r="AT1372" s="885"/>
      <c r="AU1372" s="885"/>
      <c r="AV1372" s="885"/>
      <c r="AW1372" s="885"/>
      <c r="AX1372" s="885"/>
      <c r="AY1372" s="885"/>
      <c r="AZ1372" s="885"/>
      <c r="BA1372" s="885"/>
      <c r="BB1372" s="885"/>
      <c r="BC1372" s="885"/>
      <c r="BD1372" s="885"/>
      <c r="BE1372" s="885"/>
      <c r="BF1372" s="885"/>
      <c r="BG1372" s="885"/>
      <c r="BH1372" s="885"/>
      <c r="BI1372" s="885"/>
      <c r="BJ1372" s="885"/>
      <c r="BK1372" s="885"/>
      <c r="BL1372" s="885"/>
      <c r="BM1372" s="885"/>
      <c r="BN1372" s="885"/>
      <c r="BO1372" s="885"/>
      <c r="BP1372" s="885"/>
      <c r="BQ1372" s="885"/>
      <c r="BR1372" s="885"/>
      <c r="BS1372" s="885"/>
      <c r="BT1372" s="885"/>
      <c r="BU1372" s="885"/>
      <c r="BV1372" s="885"/>
      <c r="BW1372" s="885"/>
      <c r="BX1372" s="885"/>
      <c r="BY1372" s="885"/>
      <c r="BZ1372" s="885"/>
      <c r="CA1372" s="885"/>
      <c r="CB1372" s="885"/>
      <c r="CC1372" s="885"/>
      <c r="CD1372" s="885"/>
      <c r="CE1372" s="885"/>
      <c r="CF1372" s="885"/>
      <c r="CG1372" s="885"/>
      <c r="CH1372" s="885"/>
      <c r="CI1372" s="885"/>
      <c r="CJ1372" s="885"/>
      <c r="CK1372" s="885"/>
      <c r="CL1372" s="885"/>
      <c r="CM1372" s="885"/>
      <c r="CN1372" s="885"/>
      <c r="CO1372" s="885"/>
      <c r="CP1372" s="885"/>
      <c r="CQ1372" s="885"/>
      <c r="CR1372" s="885"/>
      <c r="CS1372" s="885"/>
      <c r="CT1372" s="885"/>
      <c r="CU1372" s="885"/>
      <c r="CV1372" s="885"/>
      <c r="CW1372" s="885"/>
      <c r="CX1372" s="885"/>
      <c r="CY1372" s="885"/>
      <c r="CZ1372" s="885"/>
      <c r="DA1372" s="885"/>
      <c r="DB1372" s="885"/>
      <c r="DC1372" s="885"/>
      <c r="DD1372" s="885"/>
      <c r="DE1372" s="885"/>
      <c r="DF1372" s="885"/>
      <c r="DG1372" s="885"/>
      <c r="DH1372" s="885"/>
      <c r="DI1372" s="885"/>
      <c r="DJ1372" s="885"/>
      <c r="DK1372" s="885"/>
      <c r="DL1372" s="885"/>
      <c r="DM1372" s="885"/>
      <c r="DN1372" s="885"/>
      <c r="DO1372" s="885"/>
      <c r="DP1372" s="885"/>
      <c r="DQ1372" s="885"/>
      <c r="DR1372" s="885"/>
      <c r="DS1372" s="885"/>
      <c r="DT1372" s="885"/>
      <c r="DU1372" s="885"/>
      <c r="DV1372" s="885"/>
      <c r="DW1372" s="885"/>
      <c r="DX1372" s="885"/>
      <c r="DY1372" s="885"/>
      <c r="DZ1372" s="885"/>
      <c r="EA1372" s="885"/>
      <c r="EB1372" s="885"/>
      <c r="EC1372" s="885"/>
      <c r="ED1372" s="885"/>
      <c r="EE1372" s="885"/>
      <c r="EF1372" s="885"/>
      <c r="EG1372" s="885"/>
      <c r="EH1372" s="885"/>
      <c r="EI1372" s="885"/>
      <c r="EJ1372" s="885"/>
      <c r="EK1372" s="885"/>
      <c r="EL1372" s="885"/>
      <c r="EM1372" s="885"/>
      <c r="EN1372" s="885"/>
      <c r="EO1372" s="885"/>
      <c r="EP1372" s="885"/>
      <c r="EQ1372" s="885"/>
      <c r="ER1372" s="885"/>
      <c r="ES1372" s="885"/>
      <c r="ET1372" s="885"/>
      <c r="EU1372" s="885"/>
      <c r="EV1372" s="885"/>
      <c r="EW1372" s="885"/>
      <c r="EX1372" s="885"/>
      <c r="EY1372" s="885"/>
      <c r="EZ1372" s="885"/>
      <c r="FA1372" s="885"/>
      <c r="FB1372" s="885"/>
      <c r="FC1372" s="885"/>
      <c r="FD1372" s="885"/>
      <c r="FE1372" s="885"/>
      <c r="FF1372" s="885"/>
      <c r="FG1372" s="885"/>
      <c r="FH1372" s="885"/>
      <c r="FI1372" s="885"/>
      <c r="FJ1372" s="885"/>
      <c r="FK1372" s="885"/>
      <c r="FL1372" s="885"/>
      <c r="FM1372" s="885"/>
      <c r="FN1372" s="885"/>
      <c r="FO1372" s="885"/>
      <c r="FP1372" s="885"/>
      <c r="FQ1372" s="885"/>
      <c r="FR1372" s="885"/>
      <c r="FS1372" s="885"/>
      <c r="FT1372" s="885"/>
      <c r="FU1372" s="885"/>
      <c r="FV1372" s="885"/>
      <c r="FW1372" s="885"/>
      <c r="FX1372" s="885"/>
      <c r="FY1372" s="885"/>
      <c r="FZ1372" s="885"/>
      <c r="GA1372" s="885"/>
      <c r="GB1372" s="885"/>
      <c r="GC1372" s="885"/>
      <c r="GD1372" s="885"/>
      <c r="GE1372" s="885"/>
      <c r="GF1372" s="885"/>
      <c r="GG1372" s="885"/>
      <c r="GH1372" s="885"/>
      <c r="GI1372" s="885"/>
      <c r="GJ1372" s="885"/>
      <c r="GK1372" s="885"/>
      <c r="GL1372" s="885"/>
      <c r="GM1372" s="885"/>
      <c r="GN1372" s="885"/>
      <c r="GO1372" s="885"/>
      <c r="GP1372" s="885"/>
      <c r="GQ1372" s="885"/>
      <c r="GR1372" s="885"/>
      <c r="GS1372" s="885"/>
      <c r="GT1372" s="885"/>
      <c r="GU1372" s="885"/>
      <c r="GV1372" s="885"/>
      <c r="GW1372" s="885"/>
      <c r="GX1372" s="885"/>
      <c r="GY1372" s="885"/>
      <c r="GZ1372" s="885"/>
      <c r="HA1372" s="885"/>
      <c r="HB1372" s="885"/>
      <c r="HC1372" s="885"/>
      <c r="HD1372" s="885"/>
      <c r="HE1372" s="885"/>
      <c r="HF1372" s="885"/>
      <c r="HG1372" s="885"/>
      <c r="HH1372" s="885"/>
      <c r="HI1372" s="885"/>
      <c r="HJ1372" s="885"/>
      <c r="HK1372" s="885"/>
      <c r="HL1372" s="885"/>
      <c r="HM1372" s="885"/>
      <c r="HN1372" s="885"/>
      <c r="HO1372" s="885"/>
      <c r="HP1372" s="885"/>
      <c r="HQ1372" s="885"/>
      <c r="HR1372" s="885"/>
      <c r="HS1372" s="885"/>
      <c r="HT1372" s="885"/>
      <c r="HU1372" s="885"/>
      <c r="HV1372" s="885"/>
      <c r="HW1372" s="885"/>
      <c r="HX1372" s="885"/>
      <c r="HY1372" s="885"/>
      <c r="HZ1372" s="885"/>
      <c r="IA1372" s="885"/>
      <c r="IB1372" s="885"/>
      <c r="IC1372" s="885"/>
      <c r="ID1372" s="885"/>
      <c r="IE1372" s="885"/>
      <c r="IF1372" s="885"/>
      <c r="IG1372" s="885"/>
      <c r="IH1372" s="885"/>
      <c r="II1372" s="885"/>
      <c r="IJ1372" s="885"/>
      <c r="IK1372" s="885"/>
      <c r="IL1372" s="885"/>
      <c r="IM1372" s="885"/>
      <c r="IN1372" s="885"/>
      <c r="IO1372" s="885"/>
      <c r="IP1372" s="885"/>
      <c r="IQ1372" s="885"/>
      <c r="IR1372" s="885"/>
      <c r="IS1372" s="885"/>
      <c r="IT1372" s="885"/>
      <c r="IU1372" s="885"/>
      <c r="IV1372" s="885"/>
      <c r="IW1372" s="885"/>
      <c r="IX1372" s="885"/>
    </row>
    <row r="1373" spans="1:258" x14ac:dyDescent="0.25">
      <c r="A1373" s="125">
        <f t="shared" si="152"/>
        <v>1333</v>
      </c>
      <c r="B1373" s="885"/>
      <c r="C1373" s="793" t="s">
        <v>8697</v>
      </c>
      <c r="D1373" s="918"/>
      <c r="E1373" s="918"/>
      <c r="F1373" s="793"/>
      <c r="G1373" s="793"/>
      <c r="H1373" s="793"/>
      <c r="I1373" s="793"/>
      <c r="J1373" s="885"/>
      <c r="K1373" s="885"/>
      <c r="L1373" s="885"/>
      <c r="M1373" s="885"/>
      <c r="N1373" s="885"/>
      <c r="O1373" s="885"/>
      <c r="P1373" s="885"/>
      <c r="Q1373" s="885"/>
      <c r="R1373" s="885"/>
      <c r="S1373" s="885"/>
      <c r="T1373" s="885"/>
      <c r="U1373" s="885"/>
      <c r="V1373" s="885"/>
      <c r="W1373" s="885"/>
      <c r="X1373" s="885"/>
      <c r="Y1373" s="885"/>
      <c r="Z1373" s="885"/>
      <c r="AA1373" s="885"/>
      <c r="AB1373" s="885"/>
      <c r="AC1373" s="885"/>
      <c r="AD1373" s="885"/>
      <c r="AE1373" s="885"/>
      <c r="AF1373" s="885"/>
      <c r="AG1373" s="885"/>
      <c r="AH1373" s="885"/>
      <c r="AI1373" s="885"/>
      <c r="AJ1373" s="885"/>
      <c r="AK1373" s="885"/>
      <c r="AL1373" s="885"/>
      <c r="AM1373" s="885"/>
      <c r="AN1373" s="885"/>
      <c r="AO1373" s="885"/>
      <c r="AP1373" s="885"/>
      <c r="AQ1373" s="885"/>
      <c r="AR1373" s="885"/>
      <c r="AS1373" s="885"/>
      <c r="AT1373" s="885"/>
      <c r="AU1373" s="885"/>
      <c r="AV1373" s="885"/>
      <c r="AW1373" s="885"/>
      <c r="AX1373" s="885"/>
      <c r="AY1373" s="885"/>
      <c r="AZ1373" s="885"/>
      <c r="BA1373" s="885"/>
      <c r="BB1373" s="885"/>
      <c r="BC1373" s="885"/>
      <c r="BD1373" s="885"/>
      <c r="BE1373" s="885"/>
      <c r="BF1373" s="885"/>
      <c r="BG1373" s="885"/>
      <c r="BH1373" s="885"/>
      <c r="BI1373" s="885"/>
      <c r="BJ1373" s="885"/>
      <c r="BK1373" s="885"/>
      <c r="BL1373" s="885"/>
      <c r="BM1373" s="885"/>
      <c r="BN1373" s="885"/>
      <c r="BO1373" s="885"/>
      <c r="BP1373" s="885"/>
      <c r="BQ1373" s="885"/>
      <c r="BR1373" s="885"/>
      <c r="BS1373" s="885"/>
      <c r="BT1373" s="885"/>
      <c r="BU1373" s="885"/>
      <c r="BV1373" s="885"/>
      <c r="BW1373" s="885"/>
      <c r="BX1373" s="885"/>
      <c r="BY1373" s="885"/>
      <c r="BZ1373" s="885"/>
      <c r="CA1373" s="885"/>
      <c r="CB1373" s="885"/>
      <c r="CC1373" s="885"/>
      <c r="CD1373" s="885"/>
      <c r="CE1373" s="885"/>
      <c r="CF1373" s="885"/>
      <c r="CG1373" s="885"/>
      <c r="CH1373" s="885"/>
      <c r="CI1373" s="885"/>
      <c r="CJ1373" s="885"/>
      <c r="CK1373" s="885"/>
      <c r="CL1373" s="885"/>
      <c r="CM1373" s="885"/>
      <c r="CN1373" s="885"/>
      <c r="CO1373" s="885"/>
      <c r="CP1373" s="885"/>
      <c r="CQ1373" s="885"/>
      <c r="CR1373" s="885"/>
      <c r="CS1373" s="885"/>
      <c r="CT1373" s="885"/>
      <c r="CU1373" s="885"/>
      <c r="CV1373" s="885"/>
      <c r="CW1373" s="885"/>
      <c r="CX1373" s="885"/>
      <c r="CY1373" s="885"/>
      <c r="CZ1373" s="885"/>
      <c r="DA1373" s="885"/>
      <c r="DB1373" s="885"/>
      <c r="DC1373" s="885"/>
      <c r="DD1373" s="885"/>
      <c r="DE1373" s="885"/>
      <c r="DF1373" s="885"/>
      <c r="DG1373" s="885"/>
      <c r="DH1373" s="885"/>
      <c r="DI1373" s="885"/>
      <c r="DJ1373" s="885"/>
      <c r="DK1373" s="885"/>
      <c r="DL1373" s="885"/>
      <c r="DM1373" s="885"/>
      <c r="DN1373" s="885"/>
      <c r="DO1373" s="885"/>
      <c r="DP1373" s="885"/>
      <c r="DQ1373" s="885"/>
      <c r="DR1373" s="885"/>
      <c r="DS1373" s="885"/>
      <c r="DT1373" s="885"/>
      <c r="DU1373" s="885"/>
      <c r="DV1373" s="885"/>
      <c r="DW1373" s="885"/>
      <c r="DX1373" s="885"/>
      <c r="DY1373" s="885"/>
      <c r="DZ1373" s="885"/>
      <c r="EA1373" s="885"/>
      <c r="EB1373" s="885"/>
      <c r="EC1373" s="885"/>
      <c r="ED1373" s="885"/>
      <c r="EE1373" s="885"/>
      <c r="EF1373" s="885"/>
      <c r="EG1373" s="885"/>
      <c r="EH1373" s="885"/>
      <c r="EI1373" s="885"/>
      <c r="EJ1373" s="885"/>
      <c r="EK1373" s="885"/>
      <c r="EL1373" s="885"/>
      <c r="EM1373" s="885"/>
      <c r="EN1373" s="885"/>
      <c r="EO1373" s="885"/>
      <c r="EP1373" s="885"/>
      <c r="EQ1373" s="885"/>
      <c r="ER1373" s="885"/>
      <c r="ES1373" s="885"/>
      <c r="ET1373" s="885"/>
      <c r="EU1373" s="885"/>
      <c r="EV1373" s="885"/>
      <c r="EW1373" s="885"/>
      <c r="EX1373" s="885"/>
      <c r="EY1373" s="885"/>
      <c r="EZ1373" s="885"/>
      <c r="FA1373" s="885"/>
      <c r="FB1373" s="885"/>
      <c r="FC1373" s="885"/>
      <c r="FD1373" s="885"/>
      <c r="FE1373" s="885"/>
      <c r="FF1373" s="885"/>
      <c r="FG1373" s="885"/>
      <c r="FH1373" s="885"/>
      <c r="FI1373" s="885"/>
      <c r="FJ1373" s="885"/>
      <c r="FK1373" s="885"/>
      <c r="FL1373" s="885"/>
      <c r="FM1373" s="885"/>
      <c r="FN1373" s="885"/>
      <c r="FO1373" s="885"/>
      <c r="FP1373" s="885"/>
      <c r="FQ1373" s="885"/>
      <c r="FR1373" s="885"/>
      <c r="FS1373" s="885"/>
      <c r="FT1373" s="885"/>
      <c r="FU1373" s="885"/>
      <c r="FV1373" s="885"/>
      <c r="FW1373" s="885"/>
      <c r="FX1373" s="885"/>
      <c r="FY1373" s="885"/>
      <c r="FZ1373" s="885"/>
      <c r="GA1373" s="885"/>
      <c r="GB1373" s="885"/>
      <c r="GC1373" s="885"/>
      <c r="GD1373" s="885"/>
      <c r="GE1373" s="885"/>
      <c r="GF1373" s="885"/>
      <c r="GG1373" s="885"/>
      <c r="GH1373" s="885"/>
      <c r="GI1373" s="885"/>
      <c r="GJ1373" s="885"/>
      <c r="GK1373" s="885"/>
      <c r="GL1373" s="885"/>
      <c r="GM1373" s="885"/>
      <c r="GN1373" s="885"/>
      <c r="GO1373" s="885"/>
      <c r="GP1373" s="885"/>
      <c r="GQ1373" s="885"/>
      <c r="GR1373" s="885"/>
      <c r="GS1373" s="885"/>
      <c r="GT1373" s="885"/>
      <c r="GU1373" s="885"/>
      <c r="GV1373" s="885"/>
      <c r="GW1373" s="885"/>
      <c r="GX1373" s="885"/>
      <c r="GY1373" s="885"/>
      <c r="GZ1373" s="885"/>
      <c r="HA1373" s="885"/>
      <c r="HB1373" s="885"/>
      <c r="HC1373" s="885"/>
      <c r="HD1373" s="885"/>
      <c r="HE1373" s="885"/>
      <c r="HF1373" s="885"/>
      <c r="HG1373" s="885"/>
      <c r="HH1373" s="885"/>
      <c r="HI1373" s="885"/>
      <c r="HJ1373" s="885"/>
      <c r="HK1373" s="885"/>
      <c r="HL1373" s="885"/>
      <c r="HM1373" s="885"/>
      <c r="HN1373" s="885"/>
      <c r="HO1373" s="885"/>
      <c r="HP1373" s="885"/>
      <c r="HQ1373" s="885"/>
      <c r="HR1373" s="885"/>
      <c r="HS1373" s="885"/>
      <c r="HT1373" s="885"/>
      <c r="HU1373" s="885"/>
      <c r="HV1373" s="885"/>
      <c r="HW1373" s="885"/>
      <c r="HX1373" s="885"/>
      <c r="HY1373" s="885"/>
      <c r="HZ1373" s="885"/>
      <c r="IA1373" s="885"/>
      <c r="IB1373" s="885"/>
      <c r="IC1373" s="885"/>
      <c r="ID1373" s="885"/>
      <c r="IE1373" s="885"/>
      <c r="IF1373" s="885"/>
      <c r="IG1373" s="885"/>
      <c r="IH1373" s="885"/>
      <c r="II1373" s="885"/>
      <c r="IJ1373" s="885"/>
      <c r="IK1373" s="885"/>
      <c r="IL1373" s="885"/>
      <c r="IM1373" s="885"/>
      <c r="IN1373" s="885"/>
      <c r="IO1373" s="885"/>
      <c r="IP1373" s="885"/>
      <c r="IQ1373" s="885"/>
      <c r="IR1373" s="885"/>
      <c r="IS1373" s="885"/>
      <c r="IT1373" s="885"/>
      <c r="IU1373" s="885"/>
      <c r="IV1373" s="885"/>
      <c r="IW1373" s="885"/>
      <c r="IX1373" s="885"/>
    </row>
    <row r="1374" spans="1:258" x14ac:dyDescent="0.25">
      <c r="A1374" s="125">
        <f t="shared" ref="A1374:A1437" si="161">A1373+1</f>
        <v>1334</v>
      </c>
      <c r="B1374" s="885"/>
      <c r="C1374" s="134"/>
      <c r="D1374" s="914"/>
      <c r="E1374" s="914"/>
      <c r="F1374" s="129"/>
      <c r="H1374" s="885"/>
      <c r="I1374" s="885"/>
      <c r="J1374" s="885"/>
      <c r="K1374" s="885"/>
      <c r="L1374" s="885"/>
      <c r="M1374" s="885"/>
      <c r="N1374" s="885"/>
      <c r="O1374" s="885"/>
      <c r="P1374" s="885"/>
      <c r="Q1374" s="885"/>
      <c r="R1374" s="885"/>
      <c r="S1374" s="885"/>
      <c r="T1374" s="885"/>
      <c r="U1374" s="885"/>
      <c r="V1374" s="885"/>
      <c r="W1374" s="885"/>
      <c r="X1374" s="885"/>
      <c r="Y1374" s="885"/>
      <c r="Z1374" s="885"/>
      <c r="AA1374" s="885"/>
      <c r="AB1374" s="885"/>
      <c r="AC1374" s="885"/>
      <c r="AD1374" s="885"/>
      <c r="AE1374" s="885"/>
      <c r="AF1374" s="885"/>
      <c r="AG1374" s="885"/>
      <c r="AH1374" s="885"/>
      <c r="AI1374" s="885"/>
      <c r="AJ1374" s="885"/>
      <c r="AK1374" s="885"/>
      <c r="AL1374" s="885"/>
      <c r="AM1374" s="885"/>
      <c r="AN1374" s="885"/>
      <c r="AO1374" s="885"/>
      <c r="AP1374" s="885"/>
      <c r="AQ1374" s="885"/>
      <c r="AR1374" s="885"/>
      <c r="AS1374" s="885"/>
      <c r="AT1374" s="885"/>
      <c r="AU1374" s="885"/>
      <c r="AV1374" s="885"/>
      <c r="AW1374" s="885"/>
      <c r="AX1374" s="885"/>
      <c r="AY1374" s="885"/>
      <c r="AZ1374" s="885"/>
      <c r="BA1374" s="885"/>
      <c r="BB1374" s="885"/>
      <c r="BC1374" s="885"/>
      <c r="BD1374" s="885"/>
      <c r="BE1374" s="885"/>
      <c r="BF1374" s="885"/>
      <c r="BG1374" s="885"/>
      <c r="BH1374" s="885"/>
      <c r="BI1374" s="885"/>
      <c r="BJ1374" s="885"/>
      <c r="BK1374" s="885"/>
      <c r="BL1374" s="885"/>
      <c r="BM1374" s="885"/>
      <c r="BN1374" s="885"/>
      <c r="BO1374" s="885"/>
      <c r="BP1374" s="885"/>
      <c r="BQ1374" s="885"/>
      <c r="BR1374" s="885"/>
      <c r="BS1374" s="885"/>
      <c r="BT1374" s="885"/>
      <c r="BU1374" s="885"/>
      <c r="BV1374" s="885"/>
      <c r="BW1374" s="885"/>
      <c r="BX1374" s="885"/>
      <c r="BY1374" s="885"/>
      <c r="BZ1374" s="885"/>
      <c r="CA1374" s="885"/>
      <c r="CB1374" s="885"/>
      <c r="CC1374" s="885"/>
      <c r="CD1374" s="885"/>
      <c r="CE1374" s="885"/>
      <c r="CF1374" s="885"/>
      <c r="CG1374" s="885"/>
      <c r="CH1374" s="885"/>
      <c r="CI1374" s="885"/>
      <c r="CJ1374" s="885"/>
      <c r="CK1374" s="885"/>
      <c r="CL1374" s="885"/>
      <c r="CM1374" s="885"/>
      <c r="CN1374" s="885"/>
      <c r="CO1374" s="885"/>
      <c r="CP1374" s="885"/>
      <c r="CQ1374" s="885"/>
      <c r="CR1374" s="885"/>
      <c r="CS1374" s="885"/>
      <c r="CT1374" s="885"/>
      <c r="CU1374" s="885"/>
      <c r="CV1374" s="885"/>
      <c r="CW1374" s="885"/>
      <c r="CX1374" s="885"/>
      <c r="CY1374" s="885"/>
      <c r="CZ1374" s="885"/>
      <c r="DA1374" s="885"/>
      <c r="DB1374" s="885"/>
      <c r="DC1374" s="885"/>
      <c r="DD1374" s="885"/>
      <c r="DE1374" s="885"/>
      <c r="DF1374" s="885"/>
      <c r="DG1374" s="885"/>
      <c r="DH1374" s="885"/>
      <c r="DI1374" s="885"/>
      <c r="DJ1374" s="885"/>
      <c r="DK1374" s="885"/>
      <c r="DL1374" s="885"/>
      <c r="DM1374" s="885"/>
      <c r="DN1374" s="885"/>
      <c r="DO1374" s="885"/>
      <c r="DP1374" s="885"/>
      <c r="DQ1374" s="885"/>
      <c r="DR1374" s="885"/>
      <c r="DS1374" s="885"/>
      <c r="DT1374" s="885"/>
      <c r="DU1374" s="885"/>
      <c r="DV1374" s="885"/>
      <c r="DW1374" s="885"/>
      <c r="DX1374" s="885"/>
      <c r="DY1374" s="885"/>
      <c r="DZ1374" s="885"/>
      <c r="EA1374" s="885"/>
      <c r="EB1374" s="885"/>
      <c r="EC1374" s="885"/>
      <c r="ED1374" s="885"/>
      <c r="EE1374" s="885"/>
      <c r="EF1374" s="885"/>
      <c r="EG1374" s="885"/>
      <c r="EH1374" s="885"/>
      <c r="EI1374" s="885"/>
      <c r="EJ1374" s="885"/>
      <c r="EK1374" s="885"/>
      <c r="EL1374" s="885"/>
      <c r="EM1374" s="885"/>
      <c r="EN1374" s="885"/>
      <c r="EO1374" s="885"/>
      <c r="EP1374" s="885"/>
      <c r="EQ1374" s="885"/>
      <c r="ER1374" s="885"/>
      <c r="ES1374" s="885"/>
      <c r="ET1374" s="885"/>
      <c r="EU1374" s="885"/>
      <c r="EV1374" s="885"/>
      <c r="EW1374" s="885"/>
      <c r="EX1374" s="885"/>
      <c r="EY1374" s="885"/>
      <c r="EZ1374" s="885"/>
      <c r="FA1374" s="885"/>
      <c r="FB1374" s="885"/>
      <c r="FC1374" s="885"/>
      <c r="FD1374" s="885"/>
      <c r="FE1374" s="885"/>
      <c r="FF1374" s="885"/>
      <c r="FG1374" s="885"/>
      <c r="FH1374" s="885"/>
      <c r="FI1374" s="885"/>
      <c r="FJ1374" s="885"/>
      <c r="FK1374" s="885"/>
      <c r="FL1374" s="885"/>
      <c r="FM1374" s="885"/>
      <c r="FN1374" s="885"/>
      <c r="FO1374" s="885"/>
      <c r="FP1374" s="885"/>
      <c r="FQ1374" s="885"/>
      <c r="FR1374" s="885"/>
      <c r="FS1374" s="885"/>
      <c r="FT1374" s="885"/>
      <c r="FU1374" s="885"/>
      <c r="FV1374" s="885"/>
      <c r="FW1374" s="885"/>
      <c r="FX1374" s="885"/>
      <c r="FY1374" s="885"/>
      <c r="FZ1374" s="885"/>
      <c r="GA1374" s="885"/>
      <c r="GB1374" s="885"/>
      <c r="GC1374" s="885"/>
      <c r="GD1374" s="885"/>
      <c r="GE1374" s="885"/>
      <c r="GF1374" s="885"/>
      <c r="GG1374" s="885"/>
      <c r="GH1374" s="885"/>
      <c r="GI1374" s="885"/>
      <c r="GJ1374" s="885"/>
      <c r="GK1374" s="885"/>
      <c r="GL1374" s="885"/>
      <c r="GM1374" s="885"/>
      <c r="GN1374" s="885"/>
      <c r="GO1374" s="885"/>
      <c r="GP1374" s="885"/>
      <c r="GQ1374" s="885"/>
      <c r="GR1374" s="885"/>
      <c r="GS1374" s="885"/>
      <c r="GT1374" s="885"/>
      <c r="GU1374" s="885"/>
      <c r="GV1374" s="885"/>
      <c r="GW1374" s="885"/>
      <c r="GX1374" s="885"/>
      <c r="GY1374" s="885"/>
      <c r="GZ1374" s="885"/>
      <c r="HA1374" s="885"/>
      <c r="HB1374" s="885"/>
      <c r="HC1374" s="885"/>
      <c r="HD1374" s="885"/>
      <c r="HE1374" s="885"/>
      <c r="HF1374" s="885"/>
      <c r="HG1374" s="885"/>
      <c r="HH1374" s="885"/>
      <c r="HI1374" s="885"/>
      <c r="HJ1374" s="885"/>
      <c r="HK1374" s="885"/>
      <c r="HL1374" s="885"/>
      <c r="HM1374" s="885"/>
      <c r="HN1374" s="885"/>
      <c r="HO1374" s="885"/>
      <c r="HP1374" s="885"/>
      <c r="HQ1374" s="885"/>
      <c r="HR1374" s="885"/>
      <c r="HS1374" s="885"/>
      <c r="HT1374" s="885"/>
      <c r="HU1374" s="885"/>
      <c r="HV1374" s="885"/>
      <c r="HW1374" s="885"/>
      <c r="HX1374" s="885"/>
      <c r="HY1374" s="885"/>
      <c r="HZ1374" s="885"/>
      <c r="IA1374" s="885"/>
      <c r="IB1374" s="885"/>
      <c r="IC1374" s="885"/>
      <c r="ID1374" s="885"/>
      <c r="IE1374" s="885"/>
      <c r="IF1374" s="885"/>
      <c r="IG1374" s="885"/>
      <c r="IH1374" s="885"/>
      <c r="II1374" s="885"/>
      <c r="IJ1374" s="885"/>
      <c r="IK1374" s="885"/>
      <c r="IL1374" s="885"/>
      <c r="IM1374" s="885"/>
      <c r="IN1374" s="885"/>
      <c r="IO1374" s="885"/>
      <c r="IP1374" s="885"/>
      <c r="IQ1374" s="885"/>
      <c r="IR1374" s="885"/>
      <c r="IS1374" s="885"/>
      <c r="IT1374" s="885"/>
      <c r="IU1374" s="885"/>
      <c r="IV1374" s="885"/>
      <c r="IW1374" s="885"/>
      <c r="IX1374" s="885"/>
    </row>
    <row r="1375" spans="1:258" x14ac:dyDescent="0.25">
      <c r="A1375" s="125">
        <f t="shared" si="161"/>
        <v>1335</v>
      </c>
      <c r="B1375" s="885"/>
      <c r="C1375" s="232" t="s">
        <v>8096</v>
      </c>
      <c r="D1375" s="915"/>
      <c r="E1375" s="915"/>
      <c r="F1375" s="129"/>
      <c r="H1375" s="885"/>
      <c r="I1375" s="885"/>
      <c r="J1375" s="885"/>
      <c r="K1375" s="885"/>
      <c r="L1375" s="885"/>
      <c r="M1375" s="885"/>
      <c r="N1375" s="885"/>
      <c r="O1375" s="885"/>
      <c r="P1375" s="885"/>
      <c r="Q1375" s="885"/>
      <c r="R1375" s="885"/>
      <c r="S1375" s="885"/>
      <c r="T1375" s="885"/>
      <c r="U1375" s="885"/>
      <c r="V1375" s="885"/>
      <c r="W1375" s="885"/>
      <c r="X1375" s="885"/>
      <c r="Y1375" s="885"/>
      <c r="Z1375" s="885"/>
      <c r="AA1375" s="885"/>
      <c r="AB1375" s="885"/>
      <c r="AC1375" s="885"/>
      <c r="AD1375" s="885"/>
      <c r="AE1375" s="885"/>
      <c r="AF1375" s="885"/>
      <c r="AG1375" s="885"/>
      <c r="AH1375" s="885"/>
      <c r="AI1375" s="885"/>
      <c r="AJ1375" s="885"/>
      <c r="AK1375" s="885"/>
      <c r="AL1375" s="885"/>
      <c r="AM1375" s="885"/>
      <c r="AN1375" s="885"/>
      <c r="AO1375" s="885"/>
      <c r="AP1375" s="885"/>
      <c r="AQ1375" s="885"/>
      <c r="AR1375" s="885"/>
      <c r="AS1375" s="885"/>
      <c r="AT1375" s="885"/>
      <c r="AU1375" s="885"/>
      <c r="AV1375" s="885"/>
      <c r="AW1375" s="885"/>
      <c r="AX1375" s="885"/>
      <c r="AY1375" s="885"/>
      <c r="AZ1375" s="885"/>
      <c r="BA1375" s="885"/>
      <c r="BB1375" s="885"/>
      <c r="BC1375" s="885"/>
      <c r="BD1375" s="885"/>
      <c r="BE1375" s="885"/>
      <c r="BF1375" s="885"/>
      <c r="BG1375" s="885"/>
      <c r="BH1375" s="885"/>
      <c r="BI1375" s="885"/>
      <c r="BJ1375" s="885"/>
      <c r="BK1375" s="885"/>
      <c r="BL1375" s="885"/>
      <c r="BM1375" s="885"/>
      <c r="BN1375" s="885"/>
      <c r="BO1375" s="885"/>
      <c r="BP1375" s="885"/>
      <c r="BQ1375" s="885"/>
      <c r="BR1375" s="885"/>
      <c r="BS1375" s="885"/>
      <c r="BT1375" s="885"/>
      <c r="BU1375" s="885"/>
      <c r="BV1375" s="885"/>
      <c r="BW1375" s="885"/>
      <c r="BX1375" s="885"/>
      <c r="BY1375" s="885"/>
      <c r="BZ1375" s="885"/>
      <c r="CA1375" s="885"/>
      <c r="CB1375" s="885"/>
      <c r="CC1375" s="885"/>
      <c r="CD1375" s="885"/>
      <c r="CE1375" s="885"/>
      <c r="CF1375" s="885"/>
      <c r="CG1375" s="885"/>
      <c r="CH1375" s="885"/>
      <c r="CI1375" s="885"/>
      <c r="CJ1375" s="885"/>
      <c r="CK1375" s="885"/>
      <c r="CL1375" s="885"/>
      <c r="CM1375" s="885"/>
      <c r="CN1375" s="885"/>
      <c r="CO1375" s="885"/>
      <c r="CP1375" s="885"/>
      <c r="CQ1375" s="885"/>
      <c r="CR1375" s="885"/>
      <c r="CS1375" s="885"/>
      <c r="CT1375" s="885"/>
      <c r="CU1375" s="885"/>
      <c r="CV1375" s="885"/>
      <c r="CW1375" s="885"/>
      <c r="CX1375" s="885"/>
      <c r="CY1375" s="885"/>
      <c r="CZ1375" s="885"/>
      <c r="DA1375" s="885"/>
      <c r="DB1375" s="885"/>
      <c r="DC1375" s="885"/>
      <c r="DD1375" s="885"/>
      <c r="DE1375" s="885"/>
      <c r="DF1375" s="885"/>
      <c r="DG1375" s="885"/>
      <c r="DH1375" s="885"/>
      <c r="DI1375" s="885"/>
      <c r="DJ1375" s="885"/>
      <c r="DK1375" s="885"/>
      <c r="DL1375" s="885"/>
      <c r="DM1375" s="885"/>
      <c r="DN1375" s="885"/>
      <c r="DO1375" s="885"/>
      <c r="DP1375" s="885"/>
      <c r="DQ1375" s="885"/>
      <c r="DR1375" s="885"/>
      <c r="DS1375" s="885"/>
      <c r="DT1375" s="885"/>
      <c r="DU1375" s="885"/>
      <c r="DV1375" s="885"/>
      <c r="DW1375" s="885"/>
      <c r="DX1375" s="885"/>
      <c r="DY1375" s="885"/>
      <c r="DZ1375" s="885"/>
      <c r="EA1375" s="885"/>
      <c r="EB1375" s="885"/>
      <c r="EC1375" s="885"/>
      <c r="ED1375" s="885"/>
      <c r="EE1375" s="885"/>
      <c r="EF1375" s="885"/>
      <c r="EG1375" s="885"/>
      <c r="EH1375" s="885"/>
      <c r="EI1375" s="885"/>
      <c r="EJ1375" s="885"/>
      <c r="EK1375" s="885"/>
      <c r="EL1375" s="885"/>
      <c r="EM1375" s="885"/>
      <c r="EN1375" s="885"/>
      <c r="EO1375" s="885"/>
      <c r="EP1375" s="885"/>
      <c r="EQ1375" s="885"/>
      <c r="ER1375" s="885"/>
      <c r="ES1375" s="885"/>
      <c r="ET1375" s="885"/>
      <c r="EU1375" s="885"/>
      <c r="EV1375" s="885"/>
      <c r="EW1375" s="885"/>
      <c r="EX1375" s="885"/>
      <c r="EY1375" s="885"/>
      <c r="EZ1375" s="885"/>
      <c r="FA1375" s="885"/>
      <c r="FB1375" s="885"/>
      <c r="FC1375" s="885"/>
      <c r="FD1375" s="885"/>
      <c r="FE1375" s="885"/>
      <c r="FF1375" s="885"/>
      <c r="FG1375" s="885"/>
      <c r="FH1375" s="885"/>
      <c r="FI1375" s="885"/>
      <c r="FJ1375" s="885"/>
      <c r="FK1375" s="885"/>
      <c r="FL1375" s="885"/>
      <c r="FM1375" s="885"/>
      <c r="FN1375" s="885"/>
      <c r="FO1375" s="885"/>
      <c r="FP1375" s="885"/>
      <c r="FQ1375" s="885"/>
      <c r="FR1375" s="885"/>
      <c r="FS1375" s="885"/>
      <c r="FT1375" s="885"/>
      <c r="FU1375" s="885"/>
      <c r="FV1375" s="885"/>
      <c r="FW1375" s="885"/>
      <c r="FX1375" s="885"/>
      <c r="FY1375" s="885"/>
      <c r="FZ1375" s="885"/>
      <c r="GA1375" s="885"/>
      <c r="GB1375" s="885"/>
      <c r="GC1375" s="885"/>
      <c r="GD1375" s="885"/>
      <c r="GE1375" s="885"/>
      <c r="GF1375" s="885"/>
      <c r="GG1375" s="885"/>
      <c r="GH1375" s="885"/>
      <c r="GI1375" s="885"/>
      <c r="GJ1375" s="885"/>
      <c r="GK1375" s="885"/>
      <c r="GL1375" s="885"/>
      <c r="GM1375" s="885"/>
      <c r="GN1375" s="885"/>
      <c r="GO1375" s="885"/>
      <c r="GP1375" s="885"/>
      <c r="GQ1375" s="885"/>
      <c r="GR1375" s="885"/>
      <c r="GS1375" s="885"/>
      <c r="GT1375" s="885"/>
      <c r="GU1375" s="885"/>
      <c r="GV1375" s="885"/>
      <c r="GW1375" s="885"/>
      <c r="GX1375" s="885"/>
      <c r="GY1375" s="885"/>
      <c r="GZ1375" s="885"/>
      <c r="HA1375" s="885"/>
      <c r="HB1375" s="885"/>
      <c r="HC1375" s="885"/>
      <c r="HD1375" s="885"/>
      <c r="HE1375" s="885"/>
      <c r="HF1375" s="885"/>
      <c r="HG1375" s="885"/>
      <c r="HH1375" s="885"/>
      <c r="HI1375" s="885"/>
      <c r="HJ1375" s="885"/>
      <c r="HK1375" s="885"/>
      <c r="HL1375" s="885"/>
      <c r="HM1375" s="885"/>
      <c r="HN1375" s="885"/>
      <c r="HO1375" s="885"/>
      <c r="HP1375" s="885"/>
      <c r="HQ1375" s="885"/>
      <c r="HR1375" s="885"/>
      <c r="HS1375" s="885"/>
      <c r="HT1375" s="885"/>
      <c r="HU1375" s="885"/>
      <c r="HV1375" s="885"/>
      <c r="HW1375" s="885"/>
      <c r="HX1375" s="885"/>
      <c r="HY1375" s="885"/>
      <c r="HZ1375" s="885"/>
      <c r="IA1375" s="885"/>
      <c r="IB1375" s="885"/>
      <c r="IC1375" s="885"/>
      <c r="ID1375" s="885"/>
      <c r="IE1375" s="885"/>
      <c r="IF1375" s="885"/>
      <c r="IG1375" s="885"/>
      <c r="IH1375" s="885"/>
      <c r="II1375" s="885"/>
      <c r="IJ1375" s="885"/>
      <c r="IK1375" s="885"/>
      <c r="IL1375" s="885"/>
      <c r="IM1375" s="885"/>
      <c r="IN1375" s="885"/>
      <c r="IO1375" s="885"/>
      <c r="IP1375" s="885"/>
      <c r="IQ1375" s="885"/>
      <c r="IR1375" s="885"/>
      <c r="IS1375" s="885"/>
      <c r="IT1375" s="885"/>
      <c r="IU1375" s="885"/>
      <c r="IV1375" s="885"/>
      <c r="IW1375" s="885"/>
      <c r="IX1375" s="885"/>
    </row>
    <row r="1376" spans="1:258" x14ac:dyDescent="0.25">
      <c r="A1376" s="125">
        <f t="shared" si="161"/>
        <v>1336</v>
      </c>
      <c r="B1376" s="885"/>
      <c r="C1376" s="931" t="s">
        <v>10893</v>
      </c>
      <c r="D1376" s="924">
        <v>80</v>
      </c>
      <c r="E1376" s="924">
        <f t="shared" ref="E1376:E1380" si="162">D1376/8*12</f>
        <v>120</v>
      </c>
      <c r="F1376" s="129">
        <f>F1378*F83</f>
        <v>120</v>
      </c>
      <c r="G1376" s="122" t="s">
        <v>1963</v>
      </c>
      <c r="H1376" s="885"/>
      <c r="I1376" s="885"/>
      <c r="J1376" s="885"/>
      <c r="K1376" s="885"/>
      <c r="L1376" s="885"/>
      <c r="M1376" s="885"/>
      <c r="N1376" s="885"/>
      <c r="O1376" s="885"/>
      <c r="P1376" s="885"/>
      <c r="Q1376" s="885"/>
      <c r="R1376" s="885"/>
      <c r="S1376" s="885"/>
      <c r="T1376" s="885"/>
      <c r="U1376" s="885"/>
      <c r="V1376" s="885"/>
      <c r="W1376" s="885"/>
      <c r="X1376" s="885"/>
      <c r="Y1376" s="885"/>
      <c r="Z1376" s="885"/>
      <c r="AA1376" s="885"/>
      <c r="AB1376" s="885"/>
      <c r="AC1376" s="885"/>
      <c r="AD1376" s="885"/>
      <c r="AE1376" s="885"/>
      <c r="AF1376" s="885"/>
      <c r="AG1376" s="885"/>
      <c r="AH1376" s="885"/>
      <c r="AI1376" s="885"/>
      <c r="AJ1376" s="885"/>
      <c r="AK1376" s="885"/>
      <c r="AL1376" s="885"/>
      <c r="AM1376" s="885"/>
      <c r="AN1376" s="885"/>
      <c r="AO1376" s="885"/>
      <c r="AP1376" s="885"/>
      <c r="AQ1376" s="885"/>
      <c r="AR1376" s="885"/>
      <c r="AS1376" s="885"/>
      <c r="AT1376" s="885"/>
      <c r="AU1376" s="885"/>
      <c r="AV1376" s="885"/>
      <c r="AW1376" s="885"/>
      <c r="AX1376" s="885"/>
      <c r="AY1376" s="885"/>
      <c r="AZ1376" s="885"/>
      <c r="BA1376" s="885"/>
      <c r="BB1376" s="885"/>
      <c r="BC1376" s="885"/>
      <c r="BD1376" s="885"/>
      <c r="BE1376" s="885"/>
      <c r="BF1376" s="885"/>
      <c r="BG1376" s="885"/>
      <c r="BH1376" s="885"/>
      <c r="BI1376" s="885"/>
      <c r="BJ1376" s="885"/>
      <c r="BK1376" s="885"/>
      <c r="BL1376" s="885"/>
      <c r="BM1376" s="885"/>
      <c r="BN1376" s="885"/>
      <c r="BO1376" s="885"/>
      <c r="BP1376" s="885"/>
      <c r="BQ1376" s="885"/>
      <c r="BR1376" s="885"/>
      <c r="BS1376" s="885"/>
      <c r="BT1376" s="885"/>
      <c r="BU1376" s="885"/>
      <c r="BV1376" s="885"/>
      <c r="BW1376" s="885"/>
      <c r="BX1376" s="885"/>
      <c r="BY1376" s="885"/>
      <c r="BZ1376" s="885"/>
      <c r="CA1376" s="885"/>
      <c r="CB1376" s="885"/>
      <c r="CC1376" s="885"/>
      <c r="CD1376" s="885"/>
      <c r="CE1376" s="885"/>
      <c r="CF1376" s="885"/>
      <c r="CG1376" s="885"/>
      <c r="CH1376" s="885"/>
      <c r="CI1376" s="885"/>
      <c r="CJ1376" s="885"/>
      <c r="CK1376" s="885"/>
      <c r="CL1376" s="885"/>
      <c r="CM1376" s="885"/>
      <c r="CN1376" s="885"/>
      <c r="CO1376" s="885"/>
      <c r="CP1376" s="885"/>
      <c r="CQ1376" s="885"/>
      <c r="CR1376" s="885"/>
      <c r="CS1376" s="885"/>
      <c r="CT1376" s="885"/>
      <c r="CU1376" s="885"/>
      <c r="CV1376" s="885"/>
      <c r="CW1376" s="885"/>
      <c r="CX1376" s="885"/>
      <c r="CY1376" s="885"/>
      <c r="CZ1376" s="885"/>
      <c r="DA1376" s="885"/>
      <c r="DB1376" s="885"/>
      <c r="DC1376" s="885"/>
      <c r="DD1376" s="885"/>
      <c r="DE1376" s="885"/>
      <c r="DF1376" s="885"/>
      <c r="DG1376" s="885"/>
      <c r="DH1376" s="885"/>
      <c r="DI1376" s="885"/>
      <c r="DJ1376" s="885"/>
      <c r="DK1376" s="885"/>
      <c r="DL1376" s="885"/>
      <c r="DM1376" s="885"/>
      <c r="DN1376" s="885"/>
      <c r="DO1376" s="885"/>
      <c r="DP1376" s="885"/>
      <c r="DQ1376" s="885"/>
      <c r="DR1376" s="885"/>
      <c r="DS1376" s="885"/>
      <c r="DT1376" s="885"/>
      <c r="DU1376" s="885"/>
      <c r="DV1376" s="885"/>
      <c r="DW1376" s="885"/>
      <c r="DX1376" s="885"/>
      <c r="DY1376" s="885"/>
      <c r="DZ1376" s="885"/>
      <c r="EA1376" s="885"/>
      <c r="EB1376" s="885"/>
      <c r="EC1376" s="885"/>
      <c r="ED1376" s="885"/>
      <c r="EE1376" s="885"/>
      <c r="EF1376" s="885"/>
      <c r="EG1376" s="885"/>
      <c r="EH1376" s="885"/>
      <c r="EI1376" s="885"/>
      <c r="EJ1376" s="885"/>
      <c r="EK1376" s="885"/>
      <c r="EL1376" s="885"/>
      <c r="EM1376" s="885"/>
      <c r="EN1376" s="885"/>
      <c r="EO1376" s="885"/>
      <c r="EP1376" s="885"/>
      <c r="EQ1376" s="885"/>
      <c r="ER1376" s="885"/>
      <c r="ES1376" s="885"/>
      <c r="ET1376" s="885"/>
      <c r="EU1376" s="885"/>
      <c r="EV1376" s="885"/>
      <c r="EW1376" s="885"/>
      <c r="EX1376" s="885"/>
      <c r="EY1376" s="885"/>
      <c r="EZ1376" s="885"/>
      <c r="FA1376" s="885"/>
      <c r="FB1376" s="885"/>
      <c r="FC1376" s="885"/>
      <c r="FD1376" s="885"/>
      <c r="FE1376" s="885"/>
      <c r="FF1376" s="885"/>
      <c r="FG1376" s="885"/>
      <c r="FH1376" s="885"/>
      <c r="FI1376" s="885"/>
      <c r="FJ1376" s="885"/>
      <c r="FK1376" s="885"/>
      <c r="FL1376" s="885"/>
      <c r="FM1376" s="885"/>
      <c r="FN1376" s="885"/>
      <c r="FO1376" s="885"/>
      <c r="FP1376" s="885"/>
      <c r="FQ1376" s="885"/>
      <c r="FR1376" s="885"/>
      <c r="FS1376" s="885"/>
      <c r="FT1376" s="885"/>
      <c r="FU1376" s="885"/>
      <c r="FV1376" s="885"/>
      <c r="FW1376" s="885"/>
      <c r="FX1376" s="885"/>
      <c r="FY1376" s="885"/>
      <c r="FZ1376" s="885"/>
      <c r="GA1376" s="885"/>
      <c r="GB1376" s="885"/>
      <c r="GC1376" s="885"/>
      <c r="GD1376" s="885"/>
      <c r="GE1376" s="885"/>
      <c r="GF1376" s="885"/>
      <c r="GG1376" s="885"/>
      <c r="GH1376" s="885"/>
      <c r="GI1376" s="885"/>
      <c r="GJ1376" s="885"/>
      <c r="GK1376" s="885"/>
      <c r="GL1376" s="885"/>
      <c r="GM1376" s="885"/>
      <c r="GN1376" s="885"/>
      <c r="GO1376" s="885"/>
      <c r="GP1376" s="885"/>
      <c r="GQ1376" s="885"/>
      <c r="GR1376" s="885"/>
      <c r="GS1376" s="885"/>
      <c r="GT1376" s="885"/>
      <c r="GU1376" s="885"/>
      <c r="GV1376" s="885"/>
      <c r="GW1376" s="885"/>
      <c r="GX1376" s="885"/>
      <c r="GY1376" s="885"/>
      <c r="GZ1376" s="885"/>
      <c r="HA1376" s="885"/>
      <c r="HB1376" s="885"/>
      <c r="HC1376" s="885"/>
      <c r="HD1376" s="885"/>
      <c r="HE1376" s="885"/>
      <c r="HF1376" s="885"/>
      <c r="HG1376" s="885"/>
      <c r="HH1376" s="885"/>
      <c r="HI1376" s="885"/>
      <c r="HJ1376" s="885"/>
      <c r="HK1376" s="885"/>
      <c r="HL1376" s="885"/>
      <c r="HM1376" s="885"/>
      <c r="HN1376" s="885"/>
      <c r="HO1376" s="885"/>
      <c r="HP1376" s="885"/>
      <c r="HQ1376" s="885"/>
      <c r="HR1376" s="885"/>
      <c r="HS1376" s="885"/>
      <c r="HT1376" s="885"/>
      <c r="HU1376" s="885"/>
      <c r="HV1376" s="885"/>
      <c r="HW1376" s="885"/>
      <c r="HX1376" s="885"/>
      <c r="HY1376" s="885"/>
      <c r="HZ1376" s="885"/>
      <c r="IA1376" s="885"/>
      <c r="IB1376" s="885"/>
      <c r="IC1376" s="885"/>
      <c r="ID1376" s="885"/>
      <c r="IE1376" s="885"/>
      <c r="IF1376" s="885"/>
      <c r="IG1376" s="885"/>
      <c r="IH1376" s="885"/>
      <c r="II1376" s="885"/>
      <c r="IJ1376" s="885"/>
      <c r="IK1376" s="885"/>
      <c r="IL1376" s="885"/>
      <c r="IM1376" s="885"/>
      <c r="IN1376" s="885"/>
      <c r="IO1376" s="885"/>
      <c r="IP1376" s="885"/>
      <c r="IQ1376" s="885"/>
      <c r="IR1376" s="885"/>
      <c r="IS1376" s="885"/>
      <c r="IT1376" s="885"/>
      <c r="IU1376" s="885"/>
      <c r="IV1376" s="885"/>
      <c r="IW1376" s="885"/>
      <c r="IX1376" s="885"/>
    </row>
    <row r="1377" spans="1:258" x14ac:dyDescent="0.25">
      <c r="A1377" s="125">
        <f t="shared" si="161"/>
        <v>1337</v>
      </c>
      <c r="B1377" s="885"/>
      <c r="C1377" s="842" t="s">
        <v>10894</v>
      </c>
      <c r="D1377" s="924">
        <v>952.84</v>
      </c>
      <c r="E1377" s="924">
        <f t="shared" si="162"/>
        <v>1429.26</v>
      </c>
      <c r="F1377" s="129">
        <f>E1377</f>
        <v>1429.26</v>
      </c>
      <c r="G1377" s="122" t="s">
        <v>1963</v>
      </c>
      <c r="H1377" s="885"/>
      <c r="I1377" s="885"/>
      <c r="J1377" s="885"/>
      <c r="K1377" s="885"/>
      <c r="L1377" s="885"/>
      <c r="M1377" s="885"/>
      <c r="N1377" s="885"/>
      <c r="O1377" s="885"/>
      <c r="P1377" s="885"/>
      <c r="Q1377" s="885"/>
      <c r="R1377" s="885"/>
      <c r="S1377" s="885"/>
      <c r="T1377" s="885"/>
      <c r="U1377" s="885"/>
      <c r="V1377" s="885"/>
      <c r="W1377" s="885"/>
      <c r="X1377" s="885"/>
      <c r="Y1377" s="885"/>
      <c r="Z1377" s="885"/>
      <c r="AA1377" s="885"/>
      <c r="AB1377" s="885"/>
      <c r="AC1377" s="885"/>
      <c r="AD1377" s="885"/>
      <c r="AE1377" s="885"/>
      <c r="AF1377" s="885"/>
      <c r="AG1377" s="885"/>
      <c r="AH1377" s="885"/>
      <c r="AI1377" s="885"/>
      <c r="AJ1377" s="885"/>
      <c r="AK1377" s="885"/>
      <c r="AL1377" s="885"/>
      <c r="AM1377" s="885"/>
      <c r="AN1377" s="885"/>
      <c r="AO1377" s="885"/>
      <c r="AP1377" s="885"/>
      <c r="AQ1377" s="885"/>
      <c r="AR1377" s="885"/>
      <c r="AS1377" s="885"/>
      <c r="AT1377" s="885"/>
      <c r="AU1377" s="885"/>
      <c r="AV1377" s="885"/>
      <c r="AW1377" s="885"/>
      <c r="AX1377" s="885"/>
      <c r="AY1377" s="885"/>
      <c r="AZ1377" s="885"/>
      <c r="BA1377" s="885"/>
      <c r="BB1377" s="885"/>
      <c r="BC1377" s="885"/>
      <c r="BD1377" s="885"/>
      <c r="BE1377" s="885"/>
      <c r="BF1377" s="885"/>
      <c r="BG1377" s="885"/>
      <c r="BH1377" s="885"/>
      <c r="BI1377" s="885"/>
      <c r="BJ1377" s="885"/>
      <c r="BK1377" s="885"/>
      <c r="BL1377" s="885"/>
      <c r="BM1377" s="885"/>
      <c r="BN1377" s="885"/>
      <c r="BO1377" s="885"/>
      <c r="BP1377" s="885"/>
      <c r="BQ1377" s="885"/>
      <c r="BR1377" s="885"/>
      <c r="BS1377" s="885"/>
      <c r="BT1377" s="885"/>
      <c r="BU1377" s="885"/>
      <c r="BV1377" s="885"/>
      <c r="BW1377" s="885"/>
      <c r="BX1377" s="885"/>
      <c r="BY1377" s="885"/>
      <c r="BZ1377" s="885"/>
      <c r="CA1377" s="885"/>
      <c r="CB1377" s="885"/>
      <c r="CC1377" s="885"/>
      <c r="CD1377" s="885"/>
      <c r="CE1377" s="885"/>
      <c r="CF1377" s="885"/>
      <c r="CG1377" s="885"/>
      <c r="CH1377" s="885"/>
      <c r="CI1377" s="885"/>
      <c r="CJ1377" s="885"/>
      <c r="CK1377" s="885"/>
      <c r="CL1377" s="885"/>
      <c r="CM1377" s="885"/>
      <c r="CN1377" s="885"/>
      <c r="CO1377" s="885"/>
      <c r="CP1377" s="885"/>
      <c r="CQ1377" s="885"/>
      <c r="CR1377" s="885"/>
      <c r="CS1377" s="885"/>
      <c r="CT1377" s="885"/>
      <c r="CU1377" s="885"/>
      <c r="CV1377" s="885"/>
      <c r="CW1377" s="885"/>
      <c r="CX1377" s="885"/>
      <c r="CY1377" s="885"/>
      <c r="CZ1377" s="885"/>
      <c r="DA1377" s="885"/>
      <c r="DB1377" s="885"/>
      <c r="DC1377" s="885"/>
      <c r="DD1377" s="885"/>
      <c r="DE1377" s="885"/>
      <c r="DF1377" s="885"/>
      <c r="DG1377" s="885"/>
      <c r="DH1377" s="885"/>
      <c r="DI1377" s="885"/>
      <c r="DJ1377" s="885"/>
      <c r="DK1377" s="885"/>
      <c r="DL1377" s="885"/>
      <c r="DM1377" s="885"/>
      <c r="DN1377" s="885"/>
      <c r="DO1377" s="885"/>
      <c r="DP1377" s="885"/>
      <c r="DQ1377" s="885"/>
      <c r="DR1377" s="885"/>
      <c r="DS1377" s="885"/>
      <c r="DT1377" s="885"/>
      <c r="DU1377" s="885"/>
      <c r="DV1377" s="885"/>
      <c r="DW1377" s="885"/>
      <c r="DX1377" s="885"/>
      <c r="DY1377" s="885"/>
      <c r="DZ1377" s="885"/>
      <c r="EA1377" s="885"/>
      <c r="EB1377" s="885"/>
      <c r="EC1377" s="885"/>
      <c r="ED1377" s="885"/>
      <c r="EE1377" s="885"/>
      <c r="EF1377" s="885"/>
      <c r="EG1377" s="885"/>
      <c r="EH1377" s="885"/>
      <c r="EI1377" s="885"/>
      <c r="EJ1377" s="885"/>
      <c r="EK1377" s="885"/>
      <c r="EL1377" s="885"/>
      <c r="EM1377" s="885"/>
      <c r="EN1377" s="885"/>
      <c r="EO1377" s="885"/>
      <c r="EP1377" s="885"/>
      <c r="EQ1377" s="885"/>
      <c r="ER1377" s="885"/>
      <c r="ES1377" s="885"/>
      <c r="ET1377" s="885"/>
      <c r="EU1377" s="885"/>
      <c r="EV1377" s="885"/>
      <c r="EW1377" s="885"/>
      <c r="EX1377" s="885"/>
      <c r="EY1377" s="885"/>
      <c r="EZ1377" s="885"/>
      <c r="FA1377" s="885"/>
      <c r="FB1377" s="885"/>
      <c r="FC1377" s="885"/>
      <c r="FD1377" s="885"/>
      <c r="FE1377" s="885"/>
      <c r="FF1377" s="885"/>
      <c r="FG1377" s="885"/>
      <c r="FH1377" s="885"/>
      <c r="FI1377" s="885"/>
      <c r="FJ1377" s="885"/>
      <c r="FK1377" s="885"/>
      <c r="FL1377" s="885"/>
      <c r="FM1377" s="885"/>
      <c r="FN1377" s="885"/>
      <c r="FO1377" s="885"/>
      <c r="FP1377" s="885"/>
      <c r="FQ1377" s="885"/>
      <c r="FR1377" s="885"/>
      <c r="FS1377" s="885"/>
      <c r="FT1377" s="885"/>
      <c r="FU1377" s="885"/>
      <c r="FV1377" s="885"/>
      <c r="FW1377" s="885"/>
      <c r="FX1377" s="885"/>
      <c r="FY1377" s="885"/>
      <c r="FZ1377" s="885"/>
      <c r="GA1377" s="885"/>
      <c r="GB1377" s="885"/>
      <c r="GC1377" s="885"/>
      <c r="GD1377" s="885"/>
      <c r="GE1377" s="885"/>
      <c r="GF1377" s="885"/>
      <c r="GG1377" s="885"/>
      <c r="GH1377" s="885"/>
      <c r="GI1377" s="885"/>
      <c r="GJ1377" s="885"/>
      <c r="GK1377" s="885"/>
      <c r="GL1377" s="885"/>
      <c r="GM1377" s="885"/>
      <c r="GN1377" s="885"/>
      <c r="GO1377" s="885"/>
      <c r="GP1377" s="885"/>
      <c r="GQ1377" s="885"/>
      <c r="GR1377" s="885"/>
      <c r="GS1377" s="885"/>
      <c r="GT1377" s="885"/>
      <c r="GU1377" s="885"/>
      <c r="GV1377" s="885"/>
      <c r="GW1377" s="885"/>
      <c r="GX1377" s="885"/>
      <c r="GY1377" s="885"/>
      <c r="GZ1377" s="885"/>
      <c r="HA1377" s="885"/>
      <c r="HB1377" s="885"/>
      <c r="HC1377" s="885"/>
      <c r="HD1377" s="885"/>
      <c r="HE1377" s="885"/>
      <c r="HF1377" s="885"/>
      <c r="HG1377" s="885"/>
      <c r="HH1377" s="885"/>
      <c r="HI1377" s="885"/>
      <c r="HJ1377" s="885"/>
      <c r="HK1377" s="885"/>
      <c r="HL1377" s="885"/>
      <c r="HM1377" s="885"/>
      <c r="HN1377" s="885"/>
      <c r="HO1377" s="885"/>
      <c r="HP1377" s="885"/>
      <c r="HQ1377" s="885"/>
      <c r="HR1377" s="885"/>
      <c r="HS1377" s="885"/>
      <c r="HT1377" s="885"/>
      <c r="HU1377" s="885"/>
      <c r="HV1377" s="885"/>
      <c r="HW1377" s="885"/>
      <c r="HX1377" s="885"/>
      <c r="HY1377" s="885"/>
      <c r="HZ1377" s="885"/>
      <c r="IA1377" s="885"/>
      <c r="IB1377" s="885"/>
      <c r="IC1377" s="885"/>
      <c r="ID1377" s="885"/>
      <c r="IE1377" s="885"/>
      <c r="IF1377" s="885"/>
      <c r="IG1377" s="885"/>
      <c r="IH1377" s="885"/>
      <c r="II1377" s="885"/>
      <c r="IJ1377" s="885"/>
      <c r="IK1377" s="885"/>
      <c r="IL1377" s="885"/>
      <c r="IM1377" s="885"/>
      <c r="IN1377" s="885"/>
      <c r="IO1377" s="885"/>
      <c r="IP1377" s="885"/>
      <c r="IQ1377" s="885"/>
      <c r="IR1377" s="885"/>
      <c r="IS1377" s="885"/>
      <c r="IT1377" s="885"/>
      <c r="IU1377" s="885"/>
      <c r="IV1377" s="885"/>
      <c r="IW1377" s="885"/>
      <c r="IX1377" s="885"/>
    </row>
    <row r="1378" spans="1:258" ht="31.5" x14ac:dyDescent="0.25">
      <c r="A1378" s="125">
        <f t="shared" si="161"/>
        <v>1338</v>
      </c>
      <c r="B1378" s="885"/>
      <c r="C1378" s="842" t="s">
        <v>10895</v>
      </c>
      <c r="D1378" s="924">
        <v>400</v>
      </c>
      <c r="E1378" s="924">
        <f t="shared" si="162"/>
        <v>600</v>
      </c>
      <c r="F1378" s="129">
        <f>E1378</f>
        <v>600</v>
      </c>
      <c r="G1378" s="122" t="s">
        <v>1963</v>
      </c>
      <c r="H1378" s="885"/>
      <c r="I1378" s="885"/>
      <c r="J1378" s="885"/>
      <c r="K1378" s="885"/>
      <c r="L1378" s="885"/>
      <c r="M1378" s="885"/>
      <c r="N1378" s="885"/>
      <c r="O1378" s="885"/>
      <c r="P1378" s="885"/>
      <c r="Q1378" s="885"/>
      <c r="R1378" s="885"/>
      <c r="S1378" s="885"/>
      <c r="T1378" s="885"/>
      <c r="U1378" s="885"/>
      <c r="V1378" s="885"/>
      <c r="W1378" s="885"/>
      <c r="X1378" s="885"/>
      <c r="Y1378" s="885"/>
      <c r="Z1378" s="885"/>
      <c r="AA1378" s="885"/>
      <c r="AB1378" s="885"/>
      <c r="AC1378" s="885"/>
      <c r="AD1378" s="885"/>
      <c r="AE1378" s="885"/>
      <c r="AF1378" s="885"/>
      <c r="AG1378" s="885"/>
      <c r="AH1378" s="885"/>
      <c r="AI1378" s="885"/>
      <c r="AJ1378" s="885"/>
      <c r="AK1378" s="885"/>
      <c r="AL1378" s="885"/>
      <c r="AM1378" s="885"/>
      <c r="AN1378" s="885"/>
      <c r="AO1378" s="885"/>
      <c r="AP1378" s="885"/>
      <c r="AQ1378" s="885"/>
      <c r="AR1378" s="885"/>
      <c r="AS1378" s="885"/>
      <c r="AT1378" s="885"/>
      <c r="AU1378" s="885"/>
      <c r="AV1378" s="885"/>
      <c r="AW1378" s="885"/>
      <c r="AX1378" s="885"/>
      <c r="AY1378" s="885"/>
      <c r="AZ1378" s="885"/>
      <c r="BA1378" s="885"/>
      <c r="BB1378" s="885"/>
      <c r="BC1378" s="885"/>
      <c r="BD1378" s="885"/>
      <c r="BE1378" s="885"/>
      <c r="BF1378" s="885"/>
      <c r="BG1378" s="885"/>
      <c r="BH1378" s="885"/>
      <c r="BI1378" s="885"/>
      <c r="BJ1378" s="885"/>
      <c r="BK1378" s="885"/>
      <c r="BL1378" s="885"/>
      <c r="BM1378" s="885"/>
      <c r="BN1378" s="885"/>
      <c r="BO1378" s="885"/>
      <c r="BP1378" s="885"/>
      <c r="BQ1378" s="885"/>
      <c r="BR1378" s="885"/>
      <c r="BS1378" s="885"/>
      <c r="BT1378" s="885"/>
      <c r="BU1378" s="885"/>
      <c r="BV1378" s="885"/>
      <c r="BW1378" s="885"/>
      <c r="BX1378" s="885"/>
      <c r="BY1378" s="885"/>
      <c r="BZ1378" s="885"/>
      <c r="CA1378" s="885"/>
      <c r="CB1378" s="885"/>
      <c r="CC1378" s="885"/>
      <c r="CD1378" s="885"/>
      <c r="CE1378" s="885"/>
      <c r="CF1378" s="885"/>
      <c r="CG1378" s="885"/>
      <c r="CH1378" s="885"/>
      <c r="CI1378" s="885"/>
      <c r="CJ1378" s="885"/>
      <c r="CK1378" s="885"/>
      <c r="CL1378" s="885"/>
      <c r="CM1378" s="885"/>
      <c r="CN1378" s="885"/>
      <c r="CO1378" s="885"/>
      <c r="CP1378" s="885"/>
      <c r="CQ1378" s="885"/>
      <c r="CR1378" s="885"/>
      <c r="CS1378" s="885"/>
      <c r="CT1378" s="885"/>
      <c r="CU1378" s="885"/>
      <c r="CV1378" s="885"/>
      <c r="CW1378" s="885"/>
      <c r="CX1378" s="885"/>
      <c r="CY1378" s="885"/>
      <c r="CZ1378" s="885"/>
      <c r="DA1378" s="885"/>
      <c r="DB1378" s="885"/>
      <c r="DC1378" s="885"/>
      <c r="DD1378" s="885"/>
      <c r="DE1378" s="885"/>
      <c r="DF1378" s="885"/>
      <c r="DG1378" s="885"/>
      <c r="DH1378" s="885"/>
      <c r="DI1378" s="885"/>
      <c r="DJ1378" s="885"/>
      <c r="DK1378" s="885"/>
      <c r="DL1378" s="885"/>
      <c r="DM1378" s="885"/>
      <c r="DN1378" s="885"/>
      <c r="DO1378" s="885"/>
      <c r="DP1378" s="885"/>
      <c r="DQ1378" s="885"/>
      <c r="DR1378" s="885"/>
      <c r="DS1378" s="885"/>
      <c r="DT1378" s="885"/>
      <c r="DU1378" s="885"/>
      <c r="DV1378" s="885"/>
      <c r="DW1378" s="885"/>
      <c r="DX1378" s="885"/>
      <c r="DY1378" s="885"/>
      <c r="DZ1378" s="885"/>
      <c r="EA1378" s="885"/>
      <c r="EB1378" s="885"/>
      <c r="EC1378" s="885"/>
      <c r="ED1378" s="885"/>
      <c r="EE1378" s="885"/>
      <c r="EF1378" s="885"/>
      <c r="EG1378" s="885"/>
      <c r="EH1378" s="885"/>
      <c r="EI1378" s="885"/>
      <c r="EJ1378" s="885"/>
      <c r="EK1378" s="885"/>
      <c r="EL1378" s="885"/>
      <c r="EM1378" s="885"/>
      <c r="EN1378" s="885"/>
      <c r="EO1378" s="885"/>
      <c r="EP1378" s="885"/>
      <c r="EQ1378" s="885"/>
      <c r="ER1378" s="885"/>
      <c r="ES1378" s="885"/>
      <c r="ET1378" s="885"/>
      <c r="EU1378" s="885"/>
      <c r="EV1378" s="885"/>
      <c r="EW1378" s="885"/>
      <c r="EX1378" s="885"/>
      <c r="EY1378" s="885"/>
      <c r="EZ1378" s="885"/>
      <c r="FA1378" s="885"/>
      <c r="FB1378" s="885"/>
      <c r="FC1378" s="885"/>
      <c r="FD1378" s="885"/>
      <c r="FE1378" s="885"/>
      <c r="FF1378" s="885"/>
      <c r="FG1378" s="885"/>
      <c r="FH1378" s="885"/>
      <c r="FI1378" s="885"/>
      <c r="FJ1378" s="885"/>
      <c r="FK1378" s="885"/>
      <c r="FL1378" s="885"/>
      <c r="FM1378" s="885"/>
      <c r="FN1378" s="885"/>
      <c r="FO1378" s="885"/>
      <c r="FP1378" s="885"/>
      <c r="FQ1378" s="885"/>
      <c r="FR1378" s="885"/>
      <c r="FS1378" s="885"/>
      <c r="FT1378" s="885"/>
      <c r="FU1378" s="885"/>
      <c r="FV1378" s="885"/>
      <c r="FW1378" s="885"/>
      <c r="FX1378" s="885"/>
      <c r="FY1378" s="885"/>
      <c r="FZ1378" s="885"/>
      <c r="GA1378" s="885"/>
      <c r="GB1378" s="885"/>
      <c r="GC1378" s="885"/>
      <c r="GD1378" s="885"/>
      <c r="GE1378" s="885"/>
      <c r="GF1378" s="885"/>
      <c r="GG1378" s="885"/>
      <c r="GH1378" s="885"/>
      <c r="GI1378" s="885"/>
      <c r="GJ1378" s="885"/>
      <c r="GK1378" s="885"/>
      <c r="GL1378" s="885"/>
      <c r="GM1378" s="885"/>
      <c r="GN1378" s="885"/>
      <c r="GO1378" s="885"/>
      <c r="GP1378" s="885"/>
      <c r="GQ1378" s="885"/>
      <c r="GR1378" s="885"/>
      <c r="GS1378" s="885"/>
      <c r="GT1378" s="885"/>
      <c r="GU1378" s="885"/>
      <c r="GV1378" s="885"/>
      <c r="GW1378" s="885"/>
      <c r="GX1378" s="885"/>
      <c r="GY1378" s="885"/>
      <c r="GZ1378" s="885"/>
      <c r="HA1378" s="885"/>
      <c r="HB1378" s="885"/>
      <c r="HC1378" s="885"/>
      <c r="HD1378" s="885"/>
      <c r="HE1378" s="885"/>
      <c r="HF1378" s="885"/>
      <c r="HG1378" s="885"/>
      <c r="HH1378" s="885"/>
      <c r="HI1378" s="885"/>
      <c r="HJ1378" s="885"/>
      <c r="HK1378" s="885"/>
      <c r="HL1378" s="885"/>
      <c r="HM1378" s="885"/>
      <c r="HN1378" s="885"/>
      <c r="HO1378" s="885"/>
      <c r="HP1378" s="885"/>
      <c r="HQ1378" s="885"/>
      <c r="HR1378" s="885"/>
      <c r="HS1378" s="885"/>
      <c r="HT1378" s="885"/>
      <c r="HU1378" s="885"/>
      <c r="HV1378" s="885"/>
      <c r="HW1378" s="885"/>
      <c r="HX1378" s="885"/>
      <c r="HY1378" s="885"/>
      <c r="HZ1378" s="885"/>
      <c r="IA1378" s="885"/>
      <c r="IB1378" s="885"/>
      <c r="IC1378" s="885"/>
      <c r="ID1378" s="885"/>
      <c r="IE1378" s="885"/>
      <c r="IF1378" s="885"/>
      <c r="IG1378" s="885"/>
      <c r="IH1378" s="885"/>
      <c r="II1378" s="885"/>
      <c r="IJ1378" s="885"/>
      <c r="IK1378" s="885"/>
      <c r="IL1378" s="885"/>
      <c r="IM1378" s="885"/>
      <c r="IN1378" s="885"/>
      <c r="IO1378" s="885"/>
      <c r="IP1378" s="885"/>
      <c r="IQ1378" s="885"/>
      <c r="IR1378" s="885"/>
      <c r="IS1378" s="885"/>
      <c r="IT1378" s="885"/>
      <c r="IU1378" s="885"/>
      <c r="IV1378" s="885"/>
      <c r="IW1378" s="885"/>
      <c r="IX1378" s="885"/>
    </row>
    <row r="1379" spans="1:258" ht="31.5" x14ac:dyDescent="0.25">
      <c r="A1379" s="125">
        <f t="shared" si="161"/>
        <v>1339</v>
      </c>
      <c r="B1379" s="885"/>
      <c r="C1379" s="842" t="s">
        <v>10896</v>
      </c>
      <c r="D1379" s="924">
        <v>0</v>
      </c>
      <c r="E1379" s="924">
        <f t="shared" si="162"/>
        <v>0</v>
      </c>
      <c r="F1379" s="129">
        <v>1000</v>
      </c>
      <c r="G1379" s="122" t="s">
        <v>1963</v>
      </c>
      <c r="H1379" s="885"/>
      <c r="I1379" s="885"/>
      <c r="J1379" s="885"/>
      <c r="K1379" s="885"/>
      <c r="L1379" s="885"/>
      <c r="M1379" s="885"/>
      <c r="N1379" s="885"/>
      <c r="O1379" s="885"/>
      <c r="P1379" s="885"/>
      <c r="Q1379" s="885"/>
      <c r="R1379" s="885"/>
      <c r="S1379" s="885"/>
      <c r="T1379" s="885"/>
      <c r="U1379" s="885"/>
      <c r="V1379" s="885"/>
      <c r="W1379" s="885"/>
      <c r="X1379" s="885"/>
      <c r="Y1379" s="885"/>
      <c r="Z1379" s="885"/>
      <c r="AA1379" s="885"/>
      <c r="AB1379" s="885"/>
      <c r="AC1379" s="885"/>
      <c r="AD1379" s="885"/>
      <c r="AE1379" s="885"/>
      <c r="AF1379" s="885"/>
      <c r="AG1379" s="885"/>
      <c r="AH1379" s="885"/>
      <c r="AI1379" s="885"/>
      <c r="AJ1379" s="885"/>
      <c r="AK1379" s="885"/>
      <c r="AL1379" s="885"/>
      <c r="AM1379" s="885"/>
      <c r="AN1379" s="885"/>
      <c r="AO1379" s="885"/>
      <c r="AP1379" s="885"/>
      <c r="AQ1379" s="885"/>
      <c r="AR1379" s="885"/>
      <c r="AS1379" s="885"/>
      <c r="AT1379" s="885"/>
      <c r="AU1379" s="885"/>
      <c r="AV1379" s="885"/>
      <c r="AW1379" s="885"/>
      <c r="AX1379" s="885"/>
      <c r="AY1379" s="885"/>
      <c r="AZ1379" s="885"/>
      <c r="BA1379" s="885"/>
      <c r="BB1379" s="885"/>
      <c r="BC1379" s="885"/>
      <c r="BD1379" s="885"/>
      <c r="BE1379" s="885"/>
      <c r="BF1379" s="885"/>
      <c r="BG1379" s="885"/>
      <c r="BH1379" s="885"/>
      <c r="BI1379" s="885"/>
      <c r="BJ1379" s="885"/>
      <c r="BK1379" s="885"/>
      <c r="BL1379" s="885"/>
      <c r="BM1379" s="885"/>
      <c r="BN1379" s="885"/>
      <c r="BO1379" s="885"/>
      <c r="BP1379" s="885"/>
      <c r="BQ1379" s="885"/>
      <c r="BR1379" s="885"/>
      <c r="BS1379" s="885"/>
      <c r="BT1379" s="885"/>
      <c r="BU1379" s="885"/>
      <c r="BV1379" s="885"/>
      <c r="BW1379" s="885"/>
      <c r="BX1379" s="885"/>
      <c r="BY1379" s="885"/>
      <c r="BZ1379" s="885"/>
      <c r="CA1379" s="885"/>
      <c r="CB1379" s="885"/>
      <c r="CC1379" s="885"/>
      <c r="CD1379" s="885"/>
      <c r="CE1379" s="885"/>
      <c r="CF1379" s="885"/>
      <c r="CG1379" s="885"/>
      <c r="CH1379" s="885"/>
      <c r="CI1379" s="885"/>
      <c r="CJ1379" s="885"/>
      <c r="CK1379" s="885"/>
      <c r="CL1379" s="885"/>
      <c r="CM1379" s="885"/>
      <c r="CN1379" s="885"/>
      <c r="CO1379" s="885"/>
      <c r="CP1379" s="885"/>
      <c r="CQ1379" s="885"/>
      <c r="CR1379" s="885"/>
      <c r="CS1379" s="885"/>
      <c r="CT1379" s="885"/>
      <c r="CU1379" s="885"/>
      <c r="CV1379" s="885"/>
      <c r="CW1379" s="885"/>
      <c r="CX1379" s="885"/>
      <c r="CY1379" s="885"/>
      <c r="CZ1379" s="885"/>
      <c r="DA1379" s="885"/>
      <c r="DB1379" s="885"/>
      <c r="DC1379" s="885"/>
      <c r="DD1379" s="885"/>
      <c r="DE1379" s="885"/>
      <c r="DF1379" s="885"/>
      <c r="DG1379" s="885"/>
      <c r="DH1379" s="885"/>
      <c r="DI1379" s="885"/>
      <c r="DJ1379" s="885"/>
      <c r="DK1379" s="885"/>
      <c r="DL1379" s="885"/>
      <c r="DM1379" s="885"/>
      <c r="DN1379" s="885"/>
      <c r="DO1379" s="885"/>
      <c r="DP1379" s="885"/>
      <c r="DQ1379" s="885"/>
      <c r="DR1379" s="885"/>
      <c r="DS1379" s="885"/>
      <c r="DT1379" s="885"/>
      <c r="DU1379" s="885"/>
      <c r="DV1379" s="885"/>
      <c r="DW1379" s="885"/>
      <c r="DX1379" s="885"/>
      <c r="DY1379" s="885"/>
      <c r="DZ1379" s="885"/>
      <c r="EA1379" s="885"/>
      <c r="EB1379" s="885"/>
      <c r="EC1379" s="885"/>
      <c r="ED1379" s="885"/>
      <c r="EE1379" s="885"/>
      <c r="EF1379" s="885"/>
      <c r="EG1379" s="885"/>
      <c r="EH1379" s="885"/>
      <c r="EI1379" s="885"/>
      <c r="EJ1379" s="885"/>
      <c r="EK1379" s="885"/>
      <c r="EL1379" s="885"/>
      <c r="EM1379" s="885"/>
      <c r="EN1379" s="885"/>
      <c r="EO1379" s="885"/>
      <c r="EP1379" s="885"/>
      <c r="EQ1379" s="885"/>
      <c r="ER1379" s="885"/>
      <c r="ES1379" s="885"/>
      <c r="ET1379" s="885"/>
      <c r="EU1379" s="885"/>
      <c r="EV1379" s="885"/>
      <c r="EW1379" s="885"/>
      <c r="EX1379" s="885"/>
      <c r="EY1379" s="885"/>
      <c r="EZ1379" s="885"/>
      <c r="FA1379" s="885"/>
      <c r="FB1379" s="885"/>
      <c r="FC1379" s="885"/>
      <c r="FD1379" s="885"/>
      <c r="FE1379" s="885"/>
      <c r="FF1379" s="885"/>
      <c r="FG1379" s="885"/>
      <c r="FH1379" s="885"/>
      <c r="FI1379" s="885"/>
      <c r="FJ1379" s="885"/>
      <c r="FK1379" s="885"/>
      <c r="FL1379" s="885"/>
      <c r="FM1379" s="885"/>
      <c r="FN1379" s="885"/>
      <c r="FO1379" s="885"/>
      <c r="FP1379" s="885"/>
      <c r="FQ1379" s="885"/>
      <c r="FR1379" s="885"/>
      <c r="FS1379" s="885"/>
      <c r="FT1379" s="885"/>
      <c r="FU1379" s="885"/>
      <c r="FV1379" s="885"/>
      <c r="FW1379" s="885"/>
      <c r="FX1379" s="885"/>
      <c r="FY1379" s="885"/>
      <c r="FZ1379" s="885"/>
      <c r="GA1379" s="885"/>
      <c r="GB1379" s="885"/>
      <c r="GC1379" s="885"/>
      <c r="GD1379" s="885"/>
      <c r="GE1379" s="885"/>
      <c r="GF1379" s="885"/>
      <c r="GG1379" s="885"/>
      <c r="GH1379" s="885"/>
      <c r="GI1379" s="885"/>
      <c r="GJ1379" s="885"/>
      <c r="GK1379" s="885"/>
      <c r="GL1379" s="885"/>
      <c r="GM1379" s="885"/>
      <c r="GN1379" s="885"/>
      <c r="GO1379" s="885"/>
      <c r="GP1379" s="885"/>
      <c r="GQ1379" s="885"/>
      <c r="GR1379" s="885"/>
      <c r="GS1379" s="885"/>
      <c r="GT1379" s="885"/>
      <c r="GU1379" s="885"/>
      <c r="GV1379" s="885"/>
      <c r="GW1379" s="885"/>
      <c r="GX1379" s="885"/>
      <c r="GY1379" s="885"/>
      <c r="GZ1379" s="885"/>
      <c r="HA1379" s="885"/>
      <c r="HB1379" s="885"/>
      <c r="HC1379" s="885"/>
      <c r="HD1379" s="885"/>
      <c r="HE1379" s="885"/>
      <c r="HF1379" s="885"/>
      <c r="HG1379" s="885"/>
      <c r="HH1379" s="885"/>
      <c r="HI1379" s="885"/>
      <c r="HJ1379" s="885"/>
      <c r="HK1379" s="885"/>
      <c r="HL1379" s="885"/>
      <c r="HM1379" s="885"/>
      <c r="HN1379" s="885"/>
      <c r="HO1379" s="885"/>
      <c r="HP1379" s="885"/>
      <c r="HQ1379" s="885"/>
      <c r="HR1379" s="885"/>
      <c r="HS1379" s="885"/>
      <c r="HT1379" s="885"/>
      <c r="HU1379" s="885"/>
      <c r="HV1379" s="885"/>
      <c r="HW1379" s="885"/>
      <c r="HX1379" s="885"/>
      <c r="HY1379" s="885"/>
      <c r="HZ1379" s="885"/>
      <c r="IA1379" s="885"/>
      <c r="IB1379" s="885"/>
      <c r="IC1379" s="885"/>
      <c r="ID1379" s="885"/>
      <c r="IE1379" s="885"/>
      <c r="IF1379" s="885"/>
      <c r="IG1379" s="885"/>
      <c r="IH1379" s="885"/>
      <c r="II1379" s="885"/>
      <c r="IJ1379" s="885"/>
      <c r="IK1379" s="885"/>
      <c r="IL1379" s="885"/>
      <c r="IM1379" s="885"/>
      <c r="IN1379" s="885"/>
      <c r="IO1379" s="885"/>
      <c r="IP1379" s="885"/>
      <c r="IQ1379" s="885"/>
      <c r="IR1379" s="885"/>
      <c r="IS1379" s="885"/>
      <c r="IT1379" s="885"/>
      <c r="IU1379" s="885"/>
      <c r="IV1379" s="885"/>
      <c r="IW1379" s="885"/>
      <c r="IX1379" s="885"/>
    </row>
    <row r="1380" spans="1:258" x14ac:dyDescent="0.25">
      <c r="A1380" s="125">
        <f t="shared" si="161"/>
        <v>1340</v>
      </c>
      <c r="B1380" s="885"/>
      <c r="C1380" s="842" t="s">
        <v>10897</v>
      </c>
      <c r="D1380" s="924">
        <v>2833.8</v>
      </c>
      <c r="E1380" s="924">
        <f t="shared" si="162"/>
        <v>4250.7000000000007</v>
      </c>
      <c r="F1380" s="129">
        <f>E1380</f>
        <v>4250.7000000000007</v>
      </c>
      <c r="G1380" s="122" t="s">
        <v>1963</v>
      </c>
      <c r="H1380" s="885"/>
      <c r="I1380" s="885"/>
      <c r="J1380" s="885"/>
      <c r="K1380" s="885"/>
      <c r="L1380" s="885"/>
      <c r="M1380" s="885"/>
      <c r="N1380" s="885"/>
      <c r="O1380" s="885"/>
      <c r="P1380" s="885"/>
      <c r="Q1380" s="885"/>
      <c r="R1380" s="885"/>
      <c r="S1380" s="885"/>
      <c r="T1380" s="885"/>
      <c r="U1380" s="885"/>
      <c r="V1380" s="885"/>
      <c r="W1380" s="885"/>
      <c r="X1380" s="885"/>
      <c r="Y1380" s="885"/>
      <c r="Z1380" s="885"/>
      <c r="AA1380" s="885"/>
      <c r="AB1380" s="885"/>
      <c r="AC1380" s="885"/>
      <c r="AD1380" s="885"/>
      <c r="AE1380" s="885"/>
      <c r="AF1380" s="885"/>
      <c r="AG1380" s="885"/>
      <c r="AH1380" s="885"/>
      <c r="AI1380" s="885"/>
      <c r="AJ1380" s="885"/>
      <c r="AK1380" s="885"/>
      <c r="AL1380" s="885"/>
      <c r="AM1380" s="885"/>
      <c r="AN1380" s="885"/>
      <c r="AO1380" s="885"/>
      <c r="AP1380" s="885"/>
      <c r="AQ1380" s="885"/>
      <c r="AR1380" s="885"/>
      <c r="AS1380" s="885"/>
      <c r="AT1380" s="885"/>
      <c r="AU1380" s="885"/>
      <c r="AV1380" s="885"/>
      <c r="AW1380" s="885"/>
      <c r="AX1380" s="885"/>
      <c r="AY1380" s="885"/>
      <c r="AZ1380" s="885"/>
      <c r="BA1380" s="885"/>
      <c r="BB1380" s="885"/>
      <c r="BC1380" s="885"/>
      <c r="BD1380" s="885"/>
      <c r="BE1380" s="885"/>
      <c r="BF1380" s="885"/>
      <c r="BG1380" s="885"/>
      <c r="BH1380" s="885"/>
      <c r="BI1380" s="885"/>
      <c r="BJ1380" s="885"/>
      <c r="BK1380" s="885"/>
      <c r="BL1380" s="885"/>
      <c r="BM1380" s="885"/>
      <c r="BN1380" s="885"/>
      <c r="BO1380" s="885"/>
      <c r="BP1380" s="885"/>
      <c r="BQ1380" s="885"/>
      <c r="BR1380" s="885"/>
      <c r="BS1380" s="885"/>
      <c r="BT1380" s="885"/>
      <c r="BU1380" s="885"/>
      <c r="BV1380" s="885"/>
      <c r="BW1380" s="885"/>
      <c r="BX1380" s="885"/>
      <c r="BY1380" s="885"/>
      <c r="BZ1380" s="885"/>
      <c r="CA1380" s="885"/>
      <c r="CB1380" s="885"/>
      <c r="CC1380" s="885"/>
      <c r="CD1380" s="885"/>
      <c r="CE1380" s="885"/>
      <c r="CF1380" s="885"/>
      <c r="CG1380" s="885"/>
      <c r="CH1380" s="885"/>
      <c r="CI1380" s="885"/>
      <c r="CJ1380" s="885"/>
      <c r="CK1380" s="885"/>
      <c r="CL1380" s="885"/>
      <c r="CM1380" s="885"/>
      <c r="CN1380" s="885"/>
      <c r="CO1380" s="885"/>
      <c r="CP1380" s="885"/>
      <c r="CQ1380" s="885"/>
      <c r="CR1380" s="885"/>
      <c r="CS1380" s="885"/>
      <c r="CT1380" s="885"/>
      <c r="CU1380" s="885"/>
      <c r="CV1380" s="885"/>
      <c r="CW1380" s="885"/>
      <c r="CX1380" s="885"/>
      <c r="CY1380" s="885"/>
      <c r="CZ1380" s="885"/>
      <c r="DA1380" s="885"/>
      <c r="DB1380" s="885"/>
      <c r="DC1380" s="885"/>
      <c r="DD1380" s="885"/>
      <c r="DE1380" s="885"/>
      <c r="DF1380" s="885"/>
      <c r="DG1380" s="885"/>
      <c r="DH1380" s="885"/>
      <c r="DI1380" s="885"/>
      <c r="DJ1380" s="885"/>
      <c r="DK1380" s="885"/>
      <c r="DL1380" s="885"/>
      <c r="DM1380" s="885"/>
      <c r="DN1380" s="885"/>
      <c r="DO1380" s="885"/>
      <c r="DP1380" s="885"/>
      <c r="DQ1380" s="885"/>
      <c r="DR1380" s="885"/>
      <c r="DS1380" s="885"/>
      <c r="DT1380" s="885"/>
      <c r="DU1380" s="885"/>
      <c r="DV1380" s="885"/>
      <c r="DW1380" s="885"/>
      <c r="DX1380" s="885"/>
      <c r="DY1380" s="885"/>
      <c r="DZ1380" s="885"/>
      <c r="EA1380" s="885"/>
      <c r="EB1380" s="885"/>
      <c r="EC1380" s="885"/>
      <c r="ED1380" s="885"/>
      <c r="EE1380" s="885"/>
      <c r="EF1380" s="885"/>
      <c r="EG1380" s="885"/>
      <c r="EH1380" s="885"/>
      <c r="EI1380" s="885"/>
      <c r="EJ1380" s="885"/>
      <c r="EK1380" s="885"/>
      <c r="EL1380" s="885"/>
      <c r="EM1380" s="885"/>
      <c r="EN1380" s="885"/>
      <c r="EO1380" s="885"/>
      <c r="EP1380" s="885"/>
      <c r="EQ1380" s="885"/>
      <c r="ER1380" s="885"/>
      <c r="ES1380" s="885"/>
      <c r="ET1380" s="885"/>
      <c r="EU1380" s="885"/>
      <c r="EV1380" s="885"/>
      <c r="EW1380" s="885"/>
      <c r="EX1380" s="885"/>
      <c r="EY1380" s="885"/>
      <c r="EZ1380" s="885"/>
      <c r="FA1380" s="885"/>
      <c r="FB1380" s="885"/>
      <c r="FC1380" s="885"/>
      <c r="FD1380" s="885"/>
      <c r="FE1380" s="885"/>
      <c r="FF1380" s="885"/>
      <c r="FG1380" s="885"/>
      <c r="FH1380" s="885"/>
      <c r="FI1380" s="885"/>
      <c r="FJ1380" s="885"/>
      <c r="FK1380" s="885"/>
      <c r="FL1380" s="885"/>
      <c r="FM1380" s="885"/>
      <c r="FN1380" s="885"/>
      <c r="FO1380" s="885"/>
      <c r="FP1380" s="885"/>
      <c r="FQ1380" s="885"/>
      <c r="FR1380" s="885"/>
      <c r="FS1380" s="885"/>
      <c r="FT1380" s="885"/>
      <c r="FU1380" s="885"/>
      <c r="FV1380" s="885"/>
      <c r="FW1380" s="885"/>
      <c r="FX1380" s="885"/>
      <c r="FY1380" s="885"/>
      <c r="FZ1380" s="885"/>
      <c r="GA1380" s="885"/>
      <c r="GB1380" s="885"/>
      <c r="GC1380" s="885"/>
      <c r="GD1380" s="885"/>
      <c r="GE1380" s="885"/>
      <c r="GF1380" s="885"/>
      <c r="GG1380" s="885"/>
      <c r="GH1380" s="885"/>
      <c r="GI1380" s="885"/>
      <c r="GJ1380" s="885"/>
      <c r="GK1380" s="885"/>
      <c r="GL1380" s="885"/>
      <c r="GM1380" s="885"/>
      <c r="GN1380" s="885"/>
      <c r="GO1380" s="885"/>
      <c r="GP1380" s="885"/>
      <c r="GQ1380" s="885"/>
      <c r="GR1380" s="885"/>
      <c r="GS1380" s="885"/>
      <c r="GT1380" s="885"/>
      <c r="GU1380" s="885"/>
      <c r="GV1380" s="885"/>
      <c r="GW1380" s="885"/>
      <c r="GX1380" s="885"/>
      <c r="GY1380" s="885"/>
      <c r="GZ1380" s="885"/>
      <c r="HA1380" s="885"/>
      <c r="HB1380" s="885"/>
      <c r="HC1380" s="885"/>
      <c r="HD1380" s="885"/>
      <c r="HE1380" s="885"/>
      <c r="HF1380" s="885"/>
      <c r="HG1380" s="885"/>
      <c r="HH1380" s="885"/>
      <c r="HI1380" s="885"/>
      <c r="HJ1380" s="885"/>
      <c r="HK1380" s="885"/>
      <c r="HL1380" s="885"/>
      <c r="HM1380" s="885"/>
      <c r="HN1380" s="885"/>
      <c r="HO1380" s="885"/>
      <c r="HP1380" s="885"/>
      <c r="HQ1380" s="885"/>
      <c r="HR1380" s="885"/>
      <c r="HS1380" s="885"/>
      <c r="HT1380" s="885"/>
      <c r="HU1380" s="885"/>
      <c r="HV1380" s="885"/>
      <c r="HW1380" s="885"/>
      <c r="HX1380" s="885"/>
      <c r="HY1380" s="885"/>
      <c r="HZ1380" s="885"/>
      <c r="IA1380" s="885"/>
      <c r="IB1380" s="885"/>
      <c r="IC1380" s="885"/>
      <c r="ID1380" s="885"/>
      <c r="IE1380" s="885"/>
      <c r="IF1380" s="885"/>
      <c r="IG1380" s="885"/>
      <c r="IH1380" s="885"/>
      <c r="II1380" s="885"/>
      <c r="IJ1380" s="885"/>
      <c r="IK1380" s="885"/>
      <c r="IL1380" s="885"/>
      <c r="IM1380" s="885"/>
      <c r="IN1380" s="885"/>
      <c r="IO1380" s="885"/>
      <c r="IP1380" s="885"/>
      <c r="IQ1380" s="885"/>
      <c r="IR1380" s="885"/>
      <c r="IS1380" s="885"/>
      <c r="IT1380" s="885"/>
      <c r="IU1380" s="885"/>
      <c r="IV1380" s="885"/>
      <c r="IW1380" s="885"/>
      <c r="IX1380" s="885"/>
    </row>
    <row r="1381" spans="1:258" x14ac:dyDescent="0.25">
      <c r="A1381" s="125">
        <f t="shared" si="161"/>
        <v>1341</v>
      </c>
      <c r="B1381" s="885"/>
      <c r="C1381" s="232" t="s">
        <v>10892</v>
      </c>
      <c r="D1381" s="915"/>
      <c r="E1381" s="915"/>
      <c r="F1381" s="129"/>
      <c r="H1381" s="885"/>
      <c r="I1381" s="885"/>
      <c r="J1381" s="885"/>
      <c r="K1381" s="885"/>
      <c r="L1381" s="885"/>
      <c r="M1381" s="885"/>
      <c r="N1381" s="885"/>
      <c r="O1381" s="885"/>
      <c r="P1381" s="885"/>
      <c r="Q1381" s="885"/>
      <c r="R1381" s="885"/>
      <c r="S1381" s="885"/>
      <c r="T1381" s="885"/>
      <c r="U1381" s="885"/>
      <c r="V1381" s="885"/>
      <c r="W1381" s="885"/>
      <c r="X1381" s="885"/>
      <c r="Y1381" s="885"/>
      <c r="Z1381" s="885"/>
      <c r="AA1381" s="885"/>
      <c r="AB1381" s="885"/>
      <c r="AC1381" s="885"/>
      <c r="AD1381" s="885"/>
      <c r="AE1381" s="885"/>
      <c r="AF1381" s="885"/>
      <c r="AG1381" s="885"/>
      <c r="AH1381" s="885"/>
      <c r="AI1381" s="885"/>
      <c r="AJ1381" s="885"/>
      <c r="AK1381" s="885"/>
      <c r="AL1381" s="885"/>
      <c r="AM1381" s="885"/>
      <c r="AN1381" s="885"/>
      <c r="AO1381" s="885"/>
      <c r="AP1381" s="885"/>
      <c r="AQ1381" s="885"/>
      <c r="AR1381" s="885"/>
      <c r="AS1381" s="885"/>
      <c r="AT1381" s="885"/>
      <c r="AU1381" s="885"/>
      <c r="AV1381" s="885"/>
      <c r="AW1381" s="885"/>
      <c r="AX1381" s="885"/>
      <c r="AY1381" s="885"/>
      <c r="AZ1381" s="885"/>
      <c r="BA1381" s="885"/>
      <c r="BB1381" s="885"/>
      <c r="BC1381" s="885"/>
      <c r="BD1381" s="885"/>
      <c r="BE1381" s="885"/>
      <c r="BF1381" s="885"/>
      <c r="BG1381" s="885"/>
      <c r="BH1381" s="885"/>
      <c r="BI1381" s="885"/>
      <c r="BJ1381" s="885"/>
      <c r="BK1381" s="885"/>
      <c r="BL1381" s="885"/>
      <c r="BM1381" s="885"/>
      <c r="BN1381" s="885"/>
      <c r="BO1381" s="885"/>
      <c r="BP1381" s="885"/>
      <c r="BQ1381" s="885"/>
      <c r="BR1381" s="885"/>
      <c r="BS1381" s="885"/>
      <c r="BT1381" s="885"/>
      <c r="BU1381" s="885"/>
      <c r="BV1381" s="885"/>
      <c r="BW1381" s="885"/>
      <c r="BX1381" s="885"/>
      <c r="BY1381" s="885"/>
      <c r="BZ1381" s="885"/>
      <c r="CA1381" s="885"/>
      <c r="CB1381" s="885"/>
      <c r="CC1381" s="885"/>
      <c r="CD1381" s="885"/>
      <c r="CE1381" s="885"/>
      <c r="CF1381" s="885"/>
      <c r="CG1381" s="885"/>
      <c r="CH1381" s="885"/>
      <c r="CI1381" s="885"/>
      <c r="CJ1381" s="885"/>
      <c r="CK1381" s="885"/>
      <c r="CL1381" s="885"/>
      <c r="CM1381" s="885"/>
      <c r="CN1381" s="885"/>
      <c r="CO1381" s="885"/>
      <c r="CP1381" s="885"/>
      <c r="CQ1381" s="885"/>
      <c r="CR1381" s="885"/>
      <c r="CS1381" s="885"/>
      <c r="CT1381" s="885"/>
      <c r="CU1381" s="885"/>
      <c r="CV1381" s="885"/>
      <c r="CW1381" s="885"/>
      <c r="CX1381" s="885"/>
      <c r="CY1381" s="885"/>
      <c r="CZ1381" s="885"/>
      <c r="DA1381" s="885"/>
      <c r="DB1381" s="885"/>
      <c r="DC1381" s="885"/>
      <c r="DD1381" s="885"/>
      <c r="DE1381" s="885"/>
      <c r="DF1381" s="885"/>
      <c r="DG1381" s="885"/>
      <c r="DH1381" s="885"/>
      <c r="DI1381" s="885"/>
      <c r="DJ1381" s="885"/>
      <c r="DK1381" s="885"/>
      <c r="DL1381" s="885"/>
      <c r="DM1381" s="885"/>
      <c r="DN1381" s="885"/>
      <c r="DO1381" s="885"/>
      <c r="DP1381" s="885"/>
      <c r="DQ1381" s="885"/>
      <c r="DR1381" s="885"/>
      <c r="DS1381" s="885"/>
      <c r="DT1381" s="885"/>
      <c r="DU1381" s="885"/>
      <c r="DV1381" s="885"/>
      <c r="DW1381" s="885"/>
      <c r="DX1381" s="885"/>
      <c r="DY1381" s="885"/>
      <c r="DZ1381" s="885"/>
      <c r="EA1381" s="885"/>
      <c r="EB1381" s="885"/>
      <c r="EC1381" s="885"/>
      <c r="ED1381" s="885"/>
      <c r="EE1381" s="885"/>
      <c r="EF1381" s="885"/>
      <c r="EG1381" s="885"/>
      <c r="EH1381" s="885"/>
      <c r="EI1381" s="885"/>
      <c r="EJ1381" s="885"/>
      <c r="EK1381" s="885"/>
      <c r="EL1381" s="885"/>
      <c r="EM1381" s="885"/>
      <c r="EN1381" s="885"/>
      <c r="EO1381" s="885"/>
      <c r="EP1381" s="885"/>
      <c r="EQ1381" s="885"/>
      <c r="ER1381" s="885"/>
      <c r="ES1381" s="885"/>
      <c r="ET1381" s="885"/>
      <c r="EU1381" s="885"/>
      <c r="EV1381" s="885"/>
      <c r="EW1381" s="885"/>
      <c r="EX1381" s="885"/>
      <c r="EY1381" s="885"/>
      <c r="EZ1381" s="885"/>
      <c r="FA1381" s="885"/>
      <c r="FB1381" s="885"/>
      <c r="FC1381" s="885"/>
      <c r="FD1381" s="885"/>
      <c r="FE1381" s="885"/>
      <c r="FF1381" s="885"/>
      <c r="FG1381" s="885"/>
      <c r="FH1381" s="885"/>
      <c r="FI1381" s="885"/>
      <c r="FJ1381" s="885"/>
      <c r="FK1381" s="885"/>
      <c r="FL1381" s="885"/>
      <c r="FM1381" s="885"/>
      <c r="FN1381" s="885"/>
      <c r="FO1381" s="885"/>
      <c r="FP1381" s="885"/>
      <c r="FQ1381" s="885"/>
      <c r="FR1381" s="885"/>
      <c r="FS1381" s="885"/>
      <c r="FT1381" s="885"/>
      <c r="FU1381" s="885"/>
      <c r="FV1381" s="885"/>
      <c r="FW1381" s="885"/>
      <c r="FX1381" s="885"/>
      <c r="FY1381" s="885"/>
      <c r="FZ1381" s="885"/>
      <c r="GA1381" s="885"/>
      <c r="GB1381" s="885"/>
      <c r="GC1381" s="885"/>
      <c r="GD1381" s="885"/>
      <c r="GE1381" s="885"/>
      <c r="GF1381" s="885"/>
      <c r="GG1381" s="885"/>
      <c r="GH1381" s="885"/>
      <c r="GI1381" s="885"/>
      <c r="GJ1381" s="885"/>
      <c r="GK1381" s="885"/>
      <c r="GL1381" s="885"/>
      <c r="GM1381" s="885"/>
      <c r="GN1381" s="885"/>
      <c r="GO1381" s="885"/>
      <c r="GP1381" s="885"/>
      <c r="GQ1381" s="885"/>
      <c r="GR1381" s="885"/>
      <c r="GS1381" s="885"/>
      <c r="GT1381" s="885"/>
      <c r="GU1381" s="885"/>
      <c r="GV1381" s="885"/>
      <c r="GW1381" s="885"/>
      <c r="GX1381" s="885"/>
      <c r="GY1381" s="885"/>
      <c r="GZ1381" s="885"/>
      <c r="HA1381" s="885"/>
      <c r="HB1381" s="885"/>
      <c r="HC1381" s="885"/>
      <c r="HD1381" s="885"/>
      <c r="HE1381" s="885"/>
      <c r="HF1381" s="885"/>
      <c r="HG1381" s="885"/>
      <c r="HH1381" s="885"/>
      <c r="HI1381" s="885"/>
      <c r="HJ1381" s="885"/>
      <c r="HK1381" s="885"/>
      <c r="HL1381" s="885"/>
      <c r="HM1381" s="885"/>
      <c r="HN1381" s="885"/>
      <c r="HO1381" s="885"/>
      <c r="HP1381" s="885"/>
      <c r="HQ1381" s="885"/>
      <c r="HR1381" s="885"/>
      <c r="HS1381" s="885"/>
      <c r="HT1381" s="885"/>
      <c r="HU1381" s="885"/>
      <c r="HV1381" s="885"/>
      <c r="HW1381" s="885"/>
      <c r="HX1381" s="885"/>
      <c r="HY1381" s="885"/>
      <c r="HZ1381" s="885"/>
      <c r="IA1381" s="885"/>
      <c r="IB1381" s="885"/>
      <c r="IC1381" s="885"/>
      <c r="ID1381" s="885"/>
      <c r="IE1381" s="885"/>
      <c r="IF1381" s="885"/>
      <c r="IG1381" s="885"/>
      <c r="IH1381" s="885"/>
      <c r="II1381" s="885"/>
      <c r="IJ1381" s="885"/>
      <c r="IK1381" s="885"/>
      <c r="IL1381" s="885"/>
      <c r="IM1381" s="885"/>
      <c r="IN1381" s="885"/>
      <c r="IO1381" s="885"/>
      <c r="IP1381" s="885"/>
      <c r="IQ1381" s="885"/>
      <c r="IR1381" s="885"/>
      <c r="IS1381" s="885"/>
      <c r="IT1381" s="885"/>
      <c r="IU1381" s="885"/>
      <c r="IV1381" s="885"/>
      <c r="IW1381" s="885"/>
      <c r="IX1381" s="885"/>
    </row>
    <row r="1382" spans="1:258" x14ac:dyDescent="0.25">
      <c r="A1382" s="125">
        <f t="shared" si="161"/>
        <v>1342</v>
      </c>
      <c r="B1382" s="885"/>
      <c r="C1382" s="931" t="s">
        <v>10898</v>
      </c>
      <c r="D1382" s="924">
        <v>0</v>
      </c>
      <c r="E1382" s="924">
        <f t="shared" ref="E1382:E1386" si="163">D1382/8*12</f>
        <v>0</v>
      </c>
      <c r="F1382" s="129">
        <f>F1384*F$83</f>
        <v>200</v>
      </c>
      <c r="G1382" s="122" t="s">
        <v>1963</v>
      </c>
      <c r="H1382" s="885"/>
      <c r="I1382" s="885"/>
      <c r="J1382" s="885"/>
      <c r="K1382" s="885"/>
      <c r="L1382" s="885"/>
      <c r="M1382" s="885"/>
      <c r="N1382" s="885"/>
      <c r="O1382" s="885"/>
      <c r="P1382" s="885"/>
      <c r="Q1382" s="885"/>
      <c r="R1382" s="885"/>
      <c r="S1382" s="885"/>
      <c r="T1382" s="885"/>
      <c r="U1382" s="885"/>
      <c r="V1382" s="885"/>
      <c r="W1382" s="885"/>
      <c r="X1382" s="885"/>
      <c r="Y1382" s="885"/>
      <c r="Z1382" s="885"/>
      <c r="AA1382" s="885"/>
      <c r="AB1382" s="885"/>
      <c r="AC1382" s="885"/>
      <c r="AD1382" s="885"/>
      <c r="AE1382" s="885"/>
      <c r="AF1382" s="885"/>
      <c r="AG1382" s="885"/>
      <c r="AH1382" s="885"/>
      <c r="AI1382" s="885"/>
      <c r="AJ1382" s="885"/>
      <c r="AK1382" s="885"/>
      <c r="AL1382" s="885"/>
      <c r="AM1382" s="885"/>
      <c r="AN1382" s="885"/>
      <c r="AO1382" s="885"/>
      <c r="AP1382" s="885"/>
      <c r="AQ1382" s="885"/>
      <c r="AR1382" s="885"/>
      <c r="AS1382" s="885"/>
      <c r="AT1382" s="885"/>
      <c r="AU1382" s="885"/>
      <c r="AV1382" s="885"/>
      <c r="AW1382" s="885"/>
      <c r="AX1382" s="885"/>
      <c r="AY1382" s="885"/>
      <c r="AZ1382" s="885"/>
      <c r="BA1382" s="885"/>
      <c r="BB1382" s="885"/>
      <c r="BC1382" s="885"/>
      <c r="BD1382" s="885"/>
      <c r="BE1382" s="885"/>
      <c r="BF1382" s="885"/>
      <c r="BG1382" s="885"/>
      <c r="BH1382" s="885"/>
      <c r="BI1382" s="885"/>
      <c r="BJ1382" s="885"/>
      <c r="BK1382" s="885"/>
      <c r="BL1382" s="885"/>
      <c r="BM1382" s="885"/>
      <c r="BN1382" s="885"/>
      <c r="BO1382" s="885"/>
      <c r="BP1382" s="885"/>
      <c r="BQ1382" s="885"/>
      <c r="BR1382" s="885"/>
      <c r="BS1382" s="885"/>
      <c r="BT1382" s="885"/>
      <c r="BU1382" s="885"/>
      <c r="BV1382" s="885"/>
      <c r="BW1382" s="885"/>
      <c r="BX1382" s="885"/>
      <c r="BY1382" s="885"/>
      <c r="BZ1382" s="885"/>
      <c r="CA1382" s="885"/>
      <c r="CB1382" s="885"/>
      <c r="CC1382" s="885"/>
      <c r="CD1382" s="885"/>
      <c r="CE1382" s="885"/>
      <c r="CF1382" s="885"/>
      <c r="CG1382" s="885"/>
      <c r="CH1382" s="885"/>
      <c r="CI1382" s="885"/>
      <c r="CJ1382" s="885"/>
      <c r="CK1382" s="885"/>
      <c r="CL1382" s="885"/>
      <c r="CM1382" s="885"/>
      <c r="CN1382" s="885"/>
      <c r="CO1382" s="885"/>
      <c r="CP1382" s="885"/>
      <c r="CQ1382" s="885"/>
      <c r="CR1382" s="885"/>
      <c r="CS1382" s="885"/>
      <c r="CT1382" s="885"/>
      <c r="CU1382" s="885"/>
      <c r="CV1382" s="885"/>
      <c r="CW1382" s="885"/>
      <c r="CX1382" s="885"/>
      <c r="CY1382" s="885"/>
      <c r="CZ1382" s="885"/>
      <c r="DA1382" s="885"/>
      <c r="DB1382" s="885"/>
      <c r="DC1382" s="885"/>
      <c r="DD1382" s="885"/>
      <c r="DE1382" s="885"/>
      <c r="DF1382" s="885"/>
      <c r="DG1382" s="885"/>
      <c r="DH1382" s="885"/>
      <c r="DI1382" s="885"/>
      <c r="DJ1382" s="885"/>
      <c r="DK1382" s="885"/>
      <c r="DL1382" s="885"/>
      <c r="DM1382" s="885"/>
      <c r="DN1382" s="885"/>
      <c r="DO1382" s="885"/>
      <c r="DP1382" s="885"/>
      <c r="DQ1382" s="885"/>
      <c r="DR1382" s="885"/>
      <c r="DS1382" s="885"/>
      <c r="DT1382" s="885"/>
      <c r="DU1382" s="885"/>
      <c r="DV1382" s="885"/>
      <c r="DW1382" s="885"/>
      <c r="DX1382" s="885"/>
      <c r="DY1382" s="885"/>
      <c r="DZ1382" s="885"/>
      <c r="EA1382" s="885"/>
      <c r="EB1382" s="885"/>
      <c r="EC1382" s="885"/>
      <c r="ED1382" s="885"/>
      <c r="EE1382" s="885"/>
      <c r="EF1382" s="885"/>
      <c r="EG1382" s="885"/>
      <c r="EH1382" s="885"/>
      <c r="EI1382" s="885"/>
      <c r="EJ1382" s="885"/>
      <c r="EK1382" s="885"/>
      <c r="EL1382" s="885"/>
      <c r="EM1382" s="885"/>
      <c r="EN1382" s="885"/>
      <c r="EO1382" s="885"/>
      <c r="EP1382" s="885"/>
      <c r="EQ1382" s="885"/>
      <c r="ER1382" s="885"/>
      <c r="ES1382" s="885"/>
      <c r="ET1382" s="885"/>
      <c r="EU1382" s="885"/>
      <c r="EV1382" s="885"/>
      <c r="EW1382" s="885"/>
      <c r="EX1382" s="885"/>
      <c r="EY1382" s="885"/>
      <c r="EZ1382" s="885"/>
      <c r="FA1382" s="885"/>
      <c r="FB1382" s="885"/>
      <c r="FC1382" s="885"/>
      <c r="FD1382" s="885"/>
      <c r="FE1382" s="885"/>
      <c r="FF1382" s="885"/>
      <c r="FG1382" s="885"/>
      <c r="FH1382" s="885"/>
      <c r="FI1382" s="885"/>
      <c r="FJ1382" s="885"/>
      <c r="FK1382" s="885"/>
      <c r="FL1382" s="885"/>
      <c r="FM1382" s="885"/>
      <c r="FN1382" s="885"/>
      <c r="FO1382" s="885"/>
      <c r="FP1382" s="885"/>
      <c r="FQ1382" s="885"/>
      <c r="FR1382" s="885"/>
      <c r="FS1382" s="885"/>
      <c r="FT1382" s="885"/>
      <c r="FU1382" s="885"/>
      <c r="FV1382" s="885"/>
      <c r="FW1382" s="885"/>
      <c r="FX1382" s="885"/>
      <c r="FY1382" s="885"/>
      <c r="FZ1382" s="885"/>
      <c r="GA1382" s="885"/>
      <c r="GB1382" s="885"/>
      <c r="GC1382" s="885"/>
      <c r="GD1382" s="885"/>
      <c r="GE1382" s="885"/>
      <c r="GF1382" s="885"/>
      <c r="GG1382" s="885"/>
      <c r="GH1382" s="885"/>
      <c r="GI1382" s="885"/>
      <c r="GJ1382" s="885"/>
      <c r="GK1382" s="885"/>
      <c r="GL1382" s="885"/>
      <c r="GM1382" s="885"/>
      <c r="GN1382" s="885"/>
      <c r="GO1382" s="885"/>
      <c r="GP1382" s="885"/>
      <c r="GQ1382" s="885"/>
      <c r="GR1382" s="885"/>
      <c r="GS1382" s="885"/>
      <c r="GT1382" s="885"/>
      <c r="GU1382" s="885"/>
      <c r="GV1382" s="885"/>
      <c r="GW1382" s="885"/>
      <c r="GX1382" s="885"/>
      <c r="GY1382" s="885"/>
      <c r="GZ1382" s="885"/>
      <c r="HA1382" s="885"/>
      <c r="HB1382" s="885"/>
      <c r="HC1382" s="885"/>
      <c r="HD1382" s="885"/>
      <c r="HE1382" s="885"/>
      <c r="HF1382" s="885"/>
      <c r="HG1382" s="885"/>
      <c r="HH1382" s="885"/>
      <c r="HI1382" s="885"/>
      <c r="HJ1382" s="885"/>
      <c r="HK1382" s="885"/>
      <c r="HL1382" s="885"/>
      <c r="HM1382" s="885"/>
      <c r="HN1382" s="885"/>
      <c r="HO1382" s="885"/>
      <c r="HP1382" s="885"/>
      <c r="HQ1382" s="885"/>
      <c r="HR1382" s="885"/>
      <c r="HS1382" s="885"/>
      <c r="HT1382" s="885"/>
      <c r="HU1382" s="885"/>
      <c r="HV1382" s="885"/>
      <c r="HW1382" s="885"/>
      <c r="HX1382" s="885"/>
      <c r="HY1382" s="885"/>
      <c r="HZ1382" s="885"/>
      <c r="IA1382" s="885"/>
      <c r="IB1382" s="885"/>
      <c r="IC1382" s="885"/>
      <c r="ID1382" s="885"/>
      <c r="IE1382" s="885"/>
      <c r="IF1382" s="885"/>
      <c r="IG1382" s="885"/>
      <c r="IH1382" s="885"/>
      <c r="II1382" s="885"/>
      <c r="IJ1382" s="885"/>
      <c r="IK1382" s="885"/>
      <c r="IL1382" s="885"/>
      <c r="IM1382" s="885"/>
      <c r="IN1382" s="885"/>
      <c r="IO1382" s="885"/>
      <c r="IP1382" s="885"/>
      <c r="IQ1382" s="885"/>
      <c r="IR1382" s="885"/>
      <c r="IS1382" s="885"/>
      <c r="IT1382" s="885"/>
      <c r="IU1382" s="885"/>
      <c r="IV1382" s="885"/>
      <c r="IW1382" s="885"/>
      <c r="IX1382" s="885"/>
    </row>
    <row r="1383" spans="1:258" x14ac:dyDescent="0.25">
      <c r="A1383" s="125">
        <f t="shared" si="161"/>
        <v>1343</v>
      </c>
      <c r="B1383" s="885"/>
      <c r="C1383" s="842" t="s">
        <v>10899</v>
      </c>
      <c r="D1383" s="924">
        <v>0</v>
      </c>
      <c r="E1383" s="924">
        <f t="shared" si="163"/>
        <v>0</v>
      </c>
      <c r="F1383" s="129">
        <v>1000</v>
      </c>
      <c r="G1383" s="122" t="s">
        <v>1963</v>
      </c>
      <c r="H1383" s="885"/>
      <c r="I1383" s="885"/>
      <c r="J1383" s="885"/>
      <c r="K1383" s="885"/>
      <c r="L1383" s="885"/>
      <c r="M1383" s="885"/>
      <c r="N1383" s="885"/>
      <c r="O1383" s="885"/>
      <c r="P1383" s="885"/>
      <c r="Q1383" s="885"/>
      <c r="R1383" s="885"/>
      <c r="S1383" s="885"/>
      <c r="T1383" s="885"/>
      <c r="U1383" s="885"/>
      <c r="V1383" s="885"/>
      <c r="W1383" s="885"/>
      <c r="X1383" s="885"/>
      <c r="Y1383" s="885"/>
      <c r="Z1383" s="885"/>
      <c r="AA1383" s="885"/>
      <c r="AB1383" s="885"/>
      <c r="AC1383" s="885"/>
      <c r="AD1383" s="885"/>
      <c r="AE1383" s="885"/>
      <c r="AF1383" s="885"/>
      <c r="AG1383" s="885"/>
      <c r="AH1383" s="885"/>
      <c r="AI1383" s="885"/>
      <c r="AJ1383" s="885"/>
      <c r="AK1383" s="885"/>
      <c r="AL1383" s="885"/>
      <c r="AM1383" s="885"/>
      <c r="AN1383" s="885"/>
      <c r="AO1383" s="885"/>
      <c r="AP1383" s="885"/>
      <c r="AQ1383" s="885"/>
      <c r="AR1383" s="885"/>
      <c r="AS1383" s="885"/>
      <c r="AT1383" s="885"/>
      <c r="AU1383" s="885"/>
      <c r="AV1383" s="885"/>
      <c r="AW1383" s="885"/>
      <c r="AX1383" s="885"/>
      <c r="AY1383" s="885"/>
      <c r="AZ1383" s="885"/>
      <c r="BA1383" s="885"/>
      <c r="BB1383" s="885"/>
      <c r="BC1383" s="885"/>
      <c r="BD1383" s="885"/>
      <c r="BE1383" s="885"/>
      <c r="BF1383" s="885"/>
      <c r="BG1383" s="885"/>
      <c r="BH1383" s="885"/>
      <c r="BI1383" s="885"/>
      <c r="BJ1383" s="885"/>
      <c r="BK1383" s="885"/>
      <c r="BL1383" s="885"/>
      <c r="BM1383" s="885"/>
      <c r="BN1383" s="885"/>
      <c r="BO1383" s="885"/>
      <c r="BP1383" s="885"/>
      <c r="BQ1383" s="885"/>
      <c r="BR1383" s="885"/>
      <c r="BS1383" s="885"/>
      <c r="BT1383" s="885"/>
      <c r="BU1383" s="885"/>
      <c r="BV1383" s="885"/>
      <c r="BW1383" s="885"/>
      <c r="BX1383" s="885"/>
      <c r="BY1383" s="885"/>
      <c r="BZ1383" s="885"/>
      <c r="CA1383" s="885"/>
      <c r="CB1383" s="885"/>
      <c r="CC1383" s="885"/>
      <c r="CD1383" s="885"/>
      <c r="CE1383" s="885"/>
      <c r="CF1383" s="885"/>
      <c r="CG1383" s="885"/>
      <c r="CH1383" s="885"/>
      <c r="CI1383" s="885"/>
      <c r="CJ1383" s="885"/>
      <c r="CK1383" s="885"/>
      <c r="CL1383" s="885"/>
      <c r="CM1383" s="885"/>
      <c r="CN1383" s="885"/>
      <c r="CO1383" s="885"/>
      <c r="CP1383" s="885"/>
      <c r="CQ1383" s="885"/>
      <c r="CR1383" s="885"/>
      <c r="CS1383" s="885"/>
      <c r="CT1383" s="885"/>
      <c r="CU1383" s="885"/>
      <c r="CV1383" s="885"/>
      <c r="CW1383" s="885"/>
      <c r="CX1383" s="885"/>
      <c r="CY1383" s="885"/>
      <c r="CZ1383" s="885"/>
      <c r="DA1383" s="885"/>
      <c r="DB1383" s="885"/>
      <c r="DC1383" s="885"/>
      <c r="DD1383" s="885"/>
      <c r="DE1383" s="885"/>
      <c r="DF1383" s="885"/>
      <c r="DG1383" s="885"/>
      <c r="DH1383" s="885"/>
      <c r="DI1383" s="885"/>
      <c r="DJ1383" s="885"/>
      <c r="DK1383" s="885"/>
      <c r="DL1383" s="885"/>
      <c r="DM1383" s="885"/>
      <c r="DN1383" s="885"/>
      <c r="DO1383" s="885"/>
      <c r="DP1383" s="885"/>
      <c r="DQ1383" s="885"/>
      <c r="DR1383" s="885"/>
      <c r="DS1383" s="885"/>
      <c r="DT1383" s="885"/>
      <c r="DU1383" s="885"/>
      <c r="DV1383" s="885"/>
      <c r="DW1383" s="885"/>
      <c r="DX1383" s="885"/>
      <c r="DY1383" s="885"/>
      <c r="DZ1383" s="885"/>
      <c r="EA1383" s="885"/>
      <c r="EB1383" s="885"/>
      <c r="EC1383" s="885"/>
      <c r="ED1383" s="885"/>
      <c r="EE1383" s="885"/>
      <c r="EF1383" s="885"/>
      <c r="EG1383" s="885"/>
      <c r="EH1383" s="885"/>
      <c r="EI1383" s="885"/>
      <c r="EJ1383" s="885"/>
      <c r="EK1383" s="885"/>
      <c r="EL1383" s="885"/>
      <c r="EM1383" s="885"/>
      <c r="EN1383" s="885"/>
      <c r="EO1383" s="885"/>
      <c r="EP1383" s="885"/>
      <c r="EQ1383" s="885"/>
      <c r="ER1383" s="885"/>
      <c r="ES1383" s="885"/>
      <c r="ET1383" s="885"/>
      <c r="EU1383" s="885"/>
      <c r="EV1383" s="885"/>
      <c r="EW1383" s="885"/>
      <c r="EX1383" s="885"/>
      <c r="EY1383" s="885"/>
      <c r="EZ1383" s="885"/>
      <c r="FA1383" s="885"/>
      <c r="FB1383" s="885"/>
      <c r="FC1383" s="885"/>
      <c r="FD1383" s="885"/>
      <c r="FE1383" s="885"/>
      <c r="FF1383" s="885"/>
      <c r="FG1383" s="885"/>
      <c r="FH1383" s="885"/>
      <c r="FI1383" s="885"/>
      <c r="FJ1383" s="885"/>
      <c r="FK1383" s="885"/>
      <c r="FL1383" s="885"/>
      <c r="FM1383" s="885"/>
      <c r="FN1383" s="885"/>
      <c r="FO1383" s="885"/>
      <c r="FP1383" s="885"/>
      <c r="FQ1383" s="885"/>
      <c r="FR1383" s="885"/>
      <c r="FS1383" s="885"/>
      <c r="FT1383" s="885"/>
      <c r="FU1383" s="885"/>
      <c r="FV1383" s="885"/>
      <c r="FW1383" s="885"/>
      <c r="FX1383" s="885"/>
      <c r="FY1383" s="885"/>
      <c r="FZ1383" s="885"/>
      <c r="GA1383" s="885"/>
      <c r="GB1383" s="885"/>
      <c r="GC1383" s="885"/>
      <c r="GD1383" s="885"/>
      <c r="GE1383" s="885"/>
      <c r="GF1383" s="885"/>
      <c r="GG1383" s="885"/>
      <c r="GH1383" s="885"/>
      <c r="GI1383" s="885"/>
      <c r="GJ1383" s="885"/>
      <c r="GK1383" s="885"/>
      <c r="GL1383" s="885"/>
      <c r="GM1383" s="885"/>
      <c r="GN1383" s="885"/>
      <c r="GO1383" s="885"/>
      <c r="GP1383" s="885"/>
      <c r="GQ1383" s="885"/>
      <c r="GR1383" s="885"/>
      <c r="GS1383" s="885"/>
      <c r="GT1383" s="885"/>
      <c r="GU1383" s="885"/>
      <c r="GV1383" s="885"/>
      <c r="GW1383" s="885"/>
      <c r="GX1383" s="885"/>
      <c r="GY1383" s="885"/>
      <c r="GZ1383" s="885"/>
      <c r="HA1383" s="885"/>
      <c r="HB1383" s="885"/>
      <c r="HC1383" s="885"/>
      <c r="HD1383" s="885"/>
      <c r="HE1383" s="885"/>
      <c r="HF1383" s="885"/>
      <c r="HG1383" s="885"/>
      <c r="HH1383" s="885"/>
      <c r="HI1383" s="885"/>
      <c r="HJ1383" s="885"/>
      <c r="HK1383" s="885"/>
      <c r="HL1383" s="885"/>
      <c r="HM1383" s="885"/>
      <c r="HN1383" s="885"/>
      <c r="HO1383" s="885"/>
      <c r="HP1383" s="885"/>
      <c r="HQ1383" s="885"/>
      <c r="HR1383" s="885"/>
      <c r="HS1383" s="885"/>
      <c r="HT1383" s="885"/>
      <c r="HU1383" s="885"/>
      <c r="HV1383" s="885"/>
      <c r="HW1383" s="885"/>
      <c r="HX1383" s="885"/>
      <c r="HY1383" s="885"/>
      <c r="HZ1383" s="885"/>
      <c r="IA1383" s="885"/>
      <c r="IB1383" s="885"/>
      <c r="IC1383" s="885"/>
      <c r="ID1383" s="885"/>
      <c r="IE1383" s="885"/>
      <c r="IF1383" s="885"/>
      <c r="IG1383" s="885"/>
      <c r="IH1383" s="885"/>
      <c r="II1383" s="885"/>
      <c r="IJ1383" s="885"/>
      <c r="IK1383" s="885"/>
      <c r="IL1383" s="885"/>
      <c r="IM1383" s="885"/>
      <c r="IN1383" s="885"/>
      <c r="IO1383" s="885"/>
      <c r="IP1383" s="885"/>
      <c r="IQ1383" s="885"/>
      <c r="IR1383" s="885"/>
      <c r="IS1383" s="885"/>
      <c r="IT1383" s="885"/>
      <c r="IU1383" s="885"/>
      <c r="IV1383" s="885"/>
      <c r="IW1383" s="885"/>
      <c r="IX1383" s="885"/>
    </row>
    <row r="1384" spans="1:258" ht="31.5" x14ac:dyDescent="0.25">
      <c r="A1384" s="125">
        <f t="shared" si="161"/>
        <v>1344</v>
      </c>
      <c r="B1384" s="885"/>
      <c r="C1384" s="842" t="s">
        <v>10900</v>
      </c>
      <c r="D1384" s="924">
        <v>0</v>
      </c>
      <c r="E1384" s="924">
        <f t="shared" si="163"/>
        <v>0</v>
      </c>
      <c r="F1384" s="129">
        <v>1000</v>
      </c>
      <c r="G1384" s="122" t="s">
        <v>1963</v>
      </c>
      <c r="H1384" s="885"/>
      <c r="I1384" s="885"/>
      <c r="J1384" s="885"/>
      <c r="K1384" s="885"/>
      <c r="L1384" s="885"/>
      <c r="M1384" s="885"/>
      <c r="N1384" s="885"/>
      <c r="O1384" s="885"/>
      <c r="P1384" s="885"/>
      <c r="Q1384" s="885"/>
      <c r="R1384" s="885"/>
      <c r="S1384" s="885"/>
      <c r="T1384" s="885"/>
      <c r="U1384" s="885"/>
      <c r="V1384" s="885"/>
      <c r="W1384" s="885"/>
      <c r="X1384" s="885"/>
      <c r="Y1384" s="885"/>
      <c r="Z1384" s="885"/>
      <c r="AA1384" s="885"/>
      <c r="AB1384" s="885"/>
      <c r="AC1384" s="885"/>
      <c r="AD1384" s="885"/>
      <c r="AE1384" s="885"/>
      <c r="AF1384" s="885"/>
      <c r="AG1384" s="885"/>
      <c r="AH1384" s="885"/>
      <c r="AI1384" s="885"/>
      <c r="AJ1384" s="885"/>
      <c r="AK1384" s="885"/>
      <c r="AL1384" s="885"/>
      <c r="AM1384" s="885"/>
      <c r="AN1384" s="885"/>
      <c r="AO1384" s="885"/>
      <c r="AP1384" s="885"/>
      <c r="AQ1384" s="885"/>
      <c r="AR1384" s="885"/>
      <c r="AS1384" s="885"/>
      <c r="AT1384" s="885"/>
      <c r="AU1384" s="885"/>
      <c r="AV1384" s="885"/>
      <c r="AW1384" s="885"/>
      <c r="AX1384" s="885"/>
      <c r="AY1384" s="885"/>
      <c r="AZ1384" s="885"/>
      <c r="BA1384" s="885"/>
      <c r="BB1384" s="885"/>
      <c r="BC1384" s="885"/>
      <c r="BD1384" s="885"/>
      <c r="BE1384" s="885"/>
      <c r="BF1384" s="885"/>
      <c r="BG1384" s="885"/>
      <c r="BH1384" s="885"/>
      <c r="BI1384" s="885"/>
      <c r="BJ1384" s="885"/>
      <c r="BK1384" s="885"/>
      <c r="BL1384" s="885"/>
      <c r="BM1384" s="885"/>
      <c r="BN1384" s="885"/>
      <c r="BO1384" s="885"/>
      <c r="BP1384" s="885"/>
      <c r="BQ1384" s="885"/>
      <c r="BR1384" s="885"/>
      <c r="BS1384" s="885"/>
      <c r="BT1384" s="885"/>
      <c r="BU1384" s="885"/>
      <c r="BV1384" s="885"/>
      <c r="BW1384" s="885"/>
      <c r="BX1384" s="885"/>
      <c r="BY1384" s="885"/>
      <c r="BZ1384" s="885"/>
      <c r="CA1384" s="885"/>
      <c r="CB1384" s="885"/>
      <c r="CC1384" s="885"/>
      <c r="CD1384" s="885"/>
      <c r="CE1384" s="885"/>
      <c r="CF1384" s="885"/>
      <c r="CG1384" s="885"/>
      <c r="CH1384" s="885"/>
      <c r="CI1384" s="885"/>
      <c r="CJ1384" s="885"/>
      <c r="CK1384" s="885"/>
      <c r="CL1384" s="885"/>
      <c r="CM1384" s="885"/>
      <c r="CN1384" s="885"/>
      <c r="CO1384" s="885"/>
      <c r="CP1384" s="885"/>
      <c r="CQ1384" s="885"/>
      <c r="CR1384" s="885"/>
      <c r="CS1384" s="885"/>
      <c r="CT1384" s="885"/>
      <c r="CU1384" s="885"/>
      <c r="CV1384" s="885"/>
      <c r="CW1384" s="885"/>
      <c r="CX1384" s="885"/>
      <c r="CY1384" s="885"/>
      <c r="CZ1384" s="885"/>
      <c r="DA1384" s="885"/>
      <c r="DB1384" s="885"/>
      <c r="DC1384" s="885"/>
      <c r="DD1384" s="885"/>
      <c r="DE1384" s="885"/>
      <c r="DF1384" s="885"/>
      <c r="DG1384" s="885"/>
      <c r="DH1384" s="885"/>
      <c r="DI1384" s="885"/>
      <c r="DJ1384" s="885"/>
      <c r="DK1384" s="885"/>
      <c r="DL1384" s="885"/>
      <c r="DM1384" s="885"/>
      <c r="DN1384" s="885"/>
      <c r="DO1384" s="885"/>
      <c r="DP1384" s="885"/>
      <c r="DQ1384" s="885"/>
      <c r="DR1384" s="885"/>
      <c r="DS1384" s="885"/>
      <c r="DT1384" s="885"/>
      <c r="DU1384" s="885"/>
      <c r="DV1384" s="885"/>
      <c r="DW1384" s="885"/>
      <c r="DX1384" s="885"/>
      <c r="DY1384" s="885"/>
      <c r="DZ1384" s="885"/>
      <c r="EA1384" s="885"/>
      <c r="EB1384" s="885"/>
      <c r="EC1384" s="885"/>
      <c r="ED1384" s="885"/>
      <c r="EE1384" s="885"/>
      <c r="EF1384" s="885"/>
      <c r="EG1384" s="885"/>
      <c r="EH1384" s="885"/>
      <c r="EI1384" s="885"/>
      <c r="EJ1384" s="885"/>
      <c r="EK1384" s="885"/>
      <c r="EL1384" s="885"/>
      <c r="EM1384" s="885"/>
      <c r="EN1384" s="885"/>
      <c r="EO1384" s="885"/>
      <c r="EP1384" s="885"/>
      <c r="EQ1384" s="885"/>
      <c r="ER1384" s="885"/>
      <c r="ES1384" s="885"/>
      <c r="ET1384" s="885"/>
      <c r="EU1384" s="885"/>
      <c r="EV1384" s="885"/>
      <c r="EW1384" s="885"/>
      <c r="EX1384" s="885"/>
      <c r="EY1384" s="885"/>
      <c r="EZ1384" s="885"/>
      <c r="FA1384" s="885"/>
      <c r="FB1384" s="885"/>
      <c r="FC1384" s="885"/>
      <c r="FD1384" s="885"/>
      <c r="FE1384" s="885"/>
      <c r="FF1384" s="885"/>
      <c r="FG1384" s="885"/>
      <c r="FH1384" s="885"/>
      <c r="FI1384" s="885"/>
      <c r="FJ1384" s="885"/>
      <c r="FK1384" s="885"/>
      <c r="FL1384" s="885"/>
      <c r="FM1384" s="885"/>
      <c r="FN1384" s="885"/>
      <c r="FO1384" s="885"/>
      <c r="FP1384" s="885"/>
      <c r="FQ1384" s="885"/>
      <c r="FR1384" s="885"/>
      <c r="FS1384" s="885"/>
      <c r="FT1384" s="885"/>
      <c r="FU1384" s="885"/>
      <c r="FV1384" s="885"/>
      <c r="FW1384" s="885"/>
      <c r="FX1384" s="885"/>
      <c r="FY1384" s="885"/>
      <c r="FZ1384" s="885"/>
      <c r="GA1384" s="885"/>
      <c r="GB1384" s="885"/>
      <c r="GC1384" s="885"/>
      <c r="GD1384" s="885"/>
      <c r="GE1384" s="885"/>
      <c r="GF1384" s="885"/>
      <c r="GG1384" s="885"/>
      <c r="GH1384" s="885"/>
      <c r="GI1384" s="885"/>
      <c r="GJ1384" s="885"/>
      <c r="GK1384" s="885"/>
      <c r="GL1384" s="885"/>
      <c r="GM1384" s="885"/>
      <c r="GN1384" s="885"/>
      <c r="GO1384" s="885"/>
      <c r="GP1384" s="885"/>
      <c r="GQ1384" s="885"/>
      <c r="GR1384" s="885"/>
      <c r="GS1384" s="885"/>
      <c r="GT1384" s="885"/>
      <c r="GU1384" s="885"/>
      <c r="GV1384" s="885"/>
      <c r="GW1384" s="885"/>
      <c r="GX1384" s="885"/>
      <c r="GY1384" s="885"/>
      <c r="GZ1384" s="885"/>
      <c r="HA1384" s="885"/>
      <c r="HB1384" s="885"/>
      <c r="HC1384" s="885"/>
      <c r="HD1384" s="885"/>
      <c r="HE1384" s="885"/>
      <c r="HF1384" s="885"/>
      <c r="HG1384" s="885"/>
      <c r="HH1384" s="885"/>
      <c r="HI1384" s="885"/>
      <c r="HJ1384" s="885"/>
      <c r="HK1384" s="885"/>
      <c r="HL1384" s="885"/>
      <c r="HM1384" s="885"/>
      <c r="HN1384" s="885"/>
      <c r="HO1384" s="885"/>
      <c r="HP1384" s="885"/>
      <c r="HQ1384" s="885"/>
      <c r="HR1384" s="885"/>
      <c r="HS1384" s="885"/>
      <c r="HT1384" s="885"/>
      <c r="HU1384" s="885"/>
      <c r="HV1384" s="885"/>
      <c r="HW1384" s="885"/>
      <c r="HX1384" s="885"/>
      <c r="HY1384" s="885"/>
      <c r="HZ1384" s="885"/>
      <c r="IA1384" s="885"/>
      <c r="IB1384" s="885"/>
      <c r="IC1384" s="885"/>
      <c r="ID1384" s="885"/>
      <c r="IE1384" s="885"/>
      <c r="IF1384" s="885"/>
      <c r="IG1384" s="885"/>
      <c r="IH1384" s="885"/>
      <c r="II1384" s="885"/>
      <c r="IJ1384" s="885"/>
      <c r="IK1384" s="885"/>
      <c r="IL1384" s="885"/>
      <c r="IM1384" s="885"/>
      <c r="IN1384" s="885"/>
      <c r="IO1384" s="885"/>
      <c r="IP1384" s="885"/>
      <c r="IQ1384" s="885"/>
      <c r="IR1384" s="885"/>
      <c r="IS1384" s="885"/>
      <c r="IT1384" s="885"/>
      <c r="IU1384" s="885"/>
      <c r="IV1384" s="885"/>
      <c r="IW1384" s="885"/>
      <c r="IX1384" s="885"/>
    </row>
    <row r="1385" spans="1:258" ht="31.5" x14ac:dyDescent="0.25">
      <c r="A1385" s="125">
        <f t="shared" si="161"/>
        <v>1345</v>
      </c>
      <c r="B1385" s="885"/>
      <c r="C1385" s="842" t="s">
        <v>10901</v>
      </c>
      <c r="D1385" s="924">
        <v>0</v>
      </c>
      <c r="E1385" s="924">
        <f t="shared" si="163"/>
        <v>0</v>
      </c>
      <c r="F1385" s="129">
        <v>1000</v>
      </c>
      <c r="G1385" s="122" t="s">
        <v>1963</v>
      </c>
      <c r="H1385" s="885"/>
      <c r="I1385" s="885"/>
      <c r="J1385" s="885"/>
      <c r="K1385" s="885"/>
      <c r="L1385" s="885"/>
      <c r="M1385" s="885"/>
      <c r="N1385" s="885"/>
      <c r="O1385" s="885"/>
      <c r="P1385" s="885"/>
      <c r="Q1385" s="885"/>
      <c r="R1385" s="885"/>
      <c r="S1385" s="885"/>
      <c r="T1385" s="885"/>
      <c r="U1385" s="885"/>
      <c r="V1385" s="885"/>
      <c r="W1385" s="885"/>
      <c r="X1385" s="885"/>
      <c r="Y1385" s="885"/>
      <c r="Z1385" s="885"/>
      <c r="AA1385" s="885"/>
      <c r="AB1385" s="885"/>
      <c r="AC1385" s="885"/>
      <c r="AD1385" s="885"/>
      <c r="AE1385" s="885"/>
      <c r="AF1385" s="885"/>
      <c r="AG1385" s="885"/>
      <c r="AH1385" s="885"/>
      <c r="AI1385" s="885"/>
      <c r="AJ1385" s="885"/>
      <c r="AK1385" s="885"/>
      <c r="AL1385" s="885"/>
      <c r="AM1385" s="885"/>
      <c r="AN1385" s="885"/>
      <c r="AO1385" s="885"/>
      <c r="AP1385" s="885"/>
      <c r="AQ1385" s="885"/>
      <c r="AR1385" s="885"/>
      <c r="AS1385" s="885"/>
      <c r="AT1385" s="885"/>
      <c r="AU1385" s="885"/>
      <c r="AV1385" s="885"/>
      <c r="AW1385" s="885"/>
      <c r="AX1385" s="885"/>
      <c r="AY1385" s="885"/>
      <c r="AZ1385" s="885"/>
      <c r="BA1385" s="885"/>
      <c r="BB1385" s="885"/>
      <c r="BC1385" s="885"/>
      <c r="BD1385" s="885"/>
      <c r="BE1385" s="885"/>
      <c r="BF1385" s="885"/>
      <c r="BG1385" s="885"/>
      <c r="BH1385" s="885"/>
      <c r="BI1385" s="885"/>
      <c r="BJ1385" s="885"/>
      <c r="BK1385" s="885"/>
      <c r="BL1385" s="885"/>
      <c r="BM1385" s="885"/>
      <c r="BN1385" s="885"/>
      <c r="BO1385" s="885"/>
      <c r="BP1385" s="885"/>
      <c r="BQ1385" s="885"/>
      <c r="BR1385" s="885"/>
      <c r="BS1385" s="885"/>
      <c r="BT1385" s="885"/>
      <c r="BU1385" s="885"/>
      <c r="BV1385" s="885"/>
      <c r="BW1385" s="885"/>
      <c r="BX1385" s="885"/>
      <c r="BY1385" s="885"/>
      <c r="BZ1385" s="885"/>
      <c r="CA1385" s="885"/>
      <c r="CB1385" s="885"/>
      <c r="CC1385" s="885"/>
      <c r="CD1385" s="885"/>
      <c r="CE1385" s="885"/>
      <c r="CF1385" s="885"/>
      <c r="CG1385" s="885"/>
      <c r="CH1385" s="885"/>
      <c r="CI1385" s="885"/>
      <c r="CJ1385" s="885"/>
      <c r="CK1385" s="885"/>
      <c r="CL1385" s="885"/>
      <c r="CM1385" s="885"/>
      <c r="CN1385" s="885"/>
      <c r="CO1385" s="885"/>
      <c r="CP1385" s="885"/>
      <c r="CQ1385" s="885"/>
      <c r="CR1385" s="885"/>
      <c r="CS1385" s="885"/>
      <c r="CT1385" s="885"/>
      <c r="CU1385" s="885"/>
      <c r="CV1385" s="885"/>
      <c r="CW1385" s="885"/>
      <c r="CX1385" s="885"/>
      <c r="CY1385" s="885"/>
      <c r="CZ1385" s="885"/>
      <c r="DA1385" s="885"/>
      <c r="DB1385" s="885"/>
      <c r="DC1385" s="885"/>
      <c r="DD1385" s="885"/>
      <c r="DE1385" s="885"/>
      <c r="DF1385" s="885"/>
      <c r="DG1385" s="885"/>
      <c r="DH1385" s="885"/>
      <c r="DI1385" s="885"/>
      <c r="DJ1385" s="885"/>
      <c r="DK1385" s="885"/>
      <c r="DL1385" s="885"/>
      <c r="DM1385" s="885"/>
      <c r="DN1385" s="885"/>
      <c r="DO1385" s="885"/>
      <c r="DP1385" s="885"/>
      <c r="DQ1385" s="885"/>
      <c r="DR1385" s="885"/>
      <c r="DS1385" s="885"/>
      <c r="DT1385" s="885"/>
      <c r="DU1385" s="885"/>
      <c r="DV1385" s="885"/>
      <c r="DW1385" s="885"/>
      <c r="DX1385" s="885"/>
      <c r="DY1385" s="885"/>
      <c r="DZ1385" s="885"/>
      <c r="EA1385" s="885"/>
      <c r="EB1385" s="885"/>
      <c r="EC1385" s="885"/>
      <c r="ED1385" s="885"/>
      <c r="EE1385" s="885"/>
      <c r="EF1385" s="885"/>
      <c r="EG1385" s="885"/>
      <c r="EH1385" s="885"/>
      <c r="EI1385" s="885"/>
      <c r="EJ1385" s="885"/>
      <c r="EK1385" s="885"/>
      <c r="EL1385" s="885"/>
      <c r="EM1385" s="885"/>
      <c r="EN1385" s="885"/>
      <c r="EO1385" s="885"/>
      <c r="EP1385" s="885"/>
      <c r="EQ1385" s="885"/>
      <c r="ER1385" s="885"/>
      <c r="ES1385" s="885"/>
      <c r="ET1385" s="885"/>
      <c r="EU1385" s="885"/>
      <c r="EV1385" s="885"/>
      <c r="EW1385" s="885"/>
      <c r="EX1385" s="885"/>
      <c r="EY1385" s="885"/>
      <c r="EZ1385" s="885"/>
      <c r="FA1385" s="885"/>
      <c r="FB1385" s="885"/>
      <c r="FC1385" s="885"/>
      <c r="FD1385" s="885"/>
      <c r="FE1385" s="885"/>
      <c r="FF1385" s="885"/>
      <c r="FG1385" s="885"/>
      <c r="FH1385" s="885"/>
      <c r="FI1385" s="885"/>
      <c r="FJ1385" s="885"/>
      <c r="FK1385" s="885"/>
      <c r="FL1385" s="885"/>
      <c r="FM1385" s="885"/>
      <c r="FN1385" s="885"/>
      <c r="FO1385" s="885"/>
      <c r="FP1385" s="885"/>
      <c r="FQ1385" s="885"/>
      <c r="FR1385" s="885"/>
      <c r="FS1385" s="885"/>
      <c r="FT1385" s="885"/>
      <c r="FU1385" s="885"/>
      <c r="FV1385" s="885"/>
      <c r="FW1385" s="885"/>
      <c r="FX1385" s="885"/>
      <c r="FY1385" s="885"/>
      <c r="FZ1385" s="885"/>
      <c r="GA1385" s="885"/>
      <c r="GB1385" s="885"/>
      <c r="GC1385" s="885"/>
      <c r="GD1385" s="885"/>
      <c r="GE1385" s="885"/>
      <c r="GF1385" s="885"/>
      <c r="GG1385" s="885"/>
      <c r="GH1385" s="885"/>
      <c r="GI1385" s="885"/>
      <c r="GJ1385" s="885"/>
      <c r="GK1385" s="885"/>
      <c r="GL1385" s="885"/>
      <c r="GM1385" s="885"/>
      <c r="GN1385" s="885"/>
      <c r="GO1385" s="885"/>
      <c r="GP1385" s="885"/>
      <c r="GQ1385" s="885"/>
      <c r="GR1385" s="885"/>
      <c r="GS1385" s="885"/>
      <c r="GT1385" s="885"/>
      <c r="GU1385" s="885"/>
      <c r="GV1385" s="885"/>
      <c r="GW1385" s="885"/>
      <c r="GX1385" s="885"/>
      <c r="GY1385" s="885"/>
      <c r="GZ1385" s="885"/>
      <c r="HA1385" s="885"/>
      <c r="HB1385" s="885"/>
      <c r="HC1385" s="885"/>
      <c r="HD1385" s="885"/>
      <c r="HE1385" s="885"/>
      <c r="HF1385" s="885"/>
      <c r="HG1385" s="885"/>
      <c r="HH1385" s="885"/>
      <c r="HI1385" s="885"/>
      <c r="HJ1385" s="885"/>
      <c r="HK1385" s="885"/>
      <c r="HL1385" s="885"/>
      <c r="HM1385" s="885"/>
      <c r="HN1385" s="885"/>
      <c r="HO1385" s="885"/>
      <c r="HP1385" s="885"/>
      <c r="HQ1385" s="885"/>
      <c r="HR1385" s="885"/>
      <c r="HS1385" s="885"/>
      <c r="HT1385" s="885"/>
      <c r="HU1385" s="885"/>
      <c r="HV1385" s="885"/>
      <c r="HW1385" s="885"/>
      <c r="HX1385" s="885"/>
      <c r="HY1385" s="885"/>
      <c r="HZ1385" s="885"/>
      <c r="IA1385" s="885"/>
      <c r="IB1385" s="885"/>
      <c r="IC1385" s="885"/>
      <c r="ID1385" s="885"/>
      <c r="IE1385" s="885"/>
      <c r="IF1385" s="885"/>
      <c r="IG1385" s="885"/>
      <c r="IH1385" s="885"/>
      <c r="II1385" s="885"/>
      <c r="IJ1385" s="885"/>
      <c r="IK1385" s="885"/>
      <c r="IL1385" s="885"/>
      <c r="IM1385" s="885"/>
      <c r="IN1385" s="885"/>
      <c r="IO1385" s="885"/>
      <c r="IP1385" s="885"/>
      <c r="IQ1385" s="885"/>
      <c r="IR1385" s="885"/>
      <c r="IS1385" s="885"/>
      <c r="IT1385" s="885"/>
      <c r="IU1385" s="885"/>
      <c r="IV1385" s="885"/>
      <c r="IW1385" s="885"/>
      <c r="IX1385" s="885"/>
    </row>
    <row r="1386" spans="1:258" x14ac:dyDescent="0.25">
      <c r="A1386" s="125">
        <f t="shared" si="161"/>
        <v>1346</v>
      </c>
      <c r="B1386" s="885"/>
      <c r="C1386" s="842" t="s">
        <v>10902</v>
      </c>
      <c r="D1386" s="924">
        <v>0</v>
      </c>
      <c r="E1386" s="924">
        <f t="shared" si="163"/>
        <v>0</v>
      </c>
      <c r="F1386" s="129">
        <v>5000</v>
      </c>
      <c r="G1386" s="122" t="s">
        <v>1963</v>
      </c>
      <c r="H1386" s="885"/>
      <c r="I1386" s="885"/>
      <c r="J1386" s="885"/>
      <c r="K1386" s="885"/>
      <c r="L1386" s="885"/>
      <c r="M1386" s="885"/>
      <c r="N1386" s="885"/>
      <c r="O1386" s="885"/>
      <c r="P1386" s="885"/>
      <c r="Q1386" s="885"/>
      <c r="R1386" s="885"/>
      <c r="S1386" s="885"/>
      <c r="T1386" s="885"/>
      <c r="U1386" s="885"/>
      <c r="V1386" s="885"/>
      <c r="W1386" s="885"/>
      <c r="X1386" s="885"/>
      <c r="Y1386" s="885"/>
      <c r="Z1386" s="885"/>
      <c r="AA1386" s="885"/>
      <c r="AB1386" s="885"/>
      <c r="AC1386" s="885"/>
      <c r="AD1386" s="885"/>
      <c r="AE1386" s="885"/>
      <c r="AF1386" s="885"/>
      <c r="AG1386" s="885"/>
      <c r="AH1386" s="885"/>
      <c r="AI1386" s="885"/>
      <c r="AJ1386" s="885"/>
      <c r="AK1386" s="885"/>
      <c r="AL1386" s="885"/>
      <c r="AM1386" s="885"/>
      <c r="AN1386" s="885"/>
      <c r="AO1386" s="885"/>
      <c r="AP1386" s="885"/>
      <c r="AQ1386" s="885"/>
      <c r="AR1386" s="885"/>
      <c r="AS1386" s="885"/>
      <c r="AT1386" s="885"/>
      <c r="AU1386" s="885"/>
      <c r="AV1386" s="885"/>
      <c r="AW1386" s="885"/>
      <c r="AX1386" s="885"/>
      <c r="AY1386" s="885"/>
      <c r="AZ1386" s="885"/>
      <c r="BA1386" s="885"/>
      <c r="BB1386" s="885"/>
      <c r="BC1386" s="885"/>
      <c r="BD1386" s="885"/>
      <c r="BE1386" s="885"/>
      <c r="BF1386" s="885"/>
      <c r="BG1386" s="885"/>
      <c r="BH1386" s="885"/>
      <c r="BI1386" s="885"/>
      <c r="BJ1386" s="885"/>
      <c r="BK1386" s="885"/>
      <c r="BL1386" s="885"/>
      <c r="BM1386" s="885"/>
      <c r="BN1386" s="885"/>
      <c r="BO1386" s="885"/>
      <c r="BP1386" s="885"/>
      <c r="BQ1386" s="885"/>
      <c r="BR1386" s="885"/>
      <c r="BS1386" s="885"/>
      <c r="BT1386" s="885"/>
      <c r="BU1386" s="885"/>
      <c r="BV1386" s="885"/>
      <c r="BW1386" s="885"/>
      <c r="BX1386" s="885"/>
      <c r="BY1386" s="885"/>
      <c r="BZ1386" s="885"/>
      <c r="CA1386" s="885"/>
      <c r="CB1386" s="885"/>
      <c r="CC1386" s="885"/>
      <c r="CD1386" s="885"/>
      <c r="CE1386" s="885"/>
      <c r="CF1386" s="885"/>
      <c r="CG1386" s="885"/>
      <c r="CH1386" s="885"/>
      <c r="CI1386" s="885"/>
      <c r="CJ1386" s="885"/>
      <c r="CK1386" s="885"/>
      <c r="CL1386" s="885"/>
      <c r="CM1386" s="885"/>
      <c r="CN1386" s="885"/>
      <c r="CO1386" s="885"/>
      <c r="CP1386" s="885"/>
      <c r="CQ1386" s="885"/>
      <c r="CR1386" s="885"/>
      <c r="CS1386" s="885"/>
      <c r="CT1386" s="885"/>
      <c r="CU1386" s="885"/>
      <c r="CV1386" s="885"/>
      <c r="CW1386" s="885"/>
      <c r="CX1386" s="885"/>
      <c r="CY1386" s="885"/>
      <c r="CZ1386" s="885"/>
      <c r="DA1386" s="885"/>
      <c r="DB1386" s="885"/>
      <c r="DC1386" s="885"/>
      <c r="DD1386" s="885"/>
      <c r="DE1386" s="885"/>
      <c r="DF1386" s="885"/>
      <c r="DG1386" s="885"/>
      <c r="DH1386" s="885"/>
      <c r="DI1386" s="885"/>
      <c r="DJ1386" s="885"/>
      <c r="DK1386" s="885"/>
      <c r="DL1386" s="885"/>
      <c r="DM1386" s="885"/>
      <c r="DN1386" s="885"/>
      <c r="DO1386" s="885"/>
      <c r="DP1386" s="885"/>
      <c r="DQ1386" s="885"/>
      <c r="DR1386" s="885"/>
      <c r="DS1386" s="885"/>
      <c r="DT1386" s="885"/>
      <c r="DU1386" s="885"/>
      <c r="DV1386" s="885"/>
      <c r="DW1386" s="885"/>
      <c r="DX1386" s="885"/>
      <c r="DY1386" s="885"/>
      <c r="DZ1386" s="885"/>
      <c r="EA1386" s="885"/>
      <c r="EB1386" s="885"/>
      <c r="EC1386" s="885"/>
      <c r="ED1386" s="885"/>
      <c r="EE1386" s="885"/>
      <c r="EF1386" s="885"/>
      <c r="EG1386" s="885"/>
      <c r="EH1386" s="885"/>
      <c r="EI1386" s="885"/>
      <c r="EJ1386" s="885"/>
      <c r="EK1386" s="885"/>
      <c r="EL1386" s="885"/>
      <c r="EM1386" s="885"/>
      <c r="EN1386" s="885"/>
      <c r="EO1386" s="885"/>
      <c r="EP1386" s="885"/>
      <c r="EQ1386" s="885"/>
      <c r="ER1386" s="885"/>
      <c r="ES1386" s="885"/>
      <c r="ET1386" s="885"/>
      <c r="EU1386" s="885"/>
      <c r="EV1386" s="885"/>
      <c r="EW1386" s="885"/>
      <c r="EX1386" s="885"/>
      <c r="EY1386" s="885"/>
      <c r="EZ1386" s="885"/>
      <c r="FA1386" s="885"/>
      <c r="FB1386" s="885"/>
      <c r="FC1386" s="885"/>
      <c r="FD1386" s="885"/>
      <c r="FE1386" s="885"/>
      <c r="FF1386" s="885"/>
      <c r="FG1386" s="885"/>
      <c r="FH1386" s="885"/>
      <c r="FI1386" s="885"/>
      <c r="FJ1386" s="885"/>
      <c r="FK1386" s="885"/>
      <c r="FL1386" s="885"/>
      <c r="FM1386" s="885"/>
      <c r="FN1386" s="885"/>
      <c r="FO1386" s="885"/>
      <c r="FP1386" s="885"/>
      <c r="FQ1386" s="885"/>
      <c r="FR1386" s="885"/>
      <c r="FS1386" s="885"/>
      <c r="FT1386" s="885"/>
      <c r="FU1386" s="885"/>
      <c r="FV1386" s="885"/>
      <c r="FW1386" s="885"/>
      <c r="FX1386" s="885"/>
      <c r="FY1386" s="885"/>
      <c r="FZ1386" s="885"/>
      <c r="GA1386" s="885"/>
      <c r="GB1386" s="885"/>
      <c r="GC1386" s="885"/>
      <c r="GD1386" s="885"/>
      <c r="GE1386" s="885"/>
      <c r="GF1386" s="885"/>
      <c r="GG1386" s="885"/>
      <c r="GH1386" s="885"/>
      <c r="GI1386" s="885"/>
      <c r="GJ1386" s="885"/>
      <c r="GK1386" s="885"/>
      <c r="GL1386" s="885"/>
      <c r="GM1386" s="885"/>
      <c r="GN1386" s="885"/>
      <c r="GO1386" s="885"/>
      <c r="GP1386" s="885"/>
      <c r="GQ1386" s="885"/>
      <c r="GR1386" s="885"/>
      <c r="GS1386" s="885"/>
      <c r="GT1386" s="885"/>
      <c r="GU1386" s="885"/>
      <c r="GV1386" s="885"/>
      <c r="GW1386" s="885"/>
      <c r="GX1386" s="885"/>
      <c r="GY1386" s="885"/>
      <c r="GZ1386" s="885"/>
      <c r="HA1386" s="885"/>
      <c r="HB1386" s="885"/>
      <c r="HC1386" s="885"/>
      <c r="HD1386" s="885"/>
      <c r="HE1386" s="885"/>
      <c r="HF1386" s="885"/>
      <c r="HG1386" s="885"/>
      <c r="HH1386" s="885"/>
      <c r="HI1386" s="885"/>
      <c r="HJ1386" s="885"/>
      <c r="HK1386" s="885"/>
      <c r="HL1386" s="885"/>
      <c r="HM1386" s="885"/>
      <c r="HN1386" s="885"/>
      <c r="HO1386" s="885"/>
      <c r="HP1386" s="885"/>
      <c r="HQ1386" s="885"/>
      <c r="HR1386" s="885"/>
      <c r="HS1386" s="885"/>
      <c r="HT1386" s="885"/>
      <c r="HU1386" s="885"/>
      <c r="HV1386" s="885"/>
      <c r="HW1386" s="885"/>
      <c r="HX1386" s="885"/>
      <c r="HY1386" s="885"/>
      <c r="HZ1386" s="885"/>
      <c r="IA1386" s="885"/>
      <c r="IB1386" s="885"/>
      <c r="IC1386" s="885"/>
      <c r="ID1386" s="885"/>
      <c r="IE1386" s="885"/>
      <c r="IF1386" s="885"/>
      <c r="IG1386" s="885"/>
      <c r="IH1386" s="885"/>
      <c r="II1386" s="885"/>
      <c r="IJ1386" s="885"/>
      <c r="IK1386" s="885"/>
      <c r="IL1386" s="885"/>
      <c r="IM1386" s="885"/>
      <c r="IN1386" s="885"/>
      <c r="IO1386" s="885"/>
      <c r="IP1386" s="885"/>
      <c r="IQ1386" s="885"/>
      <c r="IR1386" s="885"/>
      <c r="IS1386" s="885"/>
      <c r="IT1386" s="885"/>
      <c r="IU1386" s="885"/>
      <c r="IV1386" s="885"/>
      <c r="IW1386" s="885"/>
      <c r="IX1386" s="885"/>
    </row>
    <row r="1387" spans="1:258" x14ac:dyDescent="0.25">
      <c r="A1387" s="125">
        <f t="shared" si="161"/>
        <v>1347</v>
      </c>
      <c r="B1387" s="885"/>
      <c r="C1387" s="233" t="s">
        <v>10903</v>
      </c>
      <c r="D1387" s="921"/>
      <c r="E1387" s="921"/>
      <c r="F1387" s="129"/>
      <c r="G1387" s="885"/>
      <c r="H1387" s="885"/>
      <c r="I1387" s="885"/>
      <c r="J1387" s="885"/>
      <c r="K1387" s="885"/>
      <c r="L1387" s="885"/>
      <c r="M1387" s="885"/>
      <c r="N1387" s="885"/>
      <c r="O1387" s="885"/>
      <c r="P1387" s="885"/>
      <c r="Q1387" s="885"/>
      <c r="R1387" s="885"/>
      <c r="S1387" s="885"/>
      <c r="T1387" s="885"/>
      <c r="U1387" s="885"/>
      <c r="V1387" s="885"/>
      <c r="W1387" s="885"/>
      <c r="X1387" s="885"/>
      <c r="Y1387" s="885"/>
      <c r="Z1387" s="885"/>
      <c r="AA1387" s="885"/>
      <c r="AB1387" s="885"/>
      <c r="AC1387" s="885"/>
      <c r="AD1387" s="885"/>
      <c r="AE1387" s="885"/>
      <c r="AF1387" s="885"/>
      <c r="AG1387" s="885"/>
      <c r="AH1387" s="885"/>
      <c r="AI1387" s="885"/>
      <c r="AJ1387" s="885"/>
      <c r="AK1387" s="885"/>
      <c r="AL1387" s="885"/>
      <c r="AM1387" s="885"/>
      <c r="AN1387" s="885"/>
      <c r="AO1387" s="885"/>
      <c r="AP1387" s="885"/>
      <c r="AQ1387" s="885"/>
      <c r="AR1387" s="885"/>
      <c r="AS1387" s="885"/>
      <c r="AT1387" s="885"/>
      <c r="AU1387" s="885"/>
      <c r="AV1387" s="885"/>
      <c r="AW1387" s="885"/>
      <c r="AX1387" s="885"/>
      <c r="AY1387" s="885"/>
      <c r="AZ1387" s="885"/>
      <c r="BA1387" s="885"/>
      <c r="BB1387" s="885"/>
      <c r="BC1387" s="885"/>
      <c r="BD1387" s="885"/>
      <c r="BE1387" s="885"/>
      <c r="BF1387" s="885"/>
      <c r="BG1387" s="885"/>
      <c r="BH1387" s="885"/>
      <c r="BI1387" s="885"/>
      <c r="BJ1387" s="885"/>
      <c r="BK1387" s="885"/>
      <c r="BL1387" s="885"/>
      <c r="BM1387" s="885"/>
      <c r="BN1387" s="885"/>
      <c r="BO1387" s="885"/>
      <c r="BP1387" s="885"/>
      <c r="BQ1387" s="885"/>
      <c r="BR1387" s="885"/>
      <c r="BS1387" s="885"/>
      <c r="BT1387" s="885"/>
      <c r="BU1387" s="885"/>
      <c r="BV1387" s="885"/>
      <c r="BW1387" s="885"/>
      <c r="BX1387" s="885"/>
      <c r="BY1387" s="885"/>
      <c r="BZ1387" s="885"/>
      <c r="CA1387" s="885"/>
      <c r="CB1387" s="885"/>
      <c r="CC1387" s="885"/>
      <c r="CD1387" s="885"/>
      <c r="CE1387" s="885"/>
      <c r="CF1387" s="885"/>
      <c r="CG1387" s="885"/>
      <c r="CH1387" s="885"/>
      <c r="CI1387" s="885"/>
      <c r="CJ1387" s="885"/>
      <c r="CK1387" s="885"/>
      <c r="CL1387" s="885"/>
      <c r="CM1387" s="885"/>
      <c r="CN1387" s="885"/>
      <c r="CO1387" s="885"/>
      <c r="CP1387" s="885"/>
      <c r="CQ1387" s="885"/>
      <c r="CR1387" s="885"/>
      <c r="CS1387" s="885"/>
      <c r="CT1387" s="885"/>
      <c r="CU1387" s="885"/>
      <c r="CV1387" s="885"/>
      <c r="CW1387" s="885"/>
      <c r="CX1387" s="885"/>
      <c r="CY1387" s="885"/>
      <c r="CZ1387" s="885"/>
      <c r="DA1387" s="885"/>
      <c r="DB1387" s="885"/>
      <c r="DC1387" s="885"/>
      <c r="DD1387" s="885"/>
      <c r="DE1387" s="885"/>
      <c r="DF1387" s="885"/>
      <c r="DG1387" s="885"/>
      <c r="DH1387" s="885"/>
      <c r="DI1387" s="885"/>
      <c r="DJ1387" s="885"/>
      <c r="DK1387" s="885"/>
      <c r="DL1387" s="885"/>
      <c r="DM1387" s="885"/>
      <c r="DN1387" s="885"/>
      <c r="DO1387" s="885"/>
      <c r="DP1387" s="885"/>
      <c r="DQ1387" s="885"/>
      <c r="DR1387" s="885"/>
      <c r="DS1387" s="885"/>
      <c r="DT1387" s="885"/>
      <c r="DU1387" s="885"/>
      <c r="DV1387" s="885"/>
      <c r="DW1387" s="885"/>
      <c r="DX1387" s="885"/>
      <c r="DY1387" s="885"/>
      <c r="DZ1387" s="885"/>
      <c r="EA1387" s="885"/>
      <c r="EB1387" s="885"/>
      <c r="EC1387" s="885"/>
      <c r="ED1387" s="885"/>
      <c r="EE1387" s="885"/>
      <c r="EF1387" s="885"/>
      <c r="EG1387" s="885"/>
      <c r="EH1387" s="885"/>
      <c r="EI1387" s="885"/>
      <c r="EJ1387" s="885"/>
      <c r="EK1387" s="885"/>
      <c r="EL1387" s="885"/>
      <c r="EM1387" s="885"/>
      <c r="EN1387" s="885"/>
      <c r="EO1387" s="885"/>
      <c r="EP1387" s="885"/>
      <c r="EQ1387" s="885"/>
      <c r="ER1387" s="885"/>
      <c r="ES1387" s="885"/>
      <c r="ET1387" s="885"/>
      <c r="EU1387" s="885"/>
      <c r="EV1387" s="885"/>
      <c r="EW1387" s="885"/>
      <c r="EX1387" s="885"/>
      <c r="EY1387" s="885"/>
      <c r="EZ1387" s="885"/>
      <c r="FA1387" s="885"/>
      <c r="FB1387" s="885"/>
      <c r="FC1387" s="885"/>
      <c r="FD1387" s="885"/>
      <c r="FE1387" s="885"/>
      <c r="FF1387" s="885"/>
      <c r="FG1387" s="885"/>
      <c r="FH1387" s="885"/>
      <c r="FI1387" s="885"/>
      <c r="FJ1387" s="885"/>
      <c r="FK1387" s="885"/>
      <c r="FL1387" s="885"/>
      <c r="FM1387" s="885"/>
      <c r="FN1387" s="885"/>
      <c r="FO1387" s="885"/>
      <c r="FP1387" s="885"/>
      <c r="FQ1387" s="885"/>
      <c r="FR1387" s="885"/>
      <c r="FS1387" s="885"/>
      <c r="FT1387" s="885"/>
      <c r="FU1387" s="885"/>
      <c r="FV1387" s="885"/>
      <c r="FW1387" s="885"/>
      <c r="FX1387" s="885"/>
      <c r="FY1387" s="885"/>
      <c r="FZ1387" s="885"/>
      <c r="GA1387" s="885"/>
      <c r="GB1387" s="885"/>
      <c r="GC1387" s="885"/>
      <c r="GD1387" s="885"/>
      <c r="GE1387" s="885"/>
      <c r="GF1387" s="885"/>
      <c r="GG1387" s="885"/>
      <c r="GH1387" s="885"/>
      <c r="GI1387" s="885"/>
      <c r="GJ1387" s="885"/>
      <c r="GK1387" s="885"/>
      <c r="GL1387" s="885"/>
      <c r="GM1387" s="885"/>
      <c r="GN1387" s="885"/>
      <c r="GO1387" s="885"/>
      <c r="GP1387" s="885"/>
      <c r="GQ1387" s="885"/>
      <c r="GR1387" s="885"/>
      <c r="GS1387" s="885"/>
      <c r="GT1387" s="885"/>
      <c r="GU1387" s="885"/>
      <c r="GV1387" s="885"/>
      <c r="GW1387" s="885"/>
      <c r="GX1387" s="885"/>
      <c r="GY1387" s="885"/>
      <c r="GZ1387" s="885"/>
      <c r="HA1387" s="885"/>
      <c r="HB1387" s="885"/>
      <c r="HC1387" s="885"/>
      <c r="HD1387" s="885"/>
      <c r="HE1387" s="885"/>
      <c r="HF1387" s="885"/>
      <c r="HG1387" s="885"/>
      <c r="HH1387" s="885"/>
      <c r="HI1387" s="885"/>
      <c r="HJ1387" s="885"/>
      <c r="HK1387" s="885"/>
      <c r="HL1387" s="885"/>
      <c r="HM1387" s="885"/>
      <c r="HN1387" s="885"/>
      <c r="HO1387" s="885"/>
      <c r="HP1387" s="885"/>
      <c r="HQ1387" s="885"/>
      <c r="HR1387" s="885"/>
      <c r="HS1387" s="885"/>
      <c r="HT1387" s="885"/>
      <c r="HU1387" s="885"/>
      <c r="HV1387" s="885"/>
      <c r="HW1387" s="885"/>
      <c r="HX1387" s="885"/>
      <c r="HY1387" s="885"/>
      <c r="HZ1387" s="885"/>
      <c r="IA1387" s="885"/>
      <c r="IB1387" s="885"/>
      <c r="IC1387" s="885"/>
      <c r="ID1387" s="885"/>
      <c r="IE1387" s="885"/>
      <c r="IF1387" s="885"/>
      <c r="IG1387" s="885"/>
      <c r="IH1387" s="885"/>
      <c r="II1387" s="885"/>
      <c r="IJ1387" s="885"/>
      <c r="IK1387" s="885"/>
      <c r="IL1387" s="885"/>
      <c r="IM1387" s="885"/>
      <c r="IN1387" s="885"/>
      <c r="IO1387" s="885"/>
      <c r="IP1387" s="885"/>
      <c r="IQ1387" s="885"/>
      <c r="IR1387" s="885"/>
      <c r="IS1387" s="885"/>
      <c r="IT1387" s="885"/>
      <c r="IU1387" s="885"/>
      <c r="IV1387" s="885"/>
      <c r="IW1387" s="885"/>
      <c r="IX1387" s="885"/>
    </row>
    <row r="1388" spans="1:258" x14ac:dyDescent="0.25">
      <c r="A1388" s="125">
        <f t="shared" si="161"/>
        <v>1348</v>
      </c>
      <c r="B1388" s="885"/>
      <c r="C1388" s="931" t="s">
        <v>10904</v>
      </c>
      <c r="D1388" s="924">
        <v>0</v>
      </c>
      <c r="E1388" s="924">
        <f t="shared" ref="E1388:E1392" si="164">D1388/8*12</f>
        <v>0</v>
      </c>
      <c r="F1388" s="129">
        <f>F1390*F$83</f>
        <v>300</v>
      </c>
      <c r="G1388" s="122" t="s">
        <v>1963</v>
      </c>
      <c r="H1388" s="885"/>
      <c r="I1388" s="885"/>
      <c r="J1388" s="885"/>
      <c r="K1388" s="885"/>
      <c r="L1388" s="885"/>
      <c r="M1388" s="885"/>
      <c r="N1388" s="885"/>
      <c r="O1388" s="885"/>
      <c r="P1388" s="885"/>
      <c r="Q1388" s="885"/>
      <c r="R1388" s="885"/>
      <c r="S1388" s="885"/>
      <c r="T1388" s="885"/>
      <c r="U1388" s="885"/>
      <c r="V1388" s="885"/>
      <c r="W1388" s="885"/>
      <c r="X1388" s="885"/>
      <c r="Y1388" s="885"/>
      <c r="Z1388" s="885"/>
      <c r="AA1388" s="885"/>
      <c r="AB1388" s="885"/>
      <c r="AC1388" s="885"/>
      <c r="AD1388" s="885"/>
      <c r="AE1388" s="885"/>
      <c r="AF1388" s="885"/>
      <c r="AG1388" s="885"/>
      <c r="AH1388" s="885"/>
      <c r="AI1388" s="885"/>
      <c r="AJ1388" s="885"/>
      <c r="AK1388" s="885"/>
      <c r="AL1388" s="885"/>
      <c r="AM1388" s="885"/>
      <c r="AN1388" s="885"/>
      <c r="AO1388" s="885"/>
      <c r="AP1388" s="885"/>
      <c r="AQ1388" s="885"/>
      <c r="AR1388" s="885"/>
      <c r="AS1388" s="885"/>
      <c r="AT1388" s="885"/>
      <c r="AU1388" s="885"/>
      <c r="AV1388" s="885"/>
      <c r="AW1388" s="885"/>
      <c r="AX1388" s="885"/>
      <c r="AY1388" s="885"/>
      <c r="AZ1388" s="885"/>
      <c r="BA1388" s="885"/>
      <c r="BB1388" s="885"/>
      <c r="BC1388" s="885"/>
      <c r="BD1388" s="885"/>
      <c r="BE1388" s="885"/>
      <c r="BF1388" s="885"/>
      <c r="BG1388" s="885"/>
      <c r="BH1388" s="885"/>
      <c r="BI1388" s="885"/>
      <c r="BJ1388" s="885"/>
      <c r="BK1388" s="885"/>
      <c r="BL1388" s="885"/>
      <c r="BM1388" s="885"/>
      <c r="BN1388" s="885"/>
      <c r="BO1388" s="885"/>
      <c r="BP1388" s="885"/>
      <c r="BQ1388" s="885"/>
      <c r="BR1388" s="885"/>
      <c r="BS1388" s="885"/>
      <c r="BT1388" s="885"/>
      <c r="BU1388" s="885"/>
      <c r="BV1388" s="885"/>
      <c r="BW1388" s="885"/>
      <c r="BX1388" s="885"/>
      <c r="BY1388" s="885"/>
      <c r="BZ1388" s="885"/>
      <c r="CA1388" s="885"/>
      <c r="CB1388" s="885"/>
      <c r="CC1388" s="885"/>
      <c r="CD1388" s="885"/>
      <c r="CE1388" s="885"/>
      <c r="CF1388" s="885"/>
      <c r="CG1388" s="885"/>
      <c r="CH1388" s="885"/>
      <c r="CI1388" s="885"/>
      <c r="CJ1388" s="885"/>
      <c r="CK1388" s="885"/>
      <c r="CL1388" s="885"/>
      <c r="CM1388" s="885"/>
      <c r="CN1388" s="885"/>
      <c r="CO1388" s="885"/>
      <c r="CP1388" s="885"/>
      <c r="CQ1388" s="885"/>
      <c r="CR1388" s="885"/>
      <c r="CS1388" s="885"/>
      <c r="CT1388" s="885"/>
      <c r="CU1388" s="885"/>
      <c r="CV1388" s="885"/>
      <c r="CW1388" s="885"/>
      <c r="CX1388" s="885"/>
      <c r="CY1388" s="885"/>
      <c r="CZ1388" s="885"/>
      <c r="DA1388" s="885"/>
      <c r="DB1388" s="885"/>
      <c r="DC1388" s="885"/>
      <c r="DD1388" s="885"/>
      <c r="DE1388" s="885"/>
      <c r="DF1388" s="885"/>
      <c r="DG1388" s="885"/>
      <c r="DH1388" s="885"/>
      <c r="DI1388" s="885"/>
      <c r="DJ1388" s="885"/>
      <c r="DK1388" s="885"/>
      <c r="DL1388" s="885"/>
      <c r="DM1388" s="885"/>
      <c r="DN1388" s="885"/>
      <c r="DO1388" s="885"/>
      <c r="DP1388" s="885"/>
      <c r="DQ1388" s="885"/>
      <c r="DR1388" s="885"/>
      <c r="DS1388" s="885"/>
      <c r="DT1388" s="885"/>
      <c r="DU1388" s="885"/>
      <c r="DV1388" s="885"/>
      <c r="DW1388" s="885"/>
      <c r="DX1388" s="885"/>
      <c r="DY1388" s="885"/>
      <c r="DZ1388" s="885"/>
      <c r="EA1388" s="885"/>
      <c r="EB1388" s="885"/>
      <c r="EC1388" s="885"/>
      <c r="ED1388" s="885"/>
      <c r="EE1388" s="885"/>
      <c r="EF1388" s="885"/>
      <c r="EG1388" s="885"/>
      <c r="EH1388" s="885"/>
      <c r="EI1388" s="885"/>
      <c r="EJ1388" s="885"/>
      <c r="EK1388" s="885"/>
      <c r="EL1388" s="885"/>
      <c r="EM1388" s="885"/>
      <c r="EN1388" s="885"/>
      <c r="EO1388" s="885"/>
      <c r="EP1388" s="885"/>
      <c r="EQ1388" s="885"/>
      <c r="ER1388" s="885"/>
      <c r="ES1388" s="885"/>
      <c r="ET1388" s="885"/>
      <c r="EU1388" s="885"/>
      <c r="EV1388" s="885"/>
      <c r="EW1388" s="885"/>
      <c r="EX1388" s="885"/>
      <c r="EY1388" s="885"/>
      <c r="EZ1388" s="885"/>
      <c r="FA1388" s="885"/>
      <c r="FB1388" s="885"/>
      <c r="FC1388" s="885"/>
      <c r="FD1388" s="885"/>
      <c r="FE1388" s="885"/>
      <c r="FF1388" s="885"/>
      <c r="FG1388" s="885"/>
      <c r="FH1388" s="885"/>
      <c r="FI1388" s="885"/>
      <c r="FJ1388" s="885"/>
      <c r="FK1388" s="885"/>
      <c r="FL1388" s="885"/>
      <c r="FM1388" s="885"/>
      <c r="FN1388" s="885"/>
      <c r="FO1388" s="885"/>
      <c r="FP1388" s="885"/>
      <c r="FQ1388" s="885"/>
      <c r="FR1388" s="885"/>
      <c r="FS1388" s="885"/>
      <c r="FT1388" s="885"/>
      <c r="FU1388" s="885"/>
      <c r="FV1388" s="885"/>
      <c r="FW1388" s="885"/>
      <c r="FX1388" s="885"/>
      <c r="FY1388" s="885"/>
      <c r="FZ1388" s="885"/>
      <c r="GA1388" s="885"/>
      <c r="GB1388" s="885"/>
      <c r="GC1388" s="885"/>
      <c r="GD1388" s="885"/>
      <c r="GE1388" s="885"/>
      <c r="GF1388" s="885"/>
      <c r="GG1388" s="885"/>
      <c r="GH1388" s="885"/>
      <c r="GI1388" s="885"/>
      <c r="GJ1388" s="885"/>
      <c r="GK1388" s="885"/>
      <c r="GL1388" s="885"/>
      <c r="GM1388" s="885"/>
      <c r="GN1388" s="885"/>
      <c r="GO1388" s="885"/>
      <c r="GP1388" s="885"/>
      <c r="GQ1388" s="885"/>
      <c r="GR1388" s="885"/>
      <c r="GS1388" s="885"/>
      <c r="GT1388" s="885"/>
      <c r="GU1388" s="885"/>
      <c r="GV1388" s="885"/>
      <c r="GW1388" s="885"/>
      <c r="GX1388" s="885"/>
      <c r="GY1388" s="885"/>
      <c r="GZ1388" s="885"/>
      <c r="HA1388" s="885"/>
      <c r="HB1388" s="885"/>
      <c r="HC1388" s="885"/>
      <c r="HD1388" s="885"/>
      <c r="HE1388" s="885"/>
      <c r="HF1388" s="885"/>
      <c r="HG1388" s="885"/>
      <c r="HH1388" s="885"/>
      <c r="HI1388" s="885"/>
      <c r="HJ1388" s="885"/>
      <c r="HK1388" s="885"/>
      <c r="HL1388" s="885"/>
      <c r="HM1388" s="885"/>
      <c r="HN1388" s="885"/>
      <c r="HO1388" s="885"/>
      <c r="HP1388" s="885"/>
      <c r="HQ1388" s="885"/>
      <c r="HR1388" s="885"/>
      <c r="HS1388" s="885"/>
      <c r="HT1388" s="885"/>
      <c r="HU1388" s="885"/>
      <c r="HV1388" s="885"/>
      <c r="HW1388" s="885"/>
      <c r="HX1388" s="885"/>
      <c r="HY1388" s="885"/>
      <c r="HZ1388" s="885"/>
      <c r="IA1388" s="885"/>
      <c r="IB1388" s="885"/>
      <c r="IC1388" s="885"/>
      <c r="ID1388" s="885"/>
      <c r="IE1388" s="885"/>
      <c r="IF1388" s="885"/>
      <c r="IG1388" s="885"/>
      <c r="IH1388" s="885"/>
      <c r="II1388" s="885"/>
      <c r="IJ1388" s="885"/>
      <c r="IK1388" s="885"/>
      <c r="IL1388" s="885"/>
      <c r="IM1388" s="885"/>
      <c r="IN1388" s="885"/>
      <c r="IO1388" s="885"/>
      <c r="IP1388" s="885"/>
      <c r="IQ1388" s="885"/>
      <c r="IR1388" s="885"/>
      <c r="IS1388" s="885"/>
      <c r="IT1388" s="885"/>
      <c r="IU1388" s="885"/>
      <c r="IV1388" s="885"/>
      <c r="IW1388" s="885"/>
      <c r="IX1388" s="885"/>
    </row>
    <row r="1389" spans="1:258" x14ac:dyDescent="0.25">
      <c r="A1389" s="125">
        <f t="shared" si="161"/>
        <v>1349</v>
      </c>
      <c r="B1389" s="885"/>
      <c r="C1389" s="842" t="s">
        <v>10905</v>
      </c>
      <c r="D1389" s="924">
        <v>0</v>
      </c>
      <c r="E1389" s="924">
        <f t="shared" si="164"/>
        <v>0</v>
      </c>
      <c r="F1389" s="129">
        <v>1500</v>
      </c>
      <c r="G1389" s="122" t="s">
        <v>1963</v>
      </c>
      <c r="H1389" s="885"/>
      <c r="I1389" s="885"/>
      <c r="J1389" s="885"/>
      <c r="K1389" s="885"/>
      <c r="L1389" s="885"/>
      <c r="M1389" s="885"/>
      <c r="N1389" s="885"/>
      <c r="O1389" s="885"/>
      <c r="P1389" s="885"/>
      <c r="Q1389" s="885"/>
      <c r="R1389" s="885"/>
      <c r="S1389" s="885"/>
      <c r="T1389" s="885"/>
      <c r="U1389" s="885"/>
      <c r="V1389" s="885"/>
      <c r="W1389" s="885"/>
      <c r="X1389" s="885"/>
      <c r="Y1389" s="885"/>
      <c r="Z1389" s="885"/>
      <c r="AA1389" s="885"/>
      <c r="AB1389" s="885"/>
      <c r="AC1389" s="885"/>
      <c r="AD1389" s="885"/>
      <c r="AE1389" s="885"/>
      <c r="AF1389" s="885"/>
      <c r="AG1389" s="885"/>
      <c r="AH1389" s="885"/>
      <c r="AI1389" s="885"/>
      <c r="AJ1389" s="885"/>
      <c r="AK1389" s="885"/>
      <c r="AL1389" s="885"/>
      <c r="AM1389" s="885"/>
      <c r="AN1389" s="885"/>
      <c r="AO1389" s="885"/>
      <c r="AP1389" s="885"/>
      <c r="AQ1389" s="885"/>
      <c r="AR1389" s="885"/>
      <c r="AS1389" s="885"/>
      <c r="AT1389" s="885"/>
      <c r="AU1389" s="885"/>
      <c r="AV1389" s="885"/>
      <c r="AW1389" s="885"/>
      <c r="AX1389" s="885"/>
      <c r="AY1389" s="885"/>
      <c r="AZ1389" s="885"/>
      <c r="BA1389" s="885"/>
      <c r="BB1389" s="885"/>
      <c r="BC1389" s="885"/>
      <c r="BD1389" s="885"/>
      <c r="BE1389" s="885"/>
      <c r="BF1389" s="885"/>
      <c r="BG1389" s="885"/>
      <c r="BH1389" s="885"/>
      <c r="BI1389" s="885"/>
      <c r="BJ1389" s="885"/>
      <c r="BK1389" s="885"/>
      <c r="BL1389" s="885"/>
      <c r="BM1389" s="885"/>
      <c r="BN1389" s="885"/>
      <c r="BO1389" s="885"/>
      <c r="BP1389" s="885"/>
      <c r="BQ1389" s="885"/>
      <c r="BR1389" s="885"/>
      <c r="BS1389" s="885"/>
      <c r="BT1389" s="885"/>
      <c r="BU1389" s="885"/>
      <c r="BV1389" s="885"/>
      <c r="BW1389" s="885"/>
      <c r="BX1389" s="885"/>
      <c r="BY1389" s="885"/>
      <c r="BZ1389" s="885"/>
      <c r="CA1389" s="885"/>
      <c r="CB1389" s="885"/>
      <c r="CC1389" s="885"/>
      <c r="CD1389" s="885"/>
      <c r="CE1389" s="885"/>
      <c r="CF1389" s="885"/>
      <c r="CG1389" s="885"/>
      <c r="CH1389" s="885"/>
      <c r="CI1389" s="885"/>
      <c r="CJ1389" s="885"/>
      <c r="CK1389" s="885"/>
      <c r="CL1389" s="885"/>
      <c r="CM1389" s="885"/>
      <c r="CN1389" s="885"/>
      <c r="CO1389" s="885"/>
      <c r="CP1389" s="885"/>
      <c r="CQ1389" s="885"/>
      <c r="CR1389" s="885"/>
      <c r="CS1389" s="885"/>
      <c r="CT1389" s="885"/>
      <c r="CU1389" s="885"/>
      <c r="CV1389" s="885"/>
      <c r="CW1389" s="885"/>
      <c r="CX1389" s="885"/>
      <c r="CY1389" s="885"/>
      <c r="CZ1389" s="885"/>
      <c r="DA1389" s="885"/>
      <c r="DB1389" s="885"/>
      <c r="DC1389" s="885"/>
      <c r="DD1389" s="885"/>
      <c r="DE1389" s="885"/>
      <c r="DF1389" s="885"/>
      <c r="DG1389" s="885"/>
      <c r="DH1389" s="885"/>
      <c r="DI1389" s="885"/>
      <c r="DJ1389" s="885"/>
      <c r="DK1389" s="885"/>
      <c r="DL1389" s="885"/>
      <c r="DM1389" s="885"/>
      <c r="DN1389" s="885"/>
      <c r="DO1389" s="885"/>
      <c r="DP1389" s="885"/>
      <c r="DQ1389" s="885"/>
      <c r="DR1389" s="885"/>
      <c r="DS1389" s="885"/>
      <c r="DT1389" s="885"/>
      <c r="DU1389" s="885"/>
      <c r="DV1389" s="885"/>
      <c r="DW1389" s="885"/>
      <c r="DX1389" s="885"/>
      <c r="DY1389" s="885"/>
      <c r="DZ1389" s="885"/>
      <c r="EA1389" s="885"/>
      <c r="EB1389" s="885"/>
      <c r="EC1389" s="885"/>
      <c r="ED1389" s="885"/>
      <c r="EE1389" s="885"/>
      <c r="EF1389" s="885"/>
      <c r="EG1389" s="885"/>
      <c r="EH1389" s="885"/>
      <c r="EI1389" s="885"/>
      <c r="EJ1389" s="885"/>
      <c r="EK1389" s="885"/>
      <c r="EL1389" s="885"/>
      <c r="EM1389" s="885"/>
      <c r="EN1389" s="885"/>
      <c r="EO1389" s="885"/>
      <c r="EP1389" s="885"/>
      <c r="EQ1389" s="885"/>
      <c r="ER1389" s="885"/>
      <c r="ES1389" s="885"/>
      <c r="ET1389" s="885"/>
      <c r="EU1389" s="885"/>
      <c r="EV1389" s="885"/>
      <c r="EW1389" s="885"/>
      <c r="EX1389" s="885"/>
      <c r="EY1389" s="885"/>
      <c r="EZ1389" s="885"/>
      <c r="FA1389" s="885"/>
      <c r="FB1389" s="885"/>
      <c r="FC1389" s="885"/>
      <c r="FD1389" s="885"/>
      <c r="FE1389" s="885"/>
      <c r="FF1389" s="885"/>
      <c r="FG1389" s="885"/>
      <c r="FH1389" s="885"/>
      <c r="FI1389" s="885"/>
      <c r="FJ1389" s="885"/>
      <c r="FK1389" s="885"/>
      <c r="FL1389" s="885"/>
      <c r="FM1389" s="885"/>
      <c r="FN1389" s="885"/>
      <c r="FO1389" s="885"/>
      <c r="FP1389" s="885"/>
      <c r="FQ1389" s="885"/>
      <c r="FR1389" s="885"/>
      <c r="FS1389" s="885"/>
      <c r="FT1389" s="885"/>
      <c r="FU1389" s="885"/>
      <c r="FV1389" s="885"/>
      <c r="FW1389" s="885"/>
      <c r="FX1389" s="885"/>
      <c r="FY1389" s="885"/>
      <c r="FZ1389" s="885"/>
      <c r="GA1389" s="885"/>
      <c r="GB1389" s="885"/>
      <c r="GC1389" s="885"/>
      <c r="GD1389" s="885"/>
      <c r="GE1389" s="885"/>
      <c r="GF1389" s="885"/>
      <c r="GG1389" s="885"/>
      <c r="GH1389" s="885"/>
      <c r="GI1389" s="885"/>
      <c r="GJ1389" s="885"/>
      <c r="GK1389" s="885"/>
      <c r="GL1389" s="885"/>
      <c r="GM1389" s="885"/>
      <c r="GN1389" s="885"/>
      <c r="GO1389" s="885"/>
      <c r="GP1389" s="885"/>
      <c r="GQ1389" s="885"/>
      <c r="GR1389" s="885"/>
      <c r="GS1389" s="885"/>
      <c r="GT1389" s="885"/>
      <c r="GU1389" s="885"/>
      <c r="GV1389" s="885"/>
      <c r="GW1389" s="885"/>
      <c r="GX1389" s="885"/>
      <c r="GY1389" s="885"/>
      <c r="GZ1389" s="885"/>
      <c r="HA1389" s="885"/>
      <c r="HB1389" s="885"/>
      <c r="HC1389" s="885"/>
      <c r="HD1389" s="885"/>
      <c r="HE1389" s="885"/>
      <c r="HF1389" s="885"/>
      <c r="HG1389" s="885"/>
      <c r="HH1389" s="885"/>
      <c r="HI1389" s="885"/>
      <c r="HJ1389" s="885"/>
      <c r="HK1389" s="885"/>
      <c r="HL1389" s="885"/>
      <c r="HM1389" s="885"/>
      <c r="HN1389" s="885"/>
      <c r="HO1389" s="885"/>
      <c r="HP1389" s="885"/>
      <c r="HQ1389" s="885"/>
      <c r="HR1389" s="885"/>
      <c r="HS1389" s="885"/>
      <c r="HT1389" s="885"/>
      <c r="HU1389" s="885"/>
      <c r="HV1389" s="885"/>
      <c r="HW1389" s="885"/>
      <c r="HX1389" s="885"/>
      <c r="HY1389" s="885"/>
      <c r="HZ1389" s="885"/>
      <c r="IA1389" s="885"/>
      <c r="IB1389" s="885"/>
      <c r="IC1389" s="885"/>
      <c r="ID1389" s="885"/>
      <c r="IE1389" s="885"/>
      <c r="IF1389" s="885"/>
      <c r="IG1389" s="885"/>
      <c r="IH1389" s="885"/>
      <c r="II1389" s="885"/>
      <c r="IJ1389" s="885"/>
      <c r="IK1389" s="885"/>
      <c r="IL1389" s="885"/>
      <c r="IM1389" s="885"/>
      <c r="IN1389" s="885"/>
      <c r="IO1389" s="885"/>
      <c r="IP1389" s="885"/>
      <c r="IQ1389" s="885"/>
      <c r="IR1389" s="885"/>
      <c r="IS1389" s="885"/>
      <c r="IT1389" s="885"/>
      <c r="IU1389" s="885"/>
      <c r="IV1389" s="885"/>
      <c r="IW1389" s="885"/>
      <c r="IX1389" s="885"/>
    </row>
    <row r="1390" spans="1:258" x14ac:dyDescent="0.25">
      <c r="A1390" s="125">
        <f t="shared" si="161"/>
        <v>1350</v>
      </c>
      <c r="B1390" s="885"/>
      <c r="C1390" s="842" t="s">
        <v>10906</v>
      </c>
      <c r="D1390" s="924">
        <v>0</v>
      </c>
      <c r="E1390" s="924">
        <f t="shared" si="164"/>
        <v>0</v>
      </c>
      <c r="F1390" s="129">
        <v>1500</v>
      </c>
      <c r="G1390" s="122" t="s">
        <v>1963</v>
      </c>
      <c r="H1390" s="885"/>
      <c r="I1390" s="885"/>
      <c r="J1390" s="885"/>
      <c r="K1390" s="885"/>
      <c r="L1390" s="885"/>
      <c r="M1390" s="885"/>
      <c r="N1390" s="885"/>
      <c r="O1390" s="885"/>
      <c r="P1390" s="885"/>
      <c r="Q1390" s="885"/>
      <c r="R1390" s="885"/>
      <c r="S1390" s="885"/>
      <c r="T1390" s="885"/>
      <c r="U1390" s="885"/>
      <c r="V1390" s="885"/>
      <c r="W1390" s="885"/>
      <c r="X1390" s="885"/>
      <c r="Y1390" s="885"/>
      <c r="Z1390" s="885"/>
      <c r="AA1390" s="885"/>
      <c r="AB1390" s="885"/>
      <c r="AC1390" s="885"/>
      <c r="AD1390" s="885"/>
      <c r="AE1390" s="885"/>
      <c r="AF1390" s="885"/>
      <c r="AG1390" s="885"/>
      <c r="AH1390" s="885"/>
      <c r="AI1390" s="885"/>
      <c r="AJ1390" s="885"/>
      <c r="AK1390" s="885"/>
      <c r="AL1390" s="885"/>
      <c r="AM1390" s="885"/>
      <c r="AN1390" s="885"/>
      <c r="AO1390" s="885"/>
      <c r="AP1390" s="885"/>
      <c r="AQ1390" s="885"/>
      <c r="AR1390" s="885"/>
      <c r="AS1390" s="885"/>
      <c r="AT1390" s="885"/>
      <c r="AU1390" s="885"/>
      <c r="AV1390" s="885"/>
      <c r="AW1390" s="885"/>
      <c r="AX1390" s="885"/>
      <c r="AY1390" s="885"/>
      <c r="AZ1390" s="885"/>
      <c r="BA1390" s="885"/>
      <c r="BB1390" s="885"/>
      <c r="BC1390" s="885"/>
      <c r="BD1390" s="885"/>
      <c r="BE1390" s="885"/>
      <c r="BF1390" s="885"/>
      <c r="BG1390" s="885"/>
      <c r="BH1390" s="885"/>
      <c r="BI1390" s="885"/>
      <c r="BJ1390" s="885"/>
      <c r="BK1390" s="885"/>
      <c r="BL1390" s="885"/>
      <c r="BM1390" s="885"/>
      <c r="BN1390" s="885"/>
      <c r="BO1390" s="885"/>
      <c r="BP1390" s="885"/>
      <c r="BQ1390" s="885"/>
      <c r="BR1390" s="885"/>
      <c r="BS1390" s="885"/>
      <c r="BT1390" s="885"/>
      <c r="BU1390" s="885"/>
      <c r="BV1390" s="885"/>
      <c r="BW1390" s="885"/>
      <c r="BX1390" s="885"/>
      <c r="BY1390" s="885"/>
      <c r="BZ1390" s="885"/>
      <c r="CA1390" s="885"/>
      <c r="CB1390" s="885"/>
      <c r="CC1390" s="885"/>
      <c r="CD1390" s="885"/>
      <c r="CE1390" s="885"/>
      <c r="CF1390" s="885"/>
      <c r="CG1390" s="885"/>
      <c r="CH1390" s="885"/>
      <c r="CI1390" s="885"/>
      <c r="CJ1390" s="885"/>
      <c r="CK1390" s="885"/>
      <c r="CL1390" s="885"/>
      <c r="CM1390" s="885"/>
      <c r="CN1390" s="885"/>
      <c r="CO1390" s="885"/>
      <c r="CP1390" s="885"/>
      <c r="CQ1390" s="885"/>
      <c r="CR1390" s="885"/>
      <c r="CS1390" s="885"/>
      <c r="CT1390" s="885"/>
      <c r="CU1390" s="885"/>
      <c r="CV1390" s="885"/>
      <c r="CW1390" s="885"/>
      <c r="CX1390" s="885"/>
      <c r="CY1390" s="885"/>
      <c r="CZ1390" s="885"/>
      <c r="DA1390" s="885"/>
      <c r="DB1390" s="885"/>
      <c r="DC1390" s="885"/>
      <c r="DD1390" s="885"/>
      <c r="DE1390" s="885"/>
      <c r="DF1390" s="885"/>
      <c r="DG1390" s="885"/>
      <c r="DH1390" s="885"/>
      <c r="DI1390" s="885"/>
      <c r="DJ1390" s="885"/>
      <c r="DK1390" s="885"/>
      <c r="DL1390" s="885"/>
      <c r="DM1390" s="885"/>
      <c r="DN1390" s="885"/>
      <c r="DO1390" s="885"/>
      <c r="DP1390" s="885"/>
      <c r="DQ1390" s="885"/>
      <c r="DR1390" s="885"/>
      <c r="DS1390" s="885"/>
      <c r="DT1390" s="885"/>
      <c r="DU1390" s="885"/>
      <c r="DV1390" s="885"/>
      <c r="DW1390" s="885"/>
      <c r="DX1390" s="885"/>
      <c r="DY1390" s="885"/>
      <c r="DZ1390" s="885"/>
      <c r="EA1390" s="885"/>
      <c r="EB1390" s="885"/>
      <c r="EC1390" s="885"/>
      <c r="ED1390" s="885"/>
      <c r="EE1390" s="885"/>
      <c r="EF1390" s="885"/>
      <c r="EG1390" s="885"/>
      <c r="EH1390" s="885"/>
      <c r="EI1390" s="885"/>
      <c r="EJ1390" s="885"/>
      <c r="EK1390" s="885"/>
      <c r="EL1390" s="885"/>
      <c r="EM1390" s="885"/>
      <c r="EN1390" s="885"/>
      <c r="EO1390" s="885"/>
      <c r="EP1390" s="885"/>
      <c r="EQ1390" s="885"/>
      <c r="ER1390" s="885"/>
      <c r="ES1390" s="885"/>
      <c r="ET1390" s="885"/>
      <c r="EU1390" s="885"/>
      <c r="EV1390" s="885"/>
      <c r="EW1390" s="885"/>
      <c r="EX1390" s="885"/>
      <c r="EY1390" s="885"/>
      <c r="EZ1390" s="885"/>
      <c r="FA1390" s="885"/>
      <c r="FB1390" s="885"/>
      <c r="FC1390" s="885"/>
      <c r="FD1390" s="885"/>
      <c r="FE1390" s="885"/>
      <c r="FF1390" s="885"/>
      <c r="FG1390" s="885"/>
      <c r="FH1390" s="885"/>
      <c r="FI1390" s="885"/>
      <c r="FJ1390" s="885"/>
      <c r="FK1390" s="885"/>
      <c r="FL1390" s="885"/>
      <c r="FM1390" s="885"/>
      <c r="FN1390" s="885"/>
      <c r="FO1390" s="885"/>
      <c r="FP1390" s="885"/>
      <c r="FQ1390" s="885"/>
      <c r="FR1390" s="885"/>
      <c r="FS1390" s="885"/>
      <c r="FT1390" s="885"/>
      <c r="FU1390" s="885"/>
      <c r="FV1390" s="885"/>
      <c r="FW1390" s="885"/>
      <c r="FX1390" s="885"/>
      <c r="FY1390" s="885"/>
      <c r="FZ1390" s="885"/>
      <c r="GA1390" s="885"/>
      <c r="GB1390" s="885"/>
      <c r="GC1390" s="885"/>
      <c r="GD1390" s="885"/>
      <c r="GE1390" s="885"/>
      <c r="GF1390" s="885"/>
      <c r="GG1390" s="885"/>
      <c r="GH1390" s="885"/>
      <c r="GI1390" s="885"/>
      <c r="GJ1390" s="885"/>
      <c r="GK1390" s="885"/>
      <c r="GL1390" s="885"/>
      <c r="GM1390" s="885"/>
      <c r="GN1390" s="885"/>
      <c r="GO1390" s="885"/>
      <c r="GP1390" s="885"/>
      <c r="GQ1390" s="885"/>
      <c r="GR1390" s="885"/>
      <c r="GS1390" s="885"/>
      <c r="GT1390" s="885"/>
      <c r="GU1390" s="885"/>
      <c r="GV1390" s="885"/>
      <c r="GW1390" s="885"/>
      <c r="GX1390" s="885"/>
      <c r="GY1390" s="885"/>
      <c r="GZ1390" s="885"/>
      <c r="HA1390" s="885"/>
      <c r="HB1390" s="885"/>
      <c r="HC1390" s="885"/>
      <c r="HD1390" s="885"/>
      <c r="HE1390" s="885"/>
      <c r="HF1390" s="885"/>
      <c r="HG1390" s="885"/>
      <c r="HH1390" s="885"/>
      <c r="HI1390" s="885"/>
      <c r="HJ1390" s="885"/>
      <c r="HK1390" s="885"/>
      <c r="HL1390" s="885"/>
      <c r="HM1390" s="885"/>
      <c r="HN1390" s="885"/>
      <c r="HO1390" s="885"/>
      <c r="HP1390" s="885"/>
      <c r="HQ1390" s="885"/>
      <c r="HR1390" s="885"/>
      <c r="HS1390" s="885"/>
      <c r="HT1390" s="885"/>
      <c r="HU1390" s="885"/>
      <c r="HV1390" s="885"/>
      <c r="HW1390" s="885"/>
      <c r="HX1390" s="885"/>
      <c r="HY1390" s="885"/>
      <c r="HZ1390" s="885"/>
      <c r="IA1390" s="885"/>
      <c r="IB1390" s="885"/>
      <c r="IC1390" s="885"/>
      <c r="ID1390" s="885"/>
      <c r="IE1390" s="885"/>
      <c r="IF1390" s="885"/>
      <c r="IG1390" s="885"/>
      <c r="IH1390" s="885"/>
      <c r="II1390" s="885"/>
      <c r="IJ1390" s="885"/>
      <c r="IK1390" s="885"/>
      <c r="IL1390" s="885"/>
      <c r="IM1390" s="885"/>
      <c r="IN1390" s="885"/>
      <c r="IO1390" s="885"/>
      <c r="IP1390" s="885"/>
      <c r="IQ1390" s="885"/>
      <c r="IR1390" s="885"/>
      <c r="IS1390" s="885"/>
      <c r="IT1390" s="885"/>
      <c r="IU1390" s="885"/>
      <c r="IV1390" s="885"/>
      <c r="IW1390" s="885"/>
      <c r="IX1390" s="885"/>
    </row>
    <row r="1391" spans="1:258" x14ac:dyDescent="0.25">
      <c r="A1391" s="125">
        <f t="shared" si="161"/>
        <v>1351</v>
      </c>
      <c r="B1391" s="885"/>
      <c r="C1391" s="842" t="s">
        <v>10907</v>
      </c>
      <c r="D1391" s="924">
        <v>0</v>
      </c>
      <c r="E1391" s="924">
        <f t="shared" si="164"/>
        <v>0</v>
      </c>
      <c r="F1391" s="129">
        <v>1500</v>
      </c>
      <c r="G1391" s="122" t="s">
        <v>1963</v>
      </c>
      <c r="H1391" s="885"/>
      <c r="I1391" s="885"/>
      <c r="J1391" s="885"/>
      <c r="K1391" s="885"/>
      <c r="L1391" s="885"/>
      <c r="M1391" s="885"/>
      <c r="N1391" s="885"/>
      <c r="O1391" s="885"/>
      <c r="P1391" s="885"/>
      <c r="Q1391" s="885"/>
      <c r="R1391" s="885"/>
      <c r="S1391" s="885"/>
      <c r="T1391" s="885"/>
      <c r="U1391" s="885"/>
      <c r="V1391" s="885"/>
      <c r="W1391" s="885"/>
      <c r="X1391" s="885"/>
      <c r="Y1391" s="885"/>
      <c r="Z1391" s="885"/>
      <c r="AA1391" s="885"/>
      <c r="AB1391" s="885"/>
      <c r="AC1391" s="885"/>
      <c r="AD1391" s="885"/>
      <c r="AE1391" s="885"/>
      <c r="AF1391" s="885"/>
      <c r="AG1391" s="885"/>
      <c r="AH1391" s="885"/>
      <c r="AI1391" s="885"/>
      <c r="AJ1391" s="885"/>
      <c r="AK1391" s="885"/>
      <c r="AL1391" s="885"/>
      <c r="AM1391" s="885"/>
      <c r="AN1391" s="885"/>
      <c r="AO1391" s="885"/>
      <c r="AP1391" s="885"/>
      <c r="AQ1391" s="885"/>
      <c r="AR1391" s="885"/>
      <c r="AS1391" s="885"/>
      <c r="AT1391" s="885"/>
      <c r="AU1391" s="885"/>
      <c r="AV1391" s="885"/>
      <c r="AW1391" s="885"/>
      <c r="AX1391" s="885"/>
      <c r="AY1391" s="885"/>
      <c r="AZ1391" s="885"/>
      <c r="BA1391" s="885"/>
      <c r="BB1391" s="885"/>
      <c r="BC1391" s="885"/>
      <c r="BD1391" s="885"/>
      <c r="BE1391" s="885"/>
      <c r="BF1391" s="885"/>
      <c r="BG1391" s="885"/>
      <c r="BH1391" s="885"/>
      <c r="BI1391" s="885"/>
      <c r="BJ1391" s="885"/>
      <c r="BK1391" s="885"/>
      <c r="BL1391" s="885"/>
      <c r="BM1391" s="885"/>
      <c r="BN1391" s="885"/>
      <c r="BO1391" s="885"/>
      <c r="BP1391" s="885"/>
      <c r="BQ1391" s="885"/>
      <c r="BR1391" s="885"/>
      <c r="BS1391" s="885"/>
      <c r="BT1391" s="885"/>
      <c r="BU1391" s="885"/>
      <c r="BV1391" s="885"/>
      <c r="BW1391" s="885"/>
      <c r="BX1391" s="885"/>
      <c r="BY1391" s="885"/>
      <c r="BZ1391" s="885"/>
      <c r="CA1391" s="885"/>
      <c r="CB1391" s="885"/>
      <c r="CC1391" s="885"/>
      <c r="CD1391" s="885"/>
      <c r="CE1391" s="885"/>
      <c r="CF1391" s="885"/>
      <c r="CG1391" s="885"/>
      <c r="CH1391" s="885"/>
      <c r="CI1391" s="885"/>
      <c r="CJ1391" s="885"/>
      <c r="CK1391" s="885"/>
      <c r="CL1391" s="885"/>
      <c r="CM1391" s="885"/>
      <c r="CN1391" s="885"/>
      <c r="CO1391" s="885"/>
      <c r="CP1391" s="885"/>
      <c r="CQ1391" s="885"/>
      <c r="CR1391" s="885"/>
      <c r="CS1391" s="885"/>
      <c r="CT1391" s="885"/>
      <c r="CU1391" s="885"/>
      <c r="CV1391" s="885"/>
      <c r="CW1391" s="885"/>
      <c r="CX1391" s="885"/>
      <c r="CY1391" s="885"/>
      <c r="CZ1391" s="885"/>
      <c r="DA1391" s="885"/>
      <c r="DB1391" s="885"/>
      <c r="DC1391" s="885"/>
      <c r="DD1391" s="885"/>
      <c r="DE1391" s="885"/>
      <c r="DF1391" s="885"/>
      <c r="DG1391" s="885"/>
      <c r="DH1391" s="885"/>
      <c r="DI1391" s="885"/>
      <c r="DJ1391" s="885"/>
      <c r="DK1391" s="885"/>
      <c r="DL1391" s="885"/>
      <c r="DM1391" s="885"/>
      <c r="DN1391" s="885"/>
      <c r="DO1391" s="885"/>
      <c r="DP1391" s="885"/>
      <c r="DQ1391" s="885"/>
      <c r="DR1391" s="885"/>
      <c r="DS1391" s="885"/>
      <c r="DT1391" s="885"/>
      <c r="DU1391" s="885"/>
      <c r="DV1391" s="885"/>
      <c r="DW1391" s="885"/>
      <c r="DX1391" s="885"/>
      <c r="DY1391" s="885"/>
      <c r="DZ1391" s="885"/>
      <c r="EA1391" s="885"/>
      <c r="EB1391" s="885"/>
      <c r="EC1391" s="885"/>
      <c r="ED1391" s="885"/>
      <c r="EE1391" s="885"/>
      <c r="EF1391" s="885"/>
      <c r="EG1391" s="885"/>
      <c r="EH1391" s="885"/>
      <c r="EI1391" s="885"/>
      <c r="EJ1391" s="885"/>
      <c r="EK1391" s="885"/>
      <c r="EL1391" s="885"/>
      <c r="EM1391" s="885"/>
      <c r="EN1391" s="885"/>
      <c r="EO1391" s="885"/>
      <c r="EP1391" s="885"/>
      <c r="EQ1391" s="885"/>
      <c r="ER1391" s="885"/>
      <c r="ES1391" s="885"/>
      <c r="ET1391" s="885"/>
      <c r="EU1391" s="885"/>
      <c r="EV1391" s="885"/>
      <c r="EW1391" s="885"/>
      <c r="EX1391" s="885"/>
      <c r="EY1391" s="885"/>
      <c r="EZ1391" s="885"/>
      <c r="FA1391" s="885"/>
      <c r="FB1391" s="885"/>
      <c r="FC1391" s="885"/>
      <c r="FD1391" s="885"/>
      <c r="FE1391" s="885"/>
      <c r="FF1391" s="885"/>
      <c r="FG1391" s="885"/>
      <c r="FH1391" s="885"/>
      <c r="FI1391" s="885"/>
      <c r="FJ1391" s="885"/>
      <c r="FK1391" s="885"/>
      <c r="FL1391" s="885"/>
      <c r="FM1391" s="885"/>
      <c r="FN1391" s="885"/>
      <c r="FO1391" s="885"/>
      <c r="FP1391" s="885"/>
      <c r="FQ1391" s="885"/>
      <c r="FR1391" s="885"/>
      <c r="FS1391" s="885"/>
      <c r="FT1391" s="885"/>
      <c r="FU1391" s="885"/>
      <c r="FV1391" s="885"/>
      <c r="FW1391" s="885"/>
      <c r="FX1391" s="885"/>
      <c r="FY1391" s="885"/>
      <c r="FZ1391" s="885"/>
      <c r="GA1391" s="885"/>
      <c r="GB1391" s="885"/>
      <c r="GC1391" s="885"/>
      <c r="GD1391" s="885"/>
      <c r="GE1391" s="885"/>
      <c r="GF1391" s="885"/>
      <c r="GG1391" s="885"/>
      <c r="GH1391" s="885"/>
      <c r="GI1391" s="885"/>
      <c r="GJ1391" s="885"/>
      <c r="GK1391" s="885"/>
      <c r="GL1391" s="885"/>
      <c r="GM1391" s="885"/>
      <c r="GN1391" s="885"/>
      <c r="GO1391" s="885"/>
      <c r="GP1391" s="885"/>
      <c r="GQ1391" s="885"/>
      <c r="GR1391" s="885"/>
      <c r="GS1391" s="885"/>
      <c r="GT1391" s="885"/>
      <c r="GU1391" s="885"/>
      <c r="GV1391" s="885"/>
      <c r="GW1391" s="885"/>
      <c r="GX1391" s="885"/>
      <c r="GY1391" s="885"/>
      <c r="GZ1391" s="885"/>
      <c r="HA1391" s="885"/>
      <c r="HB1391" s="885"/>
      <c r="HC1391" s="885"/>
      <c r="HD1391" s="885"/>
      <c r="HE1391" s="885"/>
      <c r="HF1391" s="885"/>
      <c r="HG1391" s="885"/>
      <c r="HH1391" s="885"/>
      <c r="HI1391" s="885"/>
      <c r="HJ1391" s="885"/>
      <c r="HK1391" s="885"/>
      <c r="HL1391" s="885"/>
      <c r="HM1391" s="885"/>
      <c r="HN1391" s="885"/>
      <c r="HO1391" s="885"/>
      <c r="HP1391" s="885"/>
      <c r="HQ1391" s="885"/>
      <c r="HR1391" s="885"/>
      <c r="HS1391" s="885"/>
      <c r="HT1391" s="885"/>
      <c r="HU1391" s="885"/>
      <c r="HV1391" s="885"/>
      <c r="HW1391" s="885"/>
      <c r="HX1391" s="885"/>
      <c r="HY1391" s="885"/>
      <c r="HZ1391" s="885"/>
      <c r="IA1391" s="885"/>
      <c r="IB1391" s="885"/>
      <c r="IC1391" s="885"/>
      <c r="ID1391" s="885"/>
      <c r="IE1391" s="885"/>
      <c r="IF1391" s="885"/>
      <c r="IG1391" s="885"/>
      <c r="IH1391" s="885"/>
      <c r="II1391" s="885"/>
      <c r="IJ1391" s="885"/>
      <c r="IK1391" s="885"/>
      <c r="IL1391" s="885"/>
      <c r="IM1391" s="885"/>
      <c r="IN1391" s="885"/>
      <c r="IO1391" s="885"/>
      <c r="IP1391" s="885"/>
      <c r="IQ1391" s="885"/>
      <c r="IR1391" s="885"/>
      <c r="IS1391" s="885"/>
      <c r="IT1391" s="885"/>
      <c r="IU1391" s="885"/>
      <c r="IV1391" s="885"/>
      <c r="IW1391" s="885"/>
      <c r="IX1391" s="885"/>
    </row>
    <row r="1392" spans="1:258" x14ac:dyDescent="0.25">
      <c r="A1392" s="125">
        <f t="shared" si="161"/>
        <v>1352</v>
      </c>
      <c r="B1392" s="804"/>
      <c r="C1392" s="842" t="s">
        <v>10908</v>
      </c>
      <c r="D1392" s="924">
        <v>24221</v>
      </c>
      <c r="E1392" s="924">
        <f t="shared" si="164"/>
        <v>36331.5</v>
      </c>
      <c r="F1392" s="129">
        <v>5000</v>
      </c>
      <c r="G1392" s="122" t="s">
        <v>1963</v>
      </c>
      <c r="H1392" s="885"/>
      <c r="I1392" s="885"/>
      <c r="J1392" s="885"/>
      <c r="K1392" s="885"/>
      <c r="L1392" s="885"/>
      <c r="M1392" s="885"/>
      <c r="N1392" s="885"/>
      <c r="O1392" s="885"/>
      <c r="P1392" s="885"/>
      <c r="Q1392" s="885"/>
      <c r="R1392" s="885"/>
      <c r="S1392" s="885"/>
      <c r="T1392" s="885"/>
      <c r="U1392" s="885"/>
      <c r="V1392" s="885"/>
      <c r="W1392" s="885"/>
      <c r="X1392" s="885"/>
      <c r="Y1392" s="885"/>
      <c r="Z1392" s="885"/>
      <c r="AA1392" s="885"/>
      <c r="AB1392" s="885"/>
      <c r="AC1392" s="885"/>
      <c r="AD1392" s="885"/>
      <c r="AE1392" s="885"/>
      <c r="AF1392" s="885"/>
      <c r="AG1392" s="885"/>
      <c r="AH1392" s="885"/>
      <c r="AI1392" s="885"/>
      <c r="AJ1392" s="885"/>
      <c r="AK1392" s="885"/>
      <c r="AL1392" s="885"/>
      <c r="AM1392" s="885"/>
      <c r="AN1392" s="885"/>
      <c r="AO1392" s="885"/>
      <c r="AP1392" s="885"/>
      <c r="AQ1392" s="885"/>
      <c r="AR1392" s="885"/>
      <c r="AS1392" s="885"/>
      <c r="AT1392" s="885"/>
      <c r="AU1392" s="885"/>
      <c r="AV1392" s="885"/>
      <c r="AW1392" s="885"/>
      <c r="AX1392" s="885"/>
      <c r="AY1392" s="885"/>
      <c r="AZ1392" s="885"/>
      <c r="BA1392" s="885"/>
      <c r="BB1392" s="885"/>
      <c r="BC1392" s="885"/>
      <c r="BD1392" s="885"/>
      <c r="BE1392" s="885"/>
      <c r="BF1392" s="885"/>
      <c r="BG1392" s="885"/>
      <c r="BH1392" s="885"/>
      <c r="BI1392" s="885"/>
      <c r="BJ1392" s="885"/>
      <c r="BK1392" s="885"/>
      <c r="BL1392" s="885"/>
      <c r="BM1392" s="885"/>
      <c r="BN1392" s="885"/>
      <c r="BO1392" s="885"/>
      <c r="BP1392" s="885"/>
      <c r="BQ1392" s="885"/>
      <c r="BR1392" s="885"/>
      <c r="BS1392" s="885"/>
      <c r="BT1392" s="885"/>
      <c r="BU1392" s="885"/>
      <c r="BV1392" s="885"/>
      <c r="BW1392" s="885"/>
      <c r="BX1392" s="885"/>
      <c r="BY1392" s="885"/>
      <c r="BZ1392" s="885"/>
      <c r="CA1392" s="885"/>
      <c r="CB1392" s="885"/>
      <c r="CC1392" s="885"/>
      <c r="CD1392" s="885"/>
      <c r="CE1392" s="885"/>
      <c r="CF1392" s="885"/>
      <c r="CG1392" s="885"/>
      <c r="CH1392" s="885"/>
      <c r="CI1392" s="885"/>
      <c r="CJ1392" s="885"/>
      <c r="CK1392" s="885"/>
      <c r="CL1392" s="885"/>
      <c r="CM1392" s="885"/>
      <c r="CN1392" s="885"/>
      <c r="CO1392" s="885"/>
      <c r="CP1392" s="885"/>
      <c r="CQ1392" s="885"/>
      <c r="CR1392" s="885"/>
      <c r="CS1392" s="885"/>
      <c r="CT1392" s="885"/>
      <c r="CU1392" s="885"/>
      <c r="CV1392" s="885"/>
      <c r="CW1392" s="885"/>
      <c r="CX1392" s="885"/>
      <c r="CY1392" s="885"/>
      <c r="CZ1392" s="885"/>
      <c r="DA1392" s="885"/>
      <c r="DB1392" s="885"/>
      <c r="DC1392" s="885"/>
      <c r="DD1392" s="885"/>
      <c r="DE1392" s="885"/>
      <c r="DF1392" s="885"/>
      <c r="DG1392" s="885"/>
      <c r="DH1392" s="885"/>
      <c r="DI1392" s="885"/>
      <c r="DJ1392" s="885"/>
      <c r="DK1392" s="885"/>
      <c r="DL1392" s="885"/>
      <c r="DM1392" s="885"/>
      <c r="DN1392" s="885"/>
      <c r="DO1392" s="885"/>
      <c r="DP1392" s="885"/>
      <c r="DQ1392" s="885"/>
      <c r="DR1392" s="885"/>
      <c r="DS1392" s="885"/>
      <c r="DT1392" s="885"/>
      <c r="DU1392" s="885"/>
      <c r="DV1392" s="885"/>
      <c r="DW1392" s="885"/>
      <c r="DX1392" s="885"/>
      <c r="DY1392" s="885"/>
      <c r="DZ1392" s="885"/>
      <c r="EA1392" s="885"/>
      <c r="EB1392" s="885"/>
      <c r="EC1392" s="885"/>
      <c r="ED1392" s="885"/>
      <c r="EE1392" s="885"/>
      <c r="EF1392" s="885"/>
      <c r="EG1392" s="885"/>
      <c r="EH1392" s="885"/>
      <c r="EI1392" s="885"/>
      <c r="EJ1392" s="885"/>
      <c r="EK1392" s="885"/>
      <c r="EL1392" s="885"/>
      <c r="EM1392" s="885"/>
      <c r="EN1392" s="885"/>
      <c r="EO1392" s="885"/>
      <c r="EP1392" s="885"/>
      <c r="EQ1392" s="885"/>
      <c r="ER1392" s="885"/>
      <c r="ES1392" s="885"/>
      <c r="ET1392" s="885"/>
      <c r="EU1392" s="885"/>
      <c r="EV1392" s="885"/>
      <c r="EW1392" s="885"/>
      <c r="EX1392" s="885"/>
      <c r="EY1392" s="885"/>
      <c r="EZ1392" s="885"/>
      <c r="FA1392" s="885"/>
      <c r="FB1392" s="885"/>
      <c r="FC1392" s="885"/>
      <c r="FD1392" s="885"/>
      <c r="FE1392" s="885"/>
      <c r="FF1392" s="885"/>
      <c r="FG1392" s="885"/>
      <c r="FH1392" s="885"/>
      <c r="FI1392" s="885"/>
      <c r="FJ1392" s="885"/>
      <c r="FK1392" s="885"/>
      <c r="FL1392" s="885"/>
      <c r="FM1392" s="885"/>
      <c r="FN1392" s="885"/>
      <c r="FO1392" s="885"/>
      <c r="FP1392" s="885"/>
      <c r="FQ1392" s="885"/>
      <c r="FR1392" s="885"/>
      <c r="FS1392" s="885"/>
      <c r="FT1392" s="885"/>
      <c r="FU1392" s="885"/>
      <c r="FV1392" s="885"/>
      <c r="FW1392" s="885"/>
      <c r="FX1392" s="885"/>
      <c r="FY1392" s="885"/>
      <c r="FZ1392" s="885"/>
      <c r="GA1392" s="885"/>
      <c r="GB1392" s="885"/>
      <c r="GC1392" s="885"/>
      <c r="GD1392" s="885"/>
      <c r="GE1392" s="885"/>
      <c r="GF1392" s="885"/>
      <c r="GG1392" s="885"/>
      <c r="GH1392" s="885"/>
      <c r="GI1392" s="885"/>
      <c r="GJ1392" s="885"/>
      <c r="GK1392" s="885"/>
      <c r="GL1392" s="885"/>
      <c r="GM1392" s="885"/>
      <c r="GN1392" s="885"/>
      <c r="GO1392" s="885"/>
      <c r="GP1392" s="885"/>
      <c r="GQ1392" s="885"/>
      <c r="GR1392" s="885"/>
      <c r="GS1392" s="885"/>
      <c r="GT1392" s="885"/>
      <c r="GU1392" s="885"/>
      <c r="GV1392" s="885"/>
      <c r="GW1392" s="885"/>
      <c r="GX1392" s="885"/>
      <c r="GY1392" s="885"/>
      <c r="GZ1392" s="885"/>
      <c r="HA1392" s="885"/>
      <c r="HB1392" s="885"/>
      <c r="HC1392" s="885"/>
      <c r="HD1392" s="885"/>
      <c r="HE1392" s="885"/>
      <c r="HF1392" s="885"/>
      <c r="HG1392" s="885"/>
      <c r="HH1392" s="885"/>
      <c r="HI1392" s="885"/>
      <c r="HJ1392" s="885"/>
      <c r="HK1392" s="885"/>
      <c r="HL1392" s="885"/>
      <c r="HM1392" s="885"/>
      <c r="HN1392" s="885"/>
      <c r="HO1392" s="885"/>
      <c r="HP1392" s="885"/>
      <c r="HQ1392" s="885"/>
      <c r="HR1392" s="885"/>
      <c r="HS1392" s="885"/>
      <c r="HT1392" s="885"/>
      <c r="HU1392" s="885"/>
      <c r="HV1392" s="885"/>
      <c r="HW1392" s="885"/>
      <c r="HX1392" s="885"/>
      <c r="HY1392" s="885"/>
      <c r="HZ1392" s="885"/>
      <c r="IA1392" s="885"/>
      <c r="IB1392" s="885"/>
      <c r="IC1392" s="885"/>
      <c r="ID1392" s="885"/>
      <c r="IE1392" s="885"/>
      <c r="IF1392" s="885"/>
      <c r="IG1392" s="885"/>
      <c r="IH1392" s="885"/>
      <c r="II1392" s="885"/>
      <c r="IJ1392" s="885"/>
      <c r="IK1392" s="885"/>
      <c r="IL1392" s="885"/>
      <c r="IM1392" s="885"/>
      <c r="IN1392" s="885"/>
      <c r="IO1392" s="885"/>
      <c r="IP1392" s="885"/>
      <c r="IQ1392" s="885"/>
      <c r="IR1392" s="885"/>
      <c r="IS1392" s="885"/>
      <c r="IT1392" s="885"/>
      <c r="IU1392" s="885"/>
      <c r="IV1392" s="885"/>
      <c r="IW1392" s="885"/>
      <c r="IX1392" s="885"/>
    </row>
    <row r="1393" spans="1:258" x14ac:dyDescent="0.25">
      <c r="A1393" s="125">
        <f t="shared" si="161"/>
        <v>1353</v>
      </c>
      <c r="B1393" s="804"/>
      <c r="C1393" s="804" t="s">
        <v>10909</v>
      </c>
      <c r="D1393" s="920"/>
      <c r="E1393" s="920"/>
      <c r="F1393" s="804"/>
      <c r="G1393" s="885"/>
      <c r="H1393" s="885"/>
      <c r="I1393" s="885"/>
      <c r="J1393" s="885"/>
      <c r="K1393" s="885"/>
      <c r="L1393" s="885"/>
      <c r="M1393" s="885"/>
      <c r="N1393" s="885"/>
      <c r="O1393" s="885"/>
      <c r="P1393" s="885"/>
      <c r="Q1393" s="885"/>
      <c r="R1393" s="885"/>
      <c r="S1393" s="885"/>
      <c r="T1393" s="885"/>
      <c r="U1393" s="885"/>
      <c r="V1393" s="885"/>
      <c r="W1393" s="885"/>
      <c r="X1393" s="885"/>
      <c r="Y1393" s="885"/>
      <c r="Z1393" s="885"/>
      <c r="AA1393" s="885"/>
      <c r="AB1393" s="885"/>
      <c r="AC1393" s="885"/>
      <c r="AD1393" s="885"/>
      <c r="AE1393" s="885"/>
      <c r="AF1393" s="885"/>
      <c r="AG1393" s="885"/>
      <c r="AH1393" s="885"/>
      <c r="AI1393" s="885"/>
      <c r="AJ1393" s="885"/>
      <c r="AK1393" s="885"/>
      <c r="AL1393" s="885"/>
      <c r="AM1393" s="885"/>
      <c r="AN1393" s="885"/>
      <c r="AO1393" s="885"/>
      <c r="AP1393" s="885"/>
      <c r="AQ1393" s="885"/>
      <c r="AR1393" s="885"/>
      <c r="AS1393" s="885"/>
      <c r="AT1393" s="885"/>
      <c r="AU1393" s="885"/>
      <c r="AV1393" s="885"/>
      <c r="AW1393" s="885"/>
      <c r="AX1393" s="885"/>
      <c r="AY1393" s="885"/>
      <c r="AZ1393" s="885"/>
      <c r="BA1393" s="885"/>
      <c r="BB1393" s="885"/>
      <c r="BC1393" s="885"/>
      <c r="BD1393" s="885"/>
      <c r="BE1393" s="885"/>
      <c r="BF1393" s="885"/>
      <c r="BG1393" s="885"/>
      <c r="BH1393" s="885"/>
      <c r="BI1393" s="885"/>
      <c r="BJ1393" s="885"/>
      <c r="BK1393" s="885"/>
      <c r="BL1393" s="885"/>
      <c r="BM1393" s="885"/>
      <c r="BN1393" s="885"/>
      <c r="BO1393" s="885"/>
      <c r="BP1393" s="885"/>
      <c r="BQ1393" s="885"/>
      <c r="BR1393" s="885"/>
      <c r="BS1393" s="885"/>
      <c r="BT1393" s="885"/>
      <c r="BU1393" s="885"/>
      <c r="BV1393" s="885"/>
      <c r="BW1393" s="885"/>
      <c r="BX1393" s="885"/>
      <c r="BY1393" s="885"/>
      <c r="BZ1393" s="885"/>
      <c r="CA1393" s="885"/>
      <c r="CB1393" s="885"/>
      <c r="CC1393" s="885"/>
      <c r="CD1393" s="885"/>
      <c r="CE1393" s="885"/>
      <c r="CF1393" s="885"/>
      <c r="CG1393" s="885"/>
      <c r="CH1393" s="885"/>
      <c r="CI1393" s="885"/>
      <c r="CJ1393" s="885"/>
      <c r="CK1393" s="885"/>
      <c r="CL1393" s="885"/>
      <c r="CM1393" s="885"/>
      <c r="CN1393" s="885"/>
      <c r="CO1393" s="885"/>
      <c r="CP1393" s="885"/>
      <c r="CQ1393" s="885"/>
      <c r="CR1393" s="885"/>
      <c r="CS1393" s="885"/>
      <c r="CT1393" s="885"/>
      <c r="CU1393" s="885"/>
      <c r="CV1393" s="885"/>
      <c r="CW1393" s="885"/>
      <c r="CX1393" s="885"/>
      <c r="CY1393" s="885"/>
      <c r="CZ1393" s="885"/>
      <c r="DA1393" s="885"/>
      <c r="DB1393" s="885"/>
      <c r="DC1393" s="885"/>
      <c r="DD1393" s="885"/>
      <c r="DE1393" s="885"/>
      <c r="DF1393" s="885"/>
      <c r="DG1393" s="885"/>
      <c r="DH1393" s="885"/>
      <c r="DI1393" s="885"/>
      <c r="DJ1393" s="885"/>
      <c r="DK1393" s="885"/>
      <c r="DL1393" s="885"/>
      <c r="DM1393" s="885"/>
      <c r="DN1393" s="885"/>
      <c r="DO1393" s="885"/>
      <c r="DP1393" s="885"/>
      <c r="DQ1393" s="885"/>
      <c r="DR1393" s="885"/>
      <c r="DS1393" s="885"/>
      <c r="DT1393" s="885"/>
      <c r="DU1393" s="885"/>
      <c r="DV1393" s="885"/>
      <c r="DW1393" s="885"/>
      <c r="DX1393" s="885"/>
      <c r="DY1393" s="885"/>
      <c r="DZ1393" s="885"/>
      <c r="EA1393" s="885"/>
      <c r="EB1393" s="885"/>
      <c r="EC1393" s="885"/>
      <c r="ED1393" s="885"/>
      <c r="EE1393" s="885"/>
      <c r="EF1393" s="885"/>
      <c r="EG1393" s="885"/>
      <c r="EH1393" s="885"/>
      <c r="EI1393" s="885"/>
      <c r="EJ1393" s="885"/>
      <c r="EK1393" s="885"/>
      <c r="EL1393" s="885"/>
      <c r="EM1393" s="885"/>
      <c r="EN1393" s="885"/>
      <c r="EO1393" s="885"/>
      <c r="EP1393" s="885"/>
      <c r="EQ1393" s="885"/>
      <c r="ER1393" s="885"/>
      <c r="ES1393" s="885"/>
      <c r="ET1393" s="885"/>
      <c r="EU1393" s="885"/>
      <c r="EV1393" s="885"/>
      <c r="EW1393" s="885"/>
      <c r="EX1393" s="885"/>
      <c r="EY1393" s="885"/>
      <c r="EZ1393" s="885"/>
      <c r="FA1393" s="885"/>
      <c r="FB1393" s="885"/>
      <c r="FC1393" s="885"/>
      <c r="FD1393" s="885"/>
      <c r="FE1393" s="885"/>
      <c r="FF1393" s="885"/>
      <c r="FG1393" s="885"/>
      <c r="FH1393" s="885"/>
      <c r="FI1393" s="885"/>
      <c r="FJ1393" s="885"/>
      <c r="FK1393" s="885"/>
      <c r="FL1393" s="885"/>
      <c r="FM1393" s="885"/>
      <c r="FN1393" s="885"/>
      <c r="FO1393" s="885"/>
      <c r="FP1393" s="885"/>
      <c r="FQ1393" s="885"/>
      <c r="FR1393" s="885"/>
      <c r="FS1393" s="885"/>
      <c r="FT1393" s="885"/>
      <c r="FU1393" s="885"/>
      <c r="FV1393" s="885"/>
      <c r="FW1393" s="885"/>
      <c r="FX1393" s="885"/>
      <c r="FY1393" s="885"/>
      <c r="FZ1393" s="885"/>
      <c r="GA1393" s="885"/>
      <c r="GB1393" s="885"/>
      <c r="GC1393" s="885"/>
      <c r="GD1393" s="885"/>
      <c r="GE1393" s="885"/>
      <c r="GF1393" s="885"/>
      <c r="GG1393" s="885"/>
      <c r="GH1393" s="885"/>
      <c r="GI1393" s="885"/>
      <c r="GJ1393" s="885"/>
      <c r="GK1393" s="885"/>
      <c r="GL1393" s="885"/>
      <c r="GM1393" s="885"/>
      <c r="GN1393" s="885"/>
      <c r="GO1393" s="885"/>
      <c r="GP1393" s="885"/>
      <c r="GQ1393" s="885"/>
      <c r="GR1393" s="885"/>
      <c r="GS1393" s="885"/>
      <c r="GT1393" s="885"/>
      <c r="GU1393" s="885"/>
      <c r="GV1393" s="885"/>
      <c r="GW1393" s="885"/>
      <c r="GX1393" s="885"/>
      <c r="GY1393" s="885"/>
      <c r="GZ1393" s="885"/>
      <c r="HA1393" s="885"/>
      <c r="HB1393" s="885"/>
      <c r="HC1393" s="885"/>
      <c r="HD1393" s="885"/>
      <c r="HE1393" s="885"/>
      <c r="HF1393" s="885"/>
      <c r="HG1393" s="885"/>
      <c r="HH1393" s="885"/>
      <c r="HI1393" s="885"/>
      <c r="HJ1393" s="885"/>
      <c r="HK1393" s="885"/>
      <c r="HL1393" s="885"/>
      <c r="HM1393" s="885"/>
      <c r="HN1393" s="885"/>
      <c r="HO1393" s="885"/>
      <c r="HP1393" s="885"/>
      <c r="HQ1393" s="885"/>
      <c r="HR1393" s="885"/>
      <c r="HS1393" s="885"/>
      <c r="HT1393" s="885"/>
      <c r="HU1393" s="885"/>
      <c r="HV1393" s="885"/>
      <c r="HW1393" s="885"/>
      <c r="HX1393" s="885"/>
      <c r="HY1393" s="885"/>
      <c r="HZ1393" s="885"/>
      <c r="IA1393" s="885"/>
      <c r="IB1393" s="885"/>
      <c r="IC1393" s="885"/>
      <c r="ID1393" s="885"/>
      <c r="IE1393" s="885"/>
      <c r="IF1393" s="885"/>
      <c r="IG1393" s="885"/>
      <c r="IH1393" s="885"/>
      <c r="II1393" s="885"/>
      <c r="IJ1393" s="885"/>
      <c r="IK1393" s="885"/>
      <c r="IL1393" s="885"/>
      <c r="IM1393" s="885"/>
      <c r="IN1393" s="885"/>
      <c r="IO1393" s="885"/>
      <c r="IP1393" s="885"/>
      <c r="IQ1393" s="885"/>
      <c r="IR1393" s="885"/>
      <c r="IS1393" s="885"/>
      <c r="IT1393" s="885"/>
      <c r="IU1393" s="885"/>
      <c r="IV1393" s="885"/>
      <c r="IW1393" s="885"/>
      <c r="IX1393" s="885"/>
    </row>
    <row r="1394" spans="1:258" x14ac:dyDescent="0.25">
      <c r="A1394" s="125">
        <f t="shared" si="161"/>
        <v>1354</v>
      </c>
      <c r="B1394" s="885"/>
      <c r="C1394" s="931" t="s">
        <v>10910</v>
      </c>
      <c r="D1394" s="924">
        <v>0</v>
      </c>
      <c r="E1394" s="924">
        <f t="shared" ref="E1394:E1398" si="165">D1394/8*12</f>
        <v>0</v>
      </c>
      <c r="F1394" s="129">
        <f>F1396*F$83</f>
        <v>300</v>
      </c>
      <c r="G1394" s="122" t="s">
        <v>1963</v>
      </c>
      <c r="H1394" s="885"/>
      <c r="I1394" s="885"/>
      <c r="J1394" s="885"/>
      <c r="K1394" s="885"/>
      <c r="L1394" s="885"/>
      <c r="M1394" s="885"/>
      <c r="N1394" s="885"/>
      <c r="O1394" s="885"/>
      <c r="P1394" s="885"/>
      <c r="Q1394" s="885"/>
      <c r="R1394" s="885"/>
      <c r="S1394" s="885"/>
      <c r="T1394" s="885"/>
      <c r="U1394" s="885"/>
      <c r="V1394" s="885"/>
      <c r="W1394" s="885"/>
      <c r="X1394" s="885"/>
      <c r="Y1394" s="885"/>
      <c r="Z1394" s="885"/>
      <c r="AA1394" s="885"/>
      <c r="AB1394" s="885"/>
      <c r="AC1394" s="885"/>
      <c r="AD1394" s="885"/>
      <c r="AE1394" s="885"/>
      <c r="AF1394" s="885"/>
      <c r="AG1394" s="885"/>
      <c r="AH1394" s="885"/>
      <c r="AI1394" s="885"/>
      <c r="AJ1394" s="885"/>
      <c r="AK1394" s="885"/>
      <c r="AL1394" s="885"/>
      <c r="AM1394" s="885"/>
      <c r="AN1394" s="885"/>
      <c r="AO1394" s="885"/>
      <c r="AP1394" s="885"/>
      <c r="AQ1394" s="885"/>
      <c r="AR1394" s="885"/>
      <c r="AS1394" s="885"/>
      <c r="AT1394" s="885"/>
      <c r="AU1394" s="885"/>
      <c r="AV1394" s="885"/>
      <c r="AW1394" s="885"/>
      <c r="AX1394" s="885"/>
      <c r="AY1394" s="885"/>
      <c r="AZ1394" s="885"/>
      <c r="BA1394" s="885"/>
      <c r="BB1394" s="885"/>
      <c r="BC1394" s="885"/>
      <c r="BD1394" s="885"/>
      <c r="BE1394" s="885"/>
      <c r="BF1394" s="885"/>
      <c r="BG1394" s="885"/>
      <c r="BH1394" s="885"/>
      <c r="BI1394" s="885"/>
      <c r="BJ1394" s="885"/>
      <c r="BK1394" s="885"/>
      <c r="BL1394" s="885"/>
      <c r="BM1394" s="885"/>
      <c r="BN1394" s="885"/>
      <c r="BO1394" s="885"/>
      <c r="BP1394" s="885"/>
      <c r="BQ1394" s="885"/>
      <c r="BR1394" s="885"/>
      <c r="BS1394" s="885"/>
      <c r="BT1394" s="885"/>
      <c r="BU1394" s="885"/>
      <c r="BV1394" s="885"/>
      <c r="BW1394" s="885"/>
      <c r="BX1394" s="885"/>
      <c r="BY1394" s="885"/>
      <c r="BZ1394" s="885"/>
      <c r="CA1394" s="885"/>
      <c r="CB1394" s="885"/>
      <c r="CC1394" s="885"/>
      <c r="CD1394" s="885"/>
      <c r="CE1394" s="885"/>
      <c r="CF1394" s="885"/>
      <c r="CG1394" s="885"/>
      <c r="CH1394" s="885"/>
      <c r="CI1394" s="885"/>
      <c r="CJ1394" s="885"/>
      <c r="CK1394" s="885"/>
      <c r="CL1394" s="885"/>
      <c r="CM1394" s="885"/>
      <c r="CN1394" s="885"/>
      <c r="CO1394" s="885"/>
      <c r="CP1394" s="885"/>
      <c r="CQ1394" s="885"/>
      <c r="CR1394" s="885"/>
      <c r="CS1394" s="885"/>
      <c r="CT1394" s="885"/>
      <c r="CU1394" s="885"/>
      <c r="CV1394" s="885"/>
      <c r="CW1394" s="885"/>
      <c r="CX1394" s="885"/>
      <c r="CY1394" s="885"/>
      <c r="CZ1394" s="885"/>
      <c r="DA1394" s="885"/>
      <c r="DB1394" s="885"/>
      <c r="DC1394" s="885"/>
      <c r="DD1394" s="885"/>
      <c r="DE1394" s="885"/>
      <c r="DF1394" s="885"/>
      <c r="DG1394" s="885"/>
      <c r="DH1394" s="885"/>
      <c r="DI1394" s="885"/>
      <c r="DJ1394" s="885"/>
      <c r="DK1394" s="885"/>
      <c r="DL1394" s="885"/>
      <c r="DM1394" s="885"/>
      <c r="DN1394" s="885"/>
      <c r="DO1394" s="885"/>
      <c r="DP1394" s="885"/>
      <c r="DQ1394" s="885"/>
      <c r="DR1394" s="885"/>
      <c r="DS1394" s="885"/>
      <c r="DT1394" s="885"/>
      <c r="DU1394" s="885"/>
      <c r="DV1394" s="885"/>
      <c r="DW1394" s="885"/>
      <c r="DX1394" s="885"/>
      <c r="DY1394" s="885"/>
      <c r="DZ1394" s="885"/>
      <c r="EA1394" s="885"/>
      <c r="EB1394" s="885"/>
      <c r="EC1394" s="885"/>
      <c r="ED1394" s="885"/>
      <c r="EE1394" s="885"/>
      <c r="EF1394" s="885"/>
      <c r="EG1394" s="885"/>
      <c r="EH1394" s="885"/>
      <c r="EI1394" s="885"/>
      <c r="EJ1394" s="885"/>
      <c r="EK1394" s="885"/>
      <c r="EL1394" s="885"/>
      <c r="EM1394" s="885"/>
      <c r="EN1394" s="885"/>
      <c r="EO1394" s="885"/>
      <c r="EP1394" s="885"/>
      <c r="EQ1394" s="885"/>
      <c r="ER1394" s="885"/>
      <c r="ES1394" s="885"/>
      <c r="ET1394" s="885"/>
      <c r="EU1394" s="885"/>
      <c r="EV1394" s="885"/>
      <c r="EW1394" s="885"/>
      <c r="EX1394" s="885"/>
      <c r="EY1394" s="885"/>
      <c r="EZ1394" s="885"/>
      <c r="FA1394" s="885"/>
      <c r="FB1394" s="885"/>
      <c r="FC1394" s="885"/>
      <c r="FD1394" s="885"/>
      <c r="FE1394" s="885"/>
      <c r="FF1394" s="885"/>
      <c r="FG1394" s="885"/>
      <c r="FH1394" s="885"/>
      <c r="FI1394" s="885"/>
      <c r="FJ1394" s="885"/>
      <c r="FK1394" s="885"/>
      <c r="FL1394" s="885"/>
      <c r="FM1394" s="885"/>
      <c r="FN1394" s="885"/>
      <c r="FO1394" s="885"/>
      <c r="FP1394" s="885"/>
      <c r="FQ1394" s="885"/>
      <c r="FR1394" s="885"/>
      <c r="FS1394" s="885"/>
      <c r="FT1394" s="885"/>
      <c r="FU1394" s="885"/>
      <c r="FV1394" s="885"/>
      <c r="FW1394" s="885"/>
      <c r="FX1394" s="885"/>
      <c r="FY1394" s="885"/>
      <c r="FZ1394" s="885"/>
      <c r="GA1394" s="885"/>
      <c r="GB1394" s="885"/>
      <c r="GC1394" s="885"/>
      <c r="GD1394" s="885"/>
      <c r="GE1394" s="885"/>
      <c r="GF1394" s="885"/>
      <c r="GG1394" s="885"/>
      <c r="GH1394" s="885"/>
      <c r="GI1394" s="885"/>
      <c r="GJ1394" s="885"/>
      <c r="GK1394" s="885"/>
      <c r="GL1394" s="885"/>
      <c r="GM1394" s="885"/>
      <c r="GN1394" s="885"/>
      <c r="GO1394" s="885"/>
      <c r="GP1394" s="885"/>
      <c r="GQ1394" s="885"/>
      <c r="GR1394" s="885"/>
      <c r="GS1394" s="885"/>
      <c r="GT1394" s="885"/>
      <c r="GU1394" s="885"/>
      <c r="GV1394" s="885"/>
      <c r="GW1394" s="885"/>
      <c r="GX1394" s="885"/>
      <c r="GY1394" s="885"/>
      <c r="GZ1394" s="885"/>
      <c r="HA1394" s="885"/>
      <c r="HB1394" s="885"/>
      <c r="HC1394" s="885"/>
      <c r="HD1394" s="885"/>
      <c r="HE1394" s="885"/>
      <c r="HF1394" s="885"/>
      <c r="HG1394" s="885"/>
      <c r="HH1394" s="885"/>
      <c r="HI1394" s="885"/>
      <c r="HJ1394" s="885"/>
      <c r="HK1394" s="885"/>
      <c r="HL1394" s="885"/>
      <c r="HM1394" s="885"/>
      <c r="HN1394" s="885"/>
      <c r="HO1394" s="885"/>
      <c r="HP1394" s="885"/>
      <c r="HQ1394" s="885"/>
      <c r="HR1394" s="885"/>
      <c r="HS1394" s="885"/>
      <c r="HT1394" s="885"/>
      <c r="HU1394" s="885"/>
      <c r="HV1394" s="885"/>
      <c r="HW1394" s="885"/>
      <c r="HX1394" s="885"/>
      <c r="HY1394" s="885"/>
      <c r="HZ1394" s="885"/>
      <c r="IA1394" s="885"/>
      <c r="IB1394" s="885"/>
      <c r="IC1394" s="885"/>
      <c r="ID1394" s="885"/>
      <c r="IE1394" s="885"/>
      <c r="IF1394" s="885"/>
      <c r="IG1394" s="885"/>
      <c r="IH1394" s="885"/>
      <c r="II1394" s="885"/>
      <c r="IJ1394" s="885"/>
      <c r="IK1394" s="885"/>
      <c r="IL1394" s="885"/>
      <c r="IM1394" s="885"/>
      <c r="IN1394" s="885"/>
      <c r="IO1394" s="885"/>
      <c r="IP1394" s="885"/>
      <c r="IQ1394" s="885"/>
      <c r="IR1394" s="885"/>
      <c r="IS1394" s="885"/>
      <c r="IT1394" s="885"/>
      <c r="IU1394" s="885"/>
      <c r="IV1394" s="885"/>
      <c r="IW1394" s="885"/>
      <c r="IX1394" s="885"/>
    </row>
    <row r="1395" spans="1:258" x14ac:dyDescent="0.25">
      <c r="A1395" s="125">
        <f t="shared" si="161"/>
        <v>1355</v>
      </c>
      <c r="B1395" s="885"/>
      <c r="C1395" s="842" t="s">
        <v>10911</v>
      </c>
      <c r="D1395" s="924">
        <v>0</v>
      </c>
      <c r="E1395" s="924">
        <f t="shared" si="165"/>
        <v>0</v>
      </c>
      <c r="F1395" s="129">
        <v>1500</v>
      </c>
      <c r="G1395" s="122" t="s">
        <v>1963</v>
      </c>
      <c r="H1395" s="885"/>
      <c r="I1395" s="885"/>
      <c r="J1395" s="885"/>
      <c r="K1395" s="885"/>
      <c r="L1395" s="885"/>
      <c r="M1395" s="885"/>
      <c r="N1395" s="885"/>
      <c r="O1395" s="885"/>
      <c r="P1395" s="885"/>
      <c r="Q1395" s="885"/>
      <c r="R1395" s="885"/>
      <c r="S1395" s="885"/>
      <c r="T1395" s="885"/>
      <c r="U1395" s="885"/>
      <c r="V1395" s="885"/>
      <c r="W1395" s="885"/>
      <c r="X1395" s="885"/>
      <c r="Y1395" s="885"/>
      <c r="Z1395" s="885"/>
      <c r="AA1395" s="885"/>
      <c r="AB1395" s="885"/>
      <c r="AC1395" s="885"/>
      <c r="AD1395" s="885"/>
      <c r="AE1395" s="885"/>
      <c r="AF1395" s="885"/>
      <c r="AG1395" s="885"/>
      <c r="AH1395" s="885"/>
      <c r="AI1395" s="885"/>
      <c r="AJ1395" s="885"/>
      <c r="AK1395" s="885"/>
      <c r="AL1395" s="885"/>
      <c r="AM1395" s="885"/>
      <c r="AN1395" s="885"/>
      <c r="AO1395" s="885"/>
      <c r="AP1395" s="885"/>
      <c r="AQ1395" s="885"/>
      <c r="AR1395" s="885"/>
      <c r="AS1395" s="885"/>
      <c r="AT1395" s="885"/>
      <c r="AU1395" s="885"/>
      <c r="AV1395" s="885"/>
      <c r="AW1395" s="885"/>
      <c r="AX1395" s="885"/>
      <c r="AY1395" s="885"/>
      <c r="AZ1395" s="885"/>
      <c r="BA1395" s="885"/>
      <c r="BB1395" s="885"/>
      <c r="BC1395" s="885"/>
      <c r="BD1395" s="885"/>
      <c r="BE1395" s="885"/>
      <c r="BF1395" s="885"/>
      <c r="BG1395" s="885"/>
      <c r="BH1395" s="885"/>
      <c r="BI1395" s="885"/>
      <c r="BJ1395" s="885"/>
      <c r="BK1395" s="885"/>
      <c r="BL1395" s="885"/>
      <c r="BM1395" s="885"/>
      <c r="BN1395" s="885"/>
      <c r="BO1395" s="885"/>
      <c r="BP1395" s="885"/>
      <c r="BQ1395" s="885"/>
      <c r="BR1395" s="885"/>
      <c r="BS1395" s="885"/>
      <c r="BT1395" s="885"/>
      <c r="BU1395" s="885"/>
      <c r="BV1395" s="885"/>
      <c r="BW1395" s="885"/>
      <c r="BX1395" s="885"/>
      <c r="BY1395" s="885"/>
      <c r="BZ1395" s="885"/>
      <c r="CA1395" s="885"/>
      <c r="CB1395" s="885"/>
      <c r="CC1395" s="885"/>
      <c r="CD1395" s="885"/>
      <c r="CE1395" s="885"/>
      <c r="CF1395" s="885"/>
      <c r="CG1395" s="885"/>
      <c r="CH1395" s="885"/>
      <c r="CI1395" s="885"/>
      <c r="CJ1395" s="885"/>
      <c r="CK1395" s="885"/>
      <c r="CL1395" s="885"/>
      <c r="CM1395" s="885"/>
      <c r="CN1395" s="885"/>
      <c r="CO1395" s="885"/>
      <c r="CP1395" s="885"/>
      <c r="CQ1395" s="885"/>
      <c r="CR1395" s="885"/>
      <c r="CS1395" s="885"/>
      <c r="CT1395" s="885"/>
      <c r="CU1395" s="885"/>
      <c r="CV1395" s="885"/>
      <c r="CW1395" s="885"/>
      <c r="CX1395" s="885"/>
      <c r="CY1395" s="885"/>
      <c r="CZ1395" s="885"/>
      <c r="DA1395" s="885"/>
      <c r="DB1395" s="885"/>
      <c r="DC1395" s="885"/>
      <c r="DD1395" s="885"/>
      <c r="DE1395" s="885"/>
      <c r="DF1395" s="885"/>
      <c r="DG1395" s="885"/>
      <c r="DH1395" s="885"/>
      <c r="DI1395" s="885"/>
      <c r="DJ1395" s="885"/>
      <c r="DK1395" s="885"/>
      <c r="DL1395" s="885"/>
      <c r="DM1395" s="885"/>
      <c r="DN1395" s="885"/>
      <c r="DO1395" s="885"/>
      <c r="DP1395" s="885"/>
      <c r="DQ1395" s="885"/>
      <c r="DR1395" s="885"/>
      <c r="DS1395" s="885"/>
      <c r="DT1395" s="885"/>
      <c r="DU1395" s="885"/>
      <c r="DV1395" s="885"/>
      <c r="DW1395" s="885"/>
      <c r="DX1395" s="885"/>
      <c r="DY1395" s="885"/>
      <c r="DZ1395" s="885"/>
      <c r="EA1395" s="885"/>
      <c r="EB1395" s="885"/>
      <c r="EC1395" s="885"/>
      <c r="ED1395" s="885"/>
      <c r="EE1395" s="885"/>
      <c r="EF1395" s="885"/>
      <c r="EG1395" s="885"/>
      <c r="EH1395" s="885"/>
      <c r="EI1395" s="885"/>
      <c r="EJ1395" s="885"/>
      <c r="EK1395" s="885"/>
      <c r="EL1395" s="885"/>
      <c r="EM1395" s="885"/>
      <c r="EN1395" s="885"/>
      <c r="EO1395" s="885"/>
      <c r="EP1395" s="885"/>
      <c r="EQ1395" s="885"/>
      <c r="ER1395" s="885"/>
      <c r="ES1395" s="885"/>
      <c r="ET1395" s="885"/>
      <c r="EU1395" s="885"/>
      <c r="EV1395" s="885"/>
      <c r="EW1395" s="885"/>
      <c r="EX1395" s="885"/>
      <c r="EY1395" s="885"/>
      <c r="EZ1395" s="885"/>
      <c r="FA1395" s="885"/>
      <c r="FB1395" s="885"/>
      <c r="FC1395" s="885"/>
      <c r="FD1395" s="885"/>
      <c r="FE1395" s="885"/>
      <c r="FF1395" s="885"/>
      <c r="FG1395" s="885"/>
      <c r="FH1395" s="885"/>
      <c r="FI1395" s="885"/>
      <c r="FJ1395" s="885"/>
      <c r="FK1395" s="885"/>
      <c r="FL1395" s="885"/>
      <c r="FM1395" s="885"/>
      <c r="FN1395" s="885"/>
      <c r="FO1395" s="885"/>
      <c r="FP1395" s="885"/>
      <c r="FQ1395" s="885"/>
      <c r="FR1395" s="885"/>
      <c r="FS1395" s="885"/>
      <c r="FT1395" s="885"/>
      <c r="FU1395" s="885"/>
      <c r="FV1395" s="885"/>
      <c r="FW1395" s="885"/>
      <c r="FX1395" s="885"/>
      <c r="FY1395" s="885"/>
      <c r="FZ1395" s="885"/>
      <c r="GA1395" s="885"/>
      <c r="GB1395" s="885"/>
      <c r="GC1395" s="885"/>
      <c r="GD1395" s="885"/>
      <c r="GE1395" s="885"/>
      <c r="GF1395" s="885"/>
      <c r="GG1395" s="885"/>
      <c r="GH1395" s="885"/>
      <c r="GI1395" s="885"/>
      <c r="GJ1395" s="885"/>
      <c r="GK1395" s="885"/>
      <c r="GL1395" s="885"/>
      <c r="GM1395" s="885"/>
      <c r="GN1395" s="885"/>
      <c r="GO1395" s="885"/>
      <c r="GP1395" s="885"/>
      <c r="GQ1395" s="885"/>
      <c r="GR1395" s="885"/>
      <c r="GS1395" s="885"/>
      <c r="GT1395" s="885"/>
      <c r="GU1395" s="885"/>
      <c r="GV1395" s="885"/>
      <c r="GW1395" s="885"/>
      <c r="GX1395" s="885"/>
      <c r="GY1395" s="885"/>
      <c r="GZ1395" s="885"/>
      <c r="HA1395" s="885"/>
      <c r="HB1395" s="885"/>
      <c r="HC1395" s="885"/>
      <c r="HD1395" s="885"/>
      <c r="HE1395" s="885"/>
      <c r="HF1395" s="885"/>
      <c r="HG1395" s="885"/>
      <c r="HH1395" s="885"/>
      <c r="HI1395" s="885"/>
      <c r="HJ1395" s="885"/>
      <c r="HK1395" s="885"/>
      <c r="HL1395" s="885"/>
      <c r="HM1395" s="885"/>
      <c r="HN1395" s="885"/>
      <c r="HO1395" s="885"/>
      <c r="HP1395" s="885"/>
      <c r="HQ1395" s="885"/>
      <c r="HR1395" s="885"/>
      <c r="HS1395" s="885"/>
      <c r="HT1395" s="885"/>
      <c r="HU1395" s="885"/>
      <c r="HV1395" s="885"/>
      <c r="HW1395" s="885"/>
      <c r="HX1395" s="885"/>
      <c r="HY1395" s="885"/>
      <c r="HZ1395" s="885"/>
      <c r="IA1395" s="885"/>
      <c r="IB1395" s="885"/>
      <c r="IC1395" s="885"/>
      <c r="ID1395" s="885"/>
      <c r="IE1395" s="885"/>
      <c r="IF1395" s="885"/>
      <c r="IG1395" s="885"/>
      <c r="IH1395" s="885"/>
      <c r="II1395" s="885"/>
      <c r="IJ1395" s="885"/>
      <c r="IK1395" s="885"/>
      <c r="IL1395" s="885"/>
      <c r="IM1395" s="885"/>
      <c r="IN1395" s="885"/>
      <c r="IO1395" s="885"/>
      <c r="IP1395" s="885"/>
      <c r="IQ1395" s="885"/>
      <c r="IR1395" s="885"/>
      <c r="IS1395" s="885"/>
      <c r="IT1395" s="885"/>
      <c r="IU1395" s="885"/>
      <c r="IV1395" s="885"/>
      <c r="IW1395" s="885"/>
      <c r="IX1395" s="885"/>
    </row>
    <row r="1396" spans="1:258" x14ac:dyDescent="0.25">
      <c r="A1396" s="125">
        <f t="shared" si="161"/>
        <v>1356</v>
      </c>
      <c r="B1396" s="885"/>
      <c r="C1396" s="842" t="s">
        <v>10912</v>
      </c>
      <c r="D1396" s="924">
        <v>0</v>
      </c>
      <c r="E1396" s="924">
        <f t="shared" si="165"/>
        <v>0</v>
      </c>
      <c r="F1396" s="129">
        <v>1500</v>
      </c>
      <c r="G1396" s="122" t="s">
        <v>1963</v>
      </c>
      <c r="H1396" s="885"/>
      <c r="I1396" s="885"/>
      <c r="J1396" s="885"/>
      <c r="K1396" s="885"/>
      <c r="L1396" s="885"/>
      <c r="M1396" s="885"/>
      <c r="N1396" s="885"/>
      <c r="O1396" s="885"/>
      <c r="P1396" s="885"/>
      <c r="Q1396" s="885"/>
      <c r="R1396" s="885"/>
      <c r="S1396" s="885"/>
      <c r="T1396" s="885"/>
      <c r="U1396" s="885"/>
      <c r="V1396" s="885"/>
      <c r="W1396" s="885"/>
      <c r="X1396" s="885"/>
      <c r="Y1396" s="885"/>
      <c r="Z1396" s="885"/>
      <c r="AA1396" s="885"/>
      <c r="AB1396" s="885"/>
      <c r="AC1396" s="885"/>
      <c r="AD1396" s="885"/>
      <c r="AE1396" s="885"/>
      <c r="AF1396" s="885"/>
      <c r="AG1396" s="885"/>
      <c r="AH1396" s="885"/>
      <c r="AI1396" s="885"/>
      <c r="AJ1396" s="885"/>
      <c r="AK1396" s="885"/>
      <c r="AL1396" s="885"/>
      <c r="AM1396" s="885"/>
      <c r="AN1396" s="885"/>
      <c r="AO1396" s="885"/>
      <c r="AP1396" s="885"/>
      <c r="AQ1396" s="885"/>
      <c r="AR1396" s="885"/>
      <c r="AS1396" s="885"/>
      <c r="AT1396" s="885"/>
      <c r="AU1396" s="885"/>
      <c r="AV1396" s="885"/>
      <c r="AW1396" s="885"/>
      <c r="AX1396" s="885"/>
      <c r="AY1396" s="885"/>
      <c r="AZ1396" s="885"/>
      <c r="BA1396" s="885"/>
      <c r="BB1396" s="885"/>
      <c r="BC1396" s="885"/>
      <c r="BD1396" s="885"/>
      <c r="BE1396" s="885"/>
      <c r="BF1396" s="885"/>
      <c r="BG1396" s="885"/>
      <c r="BH1396" s="885"/>
      <c r="BI1396" s="885"/>
      <c r="BJ1396" s="885"/>
      <c r="BK1396" s="885"/>
      <c r="BL1396" s="885"/>
      <c r="BM1396" s="885"/>
      <c r="BN1396" s="885"/>
      <c r="BO1396" s="885"/>
      <c r="BP1396" s="885"/>
      <c r="BQ1396" s="885"/>
      <c r="BR1396" s="885"/>
      <c r="BS1396" s="885"/>
      <c r="BT1396" s="885"/>
      <c r="BU1396" s="885"/>
      <c r="BV1396" s="885"/>
      <c r="BW1396" s="885"/>
      <c r="BX1396" s="885"/>
      <c r="BY1396" s="885"/>
      <c r="BZ1396" s="885"/>
      <c r="CA1396" s="885"/>
      <c r="CB1396" s="885"/>
      <c r="CC1396" s="885"/>
      <c r="CD1396" s="885"/>
      <c r="CE1396" s="885"/>
      <c r="CF1396" s="885"/>
      <c r="CG1396" s="885"/>
      <c r="CH1396" s="885"/>
      <c r="CI1396" s="885"/>
      <c r="CJ1396" s="885"/>
      <c r="CK1396" s="885"/>
      <c r="CL1396" s="885"/>
      <c r="CM1396" s="885"/>
      <c r="CN1396" s="885"/>
      <c r="CO1396" s="885"/>
      <c r="CP1396" s="885"/>
      <c r="CQ1396" s="885"/>
      <c r="CR1396" s="885"/>
      <c r="CS1396" s="885"/>
      <c r="CT1396" s="885"/>
      <c r="CU1396" s="885"/>
      <c r="CV1396" s="885"/>
      <c r="CW1396" s="885"/>
      <c r="CX1396" s="885"/>
      <c r="CY1396" s="885"/>
      <c r="CZ1396" s="885"/>
      <c r="DA1396" s="885"/>
      <c r="DB1396" s="885"/>
      <c r="DC1396" s="885"/>
      <c r="DD1396" s="885"/>
      <c r="DE1396" s="885"/>
      <c r="DF1396" s="885"/>
      <c r="DG1396" s="885"/>
      <c r="DH1396" s="885"/>
      <c r="DI1396" s="885"/>
      <c r="DJ1396" s="885"/>
      <c r="DK1396" s="885"/>
      <c r="DL1396" s="885"/>
      <c r="DM1396" s="885"/>
      <c r="DN1396" s="885"/>
      <c r="DO1396" s="885"/>
      <c r="DP1396" s="885"/>
      <c r="DQ1396" s="885"/>
      <c r="DR1396" s="885"/>
      <c r="DS1396" s="885"/>
      <c r="DT1396" s="885"/>
      <c r="DU1396" s="885"/>
      <c r="DV1396" s="885"/>
      <c r="DW1396" s="885"/>
      <c r="DX1396" s="885"/>
      <c r="DY1396" s="885"/>
      <c r="DZ1396" s="885"/>
      <c r="EA1396" s="885"/>
      <c r="EB1396" s="885"/>
      <c r="EC1396" s="885"/>
      <c r="ED1396" s="885"/>
      <c r="EE1396" s="885"/>
      <c r="EF1396" s="885"/>
      <c r="EG1396" s="885"/>
      <c r="EH1396" s="885"/>
      <c r="EI1396" s="885"/>
      <c r="EJ1396" s="885"/>
      <c r="EK1396" s="885"/>
      <c r="EL1396" s="885"/>
      <c r="EM1396" s="885"/>
      <c r="EN1396" s="885"/>
      <c r="EO1396" s="885"/>
      <c r="EP1396" s="885"/>
      <c r="EQ1396" s="885"/>
      <c r="ER1396" s="885"/>
      <c r="ES1396" s="885"/>
      <c r="ET1396" s="885"/>
      <c r="EU1396" s="885"/>
      <c r="EV1396" s="885"/>
      <c r="EW1396" s="885"/>
      <c r="EX1396" s="885"/>
      <c r="EY1396" s="885"/>
      <c r="EZ1396" s="885"/>
      <c r="FA1396" s="885"/>
      <c r="FB1396" s="885"/>
      <c r="FC1396" s="885"/>
      <c r="FD1396" s="885"/>
      <c r="FE1396" s="885"/>
      <c r="FF1396" s="885"/>
      <c r="FG1396" s="885"/>
      <c r="FH1396" s="885"/>
      <c r="FI1396" s="885"/>
      <c r="FJ1396" s="885"/>
      <c r="FK1396" s="885"/>
      <c r="FL1396" s="885"/>
      <c r="FM1396" s="885"/>
      <c r="FN1396" s="885"/>
      <c r="FO1396" s="885"/>
      <c r="FP1396" s="885"/>
      <c r="FQ1396" s="885"/>
      <c r="FR1396" s="885"/>
      <c r="FS1396" s="885"/>
      <c r="FT1396" s="885"/>
      <c r="FU1396" s="885"/>
      <c r="FV1396" s="885"/>
      <c r="FW1396" s="885"/>
      <c r="FX1396" s="885"/>
      <c r="FY1396" s="885"/>
      <c r="FZ1396" s="885"/>
      <c r="GA1396" s="885"/>
      <c r="GB1396" s="885"/>
      <c r="GC1396" s="885"/>
      <c r="GD1396" s="885"/>
      <c r="GE1396" s="885"/>
      <c r="GF1396" s="885"/>
      <c r="GG1396" s="885"/>
      <c r="GH1396" s="885"/>
      <c r="GI1396" s="885"/>
      <c r="GJ1396" s="885"/>
      <c r="GK1396" s="885"/>
      <c r="GL1396" s="885"/>
      <c r="GM1396" s="885"/>
      <c r="GN1396" s="885"/>
      <c r="GO1396" s="885"/>
      <c r="GP1396" s="885"/>
      <c r="GQ1396" s="885"/>
      <c r="GR1396" s="885"/>
      <c r="GS1396" s="885"/>
      <c r="GT1396" s="885"/>
      <c r="GU1396" s="885"/>
      <c r="GV1396" s="885"/>
      <c r="GW1396" s="885"/>
      <c r="GX1396" s="885"/>
      <c r="GY1396" s="885"/>
      <c r="GZ1396" s="885"/>
      <c r="HA1396" s="885"/>
      <c r="HB1396" s="885"/>
      <c r="HC1396" s="885"/>
      <c r="HD1396" s="885"/>
      <c r="HE1396" s="885"/>
      <c r="HF1396" s="885"/>
      <c r="HG1396" s="885"/>
      <c r="HH1396" s="885"/>
      <c r="HI1396" s="885"/>
      <c r="HJ1396" s="885"/>
      <c r="HK1396" s="885"/>
      <c r="HL1396" s="885"/>
      <c r="HM1396" s="885"/>
      <c r="HN1396" s="885"/>
      <c r="HO1396" s="885"/>
      <c r="HP1396" s="885"/>
      <c r="HQ1396" s="885"/>
      <c r="HR1396" s="885"/>
      <c r="HS1396" s="885"/>
      <c r="HT1396" s="885"/>
      <c r="HU1396" s="885"/>
      <c r="HV1396" s="885"/>
      <c r="HW1396" s="885"/>
      <c r="HX1396" s="885"/>
      <c r="HY1396" s="885"/>
      <c r="HZ1396" s="885"/>
      <c r="IA1396" s="885"/>
      <c r="IB1396" s="885"/>
      <c r="IC1396" s="885"/>
      <c r="ID1396" s="885"/>
      <c r="IE1396" s="885"/>
      <c r="IF1396" s="885"/>
      <c r="IG1396" s="885"/>
      <c r="IH1396" s="885"/>
      <c r="II1396" s="885"/>
      <c r="IJ1396" s="885"/>
      <c r="IK1396" s="885"/>
      <c r="IL1396" s="885"/>
      <c r="IM1396" s="885"/>
      <c r="IN1396" s="885"/>
      <c r="IO1396" s="885"/>
      <c r="IP1396" s="885"/>
      <c r="IQ1396" s="885"/>
      <c r="IR1396" s="885"/>
      <c r="IS1396" s="885"/>
      <c r="IT1396" s="885"/>
      <c r="IU1396" s="885"/>
      <c r="IV1396" s="885"/>
      <c r="IW1396" s="885"/>
      <c r="IX1396" s="885"/>
    </row>
    <row r="1397" spans="1:258" x14ac:dyDescent="0.25">
      <c r="A1397" s="125">
        <f t="shared" si="161"/>
        <v>1357</v>
      </c>
      <c r="B1397" s="885"/>
      <c r="C1397" s="842" t="s">
        <v>10913</v>
      </c>
      <c r="D1397" s="924">
        <v>0</v>
      </c>
      <c r="E1397" s="924">
        <f t="shared" si="165"/>
        <v>0</v>
      </c>
      <c r="F1397" s="129">
        <v>1500</v>
      </c>
      <c r="G1397" s="122" t="s">
        <v>1963</v>
      </c>
      <c r="H1397" s="885"/>
      <c r="I1397" s="885"/>
      <c r="J1397" s="885"/>
      <c r="K1397" s="885"/>
      <c r="L1397" s="885"/>
      <c r="M1397" s="885"/>
      <c r="N1397" s="885"/>
      <c r="O1397" s="885"/>
      <c r="P1397" s="885"/>
      <c r="Q1397" s="885"/>
      <c r="R1397" s="885"/>
      <c r="S1397" s="885"/>
      <c r="T1397" s="885"/>
      <c r="U1397" s="885"/>
      <c r="V1397" s="885"/>
      <c r="W1397" s="885"/>
      <c r="X1397" s="885"/>
      <c r="Y1397" s="885"/>
      <c r="Z1397" s="885"/>
      <c r="AA1397" s="885"/>
      <c r="AB1397" s="885"/>
      <c r="AC1397" s="885"/>
      <c r="AD1397" s="885"/>
      <c r="AE1397" s="885"/>
      <c r="AF1397" s="885"/>
      <c r="AG1397" s="885"/>
      <c r="AH1397" s="885"/>
      <c r="AI1397" s="885"/>
      <c r="AJ1397" s="885"/>
      <c r="AK1397" s="885"/>
      <c r="AL1397" s="885"/>
      <c r="AM1397" s="885"/>
      <c r="AN1397" s="885"/>
      <c r="AO1397" s="885"/>
      <c r="AP1397" s="885"/>
      <c r="AQ1397" s="885"/>
      <c r="AR1397" s="885"/>
      <c r="AS1397" s="885"/>
      <c r="AT1397" s="885"/>
      <c r="AU1397" s="885"/>
      <c r="AV1397" s="885"/>
      <c r="AW1397" s="885"/>
      <c r="AX1397" s="885"/>
      <c r="AY1397" s="885"/>
      <c r="AZ1397" s="885"/>
      <c r="BA1397" s="885"/>
      <c r="BB1397" s="885"/>
      <c r="BC1397" s="885"/>
      <c r="BD1397" s="885"/>
      <c r="BE1397" s="885"/>
      <c r="BF1397" s="885"/>
      <c r="BG1397" s="885"/>
      <c r="BH1397" s="885"/>
      <c r="BI1397" s="885"/>
      <c r="BJ1397" s="885"/>
      <c r="BK1397" s="885"/>
      <c r="BL1397" s="885"/>
      <c r="BM1397" s="885"/>
      <c r="BN1397" s="885"/>
      <c r="BO1397" s="885"/>
      <c r="BP1397" s="885"/>
      <c r="BQ1397" s="885"/>
      <c r="BR1397" s="885"/>
      <c r="BS1397" s="885"/>
      <c r="BT1397" s="885"/>
      <c r="BU1397" s="885"/>
      <c r="BV1397" s="885"/>
      <c r="BW1397" s="885"/>
      <c r="BX1397" s="885"/>
      <c r="BY1397" s="885"/>
      <c r="BZ1397" s="885"/>
      <c r="CA1397" s="885"/>
      <c r="CB1397" s="885"/>
      <c r="CC1397" s="885"/>
      <c r="CD1397" s="885"/>
      <c r="CE1397" s="885"/>
      <c r="CF1397" s="885"/>
      <c r="CG1397" s="885"/>
      <c r="CH1397" s="885"/>
      <c r="CI1397" s="885"/>
      <c r="CJ1397" s="885"/>
      <c r="CK1397" s="885"/>
      <c r="CL1397" s="885"/>
      <c r="CM1397" s="885"/>
      <c r="CN1397" s="885"/>
      <c r="CO1397" s="885"/>
      <c r="CP1397" s="885"/>
      <c r="CQ1397" s="885"/>
      <c r="CR1397" s="885"/>
      <c r="CS1397" s="885"/>
      <c r="CT1397" s="885"/>
      <c r="CU1397" s="885"/>
      <c r="CV1397" s="885"/>
      <c r="CW1397" s="885"/>
      <c r="CX1397" s="885"/>
      <c r="CY1397" s="885"/>
      <c r="CZ1397" s="885"/>
      <c r="DA1397" s="885"/>
      <c r="DB1397" s="885"/>
      <c r="DC1397" s="885"/>
      <c r="DD1397" s="885"/>
      <c r="DE1397" s="885"/>
      <c r="DF1397" s="885"/>
      <c r="DG1397" s="885"/>
      <c r="DH1397" s="885"/>
      <c r="DI1397" s="885"/>
      <c r="DJ1397" s="885"/>
      <c r="DK1397" s="885"/>
      <c r="DL1397" s="885"/>
      <c r="DM1397" s="885"/>
      <c r="DN1397" s="885"/>
      <c r="DO1397" s="885"/>
      <c r="DP1397" s="885"/>
      <c r="DQ1397" s="885"/>
      <c r="DR1397" s="885"/>
      <c r="DS1397" s="885"/>
      <c r="DT1397" s="885"/>
      <c r="DU1397" s="885"/>
      <c r="DV1397" s="885"/>
      <c r="DW1397" s="885"/>
      <c r="DX1397" s="885"/>
      <c r="DY1397" s="885"/>
      <c r="DZ1397" s="885"/>
      <c r="EA1397" s="885"/>
      <c r="EB1397" s="885"/>
      <c r="EC1397" s="885"/>
      <c r="ED1397" s="885"/>
      <c r="EE1397" s="885"/>
      <c r="EF1397" s="885"/>
      <c r="EG1397" s="885"/>
      <c r="EH1397" s="885"/>
      <c r="EI1397" s="885"/>
      <c r="EJ1397" s="885"/>
      <c r="EK1397" s="885"/>
      <c r="EL1397" s="885"/>
      <c r="EM1397" s="885"/>
      <c r="EN1397" s="885"/>
      <c r="EO1397" s="885"/>
      <c r="EP1397" s="885"/>
      <c r="EQ1397" s="885"/>
      <c r="ER1397" s="885"/>
      <c r="ES1397" s="885"/>
      <c r="ET1397" s="885"/>
      <c r="EU1397" s="885"/>
      <c r="EV1397" s="885"/>
      <c r="EW1397" s="885"/>
      <c r="EX1397" s="885"/>
      <c r="EY1397" s="885"/>
      <c r="EZ1397" s="885"/>
      <c r="FA1397" s="885"/>
      <c r="FB1397" s="885"/>
      <c r="FC1397" s="885"/>
      <c r="FD1397" s="885"/>
      <c r="FE1397" s="885"/>
      <c r="FF1397" s="885"/>
      <c r="FG1397" s="885"/>
      <c r="FH1397" s="885"/>
      <c r="FI1397" s="885"/>
      <c r="FJ1397" s="885"/>
      <c r="FK1397" s="885"/>
      <c r="FL1397" s="885"/>
      <c r="FM1397" s="885"/>
      <c r="FN1397" s="885"/>
      <c r="FO1397" s="885"/>
      <c r="FP1397" s="885"/>
      <c r="FQ1397" s="885"/>
      <c r="FR1397" s="885"/>
      <c r="FS1397" s="885"/>
      <c r="FT1397" s="885"/>
      <c r="FU1397" s="885"/>
      <c r="FV1397" s="885"/>
      <c r="FW1397" s="885"/>
      <c r="FX1397" s="885"/>
      <c r="FY1397" s="885"/>
      <c r="FZ1397" s="885"/>
      <c r="GA1397" s="885"/>
      <c r="GB1397" s="885"/>
      <c r="GC1397" s="885"/>
      <c r="GD1397" s="885"/>
      <c r="GE1397" s="885"/>
      <c r="GF1397" s="885"/>
      <c r="GG1397" s="885"/>
      <c r="GH1397" s="885"/>
      <c r="GI1397" s="885"/>
      <c r="GJ1397" s="885"/>
      <c r="GK1397" s="885"/>
      <c r="GL1397" s="885"/>
      <c r="GM1397" s="885"/>
      <c r="GN1397" s="885"/>
      <c r="GO1397" s="885"/>
      <c r="GP1397" s="885"/>
      <c r="GQ1397" s="885"/>
      <c r="GR1397" s="885"/>
      <c r="GS1397" s="885"/>
      <c r="GT1397" s="885"/>
      <c r="GU1397" s="885"/>
      <c r="GV1397" s="885"/>
      <c r="GW1397" s="885"/>
      <c r="GX1397" s="885"/>
      <c r="GY1397" s="885"/>
      <c r="GZ1397" s="885"/>
      <c r="HA1397" s="885"/>
      <c r="HB1397" s="885"/>
      <c r="HC1397" s="885"/>
      <c r="HD1397" s="885"/>
      <c r="HE1397" s="885"/>
      <c r="HF1397" s="885"/>
      <c r="HG1397" s="885"/>
      <c r="HH1397" s="885"/>
      <c r="HI1397" s="885"/>
      <c r="HJ1397" s="885"/>
      <c r="HK1397" s="885"/>
      <c r="HL1397" s="885"/>
      <c r="HM1397" s="885"/>
      <c r="HN1397" s="885"/>
      <c r="HO1397" s="885"/>
      <c r="HP1397" s="885"/>
      <c r="HQ1397" s="885"/>
      <c r="HR1397" s="885"/>
      <c r="HS1397" s="885"/>
      <c r="HT1397" s="885"/>
      <c r="HU1397" s="885"/>
      <c r="HV1397" s="885"/>
      <c r="HW1397" s="885"/>
      <c r="HX1397" s="885"/>
      <c r="HY1397" s="885"/>
      <c r="HZ1397" s="885"/>
      <c r="IA1397" s="885"/>
      <c r="IB1397" s="885"/>
      <c r="IC1397" s="885"/>
      <c r="ID1397" s="885"/>
      <c r="IE1397" s="885"/>
      <c r="IF1397" s="885"/>
      <c r="IG1397" s="885"/>
      <c r="IH1397" s="885"/>
      <c r="II1397" s="885"/>
      <c r="IJ1397" s="885"/>
      <c r="IK1397" s="885"/>
      <c r="IL1397" s="885"/>
      <c r="IM1397" s="885"/>
      <c r="IN1397" s="885"/>
      <c r="IO1397" s="885"/>
      <c r="IP1397" s="885"/>
      <c r="IQ1397" s="885"/>
      <c r="IR1397" s="885"/>
      <c r="IS1397" s="885"/>
      <c r="IT1397" s="885"/>
      <c r="IU1397" s="885"/>
      <c r="IV1397" s="885"/>
      <c r="IW1397" s="885"/>
      <c r="IX1397" s="885"/>
    </row>
    <row r="1398" spans="1:258" ht="31.5" x14ac:dyDescent="0.25">
      <c r="A1398" s="125">
        <f t="shared" si="161"/>
        <v>1358</v>
      </c>
      <c r="B1398" s="885"/>
      <c r="C1398" s="842" t="s">
        <v>10914</v>
      </c>
      <c r="D1398" s="924">
        <v>1298</v>
      </c>
      <c r="E1398" s="924">
        <f t="shared" si="165"/>
        <v>1947</v>
      </c>
      <c r="F1398" s="129">
        <v>5000</v>
      </c>
      <c r="G1398" s="122" t="s">
        <v>1963</v>
      </c>
      <c r="H1398" s="885"/>
      <c r="I1398" s="885"/>
      <c r="J1398" s="885"/>
      <c r="K1398" s="885"/>
      <c r="L1398" s="885"/>
      <c r="M1398" s="885"/>
      <c r="N1398" s="885"/>
      <c r="O1398" s="885"/>
      <c r="P1398" s="885"/>
      <c r="Q1398" s="885"/>
      <c r="R1398" s="885"/>
      <c r="S1398" s="885"/>
      <c r="T1398" s="885"/>
      <c r="U1398" s="885"/>
      <c r="V1398" s="885"/>
      <c r="W1398" s="885"/>
      <c r="X1398" s="885"/>
      <c r="Y1398" s="885"/>
      <c r="Z1398" s="885"/>
      <c r="AA1398" s="885"/>
      <c r="AB1398" s="885"/>
      <c r="AC1398" s="885"/>
      <c r="AD1398" s="885"/>
      <c r="AE1398" s="885"/>
      <c r="AF1398" s="885"/>
      <c r="AG1398" s="885"/>
      <c r="AH1398" s="885"/>
      <c r="AI1398" s="885"/>
      <c r="AJ1398" s="885"/>
      <c r="AK1398" s="885"/>
      <c r="AL1398" s="885"/>
      <c r="AM1398" s="885"/>
      <c r="AN1398" s="885"/>
      <c r="AO1398" s="885"/>
      <c r="AP1398" s="885"/>
      <c r="AQ1398" s="885"/>
      <c r="AR1398" s="885"/>
      <c r="AS1398" s="885"/>
      <c r="AT1398" s="885"/>
      <c r="AU1398" s="885"/>
      <c r="AV1398" s="885"/>
      <c r="AW1398" s="885"/>
      <c r="AX1398" s="885"/>
      <c r="AY1398" s="885"/>
      <c r="AZ1398" s="885"/>
      <c r="BA1398" s="885"/>
      <c r="BB1398" s="885"/>
      <c r="BC1398" s="885"/>
      <c r="BD1398" s="885"/>
      <c r="BE1398" s="885"/>
      <c r="BF1398" s="885"/>
      <c r="BG1398" s="885"/>
      <c r="BH1398" s="885"/>
      <c r="BI1398" s="885"/>
      <c r="BJ1398" s="885"/>
      <c r="BK1398" s="885"/>
      <c r="BL1398" s="885"/>
      <c r="BM1398" s="885"/>
      <c r="BN1398" s="885"/>
      <c r="BO1398" s="885"/>
      <c r="BP1398" s="885"/>
      <c r="BQ1398" s="885"/>
      <c r="BR1398" s="885"/>
      <c r="BS1398" s="885"/>
      <c r="BT1398" s="885"/>
      <c r="BU1398" s="885"/>
      <c r="BV1398" s="885"/>
      <c r="BW1398" s="885"/>
      <c r="BX1398" s="885"/>
      <c r="BY1398" s="885"/>
      <c r="BZ1398" s="885"/>
      <c r="CA1398" s="885"/>
      <c r="CB1398" s="885"/>
      <c r="CC1398" s="885"/>
      <c r="CD1398" s="885"/>
      <c r="CE1398" s="885"/>
      <c r="CF1398" s="885"/>
      <c r="CG1398" s="885"/>
      <c r="CH1398" s="885"/>
      <c r="CI1398" s="885"/>
      <c r="CJ1398" s="885"/>
      <c r="CK1398" s="885"/>
      <c r="CL1398" s="885"/>
      <c r="CM1398" s="885"/>
      <c r="CN1398" s="885"/>
      <c r="CO1398" s="885"/>
      <c r="CP1398" s="885"/>
      <c r="CQ1398" s="885"/>
      <c r="CR1398" s="885"/>
      <c r="CS1398" s="885"/>
      <c r="CT1398" s="885"/>
      <c r="CU1398" s="885"/>
      <c r="CV1398" s="885"/>
      <c r="CW1398" s="885"/>
      <c r="CX1398" s="885"/>
      <c r="CY1398" s="885"/>
      <c r="CZ1398" s="885"/>
      <c r="DA1398" s="885"/>
      <c r="DB1398" s="885"/>
      <c r="DC1398" s="885"/>
      <c r="DD1398" s="885"/>
      <c r="DE1398" s="885"/>
      <c r="DF1398" s="885"/>
      <c r="DG1398" s="885"/>
      <c r="DH1398" s="885"/>
      <c r="DI1398" s="885"/>
      <c r="DJ1398" s="885"/>
      <c r="DK1398" s="885"/>
      <c r="DL1398" s="885"/>
      <c r="DM1398" s="885"/>
      <c r="DN1398" s="885"/>
      <c r="DO1398" s="885"/>
      <c r="DP1398" s="885"/>
      <c r="DQ1398" s="885"/>
      <c r="DR1398" s="885"/>
      <c r="DS1398" s="885"/>
      <c r="DT1398" s="885"/>
      <c r="DU1398" s="885"/>
      <c r="DV1398" s="885"/>
      <c r="DW1398" s="885"/>
      <c r="DX1398" s="885"/>
      <c r="DY1398" s="885"/>
      <c r="DZ1398" s="885"/>
      <c r="EA1398" s="885"/>
      <c r="EB1398" s="885"/>
      <c r="EC1398" s="885"/>
      <c r="ED1398" s="885"/>
      <c r="EE1398" s="885"/>
      <c r="EF1398" s="885"/>
      <c r="EG1398" s="885"/>
      <c r="EH1398" s="885"/>
      <c r="EI1398" s="885"/>
      <c r="EJ1398" s="885"/>
      <c r="EK1398" s="885"/>
      <c r="EL1398" s="885"/>
      <c r="EM1398" s="885"/>
      <c r="EN1398" s="885"/>
      <c r="EO1398" s="885"/>
      <c r="EP1398" s="885"/>
      <c r="EQ1398" s="885"/>
      <c r="ER1398" s="885"/>
      <c r="ES1398" s="885"/>
      <c r="ET1398" s="885"/>
      <c r="EU1398" s="885"/>
      <c r="EV1398" s="885"/>
      <c r="EW1398" s="885"/>
      <c r="EX1398" s="885"/>
      <c r="EY1398" s="885"/>
      <c r="EZ1398" s="885"/>
      <c r="FA1398" s="885"/>
      <c r="FB1398" s="885"/>
      <c r="FC1398" s="885"/>
      <c r="FD1398" s="885"/>
      <c r="FE1398" s="885"/>
      <c r="FF1398" s="885"/>
      <c r="FG1398" s="885"/>
      <c r="FH1398" s="885"/>
      <c r="FI1398" s="885"/>
      <c r="FJ1398" s="885"/>
      <c r="FK1398" s="885"/>
      <c r="FL1398" s="885"/>
      <c r="FM1398" s="885"/>
      <c r="FN1398" s="885"/>
      <c r="FO1398" s="885"/>
      <c r="FP1398" s="885"/>
      <c r="FQ1398" s="885"/>
      <c r="FR1398" s="885"/>
      <c r="FS1398" s="885"/>
      <c r="FT1398" s="885"/>
      <c r="FU1398" s="885"/>
      <c r="FV1398" s="885"/>
      <c r="FW1398" s="885"/>
      <c r="FX1398" s="885"/>
      <c r="FY1398" s="885"/>
      <c r="FZ1398" s="885"/>
      <c r="GA1398" s="885"/>
      <c r="GB1398" s="885"/>
      <c r="GC1398" s="885"/>
      <c r="GD1398" s="885"/>
      <c r="GE1398" s="885"/>
      <c r="GF1398" s="885"/>
      <c r="GG1398" s="885"/>
      <c r="GH1398" s="885"/>
      <c r="GI1398" s="885"/>
      <c r="GJ1398" s="885"/>
      <c r="GK1398" s="885"/>
      <c r="GL1398" s="885"/>
      <c r="GM1398" s="885"/>
      <c r="GN1398" s="885"/>
      <c r="GO1398" s="885"/>
      <c r="GP1398" s="885"/>
      <c r="GQ1398" s="885"/>
      <c r="GR1398" s="885"/>
      <c r="GS1398" s="885"/>
      <c r="GT1398" s="885"/>
      <c r="GU1398" s="885"/>
      <c r="GV1398" s="885"/>
      <c r="GW1398" s="885"/>
      <c r="GX1398" s="885"/>
      <c r="GY1398" s="885"/>
      <c r="GZ1398" s="885"/>
      <c r="HA1398" s="885"/>
      <c r="HB1398" s="885"/>
      <c r="HC1398" s="885"/>
      <c r="HD1398" s="885"/>
      <c r="HE1398" s="885"/>
      <c r="HF1398" s="885"/>
      <c r="HG1398" s="885"/>
      <c r="HH1398" s="885"/>
      <c r="HI1398" s="885"/>
      <c r="HJ1398" s="885"/>
      <c r="HK1398" s="885"/>
      <c r="HL1398" s="885"/>
      <c r="HM1398" s="885"/>
      <c r="HN1398" s="885"/>
      <c r="HO1398" s="885"/>
      <c r="HP1398" s="885"/>
      <c r="HQ1398" s="885"/>
      <c r="HR1398" s="885"/>
      <c r="HS1398" s="885"/>
      <c r="HT1398" s="885"/>
      <c r="HU1398" s="885"/>
      <c r="HV1398" s="885"/>
      <c r="HW1398" s="885"/>
      <c r="HX1398" s="885"/>
      <c r="HY1398" s="885"/>
      <c r="HZ1398" s="885"/>
      <c r="IA1398" s="885"/>
      <c r="IB1398" s="885"/>
      <c r="IC1398" s="885"/>
      <c r="ID1398" s="885"/>
      <c r="IE1398" s="885"/>
      <c r="IF1398" s="885"/>
      <c r="IG1398" s="885"/>
      <c r="IH1398" s="885"/>
      <c r="II1398" s="885"/>
      <c r="IJ1398" s="885"/>
      <c r="IK1398" s="885"/>
      <c r="IL1398" s="885"/>
      <c r="IM1398" s="885"/>
      <c r="IN1398" s="885"/>
      <c r="IO1398" s="885"/>
      <c r="IP1398" s="885"/>
      <c r="IQ1398" s="885"/>
      <c r="IR1398" s="885"/>
      <c r="IS1398" s="885"/>
      <c r="IT1398" s="885"/>
      <c r="IU1398" s="885"/>
      <c r="IV1398" s="885"/>
      <c r="IW1398" s="885"/>
      <c r="IX1398" s="885"/>
    </row>
    <row r="1399" spans="1:258" x14ac:dyDescent="0.25">
      <c r="A1399" s="125">
        <f t="shared" si="161"/>
        <v>1359</v>
      </c>
      <c r="B1399" s="885"/>
      <c r="C1399" s="232" t="s">
        <v>10916</v>
      </c>
      <c r="D1399" s="915"/>
      <c r="E1399" s="915"/>
      <c r="F1399" s="129"/>
      <c r="H1399" s="885"/>
      <c r="I1399" s="885"/>
      <c r="J1399" s="885"/>
      <c r="K1399" s="885"/>
      <c r="L1399" s="885"/>
      <c r="M1399" s="885"/>
      <c r="N1399" s="885"/>
      <c r="O1399" s="885"/>
      <c r="P1399" s="885"/>
      <c r="Q1399" s="885"/>
      <c r="R1399" s="885"/>
      <c r="S1399" s="885"/>
      <c r="T1399" s="885"/>
      <c r="U1399" s="885"/>
      <c r="V1399" s="885"/>
      <c r="W1399" s="885"/>
      <c r="X1399" s="885"/>
      <c r="Y1399" s="885"/>
      <c r="Z1399" s="885"/>
      <c r="AA1399" s="885"/>
      <c r="AB1399" s="885"/>
      <c r="AC1399" s="885"/>
      <c r="AD1399" s="885"/>
      <c r="AE1399" s="885"/>
      <c r="AF1399" s="885"/>
      <c r="AG1399" s="885"/>
      <c r="AH1399" s="885"/>
      <c r="AI1399" s="885"/>
      <c r="AJ1399" s="885"/>
      <c r="AK1399" s="885"/>
      <c r="AL1399" s="885"/>
      <c r="AM1399" s="885"/>
      <c r="AN1399" s="885"/>
      <c r="AO1399" s="885"/>
      <c r="AP1399" s="885"/>
      <c r="AQ1399" s="885"/>
      <c r="AR1399" s="885"/>
      <c r="AS1399" s="885"/>
      <c r="AT1399" s="885"/>
      <c r="AU1399" s="885"/>
      <c r="AV1399" s="885"/>
      <c r="AW1399" s="885"/>
      <c r="AX1399" s="885"/>
      <c r="AY1399" s="885"/>
      <c r="AZ1399" s="885"/>
      <c r="BA1399" s="885"/>
      <c r="BB1399" s="885"/>
      <c r="BC1399" s="885"/>
      <c r="BD1399" s="885"/>
      <c r="BE1399" s="885"/>
      <c r="BF1399" s="885"/>
      <c r="BG1399" s="885"/>
      <c r="BH1399" s="885"/>
      <c r="BI1399" s="885"/>
      <c r="BJ1399" s="885"/>
      <c r="BK1399" s="885"/>
      <c r="BL1399" s="885"/>
      <c r="BM1399" s="885"/>
      <c r="BN1399" s="885"/>
      <c r="BO1399" s="885"/>
      <c r="BP1399" s="885"/>
      <c r="BQ1399" s="885"/>
      <c r="BR1399" s="885"/>
      <c r="BS1399" s="885"/>
      <c r="BT1399" s="885"/>
      <c r="BU1399" s="885"/>
      <c r="BV1399" s="885"/>
      <c r="BW1399" s="885"/>
      <c r="BX1399" s="885"/>
      <c r="BY1399" s="885"/>
      <c r="BZ1399" s="885"/>
      <c r="CA1399" s="885"/>
      <c r="CB1399" s="885"/>
      <c r="CC1399" s="885"/>
      <c r="CD1399" s="885"/>
      <c r="CE1399" s="885"/>
      <c r="CF1399" s="885"/>
      <c r="CG1399" s="885"/>
      <c r="CH1399" s="885"/>
      <c r="CI1399" s="885"/>
      <c r="CJ1399" s="885"/>
      <c r="CK1399" s="885"/>
      <c r="CL1399" s="885"/>
      <c r="CM1399" s="885"/>
      <c r="CN1399" s="885"/>
      <c r="CO1399" s="885"/>
      <c r="CP1399" s="885"/>
      <c r="CQ1399" s="885"/>
      <c r="CR1399" s="885"/>
      <c r="CS1399" s="885"/>
      <c r="CT1399" s="885"/>
      <c r="CU1399" s="885"/>
      <c r="CV1399" s="885"/>
      <c r="CW1399" s="885"/>
      <c r="CX1399" s="885"/>
      <c r="CY1399" s="885"/>
      <c r="CZ1399" s="885"/>
      <c r="DA1399" s="885"/>
      <c r="DB1399" s="885"/>
      <c r="DC1399" s="885"/>
      <c r="DD1399" s="885"/>
      <c r="DE1399" s="885"/>
      <c r="DF1399" s="885"/>
      <c r="DG1399" s="885"/>
      <c r="DH1399" s="885"/>
      <c r="DI1399" s="885"/>
      <c r="DJ1399" s="885"/>
      <c r="DK1399" s="885"/>
      <c r="DL1399" s="885"/>
      <c r="DM1399" s="885"/>
      <c r="DN1399" s="885"/>
      <c r="DO1399" s="885"/>
      <c r="DP1399" s="885"/>
      <c r="DQ1399" s="885"/>
      <c r="DR1399" s="885"/>
      <c r="DS1399" s="885"/>
      <c r="DT1399" s="885"/>
      <c r="DU1399" s="885"/>
      <c r="DV1399" s="885"/>
      <c r="DW1399" s="885"/>
      <c r="DX1399" s="885"/>
      <c r="DY1399" s="885"/>
      <c r="DZ1399" s="885"/>
      <c r="EA1399" s="885"/>
      <c r="EB1399" s="885"/>
      <c r="EC1399" s="885"/>
      <c r="ED1399" s="885"/>
      <c r="EE1399" s="885"/>
      <c r="EF1399" s="885"/>
      <c r="EG1399" s="885"/>
      <c r="EH1399" s="885"/>
      <c r="EI1399" s="885"/>
      <c r="EJ1399" s="885"/>
      <c r="EK1399" s="885"/>
      <c r="EL1399" s="885"/>
      <c r="EM1399" s="885"/>
      <c r="EN1399" s="885"/>
      <c r="EO1399" s="885"/>
      <c r="EP1399" s="885"/>
      <c r="EQ1399" s="885"/>
      <c r="ER1399" s="885"/>
      <c r="ES1399" s="885"/>
      <c r="ET1399" s="885"/>
      <c r="EU1399" s="885"/>
      <c r="EV1399" s="885"/>
      <c r="EW1399" s="885"/>
      <c r="EX1399" s="885"/>
      <c r="EY1399" s="885"/>
      <c r="EZ1399" s="885"/>
      <c r="FA1399" s="885"/>
      <c r="FB1399" s="885"/>
      <c r="FC1399" s="885"/>
      <c r="FD1399" s="885"/>
      <c r="FE1399" s="885"/>
      <c r="FF1399" s="885"/>
      <c r="FG1399" s="885"/>
      <c r="FH1399" s="885"/>
      <c r="FI1399" s="885"/>
      <c r="FJ1399" s="885"/>
      <c r="FK1399" s="885"/>
      <c r="FL1399" s="885"/>
      <c r="FM1399" s="885"/>
      <c r="FN1399" s="885"/>
      <c r="FO1399" s="885"/>
      <c r="FP1399" s="885"/>
      <c r="FQ1399" s="885"/>
      <c r="FR1399" s="885"/>
      <c r="FS1399" s="885"/>
      <c r="FT1399" s="885"/>
      <c r="FU1399" s="885"/>
      <c r="FV1399" s="885"/>
      <c r="FW1399" s="885"/>
      <c r="FX1399" s="885"/>
      <c r="FY1399" s="885"/>
      <c r="FZ1399" s="885"/>
      <c r="GA1399" s="885"/>
      <c r="GB1399" s="885"/>
      <c r="GC1399" s="885"/>
      <c r="GD1399" s="885"/>
      <c r="GE1399" s="885"/>
      <c r="GF1399" s="885"/>
      <c r="GG1399" s="885"/>
      <c r="GH1399" s="885"/>
      <c r="GI1399" s="885"/>
      <c r="GJ1399" s="885"/>
      <c r="GK1399" s="885"/>
      <c r="GL1399" s="885"/>
      <c r="GM1399" s="885"/>
      <c r="GN1399" s="885"/>
      <c r="GO1399" s="885"/>
      <c r="GP1399" s="885"/>
      <c r="GQ1399" s="885"/>
      <c r="GR1399" s="885"/>
      <c r="GS1399" s="885"/>
      <c r="GT1399" s="885"/>
      <c r="GU1399" s="885"/>
      <c r="GV1399" s="885"/>
      <c r="GW1399" s="885"/>
      <c r="GX1399" s="885"/>
      <c r="GY1399" s="885"/>
      <c r="GZ1399" s="885"/>
      <c r="HA1399" s="885"/>
      <c r="HB1399" s="885"/>
      <c r="HC1399" s="885"/>
      <c r="HD1399" s="885"/>
      <c r="HE1399" s="885"/>
      <c r="HF1399" s="885"/>
      <c r="HG1399" s="885"/>
      <c r="HH1399" s="885"/>
      <c r="HI1399" s="885"/>
      <c r="HJ1399" s="885"/>
      <c r="HK1399" s="885"/>
      <c r="HL1399" s="885"/>
      <c r="HM1399" s="885"/>
      <c r="HN1399" s="885"/>
      <c r="HO1399" s="885"/>
      <c r="HP1399" s="885"/>
      <c r="HQ1399" s="885"/>
      <c r="HR1399" s="885"/>
      <c r="HS1399" s="885"/>
      <c r="HT1399" s="885"/>
      <c r="HU1399" s="885"/>
      <c r="HV1399" s="885"/>
      <c r="HW1399" s="885"/>
      <c r="HX1399" s="885"/>
      <c r="HY1399" s="885"/>
      <c r="HZ1399" s="885"/>
      <c r="IA1399" s="885"/>
      <c r="IB1399" s="885"/>
      <c r="IC1399" s="885"/>
      <c r="ID1399" s="885"/>
      <c r="IE1399" s="885"/>
      <c r="IF1399" s="885"/>
      <c r="IG1399" s="885"/>
      <c r="IH1399" s="885"/>
      <c r="II1399" s="885"/>
      <c r="IJ1399" s="885"/>
      <c r="IK1399" s="885"/>
      <c r="IL1399" s="885"/>
      <c r="IM1399" s="885"/>
      <c r="IN1399" s="885"/>
      <c r="IO1399" s="885"/>
      <c r="IP1399" s="885"/>
      <c r="IQ1399" s="885"/>
      <c r="IR1399" s="885"/>
      <c r="IS1399" s="885"/>
      <c r="IT1399" s="885"/>
      <c r="IU1399" s="885"/>
      <c r="IV1399" s="885"/>
      <c r="IW1399" s="885"/>
      <c r="IX1399" s="885"/>
    </row>
    <row r="1400" spans="1:258" x14ac:dyDescent="0.25">
      <c r="A1400" s="125">
        <f t="shared" si="161"/>
        <v>1360</v>
      </c>
      <c r="B1400" s="885"/>
      <c r="C1400" s="842" t="s">
        <v>10917</v>
      </c>
      <c r="D1400" s="924">
        <v>17933.12</v>
      </c>
      <c r="E1400" s="924">
        <f>D1400/8*13.33</f>
        <v>29881.0612</v>
      </c>
      <c r="F1400" s="129">
        <f>E1400/13.33</f>
        <v>2241.64</v>
      </c>
      <c r="G1400" s="122" t="s">
        <v>1963</v>
      </c>
      <c r="H1400" s="885"/>
      <c r="I1400" s="885"/>
      <c r="J1400" s="885"/>
      <c r="K1400" s="885"/>
      <c r="L1400" s="885"/>
      <c r="M1400" s="885"/>
      <c r="N1400" s="885"/>
      <c r="O1400" s="885"/>
      <c r="P1400" s="885"/>
      <c r="Q1400" s="885"/>
      <c r="R1400" s="885"/>
      <c r="S1400" s="885"/>
      <c r="T1400" s="885"/>
      <c r="U1400" s="885"/>
      <c r="V1400" s="885"/>
      <c r="W1400" s="885"/>
      <c r="X1400" s="885"/>
      <c r="Y1400" s="885"/>
      <c r="Z1400" s="885"/>
      <c r="AA1400" s="885"/>
      <c r="AB1400" s="885"/>
      <c r="AC1400" s="885"/>
      <c r="AD1400" s="885"/>
      <c r="AE1400" s="885"/>
      <c r="AF1400" s="885"/>
      <c r="AG1400" s="885"/>
      <c r="AH1400" s="885"/>
      <c r="AI1400" s="885"/>
      <c r="AJ1400" s="885"/>
      <c r="AK1400" s="885"/>
      <c r="AL1400" s="885"/>
      <c r="AM1400" s="885"/>
      <c r="AN1400" s="885"/>
      <c r="AO1400" s="885"/>
      <c r="AP1400" s="885"/>
      <c r="AQ1400" s="885"/>
      <c r="AR1400" s="885"/>
      <c r="AS1400" s="885"/>
      <c r="AT1400" s="885"/>
      <c r="AU1400" s="885"/>
      <c r="AV1400" s="885"/>
      <c r="AW1400" s="885"/>
      <c r="AX1400" s="885"/>
      <c r="AY1400" s="885"/>
      <c r="AZ1400" s="885"/>
      <c r="BA1400" s="885"/>
      <c r="BB1400" s="885"/>
      <c r="BC1400" s="885"/>
      <c r="BD1400" s="885"/>
      <c r="BE1400" s="885"/>
      <c r="BF1400" s="885"/>
      <c r="BG1400" s="885"/>
      <c r="BH1400" s="885"/>
      <c r="BI1400" s="885"/>
      <c r="BJ1400" s="885"/>
      <c r="BK1400" s="885"/>
      <c r="BL1400" s="885"/>
      <c r="BM1400" s="885"/>
      <c r="BN1400" s="885"/>
      <c r="BO1400" s="885"/>
      <c r="BP1400" s="885"/>
      <c r="BQ1400" s="885"/>
      <c r="BR1400" s="885"/>
      <c r="BS1400" s="885"/>
      <c r="BT1400" s="885"/>
      <c r="BU1400" s="885"/>
      <c r="BV1400" s="885"/>
      <c r="BW1400" s="885"/>
      <c r="BX1400" s="885"/>
      <c r="BY1400" s="885"/>
      <c r="BZ1400" s="885"/>
      <c r="CA1400" s="885"/>
      <c r="CB1400" s="885"/>
      <c r="CC1400" s="885"/>
      <c r="CD1400" s="885"/>
      <c r="CE1400" s="885"/>
      <c r="CF1400" s="885"/>
      <c r="CG1400" s="885"/>
      <c r="CH1400" s="885"/>
      <c r="CI1400" s="885"/>
      <c r="CJ1400" s="885"/>
      <c r="CK1400" s="885"/>
      <c r="CL1400" s="885"/>
      <c r="CM1400" s="885"/>
      <c r="CN1400" s="885"/>
      <c r="CO1400" s="885"/>
      <c r="CP1400" s="885"/>
      <c r="CQ1400" s="885"/>
      <c r="CR1400" s="885"/>
      <c r="CS1400" s="885"/>
      <c r="CT1400" s="885"/>
      <c r="CU1400" s="885"/>
      <c r="CV1400" s="885"/>
      <c r="CW1400" s="885"/>
      <c r="CX1400" s="885"/>
      <c r="CY1400" s="885"/>
      <c r="CZ1400" s="885"/>
      <c r="DA1400" s="885"/>
      <c r="DB1400" s="885"/>
      <c r="DC1400" s="885"/>
      <c r="DD1400" s="885"/>
      <c r="DE1400" s="885"/>
      <c r="DF1400" s="885"/>
      <c r="DG1400" s="885"/>
      <c r="DH1400" s="885"/>
      <c r="DI1400" s="885"/>
      <c r="DJ1400" s="885"/>
      <c r="DK1400" s="885"/>
      <c r="DL1400" s="885"/>
      <c r="DM1400" s="885"/>
      <c r="DN1400" s="885"/>
      <c r="DO1400" s="885"/>
      <c r="DP1400" s="885"/>
      <c r="DQ1400" s="885"/>
      <c r="DR1400" s="885"/>
      <c r="DS1400" s="885"/>
      <c r="DT1400" s="885"/>
      <c r="DU1400" s="885"/>
      <c r="DV1400" s="885"/>
      <c r="DW1400" s="885"/>
      <c r="DX1400" s="885"/>
      <c r="DY1400" s="885"/>
      <c r="DZ1400" s="885"/>
      <c r="EA1400" s="885"/>
      <c r="EB1400" s="885"/>
      <c r="EC1400" s="885"/>
      <c r="ED1400" s="885"/>
      <c r="EE1400" s="885"/>
      <c r="EF1400" s="885"/>
      <c r="EG1400" s="885"/>
      <c r="EH1400" s="885"/>
      <c r="EI1400" s="885"/>
      <c r="EJ1400" s="885"/>
      <c r="EK1400" s="885"/>
      <c r="EL1400" s="885"/>
      <c r="EM1400" s="885"/>
      <c r="EN1400" s="885"/>
      <c r="EO1400" s="885"/>
      <c r="EP1400" s="885"/>
      <c r="EQ1400" s="885"/>
      <c r="ER1400" s="885"/>
      <c r="ES1400" s="885"/>
      <c r="ET1400" s="885"/>
      <c r="EU1400" s="885"/>
      <c r="EV1400" s="885"/>
      <c r="EW1400" s="885"/>
      <c r="EX1400" s="885"/>
      <c r="EY1400" s="885"/>
      <c r="EZ1400" s="885"/>
      <c r="FA1400" s="885"/>
      <c r="FB1400" s="885"/>
      <c r="FC1400" s="885"/>
      <c r="FD1400" s="885"/>
      <c r="FE1400" s="885"/>
      <c r="FF1400" s="885"/>
      <c r="FG1400" s="885"/>
      <c r="FH1400" s="885"/>
      <c r="FI1400" s="885"/>
      <c r="FJ1400" s="885"/>
      <c r="FK1400" s="885"/>
      <c r="FL1400" s="885"/>
      <c r="FM1400" s="885"/>
      <c r="FN1400" s="885"/>
      <c r="FO1400" s="885"/>
      <c r="FP1400" s="885"/>
      <c r="FQ1400" s="885"/>
      <c r="FR1400" s="885"/>
      <c r="FS1400" s="885"/>
      <c r="FT1400" s="885"/>
      <c r="FU1400" s="885"/>
      <c r="FV1400" s="885"/>
      <c r="FW1400" s="885"/>
      <c r="FX1400" s="885"/>
      <c r="FY1400" s="885"/>
      <c r="FZ1400" s="885"/>
      <c r="GA1400" s="885"/>
      <c r="GB1400" s="885"/>
      <c r="GC1400" s="885"/>
      <c r="GD1400" s="885"/>
      <c r="GE1400" s="885"/>
      <c r="GF1400" s="885"/>
      <c r="GG1400" s="885"/>
      <c r="GH1400" s="885"/>
      <c r="GI1400" s="885"/>
      <c r="GJ1400" s="885"/>
      <c r="GK1400" s="885"/>
      <c r="GL1400" s="885"/>
      <c r="GM1400" s="885"/>
      <c r="GN1400" s="885"/>
      <c r="GO1400" s="885"/>
      <c r="GP1400" s="885"/>
      <c r="GQ1400" s="885"/>
      <c r="GR1400" s="885"/>
      <c r="GS1400" s="885"/>
      <c r="GT1400" s="885"/>
      <c r="GU1400" s="885"/>
      <c r="GV1400" s="885"/>
      <c r="GW1400" s="885"/>
      <c r="GX1400" s="885"/>
      <c r="GY1400" s="885"/>
      <c r="GZ1400" s="885"/>
      <c r="HA1400" s="885"/>
      <c r="HB1400" s="885"/>
      <c r="HC1400" s="885"/>
      <c r="HD1400" s="885"/>
      <c r="HE1400" s="885"/>
      <c r="HF1400" s="885"/>
      <c r="HG1400" s="885"/>
      <c r="HH1400" s="885"/>
      <c r="HI1400" s="885"/>
      <c r="HJ1400" s="885"/>
      <c r="HK1400" s="885"/>
      <c r="HL1400" s="885"/>
      <c r="HM1400" s="885"/>
      <c r="HN1400" s="885"/>
      <c r="HO1400" s="885"/>
      <c r="HP1400" s="885"/>
      <c r="HQ1400" s="885"/>
      <c r="HR1400" s="885"/>
      <c r="HS1400" s="885"/>
      <c r="HT1400" s="885"/>
      <c r="HU1400" s="885"/>
      <c r="HV1400" s="885"/>
      <c r="HW1400" s="885"/>
      <c r="HX1400" s="885"/>
      <c r="HY1400" s="885"/>
      <c r="HZ1400" s="885"/>
      <c r="IA1400" s="885"/>
      <c r="IB1400" s="885"/>
      <c r="IC1400" s="885"/>
      <c r="ID1400" s="885"/>
      <c r="IE1400" s="885"/>
      <c r="IF1400" s="885"/>
      <c r="IG1400" s="885"/>
      <c r="IH1400" s="885"/>
      <c r="II1400" s="885"/>
      <c r="IJ1400" s="885"/>
      <c r="IK1400" s="885"/>
      <c r="IL1400" s="885"/>
      <c r="IM1400" s="885"/>
      <c r="IN1400" s="885"/>
      <c r="IO1400" s="885"/>
      <c r="IP1400" s="885"/>
      <c r="IQ1400" s="885"/>
      <c r="IR1400" s="885"/>
      <c r="IS1400" s="885"/>
      <c r="IT1400" s="885"/>
      <c r="IU1400" s="885"/>
      <c r="IV1400" s="885"/>
      <c r="IW1400" s="885"/>
      <c r="IX1400" s="885"/>
    </row>
    <row r="1401" spans="1:258" x14ac:dyDescent="0.25">
      <c r="A1401" s="125">
        <f t="shared" si="161"/>
        <v>1361</v>
      </c>
      <c r="B1401" s="971"/>
      <c r="C1401" s="842" t="s">
        <v>11560</v>
      </c>
      <c r="D1401" s="924">
        <f>763.6*8</f>
        <v>6108.8</v>
      </c>
      <c r="E1401" s="924">
        <f>D1401/8*13.33</f>
        <v>10178.788</v>
      </c>
      <c r="F1401" s="129">
        <f>E1401/13.33</f>
        <v>763.6</v>
      </c>
      <c r="H1401" s="971"/>
      <c r="I1401" s="971"/>
      <c r="J1401" s="971"/>
      <c r="K1401" s="971"/>
      <c r="L1401" s="971"/>
      <c r="M1401" s="971"/>
      <c r="N1401" s="971"/>
      <c r="O1401" s="971"/>
      <c r="P1401" s="971"/>
      <c r="Q1401" s="971"/>
      <c r="R1401" s="971"/>
      <c r="S1401" s="971"/>
      <c r="T1401" s="971"/>
      <c r="U1401" s="971"/>
      <c r="V1401" s="971"/>
      <c r="W1401" s="971"/>
      <c r="X1401" s="971"/>
      <c r="Y1401" s="971"/>
      <c r="Z1401" s="971"/>
      <c r="AA1401" s="971"/>
      <c r="AB1401" s="971"/>
      <c r="AC1401" s="971"/>
      <c r="AD1401" s="971"/>
      <c r="AE1401" s="971"/>
      <c r="AF1401" s="971"/>
      <c r="AG1401" s="971"/>
      <c r="AH1401" s="971"/>
      <c r="AI1401" s="971"/>
      <c r="AJ1401" s="971"/>
      <c r="AK1401" s="971"/>
      <c r="AL1401" s="971"/>
      <c r="AM1401" s="971"/>
      <c r="AN1401" s="971"/>
      <c r="AO1401" s="971"/>
      <c r="AP1401" s="971"/>
      <c r="AQ1401" s="971"/>
      <c r="AR1401" s="971"/>
      <c r="AS1401" s="971"/>
      <c r="AT1401" s="971"/>
      <c r="AU1401" s="971"/>
      <c r="AV1401" s="971"/>
      <c r="AW1401" s="971"/>
      <c r="AX1401" s="971"/>
      <c r="AY1401" s="971"/>
      <c r="AZ1401" s="971"/>
      <c r="BA1401" s="971"/>
      <c r="BB1401" s="971"/>
      <c r="BC1401" s="971"/>
      <c r="BD1401" s="971"/>
      <c r="BE1401" s="971"/>
      <c r="BF1401" s="971"/>
      <c r="BG1401" s="971"/>
      <c r="BH1401" s="971"/>
      <c r="BI1401" s="971"/>
      <c r="BJ1401" s="971"/>
      <c r="BK1401" s="971"/>
      <c r="BL1401" s="971"/>
      <c r="BM1401" s="971"/>
      <c r="BN1401" s="971"/>
      <c r="BO1401" s="971"/>
      <c r="BP1401" s="971"/>
      <c r="BQ1401" s="971"/>
      <c r="BR1401" s="971"/>
      <c r="BS1401" s="971"/>
      <c r="BT1401" s="971"/>
      <c r="BU1401" s="971"/>
      <c r="BV1401" s="971"/>
      <c r="BW1401" s="971"/>
      <c r="BX1401" s="971"/>
      <c r="BY1401" s="971"/>
      <c r="BZ1401" s="971"/>
      <c r="CA1401" s="971"/>
      <c r="CB1401" s="971"/>
      <c r="CC1401" s="971"/>
      <c r="CD1401" s="971"/>
      <c r="CE1401" s="971"/>
      <c r="CF1401" s="971"/>
      <c r="CG1401" s="971"/>
      <c r="CH1401" s="971"/>
      <c r="CI1401" s="971"/>
      <c r="CJ1401" s="971"/>
      <c r="CK1401" s="971"/>
      <c r="CL1401" s="971"/>
      <c r="CM1401" s="971"/>
      <c r="CN1401" s="971"/>
      <c r="CO1401" s="971"/>
      <c r="CP1401" s="971"/>
      <c r="CQ1401" s="971"/>
      <c r="CR1401" s="971"/>
      <c r="CS1401" s="971"/>
      <c r="CT1401" s="971"/>
      <c r="CU1401" s="971"/>
      <c r="CV1401" s="971"/>
      <c r="CW1401" s="971"/>
      <c r="CX1401" s="971"/>
      <c r="CY1401" s="971"/>
      <c r="CZ1401" s="971"/>
      <c r="DA1401" s="971"/>
      <c r="DB1401" s="971"/>
      <c r="DC1401" s="971"/>
      <c r="DD1401" s="971"/>
      <c r="DE1401" s="971"/>
      <c r="DF1401" s="971"/>
      <c r="DG1401" s="971"/>
      <c r="DH1401" s="971"/>
      <c r="DI1401" s="971"/>
      <c r="DJ1401" s="971"/>
      <c r="DK1401" s="971"/>
      <c r="DL1401" s="971"/>
      <c r="DM1401" s="971"/>
      <c r="DN1401" s="971"/>
      <c r="DO1401" s="971"/>
      <c r="DP1401" s="971"/>
      <c r="DQ1401" s="971"/>
      <c r="DR1401" s="971"/>
      <c r="DS1401" s="971"/>
      <c r="DT1401" s="971"/>
      <c r="DU1401" s="971"/>
      <c r="DV1401" s="971"/>
      <c r="DW1401" s="971"/>
      <c r="DX1401" s="971"/>
      <c r="DY1401" s="971"/>
      <c r="DZ1401" s="971"/>
      <c r="EA1401" s="971"/>
      <c r="EB1401" s="971"/>
      <c r="EC1401" s="971"/>
      <c r="ED1401" s="971"/>
      <c r="EE1401" s="971"/>
      <c r="EF1401" s="971"/>
      <c r="EG1401" s="971"/>
      <c r="EH1401" s="971"/>
      <c r="EI1401" s="971"/>
      <c r="EJ1401" s="971"/>
      <c r="EK1401" s="971"/>
      <c r="EL1401" s="971"/>
      <c r="EM1401" s="971"/>
      <c r="EN1401" s="971"/>
      <c r="EO1401" s="971"/>
      <c r="EP1401" s="971"/>
      <c r="EQ1401" s="971"/>
      <c r="ER1401" s="971"/>
      <c r="ES1401" s="971"/>
      <c r="ET1401" s="971"/>
      <c r="EU1401" s="971"/>
      <c r="EV1401" s="971"/>
      <c r="EW1401" s="971"/>
      <c r="EX1401" s="971"/>
      <c r="EY1401" s="971"/>
      <c r="EZ1401" s="971"/>
      <c r="FA1401" s="971"/>
      <c r="FB1401" s="971"/>
      <c r="FC1401" s="971"/>
      <c r="FD1401" s="971"/>
      <c r="FE1401" s="971"/>
      <c r="FF1401" s="971"/>
      <c r="FG1401" s="971"/>
      <c r="FH1401" s="971"/>
      <c r="FI1401" s="971"/>
      <c r="FJ1401" s="971"/>
      <c r="FK1401" s="971"/>
      <c r="FL1401" s="971"/>
      <c r="FM1401" s="971"/>
      <c r="FN1401" s="971"/>
      <c r="FO1401" s="971"/>
      <c r="FP1401" s="971"/>
      <c r="FQ1401" s="971"/>
      <c r="FR1401" s="971"/>
      <c r="FS1401" s="971"/>
      <c r="FT1401" s="971"/>
      <c r="FU1401" s="971"/>
      <c r="FV1401" s="971"/>
      <c r="FW1401" s="971"/>
      <c r="FX1401" s="971"/>
      <c r="FY1401" s="971"/>
      <c r="FZ1401" s="971"/>
      <c r="GA1401" s="971"/>
      <c r="GB1401" s="971"/>
      <c r="GC1401" s="971"/>
      <c r="GD1401" s="971"/>
      <c r="GE1401" s="971"/>
      <c r="GF1401" s="971"/>
      <c r="GG1401" s="971"/>
      <c r="GH1401" s="971"/>
      <c r="GI1401" s="971"/>
      <c r="GJ1401" s="971"/>
      <c r="GK1401" s="971"/>
      <c r="GL1401" s="971"/>
      <c r="GM1401" s="971"/>
      <c r="GN1401" s="971"/>
      <c r="GO1401" s="971"/>
      <c r="GP1401" s="971"/>
      <c r="GQ1401" s="971"/>
      <c r="GR1401" s="971"/>
      <c r="GS1401" s="971"/>
      <c r="GT1401" s="971"/>
      <c r="GU1401" s="971"/>
      <c r="GV1401" s="971"/>
      <c r="GW1401" s="971"/>
      <c r="GX1401" s="971"/>
      <c r="GY1401" s="971"/>
      <c r="GZ1401" s="971"/>
      <c r="HA1401" s="971"/>
      <c r="HB1401" s="971"/>
      <c r="HC1401" s="971"/>
      <c r="HD1401" s="971"/>
      <c r="HE1401" s="971"/>
      <c r="HF1401" s="971"/>
      <c r="HG1401" s="971"/>
      <c r="HH1401" s="971"/>
      <c r="HI1401" s="971"/>
      <c r="HJ1401" s="971"/>
      <c r="HK1401" s="971"/>
      <c r="HL1401" s="971"/>
      <c r="HM1401" s="971"/>
      <c r="HN1401" s="971"/>
      <c r="HO1401" s="971"/>
      <c r="HP1401" s="971"/>
      <c r="HQ1401" s="971"/>
      <c r="HR1401" s="971"/>
      <c r="HS1401" s="971"/>
      <c r="HT1401" s="971"/>
      <c r="HU1401" s="971"/>
      <c r="HV1401" s="971"/>
      <c r="HW1401" s="971"/>
      <c r="HX1401" s="971"/>
      <c r="HY1401" s="971"/>
      <c r="HZ1401" s="971"/>
      <c r="IA1401" s="971"/>
      <c r="IB1401" s="971"/>
      <c r="IC1401" s="971"/>
      <c r="ID1401" s="971"/>
      <c r="IE1401" s="971"/>
      <c r="IF1401" s="971"/>
      <c r="IG1401" s="971"/>
      <c r="IH1401" s="971"/>
      <c r="II1401" s="971"/>
      <c r="IJ1401" s="971"/>
      <c r="IK1401" s="971"/>
      <c r="IL1401" s="971"/>
      <c r="IM1401" s="971"/>
      <c r="IN1401" s="971"/>
      <c r="IO1401" s="971"/>
      <c r="IP1401" s="971"/>
      <c r="IQ1401" s="971"/>
      <c r="IR1401" s="971"/>
      <c r="IS1401" s="971"/>
      <c r="IT1401" s="971"/>
      <c r="IU1401" s="971"/>
      <c r="IV1401" s="971"/>
      <c r="IW1401" s="971"/>
      <c r="IX1401" s="971"/>
    </row>
    <row r="1402" spans="1:258" ht="31.5" x14ac:dyDescent="0.25">
      <c r="A1402" s="125">
        <f t="shared" si="161"/>
        <v>1362</v>
      </c>
      <c r="B1402" s="885"/>
      <c r="C1402" s="842" t="s">
        <v>10918</v>
      </c>
      <c r="D1402" s="924">
        <v>164680.72</v>
      </c>
      <c r="E1402" s="924">
        <f>D1402/8*13.33</f>
        <v>274399.24969999999</v>
      </c>
      <c r="F1402" s="978">
        <f>E1402/13.33</f>
        <v>20585.09</v>
      </c>
      <c r="G1402" s="122" t="s">
        <v>1963</v>
      </c>
      <c r="H1402" s="885"/>
      <c r="I1402" s="885"/>
      <c r="J1402" s="885"/>
      <c r="K1402" s="885"/>
      <c r="L1402" s="885"/>
      <c r="M1402" s="885"/>
      <c r="N1402" s="885"/>
      <c r="O1402" s="885"/>
      <c r="P1402" s="885"/>
      <c r="Q1402" s="885"/>
      <c r="R1402" s="885"/>
      <c r="S1402" s="885"/>
      <c r="T1402" s="885"/>
      <c r="U1402" s="885"/>
      <c r="V1402" s="885"/>
      <c r="W1402" s="885"/>
      <c r="X1402" s="885"/>
      <c r="Y1402" s="885"/>
      <c r="Z1402" s="885"/>
      <c r="AA1402" s="885"/>
      <c r="AB1402" s="885"/>
      <c r="AC1402" s="885"/>
      <c r="AD1402" s="885"/>
      <c r="AE1402" s="885"/>
      <c r="AF1402" s="885"/>
      <c r="AG1402" s="885"/>
      <c r="AH1402" s="885"/>
      <c r="AI1402" s="885"/>
      <c r="AJ1402" s="885"/>
      <c r="AK1402" s="885"/>
      <c r="AL1402" s="885"/>
      <c r="AM1402" s="885"/>
      <c r="AN1402" s="885"/>
      <c r="AO1402" s="885"/>
      <c r="AP1402" s="885"/>
      <c r="AQ1402" s="885"/>
      <c r="AR1402" s="885"/>
      <c r="AS1402" s="885"/>
      <c r="AT1402" s="885"/>
      <c r="AU1402" s="885"/>
      <c r="AV1402" s="885"/>
      <c r="AW1402" s="885"/>
      <c r="AX1402" s="885"/>
      <c r="AY1402" s="885"/>
      <c r="AZ1402" s="885"/>
      <c r="BA1402" s="885"/>
      <c r="BB1402" s="885"/>
      <c r="BC1402" s="885"/>
      <c r="BD1402" s="885"/>
      <c r="BE1402" s="885"/>
      <c r="BF1402" s="885"/>
      <c r="BG1402" s="885"/>
      <c r="BH1402" s="885"/>
      <c r="BI1402" s="885"/>
      <c r="BJ1402" s="885"/>
      <c r="BK1402" s="885"/>
      <c r="BL1402" s="885"/>
      <c r="BM1402" s="885"/>
      <c r="BN1402" s="885"/>
      <c r="BO1402" s="885"/>
      <c r="BP1402" s="885"/>
      <c r="BQ1402" s="885"/>
      <c r="BR1402" s="885"/>
      <c r="BS1402" s="885"/>
      <c r="BT1402" s="885"/>
      <c r="BU1402" s="885"/>
      <c r="BV1402" s="885"/>
      <c r="BW1402" s="885"/>
      <c r="BX1402" s="885"/>
      <c r="BY1402" s="885"/>
      <c r="BZ1402" s="885"/>
      <c r="CA1402" s="885"/>
      <c r="CB1402" s="885"/>
      <c r="CC1402" s="885"/>
      <c r="CD1402" s="885"/>
      <c r="CE1402" s="885"/>
      <c r="CF1402" s="885"/>
      <c r="CG1402" s="885"/>
      <c r="CH1402" s="885"/>
      <c r="CI1402" s="885"/>
      <c r="CJ1402" s="885"/>
      <c r="CK1402" s="885"/>
      <c r="CL1402" s="885"/>
      <c r="CM1402" s="885"/>
      <c r="CN1402" s="885"/>
      <c r="CO1402" s="885"/>
      <c r="CP1402" s="885"/>
      <c r="CQ1402" s="885"/>
      <c r="CR1402" s="885"/>
      <c r="CS1402" s="885"/>
      <c r="CT1402" s="885"/>
      <c r="CU1402" s="885"/>
      <c r="CV1402" s="885"/>
      <c r="CW1402" s="885"/>
      <c r="CX1402" s="885"/>
      <c r="CY1402" s="885"/>
      <c r="CZ1402" s="885"/>
      <c r="DA1402" s="885"/>
      <c r="DB1402" s="885"/>
      <c r="DC1402" s="885"/>
      <c r="DD1402" s="885"/>
      <c r="DE1402" s="885"/>
      <c r="DF1402" s="885"/>
      <c r="DG1402" s="885"/>
      <c r="DH1402" s="885"/>
      <c r="DI1402" s="885"/>
      <c r="DJ1402" s="885"/>
      <c r="DK1402" s="885"/>
      <c r="DL1402" s="885"/>
      <c r="DM1402" s="885"/>
      <c r="DN1402" s="885"/>
      <c r="DO1402" s="885"/>
      <c r="DP1402" s="885"/>
      <c r="DQ1402" s="885"/>
      <c r="DR1402" s="885"/>
      <c r="DS1402" s="885"/>
      <c r="DT1402" s="885"/>
      <c r="DU1402" s="885"/>
      <c r="DV1402" s="885"/>
      <c r="DW1402" s="885"/>
      <c r="DX1402" s="885"/>
      <c r="DY1402" s="885"/>
      <c r="DZ1402" s="885"/>
      <c r="EA1402" s="885"/>
      <c r="EB1402" s="885"/>
      <c r="EC1402" s="885"/>
      <c r="ED1402" s="885"/>
      <c r="EE1402" s="885"/>
      <c r="EF1402" s="885"/>
      <c r="EG1402" s="885"/>
      <c r="EH1402" s="885"/>
      <c r="EI1402" s="885"/>
      <c r="EJ1402" s="885"/>
      <c r="EK1402" s="885"/>
      <c r="EL1402" s="885"/>
      <c r="EM1402" s="885"/>
      <c r="EN1402" s="885"/>
      <c r="EO1402" s="885"/>
      <c r="EP1402" s="885"/>
      <c r="EQ1402" s="885"/>
      <c r="ER1402" s="885"/>
      <c r="ES1402" s="885"/>
      <c r="ET1402" s="885"/>
      <c r="EU1402" s="885"/>
      <c r="EV1402" s="885"/>
      <c r="EW1402" s="885"/>
      <c r="EX1402" s="885"/>
      <c r="EY1402" s="885"/>
      <c r="EZ1402" s="885"/>
      <c r="FA1402" s="885"/>
      <c r="FB1402" s="885"/>
      <c r="FC1402" s="885"/>
      <c r="FD1402" s="885"/>
      <c r="FE1402" s="885"/>
      <c r="FF1402" s="885"/>
      <c r="FG1402" s="885"/>
      <c r="FH1402" s="885"/>
      <c r="FI1402" s="885"/>
      <c r="FJ1402" s="885"/>
      <c r="FK1402" s="885"/>
      <c r="FL1402" s="885"/>
      <c r="FM1402" s="885"/>
      <c r="FN1402" s="885"/>
      <c r="FO1402" s="885"/>
      <c r="FP1402" s="885"/>
      <c r="FQ1402" s="885"/>
      <c r="FR1402" s="885"/>
      <c r="FS1402" s="885"/>
      <c r="FT1402" s="885"/>
      <c r="FU1402" s="885"/>
      <c r="FV1402" s="885"/>
      <c r="FW1402" s="885"/>
      <c r="FX1402" s="885"/>
      <c r="FY1402" s="885"/>
      <c r="FZ1402" s="885"/>
      <c r="GA1402" s="885"/>
      <c r="GB1402" s="885"/>
      <c r="GC1402" s="885"/>
      <c r="GD1402" s="885"/>
      <c r="GE1402" s="885"/>
      <c r="GF1402" s="885"/>
      <c r="GG1402" s="885"/>
      <c r="GH1402" s="885"/>
      <c r="GI1402" s="885"/>
      <c r="GJ1402" s="885"/>
      <c r="GK1402" s="885"/>
      <c r="GL1402" s="885"/>
      <c r="GM1402" s="885"/>
      <c r="GN1402" s="885"/>
      <c r="GO1402" s="885"/>
      <c r="GP1402" s="885"/>
      <c r="GQ1402" s="885"/>
      <c r="GR1402" s="885"/>
      <c r="GS1402" s="885"/>
      <c r="GT1402" s="885"/>
      <c r="GU1402" s="885"/>
      <c r="GV1402" s="885"/>
      <c r="GW1402" s="885"/>
      <c r="GX1402" s="885"/>
      <c r="GY1402" s="885"/>
      <c r="GZ1402" s="885"/>
      <c r="HA1402" s="885"/>
      <c r="HB1402" s="885"/>
      <c r="HC1402" s="885"/>
      <c r="HD1402" s="885"/>
      <c r="HE1402" s="885"/>
      <c r="HF1402" s="885"/>
      <c r="HG1402" s="885"/>
      <c r="HH1402" s="885"/>
      <c r="HI1402" s="885"/>
      <c r="HJ1402" s="885"/>
      <c r="HK1402" s="885"/>
      <c r="HL1402" s="885"/>
      <c r="HM1402" s="885"/>
      <c r="HN1402" s="885"/>
      <c r="HO1402" s="885"/>
      <c r="HP1402" s="885"/>
      <c r="HQ1402" s="885"/>
      <c r="HR1402" s="885"/>
      <c r="HS1402" s="885"/>
      <c r="HT1402" s="885"/>
      <c r="HU1402" s="885"/>
      <c r="HV1402" s="885"/>
      <c r="HW1402" s="885"/>
      <c r="HX1402" s="885"/>
      <c r="HY1402" s="885"/>
      <c r="HZ1402" s="885"/>
      <c r="IA1402" s="885"/>
      <c r="IB1402" s="885"/>
      <c r="IC1402" s="885"/>
      <c r="ID1402" s="885"/>
      <c r="IE1402" s="885"/>
      <c r="IF1402" s="885"/>
      <c r="IG1402" s="885"/>
      <c r="IH1402" s="885"/>
      <c r="II1402" s="885"/>
      <c r="IJ1402" s="885"/>
      <c r="IK1402" s="885"/>
      <c r="IL1402" s="885"/>
      <c r="IM1402" s="885"/>
      <c r="IN1402" s="885"/>
      <c r="IO1402" s="885"/>
      <c r="IP1402" s="885"/>
      <c r="IQ1402" s="885"/>
      <c r="IR1402" s="885"/>
      <c r="IS1402" s="885"/>
      <c r="IT1402" s="885"/>
      <c r="IU1402" s="885"/>
      <c r="IV1402" s="885"/>
      <c r="IW1402" s="885"/>
      <c r="IX1402" s="885"/>
    </row>
    <row r="1403" spans="1:258" x14ac:dyDescent="0.25">
      <c r="A1403" s="125">
        <f t="shared" si="161"/>
        <v>1363</v>
      </c>
      <c r="B1403" s="971"/>
      <c r="C1403" s="842" t="s">
        <v>11532</v>
      </c>
      <c r="D1403" s="924">
        <v>40205.07</v>
      </c>
      <c r="E1403" s="924">
        <f t="shared" ref="E1403:E1415" si="166">D1403/8*12</f>
        <v>60307.604999999996</v>
      </c>
      <c r="F1403" s="129">
        <v>0</v>
      </c>
      <c r="G1403" s="122" t="s">
        <v>1963</v>
      </c>
      <c r="H1403" s="971"/>
      <c r="I1403" s="971"/>
      <c r="J1403" s="971"/>
      <c r="K1403" s="971"/>
      <c r="L1403" s="971"/>
      <c r="M1403" s="971"/>
      <c r="N1403" s="971"/>
      <c r="O1403" s="971"/>
      <c r="P1403" s="971"/>
      <c r="Q1403" s="971"/>
      <c r="R1403" s="971"/>
      <c r="S1403" s="971"/>
      <c r="T1403" s="971"/>
      <c r="U1403" s="971"/>
      <c r="V1403" s="971"/>
      <c r="W1403" s="971"/>
      <c r="X1403" s="971"/>
      <c r="Y1403" s="971"/>
      <c r="Z1403" s="971"/>
      <c r="AA1403" s="971"/>
      <c r="AB1403" s="971"/>
      <c r="AC1403" s="971"/>
      <c r="AD1403" s="971"/>
      <c r="AE1403" s="971"/>
      <c r="AF1403" s="971"/>
      <c r="AG1403" s="971"/>
      <c r="AH1403" s="971"/>
      <c r="AI1403" s="971"/>
      <c r="AJ1403" s="971"/>
      <c r="AK1403" s="971"/>
      <c r="AL1403" s="971"/>
      <c r="AM1403" s="971"/>
      <c r="AN1403" s="971"/>
      <c r="AO1403" s="971"/>
      <c r="AP1403" s="971"/>
      <c r="AQ1403" s="971"/>
      <c r="AR1403" s="971"/>
      <c r="AS1403" s="971"/>
      <c r="AT1403" s="971"/>
      <c r="AU1403" s="971"/>
      <c r="AV1403" s="971"/>
      <c r="AW1403" s="971"/>
      <c r="AX1403" s="971"/>
      <c r="AY1403" s="971"/>
      <c r="AZ1403" s="971"/>
      <c r="BA1403" s="971"/>
      <c r="BB1403" s="971"/>
      <c r="BC1403" s="971"/>
      <c r="BD1403" s="971"/>
      <c r="BE1403" s="971"/>
      <c r="BF1403" s="971"/>
      <c r="BG1403" s="971"/>
      <c r="BH1403" s="971"/>
      <c r="BI1403" s="971"/>
      <c r="BJ1403" s="971"/>
      <c r="BK1403" s="971"/>
      <c r="BL1403" s="971"/>
      <c r="BM1403" s="971"/>
      <c r="BN1403" s="971"/>
      <c r="BO1403" s="971"/>
      <c r="BP1403" s="971"/>
      <c r="BQ1403" s="971"/>
      <c r="BR1403" s="971"/>
      <c r="BS1403" s="971"/>
      <c r="BT1403" s="971"/>
      <c r="BU1403" s="971"/>
      <c r="BV1403" s="971"/>
      <c r="BW1403" s="971"/>
      <c r="BX1403" s="971"/>
      <c r="BY1403" s="971"/>
      <c r="BZ1403" s="971"/>
      <c r="CA1403" s="971"/>
      <c r="CB1403" s="971"/>
      <c r="CC1403" s="971"/>
      <c r="CD1403" s="971"/>
      <c r="CE1403" s="971"/>
      <c r="CF1403" s="971"/>
      <c r="CG1403" s="971"/>
      <c r="CH1403" s="971"/>
      <c r="CI1403" s="971"/>
      <c r="CJ1403" s="971"/>
      <c r="CK1403" s="971"/>
      <c r="CL1403" s="971"/>
      <c r="CM1403" s="971"/>
      <c r="CN1403" s="971"/>
      <c r="CO1403" s="971"/>
      <c r="CP1403" s="971"/>
      <c r="CQ1403" s="971"/>
      <c r="CR1403" s="971"/>
      <c r="CS1403" s="971"/>
      <c r="CT1403" s="971"/>
      <c r="CU1403" s="971"/>
      <c r="CV1403" s="971"/>
      <c r="CW1403" s="971"/>
      <c r="CX1403" s="971"/>
      <c r="CY1403" s="971"/>
      <c r="CZ1403" s="971"/>
      <c r="DA1403" s="971"/>
      <c r="DB1403" s="971"/>
      <c r="DC1403" s="971"/>
      <c r="DD1403" s="971"/>
      <c r="DE1403" s="971"/>
      <c r="DF1403" s="971"/>
      <c r="DG1403" s="971"/>
      <c r="DH1403" s="971"/>
      <c r="DI1403" s="971"/>
      <c r="DJ1403" s="971"/>
      <c r="DK1403" s="971"/>
      <c r="DL1403" s="971"/>
      <c r="DM1403" s="971"/>
      <c r="DN1403" s="971"/>
      <c r="DO1403" s="971"/>
      <c r="DP1403" s="971"/>
      <c r="DQ1403" s="971"/>
      <c r="DR1403" s="971"/>
      <c r="DS1403" s="971"/>
      <c r="DT1403" s="971"/>
      <c r="DU1403" s="971"/>
      <c r="DV1403" s="971"/>
      <c r="DW1403" s="971"/>
      <c r="DX1403" s="971"/>
      <c r="DY1403" s="971"/>
      <c r="DZ1403" s="971"/>
      <c r="EA1403" s="971"/>
      <c r="EB1403" s="971"/>
      <c r="EC1403" s="971"/>
      <c r="ED1403" s="971"/>
      <c r="EE1403" s="971"/>
      <c r="EF1403" s="971"/>
      <c r="EG1403" s="971"/>
      <c r="EH1403" s="971"/>
      <c r="EI1403" s="971"/>
      <c r="EJ1403" s="971"/>
      <c r="EK1403" s="971"/>
      <c r="EL1403" s="971"/>
      <c r="EM1403" s="971"/>
      <c r="EN1403" s="971"/>
      <c r="EO1403" s="971"/>
      <c r="EP1403" s="971"/>
      <c r="EQ1403" s="971"/>
      <c r="ER1403" s="971"/>
      <c r="ES1403" s="971"/>
      <c r="ET1403" s="971"/>
      <c r="EU1403" s="971"/>
      <c r="EV1403" s="971"/>
      <c r="EW1403" s="971"/>
      <c r="EX1403" s="971"/>
      <c r="EY1403" s="971"/>
      <c r="EZ1403" s="971"/>
      <c r="FA1403" s="971"/>
      <c r="FB1403" s="971"/>
      <c r="FC1403" s="971"/>
      <c r="FD1403" s="971"/>
      <c r="FE1403" s="971"/>
      <c r="FF1403" s="971"/>
      <c r="FG1403" s="971"/>
      <c r="FH1403" s="971"/>
      <c r="FI1403" s="971"/>
      <c r="FJ1403" s="971"/>
      <c r="FK1403" s="971"/>
      <c r="FL1403" s="971"/>
      <c r="FM1403" s="971"/>
      <c r="FN1403" s="971"/>
      <c r="FO1403" s="971"/>
      <c r="FP1403" s="971"/>
      <c r="FQ1403" s="971"/>
      <c r="FR1403" s="971"/>
      <c r="FS1403" s="971"/>
      <c r="FT1403" s="971"/>
      <c r="FU1403" s="971"/>
      <c r="FV1403" s="971"/>
      <c r="FW1403" s="971"/>
      <c r="FX1403" s="971"/>
      <c r="FY1403" s="971"/>
      <c r="FZ1403" s="971"/>
      <c r="GA1403" s="971"/>
      <c r="GB1403" s="971"/>
      <c r="GC1403" s="971"/>
      <c r="GD1403" s="971"/>
      <c r="GE1403" s="971"/>
      <c r="GF1403" s="971"/>
      <c r="GG1403" s="971"/>
      <c r="GH1403" s="971"/>
      <c r="GI1403" s="971"/>
      <c r="GJ1403" s="971"/>
      <c r="GK1403" s="971"/>
      <c r="GL1403" s="971"/>
      <c r="GM1403" s="971"/>
      <c r="GN1403" s="971"/>
      <c r="GO1403" s="971"/>
      <c r="GP1403" s="971"/>
      <c r="GQ1403" s="971"/>
      <c r="GR1403" s="971"/>
      <c r="GS1403" s="971"/>
      <c r="GT1403" s="971"/>
      <c r="GU1403" s="971"/>
      <c r="GV1403" s="971"/>
      <c r="GW1403" s="971"/>
      <c r="GX1403" s="971"/>
      <c r="GY1403" s="971"/>
      <c r="GZ1403" s="971"/>
      <c r="HA1403" s="971"/>
      <c r="HB1403" s="971"/>
      <c r="HC1403" s="971"/>
      <c r="HD1403" s="971"/>
      <c r="HE1403" s="971"/>
      <c r="HF1403" s="971"/>
      <c r="HG1403" s="971"/>
      <c r="HH1403" s="971"/>
      <c r="HI1403" s="971"/>
      <c r="HJ1403" s="971"/>
      <c r="HK1403" s="971"/>
      <c r="HL1403" s="971"/>
      <c r="HM1403" s="971"/>
      <c r="HN1403" s="971"/>
      <c r="HO1403" s="971"/>
      <c r="HP1403" s="971"/>
      <c r="HQ1403" s="971"/>
      <c r="HR1403" s="971"/>
      <c r="HS1403" s="971"/>
      <c r="HT1403" s="971"/>
      <c r="HU1403" s="971"/>
      <c r="HV1403" s="971"/>
      <c r="HW1403" s="971"/>
      <c r="HX1403" s="971"/>
      <c r="HY1403" s="971"/>
      <c r="HZ1403" s="971"/>
      <c r="IA1403" s="971"/>
      <c r="IB1403" s="971"/>
      <c r="IC1403" s="971"/>
      <c r="ID1403" s="971"/>
      <c r="IE1403" s="971"/>
      <c r="IF1403" s="971"/>
      <c r="IG1403" s="971"/>
      <c r="IH1403" s="971"/>
      <c r="II1403" s="971"/>
      <c r="IJ1403" s="971"/>
      <c r="IK1403" s="971"/>
      <c r="IL1403" s="971"/>
      <c r="IM1403" s="971"/>
      <c r="IN1403" s="971"/>
      <c r="IO1403" s="971"/>
      <c r="IP1403" s="971"/>
      <c r="IQ1403" s="971"/>
      <c r="IR1403" s="971"/>
      <c r="IS1403" s="971"/>
      <c r="IT1403" s="971"/>
      <c r="IU1403" s="971"/>
      <c r="IV1403" s="971"/>
      <c r="IW1403" s="971"/>
      <c r="IX1403" s="971"/>
    </row>
    <row r="1404" spans="1:258" x14ac:dyDescent="0.25">
      <c r="A1404" s="125">
        <f t="shared" si="161"/>
        <v>1364</v>
      </c>
      <c r="B1404" s="885"/>
      <c r="C1404" s="842" t="s">
        <v>10919</v>
      </c>
      <c r="D1404" s="924">
        <v>9334</v>
      </c>
      <c r="E1404" s="924">
        <f t="shared" si="166"/>
        <v>14001</v>
      </c>
      <c r="F1404" s="129">
        <f>E1404/12</f>
        <v>1166.75</v>
      </c>
      <c r="G1404" s="122" t="s">
        <v>1963</v>
      </c>
      <c r="H1404" s="885"/>
      <c r="I1404" s="885"/>
      <c r="J1404" s="885"/>
      <c r="K1404" s="885"/>
      <c r="L1404" s="885"/>
      <c r="M1404" s="885"/>
      <c r="N1404" s="885"/>
      <c r="O1404" s="885"/>
      <c r="P1404" s="885"/>
      <c r="Q1404" s="885"/>
      <c r="R1404" s="885"/>
      <c r="S1404" s="885"/>
      <c r="T1404" s="885"/>
      <c r="U1404" s="885"/>
      <c r="V1404" s="885"/>
      <c r="W1404" s="885"/>
      <c r="X1404" s="885"/>
      <c r="Y1404" s="885"/>
      <c r="Z1404" s="885"/>
      <c r="AA1404" s="885"/>
      <c r="AB1404" s="885"/>
      <c r="AC1404" s="885"/>
      <c r="AD1404" s="885"/>
      <c r="AE1404" s="885"/>
      <c r="AF1404" s="885"/>
      <c r="AG1404" s="885"/>
      <c r="AH1404" s="885"/>
      <c r="AI1404" s="885"/>
      <c r="AJ1404" s="885"/>
      <c r="AK1404" s="885"/>
      <c r="AL1404" s="885"/>
      <c r="AM1404" s="885"/>
      <c r="AN1404" s="885"/>
      <c r="AO1404" s="885"/>
      <c r="AP1404" s="885"/>
      <c r="AQ1404" s="885"/>
      <c r="AR1404" s="885"/>
      <c r="AS1404" s="885"/>
      <c r="AT1404" s="885"/>
      <c r="AU1404" s="885"/>
      <c r="AV1404" s="885"/>
      <c r="AW1404" s="885"/>
      <c r="AX1404" s="885"/>
      <c r="AY1404" s="885"/>
      <c r="AZ1404" s="885"/>
      <c r="BA1404" s="885"/>
      <c r="BB1404" s="885"/>
      <c r="BC1404" s="885"/>
      <c r="BD1404" s="885"/>
      <c r="BE1404" s="885"/>
      <c r="BF1404" s="885"/>
      <c r="BG1404" s="885"/>
      <c r="BH1404" s="885"/>
      <c r="BI1404" s="885"/>
      <c r="BJ1404" s="885"/>
      <c r="BK1404" s="885"/>
      <c r="BL1404" s="885"/>
      <c r="BM1404" s="885"/>
      <c r="BN1404" s="885"/>
      <c r="BO1404" s="885"/>
      <c r="BP1404" s="885"/>
      <c r="BQ1404" s="885"/>
      <c r="BR1404" s="885"/>
      <c r="BS1404" s="885"/>
      <c r="BT1404" s="885"/>
      <c r="BU1404" s="885"/>
      <c r="BV1404" s="885"/>
      <c r="BW1404" s="885"/>
      <c r="BX1404" s="885"/>
      <c r="BY1404" s="885"/>
      <c r="BZ1404" s="885"/>
      <c r="CA1404" s="885"/>
      <c r="CB1404" s="885"/>
      <c r="CC1404" s="885"/>
      <c r="CD1404" s="885"/>
      <c r="CE1404" s="885"/>
      <c r="CF1404" s="885"/>
      <c r="CG1404" s="885"/>
      <c r="CH1404" s="885"/>
      <c r="CI1404" s="885"/>
      <c r="CJ1404" s="885"/>
      <c r="CK1404" s="885"/>
      <c r="CL1404" s="885"/>
      <c r="CM1404" s="885"/>
      <c r="CN1404" s="885"/>
      <c r="CO1404" s="885"/>
      <c r="CP1404" s="885"/>
      <c r="CQ1404" s="885"/>
      <c r="CR1404" s="885"/>
      <c r="CS1404" s="885"/>
      <c r="CT1404" s="885"/>
      <c r="CU1404" s="885"/>
      <c r="CV1404" s="885"/>
      <c r="CW1404" s="885"/>
      <c r="CX1404" s="885"/>
      <c r="CY1404" s="885"/>
      <c r="CZ1404" s="885"/>
      <c r="DA1404" s="885"/>
      <c r="DB1404" s="885"/>
      <c r="DC1404" s="885"/>
      <c r="DD1404" s="885"/>
      <c r="DE1404" s="885"/>
      <c r="DF1404" s="885"/>
      <c r="DG1404" s="885"/>
      <c r="DH1404" s="885"/>
      <c r="DI1404" s="885"/>
      <c r="DJ1404" s="885"/>
      <c r="DK1404" s="885"/>
      <c r="DL1404" s="885"/>
      <c r="DM1404" s="885"/>
      <c r="DN1404" s="885"/>
      <c r="DO1404" s="885"/>
      <c r="DP1404" s="885"/>
      <c r="DQ1404" s="885"/>
      <c r="DR1404" s="885"/>
      <c r="DS1404" s="885"/>
      <c r="DT1404" s="885"/>
      <c r="DU1404" s="885"/>
      <c r="DV1404" s="885"/>
      <c r="DW1404" s="885"/>
      <c r="DX1404" s="885"/>
      <c r="DY1404" s="885"/>
      <c r="DZ1404" s="885"/>
      <c r="EA1404" s="885"/>
      <c r="EB1404" s="885"/>
      <c r="EC1404" s="885"/>
      <c r="ED1404" s="885"/>
      <c r="EE1404" s="885"/>
      <c r="EF1404" s="885"/>
      <c r="EG1404" s="885"/>
      <c r="EH1404" s="885"/>
      <c r="EI1404" s="885"/>
      <c r="EJ1404" s="885"/>
      <c r="EK1404" s="885"/>
      <c r="EL1404" s="885"/>
      <c r="EM1404" s="885"/>
      <c r="EN1404" s="885"/>
      <c r="EO1404" s="885"/>
      <c r="EP1404" s="885"/>
      <c r="EQ1404" s="885"/>
      <c r="ER1404" s="885"/>
      <c r="ES1404" s="885"/>
      <c r="ET1404" s="885"/>
      <c r="EU1404" s="885"/>
      <c r="EV1404" s="885"/>
      <c r="EW1404" s="885"/>
      <c r="EX1404" s="885"/>
      <c r="EY1404" s="885"/>
      <c r="EZ1404" s="885"/>
      <c r="FA1404" s="885"/>
      <c r="FB1404" s="885"/>
      <c r="FC1404" s="885"/>
      <c r="FD1404" s="885"/>
      <c r="FE1404" s="885"/>
      <c r="FF1404" s="885"/>
      <c r="FG1404" s="885"/>
      <c r="FH1404" s="885"/>
      <c r="FI1404" s="885"/>
      <c r="FJ1404" s="885"/>
      <c r="FK1404" s="885"/>
      <c r="FL1404" s="885"/>
      <c r="FM1404" s="885"/>
      <c r="FN1404" s="885"/>
      <c r="FO1404" s="885"/>
      <c r="FP1404" s="885"/>
      <c r="FQ1404" s="885"/>
      <c r="FR1404" s="885"/>
      <c r="FS1404" s="885"/>
      <c r="FT1404" s="885"/>
      <c r="FU1404" s="885"/>
      <c r="FV1404" s="885"/>
      <c r="FW1404" s="885"/>
      <c r="FX1404" s="885"/>
      <c r="FY1404" s="885"/>
      <c r="FZ1404" s="885"/>
      <c r="GA1404" s="885"/>
      <c r="GB1404" s="885"/>
      <c r="GC1404" s="885"/>
      <c r="GD1404" s="885"/>
      <c r="GE1404" s="885"/>
      <c r="GF1404" s="885"/>
      <c r="GG1404" s="885"/>
      <c r="GH1404" s="885"/>
      <c r="GI1404" s="885"/>
      <c r="GJ1404" s="885"/>
      <c r="GK1404" s="885"/>
      <c r="GL1404" s="885"/>
      <c r="GM1404" s="885"/>
      <c r="GN1404" s="885"/>
      <c r="GO1404" s="885"/>
      <c r="GP1404" s="885"/>
      <c r="GQ1404" s="885"/>
      <c r="GR1404" s="885"/>
      <c r="GS1404" s="885"/>
      <c r="GT1404" s="885"/>
      <c r="GU1404" s="885"/>
      <c r="GV1404" s="885"/>
      <c r="GW1404" s="885"/>
      <c r="GX1404" s="885"/>
      <c r="GY1404" s="885"/>
      <c r="GZ1404" s="885"/>
      <c r="HA1404" s="885"/>
      <c r="HB1404" s="885"/>
      <c r="HC1404" s="885"/>
      <c r="HD1404" s="885"/>
      <c r="HE1404" s="885"/>
      <c r="HF1404" s="885"/>
      <c r="HG1404" s="885"/>
      <c r="HH1404" s="885"/>
      <c r="HI1404" s="885"/>
      <c r="HJ1404" s="885"/>
      <c r="HK1404" s="885"/>
      <c r="HL1404" s="885"/>
      <c r="HM1404" s="885"/>
      <c r="HN1404" s="885"/>
      <c r="HO1404" s="885"/>
      <c r="HP1404" s="885"/>
      <c r="HQ1404" s="885"/>
      <c r="HR1404" s="885"/>
      <c r="HS1404" s="885"/>
      <c r="HT1404" s="885"/>
      <c r="HU1404" s="885"/>
      <c r="HV1404" s="885"/>
      <c r="HW1404" s="885"/>
      <c r="HX1404" s="885"/>
      <c r="HY1404" s="885"/>
      <c r="HZ1404" s="885"/>
      <c r="IA1404" s="885"/>
      <c r="IB1404" s="885"/>
      <c r="IC1404" s="885"/>
      <c r="ID1404" s="885"/>
      <c r="IE1404" s="885"/>
      <c r="IF1404" s="885"/>
      <c r="IG1404" s="885"/>
      <c r="IH1404" s="885"/>
      <c r="II1404" s="885"/>
      <c r="IJ1404" s="885"/>
      <c r="IK1404" s="885"/>
      <c r="IL1404" s="885"/>
      <c r="IM1404" s="885"/>
      <c r="IN1404" s="885"/>
      <c r="IO1404" s="885"/>
      <c r="IP1404" s="885"/>
      <c r="IQ1404" s="885"/>
      <c r="IR1404" s="885"/>
      <c r="IS1404" s="885"/>
      <c r="IT1404" s="885"/>
      <c r="IU1404" s="885"/>
      <c r="IV1404" s="885"/>
      <c r="IW1404" s="885"/>
      <c r="IX1404" s="885"/>
    </row>
    <row r="1405" spans="1:258" x14ac:dyDescent="0.25">
      <c r="A1405" s="125">
        <f t="shared" si="161"/>
        <v>1365</v>
      </c>
      <c r="B1405" s="885"/>
      <c r="C1405" s="842" t="s">
        <v>10920</v>
      </c>
      <c r="D1405" s="924">
        <v>33734</v>
      </c>
      <c r="E1405" s="924">
        <f t="shared" si="166"/>
        <v>50601</v>
      </c>
      <c r="F1405" s="129">
        <v>1200</v>
      </c>
      <c r="G1405" s="122" t="s">
        <v>1963</v>
      </c>
      <c r="H1405" s="885"/>
      <c r="I1405" s="885"/>
      <c r="J1405" s="885"/>
      <c r="K1405" s="885"/>
      <c r="L1405" s="885"/>
      <c r="M1405" s="885"/>
      <c r="N1405" s="885"/>
      <c r="O1405" s="885"/>
      <c r="P1405" s="885"/>
      <c r="Q1405" s="885"/>
      <c r="R1405" s="885"/>
      <c r="S1405" s="885"/>
      <c r="T1405" s="885"/>
      <c r="U1405" s="885"/>
      <c r="V1405" s="885"/>
      <c r="W1405" s="885"/>
      <c r="X1405" s="885"/>
      <c r="Y1405" s="885"/>
      <c r="Z1405" s="885"/>
      <c r="AA1405" s="885"/>
      <c r="AB1405" s="885"/>
      <c r="AC1405" s="885"/>
      <c r="AD1405" s="885"/>
      <c r="AE1405" s="885"/>
      <c r="AF1405" s="885"/>
      <c r="AG1405" s="885"/>
      <c r="AH1405" s="885"/>
      <c r="AI1405" s="885"/>
      <c r="AJ1405" s="885"/>
      <c r="AK1405" s="885"/>
      <c r="AL1405" s="885"/>
      <c r="AM1405" s="885"/>
      <c r="AN1405" s="885"/>
      <c r="AO1405" s="885"/>
      <c r="AP1405" s="885"/>
      <c r="AQ1405" s="885"/>
      <c r="AR1405" s="885"/>
      <c r="AS1405" s="885"/>
      <c r="AT1405" s="885"/>
      <c r="AU1405" s="885"/>
      <c r="AV1405" s="885"/>
      <c r="AW1405" s="885"/>
      <c r="AX1405" s="885"/>
      <c r="AY1405" s="885"/>
      <c r="AZ1405" s="885"/>
      <c r="BA1405" s="885"/>
      <c r="BB1405" s="885"/>
      <c r="BC1405" s="885"/>
      <c r="BD1405" s="885"/>
      <c r="BE1405" s="885"/>
      <c r="BF1405" s="885"/>
      <c r="BG1405" s="885"/>
      <c r="BH1405" s="885"/>
      <c r="BI1405" s="885"/>
      <c r="BJ1405" s="885"/>
      <c r="BK1405" s="885"/>
      <c r="BL1405" s="885"/>
      <c r="BM1405" s="885"/>
      <c r="BN1405" s="885"/>
      <c r="BO1405" s="885"/>
      <c r="BP1405" s="885"/>
      <c r="BQ1405" s="885"/>
      <c r="BR1405" s="885"/>
      <c r="BS1405" s="885"/>
      <c r="BT1405" s="885"/>
      <c r="BU1405" s="885"/>
      <c r="BV1405" s="885"/>
      <c r="BW1405" s="885"/>
      <c r="BX1405" s="885"/>
      <c r="BY1405" s="885"/>
      <c r="BZ1405" s="885"/>
      <c r="CA1405" s="885"/>
      <c r="CB1405" s="885"/>
      <c r="CC1405" s="885"/>
      <c r="CD1405" s="885"/>
      <c r="CE1405" s="885"/>
      <c r="CF1405" s="885"/>
      <c r="CG1405" s="885"/>
      <c r="CH1405" s="885"/>
      <c r="CI1405" s="885"/>
      <c r="CJ1405" s="885"/>
      <c r="CK1405" s="885"/>
      <c r="CL1405" s="885"/>
      <c r="CM1405" s="885"/>
      <c r="CN1405" s="885"/>
      <c r="CO1405" s="885"/>
      <c r="CP1405" s="885"/>
      <c r="CQ1405" s="885"/>
      <c r="CR1405" s="885"/>
      <c r="CS1405" s="885"/>
      <c r="CT1405" s="885"/>
      <c r="CU1405" s="885"/>
      <c r="CV1405" s="885"/>
      <c r="CW1405" s="885"/>
      <c r="CX1405" s="885"/>
      <c r="CY1405" s="885"/>
      <c r="CZ1405" s="885"/>
      <c r="DA1405" s="885"/>
      <c r="DB1405" s="885"/>
      <c r="DC1405" s="885"/>
      <c r="DD1405" s="885"/>
      <c r="DE1405" s="885"/>
      <c r="DF1405" s="885"/>
      <c r="DG1405" s="885"/>
      <c r="DH1405" s="885"/>
      <c r="DI1405" s="885"/>
      <c r="DJ1405" s="885"/>
      <c r="DK1405" s="885"/>
      <c r="DL1405" s="885"/>
      <c r="DM1405" s="885"/>
      <c r="DN1405" s="885"/>
      <c r="DO1405" s="885"/>
      <c r="DP1405" s="885"/>
      <c r="DQ1405" s="885"/>
      <c r="DR1405" s="885"/>
      <c r="DS1405" s="885"/>
      <c r="DT1405" s="885"/>
      <c r="DU1405" s="885"/>
      <c r="DV1405" s="885"/>
      <c r="DW1405" s="885"/>
      <c r="DX1405" s="885"/>
      <c r="DY1405" s="885"/>
      <c r="DZ1405" s="885"/>
      <c r="EA1405" s="885"/>
      <c r="EB1405" s="885"/>
      <c r="EC1405" s="885"/>
      <c r="ED1405" s="885"/>
      <c r="EE1405" s="885"/>
      <c r="EF1405" s="885"/>
      <c r="EG1405" s="885"/>
      <c r="EH1405" s="885"/>
      <c r="EI1405" s="885"/>
      <c r="EJ1405" s="885"/>
      <c r="EK1405" s="885"/>
      <c r="EL1405" s="885"/>
      <c r="EM1405" s="885"/>
      <c r="EN1405" s="885"/>
      <c r="EO1405" s="885"/>
      <c r="EP1405" s="885"/>
      <c r="EQ1405" s="885"/>
      <c r="ER1405" s="885"/>
      <c r="ES1405" s="885"/>
      <c r="ET1405" s="885"/>
      <c r="EU1405" s="885"/>
      <c r="EV1405" s="885"/>
      <c r="EW1405" s="885"/>
      <c r="EX1405" s="885"/>
      <c r="EY1405" s="885"/>
      <c r="EZ1405" s="885"/>
      <c r="FA1405" s="885"/>
      <c r="FB1405" s="885"/>
      <c r="FC1405" s="885"/>
      <c r="FD1405" s="885"/>
      <c r="FE1405" s="885"/>
      <c r="FF1405" s="885"/>
      <c r="FG1405" s="885"/>
      <c r="FH1405" s="885"/>
      <c r="FI1405" s="885"/>
      <c r="FJ1405" s="885"/>
      <c r="FK1405" s="885"/>
      <c r="FL1405" s="885"/>
      <c r="FM1405" s="885"/>
      <c r="FN1405" s="885"/>
      <c r="FO1405" s="885"/>
      <c r="FP1405" s="885"/>
      <c r="FQ1405" s="885"/>
      <c r="FR1405" s="885"/>
      <c r="FS1405" s="885"/>
      <c r="FT1405" s="885"/>
      <c r="FU1405" s="885"/>
      <c r="FV1405" s="885"/>
      <c r="FW1405" s="885"/>
      <c r="FX1405" s="885"/>
      <c r="FY1405" s="885"/>
      <c r="FZ1405" s="885"/>
      <c r="GA1405" s="885"/>
      <c r="GB1405" s="885"/>
      <c r="GC1405" s="885"/>
      <c r="GD1405" s="885"/>
      <c r="GE1405" s="885"/>
      <c r="GF1405" s="885"/>
      <c r="GG1405" s="885"/>
      <c r="GH1405" s="885"/>
      <c r="GI1405" s="885"/>
      <c r="GJ1405" s="885"/>
      <c r="GK1405" s="885"/>
      <c r="GL1405" s="885"/>
      <c r="GM1405" s="885"/>
      <c r="GN1405" s="885"/>
      <c r="GO1405" s="885"/>
      <c r="GP1405" s="885"/>
      <c r="GQ1405" s="885"/>
      <c r="GR1405" s="885"/>
      <c r="GS1405" s="885"/>
      <c r="GT1405" s="885"/>
      <c r="GU1405" s="885"/>
      <c r="GV1405" s="885"/>
      <c r="GW1405" s="885"/>
      <c r="GX1405" s="885"/>
      <c r="GY1405" s="885"/>
      <c r="GZ1405" s="885"/>
      <c r="HA1405" s="885"/>
      <c r="HB1405" s="885"/>
      <c r="HC1405" s="885"/>
      <c r="HD1405" s="885"/>
      <c r="HE1405" s="885"/>
      <c r="HF1405" s="885"/>
      <c r="HG1405" s="885"/>
      <c r="HH1405" s="885"/>
      <c r="HI1405" s="885"/>
      <c r="HJ1405" s="885"/>
      <c r="HK1405" s="885"/>
      <c r="HL1405" s="885"/>
      <c r="HM1405" s="885"/>
      <c r="HN1405" s="885"/>
      <c r="HO1405" s="885"/>
      <c r="HP1405" s="885"/>
      <c r="HQ1405" s="885"/>
      <c r="HR1405" s="885"/>
      <c r="HS1405" s="885"/>
      <c r="HT1405" s="885"/>
      <c r="HU1405" s="885"/>
      <c r="HV1405" s="885"/>
      <c r="HW1405" s="885"/>
      <c r="HX1405" s="885"/>
      <c r="HY1405" s="885"/>
      <c r="HZ1405" s="885"/>
      <c r="IA1405" s="885"/>
      <c r="IB1405" s="885"/>
      <c r="IC1405" s="885"/>
      <c r="ID1405" s="885"/>
      <c r="IE1405" s="885"/>
      <c r="IF1405" s="885"/>
      <c r="IG1405" s="885"/>
      <c r="IH1405" s="885"/>
      <c r="II1405" s="885"/>
      <c r="IJ1405" s="885"/>
      <c r="IK1405" s="885"/>
      <c r="IL1405" s="885"/>
      <c r="IM1405" s="885"/>
      <c r="IN1405" s="885"/>
      <c r="IO1405" s="885"/>
      <c r="IP1405" s="885"/>
      <c r="IQ1405" s="885"/>
      <c r="IR1405" s="885"/>
      <c r="IS1405" s="885"/>
      <c r="IT1405" s="885"/>
      <c r="IU1405" s="885"/>
      <c r="IV1405" s="885"/>
      <c r="IW1405" s="885"/>
      <c r="IX1405" s="885"/>
    </row>
    <row r="1406" spans="1:258" x14ac:dyDescent="0.25">
      <c r="A1406" s="125">
        <f t="shared" si="161"/>
        <v>1366</v>
      </c>
      <c r="B1406" s="885"/>
      <c r="C1406" s="842" t="s">
        <v>10921</v>
      </c>
      <c r="D1406" s="924">
        <v>4495.8500000000004</v>
      </c>
      <c r="E1406" s="924">
        <f t="shared" si="166"/>
        <v>6743.7750000000005</v>
      </c>
      <c r="F1406" s="129">
        <f>E1406</f>
        <v>6743.7750000000005</v>
      </c>
      <c r="G1406" s="122" t="s">
        <v>1963</v>
      </c>
      <c r="H1406" s="885"/>
      <c r="I1406" s="885"/>
      <c r="J1406" s="885"/>
      <c r="K1406" s="885"/>
      <c r="L1406" s="885"/>
      <c r="M1406" s="885"/>
      <c r="N1406" s="885"/>
      <c r="O1406" s="885"/>
      <c r="P1406" s="885"/>
      <c r="Q1406" s="885"/>
      <c r="R1406" s="885"/>
      <c r="S1406" s="885"/>
      <c r="T1406" s="885"/>
      <c r="U1406" s="885"/>
      <c r="V1406" s="885"/>
      <c r="W1406" s="885"/>
      <c r="X1406" s="885"/>
      <c r="Y1406" s="885"/>
      <c r="Z1406" s="885"/>
      <c r="AA1406" s="885"/>
      <c r="AB1406" s="885"/>
      <c r="AC1406" s="885"/>
      <c r="AD1406" s="885"/>
      <c r="AE1406" s="885"/>
      <c r="AF1406" s="885"/>
      <c r="AG1406" s="885"/>
      <c r="AH1406" s="885"/>
      <c r="AI1406" s="885"/>
      <c r="AJ1406" s="885"/>
      <c r="AK1406" s="885"/>
      <c r="AL1406" s="885"/>
      <c r="AM1406" s="885"/>
      <c r="AN1406" s="885"/>
      <c r="AO1406" s="885"/>
      <c r="AP1406" s="885"/>
      <c r="AQ1406" s="885"/>
      <c r="AR1406" s="885"/>
      <c r="AS1406" s="885"/>
      <c r="AT1406" s="885"/>
      <c r="AU1406" s="885"/>
      <c r="AV1406" s="885"/>
      <c r="AW1406" s="885"/>
      <c r="AX1406" s="885"/>
      <c r="AY1406" s="885"/>
      <c r="AZ1406" s="885"/>
      <c r="BA1406" s="885"/>
      <c r="BB1406" s="885"/>
      <c r="BC1406" s="885"/>
      <c r="BD1406" s="885"/>
      <c r="BE1406" s="885"/>
      <c r="BF1406" s="885"/>
      <c r="BG1406" s="885"/>
      <c r="BH1406" s="885"/>
      <c r="BI1406" s="885"/>
      <c r="BJ1406" s="885"/>
      <c r="BK1406" s="885"/>
      <c r="BL1406" s="885"/>
      <c r="BM1406" s="885"/>
      <c r="BN1406" s="885"/>
      <c r="BO1406" s="885"/>
      <c r="BP1406" s="885"/>
      <c r="BQ1406" s="885"/>
      <c r="BR1406" s="885"/>
      <c r="BS1406" s="885"/>
      <c r="BT1406" s="885"/>
      <c r="BU1406" s="885"/>
      <c r="BV1406" s="885"/>
      <c r="BW1406" s="885"/>
      <c r="BX1406" s="885"/>
      <c r="BY1406" s="885"/>
      <c r="BZ1406" s="885"/>
      <c r="CA1406" s="885"/>
      <c r="CB1406" s="885"/>
      <c r="CC1406" s="885"/>
      <c r="CD1406" s="885"/>
      <c r="CE1406" s="885"/>
      <c r="CF1406" s="885"/>
      <c r="CG1406" s="885"/>
      <c r="CH1406" s="885"/>
      <c r="CI1406" s="885"/>
      <c r="CJ1406" s="885"/>
      <c r="CK1406" s="885"/>
      <c r="CL1406" s="885"/>
      <c r="CM1406" s="885"/>
      <c r="CN1406" s="885"/>
      <c r="CO1406" s="885"/>
      <c r="CP1406" s="885"/>
      <c r="CQ1406" s="885"/>
      <c r="CR1406" s="885"/>
      <c r="CS1406" s="885"/>
      <c r="CT1406" s="885"/>
      <c r="CU1406" s="885"/>
      <c r="CV1406" s="885"/>
      <c r="CW1406" s="885"/>
      <c r="CX1406" s="885"/>
      <c r="CY1406" s="885"/>
      <c r="CZ1406" s="885"/>
      <c r="DA1406" s="885"/>
      <c r="DB1406" s="885"/>
      <c r="DC1406" s="885"/>
      <c r="DD1406" s="885"/>
      <c r="DE1406" s="885"/>
      <c r="DF1406" s="885"/>
      <c r="DG1406" s="885"/>
      <c r="DH1406" s="885"/>
      <c r="DI1406" s="885"/>
      <c r="DJ1406" s="885"/>
      <c r="DK1406" s="885"/>
      <c r="DL1406" s="885"/>
      <c r="DM1406" s="885"/>
      <c r="DN1406" s="885"/>
      <c r="DO1406" s="885"/>
      <c r="DP1406" s="885"/>
      <c r="DQ1406" s="885"/>
      <c r="DR1406" s="885"/>
      <c r="DS1406" s="885"/>
      <c r="DT1406" s="885"/>
      <c r="DU1406" s="885"/>
      <c r="DV1406" s="885"/>
      <c r="DW1406" s="885"/>
      <c r="DX1406" s="885"/>
      <c r="DY1406" s="885"/>
      <c r="DZ1406" s="885"/>
      <c r="EA1406" s="885"/>
      <c r="EB1406" s="885"/>
      <c r="EC1406" s="885"/>
      <c r="ED1406" s="885"/>
      <c r="EE1406" s="885"/>
      <c r="EF1406" s="885"/>
      <c r="EG1406" s="885"/>
      <c r="EH1406" s="885"/>
      <c r="EI1406" s="885"/>
      <c r="EJ1406" s="885"/>
      <c r="EK1406" s="885"/>
      <c r="EL1406" s="885"/>
      <c r="EM1406" s="885"/>
      <c r="EN1406" s="885"/>
      <c r="EO1406" s="885"/>
      <c r="EP1406" s="885"/>
      <c r="EQ1406" s="885"/>
      <c r="ER1406" s="885"/>
      <c r="ES1406" s="885"/>
      <c r="ET1406" s="885"/>
      <c r="EU1406" s="885"/>
      <c r="EV1406" s="885"/>
      <c r="EW1406" s="885"/>
      <c r="EX1406" s="885"/>
      <c r="EY1406" s="885"/>
      <c r="EZ1406" s="885"/>
      <c r="FA1406" s="885"/>
      <c r="FB1406" s="885"/>
      <c r="FC1406" s="885"/>
      <c r="FD1406" s="885"/>
      <c r="FE1406" s="885"/>
      <c r="FF1406" s="885"/>
      <c r="FG1406" s="885"/>
      <c r="FH1406" s="885"/>
      <c r="FI1406" s="885"/>
      <c r="FJ1406" s="885"/>
      <c r="FK1406" s="885"/>
      <c r="FL1406" s="885"/>
      <c r="FM1406" s="885"/>
      <c r="FN1406" s="885"/>
      <c r="FO1406" s="885"/>
      <c r="FP1406" s="885"/>
      <c r="FQ1406" s="885"/>
      <c r="FR1406" s="885"/>
      <c r="FS1406" s="885"/>
      <c r="FT1406" s="885"/>
      <c r="FU1406" s="885"/>
      <c r="FV1406" s="885"/>
      <c r="FW1406" s="885"/>
      <c r="FX1406" s="885"/>
      <c r="FY1406" s="885"/>
      <c r="FZ1406" s="885"/>
      <c r="GA1406" s="885"/>
      <c r="GB1406" s="885"/>
      <c r="GC1406" s="885"/>
      <c r="GD1406" s="885"/>
      <c r="GE1406" s="885"/>
      <c r="GF1406" s="885"/>
      <c r="GG1406" s="885"/>
      <c r="GH1406" s="885"/>
      <c r="GI1406" s="885"/>
      <c r="GJ1406" s="885"/>
      <c r="GK1406" s="885"/>
      <c r="GL1406" s="885"/>
      <c r="GM1406" s="885"/>
      <c r="GN1406" s="885"/>
      <c r="GO1406" s="885"/>
      <c r="GP1406" s="885"/>
      <c r="GQ1406" s="885"/>
      <c r="GR1406" s="885"/>
      <c r="GS1406" s="885"/>
      <c r="GT1406" s="885"/>
      <c r="GU1406" s="885"/>
      <c r="GV1406" s="885"/>
      <c r="GW1406" s="885"/>
      <c r="GX1406" s="885"/>
      <c r="GY1406" s="885"/>
      <c r="GZ1406" s="885"/>
      <c r="HA1406" s="885"/>
      <c r="HB1406" s="885"/>
      <c r="HC1406" s="885"/>
      <c r="HD1406" s="885"/>
      <c r="HE1406" s="885"/>
      <c r="HF1406" s="885"/>
      <c r="HG1406" s="885"/>
      <c r="HH1406" s="885"/>
      <c r="HI1406" s="885"/>
      <c r="HJ1406" s="885"/>
      <c r="HK1406" s="885"/>
      <c r="HL1406" s="885"/>
      <c r="HM1406" s="885"/>
      <c r="HN1406" s="885"/>
      <c r="HO1406" s="885"/>
      <c r="HP1406" s="885"/>
      <c r="HQ1406" s="885"/>
      <c r="HR1406" s="885"/>
      <c r="HS1406" s="885"/>
      <c r="HT1406" s="885"/>
      <c r="HU1406" s="885"/>
      <c r="HV1406" s="885"/>
      <c r="HW1406" s="885"/>
      <c r="HX1406" s="885"/>
      <c r="HY1406" s="885"/>
      <c r="HZ1406" s="885"/>
      <c r="IA1406" s="885"/>
      <c r="IB1406" s="885"/>
      <c r="IC1406" s="885"/>
      <c r="ID1406" s="885"/>
      <c r="IE1406" s="885"/>
      <c r="IF1406" s="885"/>
      <c r="IG1406" s="885"/>
      <c r="IH1406" s="885"/>
      <c r="II1406" s="885"/>
      <c r="IJ1406" s="885"/>
      <c r="IK1406" s="885"/>
      <c r="IL1406" s="885"/>
      <c r="IM1406" s="885"/>
      <c r="IN1406" s="885"/>
      <c r="IO1406" s="885"/>
      <c r="IP1406" s="885"/>
      <c r="IQ1406" s="885"/>
      <c r="IR1406" s="885"/>
      <c r="IS1406" s="885"/>
      <c r="IT1406" s="885"/>
      <c r="IU1406" s="885"/>
      <c r="IV1406" s="885"/>
      <c r="IW1406" s="885"/>
      <c r="IX1406" s="885"/>
    </row>
    <row r="1407" spans="1:258" x14ac:dyDescent="0.25">
      <c r="A1407" s="125">
        <f t="shared" si="161"/>
        <v>1367</v>
      </c>
      <c r="B1407" s="885"/>
      <c r="C1407" s="842" t="s">
        <v>10922</v>
      </c>
      <c r="D1407" s="924">
        <v>0</v>
      </c>
      <c r="E1407" s="924">
        <f t="shared" si="166"/>
        <v>0</v>
      </c>
      <c r="F1407" s="129">
        <v>500</v>
      </c>
      <c r="G1407" s="122" t="s">
        <v>1963</v>
      </c>
      <c r="H1407" s="885"/>
      <c r="I1407" s="885"/>
      <c r="J1407" s="885"/>
      <c r="K1407" s="885"/>
      <c r="L1407" s="885"/>
      <c r="M1407" s="885"/>
      <c r="N1407" s="885"/>
      <c r="O1407" s="885"/>
      <c r="P1407" s="885"/>
      <c r="Q1407" s="885"/>
      <c r="R1407" s="885"/>
      <c r="S1407" s="885"/>
      <c r="T1407" s="885"/>
      <c r="U1407" s="885"/>
      <c r="V1407" s="885"/>
      <c r="W1407" s="885"/>
      <c r="X1407" s="885"/>
      <c r="Y1407" s="885"/>
      <c r="Z1407" s="885"/>
      <c r="AA1407" s="885"/>
      <c r="AB1407" s="885"/>
      <c r="AC1407" s="885"/>
      <c r="AD1407" s="885"/>
      <c r="AE1407" s="885"/>
      <c r="AF1407" s="885"/>
      <c r="AG1407" s="885"/>
      <c r="AH1407" s="885"/>
      <c r="AI1407" s="885"/>
      <c r="AJ1407" s="885"/>
      <c r="AK1407" s="885"/>
      <c r="AL1407" s="885"/>
      <c r="AM1407" s="885"/>
      <c r="AN1407" s="885"/>
      <c r="AO1407" s="885"/>
      <c r="AP1407" s="885"/>
      <c r="AQ1407" s="885"/>
      <c r="AR1407" s="885"/>
      <c r="AS1407" s="885"/>
      <c r="AT1407" s="885"/>
      <c r="AU1407" s="885"/>
      <c r="AV1407" s="885"/>
      <c r="AW1407" s="885"/>
      <c r="AX1407" s="885"/>
      <c r="AY1407" s="885"/>
      <c r="AZ1407" s="885"/>
      <c r="BA1407" s="885"/>
      <c r="BB1407" s="885"/>
      <c r="BC1407" s="885"/>
      <c r="BD1407" s="885"/>
      <c r="BE1407" s="885"/>
      <c r="BF1407" s="885"/>
      <c r="BG1407" s="885"/>
      <c r="BH1407" s="885"/>
      <c r="BI1407" s="885"/>
      <c r="BJ1407" s="885"/>
      <c r="BK1407" s="885"/>
      <c r="BL1407" s="885"/>
      <c r="BM1407" s="885"/>
      <c r="BN1407" s="885"/>
      <c r="BO1407" s="885"/>
      <c r="BP1407" s="885"/>
      <c r="BQ1407" s="885"/>
      <c r="BR1407" s="885"/>
      <c r="BS1407" s="885"/>
      <c r="BT1407" s="885"/>
      <c r="BU1407" s="885"/>
      <c r="BV1407" s="885"/>
      <c r="BW1407" s="885"/>
      <c r="BX1407" s="885"/>
      <c r="BY1407" s="885"/>
      <c r="BZ1407" s="885"/>
      <c r="CA1407" s="885"/>
      <c r="CB1407" s="885"/>
      <c r="CC1407" s="885"/>
      <c r="CD1407" s="885"/>
      <c r="CE1407" s="885"/>
      <c r="CF1407" s="885"/>
      <c r="CG1407" s="885"/>
      <c r="CH1407" s="885"/>
      <c r="CI1407" s="885"/>
      <c r="CJ1407" s="885"/>
      <c r="CK1407" s="885"/>
      <c r="CL1407" s="885"/>
      <c r="CM1407" s="885"/>
      <c r="CN1407" s="885"/>
      <c r="CO1407" s="885"/>
      <c r="CP1407" s="885"/>
      <c r="CQ1407" s="885"/>
      <c r="CR1407" s="885"/>
      <c r="CS1407" s="885"/>
      <c r="CT1407" s="885"/>
      <c r="CU1407" s="885"/>
      <c r="CV1407" s="885"/>
      <c r="CW1407" s="885"/>
      <c r="CX1407" s="885"/>
      <c r="CY1407" s="885"/>
      <c r="CZ1407" s="885"/>
      <c r="DA1407" s="885"/>
      <c r="DB1407" s="885"/>
      <c r="DC1407" s="885"/>
      <c r="DD1407" s="885"/>
      <c r="DE1407" s="885"/>
      <c r="DF1407" s="885"/>
      <c r="DG1407" s="885"/>
      <c r="DH1407" s="885"/>
      <c r="DI1407" s="885"/>
      <c r="DJ1407" s="885"/>
      <c r="DK1407" s="885"/>
      <c r="DL1407" s="885"/>
      <c r="DM1407" s="885"/>
      <c r="DN1407" s="885"/>
      <c r="DO1407" s="885"/>
      <c r="DP1407" s="885"/>
      <c r="DQ1407" s="885"/>
      <c r="DR1407" s="885"/>
      <c r="DS1407" s="885"/>
      <c r="DT1407" s="885"/>
      <c r="DU1407" s="885"/>
      <c r="DV1407" s="885"/>
      <c r="DW1407" s="885"/>
      <c r="DX1407" s="885"/>
      <c r="DY1407" s="885"/>
      <c r="DZ1407" s="885"/>
      <c r="EA1407" s="885"/>
      <c r="EB1407" s="885"/>
      <c r="EC1407" s="885"/>
      <c r="ED1407" s="885"/>
      <c r="EE1407" s="885"/>
      <c r="EF1407" s="885"/>
      <c r="EG1407" s="885"/>
      <c r="EH1407" s="885"/>
      <c r="EI1407" s="885"/>
      <c r="EJ1407" s="885"/>
      <c r="EK1407" s="885"/>
      <c r="EL1407" s="885"/>
      <c r="EM1407" s="885"/>
      <c r="EN1407" s="885"/>
      <c r="EO1407" s="885"/>
      <c r="EP1407" s="885"/>
      <c r="EQ1407" s="885"/>
      <c r="ER1407" s="885"/>
      <c r="ES1407" s="885"/>
      <c r="ET1407" s="885"/>
      <c r="EU1407" s="885"/>
      <c r="EV1407" s="885"/>
      <c r="EW1407" s="885"/>
      <c r="EX1407" s="885"/>
      <c r="EY1407" s="885"/>
      <c r="EZ1407" s="885"/>
      <c r="FA1407" s="885"/>
      <c r="FB1407" s="885"/>
      <c r="FC1407" s="885"/>
      <c r="FD1407" s="885"/>
      <c r="FE1407" s="885"/>
      <c r="FF1407" s="885"/>
      <c r="FG1407" s="885"/>
      <c r="FH1407" s="885"/>
      <c r="FI1407" s="885"/>
      <c r="FJ1407" s="885"/>
      <c r="FK1407" s="885"/>
      <c r="FL1407" s="885"/>
      <c r="FM1407" s="885"/>
      <c r="FN1407" s="885"/>
      <c r="FO1407" s="885"/>
      <c r="FP1407" s="885"/>
      <c r="FQ1407" s="885"/>
      <c r="FR1407" s="885"/>
      <c r="FS1407" s="885"/>
      <c r="FT1407" s="885"/>
      <c r="FU1407" s="885"/>
      <c r="FV1407" s="885"/>
      <c r="FW1407" s="885"/>
      <c r="FX1407" s="885"/>
      <c r="FY1407" s="885"/>
      <c r="FZ1407" s="885"/>
      <c r="GA1407" s="885"/>
      <c r="GB1407" s="885"/>
      <c r="GC1407" s="885"/>
      <c r="GD1407" s="885"/>
      <c r="GE1407" s="885"/>
      <c r="GF1407" s="885"/>
      <c r="GG1407" s="885"/>
      <c r="GH1407" s="885"/>
      <c r="GI1407" s="885"/>
      <c r="GJ1407" s="885"/>
      <c r="GK1407" s="885"/>
      <c r="GL1407" s="885"/>
      <c r="GM1407" s="885"/>
      <c r="GN1407" s="885"/>
      <c r="GO1407" s="885"/>
      <c r="GP1407" s="885"/>
      <c r="GQ1407" s="885"/>
      <c r="GR1407" s="885"/>
      <c r="GS1407" s="885"/>
      <c r="GT1407" s="885"/>
      <c r="GU1407" s="885"/>
      <c r="GV1407" s="885"/>
      <c r="GW1407" s="885"/>
      <c r="GX1407" s="885"/>
      <c r="GY1407" s="885"/>
      <c r="GZ1407" s="885"/>
      <c r="HA1407" s="885"/>
      <c r="HB1407" s="885"/>
      <c r="HC1407" s="885"/>
      <c r="HD1407" s="885"/>
      <c r="HE1407" s="885"/>
      <c r="HF1407" s="885"/>
      <c r="HG1407" s="885"/>
      <c r="HH1407" s="885"/>
      <c r="HI1407" s="885"/>
      <c r="HJ1407" s="885"/>
      <c r="HK1407" s="885"/>
      <c r="HL1407" s="885"/>
      <c r="HM1407" s="885"/>
      <c r="HN1407" s="885"/>
      <c r="HO1407" s="885"/>
      <c r="HP1407" s="885"/>
      <c r="HQ1407" s="885"/>
      <c r="HR1407" s="885"/>
      <c r="HS1407" s="885"/>
      <c r="HT1407" s="885"/>
      <c r="HU1407" s="885"/>
      <c r="HV1407" s="885"/>
      <c r="HW1407" s="885"/>
      <c r="HX1407" s="885"/>
      <c r="HY1407" s="885"/>
      <c r="HZ1407" s="885"/>
      <c r="IA1407" s="885"/>
      <c r="IB1407" s="885"/>
      <c r="IC1407" s="885"/>
      <c r="ID1407" s="885"/>
      <c r="IE1407" s="885"/>
      <c r="IF1407" s="885"/>
      <c r="IG1407" s="885"/>
      <c r="IH1407" s="885"/>
      <c r="II1407" s="885"/>
      <c r="IJ1407" s="885"/>
      <c r="IK1407" s="885"/>
      <c r="IL1407" s="885"/>
      <c r="IM1407" s="885"/>
      <c r="IN1407" s="885"/>
      <c r="IO1407" s="885"/>
      <c r="IP1407" s="885"/>
      <c r="IQ1407" s="885"/>
      <c r="IR1407" s="885"/>
      <c r="IS1407" s="885"/>
      <c r="IT1407" s="885"/>
      <c r="IU1407" s="885"/>
      <c r="IV1407" s="885"/>
      <c r="IW1407" s="885"/>
      <c r="IX1407" s="885"/>
    </row>
    <row r="1408" spans="1:258" x14ac:dyDescent="0.25">
      <c r="A1408" s="125">
        <f t="shared" si="161"/>
        <v>1368</v>
      </c>
      <c r="B1408" s="885"/>
      <c r="C1408" s="842" t="s">
        <v>10923</v>
      </c>
      <c r="D1408" s="924">
        <v>28</v>
      </c>
      <c r="E1408" s="924">
        <f t="shared" si="166"/>
        <v>42</v>
      </c>
      <c r="F1408" s="129">
        <v>500</v>
      </c>
      <c r="G1408" s="122" t="s">
        <v>1963</v>
      </c>
      <c r="H1408" s="885"/>
      <c r="I1408" s="885"/>
      <c r="J1408" s="885"/>
      <c r="K1408" s="885"/>
      <c r="L1408" s="885"/>
      <c r="M1408" s="885"/>
      <c r="N1408" s="885"/>
      <c r="O1408" s="885"/>
      <c r="P1408" s="885"/>
      <c r="Q1408" s="885"/>
      <c r="R1408" s="885"/>
      <c r="S1408" s="885"/>
      <c r="T1408" s="885"/>
      <c r="U1408" s="885"/>
      <c r="V1408" s="885"/>
      <c r="W1408" s="885"/>
      <c r="X1408" s="885"/>
      <c r="Y1408" s="885"/>
      <c r="Z1408" s="885"/>
      <c r="AA1408" s="885"/>
      <c r="AB1408" s="885"/>
      <c r="AC1408" s="885"/>
      <c r="AD1408" s="885"/>
      <c r="AE1408" s="885"/>
      <c r="AF1408" s="885"/>
      <c r="AG1408" s="885"/>
      <c r="AH1408" s="885"/>
      <c r="AI1408" s="885"/>
      <c r="AJ1408" s="885"/>
      <c r="AK1408" s="885"/>
      <c r="AL1408" s="885"/>
      <c r="AM1408" s="885"/>
      <c r="AN1408" s="885"/>
      <c r="AO1408" s="885"/>
      <c r="AP1408" s="885"/>
      <c r="AQ1408" s="885"/>
      <c r="AR1408" s="885"/>
      <c r="AS1408" s="885"/>
      <c r="AT1408" s="885"/>
      <c r="AU1408" s="885"/>
      <c r="AV1408" s="885"/>
      <c r="AW1408" s="885"/>
      <c r="AX1408" s="885"/>
      <c r="AY1408" s="885"/>
      <c r="AZ1408" s="885"/>
      <c r="BA1408" s="885"/>
      <c r="BB1408" s="885"/>
      <c r="BC1408" s="885"/>
      <c r="BD1408" s="885"/>
      <c r="BE1408" s="885"/>
      <c r="BF1408" s="885"/>
      <c r="BG1408" s="885"/>
      <c r="BH1408" s="885"/>
      <c r="BI1408" s="885"/>
      <c r="BJ1408" s="885"/>
      <c r="BK1408" s="885"/>
      <c r="BL1408" s="885"/>
      <c r="BM1408" s="885"/>
      <c r="BN1408" s="885"/>
      <c r="BO1408" s="885"/>
      <c r="BP1408" s="885"/>
      <c r="BQ1408" s="885"/>
      <c r="BR1408" s="885"/>
      <c r="BS1408" s="885"/>
      <c r="BT1408" s="885"/>
      <c r="BU1408" s="885"/>
      <c r="BV1408" s="885"/>
      <c r="BW1408" s="885"/>
      <c r="BX1408" s="885"/>
      <c r="BY1408" s="885"/>
      <c r="BZ1408" s="885"/>
      <c r="CA1408" s="885"/>
      <c r="CB1408" s="885"/>
      <c r="CC1408" s="885"/>
      <c r="CD1408" s="885"/>
      <c r="CE1408" s="885"/>
      <c r="CF1408" s="885"/>
      <c r="CG1408" s="885"/>
      <c r="CH1408" s="885"/>
      <c r="CI1408" s="885"/>
      <c r="CJ1408" s="885"/>
      <c r="CK1408" s="885"/>
      <c r="CL1408" s="885"/>
      <c r="CM1408" s="885"/>
      <c r="CN1408" s="885"/>
      <c r="CO1408" s="885"/>
      <c r="CP1408" s="885"/>
      <c r="CQ1408" s="885"/>
      <c r="CR1408" s="885"/>
      <c r="CS1408" s="885"/>
      <c r="CT1408" s="885"/>
      <c r="CU1408" s="885"/>
      <c r="CV1408" s="885"/>
      <c r="CW1408" s="885"/>
      <c r="CX1408" s="885"/>
      <c r="CY1408" s="885"/>
      <c r="CZ1408" s="885"/>
      <c r="DA1408" s="885"/>
      <c r="DB1408" s="885"/>
      <c r="DC1408" s="885"/>
      <c r="DD1408" s="885"/>
      <c r="DE1408" s="885"/>
      <c r="DF1408" s="885"/>
      <c r="DG1408" s="885"/>
      <c r="DH1408" s="885"/>
      <c r="DI1408" s="885"/>
      <c r="DJ1408" s="885"/>
      <c r="DK1408" s="885"/>
      <c r="DL1408" s="885"/>
      <c r="DM1408" s="885"/>
      <c r="DN1408" s="885"/>
      <c r="DO1408" s="885"/>
      <c r="DP1408" s="885"/>
      <c r="DQ1408" s="885"/>
      <c r="DR1408" s="885"/>
      <c r="DS1408" s="885"/>
      <c r="DT1408" s="885"/>
      <c r="DU1408" s="885"/>
      <c r="DV1408" s="885"/>
      <c r="DW1408" s="885"/>
      <c r="DX1408" s="885"/>
      <c r="DY1408" s="885"/>
      <c r="DZ1408" s="885"/>
      <c r="EA1408" s="885"/>
      <c r="EB1408" s="885"/>
      <c r="EC1408" s="885"/>
      <c r="ED1408" s="885"/>
      <c r="EE1408" s="885"/>
      <c r="EF1408" s="885"/>
      <c r="EG1408" s="885"/>
      <c r="EH1408" s="885"/>
      <c r="EI1408" s="885"/>
      <c r="EJ1408" s="885"/>
      <c r="EK1408" s="885"/>
      <c r="EL1408" s="885"/>
      <c r="EM1408" s="885"/>
      <c r="EN1408" s="885"/>
      <c r="EO1408" s="885"/>
      <c r="EP1408" s="885"/>
      <c r="EQ1408" s="885"/>
      <c r="ER1408" s="885"/>
      <c r="ES1408" s="885"/>
      <c r="ET1408" s="885"/>
      <c r="EU1408" s="885"/>
      <c r="EV1408" s="885"/>
      <c r="EW1408" s="885"/>
      <c r="EX1408" s="885"/>
      <c r="EY1408" s="885"/>
      <c r="EZ1408" s="885"/>
      <c r="FA1408" s="885"/>
      <c r="FB1408" s="885"/>
      <c r="FC1408" s="885"/>
      <c r="FD1408" s="885"/>
      <c r="FE1408" s="885"/>
      <c r="FF1408" s="885"/>
      <c r="FG1408" s="885"/>
      <c r="FH1408" s="885"/>
      <c r="FI1408" s="885"/>
      <c r="FJ1408" s="885"/>
      <c r="FK1408" s="885"/>
      <c r="FL1408" s="885"/>
      <c r="FM1408" s="885"/>
      <c r="FN1408" s="885"/>
      <c r="FO1408" s="885"/>
      <c r="FP1408" s="885"/>
      <c r="FQ1408" s="885"/>
      <c r="FR1408" s="885"/>
      <c r="FS1408" s="885"/>
      <c r="FT1408" s="885"/>
      <c r="FU1408" s="885"/>
      <c r="FV1408" s="885"/>
      <c r="FW1408" s="885"/>
      <c r="FX1408" s="885"/>
      <c r="FY1408" s="885"/>
      <c r="FZ1408" s="885"/>
      <c r="GA1408" s="885"/>
      <c r="GB1408" s="885"/>
      <c r="GC1408" s="885"/>
      <c r="GD1408" s="885"/>
      <c r="GE1408" s="885"/>
      <c r="GF1408" s="885"/>
      <c r="GG1408" s="885"/>
      <c r="GH1408" s="885"/>
      <c r="GI1408" s="885"/>
      <c r="GJ1408" s="885"/>
      <c r="GK1408" s="885"/>
      <c r="GL1408" s="885"/>
      <c r="GM1408" s="885"/>
      <c r="GN1408" s="885"/>
      <c r="GO1408" s="885"/>
      <c r="GP1408" s="885"/>
      <c r="GQ1408" s="885"/>
      <c r="GR1408" s="885"/>
      <c r="GS1408" s="885"/>
      <c r="GT1408" s="885"/>
      <c r="GU1408" s="885"/>
      <c r="GV1408" s="885"/>
      <c r="GW1408" s="885"/>
      <c r="GX1408" s="885"/>
      <c r="GY1408" s="885"/>
      <c r="GZ1408" s="885"/>
      <c r="HA1408" s="885"/>
      <c r="HB1408" s="885"/>
      <c r="HC1408" s="885"/>
      <c r="HD1408" s="885"/>
      <c r="HE1408" s="885"/>
      <c r="HF1408" s="885"/>
      <c r="HG1408" s="885"/>
      <c r="HH1408" s="885"/>
      <c r="HI1408" s="885"/>
      <c r="HJ1408" s="885"/>
      <c r="HK1408" s="885"/>
      <c r="HL1408" s="885"/>
      <c r="HM1408" s="885"/>
      <c r="HN1408" s="885"/>
      <c r="HO1408" s="885"/>
      <c r="HP1408" s="885"/>
      <c r="HQ1408" s="885"/>
      <c r="HR1408" s="885"/>
      <c r="HS1408" s="885"/>
      <c r="HT1408" s="885"/>
      <c r="HU1408" s="885"/>
      <c r="HV1408" s="885"/>
      <c r="HW1408" s="885"/>
      <c r="HX1408" s="885"/>
      <c r="HY1408" s="885"/>
      <c r="HZ1408" s="885"/>
      <c r="IA1408" s="885"/>
      <c r="IB1408" s="885"/>
      <c r="IC1408" s="885"/>
      <c r="ID1408" s="885"/>
      <c r="IE1408" s="885"/>
      <c r="IF1408" s="885"/>
      <c r="IG1408" s="885"/>
      <c r="IH1408" s="885"/>
      <c r="II1408" s="885"/>
      <c r="IJ1408" s="885"/>
      <c r="IK1408" s="885"/>
      <c r="IL1408" s="885"/>
      <c r="IM1408" s="885"/>
      <c r="IN1408" s="885"/>
      <c r="IO1408" s="885"/>
      <c r="IP1408" s="885"/>
      <c r="IQ1408" s="885"/>
      <c r="IR1408" s="885"/>
      <c r="IS1408" s="885"/>
      <c r="IT1408" s="885"/>
      <c r="IU1408" s="885"/>
      <c r="IV1408" s="885"/>
      <c r="IW1408" s="885"/>
      <c r="IX1408" s="885"/>
    </row>
    <row r="1409" spans="1:258" x14ac:dyDescent="0.25">
      <c r="A1409" s="125">
        <f t="shared" si="161"/>
        <v>1369</v>
      </c>
      <c r="B1409" s="885"/>
      <c r="C1409" s="842" t="s">
        <v>10924</v>
      </c>
      <c r="D1409" s="924">
        <v>0</v>
      </c>
      <c r="E1409" s="924">
        <f t="shared" si="166"/>
        <v>0</v>
      </c>
      <c r="F1409" s="129">
        <v>1500</v>
      </c>
      <c r="G1409" s="122" t="s">
        <v>1963</v>
      </c>
      <c r="H1409" s="885"/>
      <c r="I1409" s="885"/>
      <c r="J1409" s="885"/>
      <c r="K1409" s="885"/>
      <c r="L1409" s="885"/>
      <c r="M1409" s="885"/>
      <c r="N1409" s="885"/>
      <c r="O1409" s="885"/>
      <c r="P1409" s="885"/>
      <c r="Q1409" s="885"/>
      <c r="R1409" s="885"/>
      <c r="S1409" s="885"/>
      <c r="T1409" s="885"/>
      <c r="U1409" s="885"/>
      <c r="V1409" s="885"/>
      <c r="W1409" s="885"/>
      <c r="X1409" s="885"/>
      <c r="Y1409" s="885"/>
      <c r="Z1409" s="885"/>
      <c r="AA1409" s="885"/>
      <c r="AB1409" s="885"/>
      <c r="AC1409" s="885"/>
      <c r="AD1409" s="885"/>
      <c r="AE1409" s="885"/>
      <c r="AF1409" s="885"/>
      <c r="AG1409" s="885"/>
      <c r="AH1409" s="885"/>
      <c r="AI1409" s="885"/>
      <c r="AJ1409" s="885"/>
      <c r="AK1409" s="885"/>
      <c r="AL1409" s="885"/>
      <c r="AM1409" s="885"/>
      <c r="AN1409" s="885"/>
      <c r="AO1409" s="885"/>
      <c r="AP1409" s="885"/>
      <c r="AQ1409" s="885"/>
      <c r="AR1409" s="885"/>
      <c r="AS1409" s="885"/>
      <c r="AT1409" s="885"/>
      <c r="AU1409" s="885"/>
      <c r="AV1409" s="885"/>
      <c r="AW1409" s="885"/>
      <c r="AX1409" s="885"/>
      <c r="AY1409" s="885"/>
      <c r="AZ1409" s="885"/>
      <c r="BA1409" s="885"/>
      <c r="BB1409" s="885"/>
      <c r="BC1409" s="885"/>
      <c r="BD1409" s="885"/>
      <c r="BE1409" s="885"/>
      <c r="BF1409" s="885"/>
      <c r="BG1409" s="885"/>
      <c r="BH1409" s="885"/>
      <c r="BI1409" s="885"/>
      <c r="BJ1409" s="885"/>
      <c r="BK1409" s="885"/>
      <c r="BL1409" s="885"/>
      <c r="BM1409" s="885"/>
      <c r="BN1409" s="885"/>
      <c r="BO1409" s="885"/>
      <c r="BP1409" s="885"/>
      <c r="BQ1409" s="885"/>
      <c r="BR1409" s="885"/>
      <c r="BS1409" s="885"/>
      <c r="BT1409" s="885"/>
      <c r="BU1409" s="885"/>
      <c r="BV1409" s="885"/>
      <c r="BW1409" s="885"/>
      <c r="BX1409" s="885"/>
      <c r="BY1409" s="885"/>
      <c r="BZ1409" s="885"/>
      <c r="CA1409" s="885"/>
      <c r="CB1409" s="885"/>
      <c r="CC1409" s="885"/>
      <c r="CD1409" s="885"/>
      <c r="CE1409" s="885"/>
      <c r="CF1409" s="885"/>
      <c r="CG1409" s="885"/>
      <c r="CH1409" s="885"/>
      <c r="CI1409" s="885"/>
      <c r="CJ1409" s="885"/>
      <c r="CK1409" s="885"/>
      <c r="CL1409" s="885"/>
      <c r="CM1409" s="885"/>
      <c r="CN1409" s="885"/>
      <c r="CO1409" s="885"/>
      <c r="CP1409" s="885"/>
      <c r="CQ1409" s="885"/>
      <c r="CR1409" s="885"/>
      <c r="CS1409" s="885"/>
      <c r="CT1409" s="885"/>
      <c r="CU1409" s="885"/>
      <c r="CV1409" s="885"/>
      <c r="CW1409" s="885"/>
      <c r="CX1409" s="885"/>
      <c r="CY1409" s="885"/>
      <c r="CZ1409" s="885"/>
      <c r="DA1409" s="885"/>
      <c r="DB1409" s="885"/>
      <c r="DC1409" s="885"/>
      <c r="DD1409" s="885"/>
      <c r="DE1409" s="885"/>
      <c r="DF1409" s="885"/>
      <c r="DG1409" s="885"/>
      <c r="DH1409" s="885"/>
      <c r="DI1409" s="885"/>
      <c r="DJ1409" s="885"/>
      <c r="DK1409" s="885"/>
      <c r="DL1409" s="885"/>
      <c r="DM1409" s="885"/>
      <c r="DN1409" s="885"/>
      <c r="DO1409" s="885"/>
      <c r="DP1409" s="885"/>
      <c r="DQ1409" s="885"/>
      <c r="DR1409" s="885"/>
      <c r="DS1409" s="885"/>
      <c r="DT1409" s="885"/>
      <c r="DU1409" s="885"/>
      <c r="DV1409" s="885"/>
      <c r="DW1409" s="885"/>
      <c r="DX1409" s="885"/>
      <c r="DY1409" s="885"/>
      <c r="DZ1409" s="885"/>
      <c r="EA1409" s="885"/>
      <c r="EB1409" s="885"/>
      <c r="EC1409" s="885"/>
      <c r="ED1409" s="885"/>
      <c r="EE1409" s="885"/>
      <c r="EF1409" s="885"/>
      <c r="EG1409" s="885"/>
      <c r="EH1409" s="885"/>
      <c r="EI1409" s="885"/>
      <c r="EJ1409" s="885"/>
      <c r="EK1409" s="885"/>
      <c r="EL1409" s="885"/>
      <c r="EM1409" s="885"/>
      <c r="EN1409" s="885"/>
      <c r="EO1409" s="885"/>
      <c r="EP1409" s="885"/>
      <c r="EQ1409" s="885"/>
      <c r="ER1409" s="885"/>
      <c r="ES1409" s="885"/>
      <c r="ET1409" s="885"/>
      <c r="EU1409" s="885"/>
      <c r="EV1409" s="885"/>
      <c r="EW1409" s="885"/>
      <c r="EX1409" s="885"/>
      <c r="EY1409" s="885"/>
      <c r="EZ1409" s="885"/>
      <c r="FA1409" s="885"/>
      <c r="FB1409" s="885"/>
      <c r="FC1409" s="885"/>
      <c r="FD1409" s="885"/>
      <c r="FE1409" s="885"/>
      <c r="FF1409" s="885"/>
      <c r="FG1409" s="885"/>
      <c r="FH1409" s="885"/>
      <c r="FI1409" s="885"/>
      <c r="FJ1409" s="885"/>
      <c r="FK1409" s="885"/>
      <c r="FL1409" s="885"/>
      <c r="FM1409" s="885"/>
      <c r="FN1409" s="885"/>
      <c r="FO1409" s="885"/>
      <c r="FP1409" s="885"/>
      <c r="FQ1409" s="885"/>
      <c r="FR1409" s="885"/>
      <c r="FS1409" s="885"/>
      <c r="FT1409" s="885"/>
      <c r="FU1409" s="885"/>
      <c r="FV1409" s="885"/>
      <c r="FW1409" s="885"/>
      <c r="FX1409" s="885"/>
      <c r="FY1409" s="885"/>
      <c r="FZ1409" s="885"/>
      <c r="GA1409" s="885"/>
      <c r="GB1409" s="885"/>
      <c r="GC1409" s="885"/>
      <c r="GD1409" s="885"/>
      <c r="GE1409" s="885"/>
      <c r="GF1409" s="885"/>
      <c r="GG1409" s="885"/>
      <c r="GH1409" s="885"/>
      <c r="GI1409" s="885"/>
      <c r="GJ1409" s="885"/>
      <c r="GK1409" s="885"/>
      <c r="GL1409" s="885"/>
      <c r="GM1409" s="885"/>
      <c r="GN1409" s="885"/>
      <c r="GO1409" s="885"/>
      <c r="GP1409" s="885"/>
      <c r="GQ1409" s="885"/>
      <c r="GR1409" s="885"/>
      <c r="GS1409" s="885"/>
      <c r="GT1409" s="885"/>
      <c r="GU1409" s="885"/>
      <c r="GV1409" s="885"/>
      <c r="GW1409" s="885"/>
      <c r="GX1409" s="885"/>
      <c r="GY1409" s="885"/>
      <c r="GZ1409" s="885"/>
      <c r="HA1409" s="885"/>
      <c r="HB1409" s="885"/>
      <c r="HC1409" s="885"/>
      <c r="HD1409" s="885"/>
      <c r="HE1409" s="885"/>
      <c r="HF1409" s="885"/>
      <c r="HG1409" s="885"/>
      <c r="HH1409" s="885"/>
      <c r="HI1409" s="885"/>
      <c r="HJ1409" s="885"/>
      <c r="HK1409" s="885"/>
      <c r="HL1409" s="885"/>
      <c r="HM1409" s="885"/>
      <c r="HN1409" s="885"/>
      <c r="HO1409" s="885"/>
      <c r="HP1409" s="885"/>
      <c r="HQ1409" s="885"/>
      <c r="HR1409" s="885"/>
      <c r="HS1409" s="885"/>
      <c r="HT1409" s="885"/>
      <c r="HU1409" s="885"/>
      <c r="HV1409" s="885"/>
      <c r="HW1409" s="885"/>
      <c r="HX1409" s="885"/>
      <c r="HY1409" s="885"/>
      <c r="HZ1409" s="885"/>
      <c r="IA1409" s="885"/>
      <c r="IB1409" s="885"/>
      <c r="IC1409" s="885"/>
      <c r="ID1409" s="885"/>
      <c r="IE1409" s="885"/>
      <c r="IF1409" s="885"/>
      <c r="IG1409" s="885"/>
      <c r="IH1409" s="885"/>
      <c r="II1409" s="885"/>
      <c r="IJ1409" s="885"/>
      <c r="IK1409" s="885"/>
      <c r="IL1409" s="885"/>
      <c r="IM1409" s="885"/>
      <c r="IN1409" s="885"/>
      <c r="IO1409" s="885"/>
      <c r="IP1409" s="885"/>
      <c r="IQ1409" s="885"/>
      <c r="IR1409" s="885"/>
      <c r="IS1409" s="885"/>
      <c r="IT1409" s="885"/>
      <c r="IU1409" s="885"/>
      <c r="IV1409" s="885"/>
      <c r="IW1409" s="885"/>
      <c r="IX1409" s="885"/>
    </row>
    <row r="1410" spans="1:258" x14ac:dyDescent="0.25">
      <c r="A1410" s="125">
        <f t="shared" si="161"/>
        <v>1370</v>
      </c>
      <c r="B1410" s="885"/>
      <c r="C1410" s="842" t="s">
        <v>10925</v>
      </c>
      <c r="D1410" s="924">
        <v>1050</v>
      </c>
      <c r="E1410" s="924">
        <f t="shared" si="166"/>
        <v>1575</v>
      </c>
      <c r="F1410" s="129">
        <f>E1410</f>
        <v>1575</v>
      </c>
      <c r="G1410" s="122" t="s">
        <v>1963</v>
      </c>
      <c r="H1410" s="885"/>
      <c r="I1410" s="885"/>
      <c r="J1410" s="885"/>
      <c r="K1410" s="885"/>
      <c r="L1410" s="885"/>
      <c r="M1410" s="885"/>
      <c r="N1410" s="885"/>
      <c r="O1410" s="885"/>
      <c r="P1410" s="885"/>
      <c r="Q1410" s="885"/>
      <c r="R1410" s="885"/>
      <c r="S1410" s="885"/>
      <c r="T1410" s="885"/>
      <c r="U1410" s="885"/>
      <c r="V1410" s="885"/>
      <c r="W1410" s="885"/>
      <c r="X1410" s="885"/>
      <c r="Y1410" s="885"/>
      <c r="Z1410" s="885"/>
      <c r="AA1410" s="885"/>
      <c r="AB1410" s="885"/>
      <c r="AC1410" s="885"/>
      <c r="AD1410" s="885"/>
      <c r="AE1410" s="885"/>
      <c r="AF1410" s="885"/>
      <c r="AG1410" s="885"/>
      <c r="AH1410" s="885"/>
      <c r="AI1410" s="885"/>
      <c r="AJ1410" s="885"/>
      <c r="AK1410" s="885"/>
      <c r="AL1410" s="885"/>
      <c r="AM1410" s="885"/>
      <c r="AN1410" s="885"/>
      <c r="AO1410" s="885"/>
      <c r="AP1410" s="885"/>
      <c r="AQ1410" s="885"/>
      <c r="AR1410" s="885"/>
      <c r="AS1410" s="885"/>
      <c r="AT1410" s="885"/>
      <c r="AU1410" s="885"/>
      <c r="AV1410" s="885"/>
      <c r="AW1410" s="885"/>
      <c r="AX1410" s="885"/>
      <c r="AY1410" s="885"/>
      <c r="AZ1410" s="885"/>
      <c r="BA1410" s="885"/>
      <c r="BB1410" s="885"/>
      <c r="BC1410" s="885"/>
      <c r="BD1410" s="885"/>
      <c r="BE1410" s="885"/>
      <c r="BF1410" s="885"/>
      <c r="BG1410" s="885"/>
      <c r="BH1410" s="885"/>
      <c r="BI1410" s="885"/>
      <c r="BJ1410" s="885"/>
      <c r="BK1410" s="885"/>
      <c r="BL1410" s="885"/>
      <c r="BM1410" s="885"/>
      <c r="BN1410" s="885"/>
      <c r="BO1410" s="885"/>
      <c r="BP1410" s="885"/>
      <c r="BQ1410" s="885"/>
      <c r="BR1410" s="885"/>
      <c r="BS1410" s="885"/>
      <c r="BT1410" s="885"/>
      <c r="BU1410" s="885"/>
      <c r="BV1410" s="885"/>
      <c r="BW1410" s="885"/>
      <c r="BX1410" s="885"/>
      <c r="BY1410" s="885"/>
      <c r="BZ1410" s="885"/>
      <c r="CA1410" s="885"/>
      <c r="CB1410" s="885"/>
      <c r="CC1410" s="885"/>
      <c r="CD1410" s="885"/>
      <c r="CE1410" s="885"/>
      <c r="CF1410" s="885"/>
      <c r="CG1410" s="885"/>
      <c r="CH1410" s="885"/>
      <c r="CI1410" s="885"/>
      <c r="CJ1410" s="885"/>
      <c r="CK1410" s="885"/>
      <c r="CL1410" s="885"/>
      <c r="CM1410" s="885"/>
      <c r="CN1410" s="885"/>
      <c r="CO1410" s="885"/>
      <c r="CP1410" s="885"/>
      <c r="CQ1410" s="885"/>
      <c r="CR1410" s="885"/>
      <c r="CS1410" s="885"/>
      <c r="CT1410" s="885"/>
      <c r="CU1410" s="885"/>
      <c r="CV1410" s="885"/>
      <c r="CW1410" s="885"/>
      <c r="CX1410" s="885"/>
      <c r="CY1410" s="885"/>
      <c r="CZ1410" s="885"/>
      <c r="DA1410" s="885"/>
      <c r="DB1410" s="885"/>
      <c r="DC1410" s="885"/>
      <c r="DD1410" s="885"/>
      <c r="DE1410" s="885"/>
      <c r="DF1410" s="885"/>
      <c r="DG1410" s="885"/>
      <c r="DH1410" s="885"/>
      <c r="DI1410" s="885"/>
      <c r="DJ1410" s="885"/>
      <c r="DK1410" s="885"/>
      <c r="DL1410" s="885"/>
      <c r="DM1410" s="885"/>
      <c r="DN1410" s="885"/>
      <c r="DO1410" s="885"/>
      <c r="DP1410" s="885"/>
      <c r="DQ1410" s="885"/>
      <c r="DR1410" s="885"/>
      <c r="DS1410" s="885"/>
      <c r="DT1410" s="885"/>
      <c r="DU1410" s="885"/>
      <c r="DV1410" s="885"/>
      <c r="DW1410" s="885"/>
      <c r="DX1410" s="885"/>
      <c r="DY1410" s="885"/>
      <c r="DZ1410" s="885"/>
      <c r="EA1410" s="885"/>
      <c r="EB1410" s="885"/>
      <c r="EC1410" s="885"/>
      <c r="ED1410" s="885"/>
      <c r="EE1410" s="885"/>
      <c r="EF1410" s="885"/>
      <c r="EG1410" s="885"/>
      <c r="EH1410" s="885"/>
      <c r="EI1410" s="885"/>
      <c r="EJ1410" s="885"/>
      <c r="EK1410" s="885"/>
      <c r="EL1410" s="885"/>
      <c r="EM1410" s="885"/>
      <c r="EN1410" s="885"/>
      <c r="EO1410" s="885"/>
      <c r="EP1410" s="885"/>
      <c r="EQ1410" s="885"/>
      <c r="ER1410" s="885"/>
      <c r="ES1410" s="885"/>
      <c r="ET1410" s="885"/>
      <c r="EU1410" s="885"/>
      <c r="EV1410" s="885"/>
      <c r="EW1410" s="885"/>
      <c r="EX1410" s="885"/>
      <c r="EY1410" s="885"/>
      <c r="EZ1410" s="885"/>
      <c r="FA1410" s="885"/>
      <c r="FB1410" s="885"/>
      <c r="FC1410" s="885"/>
      <c r="FD1410" s="885"/>
      <c r="FE1410" s="885"/>
      <c r="FF1410" s="885"/>
      <c r="FG1410" s="885"/>
      <c r="FH1410" s="885"/>
      <c r="FI1410" s="885"/>
      <c r="FJ1410" s="885"/>
      <c r="FK1410" s="885"/>
      <c r="FL1410" s="885"/>
      <c r="FM1410" s="885"/>
      <c r="FN1410" s="885"/>
      <c r="FO1410" s="885"/>
      <c r="FP1410" s="885"/>
      <c r="FQ1410" s="885"/>
      <c r="FR1410" s="885"/>
      <c r="FS1410" s="885"/>
      <c r="FT1410" s="885"/>
      <c r="FU1410" s="885"/>
      <c r="FV1410" s="885"/>
      <c r="FW1410" s="885"/>
      <c r="FX1410" s="885"/>
      <c r="FY1410" s="885"/>
      <c r="FZ1410" s="885"/>
      <c r="GA1410" s="885"/>
      <c r="GB1410" s="885"/>
      <c r="GC1410" s="885"/>
      <c r="GD1410" s="885"/>
      <c r="GE1410" s="885"/>
      <c r="GF1410" s="885"/>
      <c r="GG1410" s="885"/>
      <c r="GH1410" s="885"/>
      <c r="GI1410" s="885"/>
      <c r="GJ1410" s="885"/>
      <c r="GK1410" s="885"/>
      <c r="GL1410" s="885"/>
      <c r="GM1410" s="885"/>
      <c r="GN1410" s="885"/>
      <c r="GO1410" s="885"/>
      <c r="GP1410" s="885"/>
      <c r="GQ1410" s="885"/>
      <c r="GR1410" s="885"/>
      <c r="GS1410" s="885"/>
      <c r="GT1410" s="885"/>
      <c r="GU1410" s="885"/>
      <c r="GV1410" s="885"/>
      <c r="GW1410" s="885"/>
      <c r="GX1410" s="885"/>
      <c r="GY1410" s="885"/>
      <c r="GZ1410" s="885"/>
      <c r="HA1410" s="885"/>
      <c r="HB1410" s="885"/>
      <c r="HC1410" s="885"/>
      <c r="HD1410" s="885"/>
      <c r="HE1410" s="885"/>
      <c r="HF1410" s="885"/>
      <c r="HG1410" s="885"/>
      <c r="HH1410" s="885"/>
      <c r="HI1410" s="885"/>
      <c r="HJ1410" s="885"/>
      <c r="HK1410" s="885"/>
      <c r="HL1410" s="885"/>
      <c r="HM1410" s="885"/>
      <c r="HN1410" s="885"/>
      <c r="HO1410" s="885"/>
      <c r="HP1410" s="885"/>
      <c r="HQ1410" s="885"/>
      <c r="HR1410" s="885"/>
      <c r="HS1410" s="885"/>
      <c r="HT1410" s="885"/>
      <c r="HU1410" s="885"/>
      <c r="HV1410" s="885"/>
      <c r="HW1410" s="885"/>
      <c r="HX1410" s="885"/>
      <c r="HY1410" s="885"/>
      <c r="HZ1410" s="885"/>
      <c r="IA1410" s="885"/>
      <c r="IB1410" s="885"/>
      <c r="IC1410" s="885"/>
      <c r="ID1410" s="885"/>
      <c r="IE1410" s="885"/>
      <c r="IF1410" s="885"/>
      <c r="IG1410" s="885"/>
      <c r="IH1410" s="885"/>
      <c r="II1410" s="885"/>
      <c r="IJ1410" s="885"/>
      <c r="IK1410" s="885"/>
      <c r="IL1410" s="885"/>
      <c r="IM1410" s="885"/>
      <c r="IN1410" s="885"/>
      <c r="IO1410" s="885"/>
      <c r="IP1410" s="885"/>
      <c r="IQ1410" s="885"/>
      <c r="IR1410" s="885"/>
      <c r="IS1410" s="885"/>
      <c r="IT1410" s="885"/>
      <c r="IU1410" s="885"/>
      <c r="IV1410" s="885"/>
      <c r="IW1410" s="885"/>
      <c r="IX1410" s="885"/>
    </row>
    <row r="1411" spans="1:258" x14ac:dyDescent="0.25">
      <c r="A1411" s="125">
        <f t="shared" si="161"/>
        <v>1371</v>
      </c>
      <c r="B1411" s="885"/>
      <c r="C1411" s="842" t="s">
        <v>10926</v>
      </c>
      <c r="D1411" s="924">
        <v>12872.11</v>
      </c>
      <c r="E1411" s="924">
        <f t="shared" si="166"/>
        <v>19308.165000000001</v>
      </c>
      <c r="F1411" s="129">
        <f>E1411</f>
        <v>19308.165000000001</v>
      </c>
      <c r="G1411" s="122" t="s">
        <v>1963</v>
      </c>
      <c r="H1411" s="885"/>
      <c r="I1411" s="885"/>
      <c r="J1411" s="885"/>
      <c r="K1411" s="885"/>
      <c r="L1411" s="885"/>
      <c r="M1411" s="885"/>
      <c r="N1411" s="885"/>
      <c r="O1411" s="885"/>
      <c r="P1411" s="885"/>
      <c r="Q1411" s="885"/>
      <c r="R1411" s="885"/>
      <c r="S1411" s="885"/>
      <c r="T1411" s="885"/>
      <c r="U1411" s="885"/>
      <c r="V1411" s="885"/>
      <c r="W1411" s="885"/>
      <c r="X1411" s="885"/>
      <c r="Y1411" s="885"/>
      <c r="Z1411" s="885"/>
      <c r="AA1411" s="885"/>
      <c r="AB1411" s="885"/>
      <c r="AC1411" s="885"/>
      <c r="AD1411" s="885"/>
      <c r="AE1411" s="885"/>
      <c r="AF1411" s="885"/>
      <c r="AG1411" s="885"/>
      <c r="AH1411" s="885"/>
      <c r="AI1411" s="885"/>
      <c r="AJ1411" s="885"/>
      <c r="AK1411" s="885"/>
      <c r="AL1411" s="885"/>
      <c r="AM1411" s="885"/>
      <c r="AN1411" s="885"/>
      <c r="AO1411" s="885"/>
      <c r="AP1411" s="885"/>
      <c r="AQ1411" s="885"/>
      <c r="AR1411" s="885"/>
      <c r="AS1411" s="885"/>
      <c r="AT1411" s="885"/>
      <c r="AU1411" s="885"/>
      <c r="AV1411" s="885"/>
      <c r="AW1411" s="885"/>
      <c r="AX1411" s="885"/>
      <c r="AY1411" s="885"/>
      <c r="AZ1411" s="885"/>
      <c r="BA1411" s="885"/>
      <c r="BB1411" s="885"/>
      <c r="BC1411" s="885"/>
      <c r="BD1411" s="885"/>
      <c r="BE1411" s="885"/>
      <c r="BF1411" s="885"/>
      <c r="BG1411" s="885"/>
      <c r="BH1411" s="885"/>
      <c r="BI1411" s="885"/>
      <c r="BJ1411" s="885"/>
      <c r="BK1411" s="885"/>
      <c r="BL1411" s="885"/>
      <c r="BM1411" s="885"/>
      <c r="BN1411" s="885"/>
      <c r="BO1411" s="885"/>
      <c r="BP1411" s="885"/>
      <c r="BQ1411" s="885"/>
      <c r="BR1411" s="885"/>
      <c r="BS1411" s="885"/>
      <c r="BT1411" s="885"/>
      <c r="BU1411" s="885"/>
      <c r="BV1411" s="885"/>
      <c r="BW1411" s="885"/>
      <c r="BX1411" s="885"/>
      <c r="BY1411" s="885"/>
      <c r="BZ1411" s="885"/>
      <c r="CA1411" s="885"/>
      <c r="CB1411" s="885"/>
      <c r="CC1411" s="885"/>
      <c r="CD1411" s="885"/>
      <c r="CE1411" s="885"/>
      <c r="CF1411" s="885"/>
      <c r="CG1411" s="885"/>
      <c r="CH1411" s="885"/>
      <c r="CI1411" s="885"/>
      <c r="CJ1411" s="885"/>
      <c r="CK1411" s="885"/>
      <c r="CL1411" s="885"/>
      <c r="CM1411" s="885"/>
      <c r="CN1411" s="885"/>
      <c r="CO1411" s="885"/>
      <c r="CP1411" s="885"/>
      <c r="CQ1411" s="885"/>
      <c r="CR1411" s="885"/>
      <c r="CS1411" s="885"/>
      <c r="CT1411" s="885"/>
      <c r="CU1411" s="885"/>
      <c r="CV1411" s="885"/>
      <c r="CW1411" s="885"/>
      <c r="CX1411" s="885"/>
      <c r="CY1411" s="885"/>
      <c r="CZ1411" s="885"/>
      <c r="DA1411" s="885"/>
      <c r="DB1411" s="885"/>
      <c r="DC1411" s="885"/>
      <c r="DD1411" s="885"/>
      <c r="DE1411" s="885"/>
      <c r="DF1411" s="885"/>
      <c r="DG1411" s="885"/>
      <c r="DH1411" s="885"/>
      <c r="DI1411" s="885"/>
      <c r="DJ1411" s="885"/>
      <c r="DK1411" s="885"/>
      <c r="DL1411" s="885"/>
      <c r="DM1411" s="885"/>
      <c r="DN1411" s="885"/>
      <c r="DO1411" s="885"/>
      <c r="DP1411" s="885"/>
      <c r="DQ1411" s="885"/>
      <c r="DR1411" s="885"/>
      <c r="DS1411" s="885"/>
      <c r="DT1411" s="885"/>
      <c r="DU1411" s="885"/>
      <c r="DV1411" s="885"/>
      <c r="DW1411" s="885"/>
      <c r="DX1411" s="885"/>
      <c r="DY1411" s="885"/>
      <c r="DZ1411" s="885"/>
      <c r="EA1411" s="885"/>
      <c r="EB1411" s="885"/>
      <c r="EC1411" s="885"/>
      <c r="ED1411" s="885"/>
      <c r="EE1411" s="885"/>
      <c r="EF1411" s="885"/>
      <c r="EG1411" s="885"/>
      <c r="EH1411" s="885"/>
      <c r="EI1411" s="885"/>
      <c r="EJ1411" s="885"/>
      <c r="EK1411" s="885"/>
      <c r="EL1411" s="885"/>
      <c r="EM1411" s="885"/>
      <c r="EN1411" s="885"/>
      <c r="EO1411" s="885"/>
      <c r="EP1411" s="885"/>
      <c r="EQ1411" s="885"/>
      <c r="ER1411" s="885"/>
      <c r="ES1411" s="885"/>
      <c r="ET1411" s="885"/>
      <c r="EU1411" s="885"/>
      <c r="EV1411" s="885"/>
      <c r="EW1411" s="885"/>
      <c r="EX1411" s="885"/>
      <c r="EY1411" s="885"/>
      <c r="EZ1411" s="885"/>
      <c r="FA1411" s="885"/>
      <c r="FB1411" s="885"/>
      <c r="FC1411" s="885"/>
      <c r="FD1411" s="885"/>
      <c r="FE1411" s="885"/>
      <c r="FF1411" s="885"/>
      <c r="FG1411" s="885"/>
      <c r="FH1411" s="885"/>
      <c r="FI1411" s="885"/>
      <c r="FJ1411" s="885"/>
      <c r="FK1411" s="885"/>
      <c r="FL1411" s="885"/>
      <c r="FM1411" s="885"/>
      <c r="FN1411" s="885"/>
      <c r="FO1411" s="885"/>
      <c r="FP1411" s="885"/>
      <c r="FQ1411" s="885"/>
      <c r="FR1411" s="885"/>
      <c r="FS1411" s="885"/>
      <c r="FT1411" s="885"/>
      <c r="FU1411" s="885"/>
      <c r="FV1411" s="885"/>
      <c r="FW1411" s="885"/>
      <c r="FX1411" s="885"/>
      <c r="FY1411" s="885"/>
      <c r="FZ1411" s="885"/>
      <c r="GA1411" s="885"/>
      <c r="GB1411" s="885"/>
      <c r="GC1411" s="885"/>
      <c r="GD1411" s="885"/>
      <c r="GE1411" s="885"/>
      <c r="GF1411" s="885"/>
      <c r="GG1411" s="885"/>
      <c r="GH1411" s="885"/>
      <c r="GI1411" s="885"/>
      <c r="GJ1411" s="885"/>
      <c r="GK1411" s="885"/>
      <c r="GL1411" s="885"/>
      <c r="GM1411" s="885"/>
      <c r="GN1411" s="885"/>
      <c r="GO1411" s="885"/>
      <c r="GP1411" s="885"/>
      <c r="GQ1411" s="885"/>
      <c r="GR1411" s="885"/>
      <c r="GS1411" s="885"/>
      <c r="GT1411" s="885"/>
      <c r="GU1411" s="885"/>
      <c r="GV1411" s="885"/>
      <c r="GW1411" s="885"/>
      <c r="GX1411" s="885"/>
      <c r="GY1411" s="885"/>
      <c r="GZ1411" s="885"/>
      <c r="HA1411" s="885"/>
      <c r="HB1411" s="885"/>
      <c r="HC1411" s="885"/>
      <c r="HD1411" s="885"/>
      <c r="HE1411" s="885"/>
      <c r="HF1411" s="885"/>
      <c r="HG1411" s="885"/>
      <c r="HH1411" s="885"/>
      <c r="HI1411" s="885"/>
      <c r="HJ1411" s="885"/>
      <c r="HK1411" s="885"/>
      <c r="HL1411" s="885"/>
      <c r="HM1411" s="885"/>
      <c r="HN1411" s="885"/>
      <c r="HO1411" s="885"/>
      <c r="HP1411" s="885"/>
      <c r="HQ1411" s="885"/>
      <c r="HR1411" s="885"/>
      <c r="HS1411" s="885"/>
      <c r="HT1411" s="885"/>
      <c r="HU1411" s="885"/>
      <c r="HV1411" s="885"/>
      <c r="HW1411" s="885"/>
      <c r="HX1411" s="885"/>
      <c r="HY1411" s="885"/>
      <c r="HZ1411" s="885"/>
      <c r="IA1411" s="885"/>
      <c r="IB1411" s="885"/>
      <c r="IC1411" s="885"/>
      <c r="ID1411" s="885"/>
      <c r="IE1411" s="885"/>
      <c r="IF1411" s="885"/>
      <c r="IG1411" s="885"/>
      <c r="IH1411" s="885"/>
      <c r="II1411" s="885"/>
      <c r="IJ1411" s="885"/>
      <c r="IK1411" s="885"/>
      <c r="IL1411" s="885"/>
      <c r="IM1411" s="885"/>
      <c r="IN1411" s="885"/>
      <c r="IO1411" s="885"/>
      <c r="IP1411" s="885"/>
      <c r="IQ1411" s="885"/>
      <c r="IR1411" s="885"/>
      <c r="IS1411" s="885"/>
      <c r="IT1411" s="885"/>
      <c r="IU1411" s="885"/>
      <c r="IV1411" s="885"/>
      <c r="IW1411" s="885"/>
      <c r="IX1411" s="885"/>
    </row>
    <row r="1412" spans="1:258" x14ac:dyDescent="0.25">
      <c r="A1412" s="125">
        <f t="shared" si="161"/>
        <v>1372</v>
      </c>
      <c r="B1412" s="130"/>
      <c r="C1412" s="842" t="s">
        <v>10927</v>
      </c>
      <c r="D1412" s="924">
        <v>210</v>
      </c>
      <c r="E1412" s="924">
        <f t="shared" si="166"/>
        <v>315</v>
      </c>
      <c r="F1412" s="129">
        <f>E1412</f>
        <v>315</v>
      </c>
      <c r="G1412" s="122" t="s">
        <v>1963</v>
      </c>
    </row>
    <row r="1413" spans="1:258" x14ac:dyDescent="0.25">
      <c r="A1413" s="125">
        <f t="shared" si="161"/>
        <v>1373</v>
      </c>
      <c r="B1413" s="130"/>
      <c r="C1413" s="842" t="s">
        <v>10928</v>
      </c>
      <c r="D1413" s="924">
        <v>3190.52</v>
      </c>
      <c r="E1413" s="924">
        <f t="shared" si="166"/>
        <v>4785.78</v>
      </c>
      <c r="F1413" s="129">
        <f>E1413/12</f>
        <v>398.815</v>
      </c>
      <c r="G1413" s="122" t="s">
        <v>1963</v>
      </c>
    </row>
    <row r="1414" spans="1:258" x14ac:dyDescent="0.25">
      <c r="A1414" s="125">
        <f t="shared" si="161"/>
        <v>1374</v>
      </c>
      <c r="B1414" s="130"/>
      <c r="C1414" s="842" t="s">
        <v>10929</v>
      </c>
      <c r="D1414" s="924">
        <v>634.94000000000005</v>
      </c>
      <c r="E1414" s="924">
        <f t="shared" si="166"/>
        <v>952.41000000000008</v>
      </c>
      <c r="F1414" s="129">
        <f>E1414</f>
        <v>952.41000000000008</v>
      </c>
      <c r="G1414" s="122" t="s">
        <v>1963</v>
      </c>
    </row>
    <row r="1415" spans="1:258" x14ac:dyDescent="0.25">
      <c r="A1415" s="125">
        <f t="shared" si="161"/>
        <v>1375</v>
      </c>
      <c r="B1415" s="130"/>
      <c r="C1415" s="842" t="s">
        <v>10930</v>
      </c>
      <c r="D1415" s="924">
        <v>0</v>
      </c>
      <c r="E1415" s="924">
        <f t="shared" si="166"/>
        <v>0</v>
      </c>
      <c r="F1415" s="129">
        <v>3500</v>
      </c>
      <c r="G1415" s="122" t="s">
        <v>1963</v>
      </c>
    </row>
    <row r="1416" spans="1:258" x14ac:dyDescent="0.25">
      <c r="A1416" s="125">
        <f t="shared" si="161"/>
        <v>1376</v>
      </c>
      <c r="B1416" s="130"/>
      <c r="C1416" s="232" t="s">
        <v>10931</v>
      </c>
      <c r="D1416" s="915"/>
      <c r="E1416" s="915"/>
      <c r="F1416" s="136"/>
    </row>
    <row r="1417" spans="1:258" x14ac:dyDescent="0.25">
      <c r="A1417" s="125">
        <f t="shared" si="161"/>
        <v>1377</v>
      </c>
      <c r="B1417" s="130"/>
      <c r="C1417" s="134" t="s">
        <v>5033</v>
      </c>
      <c r="D1417" s="914">
        <v>0</v>
      </c>
      <c r="E1417" s="914">
        <v>0</v>
      </c>
      <c r="F1417" s="129">
        <f>500*12</f>
        <v>6000</v>
      </c>
      <c r="G1417" s="122" t="s">
        <v>1963</v>
      </c>
    </row>
    <row r="1418" spans="1:258" x14ac:dyDescent="0.25">
      <c r="A1418" s="125">
        <f t="shared" si="161"/>
        <v>1378</v>
      </c>
      <c r="B1418" s="130"/>
      <c r="C1418" s="232" t="s">
        <v>10932</v>
      </c>
      <c r="D1418" s="915"/>
      <c r="E1418" s="915"/>
      <c r="F1418" s="136"/>
    </row>
    <row r="1419" spans="1:258" x14ac:dyDescent="0.25">
      <c r="A1419" s="125">
        <f t="shared" si="161"/>
        <v>1379</v>
      </c>
      <c r="B1419" s="130"/>
      <c r="C1419" s="842" t="s">
        <v>10933</v>
      </c>
      <c r="D1419" s="924">
        <f>2491.55</f>
        <v>2491.5500000000002</v>
      </c>
      <c r="E1419" s="924">
        <f t="shared" ref="E1419:E1423" si="167">D1419/8*12</f>
        <v>3737.3250000000003</v>
      </c>
      <c r="F1419" s="129">
        <f>E1419</f>
        <v>3737.3250000000003</v>
      </c>
      <c r="G1419" s="122" t="s">
        <v>1963</v>
      </c>
    </row>
    <row r="1420" spans="1:258" x14ac:dyDescent="0.25">
      <c r="A1420" s="125">
        <f t="shared" si="161"/>
        <v>1380</v>
      </c>
      <c r="B1420" s="130"/>
      <c r="C1420" s="842" t="s">
        <v>10934</v>
      </c>
      <c r="D1420" s="924">
        <v>0</v>
      </c>
      <c r="E1420" s="924">
        <f t="shared" si="167"/>
        <v>0</v>
      </c>
      <c r="F1420" s="129">
        <v>3500</v>
      </c>
      <c r="G1420" s="122" t="s">
        <v>1963</v>
      </c>
    </row>
    <row r="1421" spans="1:258" x14ac:dyDescent="0.25">
      <c r="A1421" s="125">
        <f t="shared" si="161"/>
        <v>1381</v>
      </c>
      <c r="B1421" s="130"/>
      <c r="C1421" s="842" t="s">
        <v>10935</v>
      </c>
      <c r="D1421" s="924">
        <v>1942.52</v>
      </c>
      <c r="E1421" s="924">
        <f t="shared" si="167"/>
        <v>2913.7799999999997</v>
      </c>
      <c r="F1421" s="129">
        <f>E1421</f>
        <v>2913.7799999999997</v>
      </c>
      <c r="G1421" s="122" t="s">
        <v>1963</v>
      </c>
    </row>
    <row r="1422" spans="1:258" x14ac:dyDescent="0.25">
      <c r="A1422" s="125">
        <f t="shared" si="161"/>
        <v>1382</v>
      </c>
      <c r="B1422" s="130"/>
      <c r="C1422" s="842" t="s">
        <v>10936</v>
      </c>
      <c r="D1422" s="924">
        <v>0</v>
      </c>
      <c r="E1422" s="924">
        <f t="shared" si="167"/>
        <v>0</v>
      </c>
      <c r="F1422" s="129">
        <f>F1420*F83</f>
        <v>700</v>
      </c>
      <c r="G1422" s="122" t="s">
        <v>1963</v>
      </c>
    </row>
    <row r="1423" spans="1:258" ht="31.5" x14ac:dyDescent="0.25">
      <c r="A1423" s="125">
        <f t="shared" si="161"/>
        <v>1383</v>
      </c>
      <c r="B1423" s="130"/>
      <c r="C1423" s="842" t="s">
        <v>10937</v>
      </c>
      <c r="D1423" s="924">
        <v>0</v>
      </c>
      <c r="E1423" s="924">
        <f t="shared" si="167"/>
        <v>0</v>
      </c>
      <c r="F1423" s="978">
        <v>3500</v>
      </c>
      <c r="G1423" s="122" t="s">
        <v>1963</v>
      </c>
    </row>
    <row r="1424" spans="1:258" x14ac:dyDescent="0.25">
      <c r="A1424" s="125">
        <f t="shared" si="161"/>
        <v>1384</v>
      </c>
      <c r="B1424" s="130"/>
      <c r="C1424" s="134"/>
      <c r="D1424" s="914"/>
      <c r="E1424" s="914"/>
      <c r="F1424" s="136"/>
    </row>
    <row r="1425" spans="1:9" x14ac:dyDescent="0.25">
      <c r="A1425" s="125">
        <f t="shared" si="161"/>
        <v>1385</v>
      </c>
      <c r="B1425" s="130"/>
      <c r="C1425" s="793" t="s">
        <v>9485</v>
      </c>
      <c r="D1425" s="918"/>
      <c r="E1425" s="918"/>
      <c r="F1425" s="793"/>
      <c r="G1425" s="793"/>
      <c r="H1425" s="793"/>
      <c r="I1425" s="793"/>
    </row>
    <row r="1426" spans="1:9" x14ac:dyDescent="0.25">
      <c r="A1426" s="125">
        <f t="shared" si="161"/>
        <v>1386</v>
      </c>
      <c r="B1426" s="130"/>
      <c r="C1426" s="793" t="s">
        <v>8777</v>
      </c>
      <c r="D1426" s="918"/>
      <c r="E1426" s="918"/>
      <c r="F1426" s="793"/>
      <c r="G1426" s="793"/>
      <c r="H1426" s="793"/>
      <c r="I1426" s="793"/>
    </row>
    <row r="1427" spans="1:9" x14ac:dyDescent="0.25">
      <c r="A1427" s="125">
        <f t="shared" si="161"/>
        <v>1387</v>
      </c>
      <c r="B1427" s="130"/>
      <c r="C1427" s="134"/>
      <c r="D1427" s="914"/>
      <c r="E1427" s="914"/>
      <c r="F1427" s="136"/>
    </row>
    <row r="1428" spans="1:9" x14ac:dyDescent="0.25">
      <c r="A1428" s="125">
        <f t="shared" si="161"/>
        <v>1388</v>
      </c>
      <c r="B1428" s="130"/>
      <c r="C1428" s="232" t="s">
        <v>8096</v>
      </c>
      <c r="D1428" s="915"/>
      <c r="E1428" s="915"/>
      <c r="F1428" s="129"/>
    </row>
    <row r="1429" spans="1:9" x14ac:dyDescent="0.25">
      <c r="A1429" s="125">
        <f t="shared" si="161"/>
        <v>1389</v>
      </c>
      <c r="B1429" s="130"/>
      <c r="C1429" s="931" t="s">
        <v>10939</v>
      </c>
      <c r="D1429" s="924">
        <v>0</v>
      </c>
      <c r="E1429" s="924">
        <f t="shared" ref="E1429:E1433" si="168">D1429/8*12</f>
        <v>0</v>
      </c>
      <c r="F1429" s="129">
        <f>F1431*F83</f>
        <v>200</v>
      </c>
      <c r="G1429" s="122" t="s">
        <v>1963</v>
      </c>
    </row>
    <row r="1430" spans="1:9" x14ac:dyDescent="0.25">
      <c r="A1430" s="125">
        <f t="shared" si="161"/>
        <v>1390</v>
      </c>
      <c r="B1430" s="130"/>
      <c r="C1430" s="842" t="s">
        <v>10940</v>
      </c>
      <c r="D1430" s="924">
        <v>0</v>
      </c>
      <c r="E1430" s="924">
        <f t="shared" si="168"/>
        <v>0</v>
      </c>
      <c r="F1430" s="129">
        <v>1000</v>
      </c>
      <c r="G1430" s="122" t="s">
        <v>1963</v>
      </c>
    </row>
    <row r="1431" spans="1:9" x14ac:dyDescent="0.25">
      <c r="A1431" s="125">
        <f t="shared" si="161"/>
        <v>1391</v>
      </c>
      <c r="B1431" s="130"/>
      <c r="C1431" s="842" t="s">
        <v>10941</v>
      </c>
      <c r="D1431" s="924">
        <v>0</v>
      </c>
      <c r="E1431" s="924">
        <f t="shared" si="168"/>
        <v>0</v>
      </c>
      <c r="F1431" s="129">
        <v>1000</v>
      </c>
      <c r="G1431" s="122" t="s">
        <v>1963</v>
      </c>
    </row>
    <row r="1432" spans="1:9" x14ac:dyDescent="0.25">
      <c r="A1432" s="125">
        <f t="shared" si="161"/>
        <v>1392</v>
      </c>
      <c r="B1432" s="130"/>
      <c r="C1432" s="842" t="s">
        <v>10942</v>
      </c>
      <c r="D1432" s="924">
        <v>0</v>
      </c>
      <c r="E1432" s="924">
        <f t="shared" si="168"/>
        <v>0</v>
      </c>
      <c r="F1432" s="129">
        <v>1000</v>
      </c>
      <c r="G1432" s="122" t="s">
        <v>1963</v>
      </c>
    </row>
    <row r="1433" spans="1:9" x14ac:dyDescent="0.25">
      <c r="A1433" s="125">
        <f t="shared" si="161"/>
        <v>1393</v>
      </c>
      <c r="B1433" s="130"/>
      <c r="C1433" s="842" t="s">
        <v>10943</v>
      </c>
      <c r="D1433" s="924">
        <v>0</v>
      </c>
      <c r="E1433" s="924">
        <f t="shared" si="168"/>
        <v>0</v>
      </c>
      <c r="F1433" s="129">
        <v>5000</v>
      </c>
      <c r="G1433" s="122" t="s">
        <v>1963</v>
      </c>
    </row>
    <row r="1434" spans="1:9" x14ac:dyDescent="0.25">
      <c r="A1434" s="125">
        <f t="shared" si="161"/>
        <v>1394</v>
      </c>
      <c r="B1434" s="130"/>
      <c r="C1434" s="232" t="s">
        <v>10892</v>
      </c>
      <c r="D1434" s="915"/>
      <c r="E1434" s="915"/>
      <c r="F1434" s="129"/>
    </row>
    <row r="1435" spans="1:9" x14ac:dyDescent="0.25">
      <c r="A1435" s="125">
        <f t="shared" si="161"/>
        <v>1395</v>
      </c>
      <c r="B1435" s="130"/>
      <c r="C1435" s="931" t="s">
        <v>10944</v>
      </c>
      <c r="D1435" s="924">
        <v>0</v>
      </c>
      <c r="E1435" s="924">
        <f t="shared" ref="E1435:E1439" si="169">D1435/8*12</f>
        <v>0</v>
      </c>
      <c r="F1435" s="129">
        <f>F1437*F$83</f>
        <v>200</v>
      </c>
      <c r="G1435" s="122" t="s">
        <v>1963</v>
      </c>
    </row>
    <row r="1436" spans="1:9" x14ac:dyDescent="0.25">
      <c r="A1436" s="125">
        <f t="shared" si="161"/>
        <v>1396</v>
      </c>
      <c r="B1436" s="130"/>
      <c r="C1436" s="842" t="s">
        <v>10945</v>
      </c>
      <c r="D1436" s="924">
        <v>0</v>
      </c>
      <c r="E1436" s="924">
        <f t="shared" si="169"/>
        <v>0</v>
      </c>
      <c r="F1436" s="129">
        <v>1000</v>
      </c>
      <c r="G1436" s="122" t="s">
        <v>1963</v>
      </c>
    </row>
    <row r="1437" spans="1:9" x14ac:dyDescent="0.25">
      <c r="A1437" s="125">
        <f t="shared" si="161"/>
        <v>1397</v>
      </c>
      <c r="B1437" s="130"/>
      <c r="C1437" s="842" t="s">
        <v>10946</v>
      </c>
      <c r="D1437" s="924">
        <v>0</v>
      </c>
      <c r="E1437" s="924">
        <f t="shared" si="169"/>
        <v>0</v>
      </c>
      <c r="F1437" s="129">
        <v>1000</v>
      </c>
      <c r="G1437" s="122" t="s">
        <v>1963</v>
      </c>
    </row>
    <row r="1438" spans="1:9" x14ac:dyDescent="0.25">
      <c r="A1438" s="125">
        <f t="shared" ref="A1438:A1501" si="170">A1437+1</f>
        <v>1398</v>
      </c>
      <c r="B1438" s="130"/>
      <c r="C1438" s="842" t="s">
        <v>10947</v>
      </c>
      <c r="D1438" s="924">
        <v>0</v>
      </c>
      <c r="E1438" s="924">
        <f t="shared" si="169"/>
        <v>0</v>
      </c>
      <c r="F1438" s="129">
        <v>1000</v>
      </c>
      <c r="G1438" s="122" t="s">
        <v>1963</v>
      </c>
    </row>
    <row r="1439" spans="1:9" x14ac:dyDescent="0.25">
      <c r="A1439" s="125">
        <f t="shared" si="170"/>
        <v>1399</v>
      </c>
      <c r="B1439" s="130"/>
      <c r="C1439" s="842" t="s">
        <v>10948</v>
      </c>
      <c r="D1439" s="924">
        <v>0</v>
      </c>
      <c r="E1439" s="924">
        <f t="shared" si="169"/>
        <v>0</v>
      </c>
      <c r="F1439" s="129">
        <v>5000</v>
      </c>
      <c r="G1439" s="122" t="s">
        <v>1963</v>
      </c>
    </row>
    <row r="1440" spans="1:9" x14ac:dyDescent="0.25">
      <c r="A1440" s="125">
        <f t="shared" si="170"/>
        <v>1400</v>
      </c>
      <c r="B1440" s="130"/>
      <c r="C1440" s="233" t="s">
        <v>10903</v>
      </c>
      <c r="D1440" s="921"/>
      <c r="E1440" s="921"/>
      <c r="F1440" s="129"/>
      <c r="G1440" s="885"/>
    </row>
    <row r="1441" spans="1:7" x14ac:dyDescent="0.25">
      <c r="A1441" s="125">
        <f t="shared" si="170"/>
        <v>1401</v>
      </c>
      <c r="B1441" s="804"/>
      <c r="C1441" s="931" t="s">
        <v>10949</v>
      </c>
      <c r="D1441" s="924">
        <v>0</v>
      </c>
      <c r="E1441" s="924">
        <f t="shared" ref="E1441:E1445" si="171">D1441/8*12</f>
        <v>0</v>
      </c>
      <c r="F1441" s="129">
        <f>F1443*F$83</f>
        <v>300</v>
      </c>
      <c r="G1441" s="122" t="s">
        <v>1963</v>
      </c>
    </row>
    <row r="1442" spans="1:7" x14ac:dyDescent="0.25">
      <c r="A1442" s="125">
        <f t="shared" si="170"/>
        <v>1402</v>
      </c>
      <c r="B1442" s="130"/>
      <c r="C1442" s="842" t="s">
        <v>10950</v>
      </c>
      <c r="D1442" s="924">
        <v>0</v>
      </c>
      <c r="E1442" s="924">
        <f t="shared" si="171"/>
        <v>0</v>
      </c>
      <c r="F1442" s="129">
        <v>1500</v>
      </c>
      <c r="G1442" s="122" t="s">
        <v>1963</v>
      </c>
    </row>
    <row r="1443" spans="1:7" x14ac:dyDescent="0.25">
      <c r="A1443" s="125">
        <f t="shared" si="170"/>
        <v>1403</v>
      </c>
      <c r="B1443" s="130"/>
      <c r="C1443" s="842" t="s">
        <v>10951</v>
      </c>
      <c r="D1443" s="924">
        <v>0</v>
      </c>
      <c r="E1443" s="924">
        <f t="shared" si="171"/>
        <v>0</v>
      </c>
      <c r="F1443" s="129">
        <v>1500</v>
      </c>
      <c r="G1443" s="122" t="s">
        <v>1963</v>
      </c>
    </row>
    <row r="1444" spans="1:7" x14ac:dyDescent="0.25">
      <c r="A1444" s="125">
        <f t="shared" si="170"/>
        <v>1404</v>
      </c>
      <c r="B1444" s="130"/>
      <c r="C1444" s="842" t="s">
        <v>10952</v>
      </c>
      <c r="D1444" s="924">
        <v>0</v>
      </c>
      <c r="E1444" s="924">
        <f t="shared" si="171"/>
        <v>0</v>
      </c>
      <c r="F1444" s="129">
        <v>1500</v>
      </c>
      <c r="G1444" s="122" t="s">
        <v>1963</v>
      </c>
    </row>
    <row r="1445" spans="1:7" x14ac:dyDescent="0.25">
      <c r="A1445" s="125">
        <f t="shared" si="170"/>
        <v>1405</v>
      </c>
      <c r="B1445" s="130"/>
      <c r="C1445" s="842" t="s">
        <v>10953</v>
      </c>
      <c r="D1445" s="924">
        <v>0</v>
      </c>
      <c r="E1445" s="924">
        <f t="shared" si="171"/>
        <v>0</v>
      </c>
      <c r="F1445" s="129">
        <v>150000</v>
      </c>
      <c r="G1445" s="122" t="s">
        <v>1963</v>
      </c>
    </row>
    <row r="1446" spans="1:7" x14ac:dyDescent="0.25">
      <c r="A1446" s="125">
        <f t="shared" si="170"/>
        <v>1406</v>
      </c>
      <c r="B1446" s="130"/>
      <c r="C1446" s="804" t="s">
        <v>10909</v>
      </c>
      <c r="D1446" s="920"/>
      <c r="E1446" s="920"/>
      <c r="F1446" s="804"/>
      <c r="G1446" s="885"/>
    </row>
    <row r="1447" spans="1:7" x14ac:dyDescent="0.25">
      <c r="A1447" s="125">
        <f t="shared" si="170"/>
        <v>1407</v>
      </c>
      <c r="B1447" s="130"/>
      <c r="C1447" s="931" t="s">
        <v>10954</v>
      </c>
      <c r="D1447" s="924">
        <v>0</v>
      </c>
      <c r="E1447" s="924">
        <f t="shared" ref="E1447:E1451" si="172">D1447/8*12</f>
        <v>0</v>
      </c>
      <c r="F1447" s="129">
        <f>F1449*F$83</f>
        <v>300</v>
      </c>
      <c r="G1447" s="122" t="s">
        <v>1963</v>
      </c>
    </row>
    <row r="1448" spans="1:7" x14ac:dyDescent="0.25">
      <c r="A1448" s="125">
        <f t="shared" si="170"/>
        <v>1408</v>
      </c>
      <c r="B1448" s="130"/>
      <c r="C1448" s="842" t="s">
        <v>10955</v>
      </c>
      <c r="D1448" s="924">
        <v>0</v>
      </c>
      <c r="E1448" s="924">
        <f t="shared" si="172"/>
        <v>0</v>
      </c>
      <c r="F1448" s="129">
        <v>1500</v>
      </c>
      <c r="G1448" s="122" t="s">
        <v>1963</v>
      </c>
    </row>
    <row r="1449" spans="1:7" x14ac:dyDescent="0.25">
      <c r="A1449" s="125">
        <f t="shared" si="170"/>
        <v>1409</v>
      </c>
      <c r="B1449" s="130"/>
      <c r="C1449" s="842" t="s">
        <v>10956</v>
      </c>
      <c r="D1449" s="924">
        <v>0</v>
      </c>
      <c r="E1449" s="924">
        <f t="shared" si="172"/>
        <v>0</v>
      </c>
      <c r="F1449" s="129">
        <v>1500</v>
      </c>
      <c r="G1449" s="122" t="s">
        <v>1963</v>
      </c>
    </row>
    <row r="1450" spans="1:7" x14ac:dyDescent="0.25">
      <c r="A1450" s="125">
        <f t="shared" si="170"/>
        <v>1410</v>
      </c>
      <c r="B1450" s="130"/>
      <c r="C1450" s="842" t="s">
        <v>10957</v>
      </c>
      <c r="D1450" s="924">
        <v>0</v>
      </c>
      <c r="E1450" s="924">
        <f t="shared" si="172"/>
        <v>0</v>
      </c>
      <c r="F1450" s="129">
        <v>1500</v>
      </c>
      <c r="G1450" s="122" t="s">
        <v>1963</v>
      </c>
    </row>
    <row r="1451" spans="1:7" ht="31.5" x14ac:dyDescent="0.25">
      <c r="A1451" s="125">
        <f t="shared" si="170"/>
        <v>1411</v>
      </c>
      <c r="B1451" s="130"/>
      <c r="C1451" s="842" t="s">
        <v>10958</v>
      </c>
      <c r="D1451" s="924">
        <v>0</v>
      </c>
      <c r="E1451" s="924">
        <f t="shared" si="172"/>
        <v>0</v>
      </c>
      <c r="F1451" s="129">
        <v>5000</v>
      </c>
      <c r="G1451" s="122" t="s">
        <v>1963</v>
      </c>
    </row>
    <row r="1452" spans="1:7" x14ac:dyDescent="0.25">
      <c r="A1452" s="125">
        <f t="shared" si="170"/>
        <v>1412</v>
      </c>
      <c r="B1452" s="130"/>
      <c r="C1452" s="232" t="s">
        <v>10938</v>
      </c>
      <c r="D1452" s="915"/>
      <c r="E1452" s="915"/>
      <c r="F1452" s="129"/>
    </row>
    <row r="1453" spans="1:7" x14ac:dyDescent="0.25">
      <c r="A1453" s="125">
        <f t="shared" si="170"/>
        <v>1413</v>
      </c>
      <c r="B1453" s="130"/>
      <c r="C1453" s="842" t="s">
        <v>10959</v>
      </c>
      <c r="D1453" s="924">
        <f>72654.72</f>
        <v>72654.720000000001</v>
      </c>
      <c r="E1453" s="924">
        <f t="shared" ref="E1453:E1466" si="173">D1453/8*12</f>
        <v>108982.08</v>
      </c>
      <c r="F1453" s="129">
        <f>37168.77/5</f>
        <v>7433.753999999999</v>
      </c>
      <c r="G1453" s="122" t="s">
        <v>1963</v>
      </c>
    </row>
    <row r="1454" spans="1:7" x14ac:dyDescent="0.25">
      <c r="A1454" s="125">
        <f t="shared" si="170"/>
        <v>1414</v>
      </c>
      <c r="B1454" s="130"/>
      <c r="C1454" s="842" t="s">
        <v>11560</v>
      </c>
      <c r="D1454" s="924">
        <f>48000-D1401-D1471-D1488-D1506</f>
        <v>38391.199999999997</v>
      </c>
      <c r="E1454" s="924">
        <f>D1454/8*13.33</f>
        <v>63969.336999999992</v>
      </c>
      <c r="F1454" s="129">
        <f>E1454/13.33</f>
        <v>4798.8999999999996</v>
      </c>
      <c r="G1454" s="122" t="s">
        <v>1963</v>
      </c>
    </row>
    <row r="1455" spans="1:7" x14ac:dyDescent="0.25">
      <c r="A1455" s="125">
        <f t="shared" si="170"/>
        <v>1415</v>
      </c>
      <c r="B1455" s="130"/>
      <c r="C1455" s="842" t="s">
        <v>10960</v>
      </c>
      <c r="D1455" s="924">
        <f>592299.6-D1472-D1507-D1588</f>
        <v>484694.15999999992</v>
      </c>
      <c r="E1455" s="924">
        <f>D1455/8*13.33</f>
        <v>807621.64409999992</v>
      </c>
      <c r="F1455" s="129">
        <f>E1455/13.33</f>
        <v>60586.77</v>
      </c>
      <c r="G1455" s="122" t="s">
        <v>1963</v>
      </c>
    </row>
    <row r="1456" spans="1:7" x14ac:dyDescent="0.25">
      <c r="A1456" s="125">
        <f t="shared" si="170"/>
        <v>1416</v>
      </c>
      <c r="B1456" s="130"/>
      <c r="C1456" s="842" t="s">
        <v>11532</v>
      </c>
      <c r="D1456" s="924">
        <v>187756</v>
      </c>
      <c r="E1456" s="924">
        <f t="shared" si="173"/>
        <v>281634</v>
      </c>
      <c r="F1456" s="129"/>
    </row>
    <row r="1457" spans="1:7" x14ac:dyDescent="0.25">
      <c r="A1457" s="125">
        <f t="shared" si="170"/>
        <v>1417</v>
      </c>
      <c r="B1457" s="130"/>
      <c r="C1457" s="842" t="s">
        <v>10961</v>
      </c>
      <c r="D1457" s="924">
        <f>84828.693-D1543</f>
        <v>67542.692999999999</v>
      </c>
      <c r="E1457" s="924">
        <f t="shared" si="173"/>
        <v>101314.0395</v>
      </c>
      <c r="F1457" s="129">
        <v>3000</v>
      </c>
      <c r="G1457" s="122" t="s">
        <v>1963</v>
      </c>
    </row>
    <row r="1458" spans="1:7" x14ac:dyDescent="0.25">
      <c r="A1458" s="125">
        <f t="shared" si="170"/>
        <v>1418</v>
      </c>
      <c r="B1458" s="130"/>
      <c r="C1458" s="842" t="s">
        <v>10962</v>
      </c>
      <c r="D1458" s="924">
        <v>11616</v>
      </c>
      <c r="E1458" s="924">
        <f t="shared" si="173"/>
        <v>17424</v>
      </c>
      <c r="F1458" s="129">
        <f>E1458/12</f>
        <v>1452</v>
      </c>
      <c r="G1458" s="122" t="s">
        <v>1963</v>
      </c>
    </row>
    <row r="1459" spans="1:7" x14ac:dyDescent="0.25">
      <c r="A1459" s="125">
        <f t="shared" si="170"/>
        <v>1419</v>
      </c>
      <c r="B1459" s="130"/>
      <c r="C1459" s="842" t="s">
        <v>10963</v>
      </c>
      <c r="D1459" s="924">
        <v>10458.19</v>
      </c>
      <c r="E1459" s="924">
        <f t="shared" si="173"/>
        <v>15687.285</v>
      </c>
      <c r="F1459" s="129">
        <f>E1459</f>
        <v>15687.285</v>
      </c>
      <c r="G1459" s="122" t="s">
        <v>1963</v>
      </c>
    </row>
    <row r="1460" spans="1:7" x14ac:dyDescent="0.25">
      <c r="A1460" s="125">
        <f t="shared" si="170"/>
        <v>1420</v>
      </c>
      <c r="B1460" s="130"/>
      <c r="C1460" s="842" t="s">
        <v>10964</v>
      </c>
      <c r="D1460" s="924">
        <f>70647.05-30784.36</f>
        <v>39862.69</v>
      </c>
      <c r="E1460" s="924">
        <f t="shared" si="173"/>
        <v>59794.035000000003</v>
      </c>
      <c r="F1460" s="129">
        <v>60000</v>
      </c>
      <c r="G1460" s="122" t="s">
        <v>1963</v>
      </c>
    </row>
    <row r="1461" spans="1:7" x14ac:dyDescent="0.25">
      <c r="A1461" s="125">
        <f t="shared" si="170"/>
        <v>1421</v>
      </c>
      <c r="B1461" s="130"/>
      <c r="C1461" s="842" t="s">
        <v>10965</v>
      </c>
      <c r="D1461" s="924">
        <v>222.65</v>
      </c>
      <c r="E1461" s="924">
        <f t="shared" si="173"/>
        <v>333.97500000000002</v>
      </c>
      <c r="F1461" s="129">
        <f>E1461</f>
        <v>333.97500000000002</v>
      </c>
      <c r="G1461" s="122" t="s">
        <v>1963</v>
      </c>
    </row>
    <row r="1462" spans="1:7" x14ac:dyDescent="0.25">
      <c r="A1462" s="125">
        <f t="shared" si="170"/>
        <v>1422</v>
      </c>
      <c r="B1462" s="130"/>
      <c r="C1462" s="842" t="s">
        <v>10966</v>
      </c>
      <c r="D1462" s="924">
        <v>0</v>
      </c>
      <c r="E1462" s="924">
        <v>0</v>
      </c>
      <c r="F1462" s="129">
        <v>3000</v>
      </c>
      <c r="G1462" s="122" t="s">
        <v>1963</v>
      </c>
    </row>
    <row r="1463" spans="1:7" x14ac:dyDescent="0.25">
      <c r="A1463" s="125">
        <f t="shared" si="170"/>
        <v>1423</v>
      </c>
      <c r="B1463" s="130"/>
      <c r="C1463" s="842" t="s">
        <v>10967</v>
      </c>
      <c r="D1463" s="924">
        <v>27409</v>
      </c>
      <c r="E1463" s="924">
        <f t="shared" si="173"/>
        <v>41113.5</v>
      </c>
      <c r="F1463" s="129">
        <v>40000</v>
      </c>
      <c r="G1463" s="122" t="s">
        <v>1963</v>
      </c>
    </row>
    <row r="1464" spans="1:7" x14ac:dyDescent="0.25">
      <c r="A1464" s="125">
        <f t="shared" si="170"/>
        <v>1424</v>
      </c>
      <c r="B1464" s="130"/>
      <c r="C1464" s="842" t="s">
        <v>10968</v>
      </c>
      <c r="D1464" s="924">
        <v>211126.19</v>
      </c>
      <c r="E1464" s="924">
        <f t="shared" si="173"/>
        <v>316689.28500000003</v>
      </c>
      <c r="F1464" s="129">
        <f>45000+104314.01-9422.84</f>
        <v>139891.17000000001</v>
      </c>
      <c r="G1464" s="122" t="s">
        <v>1963</v>
      </c>
    </row>
    <row r="1465" spans="1:7" x14ac:dyDescent="0.25">
      <c r="A1465" s="125">
        <f t="shared" si="170"/>
        <v>1425</v>
      </c>
      <c r="B1465" s="130"/>
      <c r="C1465" s="842" t="s">
        <v>10969</v>
      </c>
      <c r="D1465" s="924">
        <v>9717.33</v>
      </c>
      <c r="E1465" s="924">
        <f t="shared" si="173"/>
        <v>14575.994999999999</v>
      </c>
      <c r="F1465" s="129">
        <v>0</v>
      </c>
      <c r="G1465" s="122" t="s">
        <v>1963</v>
      </c>
    </row>
    <row r="1466" spans="1:7" x14ac:dyDescent="0.25">
      <c r="A1466" s="125">
        <f t="shared" si="170"/>
        <v>1426</v>
      </c>
      <c r="B1466" s="130"/>
      <c r="C1466" s="842" t="s">
        <v>10970</v>
      </c>
      <c r="D1466" s="924">
        <f>10898.13-D1482-D1518</f>
        <v>9971.9699999999993</v>
      </c>
      <c r="E1466" s="924">
        <f t="shared" si="173"/>
        <v>14957.954999999998</v>
      </c>
      <c r="F1466" s="129">
        <f>E1466/12</f>
        <v>1246.4962499999999</v>
      </c>
      <c r="G1466" s="122" t="s">
        <v>1963</v>
      </c>
    </row>
    <row r="1467" spans="1:7" x14ac:dyDescent="0.25">
      <c r="A1467" s="125">
        <f t="shared" si="170"/>
        <v>1427</v>
      </c>
      <c r="B1467" s="130"/>
      <c r="C1467" s="842" t="s">
        <v>10971</v>
      </c>
      <c r="D1467" s="914">
        <v>0</v>
      </c>
      <c r="E1467" s="914">
        <v>0</v>
      </c>
      <c r="F1467" s="129">
        <v>3000</v>
      </c>
      <c r="G1467" s="122" t="s">
        <v>1963</v>
      </c>
    </row>
    <row r="1468" spans="1:7" x14ac:dyDescent="0.25">
      <c r="A1468" s="125">
        <f t="shared" si="170"/>
        <v>1428</v>
      </c>
      <c r="B1468" s="130"/>
      <c r="C1468" s="842" t="s">
        <v>10972</v>
      </c>
      <c r="D1468" s="914">
        <v>0</v>
      </c>
      <c r="E1468" s="914">
        <v>0</v>
      </c>
      <c r="F1468" s="129">
        <v>1500</v>
      </c>
      <c r="G1468" s="122" t="s">
        <v>1963</v>
      </c>
    </row>
    <row r="1469" spans="1:7" x14ac:dyDescent="0.25">
      <c r="A1469" s="125">
        <f t="shared" si="170"/>
        <v>1429</v>
      </c>
      <c r="B1469" s="130"/>
      <c r="C1469" s="123" t="s">
        <v>10989</v>
      </c>
      <c r="D1469" s="915"/>
      <c r="E1469" s="915"/>
      <c r="F1469" s="136"/>
    </row>
    <row r="1470" spans="1:7" x14ac:dyDescent="0.25">
      <c r="A1470" s="125">
        <f t="shared" si="170"/>
        <v>1430</v>
      </c>
      <c r="B1470" s="130"/>
      <c r="C1470" s="842" t="s">
        <v>10974</v>
      </c>
      <c r="D1470" s="924">
        <v>0</v>
      </c>
      <c r="E1470" s="924">
        <v>0</v>
      </c>
      <c r="F1470" s="129">
        <v>1</v>
      </c>
      <c r="G1470" s="122" t="s">
        <v>1963</v>
      </c>
    </row>
    <row r="1471" spans="1:7" x14ac:dyDescent="0.25">
      <c r="A1471" s="125">
        <f t="shared" si="170"/>
        <v>1431</v>
      </c>
      <c r="B1471" s="130"/>
      <c r="C1471" s="842" t="s">
        <v>11560</v>
      </c>
      <c r="D1471" s="924">
        <f>63.03*8</f>
        <v>504.24</v>
      </c>
      <c r="E1471" s="924">
        <f>D1471/8*13.33</f>
        <v>840.18989999999997</v>
      </c>
      <c r="F1471" s="129">
        <f>E1471/13.33</f>
        <v>63.029999999999994</v>
      </c>
    </row>
    <row r="1472" spans="1:7" x14ac:dyDescent="0.25">
      <c r="A1472" s="125">
        <f t="shared" si="170"/>
        <v>1432</v>
      </c>
      <c r="B1472" s="130"/>
      <c r="C1472" s="842" t="s">
        <v>10975</v>
      </c>
      <c r="D1472" s="924">
        <f>(2893.86+86.82)*8</f>
        <v>23845.440000000002</v>
      </c>
      <c r="E1472" s="924">
        <f>D1472/8*13.33</f>
        <v>39732.464400000004</v>
      </c>
      <c r="F1472" s="129">
        <f>E1472/13.33</f>
        <v>2980.6800000000003</v>
      </c>
      <c r="G1472" s="122" t="s">
        <v>1963</v>
      </c>
    </row>
    <row r="1473" spans="1:7" x14ac:dyDescent="0.25">
      <c r="A1473" s="125">
        <f t="shared" si="170"/>
        <v>1433</v>
      </c>
      <c r="B1473" s="130"/>
      <c r="C1473" s="842" t="s">
        <v>11532</v>
      </c>
      <c r="D1473" s="924">
        <v>0</v>
      </c>
      <c r="E1473" s="924">
        <v>0</v>
      </c>
      <c r="F1473" s="129"/>
    </row>
    <row r="1474" spans="1:7" x14ac:dyDescent="0.25">
      <c r="A1474" s="125">
        <f t="shared" si="170"/>
        <v>1434</v>
      </c>
      <c r="B1474" s="130"/>
      <c r="C1474" s="842" t="s">
        <v>10976</v>
      </c>
      <c r="D1474" s="924">
        <v>0</v>
      </c>
      <c r="E1474" s="924">
        <v>0</v>
      </c>
      <c r="F1474" s="129">
        <v>50</v>
      </c>
      <c r="G1474" s="122" t="s">
        <v>1963</v>
      </c>
    </row>
    <row r="1475" spans="1:7" x14ac:dyDescent="0.25">
      <c r="A1475" s="125">
        <f t="shared" si="170"/>
        <v>1435</v>
      </c>
      <c r="B1475" s="130"/>
      <c r="C1475" s="842" t="s">
        <v>10977</v>
      </c>
      <c r="D1475" s="924">
        <v>1289.2</v>
      </c>
      <c r="E1475" s="924">
        <f>D1475/8*12</f>
        <v>1933.8000000000002</v>
      </c>
      <c r="F1475" s="129">
        <v>96</v>
      </c>
      <c r="G1475" s="122" t="s">
        <v>1963</v>
      </c>
    </row>
    <row r="1476" spans="1:7" x14ac:dyDescent="0.25">
      <c r="A1476" s="125">
        <f t="shared" si="170"/>
        <v>1436</v>
      </c>
      <c r="B1476" s="130"/>
      <c r="C1476" s="842" t="s">
        <v>10978</v>
      </c>
      <c r="D1476" s="924">
        <v>169.79</v>
      </c>
      <c r="E1476" s="924">
        <f>D1476/8*12</f>
        <v>254.685</v>
      </c>
      <c r="F1476" s="129">
        <v>500</v>
      </c>
      <c r="G1476" s="122" t="s">
        <v>1963</v>
      </c>
    </row>
    <row r="1477" spans="1:7" x14ac:dyDescent="0.25">
      <c r="A1477" s="125">
        <f t="shared" si="170"/>
        <v>1437</v>
      </c>
      <c r="B1477" s="130"/>
      <c r="C1477" s="842" t="s">
        <v>10979</v>
      </c>
      <c r="D1477" s="924">
        <v>30784.36</v>
      </c>
      <c r="E1477" s="924">
        <f>D1477/8*12</f>
        <v>46176.54</v>
      </c>
      <c r="F1477" s="129">
        <f>E1477</f>
        <v>46176.54</v>
      </c>
      <c r="G1477" s="122" t="s">
        <v>1963</v>
      </c>
    </row>
    <row r="1478" spans="1:7" x14ac:dyDescent="0.25">
      <c r="A1478" s="125">
        <f t="shared" si="170"/>
        <v>1438</v>
      </c>
      <c r="B1478" s="130"/>
      <c r="C1478" s="842" t="s">
        <v>10980</v>
      </c>
      <c r="D1478" s="924">
        <v>0</v>
      </c>
      <c r="E1478" s="924">
        <v>0</v>
      </c>
      <c r="F1478" s="129">
        <v>500</v>
      </c>
      <c r="G1478" s="122" t="s">
        <v>1963</v>
      </c>
    </row>
    <row r="1479" spans="1:7" x14ac:dyDescent="0.25">
      <c r="A1479" s="125">
        <f t="shared" si="170"/>
        <v>1439</v>
      </c>
      <c r="B1479" s="130"/>
      <c r="C1479" s="842" t="s">
        <v>10981</v>
      </c>
      <c r="D1479" s="924">
        <v>0</v>
      </c>
      <c r="E1479" s="924">
        <v>0</v>
      </c>
      <c r="F1479" s="129">
        <v>500</v>
      </c>
      <c r="G1479" s="122" t="s">
        <v>1963</v>
      </c>
    </row>
    <row r="1480" spans="1:7" x14ac:dyDescent="0.25">
      <c r="A1480" s="125">
        <f t="shared" si="170"/>
        <v>1440</v>
      </c>
      <c r="B1480" s="130"/>
      <c r="C1480" s="842" t="s">
        <v>10982</v>
      </c>
      <c r="D1480" s="924">
        <v>0</v>
      </c>
      <c r="E1480" s="924">
        <v>0</v>
      </c>
      <c r="F1480" s="129">
        <v>500</v>
      </c>
      <c r="G1480" s="122" t="s">
        <v>1963</v>
      </c>
    </row>
    <row r="1481" spans="1:7" x14ac:dyDescent="0.25">
      <c r="A1481" s="125">
        <f t="shared" si="170"/>
        <v>1441</v>
      </c>
      <c r="B1481" s="130"/>
      <c r="C1481" s="842" t="s">
        <v>10983</v>
      </c>
      <c r="D1481" s="924">
        <v>0</v>
      </c>
      <c r="E1481" s="924">
        <v>0</v>
      </c>
      <c r="F1481" s="129">
        <f>F1479*F83</f>
        <v>100</v>
      </c>
      <c r="G1481" s="122" t="s">
        <v>1963</v>
      </c>
    </row>
    <row r="1482" spans="1:7" x14ac:dyDescent="0.25">
      <c r="A1482" s="125">
        <f t="shared" si="170"/>
        <v>1442</v>
      </c>
      <c r="B1482" s="130"/>
      <c r="C1482" s="842" t="s">
        <v>10984</v>
      </c>
      <c r="D1482" s="924">
        <f>38.59*8</f>
        <v>308.72000000000003</v>
      </c>
      <c r="E1482" s="924">
        <f>D1482/8*12</f>
        <v>463.08000000000004</v>
      </c>
      <c r="F1482" s="129">
        <f>E1482/12</f>
        <v>38.590000000000003</v>
      </c>
      <c r="G1482" s="122" t="s">
        <v>1963</v>
      </c>
    </row>
    <row r="1483" spans="1:7" x14ac:dyDescent="0.25">
      <c r="A1483" s="125">
        <f t="shared" si="170"/>
        <v>1443</v>
      </c>
      <c r="B1483" s="130"/>
      <c r="C1483" s="842" t="s">
        <v>10985</v>
      </c>
      <c r="D1483" s="924">
        <v>0</v>
      </c>
      <c r="E1483" s="924">
        <v>0</v>
      </c>
      <c r="F1483" s="129">
        <v>500</v>
      </c>
      <c r="G1483" s="122" t="s">
        <v>1963</v>
      </c>
    </row>
    <row r="1484" spans="1:7" x14ac:dyDescent="0.25">
      <c r="A1484" s="125">
        <f t="shared" si="170"/>
        <v>1444</v>
      </c>
      <c r="B1484" s="130"/>
      <c r="C1484" s="842" t="s">
        <v>10986</v>
      </c>
      <c r="D1484" s="924">
        <v>0</v>
      </c>
      <c r="E1484" s="924">
        <v>0</v>
      </c>
      <c r="F1484" s="129">
        <v>500</v>
      </c>
      <c r="G1484" s="122" t="s">
        <v>1963</v>
      </c>
    </row>
    <row r="1485" spans="1:7" x14ac:dyDescent="0.25">
      <c r="A1485" s="125">
        <f t="shared" si="170"/>
        <v>1445</v>
      </c>
      <c r="B1485" s="130"/>
      <c r="C1485" s="842" t="s">
        <v>10987</v>
      </c>
      <c r="D1485" s="924">
        <v>0</v>
      </c>
      <c r="E1485" s="924">
        <v>0</v>
      </c>
      <c r="F1485" s="129">
        <v>500</v>
      </c>
      <c r="G1485" s="122" t="s">
        <v>1963</v>
      </c>
    </row>
    <row r="1486" spans="1:7" x14ac:dyDescent="0.25">
      <c r="A1486" s="125">
        <f t="shared" si="170"/>
        <v>1446</v>
      </c>
      <c r="B1486" s="130"/>
      <c r="C1486" s="123" t="s">
        <v>10988</v>
      </c>
      <c r="D1486" s="904"/>
      <c r="E1486" s="904"/>
      <c r="F1486" s="136"/>
    </row>
    <row r="1487" spans="1:7" ht="31.5" x14ac:dyDescent="0.25">
      <c r="A1487" s="125">
        <f t="shared" si="170"/>
        <v>1447</v>
      </c>
      <c r="B1487" s="130"/>
      <c r="C1487" s="842" t="s">
        <v>10990</v>
      </c>
      <c r="D1487" s="924">
        <v>0</v>
      </c>
      <c r="E1487" s="924">
        <v>0</v>
      </c>
      <c r="F1487" s="978">
        <v>1</v>
      </c>
      <c r="G1487" s="122" t="s">
        <v>1963</v>
      </c>
    </row>
    <row r="1488" spans="1:7" x14ac:dyDescent="0.25">
      <c r="A1488" s="125">
        <f t="shared" si="170"/>
        <v>1448</v>
      </c>
      <c r="B1488" s="130"/>
      <c r="C1488" s="842" t="s">
        <v>11560</v>
      </c>
      <c r="D1488" s="924">
        <v>0</v>
      </c>
      <c r="E1488" s="924">
        <f>D1488/8*13.33</f>
        <v>0</v>
      </c>
      <c r="F1488" s="978">
        <v>1</v>
      </c>
      <c r="G1488" s="122" t="s">
        <v>1963</v>
      </c>
    </row>
    <row r="1489" spans="1:7" ht="31.5" x14ac:dyDescent="0.25">
      <c r="A1489" s="125">
        <f t="shared" si="170"/>
        <v>1449</v>
      </c>
      <c r="B1489" s="130"/>
      <c r="C1489" s="842" t="s">
        <v>10991</v>
      </c>
      <c r="D1489" s="924">
        <v>0</v>
      </c>
      <c r="E1489" s="924">
        <f>D1489/8*13.33</f>
        <v>0</v>
      </c>
      <c r="F1489" s="978">
        <v>1</v>
      </c>
      <c r="G1489" s="122" t="s">
        <v>1963</v>
      </c>
    </row>
    <row r="1490" spans="1:7" x14ac:dyDescent="0.25">
      <c r="A1490" s="125">
        <f t="shared" si="170"/>
        <v>1450</v>
      </c>
      <c r="B1490" s="130"/>
      <c r="C1490" s="842" t="s">
        <v>11532</v>
      </c>
      <c r="D1490" s="924">
        <v>0</v>
      </c>
      <c r="E1490" s="924">
        <f>D1490/8*13.33</f>
        <v>0</v>
      </c>
      <c r="F1490" s="978"/>
    </row>
    <row r="1491" spans="1:7" x14ac:dyDescent="0.25">
      <c r="A1491" s="125">
        <f t="shared" si="170"/>
        <v>1451</v>
      </c>
      <c r="B1491" s="130"/>
      <c r="C1491" s="842" t="s">
        <v>10992</v>
      </c>
      <c r="D1491" s="924">
        <v>0</v>
      </c>
      <c r="E1491" s="924">
        <v>0</v>
      </c>
      <c r="F1491" s="978">
        <v>1</v>
      </c>
      <c r="G1491" s="122" t="s">
        <v>1963</v>
      </c>
    </row>
    <row r="1492" spans="1:7" x14ac:dyDescent="0.25">
      <c r="A1492" s="125">
        <f t="shared" si="170"/>
        <v>1452</v>
      </c>
      <c r="B1492" s="130"/>
      <c r="C1492" s="842" t="s">
        <v>10993</v>
      </c>
      <c r="D1492" s="924">
        <v>0</v>
      </c>
      <c r="E1492" s="924">
        <f>D1492/8*12</f>
        <v>0</v>
      </c>
      <c r="F1492" s="129">
        <v>200</v>
      </c>
      <c r="G1492" s="122" t="s">
        <v>1963</v>
      </c>
    </row>
    <row r="1493" spans="1:7" x14ac:dyDescent="0.25">
      <c r="A1493" s="125">
        <f t="shared" si="170"/>
        <v>1453</v>
      </c>
      <c r="B1493" s="130"/>
      <c r="C1493" s="842" t="s">
        <v>10994</v>
      </c>
      <c r="D1493" s="924">
        <v>0</v>
      </c>
      <c r="E1493" s="924">
        <v>0</v>
      </c>
      <c r="F1493" s="129">
        <v>500</v>
      </c>
      <c r="G1493" s="122" t="s">
        <v>1963</v>
      </c>
    </row>
    <row r="1494" spans="1:7" x14ac:dyDescent="0.25">
      <c r="A1494" s="125">
        <f t="shared" si="170"/>
        <v>1454</v>
      </c>
      <c r="B1494" s="130"/>
      <c r="C1494" s="842" t="s">
        <v>10995</v>
      </c>
      <c r="D1494" s="924">
        <v>0</v>
      </c>
      <c r="E1494" s="924">
        <v>0</v>
      </c>
      <c r="F1494" s="129">
        <v>500</v>
      </c>
      <c r="G1494" s="122" t="s">
        <v>1963</v>
      </c>
    </row>
    <row r="1495" spans="1:7" x14ac:dyDescent="0.25">
      <c r="A1495" s="125">
        <f t="shared" si="170"/>
        <v>1455</v>
      </c>
      <c r="B1495" s="130"/>
      <c r="C1495" s="842" t="s">
        <v>10996</v>
      </c>
      <c r="D1495" s="924">
        <v>0</v>
      </c>
      <c r="E1495" s="924">
        <v>0</v>
      </c>
      <c r="F1495" s="129">
        <v>500</v>
      </c>
      <c r="G1495" s="122" t="s">
        <v>1963</v>
      </c>
    </row>
    <row r="1496" spans="1:7" x14ac:dyDescent="0.25">
      <c r="A1496" s="125">
        <f t="shared" si="170"/>
        <v>1456</v>
      </c>
      <c r="B1496" s="130"/>
      <c r="C1496" s="842" t="s">
        <v>10997</v>
      </c>
      <c r="D1496" s="924">
        <v>0</v>
      </c>
      <c r="E1496" s="924">
        <v>0</v>
      </c>
      <c r="F1496" s="129">
        <v>500</v>
      </c>
      <c r="G1496" s="122" t="s">
        <v>1963</v>
      </c>
    </row>
    <row r="1497" spans="1:7" x14ac:dyDescent="0.25">
      <c r="A1497" s="125">
        <f t="shared" si="170"/>
        <v>1457</v>
      </c>
      <c r="B1497" s="130"/>
      <c r="C1497" s="842" t="s">
        <v>10998</v>
      </c>
      <c r="D1497" s="924">
        <v>0</v>
      </c>
      <c r="E1497" s="924">
        <v>0</v>
      </c>
      <c r="F1497" s="129">
        <v>500</v>
      </c>
      <c r="G1497" s="122" t="s">
        <v>1963</v>
      </c>
    </row>
    <row r="1498" spans="1:7" x14ac:dyDescent="0.25">
      <c r="A1498" s="125">
        <f t="shared" si="170"/>
        <v>1458</v>
      </c>
      <c r="B1498" s="130"/>
      <c r="C1498" s="842" t="s">
        <v>10999</v>
      </c>
      <c r="D1498" s="924">
        <v>3330</v>
      </c>
      <c r="E1498" s="924">
        <f>D1498/8*12</f>
        <v>4995</v>
      </c>
      <c r="F1498" s="129">
        <f>E1498</f>
        <v>4995</v>
      </c>
      <c r="G1498" s="122" t="s">
        <v>1963</v>
      </c>
    </row>
    <row r="1499" spans="1:7" x14ac:dyDescent="0.25">
      <c r="A1499" s="125">
        <f t="shared" si="170"/>
        <v>1459</v>
      </c>
      <c r="B1499" s="130"/>
      <c r="C1499" s="842" t="s">
        <v>11000</v>
      </c>
      <c r="D1499" s="924">
        <v>0</v>
      </c>
      <c r="E1499" s="924">
        <v>0</v>
      </c>
      <c r="F1499" s="129">
        <f>F1496*F83</f>
        <v>100</v>
      </c>
      <c r="G1499" s="122" t="s">
        <v>1963</v>
      </c>
    </row>
    <row r="1500" spans="1:7" x14ac:dyDescent="0.25">
      <c r="A1500" s="125">
        <f t="shared" si="170"/>
        <v>1460</v>
      </c>
      <c r="B1500" s="130"/>
      <c r="C1500" s="842" t="s">
        <v>11001</v>
      </c>
      <c r="D1500" s="924">
        <v>0</v>
      </c>
      <c r="E1500" s="924">
        <v>0</v>
      </c>
      <c r="F1500" s="129">
        <v>1</v>
      </c>
      <c r="G1500" s="122" t="s">
        <v>1963</v>
      </c>
    </row>
    <row r="1501" spans="1:7" x14ac:dyDescent="0.25">
      <c r="A1501" s="125">
        <f t="shared" si="170"/>
        <v>1461</v>
      </c>
      <c r="B1501" s="130"/>
      <c r="C1501" s="842" t="s">
        <v>11002</v>
      </c>
      <c r="D1501" s="924">
        <v>0</v>
      </c>
      <c r="E1501" s="924">
        <v>0</v>
      </c>
      <c r="F1501" s="129">
        <v>500</v>
      </c>
      <c r="G1501" s="122" t="s">
        <v>1963</v>
      </c>
    </row>
    <row r="1502" spans="1:7" ht="31.5" x14ac:dyDescent="0.25">
      <c r="A1502" s="125">
        <f t="shared" ref="A1502:A1565" si="174">A1501+1</f>
        <v>1462</v>
      </c>
      <c r="B1502" s="130"/>
      <c r="C1502" s="842" t="s">
        <v>11003</v>
      </c>
      <c r="D1502" s="924">
        <v>0</v>
      </c>
      <c r="E1502" s="924">
        <v>0</v>
      </c>
      <c r="F1502" s="129">
        <v>500</v>
      </c>
      <c r="G1502" s="122" t="s">
        <v>1963</v>
      </c>
    </row>
    <row r="1503" spans="1:7" x14ac:dyDescent="0.25">
      <c r="A1503" s="125">
        <f t="shared" si="174"/>
        <v>1463</v>
      </c>
      <c r="B1503" s="130"/>
      <c r="C1503" s="842" t="s">
        <v>11004</v>
      </c>
      <c r="D1503" s="924"/>
      <c r="E1503" s="924"/>
      <c r="F1503" s="129">
        <v>500</v>
      </c>
      <c r="G1503" s="122" t="s">
        <v>1963</v>
      </c>
    </row>
    <row r="1504" spans="1:7" x14ac:dyDescent="0.25">
      <c r="A1504" s="125">
        <f t="shared" si="174"/>
        <v>1464</v>
      </c>
      <c r="B1504" s="130"/>
      <c r="C1504" s="123" t="s">
        <v>11021</v>
      </c>
      <c r="D1504" s="904"/>
      <c r="E1504" s="904"/>
      <c r="F1504" s="136"/>
    </row>
    <row r="1505" spans="1:7" x14ac:dyDescent="0.25">
      <c r="A1505" s="125">
        <f t="shared" si="174"/>
        <v>1465</v>
      </c>
      <c r="B1505" s="130"/>
      <c r="C1505" s="842" t="s">
        <v>11005</v>
      </c>
      <c r="D1505" s="924">
        <v>0</v>
      </c>
      <c r="E1505" s="924">
        <v>0</v>
      </c>
      <c r="F1505" s="129">
        <v>1</v>
      </c>
      <c r="G1505" s="122" t="s">
        <v>1963</v>
      </c>
    </row>
    <row r="1506" spans="1:7" x14ac:dyDescent="0.25">
      <c r="A1506" s="125">
        <f t="shared" si="174"/>
        <v>1466</v>
      </c>
      <c r="B1506" s="130"/>
      <c r="C1506" s="842" t="s">
        <v>11560</v>
      </c>
      <c r="D1506" s="924">
        <f>374.47*8</f>
        <v>2995.76</v>
      </c>
      <c r="E1506" s="924">
        <f>D1506/8*13.33</f>
        <v>4991.6851000000006</v>
      </c>
      <c r="F1506" s="129">
        <f>E1506/13.33</f>
        <v>374.47</v>
      </c>
      <c r="G1506" s="122" t="s">
        <v>1963</v>
      </c>
    </row>
    <row r="1507" spans="1:7" x14ac:dyDescent="0.25">
      <c r="A1507" s="125">
        <f t="shared" si="174"/>
        <v>1467</v>
      </c>
      <c r="B1507" s="130"/>
      <c r="C1507" s="842" t="s">
        <v>11006</v>
      </c>
      <c r="D1507" s="924">
        <f>(4437.21+754.33+482.31+4244.38+551.77)*8</f>
        <v>83760</v>
      </c>
      <c r="E1507" s="924">
        <f>D1507/8*13.33</f>
        <v>139565.1</v>
      </c>
      <c r="F1507" s="129">
        <f>E1507/13.33</f>
        <v>10470</v>
      </c>
      <c r="G1507" s="122" t="s">
        <v>1963</v>
      </c>
    </row>
    <row r="1508" spans="1:7" x14ac:dyDescent="0.25">
      <c r="A1508" s="125">
        <f t="shared" si="174"/>
        <v>1468</v>
      </c>
      <c r="B1508" s="130"/>
      <c r="C1508" s="842" t="s">
        <v>11532</v>
      </c>
      <c r="D1508" s="924">
        <v>0</v>
      </c>
      <c r="E1508" s="924">
        <f>D1508/8*13.33</f>
        <v>0</v>
      </c>
      <c r="F1508" s="129"/>
    </row>
    <row r="1509" spans="1:7" x14ac:dyDescent="0.25">
      <c r="A1509" s="125">
        <f t="shared" si="174"/>
        <v>1469</v>
      </c>
      <c r="B1509" s="130"/>
      <c r="C1509" s="842" t="s">
        <v>11007</v>
      </c>
      <c r="D1509" s="924">
        <v>0</v>
      </c>
      <c r="E1509" s="924">
        <v>0</v>
      </c>
      <c r="F1509" s="129">
        <v>400</v>
      </c>
      <c r="G1509" s="122" t="s">
        <v>1963</v>
      </c>
    </row>
    <row r="1510" spans="1:7" x14ac:dyDescent="0.25">
      <c r="A1510" s="125">
        <f t="shared" si="174"/>
        <v>1470</v>
      </c>
      <c r="B1510" s="130"/>
      <c r="C1510" s="842" t="s">
        <v>11008</v>
      </c>
      <c r="D1510" s="924">
        <v>0</v>
      </c>
      <c r="E1510" s="924">
        <v>0</v>
      </c>
      <c r="F1510" s="129">
        <v>250</v>
      </c>
      <c r="G1510" s="122" t="s">
        <v>1963</v>
      </c>
    </row>
    <row r="1511" spans="1:7" x14ac:dyDescent="0.25">
      <c r="A1511" s="125">
        <f t="shared" si="174"/>
        <v>1471</v>
      </c>
      <c r="B1511" s="130"/>
      <c r="C1511" s="842" t="s">
        <v>11009</v>
      </c>
      <c r="D1511" s="924">
        <v>699</v>
      </c>
      <c r="E1511" s="924">
        <f>D1511/8*12</f>
        <v>1048.5</v>
      </c>
      <c r="F1511" s="129">
        <v>1100</v>
      </c>
      <c r="G1511" s="122" t="s">
        <v>1963</v>
      </c>
    </row>
    <row r="1512" spans="1:7" x14ac:dyDescent="0.25">
      <c r="A1512" s="125">
        <f t="shared" si="174"/>
        <v>1472</v>
      </c>
      <c r="B1512" s="130"/>
      <c r="C1512" s="842" t="s">
        <v>11010</v>
      </c>
      <c r="D1512" s="924">
        <v>0</v>
      </c>
      <c r="E1512" s="924">
        <v>0</v>
      </c>
      <c r="F1512" s="129">
        <v>1000</v>
      </c>
      <c r="G1512" s="122" t="s">
        <v>1963</v>
      </c>
    </row>
    <row r="1513" spans="1:7" x14ac:dyDescent="0.25">
      <c r="A1513" s="125">
        <f t="shared" si="174"/>
        <v>1473</v>
      </c>
      <c r="B1513" s="130"/>
      <c r="C1513" s="842" t="s">
        <v>11011</v>
      </c>
      <c r="D1513" s="924">
        <v>0</v>
      </c>
      <c r="E1513" s="924">
        <v>0</v>
      </c>
      <c r="F1513" s="129">
        <v>1000</v>
      </c>
      <c r="G1513" s="122" t="s">
        <v>1963</v>
      </c>
    </row>
    <row r="1514" spans="1:7" x14ac:dyDescent="0.25">
      <c r="A1514" s="125">
        <f t="shared" si="174"/>
        <v>1474</v>
      </c>
      <c r="B1514" s="130"/>
      <c r="C1514" s="842" t="s">
        <v>11012</v>
      </c>
      <c r="D1514" s="924">
        <v>0</v>
      </c>
      <c r="E1514" s="924">
        <v>0</v>
      </c>
      <c r="F1514" s="129">
        <v>500</v>
      </c>
      <c r="G1514" s="122" t="s">
        <v>1963</v>
      </c>
    </row>
    <row r="1515" spans="1:7" x14ac:dyDescent="0.25">
      <c r="A1515" s="125">
        <f t="shared" si="174"/>
        <v>1475</v>
      </c>
      <c r="B1515" s="130"/>
      <c r="C1515" s="842" t="s">
        <v>11013</v>
      </c>
      <c r="D1515" s="924">
        <v>0</v>
      </c>
      <c r="E1515" s="924">
        <v>0</v>
      </c>
      <c r="F1515" s="129">
        <v>500</v>
      </c>
      <c r="G1515" s="122" t="s">
        <v>1963</v>
      </c>
    </row>
    <row r="1516" spans="1:7" x14ac:dyDescent="0.25">
      <c r="A1516" s="125">
        <f t="shared" si="174"/>
        <v>1476</v>
      </c>
      <c r="B1516" s="130"/>
      <c r="C1516" s="842" t="s">
        <v>11014</v>
      </c>
      <c r="D1516" s="924">
        <v>2116</v>
      </c>
      <c r="E1516" s="924">
        <f>D1516/8*12</f>
        <v>3174</v>
      </c>
      <c r="F1516" s="129">
        <f>E1516</f>
        <v>3174</v>
      </c>
      <c r="G1516" s="122" t="s">
        <v>1963</v>
      </c>
    </row>
    <row r="1517" spans="1:7" x14ac:dyDescent="0.25">
      <c r="A1517" s="125">
        <f t="shared" si="174"/>
        <v>1477</v>
      </c>
      <c r="B1517" s="130"/>
      <c r="C1517" s="842" t="s">
        <v>11015</v>
      </c>
      <c r="D1517" s="924">
        <v>0</v>
      </c>
      <c r="E1517" s="924">
        <v>0</v>
      </c>
      <c r="F1517" s="129">
        <f>F1514*F83</f>
        <v>100</v>
      </c>
      <c r="G1517" s="122" t="s">
        <v>1963</v>
      </c>
    </row>
    <row r="1518" spans="1:7" x14ac:dyDescent="0.25">
      <c r="A1518" s="125">
        <f t="shared" si="174"/>
        <v>1478</v>
      </c>
      <c r="B1518" s="130"/>
      <c r="C1518" s="842" t="s">
        <v>11016</v>
      </c>
      <c r="D1518" s="924">
        <f>(38.59+38.59)*8</f>
        <v>617.44000000000005</v>
      </c>
      <c r="E1518" s="924">
        <f>D1518/8*12</f>
        <v>926.16000000000008</v>
      </c>
      <c r="F1518" s="129">
        <f>E1518/12</f>
        <v>77.180000000000007</v>
      </c>
      <c r="G1518" s="122" t="s">
        <v>1963</v>
      </c>
    </row>
    <row r="1519" spans="1:7" x14ac:dyDescent="0.25">
      <c r="A1519" s="125">
        <f t="shared" si="174"/>
        <v>1479</v>
      </c>
      <c r="B1519" s="130"/>
      <c r="C1519" s="842" t="s">
        <v>11017</v>
      </c>
      <c r="D1519" s="924">
        <v>0</v>
      </c>
      <c r="E1519" s="924">
        <v>0</v>
      </c>
      <c r="F1519" s="129">
        <v>500</v>
      </c>
      <c r="G1519" s="122" t="s">
        <v>1963</v>
      </c>
    </row>
    <row r="1520" spans="1:7" x14ac:dyDescent="0.25">
      <c r="A1520" s="125">
        <f t="shared" si="174"/>
        <v>1480</v>
      </c>
      <c r="B1520" s="130"/>
      <c r="C1520" s="842" t="s">
        <v>11018</v>
      </c>
      <c r="D1520" s="924">
        <v>0</v>
      </c>
      <c r="E1520" s="924">
        <v>0</v>
      </c>
      <c r="F1520" s="129">
        <v>500</v>
      </c>
      <c r="G1520" s="122" t="s">
        <v>1963</v>
      </c>
    </row>
    <row r="1521" spans="1:7" x14ac:dyDescent="0.25">
      <c r="A1521" s="125">
        <f t="shared" si="174"/>
        <v>1481</v>
      </c>
      <c r="B1521" s="130"/>
      <c r="C1521" s="842" t="s">
        <v>11019</v>
      </c>
      <c r="D1521" s="924">
        <v>0</v>
      </c>
      <c r="E1521" s="924">
        <v>0</v>
      </c>
      <c r="F1521" s="129">
        <v>500</v>
      </c>
      <c r="G1521" s="122" t="s">
        <v>1963</v>
      </c>
    </row>
    <row r="1522" spans="1:7" x14ac:dyDescent="0.25">
      <c r="A1522" s="125">
        <f t="shared" si="174"/>
        <v>1482</v>
      </c>
      <c r="B1522" s="130"/>
      <c r="C1522" s="842" t="s">
        <v>11020</v>
      </c>
      <c r="D1522" s="924">
        <v>0</v>
      </c>
      <c r="E1522" s="924">
        <v>0</v>
      </c>
      <c r="F1522" s="129">
        <v>500</v>
      </c>
      <c r="G1522" s="122" t="s">
        <v>1963</v>
      </c>
    </row>
    <row r="1523" spans="1:7" x14ac:dyDescent="0.25">
      <c r="A1523" s="125">
        <f t="shared" si="174"/>
        <v>1483</v>
      </c>
      <c r="B1523" s="130"/>
      <c r="C1523" s="123" t="s">
        <v>11022</v>
      </c>
      <c r="D1523" s="904"/>
      <c r="E1523" s="904"/>
      <c r="F1523" s="136"/>
    </row>
    <row r="1524" spans="1:7" x14ac:dyDescent="0.25">
      <c r="A1524" s="125">
        <f t="shared" si="174"/>
        <v>1484</v>
      </c>
      <c r="B1524" s="130"/>
      <c r="C1524" s="842" t="s">
        <v>11023</v>
      </c>
      <c r="D1524" s="924">
        <v>18751.64</v>
      </c>
      <c r="E1524" s="924">
        <f>D1524/8*12</f>
        <v>28127.46</v>
      </c>
      <c r="F1524" s="129">
        <f>E1524</f>
        <v>28127.46</v>
      </c>
      <c r="G1524" s="122" t="s">
        <v>1963</v>
      </c>
    </row>
    <row r="1525" spans="1:7" ht="31.5" x14ac:dyDescent="0.25">
      <c r="A1525" s="125">
        <f t="shared" si="174"/>
        <v>1485</v>
      </c>
      <c r="B1525" s="130"/>
      <c r="C1525" s="842" t="s">
        <v>11024</v>
      </c>
      <c r="D1525" s="924">
        <f>1346.8+2844.54</f>
        <v>4191.34</v>
      </c>
      <c r="E1525" s="924">
        <f>D1525/8*12</f>
        <v>6287.01</v>
      </c>
      <c r="F1525" s="129">
        <f>E1525</f>
        <v>6287.01</v>
      </c>
      <c r="G1525" s="122" t="s">
        <v>1963</v>
      </c>
    </row>
    <row r="1526" spans="1:7" x14ac:dyDescent="0.25">
      <c r="A1526" s="125">
        <f t="shared" si="174"/>
        <v>1486</v>
      </c>
      <c r="B1526" s="130"/>
      <c r="C1526" s="232" t="s">
        <v>11025</v>
      </c>
      <c r="D1526" s="915"/>
      <c r="E1526" s="915"/>
      <c r="F1526" s="136"/>
    </row>
    <row r="1527" spans="1:7" x14ac:dyDescent="0.25">
      <c r="A1527" s="125">
        <f t="shared" si="174"/>
        <v>1487</v>
      </c>
      <c r="B1527" s="130"/>
      <c r="C1527" s="842" t="s">
        <v>11027</v>
      </c>
      <c r="D1527" s="924">
        <v>0</v>
      </c>
      <c r="E1527" s="924">
        <v>0</v>
      </c>
      <c r="F1527" s="129">
        <v>500</v>
      </c>
      <c r="G1527" s="122" t="s">
        <v>1963</v>
      </c>
    </row>
    <row r="1528" spans="1:7" x14ac:dyDescent="0.25">
      <c r="A1528" s="125">
        <f t="shared" si="174"/>
        <v>1488</v>
      </c>
      <c r="B1528" s="130"/>
      <c r="C1528" s="842" t="s">
        <v>11028</v>
      </c>
      <c r="D1528" s="924">
        <v>0</v>
      </c>
      <c r="E1528" s="924">
        <v>0</v>
      </c>
      <c r="F1528" s="129">
        <v>500</v>
      </c>
      <c r="G1528" s="122" t="s">
        <v>1963</v>
      </c>
    </row>
    <row r="1529" spans="1:7" x14ac:dyDescent="0.25">
      <c r="A1529" s="125">
        <f t="shared" si="174"/>
        <v>1489</v>
      </c>
      <c r="B1529" s="130"/>
      <c r="C1529" s="842" t="s">
        <v>11029</v>
      </c>
      <c r="D1529" s="924">
        <v>0</v>
      </c>
      <c r="E1529" s="924">
        <v>0</v>
      </c>
      <c r="F1529" s="129">
        <v>500</v>
      </c>
      <c r="G1529" s="122" t="s">
        <v>1963</v>
      </c>
    </row>
    <row r="1530" spans="1:7" x14ac:dyDescent="0.25">
      <c r="A1530" s="125">
        <f t="shared" si="174"/>
        <v>1490</v>
      </c>
      <c r="B1530" s="130"/>
      <c r="C1530" s="842" t="s">
        <v>11030</v>
      </c>
      <c r="D1530" s="924">
        <v>0</v>
      </c>
      <c r="E1530" s="924">
        <v>0</v>
      </c>
      <c r="F1530" s="129">
        <v>500</v>
      </c>
      <c r="G1530" s="122" t="s">
        <v>1963</v>
      </c>
    </row>
    <row r="1531" spans="1:7" x14ac:dyDescent="0.25">
      <c r="A1531" s="125">
        <f t="shared" si="174"/>
        <v>1491</v>
      </c>
      <c r="B1531" s="130"/>
      <c r="C1531" s="842" t="s">
        <v>11031</v>
      </c>
      <c r="D1531" s="924">
        <v>0</v>
      </c>
      <c r="E1531" s="924">
        <v>0</v>
      </c>
      <c r="F1531" s="129">
        <v>500</v>
      </c>
      <c r="G1531" s="122" t="s">
        <v>1963</v>
      </c>
    </row>
    <row r="1532" spans="1:7" x14ac:dyDescent="0.25">
      <c r="A1532" s="125">
        <f t="shared" si="174"/>
        <v>1492</v>
      </c>
      <c r="B1532" s="130"/>
      <c r="C1532" s="842" t="s">
        <v>11032</v>
      </c>
      <c r="D1532" s="924">
        <v>0</v>
      </c>
      <c r="E1532" s="924">
        <v>0</v>
      </c>
      <c r="F1532" s="129">
        <v>500</v>
      </c>
      <c r="G1532" s="122" t="s">
        <v>1963</v>
      </c>
    </row>
    <row r="1533" spans="1:7" x14ac:dyDescent="0.25">
      <c r="A1533" s="125">
        <f t="shared" si="174"/>
        <v>1493</v>
      </c>
      <c r="B1533" s="130"/>
      <c r="C1533" s="842" t="s">
        <v>11033</v>
      </c>
      <c r="D1533" s="924">
        <v>0</v>
      </c>
      <c r="E1533" s="924">
        <v>0</v>
      </c>
      <c r="F1533" s="129">
        <v>500</v>
      </c>
      <c r="G1533" s="122" t="s">
        <v>1963</v>
      </c>
    </row>
    <row r="1534" spans="1:7" x14ac:dyDescent="0.25">
      <c r="A1534" s="125">
        <f t="shared" si="174"/>
        <v>1494</v>
      </c>
      <c r="B1534" s="130"/>
      <c r="C1534" s="842" t="s">
        <v>11034</v>
      </c>
      <c r="D1534" s="924">
        <v>0</v>
      </c>
      <c r="E1534" s="924">
        <v>0</v>
      </c>
      <c r="F1534" s="129">
        <v>500</v>
      </c>
      <c r="G1534" s="122" t="s">
        <v>1963</v>
      </c>
    </row>
    <row r="1535" spans="1:7" x14ac:dyDescent="0.25">
      <c r="A1535" s="125">
        <f t="shared" si="174"/>
        <v>1495</v>
      </c>
      <c r="B1535" s="130"/>
      <c r="C1535" s="842" t="s">
        <v>11035</v>
      </c>
      <c r="D1535" s="924">
        <v>0</v>
      </c>
      <c r="E1535" s="924">
        <v>0</v>
      </c>
      <c r="F1535" s="129">
        <v>500</v>
      </c>
      <c r="G1535" s="122" t="s">
        <v>1963</v>
      </c>
    </row>
    <row r="1536" spans="1:7" x14ac:dyDescent="0.25">
      <c r="A1536" s="125">
        <f t="shared" si="174"/>
        <v>1496</v>
      </c>
      <c r="B1536" s="130"/>
      <c r="C1536" s="842" t="s">
        <v>11036</v>
      </c>
      <c r="D1536" s="924">
        <v>0</v>
      </c>
      <c r="E1536" s="924">
        <v>0</v>
      </c>
      <c r="F1536" s="129">
        <v>500</v>
      </c>
      <c r="G1536" s="122" t="s">
        <v>1963</v>
      </c>
    </row>
    <row r="1537" spans="1:7" x14ac:dyDescent="0.25">
      <c r="A1537" s="125">
        <f t="shared" si="174"/>
        <v>1497</v>
      </c>
      <c r="B1537" s="130"/>
      <c r="C1537" s="842" t="s">
        <v>11037</v>
      </c>
      <c r="D1537" s="924">
        <v>0</v>
      </c>
      <c r="E1537" s="924">
        <v>0</v>
      </c>
      <c r="F1537" s="129">
        <v>500</v>
      </c>
      <c r="G1537" s="122" t="s">
        <v>1963</v>
      </c>
    </row>
    <row r="1538" spans="1:7" x14ac:dyDescent="0.25">
      <c r="A1538" s="125">
        <f t="shared" si="174"/>
        <v>1498</v>
      </c>
      <c r="B1538" s="130"/>
      <c r="C1538" s="842" t="s">
        <v>11038</v>
      </c>
      <c r="D1538" s="924">
        <v>0</v>
      </c>
      <c r="E1538" s="924">
        <v>0</v>
      </c>
      <c r="F1538" s="129">
        <v>500</v>
      </c>
      <c r="G1538" s="122" t="s">
        <v>1963</v>
      </c>
    </row>
    <row r="1539" spans="1:7" x14ac:dyDescent="0.25">
      <c r="A1539" s="125">
        <f t="shared" si="174"/>
        <v>1499</v>
      </c>
      <c r="B1539" s="130"/>
      <c r="C1539" s="232" t="s">
        <v>11026</v>
      </c>
      <c r="D1539" s="915"/>
      <c r="E1539" s="915"/>
      <c r="F1539" s="136"/>
    </row>
    <row r="1540" spans="1:7" x14ac:dyDescent="0.25">
      <c r="A1540" s="125">
        <f t="shared" si="174"/>
        <v>1500</v>
      </c>
      <c r="B1540" s="130"/>
      <c r="C1540" s="842" t="s">
        <v>11039</v>
      </c>
      <c r="D1540" s="924">
        <v>0</v>
      </c>
      <c r="E1540" s="924">
        <v>0</v>
      </c>
      <c r="F1540" s="129">
        <v>1</v>
      </c>
      <c r="G1540" s="122" t="s">
        <v>1963</v>
      </c>
    </row>
    <row r="1541" spans="1:7" x14ac:dyDescent="0.25">
      <c r="A1541" s="125">
        <f t="shared" si="174"/>
        <v>1501</v>
      </c>
      <c r="B1541" s="130"/>
      <c r="C1541" s="842" t="s">
        <v>11560</v>
      </c>
      <c r="D1541" s="924">
        <v>0</v>
      </c>
      <c r="E1541" s="924">
        <f>D1541/8*13.33</f>
        <v>0</v>
      </c>
      <c r="F1541" s="129">
        <v>1</v>
      </c>
      <c r="G1541" s="122" t="s">
        <v>1963</v>
      </c>
    </row>
    <row r="1542" spans="1:7" x14ac:dyDescent="0.25">
      <c r="A1542" s="125">
        <f t="shared" si="174"/>
        <v>1502</v>
      </c>
      <c r="B1542" s="130"/>
      <c r="C1542" s="842" t="s">
        <v>11040</v>
      </c>
      <c r="D1542" s="924">
        <v>0</v>
      </c>
      <c r="E1542" s="924">
        <v>0</v>
      </c>
      <c r="F1542" s="129">
        <v>1</v>
      </c>
      <c r="G1542" s="122" t="s">
        <v>1963</v>
      </c>
    </row>
    <row r="1543" spans="1:7" x14ac:dyDescent="0.25">
      <c r="A1543" s="125">
        <f t="shared" si="174"/>
        <v>1503</v>
      </c>
      <c r="B1543" s="130"/>
      <c r="C1543" s="842" t="s">
        <v>11041</v>
      </c>
      <c r="D1543" s="924">
        <f>2160.75*8</f>
        <v>17286</v>
      </c>
      <c r="E1543" s="924">
        <f>D1543/8*12</f>
        <v>25929</v>
      </c>
      <c r="F1543" s="129">
        <v>2160.75</v>
      </c>
      <c r="G1543" s="122" t="s">
        <v>1963</v>
      </c>
    </row>
    <row r="1544" spans="1:7" x14ac:dyDescent="0.25">
      <c r="A1544" s="125">
        <f t="shared" si="174"/>
        <v>1504</v>
      </c>
      <c r="B1544" s="130"/>
      <c r="C1544" s="842" t="s">
        <v>11042</v>
      </c>
      <c r="D1544" s="924">
        <v>0</v>
      </c>
      <c r="E1544" s="924">
        <v>0</v>
      </c>
      <c r="F1544" s="129">
        <v>121</v>
      </c>
      <c r="G1544" s="122" t="s">
        <v>1963</v>
      </c>
    </row>
    <row r="1545" spans="1:7" x14ac:dyDescent="0.25">
      <c r="A1545" s="125">
        <f t="shared" si="174"/>
        <v>1505</v>
      </c>
      <c r="B1545" s="130"/>
      <c r="C1545" s="842" t="s">
        <v>11043</v>
      </c>
      <c r="D1545" s="924">
        <v>0</v>
      </c>
      <c r="E1545" s="924">
        <v>0</v>
      </c>
      <c r="F1545" s="129">
        <v>500</v>
      </c>
      <c r="G1545" s="122" t="s">
        <v>1963</v>
      </c>
    </row>
    <row r="1546" spans="1:7" x14ac:dyDescent="0.25">
      <c r="A1546" s="125">
        <f t="shared" si="174"/>
        <v>1506</v>
      </c>
      <c r="B1546" s="130"/>
      <c r="C1546" s="842" t="s">
        <v>11044</v>
      </c>
      <c r="D1546" s="924">
        <v>0</v>
      </c>
      <c r="E1546" s="924">
        <v>0</v>
      </c>
      <c r="F1546" s="129">
        <v>500</v>
      </c>
      <c r="G1546" s="122" t="s">
        <v>1963</v>
      </c>
    </row>
    <row r="1547" spans="1:7" x14ac:dyDescent="0.25">
      <c r="A1547" s="125">
        <f t="shared" si="174"/>
        <v>1507</v>
      </c>
      <c r="B1547" s="130"/>
      <c r="C1547" s="842" t="s">
        <v>11045</v>
      </c>
      <c r="D1547" s="924">
        <v>0</v>
      </c>
      <c r="E1547" s="924">
        <v>0</v>
      </c>
      <c r="F1547" s="129">
        <v>500</v>
      </c>
      <c r="G1547" s="122" t="s">
        <v>1963</v>
      </c>
    </row>
    <row r="1548" spans="1:7" x14ac:dyDescent="0.25">
      <c r="A1548" s="125">
        <f t="shared" si="174"/>
        <v>1508</v>
      </c>
      <c r="B1548" s="130"/>
      <c r="C1548" s="842" t="s">
        <v>11046</v>
      </c>
      <c r="D1548" s="924">
        <v>0</v>
      </c>
      <c r="E1548" s="924">
        <v>0</v>
      </c>
      <c r="F1548" s="129">
        <v>500</v>
      </c>
      <c r="G1548" s="122" t="s">
        <v>1963</v>
      </c>
    </row>
    <row r="1549" spans="1:7" x14ac:dyDescent="0.25">
      <c r="A1549" s="125">
        <f t="shared" si="174"/>
        <v>1509</v>
      </c>
      <c r="B1549" s="130"/>
      <c r="C1549" s="842" t="s">
        <v>11047</v>
      </c>
      <c r="D1549" s="924">
        <v>0</v>
      </c>
      <c r="E1549" s="924">
        <v>0</v>
      </c>
      <c r="F1549" s="129">
        <v>500</v>
      </c>
      <c r="G1549" s="122" t="s">
        <v>1963</v>
      </c>
    </row>
    <row r="1550" spans="1:7" x14ac:dyDescent="0.25">
      <c r="A1550" s="125">
        <f t="shared" si="174"/>
        <v>1510</v>
      </c>
      <c r="B1550" s="130"/>
      <c r="C1550" s="842" t="s">
        <v>11048</v>
      </c>
      <c r="D1550" s="924">
        <v>0</v>
      </c>
      <c r="E1550" s="924">
        <v>0</v>
      </c>
      <c r="F1550" s="129">
        <v>500</v>
      </c>
      <c r="G1550" s="122" t="s">
        <v>1963</v>
      </c>
    </row>
    <row r="1551" spans="1:7" x14ac:dyDescent="0.25">
      <c r="A1551" s="125">
        <f t="shared" si="174"/>
        <v>1511</v>
      </c>
      <c r="B1551" s="130"/>
      <c r="C1551" s="842" t="s">
        <v>11049</v>
      </c>
      <c r="D1551" s="924">
        <v>0</v>
      </c>
      <c r="E1551" s="924">
        <v>0</v>
      </c>
      <c r="F1551" s="129">
        <f>F1548*F83</f>
        <v>100</v>
      </c>
      <c r="G1551" s="122" t="s">
        <v>1963</v>
      </c>
    </row>
    <row r="1552" spans="1:7" x14ac:dyDescent="0.25">
      <c r="A1552" s="125">
        <f t="shared" si="174"/>
        <v>1512</v>
      </c>
      <c r="B1552" s="130"/>
      <c r="C1552" s="842" t="s">
        <v>11050</v>
      </c>
      <c r="D1552" s="924">
        <v>0</v>
      </c>
      <c r="E1552" s="924">
        <v>0</v>
      </c>
      <c r="F1552" s="129">
        <v>1</v>
      </c>
      <c r="G1552" s="122" t="s">
        <v>1963</v>
      </c>
    </row>
    <row r="1553" spans="1:7" x14ac:dyDescent="0.25">
      <c r="A1553" s="125">
        <f t="shared" si="174"/>
        <v>1513</v>
      </c>
      <c r="B1553" s="130"/>
      <c r="C1553" s="842" t="s">
        <v>11051</v>
      </c>
      <c r="D1553" s="924">
        <v>0</v>
      </c>
      <c r="E1553" s="924">
        <v>0</v>
      </c>
      <c r="F1553" s="129">
        <v>500</v>
      </c>
      <c r="G1553" s="122" t="s">
        <v>1963</v>
      </c>
    </row>
    <row r="1554" spans="1:7" x14ac:dyDescent="0.25">
      <c r="A1554" s="125">
        <f t="shared" si="174"/>
        <v>1514</v>
      </c>
      <c r="B1554" s="130"/>
      <c r="C1554" s="842" t="s">
        <v>11052</v>
      </c>
      <c r="D1554" s="924">
        <v>0</v>
      </c>
      <c r="E1554" s="924">
        <v>0</v>
      </c>
      <c r="F1554" s="129">
        <v>500</v>
      </c>
      <c r="G1554" s="122" t="s">
        <v>1963</v>
      </c>
    </row>
    <row r="1555" spans="1:7" x14ac:dyDescent="0.25">
      <c r="A1555" s="125">
        <f t="shared" si="174"/>
        <v>1515</v>
      </c>
      <c r="B1555" s="130"/>
      <c r="C1555" s="842" t="s">
        <v>11053</v>
      </c>
      <c r="D1555" s="924">
        <v>0</v>
      </c>
      <c r="E1555" s="924">
        <v>0</v>
      </c>
      <c r="F1555" s="129">
        <v>500</v>
      </c>
      <c r="G1555" s="122" t="s">
        <v>1963</v>
      </c>
    </row>
    <row r="1556" spans="1:7" x14ac:dyDescent="0.25">
      <c r="A1556" s="125">
        <f t="shared" si="174"/>
        <v>1516</v>
      </c>
      <c r="B1556" s="130"/>
      <c r="C1556" s="842" t="s">
        <v>11054</v>
      </c>
      <c r="D1556" s="924">
        <v>0</v>
      </c>
      <c r="E1556" s="924">
        <v>0</v>
      </c>
      <c r="F1556" s="129">
        <v>500</v>
      </c>
      <c r="G1556" s="122" t="s">
        <v>1963</v>
      </c>
    </row>
    <row r="1557" spans="1:7" x14ac:dyDescent="0.25">
      <c r="A1557" s="125">
        <f t="shared" si="174"/>
        <v>1517</v>
      </c>
      <c r="B1557" s="130"/>
      <c r="C1557" s="123" t="s">
        <v>11055</v>
      </c>
      <c r="D1557" s="904"/>
      <c r="E1557" s="904"/>
      <c r="F1557" s="136"/>
    </row>
    <row r="1558" spans="1:7" x14ac:dyDescent="0.25">
      <c r="A1558" s="125">
        <f t="shared" si="174"/>
        <v>1518</v>
      </c>
      <c r="B1558" s="130"/>
      <c r="C1558" s="134" t="s">
        <v>11056</v>
      </c>
      <c r="D1558" s="924">
        <v>0</v>
      </c>
      <c r="E1558" s="924">
        <v>0</v>
      </c>
      <c r="F1558" s="129">
        <v>288</v>
      </c>
      <c r="G1558" s="122" t="s">
        <v>1963</v>
      </c>
    </row>
    <row r="1559" spans="1:7" x14ac:dyDescent="0.25">
      <c r="A1559" s="125">
        <f t="shared" si="174"/>
        <v>1519</v>
      </c>
      <c r="B1559" s="130"/>
      <c r="C1559" s="811" t="s">
        <v>11057</v>
      </c>
      <c r="D1559" s="924">
        <v>69422.33</v>
      </c>
      <c r="E1559" s="924">
        <f>D1559/8*12</f>
        <v>104133.495</v>
      </c>
      <c r="F1559" s="129">
        <f>E1559</f>
        <v>104133.495</v>
      </c>
      <c r="G1559" s="122" t="s">
        <v>1963</v>
      </c>
    </row>
    <row r="1560" spans="1:7" x14ac:dyDescent="0.25">
      <c r="A1560" s="125">
        <f t="shared" si="174"/>
        <v>1520</v>
      </c>
      <c r="B1560" s="130"/>
      <c r="C1560" s="842" t="s">
        <v>11058</v>
      </c>
      <c r="D1560" s="924">
        <v>0</v>
      </c>
      <c r="E1560" s="924">
        <v>0</v>
      </c>
      <c r="F1560" s="129">
        <v>5000</v>
      </c>
      <c r="G1560" s="122" t="s">
        <v>1963</v>
      </c>
    </row>
    <row r="1561" spans="1:7" x14ac:dyDescent="0.25">
      <c r="A1561" s="125">
        <f t="shared" si="174"/>
        <v>1521</v>
      </c>
      <c r="B1561" s="804"/>
      <c r="C1561" s="842" t="s">
        <v>11059</v>
      </c>
      <c r="D1561" s="924">
        <v>0</v>
      </c>
      <c r="E1561" s="924">
        <v>0</v>
      </c>
      <c r="F1561" s="129">
        <v>5000</v>
      </c>
      <c r="G1561" s="122" t="s">
        <v>1963</v>
      </c>
    </row>
    <row r="1562" spans="1:7" x14ac:dyDescent="0.25">
      <c r="A1562" s="125">
        <f t="shared" si="174"/>
        <v>1522</v>
      </c>
      <c r="B1562" s="804"/>
      <c r="C1562" s="842" t="s">
        <v>11060</v>
      </c>
      <c r="D1562" s="924">
        <v>20690.16</v>
      </c>
      <c r="E1562" s="924">
        <f>D1562/8*12</f>
        <v>31035.239999999998</v>
      </c>
      <c r="F1562" s="129">
        <f>E1562</f>
        <v>31035.239999999998</v>
      </c>
      <c r="G1562" s="122" t="s">
        <v>1963</v>
      </c>
    </row>
    <row r="1563" spans="1:7" x14ac:dyDescent="0.25">
      <c r="A1563" s="125">
        <f t="shared" si="174"/>
        <v>1523</v>
      </c>
      <c r="B1563" s="130"/>
      <c r="C1563" s="811" t="s">
        <v>11061</v>
      </c>
      <c r="D1563" s="924">
        <v>385.4</v>
      </c>
      <c r="E1563" s="924">
        <f>D1563/8*12</f>
        <v>578.09999999999991</v>
      </c>
      <c r="F1563" s="129">
        <f>F1561*F83</f>
        <v>1000</v>
      </c>
      <c r="G1563" s="122" t="s">
        <v>1963</v>
      </c>
    </row>
    <row r="1564" spans="1:7" x14ac:dyDescent="0.25">
      <c r="A1564" s="125">
        <f t="shared" si="174"/>
        <v>1524</v>
      </c>
      <c r="B1564" s="130"/>
      <c r="C1564" s="842" t="s">
        <v>11062</v>
      </c>
      <c r="D1564" s="924">
        <v>0</v>
      </c>
      <c r="E1564" s="924">
        <v>0</v>
      </c>
      <c r="F1564" s="129">
        <v>1000</v>
      </c>
      <c r="G1564" s="122" t="s">
        <v>1963</v>
      </c>
    </row>
    <row r="1565" spans="1:7" ht="31.5" x14ac:dyDescent="0.25">
      <c r="A1565" s="125">
        <f t="shared" si="174"/>
        <v>1525</v>
      </c>
      <c r="B1565" s="130"/>
      <c r="C1565" s="842" t="s">
        <v>11063</v>
      </c>
      <c r="D1565" s="924">
        <v>224</v>
      </c>
      <c r="E1565" s="924">
        <f>D1565/8*12</f>
        <v>336</v>
      </c>
      <c r="F1565" s="129">
        <v>500</v>
      </c>
      <c r="G1565" s="122" t="s">
        <v>1963</v>
      </c>
    </row>
    <row r="1566" spans="1:7" x14ac:dyDescent="0.25">
      <c r="A1566" s="125">
        <f t="shared" ref="A1566:A1629" si="175">A1565+1</f>
        <v>1526</v>
      </c>
      <c r="B1566" s="130"/>
      <c r="C1566" s="842" t="s">
        <v>11064</v>
      </c>
      <c r="D1566" s="924">
        <v>0</v>
      </c>
      <c r="E1566" s="924">
        <v>0</v>
      </c>
      <c r="F1566" s="129">
        <v>500</v>
      </c>
      <c r="G1566" s="122" t="s">
        <v>1963</v>
      </c>
    </row>
    <row r="1567" spans="1:7" x14ac:dyDescent="0.25">
      <c r="A1567" s="125">
        <f t="shared" si="175"/>
        <v>1527</v>
      </c>
      <c r="B1567" s="130"/>
      <c r="C1567" s="842" t="s">
        <v>11065</v>
      </c>
      <c r="D1567" s="924">
        <v>0</v>
      </c>
      <c r="E1567" s="924">
        <v>0</v>
      </c>
      <c r="F1567" s="129">
        <v>500</v>
      </c>
      <c r="G1567" s="122" t="s">
        <v>1963</v>
      </c>
    </row>
    <row r="1568" spans="1:7" x14ac:dyDescent="0.25">
      <c r="A1568" s="125">
        <f t="shared" si="175"/>
        <v>1528</v>
      </c>
      <c r="B1568" s="130"/>
      <c r="C1568" s="232" t="s">
        <v>11066</v>
      </c>
      <c r="D1568" s="915"/>
      <c r="E1568" s="915"/>
      <c r="F1568" s="136"/>
    </row>
    <row r="1569" spans="1:7" x14ac:dyDescent="0.25">
      <c r="A1569" s="125">
        <f t="shared" si="175"/>
        <v>1529</v>
      </c>
      <c r="B1569" s="130"/>
      <c r="C1569" s="842" t="s">
        <v>11069</v>
      </c>
      <c r="D1569" s="924">
        <v>0</v>
      </c>
      <c r="E1569" s="924">
        <v>0</v>
      </c>
      <c r="F1569" s="129">
        <v>1000</v>
      </c>
      <c r="G1569" s="122" t="s">
        <v>1963</v>
      </c>
    </row>
    <row r="1570" spans="1:7" x14ac:dyDescent="0.25">
      <c r="A1570" s="125">
        <f t="shared" si="175"/>
        <v>1530</v>
      </c>
      <c r="B1570" s="130"/>
      <c r="C1570" s="842" t="s">
        <v>11070</v>
      </c>
      <c r="D1570" s="924">
        <v>0</v>
      </c>
      <c r="E1570" s="924">
        <v>0</v>
      </c>
      <c r="F1570" s="129">
        <f>1000+6978.09</f>
        <v>7978.09</v>
      </c>
      <c r="G1570" s="122" t="s">
        <v>1963</v>
      </c>
    </row>
    <row r="1571" spans="1:7" x14ac:dyDescent="0.25">
      <c r="A1571" s="125">
        <f t="shared" si="175"/>
        <v>1531</v>
      </c>
      <c r="B1571" s="130"/>
      <c r="C1571" s="232" t="s">
        <v>11067</v>
      </c>
      <c r="D1571" s="915"/>
      <c r="E1571" s="915"/>
      <c r="F1571" s="136"/>
    </row>
    <row r="1572" spans="1:7" x14ac:dyDescent="0.25">
      <c r="A1572" s="125">
        <f t="shared" si="175"/>
        <v>1532</v>
      </c>
      <c r="B1572" s="130"/>
      <c r="C1572" s="842" t="s">
        <v>11082</v>
      </c>
      <c r="D1572" s="924">
        <v>0</v>
      </c>
      <c r="E1572" s="924">
        <v>0</v>
      </c>
      <c r="F1572" s="129">
        <v>1000</v>
      </c>
      <c r="G1572" s="122" t="s">
        <v>1963</v>
      </c>
    </row>
    <row r="1573" spans="1:7" x14ac:dyDescent="0.25">
      <c r="A1573" s="125">
        <f t="shared" si="175"/>
        <v>1533</v>
      </c>
      <c r="B1573" s="130"/>
      <c r="C1573" s="842" t="s">
        <v>11083</v>
      </c>
      <c r="D1573" s="924">
        <v>0</v>
      </c>
      <c r="E1573" s="924">
        <v>0</v>
      </c>
      <c r="F1573" s="129">
        <v>1000</v>
      </c>
      <c r="G1573" s="122" t="s">
        <v>1963</v>
      </c>
    </row>
    <row r="1574" spans="1:7" x14ac:dyDescent="0.25">
      <c r="A1574" s="125">
        <f t="shared" si="175"/>
        <v>1534</v>
      </c>
      <c r="B1574" s="130"/>
      <c r="C1574" s="232" t="s">
        <v>11068</v>
      </c>
      <c r="D1574" s="915"/>
      <c r="E1574" s="915"/>
      <c r="F1574" s="136"/>
    </row>
    <row r="1575" spans="1:7" x14ac:dyDescent="0.25">
      <c r="A1575" s="125">
        <f t="shared" si="175"/>
        <v>1535</v>
      </c>
      <c r="B1575" s="130"/>
      <c r="C1575" s="842" t="s">
        <v>11071</v>
      </c>
      <c r="D1575" s="924">
        <v>0</v>
      </c>
      <c r="E1575" s="924">
        <v>0</v>
      </c>
      <c r="F1575" s="129">
        <v>500</v>
      </c>
      <c r="G1575" s="122" t="s">
        <v>1963</v>
      </c>
    </row>
    <row r="1576" spans="1:7" x14ac:dyDescent="0.25">
      <c r="A1576" s="125">
        <f t="shared" si="175"/>
        <v>1536</v>
      </c>
      <c r="B1576" s="130"/>
      <c r="C1576" s="842" t="s">
        <v>11072</v>
      </c>
      <c r="D1576" s="924">
        <v>0</v>
      </c>
      <c r="E1576" s="924">
        <v>0</v>
      </c>
      <c r="F1576" s="129">
        <v>500</v>
      </c>
      <c r="G1576" s="122" t="s">
        <v>1963</v>
      </c>
    </row>
    <row r="1577" spans="1:7" ht="31.5" x14ac:dyDescent="0.25">
      <c r="A1577" s="125">
        <f t="shared" si="175"/>
        <v>1537</v>
      </c>
      <c r="B1577" s="130"/>
      <c r="C1577" s="842" t="s">
        <v>11073</v>
      </c>
      <c r="D1577" s="924">
        <v>0</v>
      </c>
      <c r="E1577" s="924">
        <v>0</v>
      </c>
      <c r="F1577" s="129">
        <v>500</v>
      </c>
      <c r="G1577" s="122" t="s">
        <v>1963</v>
      </c>
    </row>
    <row r="1578" spans="1:7" x14ac:dyDescent="0.25">
      <c r="A1578" s="125">
        <f t="shared" si="175"/>
        <v>1538</v>
      </c>
      <c r="B1578" s="130"/>
      <c r="C1578" s="842" t="s">
        <v>11074</v>
      </c>
      <c r="D1578" s="924">
        <v>0</v>
      </c>
      <c r="E1578" s="924">
        <v>0</v>
      </c>
      <c r="F1578" s="129">
        <v>500</v>
      </c>
      <c r="G1578" s="122" t="s">
        <v>1963</v>
      </c>
    </row>
    <row r="1579" spans="1:7" x14ac:dyDescent="0.25">
      <c r="A1579" s="125">
        <f t="shared" si="175"/>
        <v>1539</v>
      </c>
      <c r="B1579" s="130"/>
      <c r="C1579" s="842" t="s">
        <v>11075</v>
      </c>
      <c r="D1579" s="924">
        <v>0</v>
      </c>
      <c r="E1579" s="924">
        <v>0</v>
      </c>
      <c r="F1579" s="129">
        <v>500</v>
      </c>
      <c r="G1579" s="122" t="s">
        <v>1963</v>
      </c>
    </row>
    <row r="1580" spans="1:7" x14ac:dyDescent="0.25">
      <c r="A1580" s="125">
        <f t="shared" si="175"/>
        <v>1540</v>
      </c>
      <c r="B1580" s="130"/>
      <c r="C1580" s="842" t="s">
        <v>11076</v>
      </c>
      <c r="D1580" s="924">
        <v>0</v>
      </c>
      <c r="E1580" s="924">
        <v>0</v>
      </c>
      <c r="F1580" s="129">
        <v>500</v>
      </c>
      <c r="G1580" s="122" t="s">
        <v>1963</v>
      </c>
    </row>
    <row r="1581" spans="1:7" ht="31.5" x14ac:dyDescent="0.25">
      <c r="A1581" s="125">
        <f t="shared" si="175"/>
        <v>1541</v>
      </c>
      <c r="B1581" s="130"/>
      <c r="C1581" s="842" t="s">
        <v>11077</v>
      </c>
      <c r="D1581" s="924">
        <f>5000*8</f>
        <v>40000</v>
      </c>
      <c r="E1581" s="924">
        <f>D1581/8*12</f>
        <v>60000</v>
      </c>
      <c r="F1581" s="129">
        <f>5000*12</f>
        <v>60000</v>
      </c>
      <c r="G1581" s="122" t="s">
        <v>1963</v>
      </c>
    </row>
    <row r="1582" spans="1:7" ht="31.5" x14ac:dyDescent="0.25">
      <c r="A1582" s="125">
        <f t="shared" si="175"/>
        <v>1542</v>
      </c>
      <c r="B1582" s="130"/>
      <c r="C1582" s="842" t="s">
        <v>11078</v>
      </c>
      <c r="D1582" s="924">
        <v>11813.03</v>
      </c>
      <c r="E1582" s="924">
        <f>D1582/8*12</f>
        <v>17719.545000000002</v>
      </c>
      <c r="F1582" s="129">
        <f>E1582</f>
        <v>17719.545000000002</v>
      </c>
      <c r="G1582" s="122" t="s">
        <v>1963</v>
      </c>
    </row>
    <row r="1583" spans="1:7" ht="31.5" x14ac:dyDescent="0.25">
      <c r="A1583" s="125">
        <f t="shared" si="175"/>
        <v>1543</v>
      </c>
      <c r="B1583" s="130"/>
      <c r="C1583" s="842" t="s">
        <v>11079</v>
      </c>
      <c r="D1583" s="924">
        <v>0</v>
      </c>
      <c r="E1583" s="924">
        <v>0</v>
      </c>
      <c r="F1583" s="129">
        <f>F1579*F83</f>
        <v>100</v>
      </c>
      <c r="G1583" s="122" t="s">
        <v>1963</v>
      </c>
    </row>
    <row r="1584" spans="1:7" x14ac:dyDescent="0.25">
      <c r="A1584" s="125">
        <f t="shared" si="175"/>
        <v>1544</v>
      </c>
      <c r="B1584" s="130"/>
      <c r="C1584" s="842" t="s">
        <v>11080</v>
      </c>
      <c r="D1584" s="924">
        <v>0</v>
      </c>
      <c r="E1584" s="924">
        <v>0</v>
      </c>
      <c r="F1584" s="129">
        <v>500</v>
      </c>
      <c r="G1584" s="122" t="s">
        <v>1963</v>
      </c>
    </row>
    <row r="1585" spans="1:7" ht="31.5" x14ac:dyDescent="0.25">
      <c r="A1585" s="125">
        <f t="shared" si="175"/>
        <v>1545</v>
      </c>
      <c r="B1585" s="130"/>
      <c r="C1585" s="842" t="s">
        <v>11081</v>
      </c>
      <c r="D1585" s="924">
        <v>0</v>
      </c>
      <c r="E1585" s="924">
        <v>0</v>
      </c>
      <c r="F1585" s="129">
        <v>500</v>
      </c>
      <c r="G1585" s="122" t="s">
        <v>1963</v>
      </c>
    </row>
    <row r="1586" spans="1:7" x14ac:dyDescent="0.25">
      <c r="A1586" s="125">
        <f t="shared" si="175"/>
        <v>1546</v>
      </c>
      <c r="B1586" s="130"/>
      <c r="C1586" s="232" t="s">
        <v>11084</v>
      </c>
      <c r="D1586" s="915"/>
      <c r="E1586" s="915"/>
      <c r="F1586" s="136"/>
    </row>
    <row r="1587" spans="1:7" x14ac:dyDescent="0.25">
      <c r="A1587" s="125">
        <f t="shared" si="175"/>
        <v>1547</v>
      </c>
      <c r="B1587" s="130"/>
      <c r="C1587" s="842" t="s">
        <v>11085</v>
      </c>
      <c r="D1587" s="924">
        <v>0</v>
      </c>
      <c r="E1587" s="924">
        <v>0</v>
      </c>
      <c r="F1587" s="129">
        <v>1</v>
      </c>
      <c r="G1587" s="122" t="s">
        <v>1963</v>
      </c>
    </row>
    <row r="1588" spans="1:7" ht="31.5" x14ac:dyDescent="0.25">
      <c r="A1588" s="125">
        <f t="shared" si="175"/>
        <v>1548</v>
      </c>
      <c r="B1588" s="130"/>
      <c r="C1588" s="842" t="s">
        <v>11086</v>
      </c>
      <c r="D1588" s="924">
        <v>0</v>
      </c>
      <c r="E1588" s="924">
        <v>0</v>
      </c>
      <c r="F1588" s="129">
        <v>1</v>
      </c>
      <c r="G1588" s="122" t="s">
        <v>1963</v>
      </c>
    </row>
    <row r="1589" spans="1:7" x14ac:dyDescent="0.25">
      <c r="A1589" s="125">
        <f t="shared" si="175"/>
        <v>1549</v>
      </c>
      <c r="B1589" s="130"/>
      <c r="C1589" s="842" t="s">
        <v>11532</v>
      </c>
      <c r="D1589" s="924">
        <v>0</v>
      </c>
      <c r="E1589" s="924">
        <v>0</v>
      </c>
      <c r="F1589" s="129"/>
      <c r="G1589" s="122" t="s">
        <v>1963</v>
      </c>
    </row>
    <row r="1590" spans="1:7" x14ac:dyDescent="0.25">
      <c r="A1590" s="125">
        <f t="shared" si="175"/>
        <v>1550</v>
      </c>
      <c r="B1590" s="130"/>
      <c r="C1590" s="842" t="s">
        <v>11087</v>
      </c>
      <c r="D1590" s="924">
        <v>0</v>
      </c>
      <c r="E1590" s="924">
        <v>0</v>
      </c>
      <c r="F1590" s="129">
        <v>1</v>
      </c>
      <c r="G1590" s="122" t="s">
        <v>1963</v>
      </c>
    </row>
    <row r="1591" spans="1:7" x14ac:dyDescent="0.25">
      <c r="A1591" s="125">
        <f t="shared" si="175"/>
        <v>1551</v>
      </c>
      <c r="B1591" s="130"/>
      <c r="C1591" s="842" t="s">
        <v>11088</v>
      </c>
      <c r="D1591" s="924">
        <v>0</v>
      </c>
      <c r="E1591" s="924">
        <v>0</v>
      </c>
      <c r="F1591" s="129">
        <v>200</v>
      </c>
      <c r="G1591" s="122" t="s">
        <v>1963</v>
      </c>
    </row>
    <row r="1592" spans="1:7" x14ac:dyDescent="0.25">
      <c r="A1592" s="125">
        <f t="shared" si="175"/>
        <v>1552</v>
      </c>
      <c r="B1592" s="130"/>
      <c r="C1592" s="842" t="s">
        <v>11089</v>
      </c>
      <c r="D1592" s="924">
        <v>0</v>
      </c>
      <c r="E1592" s="924">
        <v>0</v>
      </c>
      <c r="F1592" s="129">
        <v>500</v>
      </c>
      <c r="G1592" s="122" t="s">
        <v>1963</v>
      </c>
    </row>
    <row r="1593" spans="1:7" x14ac:dyDescent="0.25">
      <c r="A1593" s="125">
        <f t="shared" si="175"/>
        <v>1553</v>
      </c>
      <c r="B1593" s="804"/>
      <c r="C1593" s="842" t="s">
        <v>11090</v>
      </c>
      <c r="D1593" s="924">
        <v>0</v>
      </c>
      <c r="E1593" s="924">
        <v>0</v>
      </c>
      <c r="F1593" s="129">
        <v>500</v>
      </c>
      <c r="G1593" s="122" t="s">
        <v>1963</v>
      </c>
    </row>
    <row r="1594" spans="1:7" x14ac:dyDescent="0.25">
      <c r="A1594" s="125">
        <f t="shared" si="175"/>
        <v>1554</v>
      </c>
      <c r="B1594" s="885"/>
      <c r="C1594" s="842" t="s">
        <v>11091</v>
      </c>
      <c r="D1594" s="924">
        <v>0</v>
      </c>
      <c r="E1594" s="924">
        <v>0</v>
      </c>
      <c r="F1594" s="129">
        <v>500</v>
      </c>
      <c r="G1594" s="122" t="s">
        <v>1963</v>
      </c>
    </row>
    <row r="1595" spans="1:7" x14ac:dyDescent="0.25">
      <c r="A1595" s="125">
        <f t="shared" si="175"/>
        <v>1555</v>
      </c>
      <c r="B1595" s="885"/>
      <c r="C1595" s="842" t="s">
        <v>11092</v>
      </c>
      <c r="D1595" s="924">
        <v>0</v>
      </c>
      <c r="E1595" s="924">
        <v>0</v>
      </c>
      <c r="F1595" s="129">
        <v>500</v>
      </c>
      <c r="G1595" s="122" t="s">
        <v>1963</v>
      </c>
    </row>
    <row r="1596" spans="1:7" x14ac:dyDescent="0.25">
      <c r="A1596" s="125">
        <f t="shared" si="175"/>
        <v>1556</v>
      </c>
      <c r="B1596" s="885"/>
      <c r="C1596" s="842" t="s">
        <v>11093</v>
      </c>
      <c r="D1596" s="924">
        <v>0</v>
      </c>
      <c r="E1596" s="924">
        <v>0</v>
      </c>
      <c r="F1596" s="129">
        <v>500</v>
      </c>
      <c r="G1596" s="122" t="s">
        <v>1963</v>
      </c>
    </row>
    <row r="1597" spans="1:7" x14ac:dyDescent="0.25">
      <c r="A1597" s="125">
        <f t="shared" si="175"/>
        <v>1557</v>
      </c>
      <c r="B1597" s="885"/>
      <c r="C1597" s="842" t="s">
        <v>11094</v>
      </c>
      <c r="D1597" s="924">
        <v>0</v>
      </c>
      <c r="E1597" s="924">
        <v>0</v>
      </c>
      <c r="F1597" s="129">
        <v>100</v>
      </c>
      <c r="G1597" s="122" t="s">
        <v>1963</v>
      </c>
    </row>
    <row r="1598" spans="1:7" x14ac:dyDescent="0.25">
      <c r="A1598" s="125">
        <f t="shared" si="175"/>
        <v>1558</v>
      </c>
      <c r="B1598" s="885"/>
      <c r="C1598" s="842" t="s">
        <v>11095</v>
      </c>
      <c r="D1598" s="924">
        <v>0</v>
      </c>
      <c r="E1598" s="924">
        <v>0</v>
      </c>
      <c r="F1598" s="129">
        <f>F1596*F83</f>
        <v>100</v>
      </c>
      <c r="G1598" s="122" t="s">
        <v>1963</v>
      </c>
    </row>
    <row r="1599" spans="1:7" x14ac:dyDescent="0.25">
      <c r="A1599" s="125">
        <f t="shared" si="175"/>
        <v>1559</v>
      </c>
      <c r="B1599" s="130"/>
      <c r="C1599" s="842" t="s">
        <v>11096</v>
      </c>
      <c r="D1599" s="924">
        <v>0</v>
      </c>
      <c r="E1599" s="924">
        <v>0</v>
      </c>
      <c r="F1599" s="129">
        <v>1</v>
      </c>
      <c r="G1599" s="122" t="s">
        <v>1963</v>
      </c>
    </row>
    <row r="1600" spans="1:7" x14ac:dyDescent="0.25">
      <c r="A1600" s="125">
        <f t="shared" si="175"/>
        <v>1560</v>
      </c>
      <c r="B1600" s="130"/>
      <c r="C1600" s="842" t="s">
        <v>11097</v>
      </c>
      <c r="D1600" s="924">
        <v>0</v>
      </c>
      <c r="E1600" s="924">
        <v>0</v>
      </c>
      <c r="F1600" s="129">
        <v>500</v>
      </c>
      <c r="G1600" s="122" t="s">
        <v>1963</v>
      </c>
    </row>
    <row r="1601" spans="1:7" x14ac:dyDescent="0.25">
      <c r="A1601" s="125">
        <f t="shared" si="175"/>
        <v>1561</v>
      </c>
      <c r="B1601" s="130"/>
      <c r="C1601" s="842" t="s">
        <v>11098</v>
      </c>
      <c r="D1601" s="924">
        <v>0</v>
      </c>
      <c r="E1601" s="924">
        <v>0</v>
      </c>
      <c r="F1601" s="129">
        <v>500</v>
      </c>
      <c r="G1601" s="122" t="s">
        <v>1963</v>
      </c>
    </row>
    <row r="1602" spans="1:7" x14ac:dyDescent="0.25">
      <c r="A1602" s="125">
        <f t="shared" si="175"/>
        <v>1562</v>
      </c>
      <c r="B1602" s="130"/>
      <c r="C1602" s="842" t="s">
        <v>11099</v>
      </c>
      <c r="D1602" s="924">
        <v>0</v>
      </c>
      <c r="E1602" s="924">
        <v>0</v>
      </c>
      <c r="F1602" s="129">
        <v>500</v>
      </c>
      <c r="G1602" s="122" t="s">
        <v>1963</v>
      </c>
    </row>
    <row r="1603" spans="1:7" x14ac:dyDescent="0.25">
      <c r="A1603" s="125">
        <f t="shared" si="175"/>
        <v>1563</v>
      </c>
      <c r="B1603" s="130"/>
      <c r="C1603" s="842" t="s">
        <v>11100</v>
      </c>
      <c r="D1603" s="924">
        <v>0</v>
      </c>
      <c r="E1603" s="924">
        <v>0</v>
      </c>
      <c r="F1603" s="129">
        <v>500</v>
      </c>
      <c r="G1603" s="122" t="s">
        <v>1963</v>
      </c>
    </row>
    <row r="1604" spans="1:7" x14ac:dyDescent="0.25">
      <c r="A1604" s="125">
        <f t="shared" si="175"/>
        <v>1564</v>
      </c>
      <c r="B1604" s="130"/>
      <c r="C1604" s="123" t="s">
        <v>4143</v>
      </c>
      <c r="D1604" s="904"/>
      <c r="E1604" s="904"/>
      <c r="F1604" s="136"/>
    </row>
    <row r="1605" spans="1:7" x14ac:dyDescent="0.25">
      <c r="A1605" s="125">
        <f t="shared" si="175"/>
        <v>1565</v>
      </c>
      <c r="B1605" s="130"/>
      <c r="C1605" s="842" t="s">
        <v>11101</v>
      </c>
      <c r="D1605" s="924">
        <v>0</v>
      </c>
      <c r="E1605" s="924">
        <v>0</v>
      </c>
      <c r="F1605" s="136">
        <v>1</v>
      </c>
      <c r="G1605" s="122" t="s">
        <v>1963</v>
      </c>
    </row>
    <row r="1606" spans="1:7" x14ac:dyDescent="0.25">
      <c r="A1606" s="125">
        <f t="shared" si="175"/>
        <v>1566</v>
      </c>
      <c r="B1606" s="130"/>
      <c r="C1606" s="842" t="s">
        <v>11102</v>
      </c>
      <c r="D1606" s="924">
        <v>0</v>
      </c>
      <c r="E1606" s="924">
        <v>0</v>
      </c>
      <c r="F1606" s="136">
        <v>1</v>
      </c>
      <c r="G1606" s="122" t="s">
        <v>1963</v>
      </c>
    </row>
    <row r="1607" spans="1:7" x14ac:dyDescent="0.25">
      <c r="A1607" s="125">
        <f t="shared" si="175"/>
        <v>1567</v>
      </c>
      <c r="B1607" s="130"/>
      <c r="C1607" s="842" t="s">
        <v>11532</v>
      </c>
      <c r="D1607" s="924">
        <v>0</v>
      </c>
      <c r="E1607" s="924">
        <v>0</v>
      </c>
      <c r="F1607" s="136"/>
      <c r="G1607" s="122" t="s">
        <v>1963</v>
      </c>
    </row>
    <row r="1608" spans="1:7" x14ac:dyDescent="0.25">
      <c r="A1608" s="125">
        <f t="shared" si="175"/>
        <v>1568</v>
      </c>
      <c r="B1608" s="130"/>
      <c r="C1608" s="842" t="s">
        <v>11103</v>
      </c>
      <c r="D1608" s="924">
        <v>0</v>
      </c>
      <c r="E1608" s="924">
        <v>0</v>
      </c>
      <c r="F1608" s="136">
        <v>1</v>
      </c>
      <c r="G1608" s="122" t="s">
        <v>1963</v>
      </c>
    </row>
    <row r="1609" spans="1:7" x14ac:dyDescent="0.25">
      <c r="A1609" s="125">
        <f t="shared" si="175"/>
        <v>1569</v>
      </c>
      <c r="B1609" s="130"/>
      <c r="C1609" s="842" t="s">
        <v>11104</v>
      </c>
      <c r="D1609" s="924">
        <v>0</v>
      </c>
      <c r="E1609" s="924">
        <v>0</v>
      </c>
      <c r="F1609" s="136">
        <f>167+72</f>
        <v>239</v>
      </c>
      <c r="G1609" s="122" t="s">
        <v>1963</v>
      </c>
    </row>
    <row r="1610" spans="1:7" x14ac:dyDescent="0.25">
      <c r="A1610" s="125">
        <f t="shared" si="175"/>
        <v>1570</v>
      </c>
      <c r="B1610" s="130"/>
      <c r="C1610" s="842" t="s">
        <v>11105</v>
      </c>
      <c r="D1610" s="924">
        <v>1782.23</v>
      </c>
      <c r="E1610" s="924">
        <f>D1610/8*12</f>
        <v>2673.3450000000003</v>
      </c>
      <c r="F1610" s="136">
        <f>E1610</f>
        <v>2673.3450000000003</v>
      </c>
      <c r="G1610" s="122" t="s">
        <v>1963</v>
      </c>
    </row>
    <row r="1611" spans="1:7" x14ac:dyDescent="0.25">
      <c r="A1611" s="125">
        <f t="shared" si="175"/>
        <v>1571</v>
      </c>
      <c r="B1611" s="130"/>
      <c r="C1611" s="842" t="s">
        <v>11106</v>
      </c>
      <c r="D1611" s="924">
        <v>0</v>
      </c>
      <c r="E1611" s="924">
        <v>0</v>
      </c>
      <c r="F1611" s="136">
        <v>500</v>
      </c>
      <c r="G1611" s="122" t="s">
        <v>1963</v>
      </c>
    </row>
    <row r="1612" spans="1:7" x14ac:dyDescent="0.25">
      <c r="A1612" s="125">
        <f t="shared" si="175"/>
        <v>1572</v>
      </c>
      <c r="B1612" s="130"/>
      <c r="C1612" s="842" t="s">
        <v>11107</v>
      </c>
      <c r="D1612" s="924">
        <v>0</v>
      </c>
      <c r="E1612" s="924">
        <v>0</v>
      </c>
      <c r="F1612" s="136">
        <v>500</v>
      </c>
      <c r="G1612" s="122" t="s">
        <v>1963</v>
      </c>
    </row>
    <row r="1613" spans="1:7" x14ac:dyDescent="0.25">
      <c r="A1613" s="125">
        <f t="shared" si="175"/>
        <v>1573</v>
      </c>
      <c r="B1613" s="130"/>
      <c r="C1613" s="842" t="s">
        <v>11108</v>
      </c>
      <c r="D1613" s="924">
        <v>0</v>
      </c>
      <c r="E1613" s="924">
        <v>0</v>
      </c>
      <c r="F1613" s="136">
        <v>500</v>
      </c>
      <c r="G1613" s="122" t="s">
        <v>1963</v>
      </c>
    </row>
    <row r="1614" spans="1:7" x14ac:dyDescent="0.25">
      <c r="A1614" s="125">
        <f t="shared" si="175"/>
        <v>1574</v>
      </c>
      <c r="B1614" s="130"/>
      <c r="C1614" s="842" t="s">
        <v>11109</v>
      </c>
      <c r="D1614" s="924">
        <v>0</v>
      </c>
      <c r="E1614" s="924">
        <v>0</v>
      </c>
      <c r="F1614" s="136">
        <v>500</v>
      </c>
      <c r="G1614" s="122" t="s">
        <v>1963</v>
      </c>
    </row>
    <row r="1615" spans="1:7" x14ac:dyDescent="0.25">
      <c r="A1615" s="125">
        <f t="shared" si="175"/>
        <v>1575</v>
      </c>
      <c r="B1615" s="130"/>
      <c r="C1615" s="842" t="s">
        <v>11110</v>
      </c>
      <c r="D1615" s="924">
        <v>316.14</v>
      </c>
      <c r="E1615" s="924">
        <f>D1615/8*12</f>
        <v>474.21</v>
      </c>
      <c r="F1615" s="136">
        <v>500</v>
      </c>
      <c r="G1615" s="122" t="s">
        <v>1963</v>
      </c>
    </row>
    <row r="1616" spans="1:7" x14ac:dyDescent="0.25">
      <c r="A1616" s="125">
        <f t="shared" si="175"/>
        <v>1576</v>
      </c>
      <c r="B1616" s="130"/>
      <c r="C1616" s="842" t="s">
        <v>11111</v>
      </c>
      <c r="D1616" s="924">
        <v>0</v>
      </c>
      <c r="E1616" s="924">
        <v>0</v>
      </c>
      <c r="F1616" s="136">
        <f>F1614*F83</f>
        <v>100</v>
      </c>
      <c r="G1616" s="122" t="s">
        <v>1963</v>
      </c>
    </row>
    <row r="1617" spans="1:7" x14ac:dyDescent="0.25">
      <c r="A1617" s="125">
        <f t="shared" si="175"/>
        <v>1577</v>
      </c>
      <c r="B1617" s="130"/>
      <c r="C1617" s="842" t="s">
        <v>11112</v>
      </c>
      <c r="D1617" s="924">
        <v>0</v>
      </c>
      <c r="E1617" s="924">
        <v>0</v>
      </c>
      <c r="F1617" s="136">
        <v>38.590000000000003</v>
      </c>
      <c r="G1617" s="122" t="s">
        <v>1963</v>
      </c>
    </row>
    <row r="1618" spans="1:7" x14ac:dyDescent="0.25">
      <c r="A1618" s="125">
        <f t="shared" si="175"/>
        <v>1578</v>
      </c>
      <c r="B1618" s="130"/>
      <c r="C1618" s="842" t="s">
        <v>11113</v>
      </c>
      <c r="D1618" s="924">
        <v>0</v>
      </c>
      <c r="E1618" s="924">
        <v>0</v>
      </c>
      <c r="F1618" s="136">
        <v>500</v>
      </c>
      <c r="G1618" s="122" t="s">
        <v>1963</v>
      </c>
    </row>
    <row r="1619" spans="1:7" x14ac:dyDescent="0.25">
      <c r="A1619" s="125">
        <f t="shared" si="175"/>
        <v>1579</v>
      </c>
      <c r="B1619" s="130"/>
      <c r="C1619" s="842" t="s">
        <v>11114</v>
      </c>
      <c r="D1619" s="924">
        <v>0</v>
      </c>
      <c r="E1619" s="924">
        <v>0</v>
      </c>
      <c r="F1619" s="136">
        <v>500</v>
      </c>
      <c r="G1619" s="122" t="s">
        <v>1963</v>
      </c>
    </row>
    <row r="1620" spans="1:7" x14ac:dyDescent="0.25">
      <c r="A1620" s="125">
        <f t="shared" si="175"/>
        <v>1580</v>
      </c>
      <c r="B1620" s="130"/>
      <c r="C1620" s="842" t="s">
        <v>11115</v>
      </c>
      <c r="D1620" s="924">
        <v>0</v>
      </c>
      <c r="E1620" s="924">
        <v>0</v>
      </c>
      <c r="F1620" s="136">
        <v>500</v>
      </c>
      <c r="G1620" s="122" t="s">
        <v>1963</v>
      </c>
    </row>
    <row r="1621" spans="1:7" x14ac:dyDescent="0.25">
      <c r="A1621" s="125">
        <f t="shared" si="175"/>
        <v>1581</v>
      </c>
      <c r="B1621" s="130"/>
      <c r="C1621" s="842" t="s">
        <v>11116</v>
      </c>
      <c r="D1621" s="924">
        <v>0</v>
      </c>
      <c r="E1621" s="924">
        <v>0</v>
      </c>
      <c r="F1621" s="136">
        <v>500</v>
      </c>
      <c r="G1621" s="122" t="s">
        <v>1963</v>
      </c>
    </row>
    <row r="1622" spans="1:7" x14ac:dyDescent="0.25">
      <c r="A1622" s="125">
        <f t="shared" si="175"/>
        <v>1582</v>
      </c>
      <c r="B1622" s="130"/>
      <c r="C1622" s="123" t="s">
        <v>11117</v>
      </c>
      <c r="D1622" s="904"/>
      <c r="E1622" s="904"/>
      <c r="F1622" s="136"/>
    </row>
    <row r="1623" spans="1:7" x14ac:dyDescent="0.25">
      <c r="A1623" s="125">
        <f t="shared" si="175"/>
        <v>1583</v>
      </c>
      <c r="B1623" s="130"/>
      <c r="C1623" s="842" t="s">
        <v>11119</v>
      </c>
      <c r="D1623" s="924">
        <v>0</v>
      </c>
      <c r="E1623" s="924">
        <v>0</v>
      </c>
      <c r="F1623" s="136">
        <v>1</v>
      </c>
      <c r="G1623" s="122" t="s">
        <v>1963</v>
      </c>
    </row>
    <row r="1624" spans="1:7" x14ac:dyDescent="0.25">
      <c r="A1624" s="125">
        <f t="shared" si="175"/>
        <v>1584</v>
      </c>
      <c r="B1624" s="130"/>
      <c r="C1624" s="842" t="s">
        <v>11120</v>
      </c>
      <c r="D1624" s="924">
        <v>0</v>
      </c>
      <c r="E1624" s="924">
        <v>0</v>
      </c>
      <c r="F1624" s="136">
        <v>216</v>
      </c>
      <c r="G1624" s="122" t="s">
        <v>1963</v>
      </c>
    </row>
    <row r="1625" spans="1:7" x14ac:dyDescent="0.25">
      <c r="A1625" s="125">
        <f t="shared" si="175"/>
        <v>1585</v>
      </c>
      <c r="B1625" s="130"/>
      <c r="C1625" s="842" t="s">
        <v>11532</v>
      </c>
      <c r="D1625" s="924">
        <v>0</v>
      </c>
      <c r="E1625" s="924">
        <v>0</v>
      </c>
      <c r="F1625" s="136"/>
    </row>
    <row r="1626" spans="1:7" x14ac:dyDescent="0.25">
      <c r="A1626" s="125">
        <f t="shared" si="175"/>
        <v>1586</v>
      </c>
      <c r="B1626" s="130"/>
      <c r="C1626" s="842" t="s">
        <v>11121</v>
      </c>
      <c r="D1626" s="924">
        <v>0</v>
      </c>
      <c r="E1626" s="924">
        <v>0</v>
      </c>
      <c r="F1626" s="136">
        <v>1</v>
      </c>
      <c r="G1626" s="122" t="s">
        <v>1963</v>
      </c>
    </row>
    <row r="1627" spans="1:7" x14ac:dyDescent="0.25">
      <c r="A1627" s="125">
        <f t="shared" si="175"/>
        <v>1587</v>
      </c>
      <c r="B1627" s="130"/>
      <c r="C1627" s="842" t="s">
        <v>11122</v>
      </c>
      <c r="D1627" s="924">
        <v>0</v>
      </c>
      <c r="E1627" s="924">
        <v>0</v>
      </c>
      <c r="F1627" s="136">
        <v>200</v>
      </c>
      <c r="G1627" s="122" t="s">
        <v>1963</v>
      </c>
    </row>
    <row r="1628" spans="1:7" x14ac:dyDescent="0.25">
      <c r="A1628" s="125">
        <f t="shared" si="175"/>
        <v>1588</v>
      </c>
      <c r="B1628" s="130"/>
      <c r="C1628" s="842" t="s">
        <v>11123</v>
      </c>
      <c r="D1628" s="924">
        <v>290.52</v>
      </c>
      <c r="E1628" s="924">
        <f>D1628/8*12</f>
        <v>435.78</v>
      </c>
      <c r="F1628" s="136">
        <v>1500</v>
      </c>
      <c r="G1628" s="122" t="s">
        <v>1963</v>
      </c>
    </row>
    <row r="1629" spans="1:7" x14ac:dyDescent="0.25">
      <c r="A1629" s="125">
        <f t="shared" si="175"/>
        <v>1589</v>
      </c>
      <c r="B1629" s="130"/>
      <c r="C1629" s="842" t="s">
        <v>11124</v>
      </c>
      <c r="D1629" s="924">
        <v>0</v>
      </c>
      <c r="E1629" s="924">
        <v>0</v>
      </c>
      <c r="F1629" s="136">
        <v>500</v>
      </c>
      <c r="G1629" s="122" t="s">
        <v>1963</v>
      </c>
    </row>
    <row r="1630" spans="1:7" x14ac:dyDescent="0.25">
      <c r="A1630" s="125">
        <f t="shared" ref="A1630:A1693" si="176">A1629+1</f>
        <v>1590</v>
      </c>
      <c r="B1630" s="130"/>
      <c r="C1630" s="842" t="s">
        <v>11125</v>
      </c>
      <c r="D1630" s="924">
        <v>0</v>
      </c>
      <c r="E1630" s="924">
        <v>0</v>
      </c>
      <c r="F1630" s="136">
        <v>500</v>
      </c>
      <c r="G1630" s="122" t="s">
        <v>1963</v>
      </c>
    </row>
    <row r="1631" spans="1:7" x14ac:dyDescent="0.25">
      <c r="A1631" s="125">
        <f t="shared" si="176"/>
        <v>1591</v>
      </c>
      <c r="B1631" s="130"/>
      <c r="C1631" s="842" t="s">
        <v>11126</v>
      </c>
      <c r="D1631" s="924">
        <v>0</v>
      </c>
      <c r="E1631" s="924">
        <v>0</v>
      </c>
      <c r="F1631" s="136">
        <v>500</v>
      </c>
      <c r="G1631" s="122" t="s">
        <v>1963</v>
      </c>
    </row>
    <row r="1632" spans="1:7" x14ac:dyDescent="0.25">
      <c r="A1632" s="125">
        <f t="shared" si="176"/>
        <v>1592</v>
      </c>
      <c r="B1632" s="130"/>
      <c r="C1632" s="842" t="s">
        <v>11127</v>
      </c>
      <c r="D1632" s="924">
        <v>0</v>
      </c>
      <c r="E1632" s="924">
        <v>0</v>
      </c>
      <c r="F1632" s="136">
        <v>500</v>
      </c>
      <c r="G1632" s="122" t="s">
        <v>1963</v>
      </c>
    </row>
    <row r="1633" spans="1:7" x14ac:dyDescent="0.25">
      <c r="A1633" s="125">
        <f t="shared" si="176"/>
        <v>1593</v>
      </c>
      <c r="B1633" s="130"/>
      <c r="C1633" s="842" t="s">
        <v>11128</v>
      </c>
      <c r="D1633" s="924">
        <v>380</v>
      </c>
      <c r="E1633" s="924">
        <f>D1633/8*12</f>
        <v>570</v>
      </c>
      <c r="F1633" s="136">
        <v>800</v>
      </c>
      <c r="G1633" s="122" t="s">
        <v>1963</v>
      </c>
    </row>
    <row r="1634" spans="1:7" x14ac:dyDescent="0.25">
      <c r="A1634" s="125">
        <f t="shared" si="176"/>
        <v>1594</v>
      </c>
      <c r="B1634" s="130"/>
      <c r="C1634" s="842" t="s">
        <v>11129</v>
      </c>
      <c r="D1634" s="924">
        <v>0</v>
      </c>
      <c r="E1634" s="924">
        <v>0</v>
      </c>
      <c r="F1634" s="136">
        <f>F1632*F83</f>
        <v>100</v>
      </c>
      <c r="G1634" s="122" t="s">
        <v>1963</v>
      </c>
    </row>
    <row r="1635" spans="1:7" x14ac:dyDescent="0.25">
      <c r="A1635" s="125">
        <f t="shared" si="176"/>
        <v>1595</v>
      </c>
      <c r="B1635" s="130"/>
      <c r="C1635" s="842" t="s">
        <v>11130</v>
      </c>
      <c r="D1635" s="924">
        <v>0</v>
      </c>
      <c r="E1635" s="924">
        <v>0</v>
      </c>
      <c r="F1635" s="136">
        <v>1</v>
      </c>
      <c r="G1635" s="122" t="s">
        <v>1963</v>
      </c>
    </row>
    <row r="1636" spans="1:7" x14ac:dyDescent="0.25">
      <c r="A1636" s="125">
        <f t="shared" si="176"/>
        <v>1596</v>
      </c>
      <c r="B1636" s="130"/>
      <c r="C1636" s="842" t="s">
        <v>11131</v>
      </c>
      <c r="D1636" s="924">
        <v>0</v>
      </c>
      <c r="E1636" s="924">
        <v>0</v>
      </c>
      <c r="F1636" s="136">
        <v>500</v>
      </c>
      <c r="G1636" s="122" t="s">
        <v>1963</v>
      </c>
    </row>
    <row r="1637" spans="1:7" x14ac:dyDescent="0.25">
      <c r="A1637" s="125">
        <f t="shared" si="176"/>
        <v>1597</v>
      </c>
      <c r="B1637" s="130"/>
      <c r="C1637" s="842" t="s">
        <v>11132</v>
      </c>
      <c r="D1637" s="924">
        <v>0</v>
      </c>
      <c r="E1637" s="924">
        <v>0</v>
      </c>
      <c r="F1637" s="136">
        <v>500</v>
      </c>
      <c r="G1637" s="122" t="s">
        <v>1963</v>
      </c>
    </row>
    <row r="1638" spans="1:7" x14ac:dyDescent="0.25">
      <c r="A1638" s="125">
        <f t="shared" si="176"/>
        <v>1598</v>
      </c>
      <c r="B1638" s="130"/>
      <c r="C1638" s="842" t="s">
        <v>11133</v>
      </c>
      <c r="D1638" s="924">
        <v>0</v>
      </c>
      <c r="E1638" s="924">
        <v>0</v>
      </c>
      <c r="F1638" s="136">
        <v>500</v>
      </c>
      <c r="G1638" s="122" t="s">
        <v>1963</v>
      </c>
    </row>
    <row r="1639" spans="1:7" x14ac:dyDescent="0.25">
      <c r="A1639" s="125">
        <f t="shared" si="176"/>
        <v>1599</v>
      </c>
      <c r="B1639" s="130"/>
      <c r="C1639" s="842" t="s">
        <v>11134</v>
      </c>
      <c r="D1639" s="924">
        <v>0</v>
      </c>
      <c r="E1639" s="924">
        <v>0</v>
      </c>
      <c r="F1639" s="136">
        <v>500</v>
      </c>
      <c r="G1639" s="122" t="s">
        <v>1963</v>
      </c>
    </row>
    <row r="1640" spans="1:7" x14ac:dyDescent="0.25">
      <c r="A1640" s="125">
        <f t="shared" si="176"/>
        <v>1600</v>
      </c>
      <c r="B1640" s="130"/>
      <c r="C1640" s="123" t="s">
        <v>11118</v>
      </c>
      <c r="D1640" s="904"/>
      <c r="E1640" s="904"/>
      <c r="F1640" s="136"/>
    </row>
    <row r="1641" spans="1:7" x14ac:dyDescent="0.25">
      <c r="A1641" s="125">
        <f t="shared" si="176"/>
        <v>1601</v>
      </c>
      <c r="B1641" s="130"/>
      <c r="C1641" s="842" t="s">
        <v>11135</v>
      </c>
      <c r="D1641" s="924">
        <v>432</v>
      </c>
      <c r="E1641" s="924">
        <f>D1641/8*12</f>
        <v>648</v>
      </c>
      <c r="F1641" s="136">
        <f>E1641/12</f>
        <v>54</v>
      </c>
      <c r="G1641" s="122" t="s">
        <v>1963</v>
      </c>
    </row>
    <row r="1642" spans="1:7" x14ac:dyDescent="0.25">
      <c r="A1642" s="125">
        <f t="shared" si="176"/>
        <v>1602</v>
      </c>
      <c r="B1642" s="130"/>
      <c r="C1642" s="842" t="s">
        <v>11136</v>
      </c>
      <c r="D1642" s="924">
        <v>181.87</v>
      </c>
      <c r="E1642" s="924">
        <f>D1642/8*12</f>
        <v>272.80500000000001</v>
      </c>
      <c r="F1642" s="136">
        <v>500</v>
      </c>
      <c r="G1642" s="122" t="s">
        <v>1963</v>
      </c>
    </row>
    <row r="1643" spans="1:7" x14ac:dyDescent="0.25">
      <c r="A1643" s="125">
        <f t="shared" si="176"/>
        <v>1603</v>
      </c>
      <c r="B1643" s="130"/>
      <c r="C1643" s="842" t="s">
        <v>11137</v>
      </c>
      <c r="D1643" s="924">
        <v>0</v>
      </c>
      <c r="E1643" s="924">
        <v>0</v>
      </c>
      <c r="F1643" s="136">
        <v>500</v>
      </c>
      <c r="G1643" s="122" t="s">
        <v>1963</v>
      </c>
    </row>
    <row r="1644" spans="1:7" x14ac:dyDescent="0.25">
      <c r="A1644" s="125">
        <f t="shared" si="176"/>
        <v>1604</v>
      </c>
      <c r="B1644" s="130"/>
      <c r="C1644" s="842" t="s">
        <v>11138</v>
      </c>
      <c r="D1644" s="924">
        <v>0</v>
      </c>
      <c r="E1644" s="924">
        <v>0</v>
      </c>
      <c r="F1644" s="136">
        <v>500</v>
      </c>
      <c r="G1644" s="122" t="s">
        <v>1963</v>
      </c>
    </row>
    <row r="1645" spans="1:7" x14ac:dyDescent="0.25">
      <c r="A1645" s="125">
        <f t="shared" si="176"/>
        <v>1605</v>
      </c>
      <c r="B1645" s="130"/>
      <c r="C1645" s="842" t="s">
        <v>11139</v>
      </c>
      <c r="D1645" s="924">
        <v>0</v>
      </c>
      <c r="E1645" s="924">
        <v>0</v>
      </c>
      <c r="F1645" s="136">
        <v>500</v>
      </c>
      <c r="G1645" s="122" t="s">
        <v>1963</v>
      </c>
    </row>
    <row r="1646" spans="1:7" x14ac:dyDescent="0.25">
      <c r="A1646" s="125">
        <f t="shared" si="176"/>
        <v>1606</v>
      </c>
      <c r="B1646" s="804"/>
      <c r="C1646" s="842" t="s">
        <v>11140</v>
      </c>
      <c r="D1646" s="924">
        <v>0</v>
      </c>
      <c r="E1646" s="924">
        <v>0</v>
      </c>
      <c r="F1646" s="136">
        <v>500</v>
      </c>
      <c r="G1646" s="122" t="s">
        <v>1963</v>
      </c>
    </row>
    <row r="1647" spans="1:7" x14ac:dyDescent="0.25">
      <c r="A1647" s="125">
        <f t="shared" si="176"/>
        <v>1607</v>
      </c>
      <c r="B1647" s="130"/>
      <c r="C1647" s="842" t="s">
        <v>11141</v>
      </c>
      <c r="D1647" s="924">
        <v>0</v>
      </c>
      <c r="E1647" s="924">
        <v>0</v>
      </c>
      <c r="F1647" s="136">
        <f>F1645*F83</f>
        <v>100</v>
      </c>
      <c r="G1647" s="122" t="s">
        <v>1963</v>
      </c>
    </row>
    <row r="1648" spans="1:7" x14ac:dyDescent="0.25">
      <c r="A1648" s="125">
        <f t="shared" si="176"/>
        <v>1608</v>
      </c>
      <c r="B1648" s="130"/>
      <c r="C1648" s="842" t="s">
        <v>11142</v>
      </c>
      <c r="D1648" s="924">
        <v>0</v>
      </c>
      <c r="E1648" s="924">
        <v>0</v>
      </c>
      <c r="F1648" s="136">
        <v>500</v>
      </c>
      <c r="G1648" s="122" t="s">
        <v>1963</v>
      </c>
    </row>
    <row r="1649" spans="1:7" x14ac:dyDescent="0.25">
      <c r="A1649" s="125">
        <f t="shared" si="176"/>
        <v>1609</v>
      </c>
      <c r="B1649" s="130"/>
      <c r="C1649" s="842" t="s">
        <v>11143</v>
      </c>
      <c r="D1649" s="924">
        <v>0</v>
      </c>
      <c r="E1649" s="924">
        <v>0</v>
      </c>
      <c r="F1649" s="136">
        <v>500</v>
      </c>
      <c r="G1649" s="122" t="s">
        <v>1963</v>
      </c>
    </row>
    <row r="1650" spans="1:7" x14ac:dyDescent="0.25">
      <c r="A1650" s="125">
        <f t="shared" si="176"/>
        <v>1610</v>
      </c>
      <c r="B1650" s="130"/>
      <c r="C1650" s="842" t="s">
        <v>11144</v>
      </c>
      <c r="D1650" s="924">
        <v>0</v>
      </c>
      <c r="E1650" s="924">
        <v>0</v>
      </c>
      <c r="F1650" s="136">
        <v>500</v>
      </c>
      <c r="G1650" s="122" t="s">
        <v>1963</v>
      </c>
    </row>
    <row r="1651" spans="1:7" x14ac:dyDescent="0.25">
      <c r="A1651" s="125">
        <f t="shared" si="176"/>
        <v>1611</v>
      </c>
      <c r="B1651" s="130"/>
      <c r="C1651" s="842" t="s">
        <v>11145</v>
      </c>
      <c r="D1651" s="924">
        <v>0</v>
      </c>
      <c r="E1651" s="924">
        <v>0</v>
      </c>
      <c r="F1651" s="136">
        <v>500</v>
      </c>
      <c r="G1651" s="122" t="s">
        <v>1963</v>
      </c>
    </row>
    <row r="1652" spans="1:7" x14ac:dyDescent="0.25">
      <c r="A1652" s="125">
        <f t="shared" si="176"/>
        <v>1612</v>
      </c>
      <c r="B1652" s="130"/>
      <c r="C1652" s="232" t="s">
        <v>11146</v>
      </c>
      <c r="D1652" s="915"/>
      <c r="E1652" s="915"/>
      <c r="F1652" s="136"/>
    </row>
    <row r="1653" spans="1:7" ht="31.5" x14ac:dyDescent="0.25">
      <c r="A1653" s="125">
        <f t="shared" si="176"/>
        <v>1613</v>
      </c>
      <c r="B1653" s="130"/>
      <c r="C1653" s="842" t="s">
        <v>11147</v>
      </c>
      <c r="D1653" s="924">
        <v>0</v>
      </c>
      <c r="E1653" s="924">
        <v>0</v>
      </c>
      <c r="F1653" s="136">
        <v>1</v>
      </c>
      <c r="G1653" s="122" t="s">
        <v>1963</v>
      </c>
    </row>
    <row r="1654" spans="1:7" ht="31.5" x14ac:dyDescent="0.25">
      <c r="A1654" s="125">
        <f t="shared" si="176"/>
        <v>1614</v>
      </c>
      <c r="B1654" s="130"/>
      <c r="C1654" s="842" t="s">
        <v>11148</v>
      </c>
      <c r="D1654" s="924">
        <f>(1591.61+175.08)*8</f>
        <v>14133.519999999999</v>
      </c>
      <c r="E1654" s="924">
        <f>D1654/8*13.33</f>
        <v>23549.977699999999</v>
      </c>
      <c r="F1654" s="136">
        <f>E1654/13.33</f>
        <v>1766.69</v>
      </c>
      <c r="G1654" s="122" t="s">
        <v>1963</v>
      </c>
    </row>
    <row r="1655" spans="1:7" x14ac:dyDescent="0.25">
      <c r="A1655" s="125">
        <f t="shared" si="176"/>
        <v>1615</v>
      </c>
      <c r="B1655" s="130"/>
      <c r="C1655" s="842" t="s">
        <v>11532</v>
      </c>
      <c r="D1655" s="924">
        <v>0</v>
      </c>
      <c r="E1655" s="924">
        <v>0</v>
      </c>
      <c r="F1655" s="136"/>
    </row>
    <row r="1656" spans="1:7" x14ac:dyDescent="0.25">
      <c r="A1656" s="125">
        <f t="shared" si="176"/>
        <v>1616</v>
      </c>
      <c r="B1656" s="804"/>
      <c r="C1656" s="842" t="s">
        <v>11149</v>
      </c>
      <c r="D1656" s="924">
        <v>0</v>
      </c>
      <c r="E1656" s="924">
        <v>0</v>
      </c>
      <c r="F1656" s="136">
        <v>100</v>
      </c>
      <c r="G1656" s="122" t="s">
        <v>1963</v>
      </c>
    </row>
    <row r="1657" spans="1:7" x14ac:dyDescent="0.25">
      <c r="A1657" s="125">
        <f t="shared" si="176"/>
        <v>1617</v>
      </c>
      <c r="B1657" s="130"/>
      <c r="C1657" s="842" t="s">
        <v>11150</v>
      </c>
      <c r="D1657" s="924">
        <v>0</v>
      </c>
      <c r="E1657" s="924">
        <v>0</v>
      </c>
      <c r="F1657" s="136">
        <f>167+72</f>
        <v>239</v>
      </c>
      <c r="G1657" s="122" t="s">
        <v>1963</v>
      </c>
    </row>
    <row r="1658" spans="1:7" x14ac:dyDescent="0.25">
      <c r="A1658" s="125">
        <f t="shared" si="176"/>
        <v>1618</v>
      </c>
      <c r="B1658" s="130"/>
      <c r="C1658" s="842" t="s">
        <v>11151</v>
      </c>
      <c r="D1658" s="924">
        <v>0</v>
      </c>
      <c r="E1658" s="924">
        <v>0</v>
      </c>
      <c r="F1658" s="136">
        <v>500</v>
      </c>
      <c r="G1658" s="122" t="s">
        <v>1963</v>
      </c>
    </row>
    <row r="1659" spans="1:7" ht="31.5" x14ac:dyDescent="0.25">
      <c r="A1659" s="125">
        <f t="shared" si="176"/>
        <v>1619</v>
      </c>
      <c r="B1659" s="130"/>
      <c r="C1659" s="842" t="s">
        <v>11152</v>
      </c>
      <c r="D1659" s="924">
        <v>0</v>
      </c>
      <c r="E1659" s="924">
        <v>0</v>
      </c>
      <c r="F1659" s="136">
        <v>500</v>
      </c>
      <c r="G1659" s="122" t="s">
        <v>1963</v>
      </c>
    </row>
    <row r="1660" spans="1:7" x14ac:dyDescent="0.25">
      <c r="A1660" s="125">
        <f t="shared" si="176"/>
        <v>1620</v>
      </c>
      <c r="B1660" s="130"/>
      <c r="C1660" s="842" t="s">
        <v>11153</v>
      </c>
      <c r="D1660" s="924">
        <v>0</v>
      </c>
      <c r="E1660" s="924">
        <v>0</v>
      </c>
      <c r="F1660" s="136">
        <v>500</v>
      </c>
      <c r="G1660" s="122" t="s">
        <v>1963</v>
      </c>
    </row>
    <row r="1661" spans="1:7" x14ac:dyDescent="0.25">
      <c r="A1661" s="125">
        <f t="shared" si="176"/>
        <v>1621</v>
      </c>
      <c r="B1661" s="130"/>
      <c r="C1661" s="842" t="s">
        <v>11154</v>
      </c>
      <c r="D1661" s="924">
        <v>0</v>
      </c>
      <c r="E1661" s="924">
        <v>0</v>
      </c>
      <c r="F1661" s="136">
        <v>500</v>
      </c>
      <c r="G1661" s="122" t="s">
        <v>1963</v>
      </c>
    </row>
    <row r="1662" spans="1:7" x14ac:dyDescent="0.25">
      <c r="A1662" s="125">
        <f t="shared" si="176"/>
        <v>1622</v>
      </c>
      <c r="B1662" s="130"/>
      <c r="C1662" s="842" t="s">
        <v>11155</v>
      </c>
      <c r="D1662" s="924">
        <v>0</v>
      </c>
      <c r="E1662" s="924">
        <v>0</v>
      </c>
      <c r="F1662" s="136">
        <v>500</v>
      </c>
      <c r="G1662" s="122" t="s">
        <v>1963</v>
      </c>
    </row>
    <row r="1663" spans="1:7" x14ac:dyDescent="0.25">
      <c r="A1663" s="125">
        <f t="shared" si="176"/>
        <v>1623</v>
      </c>
      <c r="B1663" s="130"/>
      <c r="C1663" s="842" t="s">
        <v>11156</v>
      </c>
      <c r="D1663" s="924">
        <v>0</v>
      </c>
      <c r="E1663" s="924">
        <v>0</v>
      </c>
      <c r="F1663" s="136">
        <v>500</v>
      </c>
      <c r="G1663" s="122" t="s">
        <v>1963</v>
      </c>
    </row>
    <row r="1664" spans="1:7" x14ac:dyDescent="0.25">
      <c r="A1664" s="125">
        <f t="shared" si="176"/>
        <v>1624</v>
      </c>
      <c r="B1664" s="130"/>
      <c r="C1664" s="842" t="s">
        <v>11157</v>
      </c>
      <c r="D1664" s="924">
        <v>0</v>
      </c>
      <c r="E1664" s="924">
        <v>0</v>
      </c>
      <c r="F1664" s="136">
        <f>F1662*F83</f>
        <v>100</v>
      </c>
      <c r="G1664" s="122" t="s">
        <v>1963</v>
      </c>
    </row>
    <row r="1665" spans="1:9" x14ac:dyDescent="0.25">
      <c r="A1665" s="125">
        <f t="shared" si="176"/>
        <v>1625</v>
      </c>
      <c r="B1665" s="130"/>
      <c r="C1665" s="842" t="s">
        <v>11158</v>
      </c>
      <c r="D1665" s="924">
        <f>(38.59)*8</f>
        <v>308.72000000000003</v>
      </c>
      <c r="E1665" s="924">
        <f>D1665/8*12</f>
        <v>463.08000000000004</v>
      </c>
      <c r="F1665" s="136">
        <v>38.590000000000003</v>
      </c>
      <c r="G1665" s="122" t="s">
        <v>1963</v>
      </c>
    </row>
    <row r="1666" spans="1:9" x14ac:dyDescent="0.25">
      <c r="A1666" s="125">
        <f t="shared" si="176"/>
        <v>1626</v>
      </c>
      <c r="B1666" s="130"/>
      <c r="C1666" s="842" t="s">
        <v>11159</v>
      </c>
      <c r="D1666" s="924">
        <v>0</v>
      </c>
      <c r="E1666" s="924">
        <v>0</v>
      </c>
      <c r="F1666" s="136">
        <v>500</v>
      </c>
      <c r="G1666" s="122" t="s">
        <v>1963</v>
      </c>
    </row>
    <row r="1667" spans="1:9" x14ac:dyDescent="0.25">
      <c r="A1667" s="125">
        <f t="shared" si="176"/>
        <v>1627</v>
      </c>
      <c r="B1667" s="130"/>
      <c r="C1667" s="842" t="s">
        <v>11160</v>
      </c>
      <c r="D1667" s="924">
        <v>0</v>
      </c>
      <c r="E1667" s="924">
        <v>0</v>
      </c>
      <c r="F1667" s="136">
        <v>500</v>
      </c>
      <c r="G1667" s="122" t="s">
        <v>1963</v>
      </c>
    </row>
    <row r="1668" spans="1:9" x14ac:dyDescent="0.25">
      <c r="A1668" s="125">
        <f t="shared" si="176"/>
        <v>1628</v>
      </c>
      <c r="B1668" s="130"/>
      <c r="C1668" s="842" t="s">
        <v>11161</v>
      </c>
      <c r="D1668" s="924">
        <v>0</v>
      </c>
      <c r="E1668" s="924">
        <v>0</v>
      </c>
      <c r="F1668" s="136">
        <v>500</v>
      </c>
      <c r="G1668" s="122" t="s">
        <v>1963</v>
      </c>
    </row>
    <row r="1669" spans="1:9" x14ac:dyDescent="0.25">
      <c r="A1669" s="125">
        <f t="shared" si="176"/>
        <v>1629</v>
      </c>
      <c r="B1669" s="130"/>
      <c r="C1669" s="842" t="s">
        <v>11162</v>
      </c>
      <c r="D1669" s="924">
        <v>0</v>
      </c>
      <c r="E1669" s="924">
        <v>0</v>
      </c>
      <c r="F1669" s="136">
        <v>500</v>
      </c>
      <c r="G1669" s="122" t="s">
        <v>1963</v>
      </c>
    </row>
    <row r="1670" spans="1:9" x14ac:dyDescent="0.25">
      <c r="A1670" s="125">
        <f t="shared" si="176"/>
        <v>1630</v>
      </c>
      <c r="B1670" s="130"/>
      <c r="C1670" s="122" t="s">
        <v>11179</v>
      </c>
      <c r="D1670" s="924">
        <v>0</v>
      </c>
      <c r="E1670" s="924">
        <v>0</v>
      </c>
      <c r="F1670" s="135">
        <v>4679.58</v>
      </c>
      <c r="G1670" s="122" t="s">
        <v>1963</v>
      </c>
    </row>
    <row r="1671" spans="1:9" x14ac:dyDescent="0.25">
      <c r="A1671" s="125">
        <f t="shared" si="176"/>
        <v>1631</v>
      </c>
      <c r="B1671" s="804"/>
      <c r="C1671" s="804"/>
      <c r="D1671" s="920"/>
      <c r="E1671" s="920"/>
      <c r="F1671" s="804"/>
    </row>
    <row r="1672" spans="1:9" x14ac:dyDescent="0.25">
      <c r="A1672" s="125">
        <f t="shared" si="176"/>
        <v>1632</v>
      </c>
      <c r="B1672" s="130"/>
      <c r="C1672" s="1371" t="s">
        <v>9485</v>
      </c>
      <c r="D1672" s="1371"/>
      <c r="E1672" s="1371"/>
      <c r="F1672" s="1371"/>
      <c r="G1672" s="1371"/>
      <c r="H1672" s="1371"/>
      <c r="I1672" s="1371"/>
    </row>
    <row r="1673" spans="1:9" x14ac:dyDescent="0.25">
      <c r="A1673" s="125">
        <f t="shared" si="176"/>
        <v>1633</v>
      </c>
      <c r="B1673" s="130"/>
      <c r="C1673" s="1371" t="s">
        <v>9029</v>
      </c>
      <c r="D1673" s="1371"/>
      <c r="E1673" s="1371"/>
      <c r="F1673" s="1371"/>
      <c r="G1673" s="1371"/>
      <c r="H1673" s="1371"/>
      <c r="I1673" s="1371"/>
    </row>
    <row r="1674" spans="1:9" x14ac:dyDescent="0.25">
      <c r="A1674" s="125">
        <f t="shared" si="176"/>
        <v>1634</v>
      </c>
      <c r="B1674" s="130"/>
      <c r="C1674" s="935"/>
      <c r="D1674" s="936"/>
      <c r="E1674" s="936"/>
      <c r="F1674" s="129"/>
    </row>
    <row r="1675" spans="1:9" x14ac:dyDescent="0.25">
      <c r="A1675" s="125">
        <f t="shared" si="176"/>
        <v>1635</v>
      </c>
      <c r="B1675" s="130"/>
      <c r="C1675" s="232" t="s">
        <v>11163</v>
      </c>
      <c r="D1675" s="915"/>
      <c r="E1675" s="915"/>
      <c r="F1675" s="129"/>
    </row>
    <row r="1676" spans="1:9" x14ac:dyDescent="0.25">
      <c r="A1676" s="125">
        <f t="shared" si="176"/>
        <v>1636</v>
      </c>
      <c r="B1676" s="130"/>
      <c r="C1676" s="842" t="s">
        <v>11165</v>
      </c>
      <c r="D1676" s="924">
        <v>0</v>
      </c>
      <c r="E1676" s="924">
        <v>0</v>
      </c>
      <c r="F1676" s="136">
        <v>1</v>
      </c>
      <c r="G1676" s="122" t="s">
        <v>1963</v>
      </c>
    </row>
    <row r="1677" spans="1:9" x14ac:dyDescent="0.25">
      <c r="A1677" s="125">
        <f t="shared" si="176"/>
        <v>1637</v>
      </c>
      <c r="B1677" s="130"/>
      <c r="C1677" s="842" t="s">
        <v>11166</v>
      </c>
      <c r="D1677" s="924">
        <v>0</v>
      </c>
      <c r="E1677" s="924">
        <v>0</v>
      </c>
      <c r="F1677" s="136">
        <v>1</v>
      </c>
      <c r="G1677" s="122" t="s">
        <v>1963</v>
      </c>
    </row>
    <row r="1678" spans="1:9" x14ac:dyDescent="0.25">
      <c r="A1678" s="125">
        <f t="shared" si="176"/>
        <v>1638</v>
      </c>
      <c r="B1678" s="130"/>
      <c r="C1678" s="842" t="s">
        <v>11167</v>
      </c>
      <c r="D1678" s="924">
        <v>0</v>
      </c>
      <c r="E1678" s="924">
        <v>0</v>
      </c>
      <c r="F1678" s="136">
        <v>1</v>
      </c>
      <c r="G1678" s="122" t="s">
        <v>1963</v>
      </c>
    </row>
    <row r="1679" spans="1:9" x14ac:dyDescent="0.25">
      <c r="A1679" s="125">
        <f t="shared" si="176"/>
        <v>1639</v>
      </c>
      <c r="B1679" s="130"/>
      <c r="C1679" s="842" t="s">
        <v>11168</v>
      </c>
      <c r="D1679" s="924">
        <v>0</v>
      </c>
      <c r="E1679" s="924">
        <v>0</v>
      </c>
      <c r="F1679" s="136">
        <v>200</v>
      </c>
      <c r="G1679" s="122" t="s">
        <v>1963</v>
      </c>
    </row>
    <row r="1680" spans="1:9" x14ac:dyDescent="0.25">
      <c r="A1680" s="125">
        <f t="shared" si="176"/>
        <v>1640</v>
      </c>
      <c r="B1680" s="130"/>
      <c r="C1680" s="842" t="s">
        <v>11169</v>
      </c>
      <c r="D1680" s="924">
        <v>0</v>
      </c>
      <c r="E1680" s="924">
        <v>0</v>
      </c>
      <c r="F1680" s="136">
        <v>3000</v>
      </c>
      <c r="G1680" s="122" t="s">
        <v>1963</v>
      </c>
    </row>
    <row r="1681" spans="1:7" x14ac:dyDescent="0.25">
      <c r="A1681" s="125">
        <f t="shared" si="176"/>
        <v>1641</v>
      </c>
      <c r="B1681" s="130"/>
      <c r="C1681" s="842" t="s">
        <v>11170</v>
      </c>
      <c r="D1681" s="924">
        <v>0</v>
      </c>
      <c r="E1681" s="924">
        <v>0</v>
      </c>
      <c r="F1681" s="136">
        <v>1500</v>
      </c>
      <c r="G1681" s="122" t="s">
        <v>1963</v>
      </c>
    </row>
    <row r="1682" spans="1:7" x14ac:dyDescent="0.25">
      <c r="A1682" s="125">
        <f t="shared" si="176"/>
        <v>1642</v>
      </c>
      <c r="B1682" s="130"/>
      <c r="C1682" s="842" t="s">
        <v>11171</v>
      </c>
      <c r="D1682" s="924">
        <v>0</v>
      </c>
      <c r="E1682" s="924">
        <v>0</v>
      </c>
      <c r="F1682" s="136">
        <v>500</v>
      </c>
      <c r="G1682" s="122" t="s">
        <v>1963</v>
      </c>
    </row>
    <row r="1683" spans="1:7" x14ac:dyDescent="0.25">
      <c r="A1683" s="125">
        <f t="shared" si="176"/>
        <v>1643</v>
      </c>
      <c r="B1683" s="130"/>
      <c r="C1683" s="842" t="s">
        <v>11172</v>
      </c>
      <c r="D1683" s="924">
        <v>0</v>
      </c>
      <c r="E1683" s="924">
        <v>0</v>
      </c>
      <c r="F1683" s="136">
        <v>4000</v>
      </c>
      <c r="G1683" s="122" t="s">
        <v>1963</v>
      </c>
    </row>
    <row r="1684" spans="1:7" x14ac:dyDescent="0.25">
      <c r="A1684" s="125">
        <f t="shared" si="176"/>
        <v>1644</v>
      </c>
      <c r="B1684" s="130"/>
      <c r="C1684" s="842" t="s">
        <v>11173</v>
      </c>
      <c r="D1684" s="924">
        <v>0</v>
      </c>
      <c r="E1684" s="924">
        <v>0</v>
      </c>
      <c r="F1684" s="136">
        <v>4000</v>
      </c>
      <c r="G1684" s="122" t="s">
        <v>1963</v>
      </c>
    </row>
    <row r="1685" spans="1:7" x14ac:dyDescent="0.25">
      <c r="A1685" s="125">
        <f t="shared" si="176"/>
        <v>1645</v>
      </c>
      <c r="B1685" s="130"/>
      <c r="C1685" s="842" t="s">
        <v>11174</v>
      </c>
      <c r="D1685" s="924">
        <v>0</v>
      </c>
      <c r="E1685" s="924">
        <v>0</v>
      </c>
      <c r="F1685" s="136">
        <f>F1683*F83</f>
        <v>800</v>
      </c>
      <c r="G1685" s="122" t="s">
        <v>1963</v>
      </c>
    </row>
    <row r="1686" spans="1:7" x14ac:dyDescent="0.25">
      <c r="A1686" s="125">
        <f t="shared" si="176"/>
        <v>1646</v>
      </c>
      <c r="B1686" s="130"/>
      <c r="C1686" s="842" t="s">
        <v>11175</v>
      </c>
      <c r="D1686" s="924">
        <v>0</v>
      </c>
      <c r="E1686" s="924">
        <v>0</v>
      </c>
      <c r="F1686" s="136">
        <v>1</v>
      </c>
      <c r="G1686" s="122" t="s">
        <v>1963</v>
      </c>
    </row>
    <row r="1687" spans="1:7" x14ac:dyDescent="0.25">
      <c r="A1687" s="125">
        <f t="shared" si="176"/>
        <v>1647</v>
      </c>
      <c r="B1687" s="130"/>
      <c r="C1687" s="842" t="s">
        <v>11176</v>
      </c>
      <c r="D1687" s="924">
        <v>0</v>
      </c>
      <c r="E1687" s="924">
        <v>0</v>
      </c>
      <c r="F1687" s="136">
        <v>500</v>
      </c>
      <c r="G1687" s="122" t="s">
        <v>1963</v>
      </c>
    </row>
    <row r="1688" spans="1:7" x14ac:dyDescent="0.25">
      <c r="A1688" s="125">
        <f t="shared" si="176"/>
        <v>1648</v>
      </c>
      <c r="B1688" s="130"/>
      <c r="C1688" s="842" t="s">
        <v>11177</v>
      </c>
      <c r="D1688" s="924">
        <v>0</v>
      </c>
      <c r="E1688" s="924">
        <v>0</v>
      </c>
      <c r="F1688" s="136">
        <v>4000</v>
      </c>
      <c r="G1688" s="122" t="s">
        <v>1963</v>
      </c>
    </row>
    <row r="1689" spans="1:7" x14ac:dyDescent="0.25">
      <c r="A1689" s="125">
        <f t="shared" si="176"/>
        <v>1649</v>
      </c>
      <c r="B1689" s="130"/>
      <c r="C1689" s="842" t="s">
        <v>11178</v>
      </c>
      <c r="D1689" s="924">
        <v>0</v>
      </c>
      <c r="E1689" s="924">
        <v>0</v>
      </c>
      <c r="F1689" s="136">
        <v>4000</v>
      </c>
      <c r="G1689" s="122" t="s">
        <v>1963</v>
      </c>
    </row>
    <row r="1690" spans="1:7" x14ac:dyDescent="0.25">
      <c r="A1690" s="125">
        <f t="shared" si="176"/>
        <v>1650</v>
      </c>
      <c r="B1690" s="804"/>
      <c r="C1690" s="842" t="s">
        <v>11180</v>
      </c>
      <c r="D1690" s="924">
        <v>0</v>
      </c>
      <c r="E1690" s="924">
        <v>0</v>
      </c>
      <c r="F1690" s="136">
        <v>4000</v>
      </c>
      <c r="G1690" s="122" t="s">
        <v>1963</v>
      </c>
    </row>
    <row r="1691" spans="1:7" x14ac:dyDescent="0.25">
      <c r="A1691" s="125">
        <f t="shared" si="176"/>
        <v>1651</v>
      </c>
      <c r="B1691" s="130"/>
      <c r="C1691" s="122" t="s">
        <v>11181</v>
      </c>
      <c r="D1691" s="924">
        <v>0</v>
      </c>
      <c r="E1691" s="924">
        <v>0</v>
      </c>
      <c r="F1691" s="136">
        <f>4153.42-0.03</f>
        <v>4153.3900000000003</v>
      </c>
      <c r="G1691" s="122" t="s">
        <v>1963</v>
      </c>
    </row>
    <row r="1692" spans="1:7" x14ac:dyDescent="0.25">
      <c r="A1692" s="125">
        <f t="shared" si="176"/>
        <v>1652</v>
      </c>
      <c r="B1692" s="130"/>
      <c r="C1692" s="232" t="s">
        <v>11164</v>
      </c>
      <c r="D1692" s="924"/>
      <c r="E1692" s="915"/>
      <c r="F1692" s="136"/>
    </row>
    <row r="1693" spans="1:7" x14ac:dyDescent="0.25">
      <c r="A1693" s="125">
        <f t="shared" si="176"/>
        <v>1653</v>
      </c>
      <c r="B1693" s="130"/>
      <c r="C1693" s="842" t="s">
        <v>11182</v>
      </c>
      <c r="D1693" s="924">
        <v>0</v>
      </c>
      <c r="E1693" s="924">
        <v>0</v>
      </c>
      <c r="F1693" s="136">
        <f>F1696*F83</f>
        <v>0.2</v>
      </c>
      <c r="G1693" s="122" t="s">
        <v>1963</v>
      </c>
    </row>
    <row r="1694" spans="1:7" x14ac:dyDescent="0.25">
      <c r="A1694" s="125">
        <f t="shared" ref="A1694:A1757" si="177">A1693+1</f>
        <v>1654</v>
      </c>
      <c r="B1694" s="130"/>
      <c r="C1694" s="842" t="s">
        <v>11183</v>
      </c>
      <c r="D1694" s="924">
        <v>0</v>
      </c>
      <c r="E1694" s="924">
        <v>0</v>
      </c>
      <c r="F1694" s="136">
        <v>1</v>
      </c>
      <c r="G1694" s="122" t="s">
        <v>1963</v>
      </c>
    </row>
    <row r="1695" spans="1:7" x14ac:dyDescent="0.25">
      <c r="A1695" s="125">
        <f t="shared" si="177"/>
        <v>1655</v>
      </c>
      <c r="B1695" s="130"/>
      <c r="C1695" s="842" t="s">
        <v>11184</v>
      </c>
      <c r="D1695" s="924">
        <v>0</v>
      </c>
      <c r="E1695" s="924">
        <v>0</v>
      </c>
      <c r="F1695" s="136">
        <v>1</v>
      </c>
      <c r="G1695" s="122" t="s">
        <v>1963</v>
      </c>
    </row>
    <row r="1696" spans="1:7" x14ac:dyDescent="0.25">
      <c r="A1696" s="125">
        <f t="shared" si="177"/>
        <v>1656</v>
      </c>
      <c r="B1696" s="130"/>
      <c r="C1696" s="842" t="s">
        <v>11185</v>
      </c>
      <c r="D1696" s="924">
        <v>0</v>
      </c>
      <c r="E1696" s="924">
        <v>0</v>
      </c>
      <c r="F1696" s="136">
        <v>1</v>
      </c>
      <c r="G1696" s="122" t="s">
        <v>1963</v>
      </c>
    </row>
    <row r="1697" spans="1:7" x14ac:dyDescent="0.25">
      <c r="A1697" s="125">
        <f t="shared" si="177"/>
        <v>1657</v>
      </c>
      <c r="B1697" s="130"/>
      <c r="C1697" s="842" t="s">
        <v>11186</v>
      </c>
      <c r="D1697" s="924">
        <v>0</v>
      </c>
      <c r="E1697" s="924">
        <v>0</v>
      </c>
      <c r="F1697" s="136">
        <v>1</v>
      </c>
      <c r="G1697" s="122" t="s">
        <v>1963</v>
      </c>
    </row>
    <row r="1698" spans="1:7" x14ac:dyDescent="0.25">
      <c r="A1698" s="125">
        <f t="shared" si="177"/>
        <v>1658</v>
      </c>
      <c r="B1698" s="810"/>
      <c r="C1698" s="842" t="s">
        <v>11187</v>
      </c>
      <c r="D1698" s="924">
        <v>0</v>
      </c>
      <c r="E1698" s="924">
        <v>0</v>
      </c>
      <c r="F1698" s="136">
        <v>1</v>
      </c>
      <c r="G1698" s="122" t="s">
        <v>1963</v>
      </c>
    </row>
    <row r="1699" spans="1:7" x14ac:dyDescent="0.25">
      <c r="A1699" s="125">
        <f t="shared" si="177"/>
        <v>1659</v>
      </c>
      <c r="B1699" s="804"/>
      <c r="C1699" s="842" t="s">
        <v>11188</v>
      </c>
      <c r="D1699" s="924">
        <v>0</v>
      </c>
      <c r="E1699" s="924">
        <v>0</v>
      </c>
      <c r="F1699" s="136">
        <f>500-F1693-F1694-F1695-F1696-F1698</f>
        <v>495.8</v>
      </c>
      <c r="G1699" s="122" t="s">
        <v>1963</v>
      </c>
    </row>
    <row r="1700" spans="1:7" x14ac:dyDescent="0.25">
      <c r="A1700" s="125">
        <f t="shared" si="177"/>
        <v>1660</v>
      </c>
      <c r="B1700" s="130"/>
      <c r="C1700" s="232" t="s">
        <v>11189</v>
      </c>
      <c r="D1700" s="915"/>
      <c r="E1700" s="915"/>
      <c r="F1700" s="136"/>
    </row>
    <row r="1701" spans="1:7" x14ac:dyDescent="0.25">
      <c r="A1701" s="125">
        <f t="shared" si="177"/>
        <v>1661</v>
      </c>
      <c r="B1701" s="130"/>
      <c r="C1701" s="842" t="s">
        <v>11182</v>
      </c>
      <c r="D1701" s="924">
        <v>0</v>
      </c>
      <c r="E1701" s="924">
        <v>0</v>
      </c>
      <c r="F1701" s="136">
        <f>F1704*F83</f>
        <v>0.2</v>
      </c>
      <c r="G1701" s="122" t="s">
        <v>1963</v>
      </c>
    </row>
    <row r="1702" spans="1:7" x14ac:dyDescent="0.25">
      <c r="A1702" s="125">
        <f t="shared" si="177"/>
        <v>1662</v>
      </c>
      <c r="B1702" s="130"/>
      <c r="C1702" s="842" t="s">
        <v>11183</v>
      </c>
      <c r="D1702" s="924">
        <v>0</v>
      </c>
      <c r="E1702" s="924">
        <v>0</v>
      </c>
      <c r="F1702" s="136">
        <v>1</v>
      </c>
      <c r="G1702" s="122" t="s">
        <v>1963</v>
      </c>
    </row>
    <row r="1703" spans="1:7" x14ac:dyDescent="0.25">
      <c r="A1703" s="125">
        <f t="shared" si="177"/>
        <v>1663</v>
      </c>
      <c r="B1703" s="130"/>
      <c r="C1703" s="842" t="s">
        <v>11184</v>
      </c>
      <c r="D1703" s="924">
        <v>0</v>
      </c>
      <c r="E1703" s="924">
        <v>0</v>
      </c>
      <c r="F1703" s="136">
        <v>1</v>
      </c>
      <c r="G1703" s="122" t="s">
        <v>1963</v>
      </c>
    </row>
    <row r="1704" spans="1:7" x14ac:dyDescent="0.25">
      <c r="A1704" s="125">
        <f t="shared" si="177"/>
        <v>1664</v>
      </c>
      <c r="B1704" s="130"/>
      <c r="C1704" s="842" t="s">
        <v>11185</v>
      </c>
      <c r="D1704" s="924">
        <v>0</v>
      </c>
      <c r="E1704" s="924">
        <v>0</v>
      </c>
      <c r="F1704" s="136">
        <v>1</v>
      </c>
      <c r="G1704" s="122" t="s">
        <v>1963</v>
      </c>
    </row>
    <row r="1705" spans="1:7" x14ac:dyDescent="0.25">
      <c r="A1705" s="125">
        <f t="shared" si="177"/>
        <v>1665</v>
      </c>
      <c r="B1705" s="130"/>
      <c r="C1705" s="842" t="s">
        <v>11186</v>
      </c>
      <c r="D1705" s="924">
        <v>0</v>
      </c>
      <c r="E1705" s="924">
        <v>0</v>
      </c>
      <c r="F1705" s="136">
        <v>1</v>
      </c>
      <c r="G1705" s="122" t="s">
        <v>1963</v>
      </c>
    </row>
    <row r="1706" spans="1:7" x14ac:dyDescent="0.25">
      <c r="A1706" s="125">
        <f t="shared" si="177"/>
        <v>1666</v>
      </c>
      <c r="B1706" s="130"/>
      <c r="C1706" s="842" t="s">
        <v>11187</v>
      </c>
      <c r="D1706" s="924">
        <v>0</v>
      </c>
      <c r="E1706" s="924">
        <v>0</v>
      </c>
      <c r="F1706" s="136">
        <v>50</v>
      </c>
      <c r="G1706" s="122" t="s">
        <v>1963</v>
      </c>
    </row>
    <row r="1707" spans="1:7" x14ac:dyDescent="0.25">
      <c r="A1707" s="125">
        <f t="shared" si="177"/>
        <v>1667</v>
      </c>
      <c r="B1707" s="130"/>
      <c r="C1707" s="842" t="s">
        <v>11188</v>
      </c>
      <c r="D1707" s="924">
        <v>0</v>
      </c>
      <c r="E1707" s="924">
        <v>0</v>
      </c>
      <c r="F1707" s="136">
        <f>90400-F1701-F1702-F1703-F1706-1</f>
        <v>90346.8</v>
      </c>
      <c r="G1707" s="122" t="s">
        <v>1963</v>
      </c>
    </row>
    <row r="1708" spans="1:7" x14ac:dyDescent="0.25">
      <c r="A1708" s="125">
        <f t="shared" si="177"/>
        <v>1668</v>
      </c>
      <c r="B1708" s="130"/>
      <c r="C1708" s="232" t="s">
        <v>11193</v>
      </c>
      <c r="D1708" s="924"/>
      <c r="E1708" s="915"/>
      <c r="F1708" s="136"/>
    </row>
    <row r="1709" spans="1:7" x14ac:dyDescent="0.25">
      <c r="A1709" s="125">
        <f t="shared" si="177"/>
        <v>1669</v>
      </c>
      <c r="B1709" s="130"/>
      <c r="C1709" s="842" t="s">
        <v>11195</v>
      </c>
      <c r="D1709" s="924">
        <v>0</v>
      </c>
      <c r="E1709" s="924">
        <v>0</v>
      </c>
      <c r="F1709" s="136">
        <f>F1712*F83</f>
        <v>0.2</v>
      </c>
      <c r="G1709" s="122" t="s">
        <v>1963</v>
      </c>
    </row>
    <row r="1710" spans="1:7" x14ac:dyDescent="0.25">
      <c r="A1710" s="125">
        <f t="shared" si="177"/>
        <v>1670</v>
      </c>
      <c r="B1710" s="130"/>
      <c r="C1710" s="842" t="s">
        <v>11196</v>
      </c>
      <c r="D1710" s="924">
        <v>0</v>
      </c>
      <c r="E1710" s="924">
        <v>0</v>
      </c>
      <c r="F1710" s="136">
        <v>1</v>
      </c>
      <c r="G1710" s="122" t="s">
        <v>1963</v>
      </c>
    </row>
    <row r="1711" spans="1:7" x14ac:dyDescent="0.25">
      <c r="A1711" s="125">
        <f t="shared" si="177"/>
        <v>1671</v>
      </c>
      <c r="B1711" s="130"/>
      <c r="C1711" s="842" t="s">
        <v>11197</v>
      </c>
      <c r="D1711" s="924">
        <v>0</v>
      </c>
      <c r="E1711" s="924">
        <v>0</v>
      </c>
      <c r="F1711" s="136">
        <v>1</v>
      </c>
      <c r="G1711" s="122" t="s">
        <v>1963</v>
      </c>
    </row>
    <row r="1712" spans="1:7" x14ac:dyDescent="0.25">
      <c r="A1712" s="125">
        <f t="shared" si="177"/>
        <v>1672</v>
      </c>
      <c r="B1712" s="130"/>
      <c r="C1712" s="842" t="s">
        <v>11198</v>
      </c>
      <c r="D1712" s="924">
        <v>0</v>
      </c>
      <c r="E1712" s="924">
        <v>0</v>
      </c>
      <c r="F1712" s="136">
        <v>1</v>
      </c>
      <c r="G1712" s="122" t="s">
        <v>1963</v>
      </c>
    </row>
    <row r="1713" spans="1:7" x14ac:dyDescent="0.25">
      <c r="A1713" s="125">
        <f t="shared" si="177"/>
        <v>1673</v>
      </c>
      <c r="B1713" s="130"/>
      <c r="C1713" s="842" t="s">
        <v>11199</v>
      </c>
      <c r="D1713" s="924">
        <v>0</v>
      </c>
      <c r="E1713" s="924">
        <v>0</v>
      </c>
      <c r="F1713" s="136">
        <v>1</v>
      </c>
      <c r="G1713" s="122" t="s">
        <v>1963</v>
      </c>
    </row>
    <row r="1714" spans="1:7" x14ac:dyDescent="0.25">
      <c r="A1714" s="125">
        <f t="shared" si="177"/>
        <v>1674</v>
      </c>
      <c r="B1714" s="130"/>
      <c r="C1714" s="842" t="s">
        <v>11200</v>
      </c>
      <c r="D1714" s="924">
        <v>0</v>
      </c>
      <c r="E1714" s="924">
        <v>0</v>
      </c>
      <c r="F1714" s="136">
        <v>1</v>
      </c>
      <c r="G1714" s="122" t="s">
        <v>1963</v>
      </c>
    </row>
    <row r="1715" spans="1:7" x14ac:dyDescent="0.25">
      <c r="A1715" s="125">
        <f t="shared" si="177"/>
        <v>1675</v>
      </c>
      <c r="B1715" s="130"/>
      <c r="C1715" s="842" t="s">
        <v>11208</v>
      </c>
      <c r="D1715" s="924">
        <v>0</v>
      </c>
      <c r="E1715" s="924">
        <v>0</v>
      </c>
      <c r="F1715" s="136">
        <f>35200-F1709-F1710-F1711-F1712-F1714</f>
        <v>35195.800000000003</v>
      </c>
      <c r="G1715" s="122" t="s">
        <v>1963</v>
      </c>
    </row>
    <row r="1716" spans="1:7" x14ac:dyDescent="0.25">
      <c r="A1716" s="125">
        <f t="shared" si="177"/>
        <v>1676</v>
      </c>
      <c r="B1716" s="130"/>
      <c r="C1716" s="232" t="s">
        <v>11194</v>
      </c>
      <c r="D1716" s="915"/>
      <c r="E1716" s="915"/>
      <c r="F1716" s="136"/>
    </row>
    <row r="1717" spans="1:7" x14ac:dyDescent="0.25">
      <c r="A1717" s="125">
        <f t="shared" si="177"/>
        <v>1677</v>
      </c>
      <c r="B1717" s="130"/>
      <c r="C1717" s="842" t="s">
        <v>11201</v>
      </c>
      <c r="D1717" s="924">
        <v>0</v>
      </c>
      <c r="E1717" s="924">
        <v>0</v>
      </c>
      <c r="F1717" s="136">
        <f>F1720*F83</f>
        <v>0.2</v>
      </c>
      <c r="G1717" s="122" t="s">
        <v>1963</v>
      </c>
    </row>
    <row r="1718" spans="1:7" x14ac:dyDescent="0.25">
      <c r="A1718" s="125">
        <f t="shared" si="177"/>
        <v>1678</v>
      </c>
      <c r="B1718" s="130"/>
      <c r="C1718" s="842" t="s">
        <v>11202</v>
      </c>
      <c r="D1718" s="924">
        <v>0</v>
      </c>
      <c r="E1718" s="924">
        <v>0</v>
      </c>
      <c r="F1718" s="136">
        <v>1</v>
      </c>
      <c r="G1718" s="122" t="s">
        <v>1963</v>
      </c>
    </row>
    <row r="1719" spans="1:7" x14ac:dyDescent="0.25">
      <c r="A1719" s="125">
        <f t="shared" si="177"/>
        <v>1679</v>
      </c>
      <c r="B1719" s="804"/>
      <c r="C1719" s="842" t="s">
        <v>11203</v>
      </c>
      <c r="D1719" s="924">
        <v>0</v>
      </c>
      <c r="E1719" s="924">
        <v>0</v>
      </c>
      <c r="F1719" s="136">
        <v>1</v>
      </c>
      <c r="G1719" s="122" t="s">
        <v>1963</v>
      </c>
    </row>
    <row r="1720" spans="1:7" x14ac:dyDescent="0.25">
      <c r="A1720" s="125">
        <f t="shared" si="177"/>
        <v>1680</v>
      </c>
      <c r="B1720" s="885"/>
      <c r="C1720" s="842" t="s">
        <v>11204</v>
      </c>
      <c r="D1720" s="924">
        <v>0</v>
      </c>
      <c r="E1720" s="924">
        <v>0</v>
      </c>
      <c r="F1720" s="136">
        <v>1</v>
      </c>
      <c r="G1720" s="122" t="s">
        <v>1963</v>
      </c>
    </row>
    <row r="1721" spans="1:7" x14ac:dyDescent="0.25">
      <c r="A1721" s="125">
        <f t="shared" si="177"/>
        <v>1681</v>
      </c>
      <c r="B1721" s="130"/>
      <c r="C1721" s="842" t="s">
        <v>11205</v>
      </c>
      <c r="D1721" s="924">
        <v>0</v>
      </c>
      <c r="E1721" s="924">
        <v>0</v>
      </c>
      <c r="F1721" s="136">
        <v>1</v>
      </c>
      <c r="G1721" s="122" t="s">
        <v>1963</v>
      </c>
    </row>
    <row r="1722" spans="1:7" x14ac:dyDescent="0.25">
      <c r="A1722" s="125">
        <f t="shared" si="177"/>
        <v>1682</v>
      </c>
      <c r="B1722" s="130"/>
      <c r="C1722" s="842" t="s">
        <v>11206</v>
      </c>
      <c r="D1722" s="924">
        <v>0</v>
      </c>
      <c r="E1722" s="924">
        <v>0</v>
      </c>
      <c r="F1722" s="136">
        <v>50</v>
      </c>
      <c r="G1722" s="122" t="s">
        <v>1963</v>
      </c>
    </row>
    <row r="1723" spans="1:7" x14ac:dyDescent="0.25">
      <c r="A1723" s="125">
        <f t="shared" si="177"/>
        <v>1683</v>
      </c>
      <c r="B1723" s="130"/>
      <c r="C1723" s="842" t="s">
        <v>11207</v>
      </c>
      <c r="D1723" s="924">
        <v>0</v>
      </c>
      <c r="E1723" s="924">
        <v>0</v>
      </c>
      <c r="F1723" s="136">
        <f>35100-F1717-F1718-F1719-F1722-1</f>
        <v>35046.800000000003</v>
      </c>
      <c r="G1723" s="122" t="s">
        <v>1963</v>
      </c>
    </row>
    <row r="1724" spans="1:7" x14ac:dyDescent="0.25">
      <c r="A1724" s="125">
        <f t="shared" si="177"/>
        <v>1684</v>
      </c>
      <c r="B1724" s="130"/>
      <c r="C1724" s="232" t="s">
        <v>11066</v>
      </c>
      <c r="D1724" s="915"/>
      <c r="E1724" s="915"/>
      <c r="F1724" s="136"/>
    </row>
    <row r="1725" spans="1:7" x14ac:dyDescent="0.25">
      <c r="A1725" s="125">
        <f t="shared" si="177"/>
        <v>1685</v>
      </c>
      <c r="B1725" s="130"/>
      <c r="C1725" s="842" t="s">
        <v>11069</v>
      </c>
      <c r="D1725" s="924">
        <v>9373.18</v>
      </c>
      <c r="E1725" s="924">
        <v>0</v>
      </c>
      <c r="F1725" s="136">
        <v>1</v>
      </c>
      <c r="G1725" s="122" t="s">
        <v>1963</v>
      </c>
    </row>
    <row r="1726" spans="1:7" x14ac:dyDescent="0.25">
      <c r="A1726" s="125">
        <f t="shared" si="177"/>
        <v>1686</v>
      </c>
      <c r="B1726" s="130"/>
      <c r="C1726" s="842" t="s">
        <v>11070</v>
      </c>
      <c r="D1726" s="924">
        <v>0</v>
      </c>
      <c r="E1726" s="924">
        <v>0</v>
      </c>
      <c r="F1726" s="136">
        <f>10794.64-F1725-F1727</f>
        <v>10792.64</v>
      </c>
      <c r="G1726" s="122" t="s">
        <v>1963</v>
      </c>
    </row>
    <row r="1727" spans="1:7" x14ac:dyDescent="0.25">
      <c r="A1727" s="125">
        <f t="shared" si="177"/>
        <v>1687</v>
      </c>
      <c r="B1727" s="130"/>
      <c r="C1727" s="842" t="s">
        <v>11209</v>
      </c>
      <c r="D1727" s="924">
        <v>0</v>
      </c>
      <c r="E1727" s="924">
        <v>0</v>
      </c>
      <c r="F1727" s="136">
        <v>1</v>
      </c>
      <c r="G1727" s="122" t="s">
        <v>1963</v>
      </c>
    </row>
    <row r="1728" spans="1:7" x14ac:dyDescent="0.25">
      <c r="A1728" s="125">
        <f t="shared" si="177"/>
        <v>1688</v>
      </c>
      <c r="B1728" s="130"/>
      <c r="C1728" s="232" t="s">
        <v>11067</v>
      </c>
      <c r="D1728" s="915"/>
      <c r="E1728" s="915"/>
      <c r="F1728" s="136"/>
    </row>
    <row r="1729" spans="1:7" x14ac:dyDescent="0.25">
      <c r="A1729" s="125">
        <f t="shared" si="177"/>
        <v>1689</v>
      </c>
      <c r="B1729" s="130"/>
      <c r="C1729" s="842" t="s">
        <v>11082</v>
      </c>
      <c r="D1729" s="924">
        <v>1800</v>
      </c>
      <c r="E1729" s="924">
        <v>0</v>
      </c>
      <c r="F1729" s="136">
        <v>1801</v>
      </c>
      <c r="G1729" s="122" t="s">
        <v>1963</v>
      </c>
    </row>
    <row r="1730" spans="1:7" x14ac:dyDescent="0.25">
      <c r="A1730" s="125">
        <f t="shared" si="177"/>
        <v>1690</v>
      </c>
      <c r="B1730" s="130"/>
      <c r="C1730" s="842" t="s">
        <v>11083</v>
      </c>
      <c r="D1730" s="924">
        <v>0</v>
      </c>
      <c r="E1730" s="924">
        <v>0</v>
      </c>
      <c r="F1730" s="136">
        <f>9912.29-F1729-F1731</f>
        <v>8110.2900000000009</v>
      </c>
      <c r="G1730" s="122" t="s">
        <v>1963</v>
      </c>
    </row>
    <row r="1731" spans="1:7" x14ac:dyDescent="0.25">
      <c r="A1731" s="125">
        <f t="shared" si="177"/>
        <v>1691</v>
      </c>
      <c r="B1731" s="130"/>
      <c r="C1731" s="842" t="s">
        <v>11210</v>
      </c>
      <c r="D1731" s="924">
        <v>0</v>
      </c>
      <c r="E1731" s="924">
        <v>0</v>
      </c>
      <c r="F1731" s="136">
        <v>1</v>
      </c>
      <c r="G1731" s="122" t="s">
        <v>1963</v>
      </c>
    </row>
    <row r="1732" spans="1:7" x14ac:dyDescent="0.25">
      <c r="A1732" s="125">
        <f t="shared" si="177"/>
        <v>1692</v>
      </c>
      <c r="B1732" s="804"/>
      <c r="C1732" s="804" t="s">
        <v>11211</v>
      </c>
      <c r="D1732" s="920"/>
      <c r="E1732" s="920"/>
    </row>
    <row r="1733" spans="1:7" x14ac:dyDescent="0.25">
      <c r="A1733" s="125">
        <f t="shared" si="177"/>
        <v>1693</v>
      </c>
      <c r="B1733" s="130"/>
      <c r="C1733" s="842" t="s">
        <v>11215</v>
      </c>
      <c r="D1733" s="924">
        <v>0</v>
      </c>
      <c r="E1733" s="924">
        <v>0</v>
      </c>
      <c r="F1733" s="136">
        <f>F1736*F83</f>
        <v>0.2</v>
      </c>
      <c r="G1733" s="122" t="s">
        <v>1963</v>
      </c>
    </row>
    <row r="1734" spans="1:7" x14ac:dyDescent="0.25">
      <c r="A1734" s="125">
        <f t="shared" si="177"/>
        <v>1694</v>
      </c>
      <c r="B1734" s="130"/>
      <c r="C1734" s="134" t="s">
        <v>11216</v>
      </c>
      <c r="D1734" s="924">
        <v>0</v>
      </c>
      <c r="E1734" s="924">
        <v>0</v>
      </c>
      <c r="F1734" s="136">
        <v>1</v>
      </c>
      <c r="G1734" s="122" t="s">
        <v>1963</v>
      </c>
    </row>
    <row r="1735" spans="1:7" x14ac:dyDescent="0.25">
      <c r="A1735" s="125">
        <f t="shared" si="177"/>
        <v>1695</v>
      </c>
      <c r="B1735" s="130"/>
      <c r="C1735" s="134" t="s">
        <v>11217</v>
      </c>
      <c r="D1735" s="924">
        <v>0</v>
      </c>
      <c r="E1735" s="924">
        <v>0</v>
      </c>
      <c r="F1735" s="136">
        <v>1</v>
      </c>
      <c r="G1735" s="122" t="s">
        <v>1963</v>
      </c>
    </row>
    <row r="1736" spans="1:7" x14ac:dyDescent="0.25">
      <c r="A1736" s="125">
        <f t="shared" si="177"/>
        <v>1696</v>
      </c>
      <c r="B1736" s="130"/>
      <c r="C1736" s="134" t="s">
        <v>11218</v>
      </c>
      <c r="D1736" s="924">
        <v>0</v>
      </c>
      <c r="E1736" s="924">
        <v>0</v>
      </c>
      <c r="F1736" s="136">
        <v>1</v>
      </c>
      <c r="G1736" s="122" t="s">
        <v>1963</v>
      </c>
    </row>
    <row r="1737" spans="1:7" x14ac:dyDescent="0.25">
      <c r="A1737" s="125">
        <f t="shared" si="177"/>
        <v>1697</v>
      </c>
      <c r="B1737" s="130"/>
      <c r="C1737" s="134" t="s">
        <v>11219</v>
      </c>
      <c r="D1737" s="924">
        <v>0</v>
      </c>
      <c r="E1737" s="924">
        <v>0</v>
      </c>
      <c r="F1737" s="136">
        <v>1</v>
      </c>
      <c r="G1737" s="122" t="s">
        <v>1963</v>
      </c>
    </row>
    <row r="1738" spans="1:7" x14ac:dyDescent="0.25">
      <c r="A1738" s="125">
        <f t="shared" si="177"/>
        <v>1698</v>
      </c>
      <c r="B1738" s="130"/>
      <c r="C1738" s="814" t="s">
        <v>11220</v>
      </c>
      <c r="D1738" s="924">
        <v>0</v>
      </c>
      <c r="E1738" s="924">
        <v>0</v>
      </c>
      <c r="F1738" s="136">
        <v>1</v>
      </c>
      <c r="G1738" s="122" t="s">
        <v>1963</v>
      </c>
    </row>
    <row r="1739" spans="1:7" x14ac:dyDescent="0.25">
      <c r="A1739" s="125">
        <f t="shared" si="177"/>
        <v>1699</v>
      </c>
      <c r="B1739" s="130"/>
      <c r="C1739" s="134" t="s">
        <v>11221</v>
      </c>
      <c r="D1739" s="924">
        <v>0</v>
      </c>
      <c r="E1739" s="924">
        <v>0</v>
      </c>
      <c r="F1739" s="136">
        <f>100-F1733-F1734-F1735-F1738-1</f>
        <v>95.8</v>
      </c>
      <c r="G1739" s="122" t="s">
        <v>1963</v>
      </c>
    </row>
    <row r="1740" spans="1:7" x14ac:dyDescent="0.25">
      <c r="A1740" s="125">
        <f t="shared" si="177"/>
        <v>1700</v>
      </c>
      <c r="B1740" s="130"/>
      <c r="C1740" s="804" t="s">
        <v>11212</v>
      </c>
      <c r="D1740" s="920"/>
      <c r="E1740" s="920"/>
      <c r="F1740" s="136"/>
    </row>
    <row r="1741" spans="1:7" x14ac:dyDescent="0.25">
      <c r="A1741" s="125">
        <f t="shared" si="177"/>
        <v>1701</v>
      </c>
      <c r="B1741" s="130"/>
      <c r="C1741" s="134" t="s">
        <v>11222</v>
      </c>
      <c r="D1741" s="924">
        <v>0</v>
      </c>
      <c r="E1741" s="924">
        <v>0</v>
      </c>
      <c r="F1741" s="136">
        <f>F1744*F83</f>
        <v>0.2</v>
      </c>
      <c r="G1741" s="122" t="s">
        <v>1963</v>
      </c>
    </row>
    <row r="1742" spans="1:7" x14ac:dyDescent="0.25">
      <c r="A1742" s="125">
        <f t="shared" si="177"/>
        <v>1702</v>
      </c>
      <c r="B1742" s="130"/>
      <c r="C1742" s="134" t="s">
        <v>11223</v>
      </c>
      <c r="D1742" s="924">
        <v>0</v>
      </c>
      <c r="E1742" s="924">
        <v>0</v>
      </c>
      <c r="F1742" s="136">
        <v>1</v>
      </c>
      <c r="G1742" s="122" t="s">
        <v>1963</v>
      </c>
    </row>
    <row r="1743" spans="1:7" x14ac:dyDescent="0.25">
      <c r="A1743" s="125">
        <f t="shared" si="177"/>
        <v>1703</v>
      </c>
      <c r="B1743" s="130"/>
      <c r="C1743" s="134" t="s">
        <v>11224</v>
      </c>
      <c r="D1743" s="924">
        <v>0</v>
      </c>
      <c r="E1743" s="924">
        <v>0</v>
      </c>
      <c r="F1743" s="136">
        <v>1</v>
      </c>
      <c r="G1743" s="122" t="s">
        <v>1963</v>
      </c>
    </row>
    <row r="1744" spans="1:7" x14ac:dyDescent="0.25">
      <c r="A1744" s="125">
        <f t="shared" si="177"/>
        <v>1704</v>
      </c>
      <c r="B1744" s="130"/>
      <c r="C1744" s="134" t="s">
        <v>11225</v>
      </c>
      <c r="D1744" s="924">
        <v>0</v>
      </c>
      <c r="E1744" s="924">
        <v>0</v>
      </c>
      <c r="F1744" s="136">
        <v>1</v>
      </c>
      <c r="G1744" s="122" t="s">
        <v>1963</v>
      </c>
    </row>
    <row r="1745" spans="1:9" x14ac:dyDescent="0.25">
      <c r="A1745" s="125">
        <f t="shared" si="177"/>
        <v>1705</v>
      </c>
      <c r="B1745" s="130"/>
      <c r="C1745" s="814" t="s">
        <v>11226</v>
      </c>
      <c r="D1745" s="924">
        <v>0</v>
      </c>
      <c r="E1745" s="924">
        <v>0</v>
      </c>
      <c r="F1745" s="136">
        <v>1</v>
      </c>
      <c r="G1745" s="122" t="s">
        <v>1963</v>
      </c>
    </row>
    <row r="1746" spans="1:9" x14ac:dyDescent="0.25">
      <c r="A1746" s="125">
        <f t="shared" si="177"/>
        <v>1706</v>
      </c>
      <c r="B1746" s="130"/>
      <c r="C1746" s="134" t="s">
        <v>11227</v>
      </c>
      <c r="D1746" s="924">
        <v>0</v>
      </c>
      <c r="E1746" s="924">
        <v>0</v>
      </c>
      <c r="F1746" s="136">
        <v>1</v>
      </c>
      <c r="G1746" s="122" t="s">
        <v>1963</v>
      </c>
    </row>
    <row r="1747" spans="1:9" x14ac:dyDescent="0.25">
      <c r="A1747" s="125">
        <f t="shared" si="177"/>
        <v>1707</v>
      </c>
      <c r="B1747" s="804"/>
      <c r="C1747" s="156" t="s">
        <v>11228</v>
      </c>
      <c r="D1747" s="924">
        <v>0</v>
      </c>
      <c r="E1747" s="924">
        <v>0</v>
      </c>
      <c r="F1747" s="136">
        <f>65000+50100-F1741-F1742-F1743-F1746-1</f>
        <v>115095.8</v>
      </c>
      <c r="G1747" s="122" t="s">
        <v>1963</v>
      </c>
    </row>
    <row r="1748" spans="1:9" x14ac:dyDescent="0.25">
      <c r="A1748" s="125">
        <f t="shared" si="177"/>
        <v>1708</v>
      </c>
      <c r="B1748" s="130"/>
      <c r="C1748" s="813" t="s">
        <v>11213</v>
      </c>
      <c r="D1748" s="923"/>
      <c r="E1748" s="923"/>
      <c r="F1748" s="136"/>
    </row>
    <row r="1749" spans="1:9" x14ac:dyDescent="0.25">
      <c r="A1749" s="125">
        <f t="shared" si="177"/>
        <v>1709</v>
      </c>
      <c r="B1749" s="130"/>
      <c r="C1749" s="842" t="s">
        <v>11229</v>
      </c>
      <c r="D1749" s="924">
        <v>0</v>
      </c>
      <c r="E1749" s="924">
        <v>0</v>
      </c>
      <c r="F1749" s="136">
        <v>5000</v>
      </c>
      <c r="G1749" s="122" t="s">
        <v>1963</v>
      </c>
    </row>
    <row r="1750" spans="1:9" x14ac:dyDescent="0.25">
      <c r="A1750" s="125">
        <f t="shared" si="177"/>
        <v>1710</v>
      </c>
      <c r="B1750" s="130"/>
      <c r="C1750" s="842" t="s">
        <v>11230</v>
      </c>
      <c r="D1750" s="924">
        <v>2516.21</v>
      </c>
      <c r="E1750" s="924">
        <f>D1750/8*12</f>
        <v>3774.3150000000001</v>
      </c>
      <c r="F1750" s="136">
        <v>10000</v>
      </c>
      <c r="G1750" s="122" t="s">
        <v>1963</v>
      </c>
    </row>
    <row r="1751" spans="1:9" x14ac:dyDescent="0.25">
      <c r="A1751" s="125">
        <f t="shared" si="177"/>
        <v>1711</v>
      </c>
      <c r="B1751" s="130"/>
      <c r="C1751" s="842" t="s">
        <v>11231</v>
      </c>
      <c r="D1751" s="924">
        <v>8520.66</v>
      </c>
      <c r="E1751" s="924">
        <f t="shared" ref="E1751:E1759" si="178">D1751/8*12</f>
        <v>12780.99</v>
      </c>
      <c r="F1751" s="136">
        <v>13000</v>
      </c>
      <c r="G1751" s="122" t="s">
        <v>1963</v>
      </c>
    </row>
    <row r="1752" spans="1:9" x14ac:dyDescent="0.25">
      <c r="A1752" s="125">
        <f t="shared" si="177"/>
        <v>1712</v>
      </c>
      <c r="B1752" s="130"/>
      <c r="C1752" s="842" t="s">
        <v>11232</v>
      </c>
      <c r="D1752" s="924">
        <v>1299.3</v>
      </c>
      <c r="E1752" s="924">
        <f t="shared" si="178"/>
        <v>1948.9499999999998</v>
      </c>
      <c r="F1752" s="136">
        <v>30000</v>
      </c>
      <c r="G1752" s="122" t="s">
        <v>1963</v>
      </c>
    </row>
    <row r="1753" spans="1:9" x14ac:dyDescent="0.25">
      <c r="A1753" s="125">
        <f t="shared" si="177"/>
        <v>1713</v>
      </c>
      <c r="B1753" s="130"/>
      <c r="C1753" s="842" t="s">
        <v>11233</v>
      </c>
      <c r="D1753" s="924">
        <v>9690</v>
      </c>
      <c r="E1753" s="924">
        <f t="shared" si="178"/>
        <v>14535</v>
      </c>
      <c r="F1753" s="136">
        <f>80000-1888.95-13000+5111.05+111.05-222.1</f>
        <v>70111.05</v>
      </c>
      <c r="G1753" s="122" t="s">
        <v>1963</v>
      </c>
    </row>
    <row r="1754" spans="1:9" x14ac:dyDescent="0.25">
      <c r="A1754" s="125">
        <f t="shared" si="177"/>
        <v>1714</v>
      </c>
      <c r="B1754" s="130"/>
      <c r="C1754" s="842" t="s">
        <v>11234</v>
      </c>
      <c r="D1754" s="924">
        <v>1087.8599999999999</v>
      </c>
      <c r="E1754" s="924">
        <f t="shared" si="178"/>
        <v>1631.79</v>
      </c>
      <c r="F1754" s="136">
        <f>F1752*F83</f>
        <v>6000</v>
      </c>
      <c r="G1754" s="122" t="s">
        <v>1963</v>
      </c>
    </row>
    <row r="1755" spans="1:9" x14ac:dyDescent="0.25">
      <c r="A1755" s="125">
        <f t="shared" si="177"/>
        <v>1715</v>
      </c>
      <c r="B1755" s="130"/>
      <c r="C1755" s="842" t="s">
        <v>11235</v>
      </c>
      <c r="D1755" s="924">
        <v>0</v>
      </c>
      <c r="E1755" s="924">
        <f t="shared" si="178"/>
        <v>0</v>
      </c>
      <c r="F1755" s="136">
        <v>1000</v>
      </c>
      <c r="G1755" s="122" t="s">
        <v>1963</v>
      </c>
    </row>
    <row r="1756" spans="1:9" x14ac:dyDescent="0.25">
      <c r="A1756" s="125">
        <f t="shared" si="177"/>
        <v>1716</v>
      </c>
      <c r="B1756" s="130"/>
      <c r="C1756" s="842" t="s">
        <v>11236</v>
      </c>
      <c r="D1756" s="924">
        <v>0</v>
      </c>
      <c r="E1756" s="924">
        <f t="shared" si="178"/>
        <v>0</v>
      </c>
      <c r="F1756" s="136">
        <v>5000</v>
      </c>
      <c r="G1756" s="122" t="s">
        <v>1963</v>
      </c>
    </row>
    <row r="1757" spans="1:9" x14ac:dyDescent="0.25">
      <c r="A1757" s="125">
        <f t="shared" si="177"/>
        <v>1717</v>
      </c>
      <c r="B1757" s="130"/>
      <c r="C1757" s="842" t="s">
        <v>11237</v>
      </c>
      <c r="D1757" s="924">
        <v>0</v>
      </c>
      <c r="E1757" s="924">
        <f t="shared" si="178"/>
        <v>0</v>
      </c>
      <c r="F1757" s="136">
        <v>5000</v>
      </c>
      <c r="G1757" s="122" t="s">
        <v>1963</v>
      </c>
    </row>
    <row r="1758" spans="1:9" x14ac:dyDescent="0.25">
      <c r="A1758" s="125">
        <f t="shared" ref="A1758:A1821" si="179">A1757+1</f>
        <v>1718</v>
      </c>
      <c r="B1758" s="130"/>
      <c r="C1758" s="842" t="s">
        <v>11238</v>
      </c>
      <c r="D1758" s="924">
        <v>0</v>
      </c>
      <c r="E1758" s="924">
        <f t="shared" si="178"/>
        <v>0</v>
      </c>
      <c r="F1758" s="136">
        <v>5000</v>
      </c>
      <c r="G1758" s="122" t="s">
        <v>1963</v>
      </c>
    </row>
    <row r="1759" spans="1:9" x14ac:dyDescent="0.25">
      <c r="A1759" s="125">
        <f t="shared" si="179"/>
        <v>1719</v>
      </c>
      <c r="B1759" s="130"/>
      <c r="C1759" s="842" t="s">
        <v>11239</v>
      </c>
      <c r="D1759" s="924">
        <v>417.48</v>
      </c>
      <c r="E1759" s="924">
        <f t="shared" si="178"/>
        <v>626.22</v>
      </c>
      <c r="F1759" s="136">
        <v>5000</v>
      </c>
      <c r="G1759" s="122" t="s">
        <v>1963</v>
      </c>
    </row>
    <row r="1760" spans="1:9" ht="20.25" x14ac:dyDescent="0.3">
      <c r="A1760" s="125">
        <f t="shared" si="179"/>
        <v>1720</v>
      </c>
      <c r="B1760" s="130"/>
      <c r="C1760" s="983" t="s">
        <v>11084</v>
      </c>
      <c r="D1760" s="915"/>
      <c r="E1760" s="915"/>
      <c r="F1760" s="135"/>
      <c r="I1760" s="984"/>
    </row>
    <row r="1761" spans="1:9" x14ac:dyDescent="0.25">
      <c r="A1761" s="125">
        <f t="shared" si="179"/>
        <v>1721</v>
      </c>
      <c r="B1761" s="130"/>
      <c r="C1761" s="842" t="s">
        <v>11085</v>
      </c>
      <c r="D1761" s="924">
        <v>69897.16</v>
      </c>
      <c r="E1761" s="924">
        <f>D1761/8*13.33</f>
        <v>116466.14285</v>
      </c>
      <c r="F1761" s="937">
        <f>((7212.12)*2.05+((7212.12)*11.28)*(1+F4)*(1+F8))*(1+F80)</f>
        <v>124615.55358432273</v>
      </c>
      <c r="G1761" s="122" t="s">
        <v>1963</v>
      </c>
      <c r="I1761" s="922"/>
    </row>
    <row r="1762" spans="1:9" ht="31.5" x14ac:dyDescent="0.25">
      <c r="A1762" s="125">
        <f t="shared" si="179"/>
        <v>1722</v>
      </c>
      <c r="B1762" s="130"/>
      <c r="C1762" s="842" t="s">
        <v>11086</v>
      </c>
      <c r="D1762" s="924">
        <v>15607.13</v>
      </c>
      <c r="E1762" s="924">
        <f>D1762/8*13.33</f>
        <v>26005.3803625</v>
      </c>
      <c r="F1762" s="937">
        <f>((1446.93)*2.05+((1446.93)*11.28)*(1+F4)*(1+F8))</f>
        <v>20193.109912504518</v>
      </c>
      <c r="G1762" s="122" t="s">
        <v>1963</v>
      </c>
    </row>
    <row r="1763" spans="1:9" x14ac:dyDescent="0.25">
      <c r="A1763" s="125">
        <f t="shared" si="179"/>
        <v>1723</v>
      </c>
      <c r="B1763" s="130"/>
      <c r="C1763" s="842" t="s">
        <v>11240</v>
      </c>
      <c r="D1763" s="924">
        <v>3340.16</v>
      </c>
      <c r="E1763" s="924">
        <f>D1763/8*13.33</f>
        <v>5565.5415999999996</v>
      </c>
      <c r="F1763" s="937">
        <f>(F1764+F1762)*F80</f>
        <v>5073.4308406375103</v>
      </c>
      <c r="G1763" s="122" t="s">
        <v>1963</v>
      </c>
    </row>
    <row r="1764" spans="1:9" x14ac:dyDescent="0.25">
      <c r="A1764" s="125">
        <f t="shared" si="179"/>
        <v>1724</v>
      </c>
      <c r="B1764" s="130"/>
      <c r="C1764" s="842" t="s">
        <v>11087</v>
      </c>
      <c r="D1764" s="924">
        <v>656.54</v>
      </c>
      <c r="E1764" s="924">
        <f>D1764/8*12</f>
        <v>984.81</v>
      </c>
      <c r="F1764" s="937">
        <f>((75.96)*2.05+((75.96)*11.28)*(1+F6)*(1+F10))-0.01</f>
        <v>1115.4104224787652</v>
      </c>
      <c r="G1764" s="122" t="s">
        <v>1963</v>
      </c>
    </row>
    <row r="1765" spans="1:9" x14ac:dyDescent="0.25">
      <c r="A1765" s="125">
        <f t="shared" si="179"/>
        <v>1725</v>
      </c>
      <c r="B1765" s="130"/>
      <c r="C1765" s="842" t="s">
        <v>11088</v>
      </c>
      <c r="D1765" s="924">
        <v>72</v>
      </c>
      <c r="E1765" s="924">
        <v>72</v>
      </c>
      <c r="F1765" s="937">
        <v>300</v>
      </c>
      <c r="G1765" s="122" t="s">
        <v>1963</v>
      </c>
    </row>
    <row r="1766" spans="1:9" x14ac:dyDescent="0.25">
      <c r="A1766" s="125">
        <f t="shared" si="179"/>
        <v>1726</v>
      </c>
      <c r="B1766" s="130"/>
      <c r="C1766" s="842" t="s">
        <v>11089</v>
      </c>
      <c r="D1766" s="924">
        <v>623.65</v>
      </c>
      <c r="E1766" s="924">
        <f>D1766/8*12</f>
        <v>935.47499999999991</v>
      </c>
      <c r="F1766" s="937">
        <v>300</v>
      </c>
      <c r="G1766" s="122" t="s">
        <v>1963</v>
      </c>
    </row>
    <row r="1767" spans="1:9" x14ac:dyDescent="0.25">
      <c r="A1767" s="125">
        <f t="shared" si="179"/>
        <v>1727</v>
      </c>
      <c r="B1767" s="130"/>
      <c r="C1767" s="842" t="s">
        <v>11090</v>
      </c>
      <c r="D1767" s="924">
        <v>29.15</v>
      </c>
      <c r="E1767" s="924">
        <f>D1767/8*12</f>
        <v>43.724999999999994</v>
      </c>
      <c r="F1767" s="937">
        <v>300</v>
      </c>
      <c r="G1767" s="122" t="s">
        <v>1963</v>
      </c>
    </row>
    <row r="1768" spans="1:9" x14ac:dyDescent="0.25">
      <c r="A1768" s="125">
        <f t="shared" si="179"/>
        <v>1728</v>
      </c>
      <c r="B1768" s="130"/>
      <c r="C1768" s="842" t="s">
        <v>11241</v>
      </c>
      <c r="D1768" s="924">
        <v>0</v>
      </c>
      <c r="E1768" s="924">
        <f t="shared" ref="E1768:E1822" si="180">D1768/8*12</f>
        <v>0</v>
      </c>
      <c r="F1768" s="937">
        <v>100</v>
      </c>
      <c r="G1768" s="122" t="s">
        <v>1963</v>
      </c>
    </row>
    <row r="1769" spans="1:9" x14ac:dyDescent="0.25">
      <c r="A1769" s="125">
        <f t="shared" si="179"/>
        <v>1729</v>
      </c>
      <c r="B1769" s="130"/>
      <c r="C1769" s="842" t="s">
        <v>11093</v>
      </c>
      <c r="D1769" s="924">
        <v>14490</v>
      </c>
      <c r="E1769" s="924">
        <f t="shared" si="180"/>
        <v>21735</v>
      </c>
      <c r="F1769" s="937">
        <v>500</v>
      </c>
      <c r="G1769" s="122" t="s">
        <v>1963</v>
      </c>
    </row>
    <row r="1770" spans="1:9" x14ac:dyDescent="0.25">
      <c r="A1770" s="125">
        <f t="shared" si="179"/>
        <v>1730</v>
      </c>
      <c r="B1770" s="130"/>
      <c r="C1770" s="842" t="s">
        <v>11094</v>
      </c>
      <c r="D1770" s="924">
        <v>0</v>
      </c>
      <c r="E1770" s="924">
        <f t="shared" si="180"/>
        <v>0</v>
      </c>
      <c r="F1770" s="937">
        <f>1867.17-72.28</f>
        <v>1794.89</v>
      </c>
      <c r="G1770" s="122" t="s">
        <v>1963</v>
      </c>
    </row>
    <row r="1771" spans="1:9" x14ac:dyDescent="0.25">
      <c r="A1771" s="125">
        <f t="shared" si="179"/>
        <v>1731</v>
      </c>
      <c r="B1771" s="130"/>
      <c r="C1771" s="842" t="s">
        <v>11095</v>
      </c>
      <c r="D1771" s="924">
        <v>2898</v>
      </c>
      <c r="E1771" s="924">
        <f t="shared" si="180"/>
        <v>4347</v>
      </c>
      <c r="F1771" s="937">
        <f>F1769*F83</f>
        <v>100</v>
      </c>
      <c r="G1771" s="122" t="s">
        <v>1963</v>
      </c>
    </row>
    <row r="1772" spans="1:9" x14ac:dyDescent="0.25">
      <c r="A1772" s="125">
        <f t="shared" si="179"/>
        <v>1732</v>
      </c>
      <c r="B1772" s="130"/>
      <c r="C1772" s="842" t="s">
        <v>11096</v>
      </c>
      <c r="D1772" s="924">
        <f>231.53*8</f>
        <v>1852.24</v>
      </c>
      <c r="E1772" s="924">
        <f t="shared" si="180"/>
        <v>2778.36</v>
      </c>
      <c r="F1772" s="937">
        <f>(209.39)*2+((209.39)*10)*(1+F4)*(1+F8)</f>
        <v>2628.8525718131614</v>
      </c>
      <c r="G1772" s="122" t="s">
        <v>1963</v>
      </c>
    </row>
    <row r="1773" spans="1:9" x14ac:dyDescent="0.25">
      <c r="A1773" s="125">
        <f t="shared" si="179"/>
        <v>1733</v>
      </c>
      <c r="B1773" s="130"/>
      <c r="C1773" s="842" t="s">
        <v>11097</v>
      </c>
      <c r="D1773" s="924">
        <v>0</v>
      </c>
      <c r="E1773" s="924">
        <f t="shared" si="180"/>
        <v>0</v>
      </c>
      <c r="F1773" s="937">
        <v>300</v>
      </c>
      <c r="G1773" s="122" t="s">
        <v>1963</v>
      </c>
    </row>
    <row r="1774" spans="1:9" x14ac:dyDescent="0.25">
      <c r="A1774" s="125">
        <f t="shared" si="179"/>
        <v>1734</v>
      </c>
      <c r="B1774" s="130"/>
      <c r="C1774" s="842" t="s">
        <v>11098</v>
      </c>
      <c r="D1774" s="924">
        <v>0</v>
      </c>
      <c r="E1774" s="924">
        <f t="shared" si="180"/>
        <v>0</v>
      </c>
      <c r="F1774" s="937">
        <v>300</v>
      </c>
      <c r="G1774" s="122" t="s">
        <v>1963</v>
      </c>
    </row>
    <row r="1775" spans="1:9" x14ac:dyDescent="0.25">
      <c r="A1775" s="125">
        <f t="shared" si="179"/>
        <v>1735</v>
      </c>
      <c r="B1775" s="130"/>
      <c r="C1775" s="842" t="s">
        <v>11242</v>
      </c>
      <c r="D1775" s="924">
        <v>0</v>
      </c>
      <c r="E1775" s="924">
        <f t="shared" si="180"/>
        <v>0</v>
      </c>
      <c r="F1775" s="937">
        <v>300</v>
      </c>
      <c r="G1775" s="122" t="s">
        <v>1963</v>
      </c>
    </row>
    <row r="1776" spans="1:9" x14ac:dyDescent="0.25">
      <c r="A1776" s="125">
        <f t="shared" si="179"/>
        <v>1736</v>
      </c>
      <c r="B1776" s="130"/>
      <c r="C1776" s="842" t="s">
        <v>11243</v>
      </c>
      <c r="D1776" s="924">
        <v>0</v>
      </c>
      <c r="E1776" s="924">
        <f t="shared" si="180"/>
        <v>0</v>
      </c>
      <c r="F1776" s="937">
        <v>300</v>
      </c>
      <c r="G1776" s="122" t="s">
        <v>1963</v>
      </c>
    </row>
    <row r="1777" spans="1:258" x14ac:dyDescent="0.25">
      <c r="A1777" s="125">
        <f t="shared" si="179"/>
        <v>1737</v>
      </c>
      <c r="B1777" s="804"/>
      <c r="C1777" s="804" t="s">
        <v>11214</v>
      </c>
      <c r="D1777" s="920"/>
      <c r="E1777" s="920"/>
      <c r="F1777" s="815"/>
      <c r="G1777" s="156"/>
      <c r="H1777" s="920"/>
      <c r="I1777" s="804"/>
      <c r="J1777" s="804"/>
      <c r="K1777" s="1374"/>
      <c r="L1777" s="1374"/>
      <c r="M1777" s="1374"/>
      <c r="N1777" s="1374"/>
      <c r="O1777" s="1374"/>
      <c r="P1777" s="1374"/>
      <c r="Q1777" s="1374"/>
      <c r="R1777" s="1374"/>
      <c r="S1777" s="1374"/>
      <c r="T1777" s="1374"/>
      <c r="U1777" s="1374"/>
      <c r="V1777" s="1374"/>
      <c r="W1777" s="1374"/>
      <c r="X1777" s="1374"/>
      <c r="Y1777" s="1374"/>
      <c r="Z1777" s="1374"/>
      <c r="AA1777" s="1374"/>
      <c r="AB1777" s="1374"/>
      <c r="AC1777" s="1374"/>
      <c r="AD1777" s="1374"/>
      <c r="AE1777" s="1374"/>
      <c r="AF1777" s="1374"/>
      <c r="AG1777" s="1374"/>
      <c r="AH1777" s="1374"/>
      <c r="AI1777" s="1374"/>
      <c r="AJ1777" s="1374"/>
      <c r="AK1777" s="1374"/>
      <c r="AL1777" s="1374"/>
      <c r="AM1777" s="1374"/>
      <c r="AN1777" s="1374"/>
      <c r="AO1777" s="1374"/>
      <c r="AP1777" s="1374"/>
      <c r="AQ1777" s="1374"/>
      <c r="AR1777" s="1374"/>
      <c r="AS1777" s="1374"/>
      <c r="AT1777" s="1374"/>
      <c r="AU1777" s="1374"/>
      <c r="AV1777" s="1374"/>
      <c r="AW1777" s="1374"/>
      <c r="AX1777" s="1374"/>
      <c r="AY1777" s="1374"/>
      <c r="AZ1777" s="1374"/>
      <c r="BA1777" s="1374"/>
      <c r="BB1777" s="1374"/>
      <c r="BC1777" s="1374"/>
      <c r="BD1777" s="1374"/>
      <c r="BE1777" s="1374"/>
      <c r="BF1777" s="1374"/>
      <c r="BG1777" s="1374"/>
      <c r="BH1777" s="1374"/>
      <c r="BI1777" s="1374"/>
      <c r="BJ1777" s="1374"/>
      <c r="BK1777" s="1374"/>
      <c r="BL1777" s="1374"/>
      <c r="BM1777" s="1374"/>
      <c r="BN1777" s="1374"/>
      <c r="BO1777" s="1374"/>
      <c r="BP1777" s="1374"/>
      <c r="BQ1777" s="1374"/>
      <c r="BR1777" s="1374"/>
      <c r="BS1777" s="1374"/>
      <c r="BT1777" s="1374"/>
      <c r="BU1777" s="1374"/>
      <c r="BV1777" s="1374"/>
      <c r="BW1777" s="1374"/>
      <c r="BX1777" s="1374"/>
      <c r="BY1777" s="1374"/>
      <c r="BZ1777" s="1374"/>
      <c r="CA1777" s="1374"/>
      <c r="CB1777" s="1374"/>
      <c r="CC1777" s="1374"/>
      <c r="CD1777" s="1374"/>
      <c r="CE1777" s="1374"/>
      <c r="CF1777" s="1374"/>
      <c r="CG1777" s="1374"/>
      <c r="CH1777" s="1374"/>
      <c r="CI1777" s="1374"/>
      <c r="CJ1777" s="1374"/>
      <c r="CK1777" s="1374"/>
      <c r="CL1777" s="1374"/>
      <c r="CM1777" s="1374"/>
      <c r="CN1777" s="1374"/>
      <c r="CO1777" s="1374"/>
      <c r="CP1777" s="1374"/>
      <c r="CQ1777" s="1374"/>
      <c r="CR1777" s="1374"/>
      <c r="CS1777" s="1374"/>
      <c r="CT1777" s="1374"/>
      <c r="CU1777" s="1374"/>
      <c r="CV1777" s="1374"/>
      <c r="CW1777" s="1374"/>
      <c r="CX1777" s="1374"/>
      <c r="CY1777" s="1374"/>
      <c r="CZ1777" s="1374"/>
      <c r="DA1777" s="1374"/>
      <c r="DB1777" s="1374"/>
      <c r="DC1777" s="1374"/>
      <c r="DD1777" s="1374"/>
      <c r="DE1777" s="1374"/>
      <c r="DF1777" s="1374"/>
      <c r="DG1777" s="1374"/>
      <c r="DH1777" s="1374"/>
      <c r="DI1777" s="1374"/>
      <c r="DJ1777" s="1374"/>
      <c r="DK1777" s="1374"/>
      <c r="DL1777" s="1374"/>
      <c r="DM1777" s="1374"/>
      <c r="DN1777" s="1374"/>
      <c r="DO1777" s="1374"/>
      <c r="DP1777" s="1374"/>
      <c r="DQ1777" s="1374"/>
      <c r="DR1777" s="1374"/>
      <c r="DS1777" s="1374"/>
      <c r="DT1777" s="1374"/>
      <c r="DU1777" s="1374"/>
      <c r="DV1777" s="1374"/>
      <c r="DW1777" s="1374"/>
      <c r="DX1777" s="1374"/>
      <c r="DY1777" s="1374"/>
      <c r="DZ1777" s="1374"/>
      <c r="EA1777" s="1374"/>
      <c r="EB1777" s="1374"/>
      <c r="EC1777" s="1374"/>
      <c r="ED1777" s="1374"/>
      <c r="EE1777" s="1374"/>
      <c r="EF1777" s="1374"/>
      <c r="EG1777" s="1374"/>
      <c r="EH1777" s="1374"/>
      <c r="EI1777" s="1374"/>
      <c r="EJ1777" s="1374"/>
      <c r="EK1777" s="1374"/>
      <c r="EL1777" s="1374"/>
      <c r="EM1777" s="1374"/>
      <c r="EN1777" s="1374"/>
      <c r="EO1777" s="1374"/>
      <c r="EP1777" s="1374"/>
      <c r="EQ1777" s="1374"/>
      <c r="ER1777" s="1374"/>
      <c r="ES1777" s="1374"/>
      <c r="ET1777" s="1374"/>
      <c r="EU1777" s="1374"/>
      <c r="EV1777" s="1374"/>
      <c r="EW1777" s="1374"/>
      <c r="EX1777" s="1374"/>
      <c r="EY1777" s="1374"/>
      <c r="EZ1777" s="1374"/>
      <c r="FA1777" s="1374"/>
      <c r="FB1777" s="1374"/>
      <c r="FC1777" s="1374"/>
      <c r="FD1777" s="1374"/>
      <c r="FE1777" s="1374"/>
      <c r="FF1777" s="1374"/>
      <c r="FG1777" s="1374"/>
      <c r="FH1777" s="1374"/>
      <c r="FI1777" s="1374"/>
      <c r="FJ1777" s="1374"/>
      <c r="FK1777" s="1374"/>
      <c r="FL1777" s="1374"/>
      <c r="FM1777" s="1374"/>
      <c r="FN1777" s="1374"/>
      <c r="FO1777" s="1374"/>
      <c r="FP1777" s="1374"/>
      <c r="FQ1777" s="1374"/>
      <c r="FR1777" s="1374"/>
      <c r="FS1777" s="1374"/>
      <c r="FT1777" s="1374"/>
      <c r="FU1777" s="1374"/>
      <c r="FV1777" s="1374"/>
      <c r="FW1777" s="1374"/>
      <c r="FX1777" s="1374"/>
      <c r="FY1777" s="1374"/>
      <c r="FZ1777" s="1374"/>
      <c r="GA1777" s="1374"/>
      <c r="GB1777" s="1374"/>
      <c r="GC1777" s="1374"/>
      <c r="GD1777" s="1374"/>
      <c r="GE1777" s="1374"/>
      <c r="GF1777" s="1374"/>
      <c r="GG1777" s="1374"/>
      <c r="GH1777" s="1374"/>
      <c r="GI1777" s="1374"/>
      <c r="GJ1777" s="1374"/>
      <c r="GK1777" s="1374"/>
      <c r="GL1777" s="1374"/>
      <c r="GM1777" s="1374"/>
      <c r="GN1777" s="1374"/>
      <c r="GO1777" s="1374"/>
      <c r="GP1777" s="1374"/>
      <c r="GQ1777" s="1374"/>
      <c r="GR1777" s="1374"/>
      <c r="GS1777" s="1374"/>
      <c r="GT1777" s="1374"/>
      <c r="GU1777" s="1374"/>
      <c r="GV1777" s="1374"/>
      <c r="GW1777" s="1374"/>
      <c r="GX1777" s="1374"/>
      <c r="GY1777" s="1374"/>
      <c r="GZ1777" s="1374"/>
      <c r="HA1777" s="1374"/>
      <c r="HB1777" s="1374"/>
      <c r="HC1777" s="1374"/>
      <c r="HD1777" s="1374"/>
      <c r="HE1777" s="1374"/>
      <c r="HF1777" s="1374"/>
      <c r="HG1777" s="1374"/>
      <c r="HH1777" s="1374"/>
      <c r="HI1777" s="1374"/>
      <c r="HJ1777" s="1374"/>
      <c r="HK1777" s="1374"/>
      <c r="HL1777" s="1374"/>
      <c r="HM1777" s="1374"/>
      <c r="HN1777" s="1374"/>
      <c r="HO1777" s="1374"/>
      <c r="HP1777" s="1374"/>
      <c r="HQ1777" s="1374"/>
      <c r="HR1777" s="1374"/>
      <c r="HS1777" s="1374"/>
      <c r="HT1777" s="1374"/>
      <c r="HU1777" s="1374"/>
      <c r="HV1777" s="1374"/>
      <c r="HW1777" s="1374"/>
      <c r="HX1777" s="1374"/>
      <c r="HY1777" s="1374"/>
      <c r="HZ1777" s="1374"/>
      <c r="IA1777" s="1374"/>
      <c r="IB1777" s="1374"/>
      <c r="IC1777" s="1374"/>
      <c r="ID1777" s="1374"/>
      <c r="IE1777" s="1374"/>
      <c r="IF1777" s="1374"/>
      <c r="IG1777" s="1374"/>
      <c r="IH1777" s="1374"/>
      <c r="II1777" s="1374"/>
      <c r="IJ1777" s="1374"/>
      <c r="IK1777" s="1374"/>
      <c r="IL1777" s="1374"/>
      <c r="IM1777" s="1374"/>
      <c r="IN1777" s="1374"/>
      <c r="IO1777" s="1374"/>
      <c r="IP1777" s="1374"/>
      <c r="IQ1777" s="1374"/>
      <c r="IR1777" s="1374"/>
      <c r="IS1777" s="1374"/>
      <c r="IT1777" s="1374"/>
      <c r="IU1777" s="1374"/>
      <c r="IV1777" s="1374"/>
      <c r="IW1777" s="1374"/>
      <c r="IX1777" s="1374"/>
    </row>
    <row r="1778" spans="1:258" x14ac:dyDescent="0.25">
      <c r="A1778" s="125">
        <f t="shared" si="179"/>
        <v>1738</v>
      </c>
      <c r="B1778" s="130"/>
      <c r="C1778" s="842" t="s">
        <v>11119</v>
      </c>
      <c r="D1778" s="924">
        <v>0</v>
      </c>
      <c r="E1778" s="924">
        <f t="shared" si="180"/>
        <v>0</v>
      </c>
      <c r="F1778" s="937">
        <v>1</v>
      </c>
      <c r="G1778" s="122" t="s">
        <v>1963</v>
      </c>
    </row>
    <row r="1779" spans="1:258" x14ac:dyDescent="0.25">
      <c r="A1779" s="125">
        <f t="shared" si="179"/>
        <v>1739</v>
      </c>
      <c r="B1779" s="130"/>
      <c r="C1779" s="842" t="s">
        <v>11120</v>
      </c>
      <c r="D1779" s="924">
        <v>0</v>
      </c>
      <c r="E1779" s="924">
        <f t="shared" si="180"/>
        <v>0</v>
      </c>
      <c r="F1779" s="937">
        <v>1</v>
      </c>
      <c r="G1779" s="122" t="s">
        <v>1963</v>
      </c>
    </row>
    <row r="1780" spans="1:258" x14ac:dyDescent="0.25">
      <c r="A1780" s="125">
        <f t="shared" si="179"/>
        <v>1740</v>
      </c>
      <c r="B1780" s="130"/>
      <c r="C1780" s="842" t="s">
        <v>11244</v>
      </c>
      <c r="D1780" s="924">
        <v>0</v>
      </c>
      <c r="E1780" s="924">
        <f t="shared" si="180"/>
        <v>0</v>
      </c>
      <c r="F1780" s="937">
        <v>1</v>
      </c>
      <c r="G1780" s="122" t="s">
        <v>1963</v>
      </c>
    </row>
    <row r="1781" spans="1:258" x14ac:dyDescent="0.25">
      <c r="A1781" s="125">
        <f t="shared" si="179"/>
        <v>1741</v>
      </c>
      <c r="B1781" s="130"/>
      <c r="C1781" s="842" t="s">
        <v>11245</v>
      </c>
      <c r="D1781" s="924">
        <v>0</v>
      </c>
      <c r="E1781" s="924">
        <f t="shared" si="180"/>
        <v>0</v>
      </c>
      <c r="F1781" s="937">
        <v>1</v>
      </c>
      <c r="G1781" s="122" t="s">
        <v>1963</v>
      </c>
    </row>
    <row r="1782" spans="1:258" x14ac:dyDescent="0.25">
      <c r="A1782" s="125">
        <f t="shared" si="179"/>
        <v>1742</v>
      </c>
      <c r="B1782" s="130"/>
      <c r="C1782" s="842" t="s">
        <v>11122</v>
      </c>
      <c r="D1782" s="924">
        <v>0</v>
      </c>
      <c r="E1782" s="924">
        <f t="shared" si="180"/>
        <v>0</v>
      </c>
      <c r="F1782" s="937">
        <v>1000</v>
      </c>
      <c r="G1782" s="122" t="s">
        <v>1963</v>
      </c>
    </row>
    <row r="1783" spans="1:258" x14ac:dyDescent="0.25">
      <c r="A1783" s="125">
        <f t="shared" si="179"/>
        <v>1743</v>
      </c>
      <c r="B1783" s="885"/>
      <c r="C1783" s="842" t="s">
        <v>11123</v>
      </c>
      <c r="D1783" s="924">
        <v>1719.36</v>
      </c>
      <c r="E1783" s="924">
        <f t="shared" si="180"/>
        <v>2579.04</v>
      </c>
      <c r="F1783" s="937">
        <v>1495.34</v>
      </c>
      <c r="G1783" s="122" t="s">
        <v>1963</v>
      </c>
      <c r="H1783" s="885"/>
      <c r="I1783" s="885"/>
      <c r="J1783" s="885"/>
      <c r="K1783" s="885"/>
      <c r="L1783" s="885"/>
      <c r="M1783" s="885"/>
      <c r="N1783" s="885"/>
      <c r="O1783" s="885"/>
      <c r="P1783" s="885"/>
      <c r="Q1783" s="885"/>
      <c r="R1783" s="885"/>
      <c r="S1783" s="885"/>
      <c r="T1783" s="885"/>
      <c r="U1783" s="885"/>
      <c r="V1783" s="885"/>
      <c r="W1783" s="885"/>
      <c r="X1783" s="885"/>
      <c r="Y1783" s="885"/>
      <c r="Z1783" s="885"/>
      <c r="AA1783" s="885"/>
      <c r="AB1783" s="885"/>
      <c r="AC1783" s="885"/>
      <c r="AD1783" s="885"/>
      <c r="AE1783" s="885"/>
      <c r="AF1783" s="885"/>
      <c r="AG1783" s="885"/>
      <c r="AH1783" s="885"/>
      <c r="AI1783" s="885"/>
      <c r="AJ1783" s="885"/>
      <c r="AK1783" s="885"/>
      <c r="AL1783" s="885"/>
      <c r="AM1783" s="885"/>
      <c r="AN1783" s="885"/>
      <c r="AO1783" s="885"/>
      <c r="AP1783" s="885"/>
      <c r="AQ1783" s="885"/>
      <c r="AR1783" s="885"/>
      <c r="AS1783" s="885"/>
      <c r="AT1783" s="885"/>
      <c r="AU1783" s="885"/>
      <c r="AV1783" s="885"/>
      <c r="AW1783" s="885"/>
      <c r="AX1783" s="885"/>
      <c r="AY1783" s="885"/>
      <c r="AZ1783" s="885"/>
      <c r="BA1783" s="885"/>
      <c r="BB1783" s="885"/>
      <c r="BC1783" s="885"/>
      <c r="BD1783" s="885"/>
      <c r="BE1783" s="885"/>
      <c r="BF1783" s="885"/>
      <c r="BG1783" s="885"/>
      <c r="BH1783" s="885"/>
      <c r="BI1783" s="885"/>
      <c r="BJ1783" s="885"/>
      <c r="BK1783" s="885"/>
      <c r="BL1783" s="885"/>
      <c r="BM1783" s="885"/>
      <c r="BN1783" s="885"/>
      <c r="BO1783" s="885"/>
      <c r="BP1783" s="885"/>
      <c r="BQ1783" s="885"/>
      <c r="BR1783" s="885"/>
      <c r="BS1783" s="885"/>
      <c r="BT1783" s="885"/>
      <c r="BU1783" s="885"/>
      <c r="BV1783" s="885"/>
      <c r="BW1783" s="885"/>
      <c r="BX1783" s="885"/>
      <c r="BY1783" s="885"/>
      <c r="BZ1783" s="885"/>
      <c r="CA1783" s="885"/>
      <c r="CB1783" s="885"/>
      <c r="CC1783" s="885"/>
      <c r="CD1783" s="885"/>
      <c r="CE1783" s="885"/>
      <c r="CF1783" s="885"/>
      <c r="CG1783" s="885"/>
      <c r="CH1783" s="885"/>
      <c r="CI1783" s="885"/>
      <c r="CJ1783" s="885"/>
      <c r="CK1783" s="885"/>
      <c r="CL1783" s="885"/>
      <c r="CM1783" s="885"/>
      <c r="CN1783" s="885"/>
      <c r="CO1783" s="885"/>
      <c r="CP1783" s="885"/>
      <c r="CQ1783" s="885"/>
      <c r="CR1783" s="885"/>
      <c r="CS1783" s="885"/>
      <c r="CT1783" s="885"/>
      <c r="CU1783" s="885"/>
      <c r="CV1783" s="885"/>
      <c r="CW1783" s="885"/>
      <c r="CX1783" s="885"/>
      <c r="CY1783" s="885"/>
      <c r="CZ1783" s="885"/>
      <c r="DA1783" s="885"/>
      <c r="DB1783" s="885"/>
      <c r="DC1783" s="885"/>
      <c r="DD1783" s="885"/>
      <c r="DE1783" s="885"/>
      <c r="DF1783" s="885"/>
      <c r="DG1783" s="885"/>
      <c r="DH1783" s="885"/>
      <c r="DI1783" s="885"/>
      <c r="DJ1783" s="885"/>
      <c r="DK1783" s="885"/>
      <c r="DL1783" s="885"/>
      <c r="DM1783" s="885"/>
      <c r="DN1783" s="885"/>
      <c r="DO1783" s="885"/>
      <c r="DP1783" s="885"/>
      <c r="DQ1783" s="885"/>
      <c r="DR1783" s="885"/>
      <c r="DS1783" s="885"/>
      <c r="DT1783" s="885"/>
      <c r="DU1783" s="885"/>
      <c r="DV1783" s="885"/>
      <c r="DW1783" s="885"/>
      <c r="DX1783" s="885"/>
      <c r="DY1783" s="885"/>
      <c r="DZ1783" s="885"/>
      <c r="EA1783" s="885"/>
      <c r="EB1783" s="885"/>
      <c r="EC1783" s="885"/>
      <c r="ED1783" s="885"/>
      <c r="EE1783" s="885"/>
      <c r="EF1783" s="885"/>
      <c r="EG1783" s="885"/>
      <c r="EH1783" s="885"/>
      <c r="EI1783" s="885"/>
      <c r="EJ1783" s="885"/>
      <c r="EK1783" s="885"/>
      <c r="EL1783" s="885"/>
      <c r="EM1783" s="885"/>
      <c r="EN1783" s="885"/>
      <c r="EO1783" s="885"/>
      <c r="EP1783" s="885"/>
      <c r="EQ1783" s="885"/>
      <c r="ER1783" s="885"/>
      <c r="ES1783" s="885"/>
      <c r="ET1783" s="885"/>
      <c r="EU1783" s="885"/>
      <c r="EV1783" s="885"/>
      <c r="EW1783" s="885"/>
      <c r="EX1783" s="885"/>
      <c r="EY1783" s="885"/>
      <c r="EZ1783" s="885"/>
      <c r="FA1783" s="885"/>
      <c r="FB1783" s="885"/>
      <c r="FC1783" s="885"/>
      <c r="FD1783" s="885"/>
      <c r="FE1783" s="885"/>
      <c r="FF1783" s="885"/>
      <c r="FG1783" s="885"/>
      <c r="FH1783" s="885"/>
      <c r="FI1783" s="885"/>
      <c r="FJ1783" s="885"/>
      <c r="FK1783" s="885"/>
      <c r="FL1783" s="885"/>
      <c r="FM1783" s="885"/>
      <c r="FN1783" s="885"/>
      <c r="FO1783" s="885"/>
      <c r="FP1783" s="885"/>
      <c r="FQ1783" s="885"/>
      <c r="FR1783" s="885"/>
      <c r="FS1783" s="885"/>
      <c r="FT1783" s="885"/>
      <c r="FU1783" s="885"/>
      <c r="FV1783" s="885"/>
      <c r="FW1783" s="885"/>
      <c r="FX1783" s="885"/>
      <c r="FY1783" s="885"/>
      <c r="FZ1783" s="885"/>
      <c r="GA1783" s="885"/>
      <c r="GB1783" s="885"/>
      <c r="GC1783" s="885"/>
      <c r="GD1783" s="885"/>
      <c r="GE1783" s="885"/>
      <c r="GF1783" s="885"/>
      <c r="GG1783" s="885"/>
      <c r="GH1783" s="885"/>
      <c r="GI1783" s="885"/>
      <c r="GJ1783" s="885"/>
      <c r="GK1783" s="885"/>
      <c r="GL1783" s="885"/>
      <c r="GM1783" s="885"/>
      <c r="GN1783" s="885"/>
      <c r="GO1783" s="885"/>
      <c r="GP1783" s="885"/>
      <c r="GQ1783" s="885"/>
      <c r="GR1783" s="885"/>
      <c r="GS1783" s="885"/>
      <c r="GT1783" s="885"/>
      <c r="GU1783" s="885"/>
      <c r="GV1783" s="885"/>
      <c r="GW1783" s="885"/>
      <c r="GX1783" s="885"/>
      <c r="GY1783" s="885"/>
      <c r="GZ1783" s="885"/>
      <c r="HA1783" s="885"/>
      <c r="HB1783" s="885"/>
      <c r="HC1783" s="885"/>
      <c r="HD1783" s="885"/>
      <c r="HE1783" s="885"/>
      <c r="HF1783" s="885"/>
      <c r="HG1783" s="885"/>
      <c r="HH1783" s="885"/>
      <c r="HI1783" s="885"/>
      <c r="HJ1783" s="885"/>
      <c r="HK1783" s="885"/>
      <c r="HL1783" s="885"/>
      <c r="HM1783" s="885"/>
      <c r="HN1783" s="885"/>
      <c r="HO1783" s="885"/>
      <c r="HP1783" s="885"/>
      <c r="HQ1783" s="885"/>
      <c r="HR1783" s="885"/>
      <c r="HS1783" s="885"/>
      <c r="HT1783" s="885"/>
      <c r="HU1783" s="885"/>
      <c r="HV1783" s="885"/>
      <c r="HW1783" s="885"/>
      <c r="HX1783" s="885"/>
      <c r="HY1783" s="885"/>
      <c r="HZ1783" s="885"/>
      <c r="IA1783" s="885"/>
      <c r="IB1783" s="885"/>
      <c r="IC1783" s="885"/>
      <c r="ID1783" s="885"/>
      <c r="IE1783" s="885"/>
      <c r="IF1783" s="885"/>
      <c r="IG1783" s="885"/>
      <c r="IH1783" s="885"/>
      <c r="II1783" s="885"/>
      <c r="IJ1783" s="885"/>
      <c r="IK1783" s="885"/>
      <c r="IL1783" s="885"/>
      <c r="IM1783" s="885"/>
      <c r="IN1783" s="885"/>
      <c r="IO1783" s="885"/>
      <c r="IP1783" s="885"/>
      <c r="IQ1783" s="885"/>
      <c r="IR1783" s="885"/>
      <c r="IS1783" s="885"/>
      <c r="IT1783" s="885"/>
      <c r="IU1783" s="885"/>
      <c r="IV1783" s="885"/>
      <c r="IW1783" s="885"/>
      <c r="IX1783" s="885"/>
    </row>
    <row r="1784" spans="1:258" x14ac:dyDescent="0.25">
      <c r="A1784" s="125">
        <f t="shared" si="179"/>
        <v>1744</v>
      </c>
      <c r="B1784" s="812"/>
      <c r="C1784" s="842" t="s">
        <v>11124</v>
      </c>
      <c r="D1784" s="924">
        <v>0</v>
      </c>
      <c r="E1784" s="924">
        <f t="shared" si="180"/>
        <v>0</v>
      </c>
      <c r="F1784" s="937">
        <v>1</v>
      </c>
      <c r="G1784" s="122" t="s">
        <v>1963</v>
      </c>
    </row>
    <row r="1785" spans="1:258" x14ac:dyDescent="0.25">
      <c r="A1785" s="125">
        <f t="shared" si="179"/>
        <v>1745</v>
      </c>
      <c r="B1785" s="804"/>
      <c r="C1785" s="842" t="s">
        <v>11246</v>
      </c>
      <c r="D1785" s="924">
        <v>0</v>
      </c>
      <c r="E1785" s="924">
        <f t="shared" si="180"/>
        <v>0</v>
      </c>
      <c r="F1785" s="937">
        <v>1</v>
      </c>
      <c r="G1785" s="122" t="s">
        <v>1963</v>
      </c>
    </row>
    <row r="1786" spans="1:258" x14ac:dyDescent="0.25">
      <c r="A1786" s="125">
        <f t="shared" si="179"/>
        <v>1746</v>
      </c>
      <c r="B1786" s="130"/>
      <c r="C1786" s="842" t="s">
        <v>11247</v>
      </c>
      <c r="D1786" s="924">
        <v>0</v>
      </c>
      <c r="E1786" s="924">
        <f t="shared" si="180"/>
        <v>0</v>
      </c>
      <c r="F1786" s="937">
        <v>1</v>
      </c>
      <c r="G1786" s="122" t="s">
        <v>1963</v>
      </c>
    </row>
    <row r="1787" spans="1:258" x14ac:dyDescent="0.25">
      <c r="A1787" s="125">
        <f t="shared" si="179"/>
        <v>1747</v>
      </c>
      <c r="B1787" s="130"/>
      <c r="C1787" s="842" t="s">
        <v>11248</v>
      </c>
      <c r="D1787" s="924">
        <v>1087.95</v>
      </c>
      <c r="E1787" s="924">
        <f t="shared" si="180"/>
        <v>1631.9250000000002</v>
      </c>
      <c r="F1787" s="937">
        <v>1001</v>
      </c>
      <c r="G1787" s="122" t="s">
        <v>1963</v>
      </c>
    </row>
    <row r="1788" spans="1:258" x14ac:dyDescent="0.25">
      <c r="A1788" s="125">
        <f t="shared" si="179"/>
        <v>1748</v>
      </c>
      <c r="B1788" s="130"/>
      <c r="C1788" s="842" t="s">
        <v>11249</v>
      </c>
      <c r="D1788" s="924">
        <v>0</v>
      </c>
      <c r="E1788" s="924">
        <f t="shared" si="180"/>
        <v>0</v>
      </c>
      <c r="F1788" s="937">
        <f>F1786*F83</f>
        <v>0.2</v>
      </c>
      <c r="G1788" s="122" t="s">
        <v>1963</v>
      </c>
    </row>
    <row r="1789" spans="1:258" x14ac:dyDescent="0.25">
      <c r="A1789" s="125">
        <f t="shared" si="179"/>
        <v>1749</v>
      </c>
      <c r="B1789" s="130"/>
      <c r="C1789" s="842" t="s">
        <v>11130</v>
      </c>
      <c r="D1789" s="924">
        <v>0</v>
      </c>
      <c r="E1789" s="924">
        <f t="shared" si="180"/>
        <v>0</v>
      </c>
      <c r="F1789" s="937">
        <v>1</v>
      </c>
      <c r="G1789" s="122" t="s">
        <v>1963</v>
      </c>
    </row>
    <row r="1790" spans="1:258" x14ac:dyDescent="0.25">
      <c r="A1790" s="125">
        <f t="shared" si="179"/>
        <v>1750</v>
      </c>
      <c r="C1790" s="842" t="s">
        <v>11250</v>
      </c>
      <c r="D1790" s="924">
        <v>0</v>
      </c>
      <c r="E1790" s="924">
        <f t="shared" si="180"/>
        <v>0</v>
      </c>
      <c r="F1790" s="937">
        <v>1</v>
      </c>
      <c r="G1790" s="122" t="s">
        <v>1963</v>
      </c>
    </row>
    <row r="1791" spans="1:258" x14ac:dyDescent="0.25">
      <c r="A1791" s="125">
        <f t="shared" si="179"/>
        <v>1751</v>
      </c>
      <c r="C1791" s="842" t="s">
        <v>11132</v>
      </c>
      <c r="D1791" s="924">
        <v>0</v>
      </c>
      <c r="E1791" s="924">
        <f t="shared" si="180"/>
        <v>0</v>
      </c>
      <c r="F1791" s="937">
        <v>1</v>
      </c>
      <c r="G1791" s="122" t="s">
        <v>1963</v>
      </c>
    </row>
    <row r="1792" spans="1:258" x14ac:dyDescent="0.25">
      <c r="A1792" s="125">
        <f t="shared" si="179"/>
        <v>1752</v>
      </c>
      <c r="C1792" s="842" t="s">
        <v>11251</v>
      </c>
      <c r="D1792" s="924">
        <v>0</v>
      </c>
      <c r="E1792" s="924">
        <f t="shared" si="180"/>
        <v>0</v>
      </c>
      <c r="F1792" s="937">
        <v>1</v>
      </c>
      <c r="G1792" s="122" t="s">
        <v>1963</v>
      </c>
    </row>
    <row r="1793" spans="1:9" x14ac:dyDescent="0.25">
      <c r="A1793" s="125">
        <f t="shared" si="179"/>
        <v>1753</v>
      </c>
      <c r="C1793" s="842" t="s">
        <v>11134</v>
      </c>
      <c r="D1793" s="924">
        <v>1849</v>
      </c>
      <c r="E1793" s="924">
        <f t="shared" si="180"/>
        <v>2773.5</v>
      </c>
      <c r="F1793" s="937">
        <v>1</v>
      </c>
      <c r="G1793" s="122" t="s">
        <v>1963</v>
      </c>
    </row>
    <row r="1794" spans="1:9" x14ac:dyDescent="0.25">
      <c r="A1794" s="125">
        <f t="shared" si="179"/>
        <v>1754</v>
      </c>
      <c r="C1794" s="123" t="s">
        <v>11252</v>
      </c>
      <c r="D1794" s="904"/>
      <c r="E1794" s="904"/>
      <c r="F1794" s="937"/>
    </row>
    <row r="1795" spans="1:9" x14ac:dyDescent="0.25">
      <c r="A1795" s="125">
        <f t="shared" si="179"/>
        <v>1755</v>
      </c>
      <c r="C1795" s="842" t="s">
        <v>11253</v>
      </c>
      <c r="D1795" s="924">
        <v>0</v>
      </c>
      <c r="E1795" s="924">
        <f t="shared" si="180"/>
        <v>0</v>
      </c>
      <c r="F1795" s="937">
        <v>1000</v>
      </c>
      <c r="G1795" s="122" t="s">
        <v>1963</v>
      </c>
    </row>
    <row r="1796" spans="1:9" x14ac:dyDescent="0.25">
      <c r="A1796" s="125">
        <f t="shared" si="179"/>
        <v>1756</v>
      </c>
      <c r="C1796" s="842" t="s">
        <v>11254</v>
      </c>
      <c r="D1796" s="924">
        <v>16734.68</v>
      </c>
      <c r="E1796" s="924">
        <f t="shared" si="180"/>
        <v>25102.02</v>
      </c>
      <c r="F1796" s="937">
        <v>25200</v>
      </c>
      <c r="G1796" s="122" t="s">
        <v>1963</v>
      </c>
    </row>
    <row r="1797" spans="1:9" x14ac:dyDescent="0.25">
      <c r="A1797" s="125">
        <f t="shared" si="179"/>
        <v>1757</v>
      </c>
      <c r="C1797" s="842" t="s">
        <v>11255</v>
      </c>
      <c r="D1797" s="924">
        <v>2685.85</v>
      </c>
      <c r="E1797" s="924">
        <f t="shared" si="180"/>
        <v>4028.7749999999996</v>
      </c>
      <c r="F1797" s="937">
        <v>4100</v>
      </c>
      <c r="G1797" s="122" t="s">
        <v>1963</v>
      </c>
    </row>
    <row r="1798" spans="1:9" x14ac:dyDescent="0.25">
      <c r="A1798" s="125">
        <f t="shared" si="179"/>
        <v>1758</v>
      </c>
      <c r="C1798" s="842" t="s">
        <v>11256</v>
      </c>
      <c r="D1798" s="924">
        <v>0</v>
      </c>
      <c r="E1798" s="924">
        <f t="shared" si="180"/>
        <v>0</v>
      </c>
      <c r="F1798" s="937">
        <v>500</v>
      </c>
      <c r="G1798" s="122" t="s">
        <v>1963</v>
      </c>
    </row>
    <row r="1799" spans="1:9" x14ac:dyDescent="0.25">
      <c r="A1799" s="125">
        <f t="shared" si="179"/>
        <v>1759</v>
      </c>
      <c r="C1799" s="842" t="s">
        <v>11257</v>
      </c>
      <c r="D1799" s="924">
        <v>37910.94</v>
      </c>
      <c r="E1799" s="924">
        <f t="shared" si="180"/>
        <v>56866.41</v>
      </c>
      <c r="F1799" s="937">
        <v>30000</v>
      </c>
      <c r="G1799" s="122" t="s">
        <v>1963</v>
      </c>
    </row>
    <row r="1800" spans="1:9" x14ac:dyDescent="0.25">
      <c r="A1800" s="125">
        <f t="shared" si="179"/>
        <v>1760</v>
      </c>
      <c r="C1800" s="842" t="s">
        <v>11258</v>
      </c>
      <c r="D1800" s="924">
        <v>42543.98</v>
      </c>
      <c r="E1800" s="924">
        <f t="shared" si="180"/>
        <v>63815.97</v>
      </c>
      <c r="F1800" s="937">
        <f>25000+6504.15+6233.12</f>
        <v>37737.270000000004</v>
      </c>
      <c r="G1800" s="122" t="s">
        <v>1963</v>
      </c>
    </row>
    <row r="1801" spans="1:9" x14ac:dyDescent="0.25">
      <c r="A1801" s="125">
        <f t="shared" si="179"/>
        <v>1761</v>
      </c>
      <c r="C1801" s="842" t="s">
        <v>11259</v>
      </c>
      <c r="D1801" s="924">
        <v>9196.36</v>
      </c>
      <c r="E1801" s="924">
        <f t="shared" si="180"/>
        <v>13794.54</v>
      </c>
      <c r="F1801" s="937">
        <v>14000</v>
      </c>
      <c r="G1801" s="122" t="s">
        <v>1963</v>
      </c>
    </row>
    <row r="1802" spans="1:9" x14ac:dyDescent="0.25">
      <c r="A1802" s="125">
        <f t="shared" si="179"/>
        <v>1762</v>
      </c>
      <c r="C1802" s="842" t="s">
        <v>11260</v>
      </c>
      <c r="D1802" s="924">
        <v>0</v>
      </c>
      <c r="E1802" s="924">
        <f t="shared" si="180"/>
        <v>0</v>
      </c>
      <c r="F1802" s="937">
        <v>1500</v>
      </c>
      <c r="G1802" s="122" t="s">
        <v>1963</v>
      </c>
    </row>
    <row r="1803" spans="1:9" x14ac:dyDescent="0.25">
      <c r="A1803" s="125">
        <f t="shared" si="179"/>
        <v>1763</v>
      </c>
      <c r="C1803" s="842" t="s">
        <v>11261</v>
      </c>
      <c r="D1803" s="924">
        <v>0</v>
      </c>
      <c r="E1803" s="924">
        <f t="shared" si="180"/>
        <v>0</v>
      </c>
      <c r="F1803" s="937">
        <v>3000</v>
      </c>
      <c r="G1803" s="122" t="s">
        <v>1963</v>
      </c>
    </row>
    <row r="1804" spans="1:9" x14ac:dyDescent="0.25">
      <c r="A1804" s="125">
        <f t="shared" si="179"/>
        <v>1764</v>
      </c>
      <c r="C1804" s="842" t="s">
        <v>11262</v>
      </c>
      <c r="D1804" s="924">
        <v>0</v>
      </c>
      <c r="E1804" s="924">
        <f t="shared" si="180"/>
        <v>0</v>
      </c>
      <c r="F1804" s="937">
        <v>3000</v>
      </c>
      <c r="G1804" s="122" t="s">
        <v>1963</v>
      </c>
    </row>
    <row r="1805" spans="1:9" x14ac:dyDescent="0.25">
      <c r="A1805" s="125">
        <f t="shared" si="179"/>
        <v>1765</v>
      </c>
      <c r="C1805" s="842" t="s">
        <v>11263</v>
      </c>
      <c r="D1805" s="924">
        <v>0</v>
      </c>
      <c r="E1805" s="924">
        <f t="shared" si="180"/>
        <v>0</v>
      </c>
      <c r="F1805" s="937">
        <v>5000</v>
      </c>
      <c r="G1805" s="122" t="s">
        <v>1963</v>
      </c>
    </row>
    <row r="1806" spans="1:9" x14ac:dyDescent="0.25">
      <c r="A1806" s="125">
        <f t="shared" si="179"/>
        <v>1766</v>
      </c>
      <c r="C1806" s="842" t="s">
        <v>11264</v>
      </c>
      <c r="D1806" s="924">
        <v>9653</v>
      </c>
      <c r="E1806" s="924">
        <f t="shared" si="180"/>
        <v>14479.5</v>
      </c>
      <c r="F1806" s="937">
        <v>5000</v>
      </c>
      <c r="G1806" s="122" t="s">
        <v>1963</v>
      </c>
    </row>
    <row r="1807" spans="1:9" x14ac:dyDescent="0.25">
      <c r="A1807" s="125">
        <f t="shared" si="179"/>
        <v>1767</v>
      </c>
      <c r="C1807" s="123" t="s">
        <v>11265</v>
      </c>
      <c r="D1807" s="904"/>
      <c r="E1807" s="904"/>
      <c r="F1807" s="930"/>
      <c r="H1807" s="1370"/>
      <c r="I1807" s="1370"/>
    </row>
    <row r="1808" spans="1:9" x14ac:dyDescent="0.25">
      <c r="A1808" s="125">
        <f t="shared" si="179"/>
        <v>1768</v>
      </c>
      <c r="C1808" s="842" t="s">
        <v>9118</v>
      </c>
      <c r="D1808" s="924">
        <v>0</v>
      </c>
      <c r="E1808" s="924">
        <f t="shared" si="180"/>
        <v>0</v>
      </c>
      <c r="F1808" s="937">
        <f>F1811*F83</f>
        <v>0.2</v>
      </c>
      <c r="G1808" s="122" t="s">
        <v>1963</v>
      </c>
    </row>
    <row r="1809" spans="1:7" x14ac:dyDescent="0.25">
      <c r="A1809" s="125">
        <f t="shared" si="179"/>
        <v>1769</v>
      </c>
      <c r="C1809" s="842" t="s">
        <v>9119</v>
      </c>
      <c r="D1809" s="924">
        <v>0</v>
      </c>
      <c r="E1809" s="924">
        <f t="shared" si="180"/>
        <v>0</v>
      </c>
      <c r="F1809" s="937">
        <v>1</v>
      </c>
      <c r="G1809" s="122" t="s">
        <v>1963</v>
      </c>
    </row>
    <row r="1810" spans="1:7" x14ac:dyDescent="0.25">
      <c r="A1810" s="125">
        <f t="shared" si="179"/>
        <v>1770</v>
      </c>
      <c r="C1810" s="842" t="s">
        <v>9120</v>
      </c>
      <c r="D1810" s="924">
        <v>0</v>
      </c>
      <c r="E1810" s="924">
        <f t="shared" si="180"/>
        <v>0</v>
      </c>
      <c r="F1810" s="937">
        <v>1</v>
      </c>
      <c r="G1810" s="122" t="s">
        <v>1963</v>
      </c>
    </row>
    <row r="1811" spans="1:7" x14ac:dyDescent="0.25">
      <c r="A1811" s="125">
        <f t="shared" si="179"/>
        <v>1771</v>
      </c>
      <c r="C1811" s="842" t="s">
        <v>9121</v>
      </c>
      <c r="D1811" s="924">
        <v>0</v>
      </c>
      <c r="E1811" s="924">
        <f t="shared" si="180"/>
        <v>0</v>
      </c>
      <c r="F1811" s="937">
        <v>1</v>
      </c>
      <c r="G1811" s="122" t="s">
        <v>1963</v>
      </c>
    </row>
    <row r="1812" spans="1:7" x14ac:dyDescent="0.25">
      <c r="A1812" s="125">
        <f t="shared" si="179"/>
        <v>1772</v>
      </c>
      <c r="C1812" s="842" t="s">
        <v>9123</v>
      </c>
      <c r="D1812" s="924">
        <v>0</v>
      </c>
      <c r="E1812" s="924">
        <f t="shared" si="180"/>
        <v>0</v>
      </c>
      <c r="F1812" s="937">
        <v>1</v>
      </c>
      <c r="G1812" s="122" t="s">
        <v>1963</v>
      </c>
    </row>
    <row r="1813" spans="1:7" x14ac:dyDescent="0.25">
      <c r="A1813" s="125">
        <f t="shared" si="179"/>
        <v>1773</v>
      </c>
      <c r="C1813" s="842" t="s">
        <v>11266</v>
      </c>
      <c r="D1813" s="924">
        <v>0</v>
      </c>
      <c r="E1813" s="924">
        <f t="shared" si="180"/>
        <v>0</v>
      </c>
      <c r="F1813" s="937">
        <v>1</v>
      </c>
      <c r="G1813" s="122" t="s">
        <v>1963</v>
      </c>
    </row>
    <row r="1814" spans="1:7" x14ac:dyDescent="0.25">
      <c r="A1814" s="125">
        <f t="shared" si="179"/>
        <v>1774</v>
      </c>
      <c r="C1814" s="842" t="s">
        <v>9122</v>
      </c>
      <c r="D1814" s="924">
        <v>0</v>
      </c>
      <c r="E1814" s="924">
        <f t="shared" si="180"/>
        <v>0</v>
      </c>
      <c r="F1814" s="937">
        <f>1000-F1808-F1809-F1810-F1811-F1812</f>
        <v>995.8</v>
      </c>
      <c r="G1814" s="122" t="s">
        <v>1963</v>
      </c>
    </row>
    <row r="1815" spans="1:7" x14ac:dyDescent="0.25">
      <c r="A1815" s="125">
        <f t="shared" si="179"/>
        <v>1775</v>
      </c>
      <c r="C1815" s="123" t="s">
        <v>11267</v>
      </c>
      <c r="D1815" s="904"/>
      <c r="E1815" s="904"/>
    </row>
    <row r="1816" spans="1:7" x14ac:dyDescent="0.25">
      <c r="A1816" s="125">
        <f t="shared" si="179"/>
        <v>1776</v>
      </c>
      <c r="C1816" s="842" t="s">
        <v>9124</v>
      </c>
      <c r="D1816" s="924">
        <v>0</v>
      </c>
      <c r="E1816" s="924">
        <f t="shared" si="180"/>
        <v>0</v>
      </c>
      <c r="F1816" s="937">
        <f>F1819*F83</f>
        <v>0.2</v>
      </c>
      <c r="G1816" s="122" t="s">
        <v>1963</v>
      </c>
    </row>
    <row r="1817" spans="1:7" x14ac:dyDescent="0.25">
      <c r="A1817" s="125">
        <f t="shared" si="179"/>
        <v>1777</v>
      </c>
      <c r="C1817" s="842" t="s">
        <v>9125</v>
      </c>
      <c r="D1817" s="924">
        <v>0</v>
      </c>
      <c r="E1817" s="924">
        <f t="shared" si="180"/>
        <v>0</v>
      </c>
      <c r="F1817" s="937">
        <v>1</v>
      </c>
      <c r="G1817" s="122" t="s">
        <v>1963</v>
      </c>
    </row>
    <row r="1818" spans="1:7" x14ac:dyDescent="0.25">
      <c r="A1818" s="125">
        <f t="shared" si="179"/>
        <v>1778</v>
      </c>
      <c r="C1818" s="842" t="s">
        <v>9126</v>
      </c>
      <c r="D1818" s="924">
        <v>0</v>
      </c>
      <c r="E1818" s="924">
        <f t="shared" si="180"/>
        <v>0</v>
      </c>
      <c r="F1818" s="937">
        <v>1</v>
      </c>
      <c r="G1818" s="122" t="s">
        <v>1963</v>
      </c>
    </row>
    <row r="1819" spans="1:7" x14ac:dyDescent="0.25">
      <c r="A1819" s="125">
        <f t="shared" si="179"/>
        <v>1779</v>
      </c>
      <c r="C1819" s="842" t="s">
        <v>9127</v>
      </c>
      <c r="D1819" s="924">
        <v>0</v>
      </c>
      <c r="E1819" s="924">
        <f t="shared" si="180"/>
        <v>0</v>
      </c>
      <c r="F1819" s="937">
        <v>1</v>
      </c>
      <c r="G1819" s="122" t="s">
        <v>1963</v>
      </c>
    </row>
    <row r="1820" spans="1:7" x14ac:dyDescent="0.25">
      <c r="A1820" s="125">
        <f t="shared" si="179"/>
        <v>1780</v>
      </c>
      <c r="C1820" s="842" t="s">
        <v>9128</v>
      </c>
      <c r="D1820" s="924">
        <v>0</v>
      </c>
      <c r="E1820" s="924">
        <f t="shared" si="180"/>
        <v>0</v>
      </c>
      <c r="F1820" s="937">
        <v>1</v>
      </c>
      <c r="G1820" s="122" t="s">
        <v>1963</v>
      </c>
    </row>
    <row r="1821" spans="1:7" x14ac:dyDescent="0.25">
      <c r="A1821" s="125">
        <f t="shared" si="179"/>
        <v>1781</v>
      </c>
      <c r="C1821" s="842" t="s">
        <v>11269</v>
      </c>
      <c r="D1821" s="924">
        <v>0</v>
      </c>
      <c r="E1821" s="924">
        <f t="shared" si="180"/>
        <v>0</v>
      </c>
      <c r="F1821" s="937">
        <f>75100*3%</f>
        <v>2253</v>
      </c>
      <c r="G1821" s="122" t="s">
        <v>1963</v>
      </c>
    </row>
    <row r="1822" spans="1:7" x14ac:dyDescent="0.25">
      <c r="A1822" s="125">
        <f t="shared" ref="A1822:A1885" si="181">A1821+1</f>
        <v>1782</v>
      </c>
      <c r="C1822" s="842" t="s">
        <v>9129</v>
      </c>
      <c r="D1822" s="924">
        <v>0</v>
      </c>
      <c r="E1822" s="924">
        <f t="shared" si="180"/>
        <v>0</v>
      </c>
      <c r="F1822" s="937">
        <f>75100-F1816-F1817-F1818-F1819-F1820</f>
        <v>75095.8</v>
      </c>
      <c r="G1822" s="122" t="s">
        <v>1963</v>
      </c>
    </row>
    <row r="1823" spans="1:7" x14ac:dyDescent="0.25">
      <c r="A1823" s="125">
        <f t="shared" si="181"/>
        <v>1783</v>
      </c>
      <c r="C1823" s="123" t="s">
        <v>11268</v>
      </c>
    </row>
    <row r="1824" spans="1:7" x14ac:dyDescent="0.25">
      <c r="A1824" s="125">
        <f t="shared" si="181"/>
        <v>1784</v>
      </c>
      <c r="C1824" s="842" t="s">
        <v>9130</v>
      </c>
      <c r="D1824" s="924">
        <v>0</v>
      </c>
      <c r="E1824" s="924">
        <f>D1824/8*12</f>
        <v>0</v>
      </c>
      <c r="F1824" s="937">
        <f>F1827*F83</f>
        <v>0.2</v>
      </c>
      <c r="G1824" s="122" t="s">
        <v>1963</v>
      </c>
    </row>
    <row r="1825" spans="1:8" x14ac:dyDescent="0.25">
      <c r="A1825" s="125">
        <f t="shared" si="181"/>
        <v>1785</v>
      </c>
      <c r="C1825" s="842" t="s">
        <v>9131</v>
      </c>
      <c r="D1825" s="924">
        <v>0</v>
      </c>
      <c r="E1825" s="924">
        <f>D1825/8*12</f>
        <v>0</v>
      </c>
      <c r="F1825" s="937">
        <v>1</v>
      </c>
      <c r="G1825" s="122" t="s">
        <v>1963</v>
      </c>
    </row>
    <row r="1826" spans="1:8" x14ac:dyDescent="0.25">
      <c r="A1826" s="125">
        <f t="shared" si="181"/>
        <v>1786</v>
      </c>
      <c r="C1826" s="842" t="s">
        <v>9132</v>
      </c>
      <c r="D1826" s="924">
        <v>0</v>
      </c>
      <c r="E1826" s="924">
        <f t="shared" ref="E1826:E1830" si="182">D1826/8*12</f>
        <v>0</v>
      </c>
      <c r="F1826" s="937">
        <v>1</v>
      </c>
      <c r="G1826" s="122" t="s">
        <v>1963</v>
      </c>
    </row>
    <row r="1827" spans="1:8" x14ac:dyDescent="0.25">
      <c r="A1827" s="125">
        <f t="shared" si="181"/>
        <v>1787</v>
      </c>
      <c r="C1827" s="842" t="s">
        <v>9133</v>
      </c>
      <c r="D1827" s="924">
        <v>0</v>
      </c>
      <c r="E1827" s="924">
        <f t="shared" si="182"/>
        <v>0</v>
      </c>
      <c r="F1827" s="937">
        <v>1</v>
      </c>
      <c r="G1827" s="122" t="s">
        <v>1963</v>
      </c>
    </row>
    <row r="1828" spans="1:8" x14ac:dyDescent="0.25">
      <c r="A1828" s="125">
        <f t="shared" si="181"/>
        <v>1788</v>
      </c>
      <c r="C1828" s="842" t="s">
        <v>9134</v>
      </c>
      <c r="D1828" s="924">
        <v>0</v>
      </c>
      <c r="E1828" s="924">
        <f t="shared" si="182"/>
        <v>0</v>
      </c>
      <c r="F1828" s="937">
        <v>1</v>
      </c>
      <c r="G1828" s="122" t="s">
        <v>1963</v>
      </c>
    </row>
    <row r="1829" spans="1:8" x14ac:dyDescent="0.25">
      <c r="A1829" s="125">
        <f t="shared" si="181"/>
        <v>1789</v>
      </c>
      <c r="C1829" s="842" t="s">
        <v>11270</v>
      </c>
      <c r="D1829" s="924">
        <v>0</v>
      </c>
      <c r="E1829" s="924">
        <f t="shared" si="182"/>
        <v>0</v>
      </c>
      <c r="F1829" s="937">
        <f>50100*3%</f>
        <v>1503</v>
      </c>
      <c r="G1829" s="122" t="s">
        <v>1963</v>
      </c>
    </row>
    <row r="1830" spans="1:8" x14ac:dyDescent="0.25">
      <c r="A1830" s="125">
        <f t="shared" si="181"/>
        <v>1790</v>
      </c>
      <c r="C1830" s="842" t="s">
        <v>9135</v>
      </c>
      <c r="D1830" s="924">
        <v>0</v>
      </c>
      <c r="E1830" s="924">
        <f t="shared" si="182"/>
        <v>0</v>
      </c>
      <c r="F1830" s="937">
        <f>50100-F1824-F1825-F1826-F1827-F1828</f>
        <v>50095.8</v>
      </c>
      <c r="G1830" s="122" t="s">
        <v>1963</v>
      </c>
    </row>
    <row r="1831" spans="1:8" x14ac:dyDescent="0.25">
      <c r="A1831" s="125">
        <f t="shared" si="181"/>
        <v>1791</v>
      </c>
      <c r="C1831" s="123" t="s">
        <v>11271</v>
      </c>
      <c r="D1831" s="904"/>
      <c r="E1831" s="904"/>
    </row>
    <row r="1832" spans="1:8" x14ac:dyDescent="0.25">
      <c r="A1832" s="125">
        <f t="shared" si="181"/>
        <v>1792</v>
      </c>
      <c r="C1832" s="122" t="s">
        <v>9136</v>
      </c>
      <c r="D1832" s="924">
        <v>0</v>
      </c>
      <c r="E1832" s="924">
        <f>D1832/8*12</f>
        <v>0</v>
      </c>
      <c r="F1832" s="937">
        <v>300</v>
      </c>
      <c r="G1832" s="122" t="s">
        <v>1963</v>
      </c>
    </row>
    <row r="1833" spans="1:8" x14ac:dyDescent="0.25">
      <c r="A1833" s="125">
        <f t="shared" si="181"/>
        <v>1793</v>
      </c>
      <c r="C1833" s="123" t="s">
        <v>11272</v>
      </c>
      <c r="D1833" s="904"/>
      <c r="E1833" s="904"/>
    </row>
    <row r="1834" spans="1:8" x14ac:dyDescent="0.25">
      <c r="A1834" s="125">
        <f t="shared" si="181"/>
        <v>1794</v>
      </c>
      <c r="C1834" s="842" t="s">
        <v>9460</v>
      </c>
      <c r="D1834" s="924">
        <v>0</v>
      </c>
      <c r="E1834" s="924">
        <f t="shared" ref="E1834:E1854" si="183">D1834/8*12</f>
        <v>0</v>
      </c>
      <c r="F1834" s="937">
        <v>20000</v>
      </c>
      <c r="G1834" s="122" t="s">
        <v>1963</v>
      </c>
    </row>
    <row r="1835" spans="1:8" x14ac:dyDescent="0.25">
      <c r="A1835" s="125">
        <f t="shared" si="181"/>
        <v>1795</v>
      </c>
      <c r="C1835" s="842" t="s">
        <v>9138</v>
      </c>
      <c r="D1835" s="924">
        <v>10366.209999999999</v>
      </c>
      <c r="E1835" s="924">
        <f t="shared" si="183"/>
        <v>15549.314999999999</v>
      </c>
      <c r="F1835" s="937">
        <v>16000</v>
      </c>
      <c r="G1835" s="122" t="s">
        <v>1963</v>
      </c>
    </row>
    <row r="1836" spans="1:8" x14ac:dyDescent="0.25">
      <c r="A1836" s="125">
        <f t="shared" si="181"/>
        <v>1796</v>
      </c>
      <c r="C1836" s="842" t="s">
        <v>9139</v>
      </c>
      <c r="D1836" s="924">
        <v>0</v>
      </c>
      <c r="E1836" s="924">
        <f t="shared" si="183"/>
        <v>0</v>
      </c>
      <c r="F1836" s="937">
        <v>7720.83</v>
      </c>
      <c r="G1836" s="122" t="s">
        <v>1963</v>
      </c>
    </row>
    <row r="1837" spans="1:8" x14ac:dyDescent="0.25">
      <c r="A1837" s="125">
        <f t="shared" si="181"/>
        <v>1797</v>
      </c>
      <c r="C1837" s="842" t="s">
        <v>9137</v>
      </c>
      <c r="D1837" s="924">
        <v>0</v>
      </c>
      <c r="E1837" s="924">
        <f t="shared" si="183"/>
        <v>0</v>
      </c>
      <c r="F1837" s="937">
        <v>1</v>
      </c>
      <c r="G1837" s="122" t="s">
        <v>1963</v>
      </c>
    </row>
    <row r="1838" spans="1:8" x14ac:dyDescent="0.25">
      <c r="A1838" s="125">
        <f t="shared" si="181"/>
        <v>1798</v>
      </c>
      <c r="C1838" s="123" t="s">
        <v>4143</v>
      </c>
      <c r="D1838" s="904"/>
      <c r="E1838" s="904"/>
      <c r="F1838" s="136"/>
      <c r="H1838" s="984"/>
    </row>
    <row r="1839" spans="1:8" x14ac:dyDescent="0.25">
      <c r="A1839" s="125">
        <f t="shared" si="181"/>
        <v>1799</v>
      </c>
      <c r="C1839" s="842" t="s">
        <v>11101</v>
      </c>
      <c r="D1839" s="924">
        <v>0</v>
      </c>
      <c r="E1839" s="924">
        <f t="shared" si="183"/>
        <v>0</v>
      </c>
      <c r="F1839" s="136">
        <v>1</v>
      </c>
      <c r="G1839" s="122" t="s">
        <v>1963</v>
      </c>
    </row>
    <row r="1840" spans="1:8" x14ac:dyDescent="0.25">
      <c r="A1840" s="125">
        <f t="shared" si="181"/>
        <v>1800</v>
      </c>
      <c r="C1840" s="842" t="s">
        <v>11102</v>
      </c>
      <c r="D1840" s="924">
        <v>0</v>
      </c>
      <c r="E1840" s="924">
        <f t="shared" si="183"/>
        <v>0</v>
      </c>
      <c r="F1840" s="136">
        <f>10691.89-6709.41</f>
        <v>3982.4799999999996</v>
      </c>
      <c r="G1840" s="122" t="s">
        <v>1963</v>
      </c>
    </row>
    <row r="1841" spans="1:9" x14ac:dyDescent="0.25">
      <c r="A1841" s="125">
        <f t="shared" si="181"/>
        <v>1801</v>
      </c>
      <c r="C1841" s="842" t="s">
        <v>11273</v>
      </c>
      <c r="D1841" s="924">
        <v>0</v>
      </c>
      <c r="E1841" s="924">
        <f t="shared" si="183"/>
        <v>0</v>
      </c>
      <c r="F1841" s="136">
        <v>1</v>
      </c>
      <c r="G1841" s="122" t="s">
        <v>1963</v>
      </c>
    </row>
    <row r="1842" spans="1:9" x14ac:dyDescent="0.25">
      <c r="A1842" s="125">
        <f t="shared" si="181"/>
        <v>1802</v>
      </c>
      <c r="C1842" s="842" t="s">
        <v>11103</v>
      </c>
      <c r="D1842" s="924">
        <v>0</v>
      </c>
      <c r="E1842" s="924">
        <f t="shared" si="183"/>
        <v>0</v>
      </c>
      <c r="F1842" s="136">
        <v>1</v>
      </c>
      <c r="G1842" s="122" t="s">
        <v>1963</v>
      </c>
    </row>
    <row r="1843" spans="1:9" x14ac:dyDescent="0.25">
      <c r="A1843" s="125">
        <f t="shared" si="181"/>
        <v>1803</v>
      </c>
      <c r="C1843" s="842" t="s">
        <v>11104</v>
      </c>
      <c r="D1843" s="924">
        <v>239</v>
      </c>
      <c r="E1843" s="924">
        <f t="shared" si="183"/>
        <v>358.5</v>
      </c>
      <c r="F1843" s="136">
        <v>1000</v>
      </c>
      <c r="G1843" s="122" t="s">
        <v>1963</v>
      </c>
    </row>
    <row r="1844" spans="1:9" x14ac:dyDescent="0.25">
      <c r="A1844" s="125">
        <f t="shared" si="181"/>
        <v>1804</v>
      </c>
      <c r="C1844" s="842" t="s">
        <v>11105</v>
      </c>
      <c r="D1844" s="924">
        <v>5000</v>
      </c>
      <c r="E1844" s="924">
        <f t="shared" si="183"/>
        <v>7500</v>
      </c>
      <c r="F1844" s="136">
        <f>8000+305.46+3000</f>
        <v>11305.46</v>
      </c>
      <c r="G1844" s="122" t="s">
        <v>1963</v>
      </c>
    </row>
    <row r="1845" spans="1:9" x14ac:dyDescent="0.25">
      <c r="A1845" s="125">
        <f t="shared" si="181"/>
        <v>1805</v>
      </c>
      <c r="C1845" s="842" t="s">
        <v>11106</v>
      </c>
      <c r="D1845" s="924">
        <v>0</v>
      </c>
      <c r="E1845" s="924">
        <f t="shared" si="183"/>
        <v>0</v>
      </c>
      <c r="F1845" s="136">
        <v>1000</v>
      </c>
      <c r="G1845" s="122" t="s">
        <v>1963</v>
      </c>
    </row>
    <row r="1846" spans="1:9" x14ac:dyDescent="0.25">
      <c r="A1846" s="125">
        <f t="shared" si="181"/>
        <v>1806</v>
      </c>
      <c r="C1846" s="842" t="s">
        <v>11107</v>
      </c>
      <c r="D1846" s="924">
        <v>0</v>
      </c>
      <c r="E1846" s="924">
        <f t="shared" si="183"/>
        <v>0</v>
      </c>
      <c r="F1846" s="136">
        <v>500</v>
      </c>
      <c r="G1846" s="122" t="s">
        <v>1963</v>
      </c>
    </row>
    <row r="1847" spans="1:9" x14ac:dyDescent="0.25">
      <c r="A1847" s="125">
        <f t="shared" si="181"/>
        <v>1807</v>
      </c>
      <c r="C1847" s="842" t="s">
        <v>11109</v>
      </c>
      <c r="D1847" s="924">
        <v>0</v>
      </c>
      <c r="E1847" s="924">
        <f t="shared" si="183"/>
        <v>0</v>
      </c>
      <c r="F1847" s="136">
        <v>500</v>
      </c>
      <c r="G1847" s="122" t="s">
        <v>1963</v>
      </c>
    </row>
    <row r="1848" spans="1:9" x14ac:dyDescent="0.25">
      <c r="A1848" s="125">
        <f t="shared" si="181"/>
        <v>1808</v>
      </c>
      <c r="C1848" s="842" t="s">
        <v>11110</v>
      </c>
      <c r="D1848" s="924">
        <v>0</v>
      </c>
      <c r="E1848" s="924">
        <f t="shared" si="183"/>
        <v>0</v>
      </c>
      <c r="F1848" s="136">
        <v>1500</v>
      </c>
      <c r="G1848" s="122" t="s">
        <v>1963</v>
      </c>
    </row>
    <row r="1849" spans="1:9" x14ac:dyDescent="0.25">
      <c r="A1849" s="125">
        <f t="shared" si="181"/>
        <v>1809</v>
      </c>
      <c r="C1849" s="842" t="s">
        <v>11111</v>
      </c>
      <c r="D1849" s="924">
        <v>0</v>
      </c>
      <c r="E1849" s="924">
        <f t="shared" si="183"/>
        <v>0</v>
      </c>
      <c r="F1849" s="136">
        <f>F1847*F80</f>
        <v>119.047</v>
      </c>
      <c r="G1849" s="122" t="s">
        <v>1963</v>
      </c>
    </row>
    <row r="1850" spans="1:9" x14ac:dyDescent="0.25">
      <c r="A1850" s="125">
        <f t="shared" si="181"/>
        <v>1810</v>
      </c>
      <c r="C1850" s="842" t="s">
        <v>11112</v>
      </c>
      <c r="D1850" s="924">
        <v>0</v>
      </c>
      <c r="E1850" s="924">
        <f t="shared" si="183"/>
        <v>0</v>
      </c>
      <c r="F1850" s="136">
        <v>38.590000000000003</v>
      </c>
      <c r="G1850" s="122" t="s">
        <v>1963</v>
      </c>
    </row>
    <row r="1851" spans="1:9" x14ac:dyDescent="0.25">
      <c r="A1851" s="125">
        <f t="shared" si="181"/>
        <v>1811</v>
      </c>
      <c r="C1851" s="842" t="s">
        <v>11113</v>
      </c>
      <c r="D1851" s="924">
        <v>0</v>
      </c>
      <c r="E1851" s="924">
        <f t="shared" si="183"/>
        <v>0</v>
      </c>
      <c r="F1851" s="136">
        <v>500</v>
      </c>
      <c r="G1851" s="122" t="s">
        <v>1963</v>
      </c>
    </row>
    <row r="1852" spans="1:9" x14ac:dyDescent="0.25">
      <c r="A1852" s="125">
        <f t="shared" si="181"/>
        <v>1812</v>
      </c>
      <c r="C1852" s="842" t="s">
        <v>11114</v>
      </c>
      <c r="D1852" s="924">
        <v>0</v>
      </c>
      <c r="E1852" s="924">
        <f t="shared" si="183"/>
        <v>0</v>
      </c>
      <c r="F1852" s="136">
        <v>500</v>
      </c>
      <c r="G1852" s="122" t="s">
        <v>1963</v>
      </c>
    </row>
    <row r="1853" spans="1:9" x14ac:dyDescent="0.25">
      <c r="A1853" s="125">
        <f t="shared" si="181"/>
        <v>1813</v>
      </c>
      <c r="C1853" s="842" t="s">
        <v>11115</v>
      </c>
      <c r="D1853" s="924">
        <v>0</v>
      </c>
      <c r="E1853" s="924">
        <f t="shared" si="183"/>
        <v>0</v>
      </c>
      <c r="F1853" s="136">
        <v>500</v>
      </c>
      <c r="G1853" s="122" t="s">
        <v>1963</v>
      </c>
    </row>
    <row r="1854" spans="1:9" x14ac:dyDescent="0.25">
      <c r="A1854" s="125">
        <f t="shared" si="181"/>
        <v>1814</v>
      </c>
      <c r="C1854" s="842" t="s">
        <v>11116</v>
      </c>
      <c r="D1854" s="924">
        <v>0</v>
      </c>
      <c r="E1854" s="924">
        <f t="shared" si="183"/>
        <v>0</v>
      </c>
      <c r="F1854" s="136">
        <v>3000</v>
      </c>
      <c r="G1854" s="122" t="s">
        <v>1963</v>
      </c>
    </row>
    <row r="1855" spans="1:9" x14ac:dyDescent="0.25">
      <c r="A1855" s="125">
        <f t="shared" si="181"/>
        <v>1815</v>
      </c>
      <c r="C1855" s="842"/>
      <c r="D1855" s="842"/>
      <c r="E1855" s="842"/>
      <c r="F1855" s="985"/>
      <c r="G1855" s="842"/>
      <c r="H1855" s="986"/>
      <c r="I1855" s="842"/>
    </row>
    <row r="1856" spans="1:9" x14ac:dyDescent="0.25">
      <c r="A1856" s="125">
        <f t="shared" si="181"/>
        <v>1816</v>
      </c>
      <c r="C1856" s="793" t="s">
        <v>9485</v>
      </c>
      <c r="D1856" s="793"/>
      <c r="E1856" s="793"/>
      <c r="F1856" s="793"/>
      <c r="G1856" s="793"/>
      <c r="H1856" s="793"/>
      <c r="I1856" s="793"/>
    </row>
    <row r="1857" spans="1:9" x14ac:dyDescent="0.25">
      <c r="A1857" s="125">
        <f t="shared" si="181"/>
        <v>1817</v>
      </c>
      <c r="C1857" s="793" t="s">
        <v>9234</v>
      </c>
      <c r="D1857" s="793"/>
      <c r="E1857" s="793"/>
      <c r="F1857" s="793"/>
      <c r="G1857" s="793"/>
      <c r="H1857" s="793"/>
      <c r="I1857" s="793"/>
    </row>
    <row r="1858" spans="1:9" x14ac:dyDescent="0.25">
      <c r="A1858" s="125">
        <f t="shared" si="181"/>
        <v>1818</v>
      </c>
      <c r="C1858" s="884"/>
      <c r="D1858" s="917"/>
      <c r="E1858" s="917"/>
      <c r="F1858" s="884"/>
      <c r="G1858" s="884"/>
      <c r="H1858" s="884"/>
      <c r="I1858" s="884"/>
    </row>
    <row r="1859" spans="1:9" x14ac:dyDescent="0.25">
      <c r="A1859" s="125">
        <f t="shared" si="181"/>
        <v>1819</v>
      </c>
      <c r="C1859" s="123" t="s">
        <v>11274</v>
      </c>
      <c r="D1859" s="904"/>
      <c r="E1859" s="904"/>
    </row>
    <row r="1860" spans="1:9" x14ac:dyDescent="0.25">
      <c r="A1860" s="125">
        <f t="shared" si="181"/>
        <v>1820</v>
      </c>
      <c r="C1860" s="842" t="s">
        <v>11277</v>
      </c>
      <c r="D1860" s="924">
        <v>0</v>
      </c>
      <c r="E1860" s="924">
        <f t="shared" ref="E1860:E1870" si="184">D1860/8*12</f>
        <v>0</v>
      </c>
      <c r="F1860" s="136">
        <v>500</v>
      </c>
      <c r="G1860" s="122" t="s">
        <v>1963</v>
      </c>
    </row>
    <row r="1861" spans="1:9" x14ac:dyDescent="0.25">
      <c r="A1861" s="125">
        <f t="shared" si="181"/>
        <v>1821</v>
      </c>
      <c r="C1861" s="842" t="s">
        <v>11278</v>
      </c>
      <c r="D1861" s="924">
        <v>0</v>
      </c>
      <c r="E1861" s="924">
        <f t="shared" si="184"/>
        <v>0</v>
      </c>
      <c r="F1861" s="136">
        <v>500</v>
      </c>
      <c r="G1861" s="122" t="s">
        <v>1963</v>
      </c>
    </row>
    <row r="1862" spans="1:9" x14ac:dyDescent="0.25">
      <c r="A1862" s="125">
        <f t="shared" si="181"/>
        <v>1822</v>
      </c>
      <c r="C1862" s="842" t="s">
        <v>11279</v>
      </c>
      <c r="D1862" s="924">
        <v>0</v>
      </c>
      <c r="E1862" s="924">
        <f t="shared" si="184"/>
        <v>0</v>
      </c>
      <c r="F1862" s="136">
        <v>500</v>
      </c>
      <c r="G1862" s="122" t="s">
        <v>1963</v>
      </c>
    </row>
    <row r="1863" spans="1:9" x14ac:dyDescent="0.25">
      <c r="A1863" s="125">
        <f t="shared" si="181"/>
        <v>1823</v>
      </c>
      <c r="C1863" s="842" t="s">
        <v>11280</v>
      </c>
      <c r="D1863" s="924">
        <v>0</v>
      </c>
      <c r="E1863" s="924">
        <f t="shared" si="184"/>
        <v>0</v>
      </c>
      <c r="F1863" s="136">
        <v>500</v>
      </c>
      <c r="G1863" s="122" t="s">
        <v>1963</v>
      </c>
    </row>
    <row r="1864" spans="1:9" x14ac:dyDescent="0.25">
      <c r="A1864" s="125">
        <f t="shared" si="181"/>
        <v>1824</v>
      </c>
      <c r="C1864" s="842" t="s">
        <v>11281</v>
      </c>
      <c r="D1864" s="924">
        <v>0</v>
      </c>
      <c r="E1864" s="924">
        <f t="shared" si="184"/>
        <v>0</v>
      </c>
      <c r="F1864" s="136">
        <v>500</v>
      </c>
      <c r="G1864" s="122" t="s">
        <v>1963</v>
      </c>
    </row>
    <row r="1865" spans="1:9" x14ac:dyDescent="0.25">
      <c r="A1865" s="125">
        <f t="shared" si="181"/>
        <v>1825</v>
      </c>
      <c r="C1865" s="842" t="s">
        <v>11282</v>
      </c>
      <c r="D1865" s="924">
        <v>0</v>
      </c>
      <c r="E1865" s="924">
        <f t="shared" si="184"/>
        <v>0</v>
      </c>
      <c r="F1865" s="136">
        <v>500</v>
      </c>
      <c r="G1865" s="122" t="s">
        <v>1963</v>
      </c>
    </row>
    <row r="1866" spans="1:9" x14ac:dyDescent="0.25">
      <c r="A1866" s="125">
        <f t="shared" si="181"/>
        <v>1826</v>
      </c>
      <c r="C1866" s="842" t="s">
        <v>11283</v>
      </c>
      <c r="D1866" s="924">
        <v>0</v>
      </c>
      <c r="E1866" s="924">
        <f t="shared" si="184"/>
        <v>0</v>
      </c>
      <c r="F1866" s="136">
        <v>500</v>
      </c>
      <c r="G1866" s="122" t="s">
        <v>1963</v>
      </c>
    </row>
    <row r="1867" spans="1:9" x14ac:dyDescent="0.25">
      <c r="A1867" s="125">
        <f t="shared" si="181"/>
        <v>1827</v>
      </c>
      <c r="C1867" s="842" t="s">
        <v>11284</v>
      </c>
      <c r="D1867" s="924">
        <v>0</v>
      </c>
      <c r="E1867" s="924">
        <f t="shared" si="184"/>
        <v>0</v>
      </c>
      <c r="F1867" s="136">
        <f>F1865*F83</f>
        <v>100</v>
      </c>
      <c r="G1867" s="122" t="s">
        <v>1963</v>
      </c>
    </row>
    <row r="1868" spans="1:9" x14ac:dyDescent="0.25">
      <c r="A1868" s="125">
        <f t="shared" si="181"/>
        <v>1828</v>
      </c>
      <c r="C1868" s="842" t="s">
        <v>11285</v>
      </c>
      <c r="D1868" s="924">
        <v>0</v>
      </c>
      <c r="E1868" s="924">
        <f t="shared" si="184"/>
        <v>0</v>
      </c>
      <c r="F1868" s="136">
        <v>500</v>
      </c>
      <c r="G1868" s="122" t="s">
        <v>1963</v>
      </c>
    </row>
    <row r="1869" spans="1:9" x14ac:dyDescent="0.25">
      <c r="A1869" s="125">
        <f t="shared" si="181"/>
        <v>1829</v>
      </c>
      <c r="C1869" s="842" t="s">
        <v>11286</v>
      </c>
      <c r="D1869" s="924">
        <v>0</v>
      </c>
      <c r="E1869" s="924">
        <f t="shared" si="184"/>
        <v>0</v>
      </c>
      <c r="F1869" s="136">
        <v>500</v>
      </c>
      <c r="G1869" s="122" t="s">
        <v>1963</v>
      </c>
    </row>
    <row r="1870" spans="1:9" x14ac:dyDescent="0.25">
      <c r="A1870" s="125">
        <f t="shared" si="181"/>
        <v>1830</v>
      </c>
      <c r="C1870" s="842" t="s">
        <v>11287</v>
      </c>
      <c r="D1870" s="924">
        <v>0</v>
      </c>
      <c r="E1870" s="924">
        <f t="shared" si="184"/>
        <v>0</v>
      </c>
      <c r="F1870" s="136">
        <v>500</v>
      </c>
      <c r="G1870" s="122" t="s">
        <v>1963</v>
      </c>
    </row>
    <row r="1871" spans="1:9" x14ac:dyDescent="0.25">
      <c r="A1871" s="125">
        <f t="shared" si="181"/>
        <v>1831</v>
      </c>
    </row>
    <row r="1872" spans="1:9" x14ac:dyDescent="0.25">
      <c r="A1872" s="125">
        <f t="shared" si="181"/>
        <v>1832</v>
      </c>
      <c r="C1872" s="1371" t="s">
        <v>9486</v>
      </c>
      <c r="D1872" s="1371"/>
      <c r="E1872" s="1371"/>
      <c r="F1872" s="1371"/>
      <c r="G1872" s="1371"/>
      <c r="H1872" s="1371"/>
      <c r="I1872" s="1371"/>
    </row>
    <row r="1873" spans="1:9" x14ac:dyDescent="0.25">
      <c r="A1873" s="125">
        <f t="shared" si="181"/>
        <v>1833</v>
      </c>
      <c r="C1873" s="1371" t="s">
        <v>8697</v>
      </c>
      <c r="D1873" s="1371"/>
      <c r="E1873" s="1371"/>
      <c r="F1873" s="1371"/>
      <c r="G1873" s="1371"/>
      <c r="H1873" s="1371"/>
      <c r="I1873" s="1371"/>
    </row>
    <row r="1874" spans="1:9" x14ac:dyDescent="0.25">
      <c r="A1874" s="125">
        <f t="shared" si="181"/>
        <v>1834</v>
      </c>
    </row>
    <row r="1875" spans="1:9" x14ac:dyDescent="0.25">
      <c r="A1875" s="125">
        <f t="shared" si="181"/>
        <v>1835</v>
      </c>
      <c r="C1875" s="123" t="s">
        <v>11275</v>
      </c>
      <c r="D1875" s="904"/>
      <c r="E1875" s="904"/>
    </row>
    <row r="1876" spans="1:9" ht="31.5" x14ac:dyDescent="0.25">
      <c r="A1876" s="125">
        <f t="shared" si="181"/>
        <v>1836</v>
      </c>
      <c r="C1876" s="931" t="s">
        <v>11288</v>
      </c>
      <c r="D1876" s="924">
        <v>0</v>
      </c>
      <c r="E1876" s="924">
        <f t="shared" ref="E1876:E1880" si="185">D1876/8*12</f>
        <v>0</v>
      </c>
      <c r="F1876" s="136">
        <f>F1878*F83</f>
        <v>100</v>
      </c>
      <c r="G1876" s="122" t="s">
        <v>1963</v>
      </c>
    </row>
    <row r="1877" spans="1:9" ht="31.5" x14ac:dyDescent="0.25">
      <c r="A1877" s="125">
        <f t="shared" si="181"/>
        <v>1837</v>
      </c>
      <c r="C1877" s="842" t="s">
        <v>11289</v>
      </c>
      <c r="D1877" s="924">
        <v>0</v>
      </c>
      <c r="E1877" s="924">
        <f t="shared" si="185"/>
        <v>0</v>
      </c>
      <c r="F1877" s="136">
        <v>500</v>
      </c>
      <c r="G1877" s="122" t="s">
        <v>1963</v>
      </c>
    </row>
    <row r="1878" spans="1:9" ht="31.5" x14ac:dyDescent="0.25">
      <c r="A1878" s="125">
        <f t="shared" si="181"/>
        <v>1838</v>
      </c>
      <c r="C1878" s="842" t="s">
        <v>11290</v>
      </c>
      <c r="D1878" s="924">
        <v>0</v>
      </c>
      <c r="E1878" s="924">
        <f t="shared" si="185"/>
        <v>0</v>
      </c>
      <c r="F1878" s="136">
        <v>500</v>
      </c>
      <c r="G1878" s="122" t="s">
        <v>1963</v>
      </c>
    </row>
    <row r="1879" spans="1:9" ht="31.5" x14ac:dyDescent="0.25">
      <c r="A1879" s="125">
        <f t="shared" si="181"/>
        <v>1839</v>
      </c>
      <c r="C1879" s="842" t="s">
        <v>11291</v>
      </c>
      <c r="D1879" s="924">
        <v>0</v>
      </c>
      <c r="E1879" s="924">
        <f t="shared" si="185"/>
        <v>0</v>
      </c>
      <c r="F1879" s="136">
        <v>500</v>
      </c>
      <c r="G1879" s="122" t="s">
        <v>1963</v>
      </c>
    </row>
    <row r="1880" spans="1:9" ht="31.5" x14ac:dyDescent="0.25">
      <c r="A1880" s="125">
        <f t="shared" si="181"/>
        <v>1840</v>
      </c>
      <c r="C1880" s="842" t="s">
        <v>11292</v>
      </c>
      <c r="D1880" s="924">
        <v>642</v>
      </c>
      <c r="E1880" s="924">
        <f t="shared" si="185"/>
        <v>963</v>
      </c>
      <c r="F1880" s="136">
        <v>2500</v>
      </c>
      <c r="G1880" s="122" t="s">
        <v>1963</v>
      </c>
    </row>
    <row r="1881" spans="1:9" x14ac:dyDescent="0.25">
      <c r="A1881" s="125">
        <f t="shared" si="181"/>
        <v>1841</v>
      </c>
      <c r="C1881" s="123" t="s">
        <v>11276</v>
      </c>
      <c r="D1881" s="904"/>
      <c r="E1881" s="904"/>
    </row>
    <row r="1882" spans="1:9" x14ac:dyDescent="0.25">
      <c r="A1882" s="125">
        <f t="shared" si="181"/>
        <v>1842</v>
      </c>
      <c r="C1882" s="842" t="s">
        <v>11293</v>
      </c>
      <c r="D1882" s="924">
        <v>17838.169999999998</v>
      </c>
      <c r="E1882" s="924">
        <f>D1882/8*13.33</f>
        <v>29722.850762499998</v>
      </c>
      <c r="F1882" s="136">
        <f>E1882/13.33</f>
        <v>2229.7712499999998</v>
      </c>
      <c r="G1882" s="122" t="s">
        <v>1963</v>
      </c>
    </row>
    <row r="1883" spans="1:9" x14ac:dyDescent="0.25">
      <c r="A1883" s="125">
        <f t="shared" si="181"/>
        <v>1843</v>
      </c>
      <c r="C1883" s="842" t="s">
        <v>11569</v>
      </c>
      <c r="D1883" s="924">
        <v>5400</v>
      </c>
      <c r="E1883" s="924">
        <f>D1883/8*13</f>
        <v>8775</v>
      </c>
      <c r="F1883" s="136">
        <f>E1883/13.33</f>
        <v>658.2895723930983</v>
      </c>
      <c r="G1883" s="122" t="s">
        <v>1963</v>
      </c>
    </row>
    <row r="1884" spans="1:9" ht="31.5" x14ac:dyDescent="0.25">
      <c r="A1884" s="125">
        <f t="shared" si="181"/>
        <v>1844</v>
      </c>
      <c r="C1884" s="842" t="s">
        <v>11294</v>
      </c>
      <c r="D1884" s="924">
        <v>117737.92</v>
      </c>
      <c r="E1884" s="924">
        <f>D1884/8*13.33</f>
        <v>196180.80919999999</v>
      </c>
      <c r="F1884" s="976">
        <f>E1884/13.33</f>
        <v>14717.24</v>
      </c>
      <c r="G1884" s="987" t="s">
        <v>1963</v>
      </c>
    </row>
    <row r="1885" spans="1:9" x14ac:dyDescent="0.25">
      <c r="A1885" s="125">
        <f t="shared" si="181"/>
        <v>1845</v>
      </c>
      <c r="C1885" s="842" t="s">
        <v>11295</v>
      </c>
      <c r="D1885" s="924">
        <v>24833.96</v>
      </c>
      <c r="E1885" s="924">
        <f t="shared" ref="E1885:E1906" si="186">D1885/8*12</f>
        <v>37250.94</v>
      </c>
      <c r="F1885" s="136">
        <f>E1885/12</f>
        <v>3104.2450000000003</v>
      </c>
      <c r="G1885" s="122" t="s">
        <v>1963</v>
      </c>
    </row>
    <row r="1886" spans="1:9" x14ac:dyDescent="0.25">
      <c r="A1886" s="125">
        <f t="shared" ref="A1886:A1949" si="187">A1885+1</f>
        <v>1846</v>
      </c>
      <c r="C1886" s="842" t="s">
        <v>11296</v>
      </c>
      <c r="D1886" s="924">
        <v>1958</v>
      </c>
      <c r="E1886" s="924">
        <f t="shared" si="186"/>
        <v>2937</v>
      </c>
      <c r="F1886" s="136">
        <f>E1886/12</f>
        <v>244.75</v>
      </c>
      <c r="G1886" s="122" t="s">
        <v>1963</v>
      </c>
    </row>
    <row r="1887" spans="1:9" x14ac:dyDescent="0.25">
      <c r="A1887" s="125">
        <f t="shared" si="187"/>
        <v>1847</v>
      </c>
      <c r="C1887" s="842" t="s">
        <v>11297</v>
      </c>
      <c r="D1887" s="924">
        <v>12117.17</v>
      </c>
      <c r="E1887" s="924">
        <f t="shared" si="186"/>
        <v>18175.755000000001</v>
      </c>
      <c r="F1887" s="136">
        <f>E1887</f>
        <v>18175.755000000001</v>
      </c>
      <c r="G1887" s="122" t="s">
        <v>1963</v>
      </c>
    </row>
    <row r="1888" spans="1:9" x14ac:dyDescent="0.25">
      <c r="A1888" s="125">
        <f t="shared" si="187"/>
        <v>1848</v>
      </c>
      <c r="C1888" s="842" t="s">
        <v>11298</v>
      </c>
      <c r="D1888" s="924">
        <v>0</v>
      </c>
      <c r="E1888" s="924">
        <f t="shared" si="186"/>
        <v>0</v>
      </c>
      <c r="F1888" s="136">
        <v>1500</v>
      </c>
      <c r="G1888" s="122" t="s">
        <v>1963</v>
      </c>
    </row>
    <row r="1889" spans="1:7" x14ac:dyDescent="0.25">
      <c r="A1889" s="125">
        <f t="shared" si="187"/>
        <v>1849</v>
      </c>
      <c r="C1889" s="842" t="s">
        <v>11299</v>
      </c>
      <c r="D1889" s="924">
        <v>0</v>
      </c>
      <c r="E1889" s="924">
        <f t="shared" si="186"/>
        <v>0</v>
      </c>
      <c r="F1889" s="136">
        <v>500</v>
      </c>
      <c r="G1889" s="122" t="s">
        <v>1963</v>
      </c>
    </row>
    <row r="1890" spans="1:7" x14ac:dyDescent="0.25">
      <c r="A1890" s="125">
        <f t="shared" si="187"/>
        <v>1850</v>
      </c>
      <c r="C1890" s="842" t="s">
        <v>11300</v>
      </c>
      <c r="D1890" s="924">
        <v>0</v>
      </c>
      <c r="E1890" s="924">
        <f t="shared" si="186"/>
        <v>0</v>
      </c>
      <c r="F1890" s="136">
        <v>1500</v>
      </c>
      <c r="G1890" s="122" t="s">
        <v>1963</v>
      </c>
    </row>
    <row r="1891" spans="1:7" x14ac:dyDescent="0.25">
      <c r="A1891" s="125">
        <f t="shared" si="187"/>
        <v>1851</v>
      </c>
      <c r="C1891" s="842" t="s">
        <v>11301</v>
      </c>
      <c r="D1891" s="924">
        <v>7490</v>
      </c>
      <c r="E1891" s="924">
        <f t="shared" si="186"/>
        <v>11235</v>
      </c>
      <c r="F1891" s="136">
        <v>12000</v>
      </c>
      <c r="G1891" s="122" t="s">
        <v>1963</v>
      </c>
    </row>
    <row r="1892" spans="1:7" x14ac:dyDescent="0.25">
      <c r="A1892" s="125">
        <f t="shared" si="187"/>
        <v>1852</v>
      </c>
      <c r="C1892" s="842" t="s">
        <v>11302</v>
      </c>
      <c r="D1892" s="924">
        <v>56784.85</v>
      </c>
      <c r="E1892" s="924">
        <f t="shared" si="186"/>
        <v>85177.274999999994</v>
      </c>
      <c r="F1892" s="136">
        <v>86000</v>
      </c>
      <c r="G1892" s="122" t="s">
        <v>1963</v>
      </c>
    </row>
    <row r="1893" spans="1:7" x14ac:dyDescent="0.25">
      <c r="A1893" s="125">
        <f t="shared" si="187"/>
        <v>1853</v>
      </c>
      <c r="C1893" s="842" t="s">
        <v>11303</v>
      </c>
      <c r="D1893" s="924">
        <v>0</v>
      </c>
      <c r="E1893" s="924">
        <f t="shared" si="186"/>
        <v>0</v>
      </c>
      <c r="F1893" s="136">
        <f>3000*F83</f>
        <v>600</v>
      </c>
      <c r="G1893" s="122" t="s">
        <v>1963</v>
      </c>
    </row>
    <row r="1894" spans="1:7" x14ac:dyDescent="0.25">
      <c r="A1894" s="125">
        <f t="shared" si="187"/>
        <v>1854</v>
      </c>
      <c r="C1894" s="842" t="s">
        <v>11304</v>
      </c>
      <c r="D1894" s="924">
        <v>2271.58</v>
      </c>
      <c r="E1894" s="924">
        <f t="shared" si="186"/>
        <v>3407.37</v>
      </c>
      <c r="F1894" s="136">
        <f>E1894/12</f>
        <v>283.94749999999999</v>
      </c>
      <c r="G1894" s="122" t="s">
        <v>1963</v>
      </c>
    </row>
    <row r="1895" spans="1:7" x14ac:dyDescent="0.25">
      <c r="A1895" s="125">
        <f t="shared" si="187"/>
        <v>1855</v>
      </c>
      <c r="C1895" s="842" t="s">
        <v>11305</v>
      </c>
      <c r="D1895" s="924">
        <v>0</v>
      </c>
      <c r="E1895" s="924">
        <f t="shared" si="186"/>
        <v>0</v>
      </c>
      <c r="F1895" s="136">
        <v>500</v>
      </c>
      <c r="G1895" s="122" t="s">
        <v>1963</v>
      </c>
    </row>
    <row r="1896" spans="1:7" x14ac:dyDescent="0.25">
      <c r="A1896" s="125">
        <f t="shared" si="187"/>
        <v>1856</v>
      </c>
      <c r="C1896" s="842" t="s">
        <v>11306</v>
      </c>
      <c r="D1896" s="924">
        <v>0</v>
      </c>
      <c r="E1896" s="924">
        <f t="shared" si="186"/>
        <v>0</v>
      </c>
      <c r="F1896" s="136">
        <v>1500</v>
      </c>
      <c r="G1896" s="122" t="s">
        <v>1963</v>
      </c>
    </row>
    <row r="1897" spans="1:7" x14ac:dyDescent="0.25">
      <c r="A1897" s="125">
        <f t="shared" si="187"/>
        <v>1857</v>
      </c>
      <c r="C1897" s="123" t="s">
        <v>11307</v>
      </c>
      <c r="D1897" s="904"/>
      <c r="E1897" s="904"/>
    </row>
    <row r="1898" spans="1:7" x14ac:dyDescent="0.25">
      <c r="A1898" s="125">
        <f t="shared" si="187"/>
        <v>1858</v>
      </c>
      <c r="C1898" s="842" t="s">
        <v>11309</v>
      </c>
      <c r="D1898" s="924">
        <v>0</v>
      </c>
      <c r="E1898" s="924">
        <f t="shared" si="186"/>
        <v>0</v>
      </c>
      <c r="F1898" s="136">
        <v>1000</v>
      </c>
      <c r="G1898" s="122" t="s">
        <v>1963</v>
      </c>
    </row>
    <row r="1899" spans="1:7" x14ac:dyDescent="0.25">
      <c r="A1899" s="125">
        <f t="shared" si="187"/>
        <v>1859</v>
      </c>
      <c r="C1899" s="842" t="s">
        <v>11310</v>
      </c>
      <c r="D1899" s="924">
        <f>4383.88+2688.46+1129.68</f>
        <v>8202.02</v>
      </c>
      <c r="E1899" s="924">
        <f t="shared" si="186"/>
        <v>12303.03</v>
      </c>
      <c r="F1899" s="136">
        <v>13000</v>
      </c>
      <c r="G1899" s="122" t="s">
        <v>1963</v>
      </c>
    </row>
    <row r="1900" spans="1:7" x14ac:dyDescent="0.25">
      <c r="A1900" s="125">
        <f t="shared" si="187"/>
        <v>1860</v>
      </c>
      <c r="C1900" s="842" t="s">
        <v>11311</v>
      </c>
      <c r="D1900" s="924">
        <v>0</v>
      </c>
      <c r="E1900" s="924">
        <f t="shared" si="186"/>
        <v>0</v>
      </c>
      <c r="F1900" s="136">
        <v>1000</v>
      </c>
      <c r="G1900" s="122" t="s">
        <v>1963</v>
      </c>
    </row>
    <row r="1901" spans="1:7" x14ac:dyDescent="0.25">
      <c r="A1901" s="125">
        <f t="shared" si="187"/>
        <v>1861</v>
      </c>
      <c r="C1901" s="842" t="s">
        <v>11312</v>
      </c>
      <c r="D1901" s="924">
        <v>0</v>
      </c>
      <c r="E1901" s="924">
        <f t="shared" si="186"/>
        <v>0</v>
      </c>
      <c r="F1901" s="136">
        <v>3000</v>
      </c>
      <c r="G1901" s="122" t="s">
        <v>1963</v>
      </c>
    </row>
    <row r="1902" spans="1:7" x14ac:dyDescent="0.25">
      <c r="A1902" s="125">
        <f t="shared" si="187"/>
        <v>1862</v>
      </c>
      <c r="C1902" s="842" t="s">
        <v>11313</v>
      </c>
      <c r="D1902" s="924">
        <f>10672.37-8202.02</f>
        <v>2470.3500000000004</v>
      </c>
      <c r="E1902" s="924">
        <f t="shared" si="186"/>
        <v>3705.5250000000005</v>
      </c>
      <c r="F1902" s="136">
        <v>5000</v>
      </c>
      <c r="G1902" s="122" t="s">
        <v>1963</v>
      </c>
    </row>
    <row r="1903" spans="1:7" x14ac:dyDescent="0.25">
      <c r="A1903" s="125">
        <f t="shared" si="187"/>
        <v>1863</v>
      </c>
      <c r="C1903" s="842" t="s">
        <v>11314</v>
      </c>
      <c r="D1903" s="924">
        <v>0</v>
      </c>
      <c r="E1903" s="924">
        <f t="shared" si="186"/>
        <v>0</v>
      </c>
      <c r="F1903" s="136">
        <f>F1901*F83</f>
        <v>600</v>
      </c>
      <c r="G1903" s="122" t="s">
        <v>1963</v>
      </c>
    </row>
    <row r="1904" spans="1:7" x14ac:dyDescent="0.25">
      <c r="A1904" s="125">
        <f t="shared" si="187"/>
        <v>1864</v>
      </c>
      <c r="C1904" s="842" t="s">
        <v>11315</v>
      </c>
      <c r="D1904" s="924">
        <v>0</v>
      </c>
      <c r="E1904" s="924">
        <f t="shared" si="186"/>
        <v>0</v>
      </c>
      <c r="F1904" s="136">
        <v>1500</v>
      </c>
      <c r="G1904" s="122" t="s">
        <v>1963</v>
      </c>
    </row>
    <row r="1905" spans="1:9" x14ac:dyDescent="0.25">
      <c r="A1905" s="125">
        <f t="shared" si="187"/>
        <v>1865</v>
      </c>
      <c r="C1905" s="842" t="s">
        <v>11316</v>
      </c>
      <c r="D1905" s="924">
        <v>0</v>
      </c>
      <c r="E1905" s="924">
        <f t="shared" si="186"/>
        <v>0</v>
      </c>
      <c r="F1905" s="136">
        <v>2000</v>
      </c>
      <c r="G1905" s="122" t="s">
        <v>1963</v>
      </c>
    </row>
    <row r="1906" spans="1:9" x14ac:dyDescent="0.25">
      <c r="A1906" s="125">
        <f t="shared" si="187"/>
        <v>1866</v>
      </c>
      <c r="C1906" s="842" t="s">
        <v>11317</v>
      </c>
      <c r="D1906" s="924">
        <v>0</v>
      </c>
      <c r="E1906" s="924">
        <f t="shared" si="186"/>
        <v>0</v>
      </c>
      <c r="F1906" s="136">
        <v>1500</v>
      </c>
      <c r="G1906" s="122" t="s">
        <v>1963</v>
      </c>
    </row>
    <row r="1907" spans="1:9" x14ac:dyDescent="0.25">
      <c r="A1907" s="125">
        <f t="shared" si="187"/>
        <v>1867</v>
      </c>
    </row>
    <row r="1908" spans="1:9" x14ac:dyDescent="0.25">
      <c r="A1908" s="125">
        <f t="shared" si="187"/>
        <v>1868</v>
      </c>
      <c r="C1908" s="1371" t="s">
        <v>9486</v>
      </c>
      <c r="D1908" s="1371"/>
      <c r="E1908" s="1371"/>
      <c r="F1908" s="1371"/>
      <c r="G1908" s="1371"/>
      <c r="H1908" s="1371"/>
      <c r="I1908" s="1371"/>
    </row>
    <row r="1909" spans="1:9" x14ac:dyDescent="0.25">
      <c r="A1909" s="125">
        <f t="shared" si="187"/>
        <v>1869</v>
      </c>
      <c r="C1909" s="1371" t="s">
        <v>8777</v>
      </c>
      <c r="D1909" s="1371"/>
      <c r="E1909" s="1371"/>
      <c r="F1909" s="1371"/>
      <c r="G1909" s="1371"/>
      <c r="H1909" s="1371"/>
      <c r="I1909" s="1371"/>
    </row>
    <row r="1910" spans="1:9" x14ac:dyDescent="0.25">
      <c r="A1910" s="125">
        <f t="shared" si="187"/>
        <v>1870</v>
      </c>
    </row>
    <row r="1911" spans="1:9" x14ac:dyDescent="0.25">
      <c r="A1911" s="125">
        <f t="shared" si="187"/>
        <v>1871</v>
      </c>
      <c r="C1911" s="123" t="s">
        <v>11308</v>
      </c>
      <c r="D1911" s="904"/>
      <c r="E1911" s="904"/>
    </row>
    <row r="1912" spans="1:9" x14ac:dyDescent="0.25">
      <c r="A1912" s="125">
        <f t="shared" si="187"/>
        <v>1872</v>
      </c>
      <c r="C1912" s="842" t="s">
        <v>11318</v>
      </c>
      <c r="D1912" s="924">
        <v>0</v>
      </c>
      <c r="E1912" s="924">
        <v>0</v>
      </c>
      <c r="F1912" s="136">
        <v>500</v>
      </c>
      <c r="G1912" s="122" t="s">
        <v>1963</v>
      </c>
    </row>
    <row r="1913" spans="1:9" x14ac:dyDescent="0.25">
      <c r="A1913" s="125">
        <f t="shared" si="187"/>
        <v>1873</v>
      </c>
      <c r="C1913" s="842" t="s">
        <v>11319</v>
      </c>
      <c r="D1913" s="924">
        <v>0</v>
      </c>
      <c r="E1913" s="924">
        <v>0</v>
      </c>
      <c r="F1913" s="136">
        <v>500</v>
      </c>
      <c r="G1913" s="122" t="s">
        <v>1963</v>
      </c>
    </row>
    <row r="1914" spans="1:9" x14ac:dyDescent="0.25">
      <c r="A1914" s="125">
        <f t="shared" si="187"/>
        <v>1874</v>
      </c>
      <c r="C1914" s="123" t="s">
        <v>11320</v>
      </c>
      <c r="D1914" s="904"/>
      <c r="E1914" s="904"/>
    </row>
    <row r="1915" spans="1:9" x14ac:dyDescent="0.25">
      <c r="A1915" s="125">
        <f t="shared" si="187"/>
        <v>1875</v>
      </c>
      <c r="C1915" s="842" t="s">
        <v>11327</v>
      </c>
      <c r="D1915" s="924">
        <v>0</v>
      </c>
      <c r="E1915" s="924">
        <v>0</v>
      </c>
      <c r="F1915" s="136">
        <v>1500</v>
      </c>
      <c r="G1915" s="122" t="s">
        <v>1963</v>
      </c>
    </row>
    <row r="1916" spans="1:9" x14ac:dyDescent="0.25">
      <c r="A1916" s="125">
        <f t="shared" si="187"/>
        <v>1876</v>
      </c>
      <c r="C1916" s="842" t="s">
        <v>11328</v>
      </c>
      <c r="D1916" s="924">
        <v>0</v>
      </c>
      <c r="E1916" s="924">
        <v>0</v>
      </c>
      <c r="F1916" s="136">
        <v>1000</v>
      </c>
      <c r="G1916" s="122" t="s">
        <v>1963</v>
      </c>
    </row>
    <row r="1917" spans="1:9" x14ac:dyDescent="0.25">
      <c r="A1917" s="125">
        <f t="shared" si="187"/>
        <v>1877</v>
      </c>
      <c r="C1917" s="123" t="s">
        <v>11321</v>
      </c>
      <c r="D1917" s="904"/>
      <c r="E1917" s="904"/>
    </row>
    <row r="1918" spans="1:9" x14ac:dyDescent="0.25">
      <c r="A1918" s="125">
        <f t="shared" si="187"/>
        <v>1878</v>
      </c>
      <c r="C1918" s="842" t="s">
        <v>11329</v>
      </c>
      <c r="D1918" s="924">
        <v>39359.160000000003</v>
      </c>
      <c r="E1918" s="924">
        <f>D1918/8*12</f>
        <v>59038.740000000005</v>
      </c>
      <c r="F1918" s="930">
        <v>59038.74</v>
      </c>
      <c r="G1918" s="122" t="s">
        <v>1963</v>
      </c>
    </row>
    <row r="1919" spans="1:9" x14ac:dyDescent="0.25">
      <c r="A1919" s="125">
        <f t="shared" si="187"/>
        <v>1879</v>
      </c>
      <c r="C1919" s="842" t="s">
        <v>11330</v>
      </c>
      <c r="D1919" s="924">
        <v>0</v>
      </c>
      <c r="E1919" s="924">
        <f t="shared" ref="E1919:E1924" si="188">D1919/8*12</f>
        <v>0</v>
      </c>
      <c r="F1919" s="930">
        <v>500</v>
      </c>
      <c r="G1919" s="122" t="s">
        <v>1963</v>
      </c>
    </row>
    <row r="1920" spans="1:9" x14ac:dyDescent="0.25">
      <c r="A1920" s="125">
        <f t="shared" si="187"/>
        <v>1880</v>
      </c>
      <c r="C1920" s="842" t="s">
        <v>11331</v>
      </c>
      <c r="D1920" s="924">
        <v>0</v>
      </c>
      <c r="E1920" s="924">
        <f t="shared" si="188"/>
        <v>0</v>
      </c>
      <c r="F1920" s="930">
        <v>500</v>
      </c>
      <c r="G1920" s="122" t="s">
        <v>1963</v>
      </c>
    </row>
    <row r="1921" spans="1:7" x14ac:dyDescent="0.25">
      <c r="A1921" s="125">
        <f t="shared" si="187"/>
        <v>1881</v>
      </c>
      <c r="C1921" s="842" t="s">
        <v>11332</v>
      </c>
      <c r="D1921" s="924">
        <v>0</v>
      </c>
      <c r="E1921" s="924">
        <f t="shared" si="188"/>
        <v>0</v>
      </c>
      <c r="F1921" s="930">
        <v>500</v>
      </c>
      <c r="G1921" s="122" t="s">
        <v>1963</v>
      </c>
    </row>
    <row r="1922" spans="1:7" x14ac:dyDescent="0.25">
      <c r="A1922" s="125">
        <f t="shared" si="187"/>
        <v>1882</v>
      </c>
      <c r="C1922" s="842" t="s">
        <v>11333</v>
      </c>
      <c r="D1922" s="924">
        <v>0</v>
      </c>
      <c r="E1922" s="924">
        <f t="shared" si="188"/>
        <v>0</v>
      </c>
      <c r="F1922" s="930">
        <v>500</v>
      </c>
      <c r="G1922" s="122" t="s">
        <v>1963</v>
      </c>
    </row>
    <row r="1923" spans="1:7" x14ac:dyDescent="0.25">
      <c r="A1923" s="125">
        <f t="shared" si="187"/>
        <v>1883</v>
      </c>
      <c r="C1923" s="842" t="s">
        <v>11334</v>
      </c>
      <c r="D1923" s="924">
        <v>0</v>
      </c>
      <c r="E1923" s="924">
        <f t="shared" si="188"/>
        <v>0</v>
      </c>
      <c r="F1923" s="930">
        <f>F1921*F83</f>
        <v>100</v>
      </c>
      <c r="G1923" s="122" t="s">
        <v>1963</v>
      </c>
    </row>
    <row r="1924" spans="1:7" x14ac:dyDescent="0.25">
      <c r="A1924" s="125">
        <f t="shared" si="187"/>
        <v>1884</v>
      </c>
      <c r="C1924" s="842" t="s">
        <v>11335</v>
      </c>
      <c r="D1924" s="924">
        <v>0</v>
      </c>
      <c r="E1924" s="924">
        <f t="shared" si="188"/>
        <v>0</v>
      </c>
      <c r="F1924" s="930">
        <v>500</v>
      </c>
      <c r="G1924" s="122" t="s">
        <v>1963</v>
      </c>
    </row>
    <row r="1925" spans="1:7" x14ac:dyDescent="0.25">
      <c r="A1925" s="125">
        <f t="shared" si="187"/>
        <v>1885</v>
      </c>
      <c r="C1925" s="123" t="s">
        <v>11322</v>
      </c>
      <c r="D1925" s="904"/>
      <c r="E1925" s="904"/>
    </row>
    <row r="1926" spans="1:7" x14ac:dyDescent="0.25">
      <c r="A1926" s="125">
        <f t="shared" si="187"/>
        <v>1886</v>
      </c>
      <c r="C1926" s="842" t="s">
        <v>11336</v>
      </c>
      <c r="D1926" s="924">
        <v>0</v>
      </c>
      <c r="E1926" s="924">
        <f t="shared" ref="E1926:E1938" si="189">D1926/8*12</f>
        <v>0</v>
      </c>
      <c r="F1926" s="930">
        <v>500</v>
      </c>
      <c r="G1926" s="122" t="s">
        <v>1963</v>
      </c>
    </row>
    <row r="1927" spans="1:7" x14ac:dyDescent="0.25">
      <c r="A1927" s="125">
        <f t="shared" si="187"/>
        <v>1887</v>
      </c>
      <c r="C1927" s="842" t="s">
        <v>11337</v>
      </c>
      <c r="D1927" s="924">
        <v>0</v>
      </c>
      <c r="E1927" s="924">
        <f t="shared" si="189"/>
        <v>0</v>
      </c>
      <c r="F1927" s="930">
        <v>500</v>
      </c>
      <c r="G1927" s="122" t="s">
        <v>1963</v>
      </c>
    </row>
    <row r="1928" spans="1:7" x14ac:dyDescent="0.25">
      <c r="A1928" s="125">
        <f t="shared" si="187"/>
        <v>1888</v>
      </c>
      <c r="C1928" s="842" t="s">
        <v>11338</v>
      </c>
      <c r="D1928" s="924">
        <v>0</v>
      </c>
      <c r="E1928" s="924">
        <f t="shared" si="189"/>
        <v>0</v>
      </c>
      <c r="F1928" s="930">
        <v>500</v>
      </c>
      <c r="G1928" s="122" t="s">
        <v>1963</v>
      </c>
    </row>
    <row r="1929" spans="1:7" x14ac:dyDescent="0.25">
      <c r="A1929" s="125">
        <f t="shared" si="187"/>
        <v>1889</v>
      </c>
      <c r="C1929" s="842" t="s">
        <v>11339</v>
      </c>
      <c r="D1929" s="924">
        <v>0</v>
      </c>
      <c r="E1929" s="924">
        <f t="shared" si="189"/>
        <v>0</v>
      </c>
      <c r="F1929" s="930">
        <v>500</v>
      </c>
      <c r="G1929" s="122" t="s">
        <v>1963</v>
      </c>
    </row>
    <row r="1930" spans="1:7" x14ac:dyDescent="0.25">
      <c r="A1930" s="125">
        <f t="shared" si="187"/>
        <v>1890</v>
      </c>
      <c r="C1930" s="842" t="s">
        <v>11340</v>
      </c>
      <c r="D1930" s="924">
        <v>0</v>
      </c>
      <c r="E1930" s="924">
        <f t="shared" si="189"/>
        <v>0</v>
      </c>
      <c r="F1930" s="930">
        <v>500</v>
      </c>
      <c r="G1930" s="122" t="s">
        <v>1963</v>
      </c>
    </row>
    <row r="1931" spans="1:7" x14ac:dyDescent="0.25">
      <c r="A1931" s="125">
        <f t="shared" si="187"/>
        <v>1891</v>
      </c>
      <c r="C1931" s="842" t="s">
        <v>11341</v>
      </c>
      <c r="D1931" s="924">
        <v>0</v>
      </c>
      <c r="E1931" s="924">
        <f t="shared" si="189"/>
        <v>0</v>
      </c>
      <c r="F1931" s="930">
        <f>F1929*F83</f>
        <v>100</v>
      </c>
      <c r="G1931" s="122" t="s">
        <v>1963</v>
      </c>
    </row>
    <row r="1932" spans="1:7" x14ac:dyDescent="0.25">
      <c r="A1932" s="125">
        <f t="shared" si="187"/>
        <v>1892</v>
      </c>
      <c r="C1932" s="842" t="s">
        <v>11342</v>
      </c>
      <c r="D1932" s="924"/>
      <c r="E1932" s="924"/>
      <c r="F1932" s="930">
        <v>500</v>
      </c>
      <c r="G1932" s="122" t="s">
        <v>1963</v>
      </c>
    </row>
    <row r="1933" spans="1:7" x14ac:dyDescent="0.25">
      <c r="A1933" s="125">
        <f t="shared" si="187"/>
        <v>1893</v>
      </c>
      <c r="C1933" s="123" t="s">
        <v>11323</v>
      </c>
      <c r="D1933" s="924">
        <v>0</v>
      </c>
      <c r="E1933" s="924">
        <f t="shared" si="189"/>
        <v>0</v>
      </c>
    </row>
    <row r="1934" spans="1:7" x14ac:dyDescent="0.25">
      <c r="A1934" s="125">
        <f t="shared" si="187"/>
        <v>1894</v>
      </c>
      <c r="C1934" s="842" t="s">
        <v>11343</v>
      </c>
      <c r="D1934" s="924">
        <v>0</v>
      </c>
      <c r="E1934" s="924">
        <f t="shared" si="189"/>
        <v>0</v>
      </c>
      <c r="F1934" s="930">
        <v>500</v>
      </c>
      <c r="G1934" s="122" t="s">
        <v>1963</v>
      </c>
    </row>
    <row r="1935" spans="1:7" x14ac:dyDescent="0.25">
      <c r="A1935" s="125">
        <f t="shared" si="187"/>
        <v>1895</v>
      </c>
      <c r="C1935" s="842" t="s">
        <v>11344</v>
      </c>
      <c r="D1935" s="924">
        <v>0</v>
      </c>
      <c r="E1935" s="924">
        <f t="shared" si="189"/>
        <v>0</v>
      </c>
      <c r="F1935" s="930">
        <v>500</v>
      </c>
      <c r="G1935" s="122" t="s">
        <v>1963</v>
      </c>
    </row>
    <row r="1936" spans="1:7" x14ac:dyDescent="0.25">
      <c r="A1936" s="125">
        <f t="shared" si="187"/>
        <v>1896</v>
      </c>
      <c r="C1936" s="842" t="s">
        <v>11345</v>
      </c>
      <c r="D1936" s="924">
        <v>0</v>
      </c>
      <c r="E1936" s="924">
        <f t="shared" si="189"/>
        <v>0</v>
      </c>
      <c r="F1936" s="930">
        <v>500</v>
      </c>
      <c r="G1936" s="122" t="s">
        <v>1963</v>
      </c>
    </row>
    <row r="1937" spans="1:7" x14ac:dyDescent="0.25">
      <c r="A1937" s="125">
        <f t="shared" si="187"/>
        <v>1897</v>
      </c>
      <c r="C1937" s="842" t="s">
        <v>11346</v>
      </c>
      <c r="D1937" s="924">
        <v>0</v>
      </c>
      <c r="E1937" s="924">
        <f t="shared" si="189"/>
        <v>0</v>
      </c>
      <c r="F1937" s="930">
        <v>500</v>
      </c>
      <c r="G1937" s="122" t="s">
        <v>1963</v>
      </c>
    </row>
    <row r="1938" spans="1:7" x14ac:dyDescent="0.25">
      <c r="A1938" s="125">
        <f t="shared" si="187"/>
        <v>1898</v>
      </c>
      <c r="C1938" s="842" t="s">
        <v>11347</v>
      </c>
      <c r="D1938" s="924">
        <v>0</v>
      </c>
      <c r="E1938" s="924">
        <f t="shared" si="189"/>
        <v>0</v>
      </c>
      <c r="F1938" s="930">
        <f>F1937*F$83</f>
        <v>100</v>
      </c>
      <c r="G1938" s="122" t="s">
        <v>1963</v>
      </c>
    </row>
    <row r="1939" spans="1:7" x14ac:dyDescent="0.25">
      <c r="A1939" s="125">
        <f t="shared" si="187"/>
        <v>1899</v>
      </c>
      <c r="C1939" s="842" t="s">
        <v>11348</v>
      </c>
      <c r="D1939" s="924"/>
      <c r="E1939" s="924"/>
      <c r="F1939" s="930">
        <v>500</v>
      </c>
      <c r="G1939" s="122" t="s">
        <v>1963</v>
      </c>
    </row>
    <row r="1940" spans="1:7" x14ac:dyDescent="0.25">
      <c r="A1940" s="125">
        <f t="shared" si="187"/>
        <v>1900</v>
      </c>
      <c r="C1940" s="123" t="s">
        <v>11324</v>
      </c>
      <c r="D1940" s="904"/>
      <c r="E1940" s="904"/>
    </row>
    <row r="1941" spans="1:7" x14ac:dyDescent="0.25">
      <c r="A1941" s="125">
        <f t="shared" si="187"/>
        <v>1901</v>
      </c>
      <c r="C1941" s="842" t="s">
        <v>11349</v>
      </c>
      <c r="D1941" s="924">
        <v>0</v>
      </c>
      <c r="E1941" s="924">
        <f t="shared" ref="E1941:E1958" si="190">D1941/8*12</f>
        <v>0</v>
      </c>
      <c r="F1941" s="930">
        <v>15000</v>
      </c>
      <c r="G1941" s="122" t="s">
        <v>1963</v>
      </c>
    </row>
    <row r="1942" spans="1:7" x14ac:dyDescent="0.25">
      <c r="A1942" s="125">
        <f t="shared" si="187"/>
        <v>1902</v>
      </c>
      <c r="C1942" s="842" t="s">
        <v>11350</v>
      </c>
      <c r="D1942" s="924">
        <v>0</v>
      </c>
      <c r="E1942" s="924">
        <f t="shared" si="190"/>
        <v>0</v>
      </c>
      <c r="F1942" s="930">
        <v>10000</v>
      </c>
      <c r="G1942" s="122" t="s">
        <v>1963</v>
      </c>
    </row>
    <row r="1943" spans="1:7" x14ac:dyDescent="0.25">
      <c r="A1943" s="125">
        <f t="shared" si="187"/>
        <v>1903</v>
      </c>
      <c r="C1943" s="123" t="s">
        <v>11325</v>
      </c>
      <c r="D1943" s="924"/>
      <c r="E1943" s="924"/>
    </row>
    <row r="1944" spans="1:7" x14ac:dyDescent="0.25">
      <c r="A1944" s="125">
        <f t="shared" si="187"/>
        <v>1904</v>
      </c>
      <c r="C1944" s="842" t="s">
        <v>11351</v>
      </c>
      <c r="D1944" s="924">
        <v>0</v>
      </c>
      <c r="E1944" s="924">
        <f t="shared" si="190"/>
        <v>0</v>
      </c>
      <c r="F1944" s="930">
        <v>1000</v>
      </c>
      <c r="G1944" s="122" t="s">
        <v>1963</v>
      </c>
    </row>
    <row r="1945" spans="1:7" x14ac:dyDescent="0.25">
      <c r="A1945" s="125">
        <f t="shared" si="187"/>
        <v>1905</v>
      </c>
      <c r="C1945" s="842" t="s">
        <v>11352</v>
      </c>
      <c r="D1945" s="924">
        <v>0</v>
      </c>
      <c r="E1945" s="924">
        <f t="shared" si="190"/>
        <v>0</v>
      </c>
      <c r="F1945" s="930">
        <v>1000</v>
      </c>
      <c r="G1945" s="122" t="s">
        <v>1963</v>
      </c>
    </row>
    <row r="1946" spans="1:7" x14ac:dyDescent="0.25">
      <c r="A1946" s="125">
        <f t="shared" si="187"/>
        <v>1906</v>
      </c>
      <c r="C1946" s="842" t="s">
        <v>11353</v>
      </c>
      <c r="D1946" s="924">
        <v>0</v>
      </c>
      <c r="E1946" s="924">
        <f t="shared" si="190"/>
        <v>0</v>
      </c>
      <c r="F1946" s="930">
        <v>1000</v>
      </c>
      <c r="G1946" s="122" t="s">
        <v>1963</v>
      </c>
    </row>
    <row r="1947" spans="1:7" x14ac:dyDescent="0.25">
      <c r="A1947" s="125">
        <f t="shared" si="187"/>
        <v>1907</v>
      </c>
      <c r="C1947" s="842" t="s">
        <v>11354</v>
      </c>
      <c r="D1947" s="924">
        <v>0</v>
      </c>
      <c r="E1947" s="924">
        <f t="shared" si="190"/>
        <v>0</v>
      </c>
      <c r="F1947" s="930">
        <v>1000</v>
      </c>
      <c r="G1947" s="122" t="s">
        <v>1963</v>
      </c>
    </row>
    <row r="1948" spans="1:7" x14ac:dyDescent="0.25">
      <c r="A1948" s="125">
        <f t="shared" si="187"/>
        <v>1908</v>
      </c>
      <c r="C1948" s="842" t="s">
        <v>11355</v>
      </c>
      <c r="D1948" s="924">
        <v>0</v>
      </c>
      <c r="E1948" s="924">
        <f t="shared" si="190"/>
        <v>0</v>
      </c>
      <c r="F1948" s="930">
        <f>F1946*F83</f>
        <v>200</v>
      </c>
      <c r="G1948" s="122" t="s">
        <v>1963</v>
      </c>
    </row>
    <row r="1949" spans="1:7" x14ac:dyDescent="0.25">
      <c r="A1949" s="125">
        <f t="shared" si="187"/>
        <v>1909</v>
      </c>
      <c r="C1949" s="842" t="s">
        <v>11356</v>
      </c>
      <c r="D1949" s="924">
        <v>0</v>
      </c>
      <c r="E1949" s="924">
        <f t="shared" si="190"/>
        <v>0</v>
      </c>
      <c r="F1949" s="930">
        <v>1000</v>
      </c>
      <c r="G1949" s="122" t="s">
        <v>1963</v>
      </c>
    </row>
    <row r="1950" spans="1:7" x14ac:dyDescent="0.25">
      <c r="A1950" s="125">
        <f t="shared" ref="A1950:A2013" si="191">A1949+1</f>
        <v>1910</v>
      </c>
      <c r="C1950" s="842" t="s">
        <v>11357</v>
      </c>
      <c r="D1950" s="924">
        <v>0</v>
      </c>
      <c r="E1950" s="924">
        <f t="shared" si="190"/>
        <v>0</v>
      </c>
      <c r="F1950" s="930">
        <v>1000</v>
      </c>
      <c r="G1950" s="122" t="s">
        <v>1963</v>
      </c>
    </row>
    <row r="1951" spans="1:7" x14ac:dyDescent="0.25">
      <c r="A1951" s="125">
        <f t="shared" si="191"/>
        <v>1911</v>
      </c>
      <c r="C1951" s="123" t="s">
        <v>11326</v>
      </c>
      <c r="D1951" s="924">
        <v>0</v>
      </c>
      <c r="E1951" s="924">
        <f t="shared" si="190"/>
        <v>0</v>
      </c>
    </row>
    <row r="1952" spans="1:7" x14ac:dyDescent="0.25">
      <c r="A1952" s="125">
        <f t="shared" si="191"/>
        <v>1912</v>
      </c>
      <c r="C1952" s="842" t="s">
        <v>11358</v>
      </c>
      <c r="D1952" s="924">
        <v>0</v>
      </c>
      <c r="E1952" s="924">
        <f t="shared" si="190"/>
        <v>0</v>
      </c>
      <c r="F1952" s="930">
        <v>1000</v>
      </c>
      <c r="G1952" s="122" t="s">
        <v>1963</v>
      </c>
    </row>
    <row r="1953" spans="1:7" x14ac:dyDescent="0.25">
      <c r="A1953" s="125">
        <f t="shared" si="191"/>
        <v>1913</v>
      </c>
      <c r="C1953" s="842" t="s">
        <v>11359</v>
      </c>
      <c r="D1953" s="924">
        <v>0</v>
      </c>
      <c r="E1953" s="924">
        <f t="shared" si="190"/>
        <v>0</v>
      </c>
      <c r="F1953" s="930">
        <v>1000</v>
      </c>
      <c r="G1953" s="122" t="s">
        <v>1963</v>
      </c>
    </row>
    <row r="1954" spans="1:7" x14ac:dyDescent="0.25">
      <c r="A1954" s="125">
        <f t="shared" si="191"/>
        <v>1914</v>
      </c>
      <c r="C1954" s="842" t="s">
        <v>11360</v>
      </c>
      <c r="D1954" s="924">
        <v>0</v>
      </c>
      <c r="E1954" s="924">
        <f t="shared" si="190"/>
        <v>0</v>
      </c>
      <c r="F1954" s="930">
        <v>1000</v>
      </c>
      <c r="G1954" s="122" t="s">
        <v>1963</v>
      </c>
    </row>
    <row r="1955" spans="1:7" x14ac:dyDescent="0.25">
      <c r="A1955" s="125">
        <f t="shared" si="191"/>
        <v>1915</v>
      </c>
      <c r="C1955" s="842" t="s">
        <v>11361</v>
      </c>
      <c r="D1955" s="924">
        <v>0</v>
      </c>
      <c r="E1955" s="924">
        <f t="shared" si="190"/>
        <v>0</v>
      </c>
      <c r="F1955" s="930">
        <v>1000</v>
      </c>
      <c r="G1955" s="122" t="s">
        <v>1963</v>
      </c>
    </row>
    <row r="1956" spans="1:7" x14ac:dyDescent="0.25">
      <c r="A1956" s="125">
        <f t="shared" si="191"/>
        <v>1916</v>
      </c>
      <c r="C1956" s="842" t="s">
        <v>11362</v>
      </c>
      <c r="D1956" s="924">
        <v>0</v>
      </c>
      <c r="E1956" s="924">
        <f t="shared" si="190"/>
        <v>0</v>
      </c>
      <c r="F1956" s="930">
        <f>F1954*F83</f>
        <v>200</v>
      </c>
      <c r="G1956" s="122" t="s">
        <v>1963</v>
      </c>
    </row>
    <row r="1957" spans="1:7" x14ac:dyDescent="0.25">
      <c r="A1957" s="125">
        <f t="shared" si="191"/>
        <v>1917</v>
      </c>
      <c r="C1957" s="842" t="s">
        <v>11363</v>
      </c>
      <c r="D1957" s="924">
        <v>0</v>
      </c>
      <c r="E1957" s="924">
        <f t="shared" si="190"/>
        <v>0</v>
      </c>
      <c r="F1957" s="930">
        <v>1000</v>
      </c>
      <c r="G1957" s="122" t="s">
        <v>1963</v>
      </c>
    </row>
    <row r="1958" spans="1:7" x14ac:dyDescent="0.25">
      <c r="A1958" s="125">
        <f t="shared" si="191"/>
        <v>1918</v>
      </c>
      <c r="C1958" s="842" t="s">
        <v>11364</v>
      </c>
      <c r="D1958" s="924">
        <v>0</v>
      </c>
      <c r="E1958" s="924">
        <f t="shared" si="190"/>
        <v>0</v>
      </c>
      <c r="F1958" s="930">
        <v>1000</v>
      </c>
      <c r="G1958" s="122" t="s">
        <v>1963</v>
      </c>
    </row>
    <row r="1959" spans="1:7" x14ac:dyDescent="0.25">
      <c r="A1959" s="125">
        <f t="shared" si="191"/>
        <v>1919</v>
      </c>
      <c r="C1959" s="842" t="s">
        <v>11365</v>
      </c>
      <c r="D1959" s="924"/>
      <c r="E1959" s="924"/>
      <c r="F1959" s="930">
        <v>1000</v>
      </c>
      <c r="G1959" s="122" t="s">
        <v>1963</v>
      </c>
    </row>
    <row r="1960" spans="1:7" x14ac:dyDescent="0.25">
      <c r="A1960" s="125">
        <f t="shared" si="191"/>
        <v>1920</v>
      </c>
      <c r="C1960" s="123" t="s">
        <v>11366</v>
      </c>
      <c r="D1960" s="904"/>
      <c r="E1960" s="904"/>
    </row>
    <row r="1961" spans="1:7" x14ac:dyDescent="0.25">
      <c r="A1961" s="125">
        <f t="shared" si="191"/>
        <v>1921</v>
      </c>
      <c r="C1961" s="842" t="s">
        <v>11367</v>
      </c>
      <c r="D1961" s="924">
        <v>0</v>
      </c>
      <c r="E1961" s="924">
        <f t="shared" ref="E1961:E1962" si="192">D1961/8*12</f>
        <v>0</v>
      </c>
      <c r="F1961" s="930">
        <v>5000</v>
      </c>
      <c r="G1961" s="122" t="s">
        <v>1963</v>
      </c>
    </row>
    <row r="1962" spans="1:7" x14ac:dyDescent="0.25">
      <c r="A1962" s="125">
        <f t="shared" si="191"/>
        <v>1922</v>
      </c>
      <c r="C1962" s="842" t="s">
        <v>11368</v>
      </c>
      <c r="D1962" s="924">
        <v>0</v>
      </c>
      <c r="E1962" s="924">
        <f t="shared" si="192"/>
        <v>0</v>
      </c>
      <c r="F1962" s="930">
        <v>10000</v>
      </c>
      <c r="G1962" s="122" t="s">
        <v>1963</v>
      </c>
    </row>
    <row r="1963" spans="1:7" x14ac:dyDescent="0.25">
      <c r="A1963" s="125">
        <f t="shared" si="191"/>
        <v>1923</v>
      </c>
      <c r="C1963" s="123" t="s">
        <v>11370</v>
      </c>
      <c r="D1963" s="904"/>
      <c r="E1963" s="904"/>
    </row>
    <row r="1964" spans="1:7" x14ac:dyDescent="0.25">
      <c r="A1964" s="125">
        <f t="shared" si="191"/>
        <v>1924</v>
      </c>
      <c r="C1964" s="842" t="s">
        <v>11750</v>
      </c>
      <c r="D1964" s="924">
        <v>0</v>
      </c>
      <c r="E1964" s="924">
        <f t="shared" ref="E1964:E1969" si="193">D1964/8*12</f>
        <v>0</v>
      </c>
      <c r="F1964" s="930">
        <v>500</v>
      </c>
      <c r="G1964" s="122" t="s">
        <v>1963</v>
      </c>
    </row>
    <row r="1965" spans="1:7" x14ac:dyDescent="0.25">
      <c r="A1965" s="125">
        <f t="shared" si="191"/>
        <v>1925</v>
      </c>
      <c r="C1965" s="842" t="s">
        <v>11372</v>
      </c>
      <c r="D1965" s="924">
        <v>0</v>
      </c>
      <c r="E1965" s="924">
        <f t="shared" si="193"/>
        <v>0</v>
      </c>
      <c r="F1965" s="930">
        <v>500</v>
      </c>
      <c r="G1965" s="122" t="s">
        <v>1963</v>
      </c>
    </row>
    <row r="1966" spans="1:7" x14ac:dyDescent="0.25">
      <c r="A1966" s="125">
        <f t="shared" si="191"/>
        <v>1926</v>
      </c>
      <c r="C1966" s="842" t="s">
        <v>11751</v>
      </c>
      <c r="D1966" s="924">
        <v>0</v>
      </c>
      <c r="E1966" s="924">
        <f t="shared" si="193"/>
        <v>0</v>
      </c>
      <c r="F1966" s="930">
        <v>500</v>
      </c>
      <c r="G1966" s="122" t="s">
        <v>1963</v>
      </c>
    </row>
    <row r="1967" spans="1:7" x14ac:dyDescent="0.25">
      <c r="A1967" s="125">
        <f t="shared" si="191"/>
        <v>1927</v>
      </c>
      <c r="C1967" s="842" t="s">
        <v>11752</v>
      </c>
      <c r="D1967" s="924">
        <v>0</v>
      </c>
      <c r="E1967" s="924">
        <f t="shared" si="193"/>
        <v>0</v>
      </c>
      <c r="F1967" s="930">
        <v>500</v>
      </c>
      <c r="G1967" s="122" t="s">
        <v>1963</v>
      </c>
    </row>
    <row r="1968" spans="1:7" x14ac:dyDescent="0.25">
      <c r="A1968" s="125">
        <f t="shared" si="191"/>
        <v>1928</v>
      </c>
      <c r="C1968" s="842" t="s">
        <v>11753</v>
      </c>
      <c r="D1968" s="924">
        <v>0</v>
      </c>
      <c r="E1968" s="924">
        <f t="shared" si="193"/>
        <v>0</v>
      </c>
      <c r="F1968" s="930">
        <f>F1966*F$83</f>
        <v>100</v>
      </c>
      <c r="G1968" s="122" t="s">
        <v>1963</v>
      </c>
    </row>
    <row r="1969" spans="1:7" x14ac:dyDescent="0.25">
      <c r="A1969" s="125">
        <f t="shared" si="191"/>
        <v>1929</v>
      </c>
      <c r="C1969" s="842" t="s">
        <v>11754</v>
      </c>
      <c r="D1969" s="924">
        <v>0</v>
      </c>
      <c r="E1969" s="924">
        <f t="shared" si="193"/>
        <v>0</v>
      </c>
      <c r="F1969" s="930">
        <v>500</v>
      </c>
      <c r="G1969" s="122" t="s">
        <v>1963</v>
      </c>
    </row>
    <row r="1970" spans="1:7" x14ac:dyDescent="0.25">
      <c r="A1970" s="125">
        <f t="shared" si="191"/>
        <v>1930</v>
      </c>
      <c r="C1970" s="123" t="s">
        <v>11371</v>
      </c>
      <c r="D1970" s="904"/>
      <c r="E1970" s="904"/>
    </row>
    <row r="1971" spans="1:7" x14ac:dyDescent="0.25">
      <c r="A1971" s="125">
        <f t="shared" si="191"/>
        <v>1931</v>
      </c>
      <c r="C1971" s="842" t="s">
        <v>11373</v>
      </c>
      <c r="D1971" s="924">
        <v>0</v>
      </c>
      <c r="E1971" s="924">
        <f t="shared" ref="E1971:E1978" si="194">D1971/8*12</f>
        <v>0</v>
      </c>
      <c r="F1971" s="930">
        <v>1</v>
      </c>
      <c r="G1971" s="122" t="s">
        <v>1963</v>
      </c>
    </row>
    <row r="1972" spans="1:7" x14ac:dyDescent="0.25">
      <c r="A1972" s="125">
        <f t="shared" si="191"/>
        <v>1932</v>
      </c>
      <c r="C1972" s="842" t="s">
        <v>11374</v>
      </c>
      <c r="D1972" s="924">
        <v>0</v>
      </c>
      <c r="E1972" s="924">
        <f t="shared" si="194"/>
        <v>0</v>
      </c>
      <c r="F1972" s="930">
        <v>1</v>
      </c>
      <c r="G1972" s="122" t="s">
        <v>1963</v>
      </c>
    </row>
    <row r="1973" spans="1:7" x14ac:dyDescent="0.25">
      <c r="A1973" s="125">
        <f t="shared" si="191"/>
        <v>1933</v>
      </c>
      <c r="C1973" s="842" t="s">
        <v>11375</v>
      </c>
      <c r="D1973" s="924">
        <v>0</v>
      </c>
      <c r="E1973" s="924">
        <f t="shared" si="194"/>
        <v>0</v>
      </c>
      <c r="F1973" s="930">
        <v>1</v>
      </c>
      <c r="G1973" s="122" t="s">
        <v>1963</v>
      </c>
    </row>
    <row r="1974" spans="1:7" x14ac:dyDescent="0.25">
      <c r="A1974" s="125">
        <f t="shared" si="191"/>
        <v>1934</v>
      </c>
      <c r="C1974" s="842" t="s">
        <v>11376</v>
      </c>
      <c r="D1974" s="924">
        <v>0</v>
      </c>
      <c r="E1974" s="924">
        <f t="shared" si="194"/>
        <v>0</v>
      </c>
      <c r="F1974" s="930">
        <v>1</v>
      </c>
      <c r="G1974" s="122" t="s">
        <v>1963</v>
      </c>
    </row>
    <row r="1975" spans="1:7" x14ac:dyDescent="0.25">
      <c r="A1975" s="125">
        <f t="shared" si="191"/>
        <v>1935</v>
      </c>
      <c r="C1975" s="842" t="s">
        <v>11377</v>
      </c>
      <c r="D1975" s="924">
        <v>0</v>
      </c>
      <c r="E1975" s="924">
        <f t="shared" si="194"/>
        <v>0</v>
      </c>
      <c r="F1975" s="930">
        <v>1</v>
      </c>
      <c r="G1975" s="122" t="s">
        <v>1963</v>
      </c>
    </row>
    <row r="1976" spans="1:7" x14ac:dyDescent="0.25">
      <c r="A1976" s="125">
        <f t="shared" si="191"/>
        <v>1936</v>
      </c>
      <c r="C1976" s="842" t="s">
        <v>11378</v>
      </c>
      <c r="D1976" s="924">
        <v>0</v>
      </c>
      <c r="E1976" s="924">
        <f t="shared" si="194"/>
        <v>0</v>
      </c>
      <c r="F1976" s="930">
        <f>F1974*F$83</f>
        <v>0.2</v>
      </c>
      <c r="G1976" s="122" t="s">
        <v>1963</v>
      </c>
    </row>
    <row r="1977" spans="1:7" x14ac:dyDescent="0.25">
      <c r="A1977" s="125">
        <f t="shared" si="191"/>
        <v>1937</v>
      </c>
      <c r="C1977" s="842" t="s">
        <v>11379</v>
      </c>
      <c r="D1977" s="924">
        <v>0</v>
      </c>
      <c r="E1977" s="924">
        <f t="shared" si="194"/>
        <v>0</v>
      </c>
      <c r="F1977" s="930">
        <v>1</v>
      </c>
      <c r="G1977" s="122" t="s">
        <v>1963</v>
      </c>
    </row>
    <row r="1978" spans="1:7" x14ac:dyDescent="0.25">
      <c r="A1978" s="125">
        <f t="shared" si="191"/>
        <v>1938</v>
      </c>
      <c r="C1978" s="842" t="s">
        <v>11380</v>
      </c>
      <c r="D1978" s="924">
        <v>0</v>
      </c>
      <c r="E1978" s="924">
        <f t="shared" si="194"/>
        <v>0</v>
      </c>
      <c r="F1978" s="930">
        <v>1</v>
      </c>
      <c r="G1978" s="122" t="s">
        <v>1963</v>
      </c>
    </row>
    <row r="1979" spans="1:7" x14ac:dyDescent="0.25">
      <c r="A1979" s="125">
        <f t="shared" si="191"/>
        <v>1939</v>
      </c>
      <c r="C1979" s="123" t="s">
        <v>11381</v>
      </c>
      <c r="D1979" s="904"/>
      <c r="E1979" s="904"/>
    </row>
    <row r="1980" spans="1:7" x14ac:dyDescent="0.25">
      <c r="A1980" s="125">
        <f t="shared" si="191"/>
        <v>1940</v>
      </c>
      <c r="C1980" s="842" t="s">
        <v>11385</v>
      </c>
      <c r="D1980" s="924">
        <v>0</v>
      </c>
      <c r="E1980" s="924">
        <f t="shared" ref="E1980:E1987" si="195">D1980/8*12</f>
        <v>0</v>
      </c>
      <c r="F1980" s="930">
        <v>500</v>
      </c>
      <c r="G1980" s="122" t="s">
        <v>1963</v>
      </c>
    </row>
    <row r="1981" spans="1:7" x14ac:dyDescent="0.25">
      <c r="A1981" s="125">
        <f t="shared" si="191"/>
        <v>1941</v>
      </c>
      <c r="C1981" s="842" t="s">
        <v>11386</v>
      </c>
      <c r="D1981" s="924">
        <v>0</v>
      </c>
      <c r="E1981" s="924">
        <f t="shared" si="195"/>
        <v>0</v>
      </c>
      <c r="F1981" s="930">
        <v>500</v>
      </c>
      <c r="G1981" s="122" t="s">
        <v>1963</v>
      </c>
    </row>
    <row r="1982" spans="1:7" x14ac:dyDescent="0.25">
      <c r="A1982" s="125">
        <f t="shared" si="191"/>
        <v>1942</v>
      </c>
      <c r="C1982" s="842" t="s">
        <v>11387</v>
      </c>
      <c r="D1982" s="924">
        <v>0</v>
      </c>
      <c r="E1982" s="924">
        <f t="shared" si="195"/>
        <v>0</v>
      </c>
      <c r="F1982" s="930">
        <v>500</v>
      </c>
      <c r="G1982" s="122" t="s">
        <v>1963</v>
      </c>
    </row>
    <row r="1983" spans="1:7" x14ac:dyDescent="0.25">
      <c r="A1983" s="125">
        <f t="shared" si="191"/>
        <v>1943</v>
      </c>
      <c r="C1983" s="842" t="s">
        <v>11388</v>
      </c>
      <c r="D1983" s="924">
        <v>0</v>
      </c>
      <c r="E1983" s="924">
        <f t="shared" si="195"/>
        <v>0</v>
      </c>
      <c r="F1983" s="930">
        <v>500</v>
      </c>
      <c r="G1983" s="122" t="s">
        <v>1963</v>
      </c>
    </row>
    <row r="1984" spans="1:7" x14ac:dyDescent="0.25">
      <c r="A1984" s="125">
        <f t="shared" si="191"/>
        <v>1944</v>
      </c>
      <c r="C1984" s="842" t="s">
        <v>11389</v>
      </c>
      <c r="D1984" s="924">
        <v>0</v>
      </c>
      <c r="E1984" s="924">
        <f t="shared" si="195"/>
        <v>0</v>
      </c>
      <c r="F1984" s="930">
        <f>F1982*F$83</f>
        <v>100</v>
      </c>
      <c r="G1984" s="122" t="s">
        <v>1963</v>
      </c>
    </row>
    <row r="1985" spans="1:9" x14ac:dyDescent="0.25">
      <c r="A1985" s="125">
        <f t="shared" si="191"/>
        <v>1945</v>
      </c>
      <c r="C1985" s="842" t="s">
        <v>11390</v>
      </c>
      <c r="D1985" s="924">
        <v>0</v>
      </c>
      <c r="E1985" s="924">
        <f t="shared" si="195"/>
        <v>0</v>
      </c>
      <c r="F1985" s="930">
        <v>500</v>
      </c>
      <c r="G1985" s="122" t="s">
        <v>1963</v>
      </c>
    </row>
    <row r="1986" spans="1:9" x14ac:dyDescent="0.25">
      <c r="A1986" s="125">
        <f t="shared" si="191"/>
        <v>1946</v>
      </c>
      <c r="C1986" s="842" t="s">
        <v>11391</v>
      </c>
      <c r="D1986" s="924">
        <v>0</v>
      </c>
      <c r="E1986" s="924">
        <f t="shared" si="195"/>
        <v>0</v>
      </c>
      <c r="F1986" s="930">
        <v>500</v>
      </c>
      <c r="G1986" s="122" t="s">
        <v>1963</v>
      </c>
    </row>
    <row r="1987" spans="1:9" x14ac:dyDescent="0.25">
      <c r="A1987" s="125">
        <f t="shared" si="191"/>
        <v>1947</v>
      </c>
      <c r="C1987" s="842" t="s">
        <v>11392</v>
      </c>
      <c r="D1987" s="924">
        <v>0</v>
      </c>
      <c r="E1987" s="924">
        <f t="shared" si="195"/>
        <v>0</v>
      </c>
      <c r="F1987" s="930">
        <v>500</v>
      </c>
      <c r="G1987" s="122" t="s">
        <v>1963</v>
      </c>
    </row>
    <row r="1988" spans="1:9" x14ac:dyDescent="0.25">
      <c r="A1988" s="125">
        <f t="shared" si="191"/>
        <v>1948</v>
      </c>
      <c r="C1988" s="123" t="s">
        <v>11382</v>
      </c>
      <c r="D1988" s="904"/>
      <c r="E1988" s="904"/>
    </row>
    <row r="1989" spans="1:9" x14ac:dyDescent="0.25">
      <c r="A1989" s="125">
        <f t="shared" si="191"/>
        <v>1949</v>
      </c>
      <c r="C1989" s="842" t="s">
        <v>11393</v>
      </c>
      <c r="D1989" s="924">
        <v>0</v>
      </c>
      <c r="E1989" s="924">
        <f t="shared" ref="E1989:E1996" si="196">D1989/8*12</f>
        <v>0</v>
      </c>
      <c r="F1989" s="930">
        <v>500</v>
      </c>
      <c r="G1989" s="122" t="s">
        <v>1963</v>
      </c>
    </row>
    <row r="1990" spans="1:9" x14ac:dyDescent="0.25">
      <c r="A1990" s="125">
        <f t="shared" si="191"/>
        <v>1950</v>
      </c>
      <c r="C1990" s="842" t="s">
        <v>11394</v>
      </c>
      <c r="D1990" s="924">
        <v>0</v>
      </c>
      <c r="E1990" s="924">
        <f t="shared" si="196"/>
        <v>0</v>
      </c>
      <c r="F1990" s="930">
        <v>500</v>
      </c>
      <c r="G1990" s="122" t="s">
        <v>1963</v>
      </c>
    </row>
    <row r="1991" spans="1:9" x14ac:dyDescent="0.25">
      <c r="A1991" s="125">
        <f t="shared" si="191"/>
        <v>1951</v>
      </c>
      <c r="C1991" s="842" t="s">
        <v>11395</v>
      </c>
      <c r="D1991" s="924">
        <v>0</v>
      </c>
      <c r="E1991" s="924">
        <f t="shared" si="196"/>
        <v>0</v>
      </c>
      <c r="F1991" s="930">
        <v>500</v>
      </c>
      <c r="G1991" s="122" t="s">
        <v>1963</v>
      </c>
    </row>
    <row r="1992" spans="1:9" x14ac:dyDescent="0.25">
      <c r="A1992" s="125">
        <f t="shared" si="191"/>
        <v>1952</v>
      </c>
      <c r="C1992" s="842" t="s">
        <v>11396</v>
      </c>
      <c r="D1992" s="924">
        <v>0</v>
      </c>
      <c r="E1992" s="924">
        <f t="shared" si="196"/>
        <v>0</v>
      </c>
      <c r="F1992" s="930">
        <v>500</v>
      </c>
      <c r="G1992" s="122" t="s">
        <v>1963</v>
      </c>
    </row>
    <row r="1993" spans="1:9" x14ac:dyDescent="0.25">
      <c r="A1993" s="125">
        <f t="shared" si="191"/>
        <v>1953</v>
      </c>
      <c r="C1993" s="842" t="s">
        <v>11397</v>
      </c>
      <c r="D1993" s="924">
        <v>0</v>
      </c>
      <c r="E1993" s="924">
        <f t="shared" si="196"/>
        <v>0</v>
      </c>
      <c r="F1993" s="930">
        <f>F1991*F83</f>
        <v>100</v>
      </c>
      <c r="G1993" s="122" t="s">
        <v>1963</v>
      </c>
    </row>
    <row r="1994" spans="1:9" x14ac:dyDescent="0.25">
      <c r="A1994" s="125">
        <f t="shared" si="191"/>
        <v>1954</v>
      </c>
      <c r="C1994" s="842" t="s">
        <v>11398</v>
      </c>
      <c r="D1994" s="924">
        <v>0</v>
      </c>
      <c r="E1994" s="924">
        <f t="shared" si="196"/>
        <v>0</v>
      </c>
      <c r="F1994" s="930">
        <v>500</v>
      </c>
      <c r="G1994" s="122" t="s">
        <v>1963</v>
      </c>
    </row>
    <row r="1995" spans="1:9" x14ac:dyDescent="0.25">
      <c r="A1995" s="125">
        <f t="shared" si="191"/>
        <v>1955</v>
      </c>
      <c r="C1995" s="842" t="s">
        <v>11399</v>
      </c>
      <c r="D1995" s="924">
        <v>0</v>
      </c>
      <c r="E1995" s="924">
        <f t="shared" si="196"/>
        <v>0</v>
      </c>
      <c r="F1995" s="930">
        <v>500</v>
      </c>
      <c r="G1995" s="122" t="s">
        <v>1963</v>
      </c>
    </row>
    <row r="1996" spans="1:9" x14ac:dyDescent="0.25">
      <c r="A1996" s="125">
        <f t="shared" si="191"/>
        <v>1956</v>
      </c>
      <c r="C1996" s="842" t="s">
        <v>11400</v>
      </c>
      <c r="D1996" s="924">
        <v>0</v>
      </c>
      <c r="E1996" s="924">
        <f t="shared" si="196"/>
        <v>0</v>
      </c>
      <c r="F1996" s="930">
        <v>500</v>
      </c>
      <c r="G1996" s="122" t="s">
        <v>1963</v>
      </c>
    </row>
    <row r="1997" spans="1:9" x14ac:dyDescent="0.25">
      <c r="A1997" s="125">
        <f t="shared" si="191"/>
        <v>1957</v>
      </c>
    </row>
    <row r="1998" spans="1:9" x14ac:dyDescent="0.25">
      <c r="A1998" s="125">
        <f t="shared" si="191"/>
        <v>1958</v>
      </c>
      <c r="C1998" s="793" t="s">
        <v>9486</v>
      </c>
      <c r="D1998" s="918"/>
      <c r="E1998" s="918"/>
      <c r="F1998" s="793"/>
      <c r="G1998" s="793"/>
      <c r="H1998" s="793"/>
      <c r="I1998" s="793"/>
    </row>
    <row r="1999" spans="1:9" x14ac:dyDescent="0.25">
      <c r="A1999" s="125">
        <f t="shared" si="191"/>
        <v>1959</v>
      </c>
      <c r="C1999" s="793" t="s">
        <v>9630</v>
      </c>
      <c r="D1999" s="918"/>
      <c r="E1999" s="918"/>
      <c r="F1999" s="793"/>
      <c r="G1999" s="793"/>
      <c r="H1999" s="793"/>
      <c r="I1999" s="793"/>
    </row>
    <row r="2000" spans="1:9" x14ac:dyDescent="0.25">
      <c r="A2000" s="125">
        <f t="shared" si="191"/>
        <v>1960</v>
      </c>
    </row>
    <row r="2001" spans="1:7" x14ac:dyDescent="0.25">
      <c r="A2001" s="125">
        <f t="shared" si="191"/>
        <v>1961</v>
      </c>
      <c r="C2001" s="123" t="s">
        <v>11383</v>
      </c>
      <c r="D2001" s="904"/>
      <c r="E2001" s="904"/>
    </row>
    <row r="2002" spans="1:7" x14ac:dyDescent="0.25">
      <c r="A2002" s="125">
        <f t="shared" si="191"/>
        <v>1962</v>
      </c>
      <c r="C2002" s="842" t="s">
        <v>11401</v>
      </c>
      <c r="D2002" s="924"/>
      <c r="E2002" s="924"/>
      <c r="F2002" s="930">
        <v>1</v>
      </c>
      <c r="G2002" s="122" t="s">
        <v>1963</v>
      </c>
    </row>
    <row r="2003" spans="1:7" x14ac:dyDescent="0.25">
      <c r="A2003" s="125">
        <f t="shared" si="191"/>
        <v>1963</v>
      </c>
      <c r="C2003" s="842" t="s">
        <v>11402</v>
      </c>
      <c r="D2003" s="924"/>
      <c r="E2003" s="924"/>
      <c r="F2003" s="930">
        <v>1259.6199999999999</v>
      </c>
      <c r="G2003" s="122" t="s">
        <v>1963</v>
      </c>
    </row>
    <row r="2004" spans="1:7" x14ac:dyDescent="0.25">
      <c r="A2004" s="125">
        <f t="shared" si="191"/>
        <v>1964</v>
      </c>
      <c r="C2004" s="842" t="s">
        <v>11403</v>
      </c>
      <c r="D2004" s="924"/>
      <c r="E2004" s="924"/>
      <c r="F2004" s="930">
        <v>3000</v>
      </c>
      <c r="G2004" s="122" t="s">
        <v>1963</v>
      </c>
    </row>
    <row r="2005" spans="1:7" x14ac:dyDescent="0.25">
      <c r="A2005" s="125">
        <f t="shared" si="191"/>
        <v>1965</v>
      </c>
      <c r="C2005" s="842" t="s">
        <v>11404</v>
      </c>
      <c r="D2005" s="924"/>
      <c r="E2005" s="924"/>
      <c r="F2005" s="930">
        <v>1500</v>
      </c>
      <c r="G2005" s="122" t="s">
        <v>1963</v>
      </c>
    </row>
    <row r="2006" spans="1:7" x14ac:dyDescent="0.25">
      <c r="A2006" s="125">
        <f t="shared" si="191"/>
        <v>1966</v>
      </c>
      <c r="C2006" s="842" t="s">
        <v>11405</v>
      </c>
      <c r="D2006" s="924"/>
      <c r="E2006" s="924"/>
      <c r="F2006" s="930">
        <v>2000</v>
      </c>
      <c r="G2006" s="122" t="s">
        <v>1963</v>
      </c>
    </row>
    <row r="2007" spans="1:7" x14ac:dyDescent="0.25">
      <c r="A2007" s="125">
        <f t="shared" si="191"/>
        <v>1967</v>
      </c>
      <c r="C2007" s="842" t="s">
        <v>11405</v>
      </c>
      <c r="D2007" s="924"/>
      <c r="E2007" s="924"/>
      <c r="F2007" s="930">
        <v>1000</v>
      </c>
      <c r="G2007" s="122" t="s">
        <v>1963</v>
      </c>
    </row>
    <row r="2008" spans="1:7" x14ac:dyDescent="0.25">
      <c r="A2008" s="125">
        <f t="shared" si="191"/>
        <v>1968</v>
      </c>
      <c r="C2008" s="842" t="s">
        <v>11406</v>
      </c>
      <c r="D2008" s="924"/>
      <c r="E2008" s="924"/>
      <c r="F2008" s="930">
        <f>F2005*F83</f>
        <v>300</v>
      </c>
      <c r="G2008" s="122" t="s">
        <v>1963</v>
      </c>
    </row>
    <row r="2009" spans="1:7" x14ac:dyDescent="0.25">
      <c r="A2009" s="125">
        <f t="shared" si="191"/>
        <v>1969</v>
      </c>
      <c r="C2009" s="842" t="s">
        <v>11407</v>
      </c>
      <c r="D2009" s="924"/>
      <c r="E2009" s="924"/>
      <c r="F2009" s="930">
        <v>1000</v>
      </c>
      <c r="G2009" s="122" t="s">
        <v>1963</v>
      </c>
    </row>
    <row r="2010" spans="1:7" x14ac:dyDescent="0.25">
      <c r="A2010" s="125">
        <f t="shared" si="191"/>
        <v>1970</v>
      </c>
      <c r="C2010" s="842" t="s">
        <v>11408</v>
      </c>
      <c r="D2010" s="924"/>
      <c r="E2010" s="924"/>
      <c r="F2010" s="930">
        <v>1000</v>
      </c>
      <c r="G2010" s="122" t="s">
        <v>1963</v>
      </c>
    </row>
    <row r="2011" spans="1:7" x14ac:dyDescent="0.25">
      <c r="A2011" s="125">
        <f t="shared" si="191"/>
        <v>1971</v>
      </c>
      <c r="C2011" s="842" t="s">
        <v>11409</v>
      </c>
      <c r="D2011" s="924"/>
      <c r="E2011" s="924"/>
      <c r="F2011" s="930">
        <v>1000</v>
      </c>
      <c r="G2011" s="122" t="s">
        <v>1963</v>
      </c>
    </row>
    <row r="2012" spans="1:7" x14ac:dyDescent="0.25">
      <c r="A2012" s="125">
        <f t="shared" si="191"/>
        <v>1972</v>
      </c>
      <c r="C2012" s="123" t="s">
        <v>11384</v>
      </c>
      <c r="D2012" s="904"/>
      <c r="E2012" s="904"/>
      <c r="F2012" s="930"/>
    </row>
    <row r="2013" spans="1:7" x14ac:dyDescent="0.25">
      <c r="A2013" s="125">
        <f t="shared" si="191"/>
        <v>1973</v>
      </c>
      <c r="C2013" s="842" t="s">
        <v>11410</v>
      </c>
      <c r="D2013" s="924"/>
      <c r="E2013" s="924"/>
      <c r="F2013" s="930">
        <v>100</v>
      </c>
      <c r="G2013" s="122" t="s">
        <v>1963</v>
      </c>
    </row>
    <row r="2014" spans="1:7" x14ac:dyDescent="0.25">
      <c r="A2014" s="125">
        <f t="shared" ref="A2014:A2077" si="197">A2013+1</f>
        <v>1974</v>
      </c>
      <c r="C2014" s="842" t="s">
        <v>11411</v>
      </c>
      <c r="D2014" s="924"/>
      <c r="E2014" s="924"/>
      <c r="F2014" s="930">
        <v>65.17</v>
      </c>
      <c r="G2014" s="122" t="s">
        <v>1963</v>
      </c>
    </row>
    <row r="2015" spans="1:7" x14ac:dyDescent="0.25">
      <c r="A2015" s="125">
        <f t="shared" si="197"/>
        <v>1975</v>
      </c>
      <c r="C2015" s="842" t="s">
        <v>11412</v>
      </c>
      <c r="D2015" s="924"/>
      <c r="E2015" s="924"/>
      <c r="F2015" s="930">
        <v>1</v>
      </c>
      <c r="G2015" s="122" t="s">
        <v>1963</v>
      </c>
    </row>
    <row r="2016" spans="1:7" x14ac:dyDescent="0.25">
      <c r="A2016" s="125">
        <f t="shared" si="197"/>
        <v>1976</v>
      </c>
      <c r="C2016" s="123" t="s">
        <v>11413</v>
      </c>
      <c r="D2016" s="904"/>
      <c r="E2016" s="904"/>
    </row>
    <row r="2017" spans="1:9" x14ac:dyDescent="0.25">
      <c r="A2017" s="125">
        <f t="shared" si="197"/>
        <v>1977</v>
      </c>
      <c r="C2017" s="842" t="s">
        <v>11416</v>
      </c>
      <c r="D2017" s="924"/>
      <c r="E2017" s="924"/>
      <c r="F2017" s="930">
        <v>1</v>
      </c>
      <c r="G2017" s="122" t="s">
        <v>1963</v>
      </c>
    </row>
    <row r="2018" spans="1:9" x14ac:dyDescent="0.25">
      <c r="A2018" s="125">
        <f t="shared" si="197"/>
        <v>1978</v>
      </c>
      <c r="C2018" s="842" t="s">
        <v>11417</v>
      </c>
      <c r="D2018" s="924"/>
      <c r="E2018" s="924"/>
      <c r="F2018" s="930">
        <v>1</v>
      </c>
      <c r="G2018" s="122" t="s">
        <v>1963</v>
      </c>
    </row>
    <row r="2019" spans="1:9" x14ac:dyDescent="0.25">
      <c r="A2019" s="125">
        <f t="shared" si="197"/>
        <v>1979</v>
      </c>
      <c r="C2019" s="842" t="s">
        <v>11418</v>
      </c>
      <c r="D2019" s="924"/>
      <c r="E2019" s="924"/>
      <c r="F2019" s="930">
        <v>172.41</v>
      </c>
      <c r="G2019" s="122" t="s">
        <v>1963</v>
      </c>
    </row>
    <row r="2020" spans="1:9" x14ac:dyDescent="0.25">
      <c r="A2020" s="125">
        <f t="shared" si="197"/>
        <v>1980</v>
      </c>
      <c r="C2020" s="842" t="s">
        <v>11419</v>
      </c>
      <c r="D2020" s="924"/>
      <c r="E2020" s="924"/>
      <c r="F2020" s="930">
        <v>1</v>
      </c>
      <c r="G2020" s="122" t="s">
        <v>1963</v>
      </c>
    </row>
    <row r="2021" spans="1:9" x14ac:dyDescent="0.25">
      <c r="A2021" s="125">
        <f t="shared" si="197"/>
        <v>1981</v>
      </c>
      <c r="C2021" s="842" t="s">
        <v>11420</v>
      </c>
      <c r="D2021" s="924"/>
      <c r="E2021" s="924"/>
      <c r="F2021" s="930">
        <v>1</v>
      </c>
      <c r="G2021" s="122" t="s">
        <v>1963</v>
      </c>
    </row>
    <row r="2022" spans="1:9" x14ac:dyDescent="0.25">
      <c r="A2022" s="125">
        <f t="shared" si="197"/>
        <v>1982</v>
      </c>
      <c r="C2022" s="842" t="s">
        <v>11421</v>
      </c>
      <c r="D2022" s="924"/>
      <c r="E2022" s="924"/>
      <c r="F2022" s="930">
        <f>F2020*F83</f>
        <v>0.2</v>
      </c>
      <c r="G2022" s="122" t="s">
        <v>1963</v>
      </c>
    </row>
    <row r="2023" spans="1:9" x14ac:dyDescent="0.25">
      <c r="A2023" s="125">
        <f t="shared" si="197"/>
        <v>1983</v>
      </c>
      <c r="C2023" s="842" t="s">
        <v>11422</v>
      </c>
      <c r="D2023" s="924"/>
      <c r="E2023" s="924"/>
      <c r="F2023" s="930">
        <v>1</v>
      </c>
      <c r="G2023" s="122" t="s">
        <v>1963</v>
      </c>
    </row>
    <row r="2024" spans="1:9" x14ac:dyDescent="0.25">
      <c r="A2024" s="125">
        <f t="shared" si="197"/>
        <v>1984</v>
      </c>
      <c r="C2024" s="842" t="s">
        <v>11423</v>
      </c>
      <c r="D2024" s="924"/>
      <c r="E2024" s="924"/>
      <c r="F2024" s="930">
        <v>1</v>
      </c>
      <c r="G2024" s="122" t="s">
        <v>1963</v>
      </c>
    </row>
    <row r="2025" spans="1:9" x14ac:dyDescent="0.25">
      <c r="A2025" s="125">
        <f t="shared" si="197"/>
        <v>1985</v>
      </c>
      <c r="C2025" s="842" t="s">
        <v>11424</v>
      </c>
      <c r="D2025" s="924"/>
      <c r="E2025" s="924"/>
      <c r="F2025" s="930">
        <v>1</v>
      </c>
      <c r="G2025" s="122" t="s">
        <v>1963</v>
      </c>
    </row>
    <row r="2026" spans="1:9" x14ac:dyDescent="0.25">
      <c r="A2026" s="125">
        <f t="shared" si="197"/>
        <v>1986</v>
      </c>
      <c r="F2026" s="930"/>
    </row>
    <row r="2027" spans="1:9" x14ac:dyDescent="0.25">
      <c r="A2027" s="125">
        <f t="shared" si="197"/>
        <v>1987</v>
      </c>
    </row>
    <row r="2028" spans="1:9" x14ac:dyDescent="0.25">
      <c r="A2028" s="125">
        <f t="shared" si="197"/>
        <v>1988</v>
      </c>
      <c r="C2028" s="793" t="s">
        <v>9486</v>
      </c>
      <c r="D2028" s="918"/>
      <c r="E2028" s="918"/>
      <c r="F2028" s="793"/>
      <c r="G2028" s="793"/>
      <c r="H2028" s="793"/>
      <c r="I2028" s="793"/>
    </row>
    <row r="2029" spans="1:9" x14ac:dyDescent="0.25">
      <c r="A2029" s="125">
        <f t="shared" si="197"/>
        <v>1989</v>
      </c>
      <c r="C2029" s="793" t="s">
        <v>9943</v>
      </c>
      <c r="D2029" s="918"/>
      <c r="E2029" s="918"/>
      <c r="F2029" s="793"/>
      <c r="G2029" s="793"/>
      <c r="H2029" s="793"/>
      <c r="I2029" s="793"/>
    </row>
    <row r="2030" spans="1:9" x14ac:dyDescent="0.25">
      <c r="A2030" s="125">
        <f t="shared" si="197"/>
        <v>1990</v>
      </c>
    </row>
    <row r="2031" spans="1:9" x14ac:dyDescent="0.25">
      <c r="A2031" s="125">
        <f t="shared" si="197"/>
        <v>1991</v>
      </c>
      <c r="C2031" s="123" t="s">
        <v>11414</v>
      </c>
      <c r="D2031" s="904"/>
      <c r="E2031" s="904"/>
      <c r="F2031" s="930"/>
    </row>
    <row r="2032" spans="1:9" x14ac:dyDescent="0.25">
      <c r="A2032" s="125">
        <f t="shared" si="197"/>
        <v>1992</v>
      </c>
      <c r="C2032" s="842" t="s">
        <v>11425</v>
      </c>
      <c r="D2032" s="924">
        <v>1368</v>
      </c>
      <c r="E2032" s="924">
        <f>D2032/8*12</f>
        <v>2052</v>
      </c>
      <c r="F2032" s="930">
        <v>500</v>
      </c>
      <c r="G2032" s="122" t="s">
        <v>1963</v>
      </c>
    </row>
    <row r="2033" spans="1:7" x14ac:dyDescent="0.25">
      <c r="A2033" s="125">
        <f t="shared" si="197"/>
        <v>1993</v>
      </c>
      <c r="C2033" s="842" t="s">
        <v>11426</v>
      </c>
      <c r="D2033" s="924">
        <v>1354.36</v>
      </c>
      <c r="E2033" s="924">
        <f t="shared" ref="E2033:E2041" si="198">D2033/8*12</f>
        <v>2031.54</v>
      </c>
      <c r="F2033" s="930">
        <v>300</v>
      </c>
      <c r="G2033" s="122" t="s">
        <v>1963</v>
      </c>
    </row>
    <row r="2034" spans="1:7" x14ac:dyDescent="0.25">
      <c r="A2034" s="125">
        <f t="shared" si="197"/>
        <v>1994</v>
      </c>
      <c r="C2034" s="842" t="s">
        <v>11427</v>
      </c>
      <c r="D2034" s="924">
        <v>0</v>
      </c>
      <c r="E2034" s="924">
        <f t="shared" si="198"/>
        <v>0</v>
      </c>
      <c r="F2034" s="930">
        <v>489.6</v>
      </c>
      <c r="G2034" s="122" t="s">
        <v>1963</v>
      </c>
    </row>
    <row r="2035" spans="1:7" x14ac:dyDescent="0.25">
      <c r="A2035" s="125">
        <f t="shared" si="197"/>
        <v>1995</v>
      </c>
      <c r="C2035" s="842" t="s">
        <v>11428</v>
      </c>
      <c r="D2035" s="924">
        <v>0</v>
      </c>
      <c r="E2035" s="924">
        <f t="shared" si="198"/>
        <v>0</v>
      </c>
      <c r="F2035" s="930">
        <v>500</v>
      </c>
      <c r="G2035" s="122" t="s">
        <v>1963</v>
      </c>
    </row>
    <row r="2036" spans="1:7" x14ac:dyDescent="0.25">
      <c r="A2036" s="125">
        <f t="shared" si="197"/>
        <v>1996</v>
      </c>
      <c r="C2036" s="842" t="s">
        <v>11429</v>
      </c>
      <c r="D2036" s="924">
        <v>778.9</v>
      </c>
      <c r="E2036" s="924">
        <f t="shared" si="198"/>
        <v>1168.3499999999999</v>
      </c>
      <c r="F2036" s="930">
        <v>500</v>
      </c>
      <c r="G2036" s="122" t="s">
        <v>1963</v>
      </c>
    </row>
    <row r="2037" spans="1:7" x14ac:dyDescent="0.25">
      <c r="A2037" s="125">
        <f t="shared" si="197"/>
        <v>1997</v>
      </c>
      <c r="C2037" s="842" t="s">
        <v>11430</v>
      </c>
      <c r="D2037" s="924">
        <v>10</v>
      </c>
      <c r="E2037" s="924">
        <f t="shared" si="198"/>
        <v>15</v>
      </c>
      <c r="F2037" s="930">
        <f>F2035*F83</f>
        <v>100</v>
      </c>
      <c r="G2037" s="122" t="s">
        <v>1963</v>
      </c>
    </row>
    <row r="2038" spans="1:7" x14ac:dyDescent="0.25">
      <c r="A2038" s="125">
        <f t="shared" si="197"/>
        <v>1998</v>
      </c>
      <c r="C2038" s="842" t="s">
        <v>11431</v>
      </c>
      <c r="D2038" s="924">
        <v>0</v>
      </c>
      <c r="E2038" s="924">
        <f t="shared" si="198"/>
        <v>0</v>
      </c>
      <c r="F2038" s="930">
        <v>100</v>
      </c>
      <c r="G2038" s="122" t="s">
        <v>1963</v>
      </c>
    </row>
    <row r="2039" spans="1:7" x14ac:dyDescent="0.25">
      <c r="A2039" s="125">
        <f t="shared" si="197"/>
        <v>1999</v>
      </c>
      <c r="C2039" s="842" t="s">
        <v>11432</v>
      </c>
      <c r="D2039" s="924">
        <v>0</v>
      </c>
      <c r="E2039" s="924">
        <f t="shared" si="198"/>
        <v>0</v>
      </c>
      <c r="F2039" s="930">
        <v>100</v>
      </c>
      <c r="G2039" s="122" t="s">
        <v>1963</v>
      </c>
    </row>
    <row r="2040" spans="1:7" x14ac:dyDescent="0.25">
      <c r="A2040" s="125">
        <f t="shared" si="197"/>
        <v>2000</v>
      </c>
      <c r="C2040" s="842" t="s">
        <v>11433</v>
      </c>
      <c r="D2040" s="924">
        <v>0</v>
      </c>
      <c r="E2040" s="924">
        <f t="shared" si="198"/>
        <v>0</v>
      </c>
      <c r="F2040" s="930">
        <v>100</v>
      </c>
      <c r="G2040" s="122" t="s">
        <v>1963</v>
      </c>
    </row>
    <row r="2041" spans="1:7" x14ac:dyDescent="0.25">
      <c r="A2041" s="125">
        <f t="shared" si="197"/>
        <v>2001</v>
      </c>
      <c r="C2041" s="842" t="s">
        <v>11434</v>
      </c>
      <c r="D2041" s="924">
        <v>1288</v>
      </c>
      <c r="E2041" s="924">
        <f t="shared" si="198"/>
        <v>1932</v>
      </c>
      <c r="F2041" s="930">
        <v>100</v>
      </c>
      <c r="G2041" s="122" t="s">
        <v>1963</v>
      </c>
    </row>
    <row r="2042" spans="1:7" x14ac:dyDescent="0.25">
      <c r="A2042" s="125">
        <f t="shared" si="197"/>
        <v>2002</v>
      </c>
      <c r="C2042" s="123" t="s">
        <v>11382</v>
      </c>
      <c r="D2042" s="904"/>
      <c r="E2042" s="904"/>
      <c r="F2042" s="930">
        <f>SUM(F2043:F2053)</f>
        <v>27993.25</v>
      </c>
    </row>
    <row r="2043" spans="1:7" x14ac:dyDescent="0.25">
      <c r="A2043" s="125">
        <f t="shared" si="197"/>
        <v>2003</v>
      </c>
      <c r="C2043" s="842" t="s">
        <v>11435</v>
      </c>
      <c r="D2043" s="924">
        <v>0</v>
      </c>
      <c r="E2043" s="924">
        <f t="shared" ref="E2043:E2103" si="199">D2043/8*12</f>
        <v>0</v>
      </c>
      <c r="F2043" s="930">
        <v>1000</v>
      </c>
      <c r="G2043" s="122" t="s">
        <v>1963</v>
      </c>
    </row>
    <row r="2044" spans="1:7" x14ac:dyDescent="0.25">
      <c r="A2044" s="125">
        <f t="shared" si="197"/>
        <v>2004</v>
      </c>
      <c r="C2044" s="842" t="s">
        <v>11436</v>
      </c>
      <c r="D2044" s="924">
        <v>0</v>
      </c>
      <c r="E2044" s="924">
        <f t="shared" si="199"/>
        <v>0</v>
      </c>
      <c r="F2044" s="930">
        <v>3000</v>
      </c>
      <c r="G2044" s="122" t="s">
        <v>1963</v>
      </c>
    </row>
    <row r="2045" spans="1:7" x14ac:dyDescent="0.25">
      <c r="A2045" s="125">
        <f t="shared" si="197"/>
        <v>2005</v>
      </c>
      <c r="C2045" s="842" t="s">
        <v>11437</v>
      </c>
      <c r="D2045" s="924">
        <v>0</v>
      </c>
      <c r="E2045" s="924">
        <f t="shared" si="199"/>
        <v>0</v>
      </c>
      <c r="F2045" s="930">
        <v>3000</v>
      </c>
      <c r="G2045" s="122" t="s">
        <v>1963</v>
      </c>
    </row>
    <row r="2046" spans="1:7" x14ac:dyDescent="0.25">
      <c r="A2046" s="125">
        <f t="shared" si="197"/>
        <v>2006</v>
      </c>
      <c r="C2046" s="842" t="s">
        <v>11438</v>
      </c>
      <c r="D2046" s="924">
        <v>0</v>
      </c>
      <c r="E2046" s="924">
        <f t="shared" si="199"/>
        <v>0</v>
      </c>
      <c r="F2046" s="930">
        <v>3000</v>
      </c>
      <c r="G2046" s="122" t="s">
        <v>1963</v>
      </c>
    </row>
    <row r="2047" spans="1:7" x14ac:dyDescent="0.25">
      <c r="A2047" s="125">
        <f t="shared" si="197"/>
        <v>2007</v>
      </c>
      <c r="C2047" s="842" t="s">
        <v>11439</v>
      </c>
      <c r="D2047" s="924">
        <v>0</v>
      </c>
      <c r="E2047" s="924">
        <f t="shared" si="199"/>
        <v>0</v>
      </c>
      <c r="F2047" s="930">
        <v>3000</v>
      </c>
      <c r="G2047" s="122" t="s">
        <v>1963</v>
      </c>
    </row>
    <row r="2048" spans="1:7" x14ac:dyDescent="0.25">
      <c r="A2048" s="125">
        <f t="shared" si="197"/>
        <v>2008</v>
      </c>
      <c r="C2048" s="842" t="s">
        <v>11440</v>
      </c>
      <c r="D2048" s="924">
        <v>0</v>
      </c>
      <c r="E2048" s="924">
        <f t="shared" si="199"/>
        <v>0</v>
      </c>
      <c r="F2048" s="930">
        <v>3000</v>
      </c>
      <c r="G2048" s="122" t="s">
        <v>1963</v>
      </c>
    </row>
    <row r="2049" spans="1:7" x14ac:dyDescent="0.25">
      <c r="A2049" s="125">
        <f t="shared" si="197"/>
        <v>2009</v>
      </c>
      <c r="C2049" s="842" t="s">
        <v>11441</v>
      </c>
      <c r="D2049" s="924">
        <v>0</v>
      </c>
      <c r="E2049" s="924">
        <f t="shared" si="199"/>
        <v>0</v>
      </c>
      <c r="F2049" s="930">
        <f>F2046*F83</f>
        <v>600</v>
      </c>
      <c r="G2049" s="122" t="s">
        <v>1963</v>
      </c>
    </row>
    <row r="2050" spans="1:7" x14ac:dyDescent="0.25">
      <c r="A2050" s="125">
        <f t="shared" si="197"/>
        <v>2010</v>
      </c>
      <c r="C2050" s="842" t="s">
        <v>11442</v>
      </c>
      <c r="D2050" s="924">
        <v>0</v>
      </c>
      <c r="E2050" s="924">
        <f t="shared" si="199"/>
        <v>0</v>
      </c>
      <c r="F2050" s="930">
        <v>3000</v>
      </c>
      <c r="G2050" s="122" t="s">
        <v>1963</v>
      </c>
    </row>
    <row r="2051" spans="1:7" x14ac:dyDescent="0.25">
      <c r="A2051" s="125">
        <f t="shared" si="197"/>
        <v>2011</v>
      </c>
      <c r="C2051" s="842" t="s">
        <v>11443</v>
      </c>
      <c r="D2051" s="924">
        <v>0</v>
      </c>
      <c r="E2051" s="924">
        <f t="shared" si="199"/>
        <v>0</v>
      </c>
      <c r="F2051" s="930">
        <v>3000</v>
      </c>
      <c r="G2051" s="122" t="s">
        <v>1963</v>
      </c>
    </row>
    <row r="2052" spans="1:7" x14ac:dyDescent="0.25">
      <c r="A2052" s="125">
        <f t="shared" si="197"/>
        <v>2012</v>
      </c>
      <c r="C2052" s="842" t="s">
        <v>11444</v>
      </c>
      <c r="D2052" s="924">
        <v>0</v>
      </c>
      <c r="E2052" s="924">
        <f t="shared" si="199"/>
        <v>0</v>
      </c>
      <c r="F2052" s="930">
        <v>3000</v>
      </c>
      <c r="G2052" s="122" t="s">
        <v>1963</v>
      </c>
    </row>
    <row r="2053" spans="1:7" x14ac:dyDescent="0.25">
      <c r="A2053" s="125">
        <f t="shared" si="197"/>
        <v>2013</v>
      </c>
      <c r="C2053" s="842" t="s">
        <v>11445</v>
      </c>
      <c r="D2053" s="924">
        <v>0</v>
      </c>
      <c r="E2053" s="924">
        <f t="shared" si="199"/>
        <v>0</v>
      </c>
      <c r="F2053" s="930">
        <v>2393.25</v>
      </c>
      <c r="G2053" s="122" t="s">
        <v>1963</v>
      </c>
    </row>
    <row r="2054" spans="1:7" x14ac:dyDescent="0.25">
      <c r="A2054" s="125">
        <f t="shared" si="197"/>
        <v>2014</v>
      </c>
      <c r="C2054" s="123" t="s">
        <v>11415</v>
      </c>
      <c r="D2054" s="904"/>
      <c r="E2054" s="904"/>
      <c r="F2054" s="930"/>
    </row>
    <row r="2055" spans="1:7" x14ac:dyDescent="0.25">
      <c r="A2055" s="125">
        <f t="shared" si="197"/>
        <v>2015</v>
      </c>
      <c r="C2055" s="846" t="s">
        <v>11446</v>
      </c>
      <c r="D2055" s="924">
        <v>936</v>
      </c>
      <c r="E2055" s="924">
        <f t="shared" si="199"/>
        <v>1404</v>
      </c>
      <c r="F2055" s="930">
        <v>3000</v>
      </c>
      <c r="G2055" s="122" t="s">
        <v>1963</v>
      </c>
    </row>
    <row r="2056" spans="1:7" x14ac:dyDescent="0.25">
      <c r="A2056" s="125">
        <f t="shared" si="197"/>
        <v>2016</v>
      </c>
      <c r="C2056" s="842" t="s">
        <v>11447</v>
      </c>
      <c r="D2056" s="924">
        <v>0</v>
      </c>
      <c r="E2056" s="924">
        <f t="shared" si="199"/>
        <v>0</v>
      </c>
      <c r="F2056" s="930">
        <v>795.36</v>
      </c>
      <c r="G2056" s="122" t="s">
        <v>1963</v>
      </c>
    </row>
    <row r="2057" spans="1:7" x14ac:dyDescent="0.25">
      <c r="A2057" s="125">
        <f t="shared" si="197"/>
        <v>2017</v>
      </c>
      <c r="C2057" s="842" t="s">
        <v>11448</v>
      </c>
      <c r="D2057" s="924">
        <v>0</v>
      </c>
      <c r="E2057" s="924">
        <f t="shared" si="199"/>
        <v>0</v>
      </c>
      <c r="F2057" s="930">
        <v>300</v>
      </c>
      <c r="G2057" s="122" t="s">
        <v>1963</v>
      </c>
    </row>
    <row r="2058" spans="1:7" x14ac:dyDescent="0.25">
      <c r="A2058" s="125">
        <f t="shared" si="197"/>
        <v>2018</v>
      </c>
      <c r="C2058" s="842" t="s">
        <v>11449</v>
      </c>
      <c r="D2058" s="924">
        <v>0</v>
      </c>
      <c r="E2058" s="924">
        <f t="shared" si="199"/>
        <v>0</v>
      </c>
      <c r="F2058" s="930">
        <v>300</v>
      </c>
      <c r="G2058" s="122" t="s">
        <v>1963</v>
      </c>
    </row>
    <row r="2059" spans="1:7" x14ac:dyDescent="0.25">
      <c r="A2059" s="125">
        <f t="shared" si="197"/>
        <v>2019</v>
      </c>
      <c r="C2059" s="842" t="s">
        <v>11450</v>
      </c>
      <c r="D2059" s="924">
        <v>3980</v>
      </c>
      <c r="E2059" s="924">
        <f t="shared" si="199"/>
        <v>5970</v>
      </c>
      <c r="F2059" s="930">
        <v>300</v>
      </c>
      <c r="G2059" s="122" t="s">
        <v>1963</v>
      </c>
    </row>
    <row r="2060" spans="1:7" x14ac:dyDescent="0.25">
      <c r="A2060" s="125">
        <f t="shared" si="197"/>
        <v>2020</v>
      </c>
      <c r="C2060" s="842" t="s">
        <v>11451</v>
      </c>
      <c r="D2060" s="924">
        <v>0</v>
      </c>
      <c r="E2060" s="924">
        <f t="shared" si="199"/>
        <v>0</v>
      </c>
      <c r="F2060" s="930">
        <f>F2058*F83</f>
        <v>60</v>
      </c>
      <c r="G2060" s="122" t="s">
        <v>1963</v>
      </c>
    </row>
    <row r="2061" spans="1:7" x14ac:dyDescent="0.25">
      <c r="A2061" s="125">
        <f t="shared" si="197"/>
        <v>2021</v>
      </c>
      <c r="C2061" s="842" t="s">
        <v>11452</v>
      </c>
      <c r="D2061" s="924">
        <v>0</v>
      </c>
      <c r="E2061" s="924">
        <f t="shared" si="199"/>
        <v>0</v>
      </c>
      <c r="F2061" s="930">
        <v>300</v>
      </c>
      <c r="G2061" s="122" t="s">
        <v>1963</v>
      </c>
    </row>
    <row r="2062" spans="1:7" x14ac:dyDescent="0.25">
      <c r="A2062" s="125">
        <f t="shared" si="197"/>
        <v>2022</v>
      </c>
      <c r="C2062" s="842" t="s">
        <v>11453</v>
      </c>
      <c r="D2062" s="924">
        <v>0</v>
      </c>
      <c r="E2062" s="924">
        <f t="shared" si="199"/>
        <v>0</v>
      </c>
      <c r="F2062" s="930">
        <v>440</v>
      </c>
      <c r="G2062" s="122" t="s">
        <v>1963</v>
      </c>
    </row>
    <row r="2063" spans="1:7" x14ac:dyDescent="0.25">
      <c r="A2063" s="125">
        <f t="shared" si="197"/>
        <v>2023</v>
      </c>
      <c r="C2063" s="842" t="s">
        <v>11454</v>
      </c>
      <c r="D2063" s="924">
        <v>0</v>
      </c>
      <c r="E2063" s="924">
        <f t="shared" si="199"/>
        <v>0</v>
      </c>
      <c r="F2063" s="930">
        <v>400</v>
      </c>
      <c r="G2063" s="122" t="s">
        <v>1963</v>
      </c>
    </row>
    <row r="2064" spans="1:7" x14ac:dyDescent="0.25">
      <c r="A2064" s="125">
        <f t="shared" si="197"/>
        <v>2024</v>
      </c>
      <c r="C2064" s="842" t="s">
        <v>11455</v>
      </c>
      <c r="D2064" s="924">
        <v>1284</v>
      </c>
      <c r="E2064" s="924">
        <f t="shared" si="199"/>
        <v>1926</v>
      </c>
      <c r="F2064" s="930">
        <v>500</v>
      </c>
      <c r="G2064" s="122" t="s">
        <v>1963</v>
      </c>
    </row>
    <row r="2065" spans="1:7" x14ac:dyDescent="0.25">
      <c r="A2065" s="125">
        <f t="shared" si="197"/>
        <v>2025</v>
      </c>
      <c r="C2065" s="123" t="s">
        <v>11456</v>
      </c>
      <c r="D2065" s="904"/>
      <c r="E2065" s="904"/>
      <c r="F2065" s="930"/>
    </row>
    <row r="2066" spans="1:7" x14ac:dyDescent="0.25">
      <c r="A2066" s="125">
        <f t="shared" si="197"/>
        <v>2026</v>
      </c>
      <c r="C2066" s="122" t="s">
        <v>9872</v>
      </c>
      <c r="D2066" s="924">
        <v>37509.89</v>
      </c>
      <c r="E2066" s="924">
        <f>D2066/8*13.33</f>
        <v>62500.854212500002</v>
      </c>
      <c r="F2066" s="937">
        <v>1</v>
      </c>
      <c r="G2066" s="122" t="s">
        <v>1963</v>
      </c>
    </row>
    <row r="2067" spans="1:7" x14ac:dyDescent="0.25">
      <c r="A2067" s="125">
        <f t="shared" si="197"/>
        <v>2027</v>
      </c>
      <c r="C2067" s="122" t="s">
        <v>11458</v>
      </c>
      <c r="D2067" s="924">
        <v>0</v>
      </c>
      <c r="E2067" s="924">
        <f t="shared" si="199"/>
        <v>0</v>
      </c>
      <c r="F2067" s="937">
        <f>((4619.31/2)*2.05+((4619.31/2)*11.28)*(1+F4)*(1+F8))*(1+F80)-0.01</f>
        <v>39907.664361186296</v>
      </c>
      <c r="G2067" s="122" t="s">
        <v>1963</v>
      </c>
    </row>
    <row r="2068" spans="1:7" x14ac:dyDescent="0.25">
      <c r="A2068" s="125">
        <f t="shared" si="197"/>
        <v>2028</v>
      </c>
      <c r="C2068" s="842" t="s">
        <v>9873</v>
      </c>
      <c r="D2068" s="924">
        <v>0</v>
      </c>
      <c r="E2068" s="924">
        <f t="shared" si="199"/>
        <v>0</v>
      </c>
      <c r="F2068" s="937">
        <f>39907.66-14485.49</f>
        <v>25422.170000000006</v>
      </c>
      <c r="G2068" s="122" t="s">
        <v>1963</v>
      </c>
    </row>
    <row r="2069" spans="1:7" x14ac:dyDescent="0.25">
      <c r="A2069" s="125">
        <f t="shared" si="197"/>
        <v>2029</v>
      </c>
      <c r="C2069" s="842" t="s">
        <v>9874</v>
      </c>
      <c r="D2069" s="924">
        <v>0</v>
      </c>
      <c r="E2069" s="924">
        <f t="shared" si="199"/>
        <v>0</v>
      </c>
      <c r="F2069" s="937">
        <f>(F2071+F2068)*F80</f>
        <v>6056.1889435014073</v>
      </c>
      <c r="G2069" s="122" t="s">
        <v>1963</v>
      </c>
    </row>
    <row r="2070" spans="1:7" x14ac:dyDescent="0.25">
      <c r="A2070" s="125">
        <f t="shared" si="197"/>
        <v>2030</v>
      </c>
      <c r="C2070" s="842" t="s">
        <v>11459</v>
      </c>
      <c r="D2070" s="924">
        <v>0</v>
      </c>
      <c r="E2070" s="924">
        <f t="shared" si="199"/>
        <v>0</v>
      </c>
      <c r="F2070" s="937">
        <f>F2067*F80</f>
        <v>9501.7754384122909</v>
      </c>
      <c r="G2070" s="122" t="s">
        <v>1963</v>
      </c>
    </row>
    <row r="2071" spans="1:7" x14ac:dyDescent="0.25">
      <c r="A2071" s="125">
        <f t="shared" si="197"/>
        <v>2031</v>
      </c>
      <c r="C2071" s="842" t="s">
        <v>9875</v>
      </c>
      <c r="D2071" s="924">
        <v>0</v>
      </c>
      <c r="E2071" s="924">
        <f t="shared" si="199"/>
        <v>0</v>
      </c>
      <c r="F2071" s="937">
        <f>((1)*2.05+((1)*11.28)*(1+F4)*(1+F8))</f>
        <v>13.955830560223728</v>
      </c>
      <c r="G2071" s="122" t="s">
        <v>1963</v>
      </c>
    </row>
    <row r="2072" spans="1:7" x14ac:dyDescent="0.25">
      <c r="A2072" s="125">
        <f t="shared" si="197"/>
        <v>2032</v>
      </c>
      <c r="C2072" s="842" t="s">
        <v>9877</v>
      </c>
      <c r="D2072" s="924">
        <v>0</v>
      </c>
      <c r="E2072" s="924">
        <f t="shared" si="199"/>
        <v>0</v>
      </c>
      <c r="F2072" s="937">
        <v>1000</v>
      </c>
      <c r="G2072" s="122" t="s">
        <v>1963</v>
      </c>
    </row>
    <row r="2073" spans="1:7" x14ac:dyDescent="0.25">
      <c r="A2073" s="125">
        <f t="shared" si="197"/>
        <v>2033</v>
      </c>
      <c r="C2073" s="842" t="s">
        <v>9878</v>
      </c>
      <c r="D2073" s="924">
        <v>6075.83</v>
      </c>
      <c r="E2073" s="924">
        <f t="shared" si="199"/>
        <v>9113.744999999999</v>
      </c>
      <c r="F2073" s="937">
        <v>10000</v>
      </c>
      <c r="G2073" s="122" t="s">
        <v>1963</v>
      </c>
    </row>
    <row r="2074" spans="1:7" x14ac:dyDescent="0.25">
      <c r="A2074" s="125">
        <f t="shared" si="197"/>
        <v>2034</v>
      </c>
      <c r="C2074" s="842" t="s">
        <v>9879</v>
      </c>
      <c r="D2074" s="924">
        <v>0</v>
      </c>
      <c r="E2074" s="924">
        <f t="shared" si="199"/>
        <v>0</v>
      </c>
      <c r="F2074" s="937">
        <v>1000</v>
      </c>
      <c r="G2074" s="122" t="s">
        <v>1963</v>
      </c>
    </row>
    <row r="2075" spans="1:7" x14ac:dyDescent="0.25">
      <c r="A2075" s="125">
        <f t="shared" si="197"/>
        <v>2035</v>
      </c>
      <c r="C2075" s="842" t="s">
        <v>9880</v>
      </c>
      <c r="D2075" s="924">
        <v>0</v>
      </c>
      <c r="E2075" s="924">
        <f t="shared" si="199"/>
        <v>0</v>
      </c>
      <c r="F2075" s="937">
        <v>3000</v>
      </c>
      <c r="G2075" s="122" t="s">
        <v>1963</v>
      </c>
    </row>
    <row r="2076" spans="1:7" x14ac:dyDescent="0.25">
      <c r="A2076" s="125">
        <f t="shared" si="197"/>
        <v>2036</v>
      </c>
      <c r="C2076" s="842" t="s">
        <v>9881</v>
      </c>
      <c r="D2076" s="924">
        <v>4953</v>
      </c>
      <c r="E2076" s="924">
        <f t="shared" si="199"/>
        <v>7429.5</v>
      </c>
      <c r="F2076" s="937">
        <v>2000</v>
      </c>
      <c r="G2076" s="122" t="s">
        <v>1963</v>
      </c>
    </row>
    <row r="2077" spans="1:7" x14ac:dyDescent="0.25">
      <c r="A2077" s="125">
        <f t="shared" si="197"/>
        <v>2037</v>
      </c>
      <c r="C2077" s="842" t="s">
        <v>9882</v>
      </c>
      <c r="D2077" s="924">
        <v>28.01</v>
      </c>
      <c r="E2077" s="924">
        <f t="shared" si="199"/>
        <v>42.015000000000001</v>
      </c>
      <c r="F2077" s="937">
        <f>F2075*F83</f>
        <v>600</v>
      </c>
      <c r="G2077" s="122" t="s">
        <v>1963</v>
      </c>
    </row>
    <row r="2078" spans="1:7" x14ac:dyDescent="0.25">
      <c r="A2078" s="125">
        <f t="shared" ref="A2078:A2131" si="200">A2077+1</f>
        <v>2038</v>
      </c>
      <c r="C2078" s="842" t="s">
        <v>9876</v>
      </c>
      <c r="D2078" s="924">
        <v>0</v>
      </c>
      <c r="E2078" s="924">
        <f t="shared" si="199"/>
        <v>0</v>
      </c>
      <c r="F2078" s="937">
        <f>((372.53/8)*2+((372.53/8)*10)*(1+F4)*(1+F8))</f>
        <v>584.63062262856215</v>
      </c>
      <c r="G2078" s="122" t="s">
        <v>1963</v>
      </c>
    </row>
    <row r="2079" spans="1:7" x14ac:dyDescent="0.25">
      <c r="A2079" s="125">
        <f t="shared" si="200"/>
        <v>2039</v>
      </c>
      <c r="C2079" s="842" t="s">
        <v>9887</v>
      </c>
      <c r="D2079" s="924">
        <v>0</v>
      </c>
      <c r="E2079" s="924">
        <f t="shared" si="199"/>
        <v>0</v>
      </c>
      <c r="F2079" s="937">
        <v>500</v>
      </c>
      <c r="G2079" s="122" t="s">
        <v>1963</v>
      </c>
    </row>
    <row r="2080" spans="1:7" x14ac:dyDescent="0.25">
      <c r="A2080" s="125">
        <f t="shared" si="200"/>
        <v>2040</v>
      </c>
      <c r="C2080" s="842" t="s">
        <v>9883</v>
      </c>
      <c r="D2080" s="924">
        <v>800.48</v>
      </c>
      <c r="E2080" s="924">
        <f t="shared" si="199"/>
        <v>1200.72</v>
      </c>
      <c r="F2080" s="847">
        <v>1000</v>
      </c>
      <c r="G2080" s="122" t="s">
        <v>1963</v>
      </c>
    </row>
    <row r="2081" spans="1:7" x14ac:dyDescent="0.25">
      <c r="A2081" s="125">
        <f t="shared" si="200"/>
        <v>2041</v>
      </c>
      <c r="C2081" s="842" t="s">
        <v>9884</v>
      </c>
      <c r="D2081" s="924">
        <v>0</v>
      </c>
      <c r="E2081" s="924">
        <f t="shared" si="199"/>
        <v>0</v>
      </c>
      <c r="F2081" s="847">
        <v>1000</v>
      </c>
      <c r="G2081" s="122" t="s">
        <v>1963</v>
      </c>
    </row>
    <row r="2082" spans="1:7" x14ac:dyDescent="0.25">
      <c r="A2082" s="125">
        <f t="shared" si="200"/>
        <v>2042</v>
      </c>
      <c r="C2082" s="842" t="s">
        <v>9885</v>
      </c>
      <c r="D2082" s="924">
        <v>0</v>
      </c>
      <c r="E2082" s="924">
        <f t="shared" si="199"/>
        <v>0</v>
      </c>
      <c r="F2082" s="938">
        <v>1000</v>
      </c>
      <c r="G2082" s="122" t="s">
        <v>1963</v>
      </c>
    </row>
    <row r="2083" spans="1:7" x14ac:dyDescent="0.25">
      <c r="A2083" s="125">
        <f t="shared" si="200"/>
        <v>2043</v>
      </c>
      <c r="C2083" s="842" t="s">
        <v>9886</v>
      </c>
      <c r="D2083" s="924">
        <v>0</v>
      </c>
      <c r="E2083" s="924">
        <f t="shared" si="199"/>
        <v>0</v>
      </c>
      <c r="F2083" s="938">
        <f>1433.76-551.1+0.01</f>
        <v>882.67</v>
      </c>
      <c r="G2083" s="122" t="s">
        <v>1963</v>
      </c>
    </row>
    <row r="2084" spans="1:7" x14ac:dyDescent="0.25">
      <c r="A2084" s="125">
        <f t="shared" si="200"/>
        <v>2044</v>
      </c>
      <c r="C2084" s="123" t="s">
        <v>11461</v>
      </c>
      <c r="D2084" s="904"/>
      <c r="E2084" s="904"/>
      <c r="F2084" s="938">
        <f>SUM(F2066:F2083)</f>
        <v>103470.0551962888</v>
      </c>
    </row>
    <row r="2085" spans="1:7" x14ac:dyDescent="0.25">
      <c r="A2085" s="125">
        <f t="shared" si="200"/>
        <v>2045</v>
      </c>
      <c r="C2085" s="842" t="s">
        <v>9909</v>
      </c>
      <c r="D2085" s="924">
        <v>0</v>
      </c>
      <c r="E2085" s="924">
        <f t="shared" si="199"/>
        <v>0</v>
      </c>
      <c r="F2085" s="937">
        <v>1</v>
      </c>
      <c r="G2085" s="122" t="s">
        <v>1963</v>
      </c>
    </row>
    <row r="2086" spans="1:7" x14ac:dyDescent="0.25">
      <c r="A2086" s="125">
        <f t="shared" si="200"/>
        <v>2046</v>
      </c>
      <c r="C2086" s="842" t="s">
        <v>9912</v>
      </c>
      <c r="D2086" s="924">
        <v>0</v>
      </c>
      <c r="E2086" s="924">
        <f t="shared" si="199"/>
        <v>0</v>
      </c>
      <c r="F2086" s="937">
        <v>1</v>
      </c>
      <c r="G2086" s="122" t="s">
        <v>1963</v>
      </c>
    </row>
    <row r="2087" spans="1:7" x14ac:dyDescent="0.25">
      <c r="A2087" s="125">
        <f t="shared" si="200"/>
        <v>2047</v>
      </c>
      <c r="C2087" s="842" t="s">
        <v>9911</v>
      </c>
      <c r="D2087" s="924">
        <v>0</v>
      </c>
      <c r="E2087" s="924">
        <f t="shared" si="199"/>
        <v>0</v>
      </c>
      <c r="F2087" s="937">
        <v>1</v>
      </c>
      <c r="G2087" s="122" t="s">
        <v>1963</v>
      </c>
    </row>
    <row r="2088" spans="1:7" x14ac:dyDescent="0.25">
      <c r="A2088" s="125">
        <f t="shared" si="200"/>
        <v>2048</v>
      </c>
      <c r="C2088" s="842" t="s">
        <v>9910</v>
      </c>
      <c r="D2088" s="924">
        <v>0</v>
      </c>
      <c r="E2088" s="924">
        <f t="shared" si="199"/>
        <v>0</v>
      </c>
      <c r="F2088" s="937">
        <v>1</v>
      </c>
      <c r="G2088" s="122" t="s">
        <v>1963</v>
      </c>
    </row>
    <row r="2089" spans="1:7" x14ac:dyDescent="0.25">
      <c r="A2089" s="125">
        <f t="shared" si="200"/>
        <v>2049</v>
      </c>
      <c r="C2089" s="842" t="s">
        <v>9913</v>
      </c>
      <c r="D2089" s="924">
        <v>0</v>
      </c>
      <c r="E2089" s="924">
        <f t="shared" si="199"/>
        <v>0</v>
      </c>
      <c r="F2089" s="937">
        <v>1000</v>
      </c>
      <c r="G2089" s="122" t="s">
        <v>1963</v>
      </c>
    </row>
    <row r="2090" spans="1:7" x14ac:dyDescent="0.25">
      <c r="A2090" s="125">
        <f t="shared" si="200"/>
        <v>2050</v>
      </c>
      <c r="C2090" s="842" t="s">
        <v>9938</v>
      </c>
      <c r="D2090" s="924">
        <v>6542.79</v>
      </c>
      <c r="E2090" s="924">
        <f t="shared" si="199"/>
        <v>9814.1849999999995</v>
      </c>
      <c r="F2090" s="937">
        <v>9859.1200000000008</v>
      </c>
      <c r="G2090" s="122" t="s">
        <v>1963</v>
      </c>
    </row>
    <row r="2091" spans="1:7" x14ac:dyDescent="0.25">
      <c r="A2091" s="125">
        <f t="shared" si="200"/>
        <v>2051</v>
      </c>
      <c r="C2091" s="842" t="s">
        <v>9914</v>
      </c>
      <c r="D2091" s="924">
        <v>0</v>
      </c>
      <c r="E2091" s="924">
        <f t="shared" si="199"/>
        <v>0</v>
      </c>
      <c r="F2091" s="937">
        <v>5000</v>
      </c>
      <c r="G2091" s="122" t="s">
        <v>1963</v>
      </c>
    </row>
    <row r="2092" spans="1:7" x14ac:dyDescent="0.25">
      <c r="A2092" s="125">
        <f t="shared" si="200"/>
        <v>2052</v>
      </c>
      <c r="C2092" s="842" t="s">
        <v>9915</v>
      </c>
      <c r="D2092" s="924">
        <v>8210</v>
      </c>
      <c r="E2092" s="924">
        <f t="shared" si="199"/>
        <v>12315</v>
      </c>
      <c r="F2092" s="937">
        <v>15000</v>
      </c>
      <c r="G2092" s="122" t="s">
        <v>1963</v>
      </c>
    </row>
    <row r="2093" spans="1:7" x14ac:dyDescent="0.25">
      <c r="A2093" s="125">
        <f t="shared" si="200"/>
        <v>2053</v>
      </c>
      <c r="C2093" s="842" t="s">
        <v>9916</v>
      </c>
      <c r="D2093" s="924">
        <v>29948.87</v>
      </c>
      <c r="E2093" s="924">
        <f t="shared" si="199"/>
        <v>44923.305</v>
      </c>
      <c r="F2093" s="937">
        <v>15000</v>
      </c>
      <c r="G2093" s="122" t="s">
        <v>1963</v>
      </c>
    </row>
    <row r="2094" spans="1:7" x14ac:dyDescent="0.25">
      <c r="A2094" s="125">
        <f t="shared" si="200"/>
        <v>2054</v>
      </c>
      <c r="C2094" s="842" t="s">
        <v>9917</v>
      </c>
      <c r="D2094" s="924">
        <v>677.16</v>
      </c>
      <c r="E2094" s="924">
        <f t="shared" si="199"/>
        <v>1015.74</v>
      </c>
      <c r="F2094" s="937">
        <f>F2092*F83</f>
        <v>3000</v>
      </c>
      <c r="G2094" s="122" t="s">
        <v>1963</v>
      </c>
    </row>
    <row r="2095" spans="1:7" x14ac:dyDescent="0.25">
      <c r="A2095" s="125">
        <f t="shared" si="200"/>
        <v>2055</v>
      </c>
      <c r="C2095" s="842" t="s">
        <v>9939</v>
      </c>
      <c r="D2095" s="924">
        <v>0</v>
      </c>
      <c r="E2095" s="924">
        <f t="shared" si="199"/>
        <v>0</v>
      </c>
      <c r="F2095" s="937">
        <v>2000</v>
      </c>
      <c r="G2095" s="122" t="s">
        <v>1963</v>
      </c>
    </row>
    <row r="2096" spans="1:7" x14ac:dyDescent="0.25">
      <c r="A2096" s="125">
        <f t="shared" si="200"/>
        <v>2056</v>
      </c>
      <c r="C2096" s="842" t="s">
        <v>9918</v>
      </c>
      <c r="D2096" s="924">
        <v>0</v>
      </c>
      <c r="E2096" s="924">
        <f t="shared" si="199"/>
        <v>0</v>
      </c>
      <c r="F2096" s="937">
        <v>500</v>
      </c>
      <c r="G2096" s="122" t="s">
        <v>1963</v>
      </c>
    </row>
    <row r="2097" spans="1:9" x14ac:dyDescent="0.25">
      <c r="A2097" s="125">
        <f t="shared" si="200"/>
        <v>2057</v>
      </c>
      <c r="C2097" s="842" t="s">
        <v>9940</v>
      </c>
      <c r="D2097" s="924">
        <v>0</v>
      </c>
      <c r="E2097" s="924">
        <f t="shared" si="199"/>
        <v>0</v>
      </c>
      <c r="F2097" s="937">
        <v>1000</v>
      </c>
      <c r="G2097" s="122" t="s">
        <v>1963</v>
      </c>
    </row>
    <row r="2098" spans="1:9" x14ac:dyDescent="0.25">
      <c r="A2098" s="125">
        <f t="shared" si="200"/>
        <v>2058</v>
      </c>
      <c r="C2098" s="842" t="s">
        <v>9919</v>
      </c>
      <c r="D2098" s="924">
        <v>0</v>
      </c>
      <c r="E2098" s="924">
        <f t="shared" si="199"/>
        <v>0</v>
      </c>
      <c r="F2098" s="937">
        <v>3000</v>
      </c>
      <c r="G2098" s="122" t="s">
        <v>1963</v>
      </c>
    </row>
    <row r="2099" spans="1:9" x14ac:dyDescent="0.25">
      <c r="A2099" s="125">
        <f t="shared" si="200"/>
        <v>2059</v>
      </c>
      <c r="C2099" s="842" t="s">
        <v>9920</v>
      </c>
      <c r="D2099" s="924">
        <v>0</v>
      </c>
      <c r="E2099" s="924">
        <f t="shared" si="199"/>
        <v>0</v>
      </c>
      <c r="F2099" s="847">
        <v>1000</v>
      </c>
      <c r="G2099" s="122" t="s">
        <v>1963</v>
      </c>
    </row>
    <row r="2100" spans="1:9" x14ac:dyDescent="0.25">
      <c r="A2100" s="125">
        <f t="shared" si="200"/>
        <v>2060</v>
      </c>
      <c r="C2100" s="842" t="s">
        <v>9921</v>
      </c>
      <c r="D2100" s="924">
        <v>0</v>
      </c>
      <c r="E2100" s="924">
        <f t="shared" si="199"/>
        <v>0</v>
      </c>
      <c r="F2100" s="847">
        <v>1000</v>
      </c>
      <c r="G2100" s="122" t="s">
        <v>1963</v>
      </c>
    </row>
    <row r="2101" spans="1:9" x14ac:dyDescent="0.25">
      <c r="A2101" s="125">
        <f t="shared" si="200"/>
        <v>2061</v>
      </c>
      <c r="C2101" s="123" t="s">
        <v>11466</v>
      </c>
      <c r="D2101" s="904"/>
      <c r="E2101" s="904"/>
      <c r="F2101" s="938"/>
    </row>
    <row r="2102" spans="1:9" x14ac:dyDescent="0.25">
      <c r="A2102" s="125">
        <f t="shared" si="200"/>
        <v>2062</v>
      </c>
      <c r="C2102" s="842" t="s">
        <v>9941</v>
      </c>
      <c r="D2102" s="924">
        <v>0</v>
      </c>
      <c r="E2102" s="924">
        <f t="shared" si="199"/>
        <v>0</v>
      </c>
      <c r="F2102" s="847">
        <v>1017.53</v>
      </c>
      <c r="G2102" s="122" t="s">
        <v>1963</v>
      </c>
    </row>
    <row r="2103" spans="1:9" x14ac:dyDescent="0.25">
      <c r="A2103" s="125">
        <f t="shared" si="200"/>
        <v>2063</v>
      </c>
      <c r="C2103" s="842" t="s">
        <v>9942</v>
      </c>
      <c r="D2103" s="924">
        <v>0</v>
      </c>
      <c r="E2103" s="924">
        <f t="shared" si="199"/>
        <v>0</v>
      </c>
      <c r="F2103" s="847">
        <v>1000</v>
      </c>
      <c r="G2103" s="122" t="s">
        <v>1963</v>
      </c>
    </row>
    <row r="2104" spans="1:9" x14ac:dyDescent="0.25">
      <c r="A2104" s="125">
        <f t="shared" si="200"/>
        <v>2064</v>
      </c>
      <c r="F2104" s="930"/>
    </row>
    <row r="2105" spans="1:9" x14ac:dyDescent="0.25">
      <c r="A2105" s="125">
        <f t="shared" si="200"/>
        <v>2065</v>
      </c>
      <c r="C2105" s="793" t="s">
        <v>9486</v>
      </c>
      <c r="D2105" s="918"/>
      <c r="E2105" s="918"/>
      <c r="F2105" s="793"/>
      <c r="G2105" s="793"/>
      <c r="H2105" s="793"/>
      <c r="I2105" s="793"/>
    </row>
    <row r="2106" spans="1:9" x14ac:dyDescent="0.25">
      <c r="A2106" s="125">
        <f t="shared" si="200"/>
        <v>2066</v>
      </c>
      <c r="C2106" s="793" t="s">
        <v>9944</v>
      </c>
      <c r="D2106" s="918"/>
      <c r="E2106" s="918"/>
      <c r="F2106" s="793"/>
      <c r="G2106" s="793"/>
      <c r="H2106" s="793"/>
      <c r="I2106" s="793"/>
    </row>
    <row r="2107" spans="1:9" x14ac:dyDescent="0.25">
      <c r="A2107" s="125">
        <f t="shared" si="200"/>
        <v>2067</v>
      </c>
    </row>
    <row r="2108" spans="1:9" x14ac:dyDescent="0.25">
      <c r="A2108" s="125">
        <f t="shared" si="200"/>
        <v>2068</v>
      </c>
      <c r="C2108" s="123" t="s">
        <v>11467</v>
      </c>
      <c r="D2108" s="904"/>
      <c r="E2108" s="904"/>
    </row>
    <row r="2109" spans="1:9" x14ac:dyDescent="0.25">
      <c r="A2109" s="125">
        <f t="shared" si="200"/>
        <v>2069</v>
      </c>
      <c r="C2109" s="842" t="s">
        <v>9956</v>
      </c>
      <c r="D2109" s="924">
        <v>0</v>
      </c>
      <c r="E2109" s="924">
        <f t="shared" ref="E2109:E2119" si="201">D2109/8*12</f>
        <v>0</v>
      </c>
      <c r="F2109" s="847">
        <v>500</v>
      </c>
      <c r="G2109" s="122" t="s">
        <v>1963</v>
      </c>
    </row>
    <row r="2110" spans="1:9" x14ac:dyDescent="0.25">
      <c r="A2110" s="125">
        <f t="shared" si="200"/>
        <v>2070</v>
      </c>
      <c r="C2110" s="842" t="s">
        <v>9957</v>
      </c>
      <c r="D2110" s="924">
        <v>0</v>
      </c>
      <c r="E2110" s="924">
        <f t="shared" si="201"/>
        <v>0</v>
      </c>
      <c r="F2110" s="847">
        <v>500</v>
      </c>
      <c r="G2110" s="122" t="s">
        <v>1963</v>
      </c>
    </row>
    <row r="2111" spans="1:9" x14ac:dyDescent="0.25">
      <c r="A2111" s="125">
        <f t="shared" si="200"/>
        <v>2071</v>
      </c>
      <c r="C2111" s="842" t="s">
        <v>9958</v>
      </c>
      <c r="D2111" s="924">
        <v>0</v>
      </c>
      <c r="E2111" s="924">
        <f t="shared" si="201"/>
        <v>0</v>
      </c>
      <c r="F2111" s="847">
        <v>500</v>
      </c>
      <c r="G2111" s="122" t="s">
        <v>1963</v>
      </c>
    </row>
    <row r="2112" spans="1:9" x14ac:dyDescent="0.25">
      <c r="A2112" s="125">
        <f t="shared" si="200"/>
        <v>2072</v>
      </c>
      <c r="C2112" s="842" t="s">
        <v>9959</v>
      </c>
      <c r="D2112" s="924">
        <v>0</v>
      </c>
      <c r="E2112" s="924">
        <f t="shared" si="201"/>
        <v>0</v>
      </c>
      <c r="F2112" s="847">
        <v>500</v>
      </c>
      <c r="G2112" s="122" t="s">
        <v>1963</v>
      </c>
    </row>
    <row r="2113" spans="1:9" x14ac:dyDescent="0.25">
      <c r="A2113" s="125">
        <f t="shared" si="200"/>
        <v>2073</v>
      </c>
      <c r="C2113" s="842" t="s">
        <v>9961</v>
      </c>
      <c r="D2113" s="924">
        <v>0</v>
      </c>
      <c r="E2113" s="924">
        <f t="shared" si="201"/>
        <v>0</v>
      </c>
      <c r="F2113" s="847">
        <v>500</v>
      </c>
      <c r="G2113" s="122" t="s">
        <v>1963</v>
      </c>
    </row>
    <row r="2114" spans="1:9" x14ac:dyDescent="0.25">
      <c r="A2114" s="125">
        <f t="shared" si="200"/>
        <v>2074</v>
      </c>
      <c r="C2114" s="842" t="s">
        <v>9960</v>
      </c>
      <c r="D2114" s="924">
        <v>0</v>
      </c>
      <c r="E2114" s="924">
        <f t="shared" si="201"/>
        <v>0</v>
      </c>
      <c r="F2114" s="847">
        <f>F2112*F83</f>
        <v>100</v>
      </c>
      <c r="G2114" s="122" t="s">
        <v>1963</v>
      </c>
    </row>
    <row r="2115" spans="1:9" x14ac:dyDescent="0.25">
      <c r="A2115" s="125">
        <f t="shared" si="200"/>
        <v>2075</v>
      </c>
      <c r="C2115" s="842" t="s">
        <v>9966</v>
      </c>
      <c r="D2115" s="924">
        <v>0</v>
      </c>
      <c r="E2115" s="924">
        <f t="shared" si="201"/>
        <v>0</v>
      </c>
      <c r="F2115" s="847">
        <v>500</v>
      </c>
      <c r="G2115" s="122" t="s">
        <v>1963</v>
      </c>
    </row>
    <row r="2116" spans="1:9" x14ac:dyDescent="0.25">
      <c r="A2116" s="125">
        <f t="shared" si="200"/>
        <v>2076</v>
      </c>
      <c r="C2116" s="842" t="s">
        <v>9962</v>
      </c>
      <c r="D2116" s="924">
        <v>0</v>
      </c>
      <c r="E2116" s="924">
        <f t="shared" si="201"/>
        <v>0</v>
      </c>
      <c r="F2116" s="847">
        <v>500</v>
      </c>
      <c r="G2116" s="122" t="s">
        <v>1963</v>
      </c>
    </row>
    <row r="2117" spans="1:9" x14ac:dyDescent="0.25">
      <c r="A2117" s="125">
        <f t="shared" si="200"/>
        <v>2077</v>
      </c>
      <c r="C2117" s="842" t="s">
        <v>9963</v>
      </c>
      <c r="D2117" s="924">
        <v>0</v>
      </c>
      <c r="E2117" s="924">
        <f t="shared" si="201"/>
        <v>0</v>
      </c>
      <c r="F2117" s="847">
        <v>500</v>
      </c>
      <c r="G2117" s="122" t="s">
        <v>1963</v>
      </c>
    </row>
    <row r="2118" spans="1:9" x14ac:dyDescent="0.25">
      <c r="A2118" s="125">
        <f t="shared" si="200"/>
        <v>2078</v>
      </c>
      <c r="C2118" s="842" t="s">
        <v>9964</v>
      </c>
      <c r="D2118" s="924">
        <v>0</v>
      </c>
      <c r="E2118" s="924">
        <f t="shared" si="201"/>
        <v>0</v>
      </c>
      <c r="F2118" s="847">
        <v>500</v>
      </c>
      <c r="G2118" s="122" t="s">
        <v>1963</v>
      </c>
    </row>
    <row r="2119" spans="1:9" x14ac:dyDescent="0.25">
      <c r="A2119" s="125">
        <f t="shared" si="200"/>
        <v>2079</v>
      </c>
      <c r="C2119" s="842" t="s">
        <v>9965</v>
      </c>
      <c r="D2119" s="924">
        <v>0</v>
      </c>
      <c r="E2119" s="924">
        <f t="shared" si="201"/>
        <v>0</v>
      </c>
      <c r="F2119" s="847">
        <v>500</v>
      </c>
      <c r="G2119" s="122" t="s">
        <v>1963</v>
      </c>
    </row>
    <row r="2120" spans="1:9" x14ac:dyDescent="0.25">
      <c r="A2120" s="125">
        <f t="shared" si="200"/>
        <v>2080</v>
      </c>
    </row>
    <row r="2121" spans="1:9" x14ac:dyDescent="0.25">
      <c r="A2121" s="125">
        <f t="shared" si="200"/>
        <v>2081</v>
      </c>
      <c r="C2121" s="1371" t="s">
        <v>9486</v>
      </c>
      <c r="D2121" s="1371"/>
      <c r="E2121" s="1371"/>
      <c r="F2121" s="1371"/>
      <c r="G2121" s="1371"/>
      <c r="H2121" s="1371"/>
      <c r="I2121" s="1371"/>
    </row>
    <row r="2122" spans="1:9" x14ac:dyDescent="0.25">
      <c r="A2122" s="125">
        <f t="shared" si="200"/>
        <v>2082</v>
      </c>
      <c r="C2122" s="1371" t="s">
        <v>9969</v>
      </c>
      <c r="D2122" s="1371"/>
      <c r="E2122" s="1371"/>
      <c r="F2122" s="1371"/>
      <c r="G2122" s="1371"/>
      <c r="H2122" s="1371"/>
      <c r="I2122" s="1371"/>
    </row>
    <row r="2123" spans="1:9" x14ac:dyDescent="0.25">
      <c r="A2123" s="125">
        <f t="shared" si="200"/>
        <v>2083</v>
      </c>
    </row>
    <row r="2124" spans="1:9" x14ac:dyDescent="0.25">
      <c r="A2124" s="125">
        <f t="shared" si="200"/>
        <v>2084</v>
      </c>
      <c r="C2124" s="123" t="s">
        <v>11468</v>
      </c>
      <c r="D2124" s="904"/>
      <c r="E2124" s="904"/>
    </row>
    <row r="2125" spans="1:9" x14ac:dyDescent="0.25">
      <c r="A2125" s="125">
        <f t="shared" si="200"/>
        <v>2085</v>
      </c>
      <c r="C2125" s="842" t="s">
        <v>9984</v>
      </c>
      <c r="D2125" s="924">
        <v>0</v>
      </c>
      <c r="E2125" s="924">
        <f t="shared" ref="E2125:E2131" si="202">D2125/8*12</f>
        <v>0</v>
      </c>
      <c r="F2125" s="847">
        <v>500</v>
      </c>
      <c r="G2125" s="122" t="s">
        <v>1963</v>
      </c>
    </row>
    <row r="2126" spans="1:9" x14ac:dyDescent="0.25">
      <c r="A2126" s="125">
        <f t="shared" si="200"/>
        <v>2086</v>
      </c>
      <c r="C2126" s="842" t="s">
        <v>9970</v>
      </c>
      <c r="D2126" s="924">
        <v>0</v>
      </c>
      <c r="E2126" s="924">
        <f t="shared" si="202"/>
        <v>0</v>
      </c>
      <c r="F2126" s="847">
        <v>500</v>
      </c>
      <c r="G2126" s="122" t="s">
        <v>1963</v>
      </c>
    </row>
    <row r="2127" spans="1:9" x14ac:dyDescent="0.25">
      <c r="A2127" s="125">
        <f t="shared" si="200"/>
        <v>2087</v>
      </c>
      <c r="C2127" s="842" t="s">
        <v>9971</v>
      </c>
      <c r="D2127" s="924">
        <v>0</v>
      </c>
      <c r="E2127" s="924">
        <f t="shared" si="202"/>
        <v>0</v>
      </c>
      <c r="F2127" s="847">
        <v>500</v>
      </c>
      <c r="G2127" s="122" t="s">
        <v>1963</v>
      </c>
    </row>
    <row r="2128" spans="1:9" x14ac:dyDescent="0.25">
      <c r="A2128" s="125">
        <f t="shared" si="200"/>
        <v>2088</v>
      </c>
      <c r="C2128" s="842" t="s">
        <v>9975</v>
      </c>
      <c r="D2128" s="924">
        <v>0</v>
      </c>
      <c r="E2128" s="924">
        <f t="shared" si="202"/>
        <v>0</v>
      </c>
      <c r="F2128" s="847">
        <v>500</v>
      </c>
      <c r="G2128" s="122" t="s">
        <v>1963</v>
      </c>
    </row>
    <row r="2129" spans="1:7" x14ac:dyDescent="0.25">
      <c r="A2129" s="125">
        <f t="shared" si="200"/>
        <v>2089</v>
      </c>
      <c r="C2129" s="842" t="s">
        <v>9972</v>
      </c>
      <c r="D2129" s="924">
        <v>0</v>
      </c>
      <c r="E2129" s="924">
        <f t="shared" si="202"/>
        <v>0</v>
      </c>
      <c r="F2129" s="847">
        <v>500</v>
      </c>
      <c r="G2129" s="122" t="s">
        <v>1963</v>
      </c>
    </row>
    <row r="2130" spans="1:7" x14ac:dyDescent="0.25">
      <c r="A2130" s="125">
        <f t="shared" si="200"/>
        <v>2090</v>
      </c>
      <c r="C2130" s="842" t="s">
        <v>9973</v>
      </c>
      <c r="D2130" s="924">
        <v>0</v>
      </c>
      <c r="E2130" s="924">
        <f t="shared" si="202"/>
        <v>0</v>
      </c>
      <c r="F2130" s="847">
        <f>F2128*F83</f>
        <v>100</v>
      </c>
      <c r="G2130" s="122" t="s">
        <v>1963</v>
      </c>
    </row>
    <row r="2131" spans="1:7" x14ac:dyDescent="0.25">
      <c r="A2131" s="125">
        <f t="shared" si="200"/>
        <v>2091</v>
      </c>
      <c r="C2131" s="842" t="s">
        <v>9974</v>
      </c>
      <c r="D2131" s="924">
        <v>0</v>
      </c>
      <c r="E2131" s="924">
        <f t="shared" si="202"/>
        <v>0</v>
      </c>
      <c r="F2131" s="847">
        <v>2500</v>
      </c>
      <c r="G2131" s="122" t="s">
        <v>1963</v>
      </c>
    </row>
  </sheetData>
  <mergeCells count="159">
    <mergeCell ref="A1:F1"/>
    <mergeCell ref="AA984:AD984"/>
    <mergeCell ref="K984:N984"/>
    <mergeCell ref="O984:R984"/>
    <mergeCell ref="S984:V984"/>
    <mergeCell ref="W984:Z984"/>
    <mergeCell ref="O1777:R1777"/>
    <mergeCell ref="S1777:V1777"/>
    <mergeCell ref="B4:B8"/>
    <mergeCell ref="B76:B85"/>
    <mergeCell ref="B93:B170"/>
    <mergeCell ref="B10:B73"/>
    <mergeCell ref="C461:I461"/>
    <mergeCell ref="C462:I462"/>
    <mergeCell ref="A9:F9"/>
    <mergeCell ref="C100:I100"/>
    <mergeCell ref="K1777:N1777"/>
    <mergeCell ref="W1777:Z1777"/>
    <mergeCell ref="AA1777:AD1777"/>
    <mergeCell ref="A75:F75"/>
    <mergeCell ref="B186:B231"/>
    <mergeCell ref="AE1777:AH1777"/>
    <mergeCell ref="AI1777:AL1777"/>
    <mergeCell ref="CY984:DB984"/>
    <mergeCell ref="DC984:DF984"/>
    <mergeCell ref="FC1777:FF1777"/>
    <mergeCell ref="EA1777:ED1777"/>
    <mergeCell ref="EM1777:EP1777"/>
    <mergeCell ref="EQ1777:ET1777"/>
    <mergeCell ref="EU1777:EX1777"/>
    <mergeCell ref="EY1777:FB1777"/>
    <mergeCell ref="BK1777:BN1777"/>
    <mergeCell ref="BO1777:BR1777"/>
    <mergeCell ref="CY1777:DB1777"/>
    <mergeCell ref="DC1777:DF1777"/>
    <mergeCell ref="DG1777:DJ1777"/>
    <mergeCell ref="CE1777:CH1777"/>
    <mergeCell ref="CI984:CL984"/>
    <mergeCell ref="CU984:CX984"/>
    <mergeCell ref="DK1777:DN1777"/>
    <mergeCell ref="CQ1777:CT1777"/>
    <mergeCell ref="CU1777:CX1777"/>
    <mergeCell ref="DG984:DJ984"/>
    <mergeCell ref="DK984:DN984"/>
    <mergeCell ref="DO984:DR984"/>
    <mergeCell ref="IM1777:IP1777"/>
    <mergeCell ref="GU1777:GX1777"/>
    <mergeCell ref="GY1777:HB1777"/>
    <mergeCell ref="HC1777:HF1777"/>
    <mergeCell ref="HG1777:HJ1777"/>
    <mergeCell ref="FG1777:FJ1777"/>
    <mergeCell ref="FK1777:FN1777"/>
    <mergeCell ref="FO1777:FR1777"/>
    <mergeCell ref="FS1777:FV1777"/>
    <mergeCell ref="IA1777:ID1777"/>
    <mergeCell ref="HK1777:HN1777"/>
    <mergeCell ref="FW1777:FZ1777"/>
    <mergeCell ref="GA1777:GD1777"/>
    <mergeCell ref="HW1777:HZ1777"/>
    <mergeCell ref="HO1777:HR1777"/>
    <mergeCell ref="HS1777:HV1777"/>
    <mergeCell ref="IQ1777:IT1777"/>
    <mergeCell ref="IU1777:IX1777"/>
    <mergeCell ref="GE1777:GH1777"/>
    <mergeCell ref="GI1777:GL1777"/>
    <mergeCell ref="GM1777:GP1777"/>
    <mergeCell ref="IE1777:IH1777"/>
    <mergeCell ref="II1777:IL1777"/>
    <mergeCell ref="GQ1777:GT1777"/>
    <mergeCell ref="AM1777:AP1777"/>
    <mergeCell ref="AQ1777:AT1777"/>
    <mergeCell ref="AU1777:AX1777"/>
    <mergeCell ref="AY1777:BB1777"/>
    <mergeCell ref="CI1777:CL1777"/>
    <mergeCell ref="CM1777:CP1777"/>
    <mergeCell ref="BS1777:BV1777"/>
    <mergeCell ref="BW1777:BZ1777"/>
    <mergeCell ref="CA1777:CD1777"/>
    <mergeCell ref="BC1777:BF1777"/>
    <mergeCell ref="DO1777:DR1777"/>
    <mergeCell ref="DS1777:DV1777"/>
    <mergeCell ref="DW1777:DZ1777"/>
    <mergeCell ref="BG1777:BJ1777"/>
    <mergeCell ref="EE1777:EH1777"/>
    <mergeCell ref="EI1777:EL1777"/>
    <mergeCell ref="AE984:AH984"/>
    <mergeCell ref="AI984:AL984"/>
    <mergeCell ref="AM984:AP984"/>
    <mergeCell ref="CM984:CP984"/>
    <mergeCell ref="CQ984:CT984"/>
    <mergeCell ref="AY984:BB984"/>
    <mergeCell ref="BC984:BF984"/>
    <mergeCell ref="BG984:BJ984"/>
    <mergeCell ref="BK984:BN984"/>
    <mergeCell ref="CE984:CH984"/>
    <mergeCell ref="AQ984:AT984"/>
    <mergeCell ref="AU984:AX984"/>
    <mergeCell ref="BO984:BR984"/>
    <mergeCell ref="BS984:BV984"/>
    <mergeCell ref="BW984:BZ984"/>
    <mergeCell ref="CA984:CD984"/>
    <mergeCell ref="DS984:DV984"/>
    <mergeCell ref="DW984:DZ984"/>
    <mergeCell ref="GE984:GH984"/>
    <mergeCell ref="GI984:GL984"/>
    <mergeCell ref="EQ984:ET984"/>
    <mergeCell ref="FK984:FN984"/>
    <mergeCell ref="FO984:FR984"/>
    <mergeCell ref="FS984:FV984"/>
    <mergeCell ref="FW984:FZ984"/>
    <mergeCell ref="EU984:EX984"/>
    <mergeCell ref="EA984:ED984"/>
    <mergeCell ref="EE984:EH984"/>
    <mergeCell ref="EI984:EL984"/>
    <mergeCell ref="EM984:EP984"/>
    <mergeCell ref="IU984:IX984"/>
    <mergeCell ref="HK984:HN984"/>
    <mergeCell ref="HO984:HR984"/>
    <mergeCell ref="HS984:HV984"/>
    <mergeCell ref="HW984:HZ984"/>
    <mergeCell ref="IA984:ID984"/>
    <mergeCell ref="IE984:IH984"/>
    <mergeCell ref="FG984:FJ984"/>
    <mergeCell ref="EY984:FB984"/>
    <mergeCell ref="FC984:FF984"/>
    <mergeCell ref="II984:IL984"/>
    <mergeCell ref="IQ984:IT984"/>
    <mergeCell ref="IM984:IP984"/>
    <mergeCell ref="GA984:GD984"/>
    <mergeCell ref="HC984:HF984"/>
    <mergeCell ref="HG984:HJ984"/>
    <mergeCell ref="GM984:GP984"/>
    <mergeCell ref="GQ984:GT984"/>
    <mergeCell ref="GU984:GX984"/>
    <mergeCell ref="GY984:HB984"/>
    <mergeCell ref="H1807:I1807"/>
    <mergeCell ref="C90:I90"/>
    <mergeCell ref="C91:I91"/>
    <mergeCell ref="D88:F88"/>
    <mergeCell ref="C171:G171"/>
    <mergeCell ref="C172:G172"/>
    <mergeCell ref="C2121:I2121"/>
    <mergeCell ref="C2122:I2122"/>
    <mergeCell ref="C1909:I1909"/>
    <mergeCell ref="C1672:I1672"/>
    <mergeCell ref="C1673:I1673"/>
    <mergeCell ref="C1872:I1872"/>
    <mergeCell ref="C1873:I1873"/>
    <mergeCell ref="C1908:I1908"/>
    <mergeCell ref="C796:I796"/>
    <mergeCell ref="C797:I797"/>
    <mergeCell ref="C665:I665"/>
    <mergeCell ref="C666:I666"/>
    <mergeCell ref="C140:I140"/>
    <mergeCell ref="C143:I143"/>
    <mergeCell ref="C1149:I1149"/>
    <mergeCell ref="C1150:I1150"/>
    <mergeCell ref="C1347:I1347"/>
    <mergeCell ref="C1348:I1348"/>
  </mergeCells>
  <phoneticPr fontId="46" type="noConversion"/>
  <dataValidations count="7">
    <dataValidation type="list" allowBlank="1" showInputMessage="1" showErrorMessage="1" sqref="C188:I188 C239:H239 C297:H297">
      <formula1>$A$53:$A$81</formula1>
    </dataValidation>
    <dataValidation type="list" allowBlank="1" showInputMessage="1" showErrorMessage="1" sqref="C281:I282 C230:I231 C461:I461 H515:L515 C665:I665 C733:I733">
      <formula1>$A$1:$A$50</formula1>
    </dataValidation>
    <dataValidation type="list" allowBlank="1" showInputMessage="1" showErrorMessage="1" sqref="C517:I517">
      <formula1>$A$52:$A$76</formula1>
    </dataValidation>
    <dataValidation type="list" allowBlank="1" showInputMessage="1" showErrorMessage="1" sqref="C516:I516 C666:I666 C734:I734 C171:G172">
      <formula1>$A$1:$A$51</formula1>
    </dataValidation>
    <dataValidation type="list" allowBlank="1" showInputMessage="1" showErrorMessage="1" sqref="C741:I742 F760:I762 C760:E761 C788:I789 C796:I798 C804:I807 C918:I919 C1056:I1057 C1071:I1072 C1095:G1096 H1095:H1111 I1095:I1121 C920:F920 I1125:I1148 C1149:I1150 C1302:I1303 C1347:I1348 C1373:I1373 C1426:I1426 C1673:I1673 G920:G921 H1122:I1124 C1122:C1123 F1122:G1123 D1122:E1122">
      <formula1>$A$1:$A$52</formula1>
    </dataValidation>
    <dataValidation type="list" allowBlank="1" showInputMessage="1" showErrorMessage="1" sqref="C2105:I2105 C2121:I2121">
      <formula1>#REF!</formula1>
    </dataValidation>
    <dataValidation type="list" allowBlank="1" showInputMessage="1" showErrorMessage="1" sqref="C1425:I1425 C1856:I1856 C1672:I1672">
      <formula1>$A$1:$A$5015</formula1>
    </dataValidation>
  </dataValidations>
  <printOptions horizontalCentered="1"/>
  <pageMargins left="0.11811023622047245" right="0.11811023622047245" top="1.3779527559055118" bottom="0.59055118110236227" header="0.31496062992125984" footer="0.31496062992125984"/>
  <pageSetup paperSize="9" scale="70" orientation="landscape" r:id="rId1"/>
  <headerFooter>
    <oddHeader>&amp;L                                                                           &amp;G&amp;C&amp;"Vivaldi,Regular"&amp;20Estado do Rio Grande do Sul&amp;18Prefeitura Municipal de Chuvisca&amp;20&amp;16Secretaria Municipal da Fazenda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'PTD '!$A$1:$A$5001</xm:f>
          </x14:formula1>
          <xm:sqref>C1372:I1372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4"/>
  <sheetViews>
    <sheetView topLeftCell="A147" zoomScale="75" zoomScaleNormal="75" workbookViewId="0">
      <selection activeCell="M174" sqref="M174"/>
    </sheetView>
  </sheetViews>
  <sheetFormatPr defaultRowHeight="15" customHeight="1" x14ac:dyDescent="0.25"/>
  <cols>
    <col min="1" max="1" width="2.42578125" customWidth="1"/>
    <col min="2" max="2" width="13.5703125" style="400" customWidth="1"/>
    <col min="3" max="3" width="18.85546875" style="399" customWidth="1"/>
    <col min="4" max="4" width="77.28515625" customWidth="1"/>
    <col min="5" max="5" width="6.85546875" customWidth="1"/>
    <col min="6" max="6" width="6.28515625" customWidth="1"/>
    <col min="7" max="7" width="18.42578125" style="399" customWidth="1"/>
    <col min="8" max="8" width="54.85546875" style="274" customWidth="1"/>
    <col min="9" max="9" width="17.7109375" style="110" customWidth="1"/>
    <col min="10" max="10" width="16" style="448" customWidth="1"/>
  </cols>
  <sheetData>
    <row r="1" spans="1:10" s="433" customFormat="1" ht="20.25" customHeight="1" x14ac:dyDescent="0.35">
      <c r="B1" s="1388" t="s">
        <v>5834</v>
      </c>
      <c r="C1" s="1388"/>
      <c r="D1" s="1388"/>
      <c r="E1" s="1388"/>
      <c r="F1" s="1388"/>
      <c r="G1" s="1388"/>
      <c r="H1" s="1388"/>
      <c r="I1" s="1388"/>
      <c r="J1" s="30"/>
    </row>
    <row r="2" spans="1:10" s="433" customFormat="1" ht="11.25" customHeight="1" x14ac:dyDescent="0.35">
      <c r="B2" s="441"/>
      <c r="C2" s="441"/>
      <c r="D2" s="441"/>
      <c r="E2" s="441"/>
      <c r="F2" s="441"/>
      <c r="G2" s="441"/>
      <c r="H2" s="441"/>
      <c r="I2" s="441"/>
      <c r="J2" s="447"/>
    </row>
    <row r="3" spans="1:10" s="433" customFormat="1" ht="21" customHeight="1" x14ac:dyDescent="0.35">
      <c r="B3" s="1388" t="s">
        <v>5835</v>
      </c>
      <c r="C3" s="1388"/>
      <c r="D3" s="1388"/>
      <c r="E3" s="1388"/>
      <c r="F3" s="1388"/>
      <c r="G3" s="1388"/>
      <c r="H3" s="1388"/>
      <c r="I3" s="1388"/>
      <c r="J3" s="30"/>
    </row>
    <row r="4" spans="1:10" s="274" customFormat="1" ht="15" customHeight="1" x14ac:dyDescent="0.25">
      <c r="B4" s="400"/>
      <c r="C4" s="399"/>
      <c r="G4" s="399"/>
      <c r="I4" s="110"/>
      <c r="J4" s="448"/>
    </row>
    <row r="5" spans="1:10" s="435" customFormat="1" ht="15" customHeight="1" x14ac:dyDescent="0.25">
      <c r="B5" s="436" t="s">
        <v>989</v>
      </c>
      <c r="C5" s="1371" t="s">
        <v>743</v>
      </c>
      <c r="D5" s="1371"/>
      <c r="E5" s="1371"/>
      <c r="F5" s="1371"/>
      <c r="G5" s="1371"/>
      <c r="H5" s="437"/>
      <c r="I5" s="438"/>
      <c r="J5" s="449"/>
    </row>
    <row r="6" spans="1:10" s="435" customFormat="1" ht="15" customHeight="1" x14ac:dyDescent="0.25">
      <c r="B6" s="436" t="s">
        <v>458</v>
      </c>
      <c r="C6" s="1371" t="s">
        <v>743</v>
      </c>
      <c r="D6" s="1371"/>
      <c r="E6" s="1371"/>
      <c r="F6" s="1371"/>
      <c r="G6" s="1371"/>
      <c r="H6" s="437"/>
      <c r="I6" s="438"/>
      <c r="J6" s="449"/>
    </row>
    <row r="7" spans="1:10" s="435" customFormat="1" ht="15" customHeight="1" x14ac:dyDescent="0.25">
      <c r="B7" s="439" t="s">
        <v>5764</v>
      </c>
      <c r="C7" s="1371" t="s">
        <v>744</v>
      </c>
      <c r="D7" s="1371"/>
      <c r="E7" s="1371"/>
      <c r="F7" s="1371"/>
      <c r="G7" s="1371"/>
      <c r="H7" s="440"/>
      <c r="I7" s="438"/>
      <c r="J7" s="449"/>
    </row>
    <row r="8" spans="1:10" ht="113.25" customHeight="1" x14ac:dyDescent="0.25">
      <c r="A8" s="396"/>
      <c r="B8" s="442" t="s">
        <v>2296</v>
      </c>
      <c r="C8" s="1384" t="s">
        <v>2297</v>
      </c>
      <c r="D8" s="1384"/>
      <c r="E8" s="443" t="s">
        <v>444</v>
      </c>
      <c r="F8" s="443" t="s">
        <v>2245</v>
      </c>
      <c r="G8" s="444" t="s">
        <v>5725</v>
      </c>
      <c r="H8" s="445" t="s">
        <v>2275</v>
      </c>
      <c r="I8" s="445" t="s">
        <v>2274</v>
      </c>
      <c r="J8" s="450" t="s">
        <v>235</v>
      </c>
    </row>
    <row r="9" spans="1:10" s="115" customFormat="1" ht="24" customHeight="1" x14ac:dyDescent="0.25">
      <c r="A9" s="396"/>
      <c r="B9" s="1385" t="s">
        <v>2294</v>
      </c>
      <c r="C9" s="1385"/>
      <c r="D9" s="1385"/>
      <c r="E9" s="401">
        <v>1</v>
      </c>
      <c r="F9" s="401">
        <v>0</v>
      </c>
      <c r="G9" s="426"/>
      <c r="H9" s="411">
        <v>0</v>
      </c>
      <c r="I9" s="402">
        <f>I10</f>
        <v>13193.011150000002</v>
      </c>
      <c r="J9" s="451">
        <f t="shared" ref="J9:J40" si="0">I9/I$183</f>
        <v>1.8140111941258068E-2</v>
      </c>
    </row>
    <row r="10" spans="1:10" s="274" customFormat="1" ht="17.25" customHeight="1" x14ac:dyDescent="0.25">
      <c r="A10" s="396"/>
      <c r="B10" s="1386" t="s">
        <v>2295</v>
      </c>
      <c r="C10" s="1386"/>
      <c r="D10" s="1386"/>
      <c r="E10" s="403">
        <v>1</v>
      </c>
      <c r="F10" s="403">
        <v>0</v>
      </c>
      <c r="G10" s="427"/>
      <c r="H10" s="412">
        <v>0</v>
      </c>
      <c r="I10" s="404">
        <f>I11</f>
        <v>13193.011150000002</v>
      </c>
      <c r="J10" s="452">
        <f t="shared" si="0"/>
        <v>1.8140111941258068E-2</v>
      </c>
    </row>
    <row r="11" spans="1:10" s="274" customFormat="1" ht="17.25" customHeight="1" x14ac:dyDescent="0.25">
      <c r="A11" s="396"/>
      <c r="B11" s="1382" t="s">
        <v>2277</v>
      </c>
      <c r="C11" s="1382"/>
      <c r="D11" s="1382"/>
      <c r="E11" s="405">
        <v>1</v>
      </c>
      <c r="F11" s="405">
        <v>0</v>
      </c>
      <c r="G11" s="428"/>
      <c r="H11" s="413">
        <v>0</v>
      </c>
      <c r="I11" s="406">
        <f>I12</f>
        <v>13193.011150000002</v>
      </c>
      <c r="J11" s="453">
        <f t="shared" si="0"/>
        <v>1.8140111941258068E-2</v>
      </c>
    </row>
    <row r="12" spans="1:10" s="274" customFormat="1" ht="17.25" customHeight="1" x14ac:dyDescent="0.25">
      <c r="A12" s="396"/>
      <c r="B12" s="1383" t="s">
        <v>2278</v>
      </c>
      <c r="C12" s="1383"/>
      <c r="D12" s="1383"/>
      <c r="E12" s="407">
        <v>1</v>
      </c>
      <c r="F12" s="407">
        <v>0</v>
      </c>
      <c r="G12" s="429"/>
      <c r="H12" s="414">
        <v>0</v>
      </c>
      <c r="I12" s="408">
        <f>I13+I16+I18+I20+I22</f>
        <v>13193.011150000002</v>
      </c>
      <c r="J12" s="454">
        <f t="shared" si="0"/>
        <v>1.8140111941258068E-2</v>
      </c>
    </row>
    <row r="13" spans="1:10" s="274" customFormat="1" ht="33.75" customHeight="1" x14ac:dyDescent="0.25">
      <c r="A13" s="396"/>
      <c r="B13" s="1091" t="s">
        <v>2293</v>
      </c>
      <c r="C13" s="1074">
        <v>333904700000000</v>
      </c>
      <c r="D13" s="1075" t="s">
        <v>2299</v>
      </c>
      <c r="E13" s="1076">
        <v>1</v>
      </c>
      <c r="F13" s="1076">
        <v>0</v>
      </c>
      <c r="G13" s="1077"/>
      <c r="H13" s="1078" t="s">
        <v>4784</v>
      </c>
      <c r="I13" s="1079">
        <f>((('Parâmetros financeiros Despesa'!F20+'Parâmetros financeiros Despesa'!F21+'Parâmetros financeiros Despesa'!F23+'Parâmetros financeiros Despesa'!F25))*((1+'Parâmetros financeiros Despesa'!F$4)*(1+'Parâmetros financeiros Despesa'!F$7)*(1+'Parâmetros financeiros Despesa'!F$11)))*(1+'Parâmetros financeiros Despesa'!F$13)</f>
        <v>3925.1934000000001</v>
      </c>
      <c r="J13" s="1080">
        <f t="shared" si="0"/>
        <v>5.3970580982255411E-3</v>
      </c>
    </row>
    <row r="14" spans="1:10" ht="15" customHeight="1" x14ac:dyDescent="0.25">
      <c r="A14" s="397"/>
      <c r="B14" s="416" t="s">
        <v>5844</v>
      </c>
      <c r="C14" s="417">
        <v>333904718000000</v>
      </c>
      <c r="D14" s="418" t="s">
        <v>6940</v>
      </c>
      <c r="E14" s="419">
        <v>1</v>
      </c>
      <c r="F14" s="419">
        <v>0</v>
      </c>
      <c r="G14" s="431">
        <v>95</v>
      </c>
      <c r="H14" s="421" t="s">
        <v>4785</v>
      </c>
      <c r="I14" s="420">
        <v>0</v>
      </c>
      <c r="J14" s="456">
        <f t="shared" si="0"/>
        <v>0</v>
      </c>
    </row>
    <row r="15" spans="1:10" ht="15" customHeight="1" x14ac:dyDescent="0.25">
      <c r="A15" s="397"/>
      <c r="B15" s="416" t="s">
        <v>5845</v>
      </c>
      <c r="C15" s="417">
        <v>333904720000000</v>
      </c>
      <c r="D15" s="418" t="s">
        <v>6941</v>
      </c>
      <c r="E15" s="422">
        <v>1</v>
      </c>
      <c r="F15" s="422">
        <v>0</v>
      </c>
      <c r="G15" s="432">
        <v>95</v>
      </c>
      <c r="H15" s="421" t="s">
        <v>4785</v>
      </c>
      <c r="I15" s="423">
        <v>0</v>
      </c>
      <c r="J15" s="456">
        <f t="shared" si="0"/>
        <v>0</v>
      </c>
    </row>
    <row r="16" spans="1:10" s="115" customFormat="1" ht="15" customHeight="1" x14ac:dyDescent="0.25">
      <c r="A16" s="396"/>
      <c r="B16" s="1092" t="s">
        <v>2298</v>
      </c>
      <c r="C16" s="1081">
        <v>344903000000000</v>
      </c>
      <c r="D16" s="1082" t="s">
        <v>5836</v>
      </c>
      <c r="E16" s="1076">
        <v>1</v>
      </c>
      <c r="F16" s="1076">
        <v>0</v>
      </c>
      <c r="G16" s="1077"/>
      <c r="H16" s="1078" t="s">
        <v>4784</v>
      </c>
      <c r="I16" s="1079">
        <f>('Parâmetros financeiros Despesa'!F19+'Parâmetros financeiros Despesa'!F20)*(1+'Parâmetros financeiros Despesa'!F4)*(1+'Parâmetros financeiros Despesa'!F7)*(1+'Parâmetros financeiros Despesa'!F11)</f>
        <v>3816.1602500000004</v>
      </c>
      <c r="J16" s="1080">
        <f t="shared" si="0"/>
        <v>5.2471398177192765E-3</v>
      </c>
    </row>
    <row r="17" spans="1:10" ht="15" customHeight="1" x14ac:dyDescent="0.25">
      <c r="A17" s="397"/>
      <c r="B17" s="416" t="s">
        <v>2266</v>
      </c>
      <c r="C17" s="417">
        <v>344903099050000</v>
      </c>
      <c r="D17" s="418" t="s">
        <v>2246</v>
      </c>
      <c r="E17" s="419">
        <v>1</v>
      </c>
      <c r="F17" s="419">
        <v>0</v>
      </c>
      <c r="G17" s="431">
        <v>95</v>
      </c>
      <c r="H17" s="421" t="s">
        <v>4785</v>
      </c>
      <c r="I17" s="420">
        <v>0</v>
      </c>
      <c r="J17" s="456">
        <f t="shared" si="0"/>
        <v>0</v>
      </c>
    </row>
    <row r="18" spans="1:10" s="457" customFormat="1" ht="32.25" customHeight="1" x14ac:dyDescent="0.25">
      <c r="A18" s="396"/>
      <c r="B18" s="1092" t="s">
        <v>2300</v>
      </c>
      <c r="C18" s="1081">
        <v>344903600000000</v>
      </c>
      <c r="D18" s="1082" t="s">
        <v>5837</v>
      </c>
      <c r="E18" s="1076">
        <v>1</v>
      </c>
      <c r="F18" s="1076">
        <v>0</v>
      </c>
      <c r="G18" s="1077"/>
      <c r="H18" s="1078" t="s">
        <v>4784</v>
      </c>
      <c r="I18" s="1079">
        <f>'Parâmetros financeiros Despesa'!F21*((1+'Parâmetros financeiros Despesa'!F4)*(1+'Parâmetros financeiros Despesa'!F7)*(1+'Parâmetros financeiros Despesa'!F11))</f>
        <v>1090.3315</v>
      </c>
      <c r="J18" s="1080">
        <f t="shared" si="0"/>
        <v>1.4991828050626502E-3</v>
      </c>
    </row>
    <row r="19" spans="1:10" s="458" customFormat="1" ht="15" customHeight="1" x14ac:dyDescent="0.25">
      <c r="A19" s="397"/>
      <c r="B19" s="416" t="s">
        <v>5846</v>
      </c>
      <c r="C19" s="417">
        <v>344903699010000</v>
      </c>
      <c r="D19" s="418" t="s">
        <v>2247</v>
      </c>
      <c r="E19" s="419">
        <v>1</v>
      </c>
      <c r="F19" s="419">
        <v>0</v>
      </c>
      <c r="G19" s="431">
        <v>95</v>
      </c>
      <c r="H19" s="421" t="s">
        <v>4785</v>
      </c>
      <c r="I19" s="420">
        <v>0</v>
      </c>
      <c r="J19" s="456">
        <f t="shared" si="0"/>
        <v>0</v>
      </c>
    </row>
    <row r="20" spans="1:10" s="457" customFormat="1" ht="31.5" customHeight="1" x14ac:dyDescent="0.25">
      <c r="A20" s="396"/>
      <c r="B20" s="1092" t="s">
        <v>5721</v>
      </c>
      <c r="C20" s="1081">
        <v>344903900000000</v>
      </c>
      <c r="D20" s="1082" t="s">
        <v>5838</v>
      </c>
      <c r="E20" s="1076">
        <v>1</v>
      </c>
      <c r="F20" s="1076">
        <v>0</v>
      </c>
      <c r="G20" s="1077"/>
      <c r="H20" s="1078" t="s">
        <v>4784</v>
      </c>
      <c r="I20" s="1079">
        <f>('Parâmetros financeiros Despesa'!F22+'Parâmetros financeiros Despesa'!F23)*((1+'Parâmetros financeiros Despesa'!F4)*(1+'Parâmetros financeiros Despesa'!F7)*(1+'Parâmetros financeiros Despesa'!F11))</f>
        <v>2180.663</v>
      </c>
      <c r="J20" s="1080">
        <f t="shared" si="0"/>
        <v>2.9983656101253003E-3</v>
      </c>
    </row>
    <row r="21" spans="1:10" s="458" customFormat="1" ht="15" customHeight="1" x14ac:dyDescent="0.25">
      <c r="A21" s="397"/>
      <c r="B21" s="416" t="s">
        <v>2191</v>
      </c>
      <c r="C21" s="417">
        <v>344903999050000</v>
      </c>
      <c r="D21" s="418" t="s">
        <v>2247</v>
      </c>
      <c r="E21" s="419">
        <v>1</v>
      </c>
      <c r="F21" s="419">
        <v>0</v>
      </c>
      <c r="G21" s="431">
        <v>95</v>
      </c>
      <c r="H21" s="421" t="s">
        <v>4785</v>
      </c>
      <c r="I21" s="420">
        <v>0</v>
      </c>
      <c r="J21" s="456">
        <f t="shared" si="0"/>
        <v>0</v>
      </c>
    </row>
    <row r="22" spans="1:10" s="457" customFormat="1" ht="37.5" customHeight="1" x14ac:dyDescent="0.25">
      <c r="A22" s="396"/>
      <c r="B22" s="1092" t="s">
        <v>5723</v>
      </c>
      <c r="C22" s="1081">
        <v>344905200000000</v>
      </c>
      <c r="D22" s="1082" t="s">
        <v>5839</v>
      </c>
      <c r="E22" s="1076">
        <v>1</v>
      </c>
      <c r="F22" s="1076">
        <v>0</v>
      </c>
      <c r="G22" s="1077"/>
      <c r="H22" s="1078" t="s">
        <v>4784</v>
      </c>
      <c r="I22" s="1079">
        <f>('Parâmetros financeiros Despesa'!F24+'Parâmetros financeiros Despesa'!F25)*(1+'Parâmetros financeiros Despesa'!F$4)*(1+'Parâmetros financeiros Despesa'!F$7)*(1+'Parâmetros financeiros Despesa'!F$11)</f>
        <v>2180.663</v>
      </c>
      <c r="J22" s="1080">
        <f t="shared" si="0"/>
        <v>2.9983656101253003E-3</v>
      </c>
    </row>
    <row r="23" spans="1:10" ht="15" customHeight="1" x14ac:dyDescent="0.25">
      <c r="A23" s="397"/>
      <c r="B23" s="416" t="s">
        <v>5847</v>
      </c>
      <c r="C23" s="417">
        <v>344905212000000</v>
      </c>
      <c r="D23" s="418" t="s">
        <v>2192</v>
      </c>
      <c r="E23" s="419">
        <v>1</v>
      </c>
      <c r="F23" s="419">
        <v>0</v>
      </c>
      <c r="G23" s="431">
        <v>595</v>
      </c>
      <c r="H23" s="421" t="s">
        <v>4786</v>
      </c>
      <c r="I23" s="420">
        <v>0</v>
      </c>
      <c r="J23" s="456">
        <f t="shared" si="0"/>
        <v>0</v>
      </c>
    </row>
    <row r="24" spans="1:10" ht="15" customHeight="1" x14ac:dyDescent="0.25">
      <c r="A24" s="397"/>
      <c r="B24" s="416" t="s">
        <v>5848</v>
      </c>
      <c r="C24" s="417">
        <v>344905235000000</v>
      </c>
      <c r="D24" s="418" t="s">
        <v>6475</v>
      </c>
      <c r="E24" s="419">
        <v>1</v>
      </c>
      <c r="F24" s="419">
        <v>0</v>
      </c>
      <c r="G24" s="431">
        <v>95</v>
      </c>
      <c r="H24" s="421" t="s">
        <v>4785</v>
      </c>
      <c r="I24" s="420">
        <v>0</v>
      </c>
      <c r="J24" s="456">
        <f t="shared" si="0"/>
        <v>0</v>
      </c>
    </row>
    <row r="25" spans="1:10" ht="15" customHeight="1" x14ac:dyDescent="0.25">
      <c r="A25" s="397"/>
      <c r="B25" s="416" t="s">
        <v>5849</v>
      </c>
      <c r="C25" s="417">
        <v>344905242000000</v>
      </c>
      <c r="D25" s="418" t="s">
        <v>2301</v>
      </c>
      <c r="E25" s="419">
        <v>1</v>
      </c>
      <c r="F25" s="419">
        <v>0</v>
      </c>
      <c r="G25" s="431">
        <v>595</v>
      </c>
      <c r="H25" s="421" t="s">
        <v>4787</v>
      </c>
      <c r="I25" s="420">
        <v>0</v>
      </c>
      <c r="J25" s="456">
        <f t="shared" si="0"/>
        <v>0</v>
      </c>
    </row>
    <row r="26" spans="1:10" s="274" customFormat="1" ht="15" customHeight="1" x14ac:dyDescent="0.25">
      <c r="A26" s="397"/>
      <c r="B26" s="416" t="s">
        <v>5850</v>
      </c>
      <c r="C26" s="417">
        <v>344905299000000</v>
      </c>
      <c r="D26" s="418" t="s">
        <v>2412</v>
      </c>
      <c r="E26" s="419">
        <v>1</v>
      </c>
      <c r="F26" s="419">
        <v>0</v>
      </c>
      <c r="G26" s="431">
        <v>576</v>
      </c>
      <c r="H26" s="421" t="s">
        <v>4788</v>
      </c>
      <c r="I26" s="420">
        <v>0</v>
      </c>
      <c r="J26" s="456">
        <f t="shared" si="0"/>
        <v>0</v>
      </c>
    </row>
    <row r="27" spans="1:10" s="274" customFormat="1" ht="15" customHeight="1" x14ac:dyDescent="0.25">
      <c r="A27" s="397"/>
      <c r="B27" s="1385" t="s">
        <v>2294</v>
      </c>
      <c r="C27" s="1385"/>
      <c r="D27" s="1385"/>
      <c r="E27" s="401">
        <v>1</v>
      </c>
      <c r="F27" s="401">
        <v>0</v>
      </c>
      <c r="G27" s="426"/>
      <c r="H27" s="411">
        <v>0</v>
      </c>
      <c r="I27" s="402">
        <f>I28</f>
        <v>66521.811650000003</v>
      </c>
      <c r="J27" s="451">
        <f t="shared" si="0"/>
        <v>9.1466087320504166E-2</v>
      </c>
    </row>
    <row r="28" spans="1:10" s="274" customFormat="1" ht="15" customHeight="1" x14ac:dyDescent="0.25">
      <c r="A28" s="397"/>
      <c r="B28" s="1386" t="s">
        <v>4789</v>
      </c>
      <c r="C28" s="1386"/>
      <c r="D28" s="1386"/>
      <c r="E28" s="403">
        <v>1</v>
      </c>
      <c r="F28" s="403">
        <v>0</v>
      </c>
      <c r="G28" s="427"/>
      <c r="H28" s="412">
        <v>0</v>
      </c>
      <c r="I28" s="404">
        <f>I29</f>
        <v>66521.811650000003</v>
      </c>
      <c r="J28" s="452">
        <f t="shared" si="0"/>
        <v>9.1466087320504166E-2</v>
      </c>
    </row>
    <row r="29" spans="1:10" s="274" customFormat="1" ht="15" customHeight="1" x14ac:dyDescent="0.25">
      <c r="A29" s="397"/>
      <c r="B29" s="1382" t="s">
        <v>2277</v>
      </c>
      <c r="C29" s="1382"/>
      <c r="D29" s="1382"/>
      <c r="E29" s="405">
        <v>1</v>
      </c>
      <c r="F29" s="405">
        <v>0</v>
      </c>
      <c r="G29" s="428"/>
      <c r="H29" s="413">
        <v>0</v>
      </c>
      <c r="I29" s="406">
        <f>I30</f>
        <v>66521.811650000003</v>
      </c>
      <c r="J29" s="453">
        <f t="shared" si="0"/>
        <v>9.1466087320504166E-2</v>
      </c>
    </row>
    <row r="30" spans="1:10" s="274" customFormat="1" ht="15" customHeight="1" x14ac:dyDescent="0.25">
      <c r="A30" s="397"/>
      <c r="B30" s="1383" t="s">
        <v>2278</v>
      </c>
      <c r="C30" s="1383"/>
      <c r="D30" s="1383"/>
      <c r="E30" s="407">
        <v>1</v>
      </c>
      <c r="F30" s="407">
        <v>0</v>
      </c>
      <c r="G30" s="429"/>
      <c r="H30" s="414">
        <v>0</v>
      </c>
      <c r="I30" s="408">
        <f>I40+I31+I34+I36+I38</f>
        <v>66521.811650000003</v>
      </c>
      <c r="J30" s="454">
        <f t="shared" si="0"/>
        <v>9.1466087320504166E-2</v>
      </c>
    </row>
    <row r="31" spans="1:10" s="520" customFormat="1" ht="33.75" customHeight="1" x14ac:dyDescent="0.25">
      <c r="A31" s="396"/>
      <c r="B31" s="1091" t="s">
        <v>5724</v>
      </c>
      <c r="C31" s="1074">
        <v>333904700000000</v>
      </c>
      <c r="D31" s="1075" t="s">
        <v>6479</v>
      </c>
      <c r="E31" s="1076">
        <v>1</v>
      </c>
      <c r="F31" s="1076">
        <v>0</v>
      </c>
      <c r="G31" s="1077"/>
      <c r="H31" s="1078" t="s">
        <v>5718</v>
      </c>
      <c r="I31" s="1079">
        <f>((('Parâmetros financeiros Despesa'!F28+'Parâmetros financeiros Despesa'!F30+'Parâmetros financeiros Despesa'!F31+'Parâmetros financeiros Despesa'!F33))*((1+'Parâmetros financeiros Despesa'!F$4)*(1+'Parâmetros financeiros Despesa'!F$7)*(1+'Parâmetros financeiros Despesa'!F$11)))*(1+'Parâmetros financeiros Despesa'!F$13)</f>
        <v>3925.1934000000001</v>
      </c>
      <c r="J31" s="1080">
        <f t="shared" si="0"/>
        <v>5.3970580982255411E-3</v>
      </c>
    </row>
    <row r="32" spans="1:10" s="520" customFormat="1" ht="15" customHeight="1" x14ac:dyDescent="0.25">
      <c r="A32" s="397"/>
      <c r="B32" s="515" t="s">
        <v>6477</v>
      </c>
      <c r="C32" s="417">
        <v>333904718000000</v>
      </c>
      <c r="D32" s="418" t="s">
        <v>6480</v>
      </c>
      <c r="E32" s="514">
        <v>1</v>
      </c>
      <c r="F32" s="514">
        <v>0</v>
      </c>
      <c r="G32" s="516">
        <v>600</v>
      </c>
      <c r="H32" s="517" t="s">
        <v>5720</v>
      </c>
      <c r="I32" s="518">
        <v>0</v>
      </c>
      <c r="J32" s="519">
        <f t="shared" si="0"/>
        <v>0</v>
      </c>
    </row>
    <row r="33" spans="1:10" s="520" customFormat="1" ht="15" customHeight="1" x14ac:dyDescent="0.25">
      <c r="A33" s="397"/>
      <c r="B33" s="515" t="s">
        <v>6478</v>
      </c>
      <c r="C33" s="417">
        <v>333904720000000</v>
      </c>
      <c r="D33" s="418" t="s">
        <v>6481</v>
      </c>
      <c r="E33" s="422">
        <v>1</v>
      </c>
      <c r="F33" s="422">
        <v>0</v>
      </c>
      <c r="G33" s="516">
        <v>600</v>
      </c>
      <c r="H33" s="517" t="s">
        <v>5720</v>
      </c>
      <c r="I33" s="423">
        <v>0</v>
      </c>
      <c r="J33" s="519">
        <f t="shared" si="0"/>
        <v>0</v>
      </c>
    </row>
    <row r="34" spans="1:10" s="115" customFormat="1" ht="15" customHeight="1" x14ac:dyDescent="0.25">
      <c r="A34" s="396"/>
      <c r="B34" s="1092" t="s">
        <v>5731</v>
      </c>
      <c r="C34" s="1081">
        <v>344903000000000</v>
      </c>
      <c r="D34" s="1082" t="s">
        <v>6485</v>
      </c>
      <c r="E34" s="1076">
        <v>1</v>
      </c>
      <c r="F34" s="1076">
        <v>0</v>
      </c>
      <c r="G34" s="1077"/>
      <c r="H34" s="1078" t="s">
        <v>5718</v>
      </c>
      <c r="I34" s="1079">
        <f>('Parâmetros financeiros Despesa'!F29+'Parâmetros financeiros Despesa'!F30)*((1+'Parâmetros financeiros Despesa'!F4)*(1+'Parâmetros financeiros Despesa'!F7)*(1+'Parâmetros financeiros Despesa'!F11))</f>
        <v>2725.8287500000001</v>
      </c>
      <c r="J34" s="1080">
        <f t="shared" si="0"/>
        <v>3.7479570126566254E-3</v>
      </c>
    </row>
    <row r="35" spans="1:10" s="520" customFormat="1" ht="15" customHeight="1" x14ac:dyDescent="0.25">
      <c r="A35" s="397"/>
      <c r="B35" s="515" t="s">
        <v>6482</v>
      </c>
      <c r="C35" s="417">
        <v>344903099080000</v>
      </c>
      <c r="D35" s="418" t="s">
        <v>6488</v>
      </c>
      <c r="E35" s="514">
        <v>1</v>
      </c>
      <c r="F35" s="514">
        <v>0</v>
      </c>
      <c r="G35" s="516">
        <v>600</v>
      </c>
      <c r="H35" s="517" t="s">
        <v>5720</v>
      </c>
      <c r="I35" s="518">
        <v>0</v>
      </c>
      <c r="J35" s="519">
        <f t="shared" si="0"/>
        <v>0</v>
      </c>
    </row>
    <row r="36" spans="1:10" s="457" customFormat="1" ht="32.25" customHeight="1" x14ac:dyDescent="0.25">
      <c r="A36" s="396"/>
      <c r="B36" s="1092" t="s">
        <v>5734</v>
      </c>
      <c r="C36" s="1081">
        <v>344903600000000</v>
      </c>
      <c r="D36" s="1082" t="s">
        <v>6489</v>
      </c>
      <c r="E36" s="1076">
        <v>1</v>
      </c>
      <c r="F36" s="1076">
        <v>0</v>
      </c>
      <c r="G36" s="1077"/>
      <c r="H36" s="1078" t="s">
        <v>5718</v>
      </c>
      <c r="I36" s="1079">
        <f>('Parâmetros financeiros Despesa'!F31)*((1+'Parâmetros financeiros Despesa'!F4)*(1+'Parâmetros financeiros Despesa'!F7)*(1+'Parâmetros financeiros Despesa'!F11))</f>
        <v>1090.3315</v>
      </c>
      <c r="J36" s="1080">
        <f t="shared" si="0"/>
        <v>1.4991828050626502E-3</v>
      </c>
    </row>
    <row r="37" spans="1:10" s="458" customFormat="1" ht="15" customHeight="1" x14ac:dyDescent="0.25">
      <c r="A37" s="397"/>
      <c r="B37" s="515" t="s">
        <v>6483</v>
      </c>
      <c r="C37" s="417">
        <v>344903699090000</v>
      </c>
      <c r="D37" s="418" t="s">
        <v>6490</v>
      </c>
      <c r="E37" s="514">
        <v>1</v>
      </c>
      <c r="F37" s="514">
        <v>0</v>
      </c>
      <c r="G37" s="516">
        <v>600</v>
      </c>
      <c r="H37" s="517" t="s">
        <v>5720</v>
      </c>
      <c r="I37" s="518">
        <v>0</v>
      </c>
      <c r="J37" s="519">
        <f t="shared" si="0"/>
        <v>0</v>
      </c>
    </row>
    <row r="38" spans="1:10" s="457" customFormat="1" ht="31.5" customHeight="1" x14ac:dyDescent="0.25">
      <c r="A38" s="396"/>
      <c r="B38" s="1092" t="s">
        <v>5738</v>
      </c>
      <c r="C38" s="1081">
        <v>344903900000000</v>
      </c>
      <c r="D38" s="1082" t="s">
        <v>6486</v>
      </c>
      <c r="E38" s="1076">
        <v>1</v>
      </c>
      <c r="F38" s="1076">
        <v>0</v>
      </c>
      <c r="G38" s="1077"/>
      <c r="H38" s="1078" t="s">
        <v>5718</v>
      </c>
      <c r="I38" s="1079">
        <f>('Parâmetros financeiros Despesa'!F32+'Parâmetros financeiros Despesa'!F33)*((1+'Parâmetros financeiros Despesa'!F4)*(1+'Parâmetros financeiros Despesa'!F7)*(1+'Parâmetros financeiros Despesa'!F11))</f>
        <v>2180.663</v>
      </c>
      <c r="J38" s="1080">
        <f t="shared" si="0"/>
        <v>2.9983656101253003E-3</v>
      </c>
    </row>
    <row r="39" spans="1:10" s="458" customFormat="1" ht="15" customHeight="1" x14ac:dyDescent="0.25">
      <c r="A39" s="397"/>
      <c r="B39" s="515" t="s">
        <v>5739</v>
      </c>
      <c r="C39" s="417">
        <v>344903999090000</v>
      </c>
      <c r="D39" s="418" t="s">
        <v>6491</v>
      </c>
      <c r="E39" s="514">
        <v>1</v>
      </c>
      <c r="F39" s="514">
        <v>0</v>
      </c>
      <c r="G39" s="516">
        <v>600</v>
      </c>
      <c r="H39" s="517" t="s">
        <v>5720</v>
      </c>
      <c r="I39" s="518">
        <v>0</v>
      </c>
      <c r="J39" s="519">
        <f t="shared" si="0"/>
        <v>0</v>
      </c>
    </row>
    <row r="40" spans="1:10" s="115" customFormat="1" ht="15" customHeight="1" x14ac:dyDescent="0.25">
      <c r="A40" s="396"/>
      <c r="B40" s="1093" t="s">
        <v>5746</v>
      </c>
      <c r="C40" s="1074">
        <v>333905100000000</v>
      </c>
      <c r="D40" s="1075" t="s">
        <v>6476</v>
      </c>
      <c r="E40" s="1076">
        <v>1</v>
      </c>
      <c r="F40" s="1076">
        <v>0</v>
      </c>
      <c r="G40" s="1077"/>
      <c r="H40" s="1078" t="s">
        <v>5718</v>
      </c>
      <c r="I40" s="1079">
        <f>('Parâmetros financeiros Despesa'!F27+'Parâmetros financeiros Despesa'!F28)*(1+'Parâmetros financeiros Despesa'!F$11)*(1+'Parâmetros financeiros Despesa'!F$4)*(1+'Parâmetros financeiros Despesa'!F$7)+'Parâmetros financeiros Despesa'!F73</f>
        <v>56599.795000000006</v>
      </c>
      <c r="J40" s="1080">
        <f t="shared" si="0"/>
        <v>7.7823523794434052E-2</v>
      </c>
    </row>
    <row r="41" spans="1:10" s="274" customFormat="1" ht="15" customHeight="1" x14ac:dyDescent="0.25">
      <c r="A41" s="397"/>
      <c r="B41" s="416" t="s">
        <v>6484</v>
      </c>
      <c r="C41" s="417">
        <v>344905199020000</v>
      </c>
      <c r="D41" s="418" t="s">
        <v>6487</v>
      </c>
      <c r="E41" s="419">
        <v>1</v>
      </c>
      <c r="F41" s="419">
        <v>0</v>
      </c>
      <c r="G41" s="431">
        <v>600</v>
      </c>
      <c r="H41" s="421" t="s">
        <v>5720</v>
      </c>
      <c r="I41" s="420">
        <v>0</v>
      </c>
      <c r="J41" s="456">
        <f t="shared" ref="J41:J72" si="1">I41/I$183</f>
        <v>0</v>
      </c>
    </row>
    <row r="42" spans="1:10" s="274" customFormat="1" ht="15" customHeight="1" x14ac:dyDescent="0.25">
      <c r="A42" s="397"/>
      <c r="B42" s="1385" t="s">
        <v>2294</v>
      </c>
      <c r="C42" s="1385"/>
      <c r="D42" s="1385"/>
      <c r="E42" s="401">
        <v>1</v>
      </c>
      <c r="F42" s="401">
        <v>0</v>
      </c>
      <c r="G42" s="426"/>
      <c r="H42" s="411">
        <v>0</v>
      </c>
      <c r="I42" s="402">
        <f>I43</f>
        <v>11230.414450000002</v>
      </c>
      <c r="J42" s="451">
        <f t="shared" si="1"/>
        <v>1.5441582892145299E-2</v>
      </c>
    </row>
    <row r="43" spans="1:10" s="274" customFormat="1" ht="15" customHeight="1" x14ac:dyDescent="0.25">
      <c r="A43" s="397"/>
      <c r="B43" s="1386" t="s">
        <v>5719</v>
      </c>
      <c r="C43" s="1386"/>
      <c r="D43" s="1386"/>
      <c r="E43" s="403">
        <v>1</v>
      </c>
      <c r="F43" s="403">
        <v>0</v>
      </c>
      <c r="G43" s="427"/>
      <c r="H43" s="412">
        <v>0</v>
      </c>
      <c r="I43" s="404">
        <f>I44</f>
        <v>11230.414450000002</v>
      </c>
      <c r="J43" s="452">
        <f t="shared" si="1"/>
        <v>1.5441582892145299E-2</v>
      </c>
    </row>
    <row r="44" spans="1:10" s="274" customFormat="1" ht="15" customHeight="1" x14ac:dyDescent="0.25">
      <c r="A44" s="397"/>
      <c r="B44" s="1382" t="s">
        <v>2277</v>
      </c>
      <c r="C44" s="1382"/>
      <c r="D44" s="1382"/>
      <c r="E44" s="405">
        <v>1</v>
      </c>
      <c r="F44" s="405">
        <v>0</v>
      </c>
      <c r="G44" s="428"/>
      <c r="H44" s="413">
        <v>0</v>
      </c>
      <c r="I44" s="406">
        <f>I45</f>
        <v>11230.414450000002</v>
      </c>
      <c r="J44" s="453">
        <f t="shared" si="1"/>
        <v>1.5441582892145299E-2</v>
      </c>
    </row>
    <row r="45" spans="1:10" s="274" customFormat="1" ht="15" customHeight="1" x14ac:dyDescent="0.25">
      <c r="A45" s="397"/>
      <c r="B45" s="1383" t="s">
        <v>2278</v>
      </c>
      <c r="C45" s="1383"/>
      <c r="D45" s="1383"/>
      <c r="E45" s="407">
        <v>1</v>
      </c>
      <c r="F45" s="407">
        <v>0</v>
      </c>
      <c r="G45" s="429"/>
      <c r="H45" s="414">
        <v>0</v>
      </c>
      <c r="I45" s="408">
        <f>I46+I49+I51+I53+I55</f>
        <v>11230.414450000002</v>
      </c>
      <c r="J45" s="454">
        <f t="shared" si="1"/>
        <v>1.5441582892145299E-2</v>
      </c>
    </row>
    <row r="46" spans="1:10" s="115" customFormat="1" ht="15" customHeight="1" x14ac:dyDescent="0.25">
      <c r="A46" s="396"/>
      <c r="B46" s="1093" t="s">
        <v>5777</v>
      </c>
      <c r="C46" s="1081">
        <v>333904700000000</v>
      </c>
      <c r="D46" s="1082" t="s">
        <v>5843</v>
      </c>
      <c r="E46" s="1076">
        <v>1</v>
      </c>
      <c r="F46" s="1076">
        <v>0</v>
      </c>
      <c r="G46" s="1077"/>
      <c r="H46" s="1078" t="s">
        <v>4784</v>
      </c>
      <c r="I46" s="1079">
        <f>((('Parâmetros financeiros Despesa'!F36+'Parâmetros financeiros Despesa'!F38+'Parâmetros financeiros Despesa'!F39+'Parâmetros financeiros Despesa'!F41))*((1+'Parâmetros financeiros Despesa'!F$4)*(1+'Parâmetros financeiros Despesa'!F$7)*(1+'Parâmetros financeiros Despesa'!F$11)))*(1+'Parâmetros financeiros Despesa'!F$13)</f>
        <v>1962.5967000000001</v>
      </c>
      <c r="J46" s="1080">
        <f t="shared" si="1"/>
        <v>2.6985290491127706E-3</v>
      </c>
    </row>
    <row r="47" spans="1:10" s="274" customFormat="1" ht="15" customHeight="1" x14ac:dyDescent="0.25">
      <c r="A47" s="397"/>
      <c r="B47" s="416" t="s">
        <v>5778</v>
      </c>
      <c r="C47" s="417">
        <v>333904718000000</v>
      </c>
      <c r="D47" s="418" t="s">
        <v>2248</v>
      </c>
      <c r="E47" s="419">
        <v>1</v>
      </c>
      <c r="F47" s="419">
        <v>0</v>
      </c>
      <c r="G47" s="431">
        <v>95</v>
      </c>
      <c r="H47" s="421" t="s">
        <v>4785</v>
      </c>
      <c r="I47" s="420">
        <v>0</v>
      </c>
      <c r="J47" s="456">
        <f t="shared" si="1"/>
        <v>0</v>
      </c>
    </row>
    <row r="48" spans="1:10" s="274" customFormat="1" ht="15" customHeight="1" x14ac:dyDescent="0.25">
      <c r="A48" s="397"/>
      <c r="B48" s="416" t="s">
        <v>5925</v>
      </c>
      <c r="C48" s="417">
        <v>333904720000000</v>
      </c>
      <c r="D48" s="418" t="s">
        <v>2249</v>
      </c>
      <c r="E48" s="419">
        <v>1</v>
      </c>
      <c r="F48" s="419">
        <v>0</v>
      </c>
      <c r="G48" s="431">
        <v>95</v>
      </c>
      <c r="H48" s="421" t="s">
        <v>4785</v>
      </c>
      <c r="I48" s="420">
        <v>0</v>
      </c>
      <c r="J48" s="456">
        <f t="shared" si="1"/>
        <v>0</v>
      </c>
    </row>
    <row r="49" spans="1:10" s="115" customFormat="1" ht="15" customHeight="1" x14ac:dyDescent="0.25">
      <c r="A49" s="396"/>
      <c r="B49" s="1093" t="s">
        <v>5785</v>
      </c>
      <c r="C49" s="854">
        <v>344903000000000</v>
      </c>
      <c r="D49" s="855" t="s">
        <v>5840</v>
      </c>
      <c r="E49" s="468">
        <v>1</v>
      </c>
      <c r="F49" s="468">
        <v>0</v>
      </c>
      <c r="G49" s="751"/>
      <c r="H49" s="878" t="s">
        <v>4784</v>
      </c>
      <c r="I49" s="789">
        <f>('Parâmetros financeiros Despesa'!F37+'Parâmetros financeiros Despesa'!F38)*(1+'Parâmetros financeiros Despesa'!F$4)*(1+'Parâmetros financeiros Despesa'!F$7)*(1+'Parâmetros financeiros Despesa'!F$11)</f>
        <v>2180.663</v>
      </c>
      <c r="J49" s="799">
        <f t="shared" si="1"/>
        <v>2.9983656101253003E-3</v>
      </c>
    </row>
    <row r="50" spans="1:10" s="274" customFormat="1" ht="15" customHeight="1" x14ac:dyDescent="0.25">
      <c r="A50" s="397"/>
      <c r="B50" s="416" t="s">
        <v>5786</v>
      </c>
      <c r="C50" s="417">
        <v>344903099050000</v>
      </c>
      <c r="D50" s="418" t="s">
        <v>2250</v>
      </c>
      <c r="E50" s="419">
        <v>1</v>
      </c>
      <c r="F50" s="419">
        <v>0</v>
      </c>
      <c r="G50" s="431">
        <v>95</v>
      </c>
      <c r="H50" s="421" t="s">
        <v>4785</v>
      </c>
      <c r="I50" s="420">
        <v>0</v>
      </c>
      <c r="J50" s="456">
        <f t="shared" si="1"/>
        <v>0</v>
      </c>
    </row>
    <row r="51" spans="1:10" s="115" customFormat="1" ht="15" customHeight="1" x14ac:dyDescent="0.25">
      <c r="A51" s="396"/>
      <c r="B51" s="1093" t="s">
        <v>5817</v>
      </c>
      <c r="C51" s="854">
        <v>344903600000000</v>
      </c>
      <c r="D51" s="855" t="s">
        <v>6492</v>
      </c>
      <c r="E51" s="468">
        <v>1</v>
      </c>
      <c r="F51" s="468">
        <v>0</v>
      </c>
      <c r="G51" s="751"/>
      <c r="H51" s="878" t="s">
        <v>4784</v>
      </c>
      <c r="I51" s="789">
        <f>('Parâmetros financeiros Despesa'!F39*(1+'Parâmetros financeiros Despesa'!F$11)*(1+'Parâmetros financeiros Despesa'!F$4)*(1+'Parâmetros financeiros Despesa'!F$7))</f>
        <v>1635.4972500000001</v>
      </c>
      <c r="J51" s="799">
        <f t="shared" si="1"/>
        <v>2.2487742075939753E-3</v>
      </c>
    </row>
    <row r="52" spans="1:10" s="274" customFormat="1" ht="15" customHeight="1" x14ac:dyDescent="0.25">
      <c r="A52" s="397"/>
      <c r="B52" s="416" t="s">
        <v>5926</v>
      </c>
      <c r="C52" s="417">
        <v>344903699010000</v>
      </c>
      <c r="D52" s="418" t="s">
        <v>2251</v>
      </c>
      <c r="E52" s="419">
        <v>1</v>
      </c>
      <c r="F52" s="419">
        <v>0</v>
      </c>
      <c r="G52" s="431">
        <v>95</v>
      </c>
      <c r="H52" s="421" t="s">
        <v>4785</v>
      </c>
      <c r="I52" s="420">
        <v>0</v>
      </c>
      <c r="J52" s="456">
        <f t="shared" si="1"/>
        <v>0</v>
      </c>
    </row>
    <row r="53" spans="1:10" s="115" customFormat="1" ht="15" customHeight="1" x14ac:dyDescent="0.25">
      <c r="A53" s="396"/>
      <c r="B53" s="1093" t="s">
        <v>5823</v>
      </c>
      <c r="C53" s="1081">
        <v>344903900000000</v>
      </c>
      <c r="D53" s="1082" t="s">
        <v>5841</v>
      </c>
      <c r="E53" s="1076">
        <v>1</v>
      </c>
      <c r="F53" s="1076">
        <v>0</v>
      </c>
      <c r="G53" s="1077"/>
      <c r="H53" s="1078" t="s">
        <v>4784</v>
      </c>
      <c r="I53" s="1079">
        <f>('Parâmetros financeiros Despesa'!F40+'Parâmetros financeiros Despesa'!F41)*(1+'Parâmetros financeiros Despesa'!F$11)*(1+'Parâmetros financeiros Despesa'!F$4)*(1+'Parâmetros financeiros Despesa'!F$7)</f>
        <v>3270.9945000000002</v>
      </c>
      <c r="J53" s="1080">
        <f t="shared" si="1"/>
        <v>4.4975484151879505E-3</v>
      </c>
    </row>
    <row r="54" spans="1:10" s="274" customFormat="1" ht="15" customHeight="1" x14ac:dyDescent="0.25">
      <c r="A54" s="397"/>
      <c r="B54" s="416" t="s">
        <v>5824</v>
      </c>
      <c r="C54" s="417">
        <v>344903999050000</v>
      </c>
      <c r="D54" s="418" t="s">
        <v>2252</v>
      </c>
      <c r="E54" s="419">
        <v>1</v>
      </c>
      <c r="F54" s="419">
        <v>0</v>
      </c>
      <c r="G54" s="431">
        <v>95</v>
      </c>
      <c r="H54" s="421" t="s">
        <v>4785</v>
      </c>
      <c r="I54" s="420">
        <v>0</v>
      </c>
      <c r="J54" s="456">
        <f t="shared" si="1"/>
        <v>0</v>
      </c>
    </row>
    <row r="55" spans="1:10" s="115" customFormat="1" ht="15" customHeight="1" x14ac:dyDescent="0.25">
      <c r="A55" s="396"/>
      <c r="B55" s="1093" t="s">
        <v>5853</v>
      </c>
      <c r="C55" s="1081">
        <v>344905200000000</v>
      </c>
      <c r="D55" s="1082" t="s">
        <v>5842</v>
      </c>
      <c r="E55" s="1076">
        <v>1</v>
      </c>
      <c r="F55" s="1076">
        <v>0</v>
      </c>
      <c r="G55" s="1077"/>
      <c r="H55" s="1078" t="s">
        <v>4784</v>
      </c>
      <c r="I55" s="1079">
        <f>('Parâmetros financeiros Despesa'!F35+'Parâmetros financeiros Despesa'!F36)*(1+'Parâmetros financeiros Despesa'!F$11)*(1+'Parâmetros financeiros Despesa'!F$4)*(1+'Parâmetros financeiros Despesa'!F$7)</f>
        <v>2180.663</v>
      </c>
      <c r="J55" s="1080">
        <f t="shared" si="1"/>
        <v>2.9983656101253003E-3</v>
      </c>
    </row>
    <row r="56" spans="1:10" s="274" customFormat="1" ht="15" customHeight="1" x14ac:dyDescent="0.25">
      <c r="A56" s="397"/>
      <c r="B56" s="416" t="s">
        <v>5927</v>
      </c>
      <c r="C56" s="417">
        <v>344905235000000</v>
      </c>
      <c r="D56" s="418" t="s">
        <v>6493</v>
      </c>
      <c r="E56" s="419">
        <v>1</v>
      </c>
      <c r="F56" s="419">
        <v>0</v>
      </c>
      <c r="G56" s="431">
        <v>95</v>
      </c>
      <c r="H56" s="421" t="s">
        <v>4785</v>
      </c>
      <c r="I56" s="420">
        <v>0</v>
      </c>
      <c r="J56" s="456">
        <f t="shared" si="1"/>
        <v>0</v>
      </c>
    </row>
    <row r="57" spans="1:10" s="274" customFormat="1" ht="15" customHeight="1" x14ac:dyDescent="0.25">
      <c r="A57" s="397"/>
      <c r="B57" s="1385" t="s">
        <v>2294</v>
      </c>
      <c r="C57" s="1385"/>
      <c r="D57" s="1385"/>
      <c r="E57" s="401">
        <v>1</v>
      </c>
      <c r="F57" s="401">
        <v>0</v>
      </c>
      <c r="G57" s="426"/>
      <c r="H57" s="411">
        <v>0</v>
      </c>
      <c r="I57" s="402">
        <f>I58</f>
        <v>509081.81575349998</v>
      </c>
      <c r="J57" s="451">
        <f t="shared" si="1"/>
        <v>0.69997675436114548</v>
      </c>
    </row>
    <row r="58" spans="1:10" s="274" customFormat="1" ht="15" customHeight="1" x14ac:dyDescent="0.25">
      <c r="A58" s="397"/>
      <c r="B58" s="1386" t="s">
        <v>5726</v>
      </c>
      <c r="C58" s="1386"/>
      <c r="D58" s="1386"/>
      <c r="E58" s="403">
        <v>1</v>
      </c>
      <c r="F58" s="403">
        <v>0</v>
      </c>
      <c r="G58" s="427"/>
      <c r="H58" s="412">
        <v>0</v>
      </c>
      <c r="I58" s="404">
        <f>I59</f>
        <v>509081.81575349998</v>
      </c>
      <c r="J58" s="452">
        <f t="shared" si="1"/>
        <v>0.69997675436114548</v>
      </c>
    </row>
    <row r="59" spans="1:10" s="274" customFormat="1" ht="15" customHeight="1" x14ac:dyDescent="0.25">
      <c r="A59" s="397"/>
      <c r="B59" s="1382" t="s">
        <v>2277</v>
      </c>
      <c r="C59" s="1382"/>
      <c r="D59" s="1382"/>
      <c r="E59" s="405">
        <v>1</v>
      </c>
      <c r="F59" s="405">
        <v>0</v>
      </c>
      <c r="G59" s="428"/>
      <c r="H59" s="413">
        <v>0</v>
      </c>
      <c r="I59" s="406">
        <f>I60</f>
        <v>509081.81575349998</v>
      </c>
      <c r="J59" s="453">
        <f t="shared" si="1"/>
        <v>0.69997675436114548</v>
      </c>
    </row>
    <row r="60" spans="1:10" s="274" customFormat="1" ht="15" customHeight="1" x14ac:dyDescent="0.25">
      <c r="A60" s="397"/>
      <c r="B60" s="1383" t="s">
        <v>2278</v>
      </c>
      <c r="C60" s="1383"/>
      <c r="D60" s="1383"/>
      <c r="E60" s="407">
        <v>1</v>
      </c>
      <c r="F60" s="407">
        <v>0</v>
      </c>
      <c r="G60" s="429"/>
      <c r="H60" s="414">
        <v>0</v>
      </c>
      <c r="I60" s="408">
        <f>I61+I70</f>
        <v>509081.81575349998</v>
      </c>
      <c r="J60" s="454">
        <f t="shared" si="1"/>
        <v>0.69997675436114548</v>
      </c>
    </row>
    <row r="61" spans="1:10" s="115" customFormat="1" ht="15" customHeight="1" x14ac:dyDescent="0.25">
      <c r="A61" s="396"/>
      <c r="B61" s="1093" t="s">
        <v>5854</v>
      </c>
      <c r="C61" s="1081">
        <v>331901100000000</v>
      </c>
      <c r="D61" s="1082" t="s">
        <v>5732</v>
      </c>
      <c r="E61" s="1076">
        <v>1</v>
      </c>
      <c r="F61" s="1076">
        <v>0</v>
      </c>
      <c r="G61" s="1077"/>
      <c r="H61" s="1078" t="s">
        <v>5730</v>
      </c>
      <c r="I61" s="1079">
        <f>(('Parâmetros financeiros Despesa'!F45+'Parâmetros financeiros Despesa'!F46+'Parâmetros financeiros Despesa'!F47+'Parâmetros financeiros Despesa'!F48)*2.05+(('Parâmetros financeiros Despesa'!F45+'Parâmetros financeiros Despesa'!F46+'Parâmetros financeiros Despesa'!F47+'Parâmetros financeiros Despesa'!F48)*11.28))-('Parâmetros financeiros Despesa'!F74)</f>
        <v>420728.77334999997</v>
      </c>
      <c r="J61" s="1080">
        <f t="shared" si="1"/>
        <v>0.57849318542243433</v>
      </c>
    </row>
    <row r="62" spans="1:10" s="274" customFormat="1" ht="15" customHeight="1" x14ac:dyDescent="0.25">
      <c r="A62" s="397"/>
      <c r="B62" s="416" t="s">
        <v>5855</v>
      </c>
      <c r="C62" s="417">
        <v>331901101040000</v>
      </c>
      <c r="D62" s="418" t="s">
        <v>2256</v>
      </c>
      <c r="E62" s="419">
        <v>1</v>
      </c>
      <c r="F62" s="419">
        <v>0</v>
      </c>
      <c r="G62" s="431">
        <v>311210101000000</v>
      </c>
      <c r="H62" s="421" t="s">
        <v>5995</v>
      </c>
      <c r="I62" s="420">
        <v>0</v>
      </c>
      <c r="J62" s="456">
        <f t="shared" si="1"/>
        <v>0</v>
      </c>
    </row>
    <row r="63" spans="1:10" s="274" customFormat="1" ht="15" customHeight="1" x14ac:dyDescent="0.25">
      <c r="A63" s="397"/>
      <c r="B63" s="416" t="s">
        <v>5856</v>
      </c>
      <c r="C63" s="417">
        <v>331901142000000</v>
      </c>
      <c r="D63" s="418" t="s">
        <v>2143</v>
      </c>
      <c r="E63" s="419">
        <v>1</v>
      </c>
      <c r="F63" s="419">
        <v>0</v>
      </c>
      <c r="G63" s="431">
        <v>834</v>
      </c>
      <c r="H63" s="517" t="s">
        <v>5995</v>
      </c>
      <c r="I63" s="420">
        <v>0</v>
      </c>
      <c r="J63" s="456">
        <f t="shared" si="1"/>
        <v>0</v>
      </c>
    </row>
    <row r="64" spans="1:10" s="434" customFormat="1" ht="15" customHeight="1" x14ac:dyDescent="0.25">
      <c r="A64" s="397"/>
      <c r="B64" s="416" t="s">
        <v>6494</v>
      </c>
      <c r="C64" s="417">
        <v>331901142000000</v>
      </c>
      <c r="D64" s="418" t="s">
        <v>5852</v>
      </c>
      <c r="E64" s="419">
        <v>1</v>
      </c>
      <c r="F64" s="419">
        <v>0</v>
      </c>
      <c r="G64" s="431">
        <v>834</v>
      </c>
      <c r="H64" s="421" t="s">
        <v>5996</v>
      </c>
      <c r="I64" s="420">
        <v>0</v>
      </c>
      <c r="J64" s="456">
        <f t="shared" si="1"/>
        <v>0</v>
      </c>
    </row>
    <row r="65" spans="1:10" s="274" customFormat="1" ht="15" customHeight="1" x14ac:dyDescent="0.25">
      <c r="A65" s="397"/>
      <c r="B65" s="416" t="s">
        <v>6496</v>
      </c>
      <c r="C65" s="417">
        <v>331901143000000</v>
      </c>
      <c r="D65" s="418" t="s">
        <v>2255</v>
      </c>
      <c r="E65" s="419">
        <v>1</v>
      </c>
      <c r="F65" s="419">
        <v>0</v>
      </c>
      <c r="G65" s="431">
        <v>824</v>
      </c>
      <c r="H65" s="517" t="s">
        <v>5995</v>
      </c>
      <c r="I65" s="420">
        <v>0</v>
      </c>
      <c r="J65" s="456">
        <f t="shared" si="1"/>
        <v>0</v>
      </c>
    </row>
    <row r="66" spans="1:10" s="274" customFormat="1" ht="15" customHeight="1" x14ac:dyDescent="0.25">
      <c r="A66" s="397"/>
      <c r="B66" s="515" t="s">
        <v>6497</v>
      </c>
      <c r="C66" s="417">
        <v>331901145000000</v>
      </c>
      <c r="D66" s="418" t="s">
        <v>6973</v>
      </c>
      <c r="E66" s="419">
        <v>1</v>
      </c>
      <c r="F66" s="419">
        <v>0</v>
      </c>
      <c r="G66" s="431">
        <v>834</v>
      </c>
      <c r="H66" s="517" t="s">
        <v>5995</v>
      </c>
      <c r="I66" s="420">
        <v>0</v>
      </c>
      <c r="J66" s="456">
        <f t="shared" si="1"/>
        <v>0</v>
      </c>
    </row>
    <row r="67" spans="1:10" s="434" customFormat="1" ht="15" customHeight="1" x14ac:dyDescent="0.25">
      <c r="A67" s="397"/>
      <c r="B67" s="515" t="s">
        <v>6497</v>
      </c>
      <c r="C67" s="417">
        <v>331901145000000</v>
      </c>
      <c r="D67" s="418" t="s">
        <v>5930</v>
      </c>
      <c r="E67" s="419">
        <v>1</v>
      </c>
      <c r="F67" s="419">
        <v>0</v>
      </c>
      <c r="G67" s="431">
        <v>834</v>
      </c>
      <c r="H67" s="517" t="s">
        <v>5996</v>
      </c>
      <c r="I67" s="420">
        <v>0</v>
      </c>
      <c r="J67" s="456">
        <f t="shared" si="1"/>
        <v>0</v>
      </c>
    </row>
    <row r="68" spans="1:10" s="274" customFormat="1" ht="15" customHeight="1" x14ac:dyDescent="0.25">
      <c r="A68" s="397"/>
      <c r="B68" s="515" t="s">
        <v>6495</v>
      </c>
      <c r="C68" s="417">
        <v>331901174000000</v>
      </c>
      <c r="D68" s="418" t="s">
        <v>2253</v>
      </c>
      <c r="E68" s="419">
        <v>1</v>
      </c>
      <c r="F68" s="419">
        <v>0</v>
      </c>
      <c r="G68" s="431">
        <v>311210131000000</v>
      </c>
      <c r="H68" s="517" t="s">
        <v>5996</v>
      </c>
      <c r="I68" s="420">
        <v>0</v>
      </c>
      <c r="J68" s="456">
        <f t="shared" si="1"/>
        <v>0</v>
      </c>
    </row>
    <row r="69" spans="1:10" s="274" customFormat="1" ht="15" customHeight="1" x14ac:dyDescent="0.25">
      <c r="A69" s="397"/>
      <c r="B69" s="515" t="s">
        <v>6495</v>
      </c>
      <c r="C69" s="417">
        <v>331901175000000</v>
      </c>
      <c r="D69" s="418" t="s">
        <v>2150</v>
      </c>
      <c r="E69" s="419">
        <v>1</v>
      </c>
      <c r="F69" s="419">
        <v>0</v>
      </c>
      <c r="G69" s="431">
        <v>311210128000000</v>
      </c>
      <c r="H69" s="517" t="s">
        <v>5996</v>
      </c>
      <c r="I69" s="420">
        <v>0</v>
      </c>
      <c r="J69" s="456">
        <f t="shared" si="1"/>
        <v>0</v>
      </c>
    </row>
    <row r="70" spans="1:10" s="115" customFormat="1" ht="15" customHeight="1" x14ac:dyDescent="0.25">
      <c r="A70" s="396"/>
      <c r="B70" s="1093" t="s">
        <v>5864</v>
      </c>
      <c r="C70" s="1081">
        <v>331901300000000</v>
      </c>
      <c r="D70" s="1082" t="s">
        <v>5735</v>
      </c>
      <c r="E70" s="1076">
        <v>1</v>
      </c>
      <c r="F70" s="1076">
        <v>0</v>
      </c>
      <c r="G70" s="1077"/>
      <c r="H70" s="1078" t="s">
        <v>5730</v>
      </c>
      <c r="I70" s="1079">
        <f>(I61)*'Parâmetros financeiros Despesa'!F12</f>
        <v>88353.042403499989</v>
      </c>
      <c r="J70" s="1080">
        <f t="shared" si="1"/>
        <v>0.12148356893871119</v>
      </c>
    </row>
    <row r="71" spans="1:10" s="274" customFormat="1" ht="15" customHeight="1" x14ac:dyDescent="0.25">
      <c r="A71" s="397"/>
      <c r="B71" s="416" t="s">
        <v>5865</v>
      </c>
      <c r="C71" s="417">
        <v>331901302010000</v>
      </c>
      <c r="D71" s="418" t="s">
        <v>2261</v>
      </c>
      <c r="E71" s="419">
        <v>1</v>
      </c>
      <c r="F71" s="419">
        <v>0</v>
      </c>
      <c r="G71" s="431">
        <v>312219900000000</v>
      </c>
      <c r="H71" s="421" t="s">
        <v>5994</v>
      </c>
      <c r="I71" s="420">
        <v>0</v>
      </c>
      <c r="J71" s="456">
        <f t="shared" si="1"/>
        <v>0</v>
      </c>
    </row>
    <row r="72" spans="1:10" s="274" customFormat="1" ht="15" customHeight="1" x14ac:dyDescent="0.25">
      <c r="A72" s="397"/>
      <c r="B72" s="416" t="s">
        <v>5866</v>
      </c>
      <c r="C72" s="417">
        <v>331901302010000</v>
      </c>
      <c r="D72" s="418" t="s">
        <v>2259</v>
      </c>
      <c r="E72" s="419">
        <v>1</v>
      </c>
      <c r="F72" s="419">
        <v>0</v>
      </c>
      <c r="G72" s="431">
        <v>312219900000000</v>
      </c>
      <c r="H72" s="517" t="s">
        <v>5995</v>
      </c>
      <c r="I72" s="420">
        <v>0</v>
      </c>
      <c r="J72" s="456">
        <f t="shared" si="1"/>
        <v>0</v>
      </c>
    </row>
    <row r="73" spans="1:10" s="274" customFormat="1" ht="15" customHeight="1" x14ac:dyDescent="0.25">
      <c r="A73" s="397"/>
      <c r="B73" s="416" t="s">
        <v>5867</v>
      </c>
      <c r="C73" s="417">
        <v>331901302010000</v>
      </c>
      <c r="D73" s="418" t="s">
        <v>2260</v>
      </c>
      <c r="E73" s="419">
        <v>1</v>
      </c>
      <c r="F73" s="419">
        <v>0</v>
      </c>
      <c r="G73" s="431">
        <v>312219900000000</v>
      </c>
      <c r="H73" s="517" t="s">
        <v>5996</v>
      </c>
      <c r="I73" s="420">
        <v>0</v>
      </c>
      <c r="J73" s="456">
        <f t="shared" ref="J73:J101" si="2">I73/I$183</f>
        <v>0</v>
      </c>
    </row>
    <row r="74" spans="1:10" s="274" customFormat="1" ht="15" customHeight="1" x14ac:dyDescent="0.25">
      <c r="A74" s="397"/>
      <c r="B74" s="1385" t="s">
        <v>2294</v>
      </c>
      <c r="C74" s="1385"/>
      <c r="D74" s="1385"/>
      <c r="E74" s="401">
        <v>1</v>
      </c>
      <c r="F74" s="401">
        <v>0</v>
      </c>
      <c r="G74" s="426"/>
      <c r="H74" s="411">
        <v>0</v>
      </c>
      <c r="I74" s="402">
        <f>I75</f>
        <v>3285.8480930302289</v>
      </c>
      <c r="J74" s="451">
        <f t="shared" si="2"/>
        <v>4.5179717921740485E-3</v>
      </c>
    </row>
    <row r="75" spans="1:10" s="274" customFormat="1" ht="15" customHeight="1" x14ac:dyDescent="0.25">
      <c r="A75" s="397"/>
      <c r="B75" s="1386" t="s">
        <v>5737</v>
      </c>
      <c r="C75" s="1386"/>
      <c r="D75" s="1386"/>
      <c r="E75" s="403">
        <v>1</v>
      </c>
      <c r="F75" s="403">
        <v>0</v>
      </c>
      <c r="G75" s="427"/>
      <c r="H75" s="412">
        <v>0</v>
      </c>
      <c r="I75" s="404">
        <f>I76</f>
        <v>3285.8480930302289</v>
      </c>
      <c r="J75" s="452">
        <f t="shared" si="2"/>
        <v>4.5179717921740485E-3</v>
      </c>
    </row>
    <row r="76" spans="1:10" s="274" customFormat="1" ht="15" customHeight="1" x14ac:dyDescent="0.25">
      <c r="A76" s="397"/>
      <c r="B76" s="1382" t="s">
        <v>2277</v>
      </c>
      <c r="C76" s="1382"/>
      <c r="D76" s="1382"/>
      <c r="E76" s="405">
        <v>1</v>
      </c>
      <c r="F76" s="405">
        <v>0</v>
      </c>
      <c r="G76" s="428"/>
      <c r="H76" s="413">
        <v>0</v>
      </c>
      <c r="I76" s="406">
        <f>I77</f>
        <v>3285.8480930302289</v>
      </c>
      <c r="J76" s="453">
        <f t="shared" si="2"/>
        <v>4.5179717921740485E-3</v>
      </c>
    </row>
    <row r="77" spans="1:10" s="274" customFormat="1" ht="15" customHeight="1" x14ac:dyDescent="0.25">
      <c r="A77" s="397"/>
      <c r="B77" s="1383" t="s">
        <v>2278</v>
      </c>
      <c r="C77" s="1383"/>
      <c r="D77" s="1383"/>
      <c r="E77" s="407">
        <v>1</v>
      </c>
      <c r="F77" s="407">
        <v>0</v>
      </c>
      <c r="G77" s="429"/>
      <c r="H77" s="414">
        <v>0</v>
      </c>
      <c r="I77" s="408">
        <f>I78</f>
        <v>3285.8480930302289</v>
      </c>
      <c r="J77" s="454">
        <f t="shared" si="2"/>
        <v>4.5179717921740485E-3</v>
      </c>
    </row>
    <row r="78" spans="1:10" s="115" customFormat="1" ht="15" customHeight="1" x14ac:dyDescent="0.25">
      <c r="A78" s="396"/>
      <c r="B78" s="1093" t="s">
        <v>5874</v>
      </c>
      <c r="C78" s="1081">
        <v>333903900000000</v>
      </c>
      <c r="D78" s="1082" t="s">
        <v>2262</v>
      </c>
      <c r="E78" s="1076">
        <v>1</v>
      </c>
      <c r="F78" s="1076">
        <v>0</v>
      </c>
      <c r="G78" s="1077"/>
      <c r="H78" s="1078" t="s">
        <v>5722</v>
      </c>
      <c r="I78" s="1079">
        <f>'Parâmetros financeiros Despesa'!F56*((1+'Parâmetros financeiros Despesa'!F4)*(1+'Parâmetros financeiros Despesa'!F7)*(1+'Parâmetros financeiros Despesa'!F10))</f>
        <v>3285.8480930302289</v>
      </c>
      <c r="J78" s="1080">
        <f t="shared" si="2"/>
        <v>4.5179717921740485E-3</v>
      </c>
    </row>
    <row r="79" spans="1:10" s="446" customFormat="1" ht="15" customHeight="1" x14ac:dyDescent="0.25">
      <c r="A79" s="397"/>
      <c r="B79" s="416" t="s">
        <v>5875</v>
      </c>
      <c r="C79" s="417">
        <v>333903948000000</v>
      </c>
      <c r="D79" s="418" t="s">
        <v>6501</v>
      </c>
      <c r="E79" s="419">
        <v>1</v>
      </c>
      <c r="F79" s="419">
        <v>0</v>
      </c>
      <c r="G79" s="431">
        <v>332313000000000</v>
      </c>
      <c r="H79" s="421" t="s">
        <v>5863</v>
      </c>
      <c r="I79" s="420">
        <v>0</v>
      </c>
      <c r="J79" s="456">
        <f t="shared" si="2"/>
        <v>0</v>
      </c>
    </row>
    <row r="80" spans="1:10" s="274" customFormat="1" ht="15" customHeight="1" x14ac:dyDescent="0.25">
      <c r="A80" s="397"/>
      <c r="B80" s="515" t="s">
        <v>6498</v>
      </c>
      <c r="C80" s="417">
        <v>333903948000000</v>
      </c>
      <c r="D80" s="418" t="s">
        <v>6502</v>
      </c>
      <c r="E80" s="419">
        <v>1</v>
      </c>
      <c r="F80" s="419">
        <v>0</v>
      </c>
      <c r="G80" s="431">
        <v>332313000000000</v>
      </c>
      <c r="H80" s="517" t="s">
        <v>6505</v>
      </c>
      <c r="I80" s="420">
        <v>0</v>
      </c>
      <c r="J80" s="456">
        <f t="shared" si="2"/>
        <v>0</v>
      </c>
    </row>
    <row r="81" spans="1:10" s="274" customFormat="1" ht="15" customHeight="1" x14ac:dyDescent="0.25">
      <c r="A81" s="397"/>
      <c r="B81" s="515" t="s">
        <v>6499</v>
      </c>
      <c r="C81" s="417">
        <v>333903948000000</v>
      </c>
      <c r="D81" s="418" t="s">
        <v>6503</v>
      </c>
      <c r="E81" s="419">
        <v>1</v>
      </c>
      <c r="F81" s="419">
        <v>0</v>
      </c>
      <c r="G81" s="431">
        <v>332313000000000</v>
      </c>
      <c r="H81" s="517" t="s">
        <v>6506</v>
      </c>
      <c r="I81" s="420">
        <v>0</v>
      </c>
      <c r="J81" s="456">
        <f t="shared" si="2"/>
        <v>0</v>
      </c>
    </row>
    <row r="82" spans="1:10" s="274" customFormat="1" ht="15" customHeight="1" x14ac:dyDescent="0.25">
      <c r="A82" s="397"/>
      <c r="B82" s="515" t="s">
        <v>6500</v>
      </c>
      <c r="C82" s="417">
        <v>333903948000000</v>
      </c>
      <c r="D82" s="418" t="s">
        <v>6504</v>
      </c>
      <c r="E82" s="419">
        <v>1</v>
      </c>
      <c r="F82" s="419">
        <v>0</v>
      </c>
      <c r="G82" s="431">
        <v>332313000000000</v>
      </c>
      <c r="H82" s="517" t="s">
        <v>6507</v>
      </c>
      <c r="I82" s="420">
        <v>0</v>
      </c>
      <c r="J82" s="456">
        <f t="shared" si="2"/>
        <v>0</v>
      </c>
    </row>
    <row r="83" spans="1:10" s="274" customFormat="1" ht="15" customHeight="1" x14ac:dyDescent="0.25">
      <c r="A83" s="397"/>
      <c r="B83" s="1385" t="s">
        <v>2294</v>
      </c>
      <c r="C83" s="1385"/>
      <c r="D83" s="1385"/>
      <c r="E83" s="401">
        <v>1</v>
      </c>
      <c r="F83" s="401">
        <v>0</v>
      </c>
      <c r="G83" s="426"/>
      <c r="H83" s="411">
        <v>0</v>
      </c>
      <c r="I83" s="402">
        <f>I84</f>
        <v>81333.324843975803</v>
      </c>
      <c r="J83" s="451">
        <f t="shared" si="2"/>
        <v>0.11183160541969427</v>
      </c>
    </row>
    <row r="84" spans="1:10" s="274" customFormat="1" ht="15" customHeight="1" x14ac:dyDescent="0.25">
      <c r="A84" s="397"/>
      <c r="B84" s="1386" t="s">
        <v>5740</v>
      </c>
      <c r="C84" s="1386"/>
      <c r="D84" s="1386"/>
      <c r="E84" s="403">
        <v>1</v>
      </c>
      <c r="F84" s="403">
        <v>0</v>
      </c>
      <c r="G84" s="427"/>
      <c r="H84" s="412">
        <v>0</v>
      </c>
      <c r="I84" s="404">
        <f>I85</f>
        <v>81333.324843975803</v>
      </c>
      <c r="J84" s="452">
        <f t="shared" si="2"/>
        <v>0.11183160541969427</v>
      </c>
    </row>
    <row r="85" spans="1:10" s="274" customFormat="1" ht="15" customHeight="1" x14ac:dyDescent="0.25">
      <c r="A85" s="397"/>
      <c r="B85" s="1382" t="s">
        <v>2277</v>
      </c>
      <c r="C85" s="1382"/>
      <c r="D85" s="1382"/>
      <c r="E85" s="405">
        <v>1</v>
      </c>
      <c r="F85" s="405">
        <v>0</v>
      </c>
      <c r="G85" s="428"/>
      <c r="H85" s="413">
        <v>0</v>
      </c>
      <c r="I85" s="406">
        <f>I86</f>
        <v>81333.324843975803</v>
      </c>
      <c r="J85" s="453">
        <f t="shared" si="2"/>
        <v>0.11183160541969427</v>
      </c>
    </row>
    <row r="86" spans="1:10" s="274" customFormat="1" ht="15" customHeight="1" x14ac:dyDescent="0.25">
      <c r="A86" s="397"/>
      <c r="B86" s="1383" t="s">
        <v>2278</v>
      </c>
      <c r="C86" s="1383"/>
      <c r="D86" s="1383"/>
      <c r="E86" s="407">
        <v>1</v>
      </c>
      <c r="F86" s="407">
        <v>0</v>
      </c>
      <c r="G86" s="429"/>
      <c r="H86" s="414">
        <v>0</v>
      </c>
      <c r="I86" s="408">
        <f>I87+I92+I109+I114+I116+I120+I142+I145</f>
        <v>81333.324843975803</v>
      </c>
      <c r="J86" s="454">
        <f t="shared" si="2"/>
        <v>0.11183160541969427</v>
      </c>
    </row>
    <row r="87" spans="1:10" s="115" customFormat="1" ht="15" customHeight="1" x14ac:dyDescent="0.25">
      <c r="A87" s="396"/>
      <c r="B87" s="1093" t="s">
        <v>5876</v>
      </c>
      <c r="C87" s="1081">
        <v>333901400000000</v>
      </c>
      <c r="D87" s="1082" t="s">
        <v>1046</v>
      </c>
      <c r="E87" s="1076">
        <v>1</v>
      </c>
      <c r="F87" s="1076">
        <v>0</v>
      </c>
      <c r="G87" s="1077"/>
      <c r="H87" s="1078" t="s">
        <v>5722</v>
      </c>
      <c r="I87" s="1079">
        <f>'Parâmetros financeiros Despesa'!F58*((1+'Parâmetros financeiros Despesa'!F4)*(1+'Parâmetros financeiros Despesa'!F8)*(1+'Parâmetros financeiros Despesa'!F7)*(1+'Parâmetros financeiros Despesa'!F10))</f>
        <v>5744.3144231565611</v>
      </c>
      <c r="J87" s="1080">
        <f t="shared" si="2"/>
        <v>7.8983111192052081E-3</v>
      </c>
    </row>
    <row r="88" spans="1:10" s="274" customFormat="1" ht="15" customHeight="1" x14ac:dyDescent="0.25">
      <c r="A88" s="397"/>
      <c r="B88" s="416" t="s">
        <v>5877</v>
      </c>
      <c r="C88" s="417">
        <v>333901414010000</v>
      </c>
      <c r="D88" s="418" t="s">
        <v>2263</v>
      </c>
      <c r="E88" s="419">
        <v>1</v>
      </c>
      <c r="F88" s="419">
        <v>0</v>
      </c>
      <c r="G88" s="431">
        <v>332110100000000</v>
      </c>
      <c r="H88" s="421" t="s">
        <v>5741</v>
      </c>
      <c r="I88" s="420">
        <v>0</v>
      </c>
      <c r="J88" s="456">
        <f t="shared" si="2"/>
        <v>0</v>
      </c>
    </row>
    <row r="89" spans="1:10" s="274" customFormat="1" ht="15" customHeight="1" x14ac:dyDescent="0.25">
      <c r="A89" s="397"/>
      <c r="B89" s="526" t="s">
        <v>5878</v>
      </c>
      <c r="C89" s="417">
        <v>333901414020000</v>
      </c>
      <c r="D89" s="418" t="s">
        <v>2156</v>
      </c>
      <c r="E89" s="419">
        <v>1</v>
      </c>
      <c r="F89" s="419">
        <v>0</v>
      </c>
      <c r="G89" s="431">
        <v>332110100000000</v>
      </c>
      <c r="H89" s="421" t="s">
        <v>5743</v>
      </c>
      <c r="I89" s="420">
        <v>0</v>
      </c>
      <c r="J89" s="456">
        <f t="shared" si="2"/>
        <v>0</v>
      </c>
    </row>
    <row r="90" spans="1:10" s="274" customFormat="1" ht="15" customHeight="1" x14ac:dyDescent="0.25">
      <c r="A90" s="397"/>
      <c r="B90" s="526" t="s">
        <v>5879</v>
      </c>
      <c r="C90" s="417">
        <v>333901414030000</v>
      </c>
      <c r="D90" s="418" t="s">
        <v>2157</v>
      </c>
      <c r="E90" s="419">
        <v>1</v>
      </c>
      <c r="F90" s="419">
        <v>0</v>
      </c>
      <c r="G90" s="431">
        <v>332110100000000</v>
      </c>
      <c r="H90" s="421" t="s">
        <v>5742</v>
      </c>
      <c r="I90" s="420">
        <v>0</v>
      </c>
      <c r="J90" s="456">
        <f t="shared" si="2"/>
        <v>0</v>
      </c>
    </row>
    <row r="91" spans="1:10" s="274" customFormat="1" ht="15" customHeight="1" x14ac:dyDescent="0.25">
      <c r="A91" s="397"/>
      <c r="B91" s="526" t="s">
        <v>6508</v>
      </c>
      <c r="C91" s="417">
        <v>333901414040000</v>
      </c>
      <c r="D91" s="418" t="s">
        <v>5744</v>
      </c>
      <c r="E91" s="419">
        <v>1</v>
      </c>
      <c r="F91" s="419">
        <v>0</v>
      </c>
      <c r="G91" s="431">
        <v>332110100000000</v>
      </c>
      <c r="H91" s="421" t="s">
        <v>5745</v>
      </c>
      <c r="I91" s="420">
        <v>0</v>
      </c>
      <c r="J91" s="456">
        <f t="shared" si="2"/>
        <v>0</v>
      </c>
    </row>
    <row r="92" spans="1:10" s="115" customFormat="1" ht="15" customHeight="1" x14ac:dyDescent="0.25">
      <c r="A92" s="396"/>
      <c r="B92" s="1093" t="s">
        <v>5881</v>
      </c>
      <c r="C92" s="1081">
        <v>333903000000000</v>
      </c>
      <c r="D92" s="1082" t="s">
        <v>996</v>
      </c>
      <c r="E92" s="1076">
        <v>1</v>
      </c>
      <c r="F92" s="1076">
        <v>0</v>
      </c>
      <c r="G92" s="1077"/>
      <c r="H92" s="1078" t="s">
        <v>5722</v>
      </c>
      <c r="I92" s="1079">
        <f>('Parâmetros financeiros Despesa'!F59+'Parâmetros financeiros Despesa'!F60)*((1+'Parâmetros financeiros Despesa'!F4)*(1+'Parâmetros financeiros Despesa'!F7)*(1+'Parâmetros financeiros Despesa'!F10))</f>
        <v>8446.0452519744358</v>
      </c>
      <c r="J92" s="1080">
        <f t="shared" si="2"/>
        <v>1.1613133998734433E-2</v>
      </c>
    </row>
    <row r="93" spans="1:10" s="274" customFormat="1" ht="15" customHeight="1" x14ac:dyDescent="0.25">
      <c r="A93" s="397"/>
      <c r="B93" s="416" t="s">
        <v>5882</v>
      </c>
      <c r="C93" s="417">
        <v>333903004000000</v>
      </c>
      <c r="D93" s="418" t="s">
        <v>2164</v>
      </c>
      <c r="E93" s="419">
        <v>1</v>
      </c>
      <c r="F93" s="419">
        <v>0</v>
      </c>
      <c r="G93" s="431">
        <v>331110300000000</v>
      </c>
      <c r="H93" s="421" t="s">
        <v>5748</v>
      </c>
      <c r="I93" s="420">
        <v>0</v>
      </c>
      <c r="J93" s="456">
        <f t="shared" si="2"/>
        <v>0</v>
      </c>
    </row>
    <row r="94" spans="1:10" s="274" customFormat="1" ht="15" customHeight="1" x14ac:dyDescent="0.25">
      <c r="A94" s="397"/>
      <c r="B94" s="526" t="s">
        <v>5883</v>
      </c>
      <c r="C94" s="417">
        <v>333903004000000</v>
      </c>
      <c r="D94" s="418" t="s">
        <v>5747</v>
      </c>
      <c r="E94" s="419">
        <v>1</v>
      </c>
      <c r="F94" s="419">
        <v>0</v>
      </c>
      <c r="G94" s="431">
        <v>510</v>
      </c>
      <c r="H94" s="421" t="s">
        <v>5748</v>
      </c>
      <c r="I94" s="420">
        <v>0</v>
      </c>
      <c r="J94" s="456">
        <f t="shared" si="2"/>
        <v>0</v>
      </c>
    </row>
    <row r="95" spans="1:10" s="274" customFormat="1" ht="15" customHeight="1" x14ac:dyDescent="0.25">
      <c r="A95" s="397"/>
      <c r="B95" s="526" t="s">
        <v>5884</v>
      </c>
      <c r="C95" s="417">
        <v>333903007000000</v>
      </c>
      <c r="D95" s="418" t="s">
        <v>2267</v>
      </c>
      <c r="E95" s="419">
        <v>1</v>
      </c>
      <c r="F95" s="419">
        <v>0</v>
      </c>
      <c r="G95" s="431">
        <v>331110600000000</v>
      </c>
      <c r="H95" s="421" t="s">
        <v>5750</v>
      </c>
      <c r="I95" s="420">
        <v>0</v>
      </c>
      <c r="J95" s="456">
        <f t="shared" si="2"/>
        <v>0</v>
      </c>
    </row>
    <row r="96" spans="1:10" s="274" customFormat="1" ht="15" customHeight="1" x14ac:dyDescent="0.25">
      <c r="A96" s="397"/>
      <c r="B96" s="526" t="s">
        <v>5885</v>
      </c>
      <c r="C96" s="417">
        <v>333903007000000</v>
      </c>
      <c r="D96" s="418" t="s">
        <v>5749</v>
      </c>
      <c r="E96" s="419">
        <v>1</v>
      </c>
      <c r="F96" s="419">
        <v>0</v>
      </c>
      <c r="G96" s="431">
        <v>99</v>
      </c>
      <c r="H96" s="421" t="s">
        <v>5750</v>
      </c>
      <c r="I96" s="420">
        <v>0</v>
      </c>
      <c r="J96" s="456">
        <f t="shared" si="2"/>
        <v>0</v>
      </c>
    </row>
    <row r="97" spans="1:10" s="274" customFormat="1" ht="15" customHeight="1" x14ac:dyDescent="0.25">
      <c r="A97" s="397"/>
      <c r="B97" s="526" t="s">
        <v>5886</v>
      </c>
      <c r="C97" s="417">
        <v>333903016000000</v>
      </c>
      <c r="D97" s="418" t="s">
        <v>2264</v>
      </c>
      <c r="E97" s="419">
        <v>1</v>
      </c>
      <c r="F97" s="419">
        <v>0</v>
      </c>
      <c r="G97" s="431">
        <v>331111600000000</v>
      </c>
      <c r="H97" s="421" t="s">
        <v>5752</v>
      </c>
      <c r="I97" s="420">
        <v>0</v>
      </c>
      <c r="J97" s="456">
        <f t="shared" si="2"/>
        <v>0</v>
      </c>
    </row>
    <row r="98" spans="1:10" s="274" customFormat="1" ht="15" customHeight="1" x14ac:dyDescent="0.25">
      <c r="A98" s="397"/>
      <c r="B98" s="526" t="s">
        <v>5887</v>
      </c>
      <c r="C98" s="417">
        <v>333903016000000</v>
      </c>
      <c r="D98" s="418" t="s">
        <v>5751</v>
      </c>
      <c r="E98" s="419">
        <v>1</v>
      </c>
      <c r="F98" s="419">
        <v>0</v>
      </c>
      <c r="G98" s="431">
        <v>575</v>
      </c>
      <c r="H98" s="421" t="s">
        <v>5752</v>
      </c>
      <c r="I98" s="420">
        <v>0</v>
      </c>
      <c r="J98" s="456">
        <f t="shared" si="2"/>
        <v>0</v>
      </c>
    </row>
    <row r="99" spans="1:10" s="274" customFormat="1" ht="15" customHeight="1" x14ac:dyDescent="0.25">
      <c r="A99" s="397"/>
      <c r="B99" s="526" t="s">
        <v>5889</v>
      </c>
      <c r="C99" s="417">
        <v>333903017000000</v>
      </c>
      <c r="D99" s="418" t="s">
        <v>6509</v>
      </c>
      <c r="E99" s="419">
        <v>1</v>
      </c>
      <c r="F99" s="419">
        <v>0</v>
      </c>
      <c r="G99" s="431">
        <v>331111700000000</v>
      </c>
      <c r="H99" s="421" t="s">
        <v>5755</v>
      </c>
      <c r="I99" s="420">
        <v>0</v>
      </c>
      <c r="J99" s="456">
        <f t="shared" si="2"/>
        <v>0</v>
      </c>
    </row>
    <row r="100" spans="1:10" s="274" customFormat="1" ht="15" customHeight="1" x14ac:dyDescent="0.25">
      <c r="A100" s="397"/>
      <c r="B100" s="526" t="s">
        <v>5890</v>
      </c>
      <c r="C100" s="417">
        <v>333903017000000</v>
      </c>
      <c r="D100" s="418" t="s">
        <v>6510</v>
      </c>
      <c r="E100" s="419">
        <v>1</v>
      </c>
      <c r="F100" s="419">
        <v>0</v>
      </c>
      <c r="G100" s="431">
        <v>619</v>
      </c>
      <c r="H100" s="421" t="s">
        <v>5755</v>
      </c>
      <c r="I100" s="420">
        <v>0</v>
      </c>
      <c r="J100" s="456">
        <f t="shared" si="2"/>
        <v>0</v>
      </c>
    </row>
    <row r="101" spans="1:10" s="274" customFormat="1" ht="15" customHeight="1" x14ac:dyDescent="0.25">
      <c r="A101" s="397"/>
      <c r="B101" s="526" t="s">
        <v>5891</v>
      </c>
      <c r="C101" s="417">
        <v>333903021000000</v>
      </c>
      <c r="D101" s="418" t="s">
        <v>5868</v>
      </c>
      <c r="E101" s="419">
        <v>1</v>
      </c>
      <c r="F101" s="419">
        <v>0</v>
      </c>
      <c r="G101" s="431">
        <v>331112100000000</v>
      </c>
      <c r="H101" s="525" t="s">
        <v>6511</v>
      </c>
      <c r="I101" s="420">
        <v>0</v>
      </c>
      <c r="J101" s="456">
        <f t="shared" si="2"/>
        <v>0</v>
      </c>
    </row>
    <row r="102" spans="1:10" s="274" customFormat="1" ht="15" customHeight="1" x14ac:dyDescent="0.25">
      <c r="A102" s="397"/>
      <c r="B102" s="526" t="s">
        <v>5892</v>
      </c>
      <c r="C102" s="417">
        <v>333903021000000</v>
      </c>
      <c r="D102" s="418" t="s">
        <v>5869</v>
      </c>
      <c r="E102" s="419">
        <v>1</v>
      </c>
      <c r="F102" s="419">
        <v>0</v>
      </c>
      <c r="G102" s="431">
        <v>510</v>
      </c>
      <c r="H102" s="525" t="s">
        <v>6511</v>
      </c>
      <c r="I102" s="420">
        <v>0</v>
      </c>
      <c r="J102" s="456">
        <f t="shared" ref="J102:J131" si="3">I102/I$183</f>
        <v>0</v>
      </c>
    </row>
    <row r="103" spans="1:10" s="274" customFormat="1" ht="15" customHeight="1" x14ac:dyDescent="0.25">
      <c r="A103" s="397"/>
      <c r="B103" s="526" t="s">
        <v>5893</v>
      </c>
      <c r="C103" s="417">
        <v>333903022000000</v>
      </c>
      <c r="D103" s="418" t="s">
        <v>6512</v>
      </c>
      <c r="E103" s="419">
        <v>1</v>
      </c>
      <c r="F103" s="419">
        <v>0</v>
      </c>
      <c r="G103" s="431">
        <v>331112200000000</v>
      </c>
      <c r="H103" s="525" t="s">
        <v>6514</v>
      </c>
      <c r="I103" s="420">
        <v>0</v>
      </c>
      <c r="J103" s="456">
        <f t="shared" si="3"/>
        <v>0</v>
      </c>
    </row>
    <row r="104" spans="1:10" s="274" customFormat="1" ht="15" customHeight="1" x14ac:dyDescent="0.25">
      <c r="A104" s="397"/>
      <c r="B104" s="526" t="s">
        <v>5894</v>
      </c>
      <c r="C104" s="417">
        <v>333903022000000</v>
      </c>
      <c r="D104" s="418" t="s">
        <v>6513</v>
      </c>
      <c r="E104" s="419">
        <v>1</v>
      </c>
      <c r="F104" s="419">
        <v>0</v>
      </c>
      <c r="G104" s="431">
        <v>510</v>
      </c>
      <c r="H104" s="525" t="s">
        <v>6514</v>
      </c>
      <c r="I104" s="420">
        <v>0</v>
      </c>
      <c r="J104" s="456">
        <f t="shared" si="3"/>
        <v>0</v>
      </c>
    </row>
    <row r="105" spans="1:10" s="274" customFormat="1" ht="15" customHeight="1" x14ac:dyDescent="0.25">
      <c r="A105" s="397"/>
      <c r="B105" s="526" t="s">
        <v>5896</v>
      </c>
      <c r="C105" s="417">
        <v>333903024000000</v>
      </c>
      <c r="D105" s="418" t="s">
        <v>5760</v>
      </c>
      <c r="E105" s="419">
        <v>1</v>
      </c>
      <c r="F105" s="419">
        <v>0</v>
      </c>
      <c r="G105" s="431">
        <v>331112400000000</v>
      </c>
      <c r="H105" s="421" t="s">
        <v>5761</v>
      </c>
      <c r="I105" s="420">
        <v>0</v>
      </c>
      <c r="J105" s="456">
        <f t="shared" si="3"/>
        <v>0</v>
      </c>
    </row>
    <row r="106" spans="1:10" s="274" customFormat="1" ht="15" customHeight="1" x14ac:dyDescent="0.25">
      <c r="A106" s="397"/>
      <c r="B106" s="526" t="s">
        <v>5898</v>
      </c>
      <c r="C106" s="417">
        <v>333903024000000</v>
      </c>
      <c r="D106" s="418" t="s">
        <v>5759</v>
      </c>
      <c r="E106" s="419">
        <v>1</v>
      </c>
      <c r="F106" s="419">
        <v>0</v>
      </c>
      <c r="G106" s="431">
        <v>500</v>
      </c>
      <c r="H106" s="421" t="s">
        <v>5761</v>
      </c>
      <c r="I106" s="420">
        <v>0</v>
      </c>
      <c r="J106" s="456">
        <f t="shared" si="3"/>
        <v>0</v>
      </c>
    </row>
    <row r="107" spans="1:10" s="274" customFormat="1" ht="15" customHeight="1" x14ac:dyDescent="0.25">
      <c r="A107" s="397"/>
      <c r="B107" s="526" t="s">
        <v>5899</v>
      </c>
      <c r="C107" s="417">
        <v>333903099000000</v>
      </c>
      <c r="D107" s="418" t="s">
        <v>5762</v>
      </c>
      <c r="E107" s="419">
        <v>1</v>
      </c>
      <c r="F107" s="419">
        <v>0</v>
      </c>
      <c r="G107" s="431">
        <v>331119900000000</v>
      </c>
      <c r="H107" s="421" t="s">
        <v>5756</v>
      </c>
      <c r="I107" s="420">
        <v>0</v>
      </c>
      <c r="J107" s="456">
        <f t="shared" si="3"/>
        <v>0</v>
      </c>
    </row>
    <row r="108" spans="1:10" s="274" customFormat="1" ht="15" customHeight="1" x14ac:dyDescent="0.25">
      <c r="A108" s="397"/>
      <c r="B108" s="526" t="s">
        <v>5900</v>
      </c>
      <c r="C108" s="417">
        <v>333903099000000</v>
      </c>
      <c r="D108" s="418" t="s">
        <v>5763</v>
      </c>
      <c r="E108" s="419">
        <v>1</v>
      </c>
      <c r="F108" s="419">
        <v>0</v>
      </c>
      <c r="G108" s="431">
        <v>625</v>
      </c>
      <c r="H108" s="421" t="s">
        <v>5756</v>
      </c>
      <c r="I108" s="420">
        <v>0</v>
      </c>
      <c r="J108" s="456">
        <f t="shared" si="3"/>
        <v>0</v>
      </c>
    </row>
    <row r="109" spans="1:10" s="115" customFormat="1" ht="15" customHeight="1" x14ac:dyDescent="0.25">
      <c r="A109" s="396"/>
      <c r="B109" s="1093" t="s">
        <v>5901</v>
      </c>
      <c r="C109" s="1081">
        <v>333903300000000</v>
      </c>
      <c r="D109" s="1082" t="s">
        <v>5872</v>
      </c>
      <c r="E109" s="1076">
        <v>1</v>
      </c>
      <c r="F109" s="1076">
        <v>0</v>
      </c>
      <c r="G109" s="1077"/>
      <c r="H109" s="1078" t="s">
        <v>5722</v>
      </c>
      <c r="I109" s="1079">
        <f>'Parâmetros financeiros Despesa'!F63*((1+'Parâmetros financeiros Despesa'!F4)*(1+'Parâmetros financeiros Despesa'!F7)*(1+'Parâmetros financeiros Despesa'!F10))</f>
        <v>1642.9240465151145</v>
      </c>
      <c r="J109" s="1080">
        <f t="shared" si="3"/>
        <v>2.2589858960870243E-3</v>
      </c>
    </row>
    <row r="110" spans="1:10" s="527" customFormat="1" ht="15" customHeight="1" x14ac:dyDescent="0.25">
      <c r="A110" s="397"/>
      <c r="B110" s="526" t="s">
        <v>5902</v>
      </c>
      <c r="C110" s="417">
        <v>333903301000000</v>
      </c>
      <c r="D110" s="418" t="s">
        <v>6518</v>
      </c>
      <c r="E110" s="521">
        <v>1</v>
      </c>
      <c r="F110" s="521">
        <v>0</v>
      </c>
      <c r="G110" s="522">
        <v>332315600000000</v>
      </c>
      <c r="H110" s="525" t="s">
        <v>5775</v>
      </c>
      <c r="I110" s="523">
        <v>0</v>
      </c>
      <c r="J110" s="524">
        <f t="shared" si="3"/>
        <v>0</v>
      </c>
    </row>
    <row r="111" spans="1:10" s="527" customFormat="1" ht="15" customHeight="1" x14ac:dyDescent="0.25">
      <c r="A111" s="397"/>
      <c r="B111" s="526" t="s">
        <v>5903</v>
      </c>
      <c r="C111" s="417">
        <v>333903301000000</v>
      </c>
      <c r="D111" s="418" t="s">
        <v>6519</v>
      </c>
      <c r="E111" s="521">
        <v>1</v>
      </c>
      <c r="F111" s="521">
        <v>0</v>
      </c>
      <c r="G111" s="522">
        <v>332315600000000</v>
      </c>
      <c r="H111" s="525" t="s">
        <v>5776</v>
      </c>
      <c r="I111" s="523">
        <v>0</v>
      </c>
      <c r="J111" s="524">
        <f t="shared" si="3"/>
        <v>0</v>
      </c>
    </row>
    <row r="112" spans="1:10" s="433" customFormat="1" ht="15" customHeight="1" x14ac:dyDescent="0.25">
      <c r="A112" s="397"/>
      <c r="B112" s="526" t="s">
        <v>6515</v>
      </c>
      <c r="C112" s="417">
        <v>333903305000000</v>
      </c>
      <c r="D112" s="418" t="s">
        <v>6521</v>
      </c>
      <c r="E112" s="419">
        <v>1</v>
      </c>
      <c r="F112" s="419">
        <v>0</v>
      </c>
      <c r="G112" s="431">
        <v>332315600000000</v>
      </c>
      <c r="H112" s="421" t="s">
        <v>5775</v>
      </c>
      <c r="I112" s="420">
        <v>0</v>
      </c>
      <c r="J112" s="456">
        <f t="shared" si="3"/>
        <v>0</v>
      </c>
    </row>
    <row r="113" spans="1:10" s="433" customFormat="1" ht="15" customHeight="1" x14ac:dyDescent="0.25">
      <c r="A113" s="397"/>
      <c r="B113" s="526" t="s">
        <v>6516</v>
      </c>
      <c r="C113" s="417">
        <v>333903305000000</v>
      </c>
      <c r="D113" s="418" t="s">
        <v>6522</v>
      </c>
      <c r="E113" s="419">
        <v>1</v>
      </c>
      <c r="F113" s="419">
        <v>0</v>
      </c>
      <c r="G113" s="431">
        <v>332315600000000</v>
      </c>
      <c r="H113" s="421" t="s">
        <v>5776</v>
      </c>
      <c r="I113" s="420">
        <v>0</v>
      </c>
      <c r="J113" s="456">
        <f t="shared" si="3"/>
        <v>0</v>
      </c>
    </row>
    <row r="114" spans="1:10" s="115" customFormat="1" ht="15" customHeight="1" x14ac:dyDescent="0.25">
      <c r="A114" s="396"/>
      <c r="B114" s="1093" t="s">
        <v>5906</v>
      </c>
      <c r="C114" s="1081">
        <v>333903500000000</v>
      </c>
      <c r="D114" s="1082" t="s">
        <v>2190</v>
      </c>
      <c r="E114" s="1076">
        <v>1</v>
      </c>
      <c r="F114" s="1076">
        <v>0</v>
      </c>
      <c r="G114" s="1077"/>
      <c r="H114" s="1078" t="s">
        <v>5722</v>
      </c>
      <c r="I114" s="1079">
        <f>'Parâmetros financeiros Despesa'!F64*((1+'Parâmetros financeiros Despesa'!F4)*(1+'Parâmetros financeiros Despesa'!F7)*(1+'Parâmetros financeiros Despesa'!F10))</f>
        <v>3285.8480930302289</v>
      </c>
      <c r="J114" s="1080">
        <f t="shared" si="3"/>
        <v>4.5179717921740485E-3</v>
      </c>
    </row>
    <row r="115" spans="1:10" s="433" customFormat="1" ht="15" customHeight="1" x14ac:dyDescent="0.25">
      <c r="A115" s="397"/>
      <c r="B115" s="416" t="s">
        <v>5907</v>
      </c>
      <c r="C115" s="417">
        <v>333903501000000</v>
      </c>
      <c r="D115" s="418" t="s">
        <v>5873</v>
      </c>
      <c r="E115" s="419">
        <v>1</v>
      </c>
      <c r="F115" s="419">
        <v>0</v>
      </c>
      <c r="G115" s="431">
        <v>332310100000000</v>
      </c>
      <c r="H115" s="421" t="s">
        <v>5781</v>
      </c>
      <c r="I115" s="420">
        <v>0</v>
      </c>
      <c r="J115" s="456">
        <f t="shared" si="3"/>
        <v>0</v>
      </c>
    </row>
    <row r="116" spans="1:10" s="115" customFormat="1" ht="15" customHeight="1" x14ac:dyDescent="0.25">
      <c r="A116" s="396"/>
      <c r="B116" s="1093" t="s">
        <v>5908</v>
      </c>
      <c r="C116" s="1081">
        <v>333903600000000</v>
      </c>
      <c r="D116" s="1082" t="s">
        <v>993</v>
      </c>
      <c r="E116" s="1076">
        <v>1</v>
      </c>
      <c r="F116" s="1076">
        <v>0</v>
      </c>
      <c r="G116" s="1077"/>
      <c r="H116" s="1078" t="s">
        <v>5722</v>
      </c>
      <c r="I116" s="1079">
        <f>('Parâmetros financeiros Despesa'!F65)*((1+'Parâmetros financeiros Despesa'!F4)*(1+'Parâmetros financeiros Despesa'!F7)*(1+'Parâmetros financeiros Despesa'!F10))</f>
        <v>5626.7410386398478</v>
      </c>
      <c r="J116" s="1080">
        <f t="shared" si="3"/>
        <v>7.73665019644871E-3</v>
      </c>
    </row>
    <row r="117" spans="1:10" s="446" customFormat="1" ht="15" customHeight="1" x14ac:dyDescent="0.25">
      <c r="A117" s="397"/>
      <c r="B117" s="416" t="s">
        <v>5909</v>
      </c>
      <c r="C117" s="417">
        <v>333903606000000</v>
      </c>
      <c r="D117" s="418" t="s">
        <v>1151</v>
      </c>
      <c r="E117" s="419">
        <v>1</v>
      </c>
      <c r="F117" s="419">
        <v>0</v>
      </c>
      <c r="G117" s="431">
        <v>332211500000000</v>
      </c>
      <c r="H117" s="421" t="s">
        <v>5784</v>
      </c>
      <c r="I117" s="420">
        <v>0</v>
      </c>
      <c r="J117" s="456">
        <f t="shared" si="3"/>
        <v>0</v>
      </c>
    </row>
    <row r="118" spans="1:10" s="446" customFormat="1" ht="15" customHeight="1" x14ac:dyDescent="0.25">
      <c r="A118" s="397"/>
      <c r="B118" s="416" t="s">
        <v>6523</v>
      </c>
      <c r="C118" s="417">
        <v>333903625000000</v>
      </c>
      <c r="D118" s="418" t="s">
        <v>5880</v>
      </c>
      <c r="E118" s="419">
        <v>1</v>
      </c>
      <c r="F118" s="419">
        <v>0</v>
      </c>
      <c r="G118" s="431">
        <v>332210800000000</v>
      </c>
      <c r="H118" s="421" t="s">
        <v>5784</v>
      </c>
      <c r="I118" s="420">
        <v>0</v>
      </c>
      <c r="J118" s="456">
        <f t="shared" si="3"/>
        <v>0</v>
      </c>
    </row>
    <row r="119" spans="1:10" s="433" customFormat="1" ht="15" customHeight="1" x14ac:dyDescent="0.25">
      <c r="A119" s="397"/>
      <c r="B119" s="416" t="s">
        <v>6524</v>
      </c>
      <c r="C119" s="417">
        <v>333903699000000</v>
      </c>
      <c r="D119" s="418" t="s">
        <v>2193</v>
      </c>
      <c r="E119" s="419">
        <v>1</v>
      </c>
      <c r="F119" s="419">
        <v>0</v>
      </c>
      <c r="G119" s="431">
        <v>332219900000000</v>
      </c>
      <c r="H119" s="421" t="s">
        <v>5784</v>
      </c>
      <c r="I119" s="420">
        <v>0</v>
      </c>
      <c r="J119" s="456">
        <f t="shared" si="3"/>
        <v>0</v>
      </c>
    </row>
    <row r="120" spans="1:10" s="115" customFormat="1" ht="17.25" customHeight="1" x14ac:dyDescent="0.25">
      <c r="A120" s="396"/>
      <c r="B120" s="1093" t="s">
        <v>6525</v>
      </c>
      <c r="C120" s="1081">
        <v>333903900000000</v>
      </c>
      <c r="D120" s="1082" t="s">
        <v>2268</v>
      </c>
      <c r="E120" s="1076">
        <v>1</v>
      </c>
      <c r="F120" s="1076">
        <v>0</v>
      </c>
      <c r="G120" s="1077"/>
      <c r="H120" s="1078" t="s">
        <v>5722</v>
      </c>
      <c r="I120" s="1079">
        <f>('Parâmetros financeiros Despesa'!F67+'Parâmetros financeiros Despesa'!F68+'Parâmetros financeiros Despesa'!F69)*((1+'Parâmetros financeiros Despesa'!F4)*(1+'Parâmetros financeiros Despesa'!F7)*(1+'Parâmetros financeiros Despesa'!F10))</f>
        <v>41620.742511716227</v>
      </c>
      <c r="J120" s="1080">
        <f t="shared" si="3"/>
        <v>5.7227642700871273E-2</v>
      </c>
    </row>
    <row r="121" spans="1:10" s="433" customFormat="1" ht="15" customHeight="1" x14ac:dyDescent="0.25">
      <c r="A121" s="397"/>
      <c r="B121" s="416" t="s">
        <v>6528</v>
      </c>
      <c r="C121" s="417">
        <v>333903901000000</v>
      </c>
      <c r="D121" s="418" t="s">
        <v>2269</v>
      </c>
      <c r="E121" s="419">
        <v>1</v>
      </c>
      <c r="F121" s="419">
        <v>0</v>
      </c>
      <c r="G121" s="431">
        <v>332311400000000</v>
      </c>
      <c r="H121" s="421" t="s">
        <v>5788</v>
      </c>
      <c r="I121" s="420">
        <v>0</v>
      </c>
      <c r="J121" s="456">
        <f t="shared" si="3"/>
        <v>0</v>
      </c>
    </row>
    <row r="122" spans="1:10" s="433" customFormat="1" ht="15" customHeight="1" x14ac:dyDescent="0.25">
      <c r="A122" s="397"/>
      <c r="B122" s="526" t="s">
        <v>6529</v>
      </c>
      <c r="C122" s="417">
        <v>333903911000000</v>
      </c>
      <c r="D122" s="418" t="s">
        <v>2206</v>
      </c>
      <c r="E122" s="419">
        <v>1</v>
      </c>
      <c r="F122" s="419">
        <v>0</v>
      </c>
      <c r="G122" s="431">
        <v>332311100000000</v>
      </c>
      <c r="H122" s="421" t="s">
        <v>5789</v>
      </c>
      <c r="I122" s="420">
        <v>0</v>
      </c>
      <c r="J122" s="456">
        <f t="shared" si="3"/>
        <v>0</v>
      </c>
    </row>
    <row r="123" spans="1:10" s="433" customFormat="1" ht="15" customHeight="1" x14ac:dyDescent="0.25">
      <c r="A123" s="397"/>
      <c r="B123" s="526" t="s">
        <v>6530</v>
      </c>
      <c r="C123" s="417">
        <v>333903914000000</v>
      </c>
      <c r="D123" s="418" t="s">
        <v>2271</v>
      </c>
      <c r="E123" s="419">
        <v>1</v>
      </c>
      <c r="F123" s="419">
        <v>0</v>
      </c>
      <c r="G123" s="431">
        <v>332311100000000</v>
      </c>
      <c r="H123" s="421" t="s">
        <v>5790</v>
      </c>
      <c r="I123" s="420">
        <v>0</v>
      </c>
      <c r="J123" s="456">
        <f t="shared" si="3"/>
        <v>0</v>
      </c>
    </row>
    <row r="124" spans="1:10" s="433" customFormat="1" ht="15" customHeight="1" x14ac:dyDescent="0.25">
      <c r="A124" s="397"/>
      <c r="B124" s="526" t="s">
        <v>6531</v>
      </c>
      <c r="C124" s="417">
        <v>333903916000000</v>
      </c>
      <c r="D124" s="418" t="s">
        <v>2270</v>
      </c>
      <c r="E124" s="419">
        <v>1</v>
      </c>
      <c r="F124" s="419">
        <v>0</v>
      </c>
      <c r="G124" s="431">
        <v>332310600000000</v>
      </c>
      <c r="H124" s="421" t="s">
        <v>5761</v>
      </c>
      <c r="I124" s="420">
        <v>0</v>
      </c>
      <c r="J124" s="456">
        <f t="shared" si="3"/>
        <v>0</v>
      </c>
    </row>
    <row r="125" spans="1:10" s="433" customFormat="1" ht="15" customHeight="1" x14ac:dyDescent="0.25">
      <c r="A125" s="397"/>
      <c r="B125" s="526" t="s">
        <v>6532</v>
      </c>
      <c r="C125" s="417">
        <v>333903920000000</v>
      </c>
      <c r="D125" s="418" t="s">
        <v>2352</v>
      </c>
      <c r="E125" s="419">
        <v>1</v>
      </c>
      <c r="F125" s="419">
        <v>0</v>
      </c>
      <c r="G125" s="431">
        <v>332310600000000</v>
      </c>
      <c r="H125" s="421" t="s">
        <v>5799</v>
      </c>
      <c r="I125" s="420">
        <v>0</v>
      </c>
      <c r="J125" s="456">
        <f t="shared" si="3"/>
        <v>0</v>
      </c>
    </row>
    <row r="126" spans="1:10" s="433" customFormat="1" ht="15" customHeight="1" x14ac:dyDescent="0.25">
      <c r="A126" s="397"/>
      <c r="B126" s="526" t="s">
        <v>6533</v>
      </c>
      <c r="C126" s="417">
        <v>333903943000000</v>
      </c>
      <c r="D126" s="418" t="s">
        <v>6526</v>
      </c>
      <c r="E126" s="419">
        <v>1</v>
      </c>
      <c r="F126" s="419">
        <v>0</v>
      </c>
      <c r="G126" s="431">
        <v>332310800000000</v>
      </c>
      <c r="H126" s="421" t="s">
        <v>5791</v>
      </c>
      <c r="I126" s="420">
        <v>0</v>
      </c>
      <c r="J126" s="456">
        <f t="shared" si="3"/>
        <v>0</v>
      </c>
    </row>
    <row r="127" spans="1:10" s="433" customFormat="1" ht="15" customHeight="1" x14ac:dyDescent="0.25">
      <c r="A127" s="397"/>
      <c r="B127" s="526" t="s">
        <v>6534</v>
      </c>
      <c r="C127" s="417">
        <v>333903944000000</v>
      </c>
      <c r="D127" s="418" t="s">
        <v>6527</v>
      </c>
      <c r="E127" s="419">
        <v>1</v>
      </c>
      <c r="F127" s="419">
        <v>0</v>
      </c>
      <c r="G127" s="431">
        <v>332310800000000</v>
      </c>
      <c r="H127" s="421" t="s">
        <v>5792</v>
      </c>
      <c r="I127" s="420">
        <v>0</v>
      </c>
      <c r="J127" s="456">
        <f t="shared" si="3"/>
        <v>0</v>
      </c>
    </row>
    <row r="128" spans="1:10" s="433" customFormat="1" ht="15" customHeight="1" x14ac:dyDescent="0.25">
      <c r="A128" s="397"/>
      <c r="B128" s="526" t="s">
        <v>6535</v>
      </c>
      <c r="C128" s="417">
        <v>333903947000000</v>
      </c>
      <c r="D128" s="418" t="s">
        <v>2604</v>
      </c>
      <c r="E128" s="419">
        <v>1</v>
      </c>
      <c r="F128" s="419">
        <v>0</v>
      </c>
      <c r="G128" s="431">
        <v>332310400000000</v>
      </c>
      <c r="H128" s="421" t="s">
        <v>5794</v>
      </c>
      <c r="I128" s="420">
        <v>0</v>
      </c>
      <c r="J128" s="456">
        <f t="shared" si="3"/>
        <v>0</v>
      </c>
    </row>
    <row r="129" spans="1:10" s="433" customFormat="1" ht="15" customHeight="1" x14ac:dyDescent="0.25">
      <c r="A129" s="397"/>
      <c r="B129" s="526" t="s">
        <v>6536</v>
      </c>
      <c r="C129" s="417">
        <v>333903958010000</v>
      </c>
      <c r="D129" s="418" t="s">
        <v>1041</v>
      </c>
      <c r="E129" s="419">
        <v>1</v>
      </c>
      <c r="F129" s="419">
        <v>0</v>
      </c>
      <c r="G129" s="431">
        <v>332310400000000</v>
      </c>
      <c r="H129" s="421" t="s">
        <v>5796</v>
      </c>
      <c r="I129" s="420">
        <v>0</v>
      </c>
      <c r="J129" s="456">
        <f t="shared" si="3"/>
        <v>0</v>
      </c>
    </row>
    <row r="130" spans="1:10" s="433" customFormat="1" ht="15" customHeight="1" x14ac:dyDescent="0.25">
      <c r="A130" s="397"/>
      <c r="B130" s="526" t="s">
        <v>6537</v>
      </c>
      <c r="C130" s="417">
        <v>333903958020000</v>
      </c>
      <c r="D130" s="418" t="s">
        <v>1150</v>
      </c>
      <c r="E130" s="419">
        <v>1</v>
      </c>
      <c r="F130" s="419">
        <v>0</v>
      </c>
      <c r="G130" s="431">
        <v>332310400000000</v>
      </c>
      <c r="H130" s="421" t="s">
        <v>5797</v>
      </c>
      <c r="I130" s="420">
        <v>0</v>
      </c>
      <c r="J130" s="456">
        <f t="shared" si="3"/>
        <v>0</v>
      </c>
    </row>
    <row r="131" spans="1:10" s="433" customFormat="1" ht="15" customHeight="1" x14ac:dyDescent="0.25">
      <c r="A131" s="397"/>
      <c r="B131" s="526" t="s">
        <v>6538</v>
      </c>
      <c r="C131" s="417">
        <v>333903958030000</v>
      </c>
      <c r="D131" s="418" t="s">
        <v>5795</v>
      </c>
      <c r="E131" s="419">
        <v>1</v>
      </c>
      <c r="F131" s="419">
        <v>0</v>
      </c>
      <c r="G131" s="431">
        <v>332310400000000</v>
      </c>
      <c r="H131" s="421" t="s">
        <v>5798</v>
      </c>
      <c r="I131" s="420">
        <v>0</v>
      </c>
      <c r="J131" s="456">
        <f t="shared" si="3"/>
        <v>0</v>
      </c>
    </row>
    <row r="132" spans="1:10" s="433" customFormat="1" ht="15" customHeight="1" x14ac:dyDescent="0.25">
      <c r="A132" s="397"/>
      <c r="B132" s="526" t="s">
        <v>6539</v>
      </c>
      <c r="C132" s="417">
        <v>333903963000000</v>
      </c>
      <c r="D132" s="418" t="s">
        <v>5895</v>
      </c>
      <c r="E132" s="419">
        <v>1</v>
      </c>
      <c r="F132" s="419">
        <v>0</v>
      </c>
      <c r="G132" s="431">
        <v>332314600000000</v>
      </c>
      <c r="H132" s="421" t="s">
        <v>5802</v>
      </c>
      <c r="I132" s="420">
        <v>0</v>
      </c>
      <c r="J132" s="456">
        <f t="shared" ref="J132:J151" si="4">I132/I$183</f>
        <v>0</v>
      </c>
    </row>
    <row r="133" spans="1:10" s="433" customFormat="1" ht="15" customHeight="1" x14ac:dyDescent="0.25">
      <c r="A133" s="397"/>
      <c r="B133" s="526" t="s">
        <v>6540</v>
      </c>
      <c r="C133" s="417">
        <v>333903978000000</v>
      </c>
      <c r="D133" s="418" t="s">
        <v>5897</v>
      </c>
      <c r="E133" s="419">
        <v>1</v>
      </c>
      <c r="F133" s="419">
        <v>0</v>
      </c>
      <c r="G133" s="431">
        <v>332310600000000</v>
      </c>
      <c r="H133" s="421" t="s">
        <v>5761</v>
      </c>
      <c r="I133" s="420">
        <v>0</v>
      </c>
      <c r="J133" s="456">
        <f t="shared" si="4"/>
        <v>0</v>
      </c>
    </row>
    <row r="134" spans="1:10" s="433" customFormat="1" ht="15" customHeight="1" x14ac:dyDescent="0.25">
      <c r="A134" s="397"/>
      <c r="B134" s="526" t="s">
        <v>6541</v>
      </c>
      <c r="C134" s="417">
        <v>333903981000000</v>
      </c>
      <c r="D134" s="418" t="s">
        <v>5803</v>
      </c>
      <c r="E134" s="419">
        <v>1</v>
      </c>
      <c r="F134" s="419">
        <v>0</v>
      </c>
      <c r="G134" s="431">
        <v>332313200000000</v>
      </c>
      <c r="H134" s="421" t="s">
        <v>5804</v>
      </c>
      <c r="I134" s="420">
        <v>0</v>
      </c>
      <c r="J134" s="456">
        <f t="shared" si="4"/>
        <v>0</v>
      </c>
    </row>
    <row r="135" spans="1:10" s="433" customFormat="1" ht="15" customHeight="1" x14ac:dyDescent="0.25">
      <c r="A135" s="397"/>
      <c r="B135" s="526" t="s">
        <v>6542</v>
      </c>
      <c r="C135" s="417">
        <v>333903990000000</v>
      </c>
      <c r="D135" s="418" t="s">
        <v>1098</v>
      </c>
      <c r="E135" s="419">
        <v>1</v>
      </c>
      <c r="F135" s="419">
        <v>0</v>
      </c>
      <c r="G135" s="431">
        <v>332310500000000</v>
      </c>
      <c r="H135" s="421" t="s">
        <v>5806</v>
      </c>
      <c r="I135" s="420">
        <v>0</v>
      </c>
      <c r="J135" s="456">
        <f t="shared" si="4"/>
        <v>0</v>
      </c>
    </row>
    <row r="136" spans="1:10" s="433" customFormat="1" ht="15" customHeight="1" x14ac:dyDescent="0.25">
      <c r="A136" s="397"/>
      <c r="B136" s="526" t="s">
        <v>6543</v>
      </c>
      <c r="C136" s="417">
        <v>333903992000000</v>
      </c>
      <c r="D136" s="418" t="s">
        <v>1097</v>
      </c>
      <c r="E136" s="419">
        <v>1</v>
      </c>
      <c r="F136" s="419">
        <v>0</v>
      </c>
      <c r="G136" s="431">
        <v>332310500000000</v>
      </c>
      <c r="H136" s="421" t="s">
        <v>5808</v>
      </c>
      <c r="I136" s="420">
        <v>0</v>
      </c>
      <c r="J136" s="456">
        <f t="shared" si="4"/>
        <v>0</v>
      </c>
    </row>
    <row r="137" spans="1:10" s="433" customFormat="1" ht="15" customHeight="1" x14ac:dyDescent="0.25">
      <c r="A137" s="397"/>
      <c r="B137" s="526" t="s">
        <v>6544</v>
      </c>
      <c r="C137" s="417">
        <v>333903993000000</v>
      </c>
      <c r="D137" s="418" t="s">
        <v>2189</v>
      </c>
      <c r="E137" s="419">
        <v>1</v>
      </c>
      <c r="F137" s="419">
        <v>0</v>
      </c>
      <c r="G137" s="431">
        <v>332310500000000</v>
      </c>
      <c r="H137" s="421" t="s">
        <v>5810</v>
      </c>
      <c r="I137" s="420">
        <v>0</v>
      </c>
      <c r="J137" s="456">
        <f t="shared" si="4"/>
        <v>0</v>
      </c>
    </row>
    <row r="138" spans="1:10" s="433" customFormat="1" ht="15" customHeight="1" x14ac:dyDescent="0.25">
      <c r="A138" s="397"/>
      <c r="B138" s="526" t="s">
        <v>6545</v>
      </c>
      <c r="C138" s="417">
        <v>333903995000000</v>
      </c>
      <c r="D138" s="418" t="s">
        <v>3164</v>
      </c>
      <c r="E138" s="419">
        <v>1</v>
      </c>
      <c r="F138" s="419">
        <v>0</v>
      </c>
      <c r="G138" s="431">
        <v>332311100000000</v>
      </c>
      <c r="H138" s="421" t="s">
        <v>5811</v>
      </c>
      <c r="I138" s="420">
        <v>0</v>
      </c>
      <c r="J138" s="456">
        <f t="shared" si="4"/>
        <v>0</v>
      </c>
    </row>
    <row r="139" spans="1:10" s="433" customFormat="1" ht="15" customHeight="1" x14ac:dyDescent="0.25">
      <c r="A139" s="397"/>
      <c r="B139" s="526" t="s">
        <v>6546</v>
      </c>
      <c r="C139" s="417">
        <v>333903999010000</v>
      </c>
      <c r="D139" s="418" t="s">
        <v>2449</v>
      </c>
      <c r="E139" s="419">
        <v>1</v>
      </c>
      <c r="F139" s="419">
        <v>0</v>
      </c>
      <c r="G139" s="431">
        <v>332310700000000</v>
      </c>
      <c r="H139" s="421" t="s">
        <v>5813</v>
      </c>
      <c r="I139" s="420">
        <v>0</v>
      </c>
      <c r="J139" s="456">
        <f t="shared" si="4"/>
        <v>0</v>
      </c>
    </row>
    <row r="140" spans="1:10" s="433" customFormat="1" ht="15" customHeight="1" x14ac:dyDescent="0.25">
      <c r="A140" s="397"/>
      <c r="B140" s="526" t="s">
        <v>6547</v>
      </c>
      <c r="C140" s="417">
        <v>333903999020000</v>
      </c>
      <c r="D140" s="418" t="s">
        <v>2272</v>
      </c>
      <c r="E140" s="419">
        <v>1</v>
      </c>
      <c r="F140" s="419">
        <v>0</v>
      </c>
      <c r="G140" s="431">
        <v>332319900000000</v>
      </c>
      <c r="H140" s="421" t="s">
        <v>5814</v>
      </c>
      <c r="I140" s="420">
        <v>0</v>
      </c>
      <c r="J140" s="456">
        <f t="shared" si="4"/>
        <v>0</v>
      </c>
    </row>
    <row r="141" spans="1:10" s="433" customFormat="1" ht="15" customHeight="1" x14ac:dyDescent="0.25">
      <c r="A141" s="397"/>
      <c r="B141" s="526" t="s">
        <v>6548</v>
      </c>
      <c r="C141" s="417">
        <v>333903999040000</v>
      </c>
      <c r="D141" s="418" t="s">
        <v>5812</v>
      </c>
      <c r="E141" s="419">
        <v>1</v>
      </c>
      <c r="F141" s="419">
        <v>0</v>
      </c>
      <c r="G141" s="431">
        <v>332319900000000</v>
      </c>
      <c r="H141" s="421" t="s">
        <v>5816</v>
      </c>
      <c r="I141" s="420">
        <v>0</v>
      </c>
      <c r="J141" s="456">
        <f t="shared" si="4"/>
        <v>0</v>
      </c>
    </row>
    <row r="142" spans="1:10" s="115" customFormat="1" ht="15" customHeight="1" x14ac:dyDescent="0.25">
      <c r="A142" s="396"/>
      <c r="B142" s="1093" t="s">
        <v>5913</v>
      </c>
      <c r="C142" s="1081">
        <v>333904700000000</v>
      </c>
      <c r="D142" s="1082" t="s">
        <v>990</v>
      </c>
      <c r="E142" s="1076">
        <v>1</v>
      </c>
      <c r="F142" s="1076">
        <v>0</v>
      </c>
      <c r="G142" s="1077"/>
      <c r="H142" s="1078" t="s">
        <v>5722</v>
      </c>
      <c r="I142" s="1079">
        <f>((('Parâmetros financeiros Despesa'!F60+'Parâmetros financeiros Despesa'!F65+'Parâmetros financeiros Despesa'!F68))*((1+'Parâmetros financeiros Despesa'!F$4)*(1+'Parâmetros financeiros Despesa'!F$7)*(1+'Parâmetros financeiros Despesa'!F$10)))*(1+'Parâmetros financeiros Despesa'!F13)</f>
        <v>13323.785432428274</v>
      </c>
      <c r="J142" s="1080">
        <f t="shared" si="4"/>
        <v>1.8319923820086549E-2</v>
      </c>
    </row>
    <row r="143" spans="1:10" s="433" customFormat="1" ht="15" customHeight="1" x14ac:dyDescent="0.25">
      <c r="A143" s="397"/>
      <c r="B143" s="416" t="s">
        <v>5914</v>
      </c>
      <c r="C143" s="417">
        <v>333904718000000</v>
      </c>
      <c r="D143" s="418" t="s">
        <v>5904</v>
      </c>
      <c r="E143" s="419">
        <v>1</v>
      </c>
      <c r="F143" s="419">
        <v>0</v>
      </c>
      <c r="G143" s="431">
        <v>372110400000000</v>
      </c>
      <c r="H143" s="421" t="s">
        <v>5784</v>
      </c>
      <c r="I143" s="420">
        <v>0</v>
      </c>
      <c r="J143" s="456">
        <f t="shared" si="4"/>
        <v>0</v>
      </c>
    </row>
    <row r="144" spans="1:10" s="433" customFormat="1" ht="15" customHeight="1" x14ac:dyDescent="0.25">
      <c r="A144" s="397"/>
      <c r="B144" s="416" t="s">
        <v>6549</v>
      </c>
      <c r="C144" s="417">
        <v>333904720000000</v>
      </c>
      <c r="D144" s="418" t="s">
        <v>5905</v>
      </c>
      <c r="E144" s="419">
        <v>1</v>
      </c>
      <c r="F144" s="419">
        <v>0</v>
      </c>
      <c r="G144" s="431">
        <v>372110400000000</v>
      </c>
      <c r="H144" s="421" t="s">
        <v>5816</v>
      </c>
      <c r="I144" s="420">
        <v>0</v>
      </c>
      <c r="J144" s="456">
        <f t="shared" si="4"/>
        <v>0</v>
      </c>
    </row>
    <row r="145" spans="1:10" s="115" customFormat="1" ht="15" customHeight="1" x14ac:dyDescent="0.25">
      <c r="A145" s="396"/>
      <c r="B145" s="1093" t="s">
        <v>5915</v>
      </c>
      <c r="C145" s="1081">
        <v>333909300000000</v>
      </c>
      <c r="D145" s="1082" t="s">
        <v>5818</v>
      </c>
      <c r="E145" s="1076">
        <v>1</v>
      </c>
      <c r="F145" s="1076">
        <v>0</v>
      </c>
      <c r="G145" s="1077"/>
      <c r="H145" s="1078" t="s">
        <v>5722</v>
      </c>
      <c r="I145" s="1079">
        <f>('Parâmetros financeiros Despesa'!F72)*((1+'Parâmetros financeiros Despesa'!F4)*(1+'Parâmetros financeiros Despesa'!F7)*(1+'Parâmetros financeiros Despesa'!F10))</f>
        <v>1642.9240465151145</v>
      </c>
      <c r="J145" s="1080">
        <f t="shared" si="4"/>
        <v>2.2589858960870243E-3</v>
      </c>
    </row>
    <row r="146" spans="1:10" s="433" customFormat="1" ht="15" customHeight="1" x14ac:dyDescent="0.25">
      <c r="A146" s="397"/>
      <c r="B146" s="416" t="s">
        <v>5916</v>
      </c>
      <c r="C146" s="417">
        <v>333909399000000</v>
      </c>
      <c r="D146" s="418" t="s">
        <v>1038</v>
      </c>
      <c r="E146" s="419">
        <v>1</v>
      </c>
      <c r="F146" s="419">
        <v>0</v>
      </c>
      <c r="G146" s="431">
        <v>399910300000000</v>
      </c>
      <c r="H146" s="421" t="s">
        <v>5820</v>
      </c>
      <c r="I146" s="420">
        <v>0</v>
      </c>
      <c r="J146" s="456">
        <f t="shared" si="4"/>
        <v>0</v>
      </c>
    </row>
    <row r="147" spans="1:10" s="433" customFormat="1" ht="15" customHeight="1" x14ac:dyDescent="0.25">
      <c r="A147" s="397"/>
      <c r="B147" s="1385" t="s">
        <v>2294</v>
      </c>
      <c r="C147" s="1385"/>
      <c r="D147" s="1385"/>
      <c r="E147" s="401">
        <v>1</v>
      </c>
      <c r="F147" s="401">
        <v>0</v>
      </c>
      <c r="G147" s="426"/>
      <c r="H147" s="411">
        <v>0</v>
      </c>
      <c r="I147" s="402">
        <f>I148</f>
        <v>22343.767032605552</v>
      </c>
      <c r="J147" s="451">
        <f t="shared" si="4"/>
        <v>3.0722208186783524E-2</v>
      </c>
    </row>
    <row r="148" spans="1:10" s="433" customFormat="1" ht="15" customHeight="1" x14ac:dyDescent="0.25">
      <c r="A148" s="397"/>
      <c r="B148" s="1386" t="s">
        <v>5821</v>
      </c>
      <c r="C148" s="1386"/>
      <c r="D148" s="1386"/>
      <c r="E148" s="403">
        <v>1</v>
      </c>
      <c r="F148" s="403">
        <v>0</v>
      </c>
      <c r="G148" s="427"/>
      <c r="H148" s="412">
        <v>0</v>
      </c>
      <c r="I148" s="404">
        <f>I149</f>
        <v>22343.767032605552</v>
      </c>
      <c r="J148" s="452">
        <f t="shared" si="4"/>
        <v>3.0722208186783524E-2</v>
      </c>
    </row>
    <row r="149" spans="1:10" s="433" customFormat="1" ht="15" customHeight="1" x14ac:dyDescent="0.25">
      <c r="A149" s="397"/>
      <c r="B149" s="1382" t="s">
        <v>2277</v>
      </c>
      <c r="C149" s="1382"/>
      <c r="D149" s="1382"/>
      <c r="E149" s="405">
        <v>1</v>
      </c>
      <c r="F149" s="405">
        <v>0</v>
      </c>
      <c r="G149" s="428"/>
      <c r="H149" s="413">
        <v>0</v>
      </c>
      <c r="I149" s="406">
        <f>I150</f>
        <v>22343.767032605552</v>
      </c>
      <c r="J149" s="453">
        <f t="shared" si="4"/>
        <v>3.0722208186783524E-2</v>
      </c>
    </row>
    <row r="150" spans="1:10" s="433" customFormat="1" ht="15" customHeight="1" x14ac:dyDescent="0.25">
      <c r="A150" s="397"/>
      <c r="B150" s="1383" t="s">
        <v>2278</v>
      </c>
      <c r="C150" s="1383"/>
      <c r="D150" s="1383"/>
      <c r="E150" s="407">
        <v>1</v>
      </c>
      <c r="F150" s="407">
        <v>0</v>
      </c>
      <c r="G150" s="429"/>
      <c r="H150" s="414">
        <v>0</v>
      </c>
      <c r="I150" s="408">
        <f>I156+I151+I154+I158</f>
        <v>22343.767032605552</v>
      </c>
      <c r="J150" s="454">
        <f t="shared" si="4"/>
        <v>3.0722208186783524E-2</v>
      </c>
    </row>
    <row r="151" spans="1:10" s="115" customFormat="1" ht="15" customHeight="1" x14ac:dyDescent="0.25">
      <c r="A151" s="396"/>
      <c r="B151" s="1093" t="s">
        <v>5917</v>
      </c>
      <c r="C151" s="1081">
        <v>333903000000000</v>
      </c>
      <c r="D151" s="1082" t="s">
        <v>5911</v>
      </c>
      <c r="E151" s="1076">
        <v>1</v>
      </c>
      <c r="F151" s="1076">
        <v>0</v>
      </c>
      <c r="G151" s="1077"/>
      <c r="H151" s="1078" t="s">
        <v>5722</v>
      </c>
      <c r="I151" s="1079">
        <f>('Parâmetros financeiros Despesa'!F61+'Parâmetros financeiros Despesa'!F62)*((1+'Parâmetros financeiros Despesa'!F$4)*(1+'Parâmetros financeiros Despesa'!F$7)*(1+'Parâmetros financeiros Despesa'!F$10))</f>
        <v>4381.1307907069713</v>
      </c>
      <c r="J151" s="1080">
        <f t="shared" si="4"/>
        <v>6.0239623895653972E-3</v>
      </c>
    </row>
    <row r="152" spans="1:10" s="446" customFormat="1" ht="15" customHeight="1" x14ac:dyDescent="0.25">
      <c r="A152" s="397"/>
      <c r="B152" s="416" t="s">
        <v>5918</v>
      </c>
      <c r="C152" s="417">
        <v>333903017000000</v>
      </c>
      <c r="D152" s="418" t="s">
        <v>5912</v>
      </c>
      <c r="E152" s="419">
        <v>1</v>
      </c>
      <c r="F152" s="419">
        <v>0</v>
      </c>
      <c r="G152" s="431">
        <v>331111700000000</v>
      </c>
      <c r="H152" s="421" t="s">
        <v>5755</v>
      </c>
      <c r="I152" s="420">
        <v>0</v>
      </c>
      <c r="J152" s="456">
        <f>I152/I$183</f>
        <v>0</v>
      </c>
    </row>
    <row r="153" spans="1:10" s="446" customFormat="1" ht="15" customHeight="1" x14ac:dyDescent="0.25">
      <c r="A153" s="397"/>
      <c r="B153" s="416" t="s">
        <v>5919</v>
      </c>
      <c r="C153" s="417">
        <v>333903017000000</v>
      </c>
      <c r="D153" s="418" t="s">
        <v>5754</v>
      </c>
      <c r="E153" s="419">
        <v>1</v>
      </c>
      <c r="F153" s="419">
        <v>0</v>
      </c>
      <c r="G153" s="431">
        <v>619</v>
      </c>
      <c r="H153" s="421" t="s">
        <v>5755</v>
      </c>
      <c r="I153" s="420">
        <v>0</v>
      </c>
      <c r="J153" s="456">
        <f>I153/I$183</f>
        <v>0</v>
      </c>
    </row>
    <row r="154" spans="1:10" s="115" customFormat="1" ht="15" customHeight="1" x14ac:dyDescent="0.25">
      <c r="A154" s="396"/>
      <c r="B154" s="1093" t="s">
        <v>6550</v>
      </c>
      <c r="C154" s="1081">
        <v>333903600000000</v>
      </c>
      <c r="D154" s="1082" t="s">
        <v>5910</v>
      </c>
      <c r="E154" s="1076">
        <v>1</v>
      </c>
      <c r="F154" s="1076">
        <v>0</v>
      </c>
      <c r="G154" s="1077"/>
      <c r="H154" s="1078" t="s">
        <v>5722</v>
      </c>
      <c r="I154" s="1079">
        <f>('Parâmetros financeiros Despesa'!F66)*((1+'Parâmetros financeiros Despesa'!F$4)*(1+'Parâmetros financeiros Despesa'!F$7)*(1+'Parâmetros financeiros Despesa'!F$10))</f>
        <v>1095.2826976767428</v>
      </c>
      <c r="J154" s="1080">
        <f>I154/I$183</f>
        <v>1.5059905973913493E-3</v>
      </c>
    </row>
    <row r="155" spans="1:10" s="527" customFormat="1" ht="15" customHeight="1" x14ac:dyDescent="0.25">
      <c r="A155" s="397"/>
      <c r="B155" s="526" t="s">
        <v>6551</v>
      </c>
      <c r="C155" s="417">
        <v>333903606000000</v>
      </c>
      <c r="D155" s="418" t="s">
        <v>2376</v>
      </c>
      <c r="E155" s="521">
        <v>1</v>
      </c>
      <c r="F155" s="521">
        <v>0</v>
      </c>
      <c r="G155" s="522">
        <v>332211500000000</v>
      </c>
      <c r="H155" s="525" t="s">
        <v>5784</v>
      </c>
      <c r="I155" s="523">
        <v>0</v>
      </c>
      <c r="J155" s="524">
        <f>I155/I$183</f>
        <v>0</v>
      </c>
    </row>
    <row r="156" spans="1:10" s="115" customFormat="1" ht="15" customHeight="1" x14ac:dyDescent="0.25">
      <c r="A156" s="396"/>
      <c r="B156" s="1093" t="s">
        <v>6552</v>
      </c>
      <c r="C156" s="1081">
        <v>333903900000000</v>
      </c>
      <c r="D156" s="1082" t="s">
        <v>5910</v>
      </c>
      <c r="E156" s="1076">
        <v>1</v>
      </c>
      <c r="F156" s="1076">
        <v>0</v>
      </c>
      <c r="G156" s="1077"/>
      <c r="H156" s="1078" t="s">
        <v>5722</v>
      </c>
      <c r="I156" s="1079">
        <f>('Parâmetros financeiros Despesa'!F70+'Parâmetros financeiros Despesa'!F71)*((1+'Parâmetros financeiros Despesa'!F$4)*(1+'Parâmetros financeiros Despesa'!F$7)*(1+'Parâmetros financeiros Despesa'!F$10))</f>
        <v>7666.9788837372007</v>
      </c>
      <c r="J156" s="1080">
        <f t="shared" ref="J156:J165" si="5">I156/I$183</f>
        <v>1.0541934181739446E-2</v>
      </c>
    </row>
    <row r="157" spans="1:10" s="433" customFormat="1" ht="15" customHeight="1" x14ac:dyDescent="0.25">
      <c r="A157" s="397"/>
      <c r="B157" s="416" t="s">
        <v>6553</v>
      </c>
      <c r="C157" s="417">
        <v>333903908000000</v>
      </c>
      <c r="D157" s="418" t="s">
        <v>2376</v>
      </c>
      <c r="E157" s="419">
        <v>1</v>
      </c>
      <c r="F157" s="419">
        <v>0</v>
      </c>
      <c r="G157" s="431">
        <v>332311100000000</v>
      </c>
      <c r="H157" s="421" t="s">
        <v>5790</v>
      </c>
      <c r="I157" s="420">
        <v>0</v>
      </c>
      <c r="J157" s="456">
        <f t="shared" si="5"/>
        <v>0</v>
      </c>
    </row>
    <row r="158" spans="1:10" s="115" customFormat="1" ht="15" customHeight="1" x14ac:dyDescent="0.25">
      <c r="A158" s="396"/>
      <c r="B158" s="1093" t="s">
        <v>6554</v>
      </c>
      <c r="C158" s="1081">
        <v>333904700000000</v>
      </c>
      <c r="D158" s="1082" t="s">
        <v>5910</v>
      </c>
      <c r="E158" s="1076">
        <v>1</v>
      </c>
      <c r="F158" s="1076">
        <v>0</v>
      </c>
      <c r="G158" s="1077"/>
      <c r="H158" s="1078" t="s">
        <v>5722</v>
      </c>
      <c r="I158" s="1079">
        <f>((('Parâmetros financeiros Despesa'!F70+'Parâmetros financeiros Despesa'!F71))*((1+'Parâmetros financeiros Despesa'!F$4)*(1+'Parâmetros financeiros Despesa'!F$7)*(1+'Parâmetros financeiros Despesa'!F$10)))*(1+'Parâmetros financeiros Despesa'!F13)</f>
        <v>9200.3746604846401</v>
      </c>
      <c r="J158" s="1080">
        <f t="shared" si="5"/>
        <v>1.2650321018087335E-2</v>
      </c>
    </row>
    <row r="159" spans="1:10" ht="15" customHeight="1" x14ac:dyDescent="0.25">
      <c r="B159" s="526" t="s">
        <v>6555</v>
      </c>
      <c r="C159" s="417">
        <v>333904718000000</v>
      </c>
      <c r="D159" s="418" t="s">
        <v>5904</v>
      </c>
      <c r="E159" s="521">
        <v>1</v>
      </c>
      <c r="F159" s="521">
        <v>0</v>
      </c>
      <c r="G159" s="522">
        <v>372110400000000</v>
      </c>
      <c r="H159" s="525" t="s">
        <v>5784</v>
      </c>
      <c r="I159" s="523">
        <v>0</v>
      </c>
      <c r="J159" s="524">
        <f t="shared" si="5"/>
        <v>0</v>
      </c>
    </row>
    <row r="160" spans="1:10" ht="15" customHeight="1" x14ac:dyDescent="0.25">
      <c r="B160" s="526" t="s">
        <v>6556</v>
      </c>
      <c r="C160" s="417">
        <v>333904720000000</v>
      </c>
      <c r="D160" s="418" t="s">
        <v>5905</v>
      </c>
      <c r="E160" s="521">
        <v>1</v>
      </c>
      <c r="F160" s="521">
        <v>0</v>
      </c>
      <c r="G160" s="522">
        <v>372110400000000</v>
      </c>
      <c r="H160" s="525" t="s">
        <v>5816</v>
      </c>
      <c r="I160" s="523">
        <v>0</v>
      </c>
      <c r="J160" s="524">
        <f t="shared" si="5"/>
        <v>0</v>
      </c>
    </row>
    <row r="161" spans="1:10" s="433" customFormat="1" ht="15" customHeight="1" x14ac:dyDescent="0.25">
      <c r="A161" s="397"/>
      <c r="B161" s="1385" t="s">
        <v>2294</v>
      </c>
      <c r="C161" s="1385"/>
      <c r="D161" s="1385"/>
      <c r="E161" s="401">
        <v>1</v>
      </c>
      <c r="F161" s="401">
        <v>0</v>
      </c>
      <c r="G161" s="426"/>
      <c r="H161" s="411">
        <v>0</v>
      </c>
      <c r="I161" s="402">
        <f>I162</f>
        <v>20293.925501339967</v>
      </c>
      <c r="J161" s="451">
        <f t="shared" si="5"/>
        <v>2.7903719335661954E-2</v>
      </c>
    </row>
    <row r="162" spans="1:10" s="433" customFormat="1" ht="15" customHeight="1" x14ac:dyDescent="0.25">
      <c r="A162" s="397"/>
      <c r="B162" s="1386" t="s">
        <v>5921</v>
      </c>
      <c r="C162" s="1386"/>
      <c r="D162" s="1386"/>
      <c r="E162" s="403">
        <v>1</v>
      </c>
      <c r="F162" s="403">
        <v>0</v>
      </c>
      <c r="G162" s="427"/>
      <c r="H162" s="412">
        <v>0</v>
      </c>
      <c r="I162" s="404">
        <f>I163</f>
        <v>20293.925501339967</v>
      </c>
      <c r="J162" s="452">
        <f t="shared" si="5"/>
        <v>2.7903719335661954E-2</v>
      </c>
    </row>
    <row r="163" spans="1:10" s="433" customFormat="1" ht="15" customHeight="1" x14ac:dyDescent="0.25">
      <c r="A163" s="397"/>
      <c r="B163" s="1382" t="s">
        <v>2277</v>
      </c>
      <c r="C163" s="1382"/>
      <c r="D163" s="1382"/>
      <c r="E163" s="405">
        <v>1</v>
      </c>
      <c r="F163" s="405">
        <v>0</v>
      </c>
      <c r="G163" s="428"/>
      <c r="H163" s="413">
        <v>0</v>
      </c>
      <c r="I163" s="406">
        <f>I164</f>
        <v>20293.925501339967</v>
      </c>
      <c r="J163" s="453">
        <f t="shared" si="5"/>
        <v>2.7903719335661954E-2</v>
      </c>
    </row>
    <row r="164" spans="1:10" s="433" customFormat="1" ht="15" customHeight="1" x14ac:dyDescent="0.25">
      <c r="A164" s="397"/>
      <c r="B164" s="1383" t="s">
        <v>2278</v>
      </c>
      <c r="C164" s="1383"/>
      <c r="D164" s="1383"/>
      <c r="E164" s="407">
        <v>1</v>
      </c>
      <c r="F164" s="407">
        <v>0</v>
      </c>
      <c r="G164" s="429"/>
      <c r="H164" s="414">
        <v>0</v>
      </c>
      <c r="I164" s="408">
        <f>I165+I168</f>
        <v>20293.925501339967</v>
      </c>
      <c r="J164" s="454">
        <f t="shared" si="5"/>
        <v>2.7903719335661954E-2</v>
      </c>
    </row>
    <row r="165" spans="1:10" s="115" customFormat="1" ht="15" customHeight="1" x14ac:dyDescent="0.25">
      <c r="A165" s="396"/>
      <c r="B165" s="1093" t="s">
        <v>6557</v>
      </c>
      <c r="C165" s="1074">
        <v>331901300000000</v>
      </c>
      <c r="D165" s="1083" t="s">
        <v>5920</v>
      </c>
      <c r="E165" s="1076">
        <v>1</v>
      </c>
      <c r="F165" s="1076">
        <v>0</v>
      </c>
      <c r="G165" s="1077"/>
      <c r="H165" s="1078" t="s">
        <v>5825</v>
      </c>
      <c r="I165" s="1079">
        <f>I168*'Parâmetros financeiros Despesa'!F12</f>
        <v>3522.0862440342089</v>
      </c>
      <c r="J165" s="1080">
        <f t="shared" si="5"/>
        <v>4.8427942648669505E-3</v>
      </c>
    </row>
    <row r="166" spans="1:10" ht="15" customHeight="1" x14ac:dyDescent="0.25">
      <c r="A166" s="397"/>
      <c r="B166" s="416" t="s">
        <v>6559</v>
      </c>
      <c r="C166" s="417">
        <v>331901302040000</v>
      </c>
      <c r="D166" s="418" t="s">
        <v>5922</v>
      </c>
      <c r="E166" s="419">
        <v>1</v>
      </c>
      <c r="F166" s="419">
        <v>0</v>
      </c>
      <c r="G166" s="431">
        <v>312219900000000</v>
      </c>
      <c r="H166" s="421" t="s">
        <v>5826</v>
      </c>
      <c r="I166" s="420">
        <v>0</v>
      </c>
      <c r="J166" s="456">
        <f>I166/I$183</f>
        <v>0</v>
      </c>
    </row>
    <row r="167" spans="1:10" s="433" customFormat="1" ht="15" customHeight="1" x14ac:dyDescent="0.25">
      <c r="A167" s="397"/>
      <c r="B167" s="416" t="s">
        <v>6560</v>
      </c>
      <c r="C167" s="417">
        <v>331901302040000</v>
      </c>
      <c r="D167" s="418" t="s">
        <v>5923</v>
      </c>
      <c r="E167" s="419">
        <v>1</v>
      </c>
      <c r="F167" s="419">
        <v>0</v>
      </c>
      <c r="G167" s="431">
        <v>312219900000000</v>
      </c>
      <c r="H167" s="421" t="s">
        <v>5827</v>
      </c>
      <c r="I167" s="420">
        <v>0</v>
      </c>
      <c r="J167" s="456">
        <f>I167/I$183</f>
        <v>0</v>
      </c>
    </row>
    <row r="168" spans="1:10" s="115" customFormat="1" ht="15" customHeight="1" x14ac:dyDescent="0.25">
      <c r="A168" s="396"/>
      <c r="B168" s="1093" t="s">
        <v>6558</v>
      </c>
      <c r="C168" s="1074">
        <v>331901600000000</v>
      </c>
      <c r="D168" s="1083" t="s">
        <v>5920</v>
      </c>
      <c r="E168" s="1076">
        <v>1</v>
      </c>
      <c r="F168" s="1076">
        <v>0</v>
      </c>
      <c r="G168" s="1077"/>
      <c r="H168" s="1078" t="s">
        <v>5825</v>
      </c>
      <c r="I168" s="1079">
        <f>((((('Parâmetros financeiros Despesa'!F53+'Parâmetros financeiros Despesa'!F54)*2+(('Parâmetros financeiros Despesa'!F49)*10)*(1+'Parâmetros financeiros Despesa'!F4)*(1+'Parâmetros financeiros Despesa'!F8)))))*'Parâmetros financeiros Despesa'!F51</f>
        <v>16771.839257305757</v>
      </c>
      <c r="J168" s="1080">
        <f>I168/I$183</f>
        <v>2.3060925070795001E-2</v>
      </c>
    </row>
    <row r="169" spans="1:10" s="433" customFormat="1" ht="15" customHeight="1" x14ac:dyDescent="0.25">
      <c r="A169" s="397"/>
      <c r="B169" s="416" t="s">
        <v>6561</v>
      </c>
      <c r="C169" s="417">
        <v>331901604000000</v>
      </c>
      <c r="D169" s="418" t="s">
        <v>5924</v>
      </c>
      <c r="E169" s="419">
        <v>1</v>
      </c>
      <c r="F169" s="419">
        <v>0</v>
      </c>
      <c r="G169" s="431">
        <v>311210209000000</v>
      </c>
      <c r="H169" s="421" t="s">
        <v>5827</v>
      </c>
      <c r="I169" s="420">
        <v>0</v>
      </c>
      <c r="J169" s="456">
        <f>I169/I$183</f>
        <v>0</v>
      </c>
    </row>
    <row r="170" spans="1:10" s="433" customFormat="1" ht="15" customHeight="1" x14ac:dyDescent="0.25">
      <c r="A170" s="397"/>
      <c r="B170" s="416" t="s">
        <v>6562</v>
      </c>
      <c r="C170" s="417">
        <v>331901699030000</v>
      </c>
      <c r="D170" s="418" t="s">
        <v>2169</v>
      </c>
      <c r="E170" s="419">
        <v>1</v>
      </c>
      <c r="F170" s="419">
        <v>0</v>
      </c>
      <c r="G170" s="431">
        <v>311210209000000</v>
      </c>
      <c r="H170" s="421" t="s">
        <v>5826</v>
      </c>
      <c r="I170" s="420">
        <v>0</v>
      </c>
      <c r="J170" s="456">
        <f>I170/I$183</f>
        <v>0</v>
      </c>
    </row>
    <row r="171" spans="1:10" ht="15" customHeight="1" x14ac:dyDescent="0.25">
      <c r="A171" s="397"/>
      <c r="B171" s="1387" t="s">
        <v>5828</v>
      </c>
      <c r="C171" s="1387"/>
      <c r="D171" s="1387"/>
      <c r="E171" s="1387"/>
      <c r="F171" s="1387"/>
      <c r="G171" s="1387"/>
      <c r="H171" s="1387"/>
      <c r="I171" s="1387"/>
      <c r="J171" s="30"/>
    </row>
    <row r="172" spans="1:10" ht="15" customHeight="1" x14ac:dyDescent="0.25">
      <c r="A172" s="397"/>
      <c r="B172" s="1385" t="s">
        <v>2294</v>
      </c>
      <c r="C172" s="1385"/>
      <c r="D172" s="1385"/>
      <c r="E172" s="401">
        <v>1</v>
      </c>
      <c r="F172" s="401">
        <v>0</v>
      </c>
      <c r="G172" s="426"/>
      <c r="H172" s="411">
        <v>0</v>
      </c>
      <c r="I172" s="402">
        <f>I173+I174+I175+I176+I177+I178+I179+I180</f>
        <v>727283.88847445161</v>
      </c>
      <c r="J172" s="451">
        <f>I172/I$183</f>
        <v>1</v>
      </c>
    </row>
    <row r="173" spans="1:10" ht="15" customHeight="1" x14ac:dyDescent="0.25">
      <c r="A173" s="397"/>
      <c r="B173" s="1386" t="s">
        <v>2295</v>
      </c>
      <c r="C173" s="1386"/>
      <c r="D173" s="1386"/>
      <c r="E173" s="403">
        <v>1</v>
      </c>
      <c r="F173" s="403">
        <v>0</v>
      </c>
      <c r="G173" s="427"/>
      <c r="H173" s="412">
        <v>0</v>
      </c>
      <c r="I173" s="404">
        <f>I10-0.01</f>
        <v>13193.001150000002</v>
      </c>
      <c r="J173" s="452">
        <f t="shared" ref="J173:J180" si="6">I173/I$183</f>
        <v>1.8140098191469084E-2</v>
      </c>
    </row>
    <row r="174" spans="1:10" s="433" customFormat="1" ht="15" customHeight="1" x14ac:dyDescent="0.25">
      <c r="A174" s="397"/>
      <c r="B174" s="1386" t="s">
        <v>5728</v>
      </c>
      <c r="C174" s="1386"/>
      <c r="D174" s="1386"/>
      <c r="E174" s="403">
        <v>1</v>
      </c>
      <c r="F174" s="403">
        <v>0</v>
      </c>
      <c r="G174" s="427"/>
      <c r="H174" s="412">
        <v>0</v>
      </c>
      <c r="I174" s="404">
        <f>I28</f>
        <v>66521.811650000003</v>
      </c>
      <c r="J174" s="452">
        <f t="shared" si="6"/>
        <v>9.1466087320504166E-2</v>
      </c>
    </row>
    <row r="175" spans="1:10" s="433" customFormat="1" ht="15" customHeight="1" x14ac:dyDescent="0.25">
      <c r="A175" s="397"/>
      <c r="B175" s="1386" t="s">
        <v>5729</v>
      </c>
      <c r="C175" s="1386"/>
      <c r="D175" s="1386"/>
      <c r="E175" s="403">
        <v>1</v>
      </c>
      <c r="F175" s="403">
        <v>0</v>
      </c>
      <c r="G175" s="427"/>
      <c r="H175" s="412">
        <v>0</v>
      </c>
      <c r="I175" s="404">
        <f>I43</f>
        <v>11230.414450000002</v>
      </c>
      <c r="J175" s="452">
        <f t="shared" si="6"/>
        <v>1.5441582892145299E-2</v>
      </c>
    </row>
    <row r="176" spans="1:10" s="433" customFormat="1" ht="15" customHeight="1" x14ac:dyDescent="0.25">
      <c r="A176" s="397"/>
      <c r="B176" s="1386" t="s">
        <v>5726</v>
      </c>
      <c r="C176" s="1386"/>
      <c r="D176" s="1386"/>
      <c r="E176" s="403">
        <v>1</v>
      </c>
      <c r="F176" s="403">
        <v>0</v>
      </c>
      <c r="G176" s="427"/>
      <c r="H176" s="412">
        <v>0</v>
      </c>
      <c r="I176" s="404">
        <f>I58-0.01</f>
        <v>509081.80575349997</v>
      </c>
      <c r="J176" s="452">
        <f t="shared" si="6"/>
        <v>0.69997674061135651</v>
      </c>
    </row>
    <row r="177" spans="1:10" s="433" customFormat="1" ht="15" customHeight="1" x14ac:dyDescent="0.25">
      <c r="A177" s="397"/>
      <c r="B177" s="1386" t="s">
        <v>5737</v>
      </c>
      <c r="C177" s="1386"/>
      <c r="D177" s="1386"/>
      <c r="E177" s="403">
        <v>1</v>
      </c>
      <c r="F177" s="403">
        <v>0</v>
      </c>
      <c r="G177" s="427"/>
      <c r="H177" s="412">
        <v>0</v>
      </c>
      <c r="I177" s="404">
        <f>I75</f>
        <v>3285.8480930302289</v>
      </c>
      <c r="J177" s="452">
        <f t="shared" si="6"/>
        <v>4.5179717921740485E-3</v>
      </c>
    </row>
    <row r="178" spans="1:10" s="433" customFormat="1" ht="15" customHeight="1" x14ac:dyDescent="0.25">
      <c r="A178" s="397"/>
      <c r="B178" s="1386" t="s">
        <v>5740</v>
      </c>
      <c r="C178" s="1386"/>
      <c r="D178" s="1386"/>
      <c r="E178" s="403">
        <v>1</v>
      </c>
      <c r="F178" s="403">
        <v>0</v>
      </c>
      <c r="G178" s="427"/>
      <c r="H178" s="412">
        <v>0</v>
      </c>
      <c r="I178" s="404">
        <f>I84</f>
        <v>81333.324843975803</v>
      </c>
      <c r="J178" s="452">
        <f t="shared" si="6"/>
        <v>0.11183160541969427</v>
      </c>
    </row>
    <row r="179" spans="1:10" s="433" customFormat="1" ht="15" customHeight="1" x14ac:dyDescent="0.25">
      <c r="A179" s="397"/>
      <c r="B179" s="1386" t="s">
        <v>5821</v>
      </c>
      <c r="C179" s="1386"/>
      <c r="D179" s="1386"/>
      <c r="E179" s="403">
        <v>1</v>
      </c>
      <c r="F179" s="403">
        <v>0</v>
      </c>
      <c r="G179" s="427"/>
      <c r="H179" s="412">
        <v>0</v>
      </c>
      <c r="I179" s="404">
        <f>I148-0.01</f>
        <v>22343.757032605554</v>
      </c>
      <c r="J179" s="452">
        <f t="shared" si="6"/>
        <v>3.0722194436994539E-2</v>
      </c>
    </row>
    <row r="180" spans="1:10" s="433" customFormat="1" ht="15" customHeight="1" x14ac:dyDescent="0.25">
      <c r="A180" s="397"/>
      <c r="B180" s="1386" t="s">
        <v>5822</v>
      </c>
      <c r="C180" s="1386"/>
      <c r="D180" s="1386"/>
      <c r="E180" s="403">
        <v>1</v>
      </c>
      <c r="F180" s="403">
        <v>0</v>
      </c>
      <c r="G180" s="427"/>
      <c r="H180" s="412">
        <v>0</v>
      </c>
      <c r="I180" s="404">
        <f>I162</f>
        <v>20293.925501339967</v>
      </c>
      <c r="J180" s="452">
        <f t="shared" si="6"/>
        <v>2.7903719335661954E-2</v>
      </c>
    </row>
    <row r="181" spans="1:10" ht="15" customHeight="1" x14ac:dyDescent="0.25">
      <c r="A181" s="397"/>
      <c r="B181" s="1382" t="s">
        <v>2277</v>
      </c>
      <c r="C181" s="1382"/>
      <c r="D181" s="1382"/>
      <c r="E181" s="405">
        <v>1</v>
      </c>
      <c r="F181" s="405">
        <v>0</v>
      </c>
      <c r="G181" s="428"/>
      <c r="H181" s="413">
        <v>0</v>
      </c>
      <c r="I181" s="406">
        <f>I163+I149+I85+I76+I59+I44+I29+I11-0.03</f>
        <v>727283.88847445161</v>
      </c>
      <c r="J181" s="453">
        <f>I181/I$183</f>
        <v>1</v>
      </c>
    </row>
    <row r="182" spans="1:10" ht="15" customHeight="1" x14ac:dyDescent="0.25">
      <c r="A182" s="397"/>
      <c r="B182" s="1383" t="s">
        <v>2278</v>
      </c>
      <c r="C182" s="1383"/>
      <c r="D182" s="1383"/>
      <c r="E182" s="407">
        <v>1</v>
      </c>
      <c r="F182" s="407">
        <v>0</v>
      </c>
      <c r="G182" s="429"/>
      <c r="H182" s="414">
        <v>0</v>
      </c>
      <c r="I182" s="408">
        <f>I164+I150+I86+I77+I60+I45+I30+I12-0.03</f>
        <v>727283.88847445161</v>
      </c>
      <c r="J182" s="454">
        <f>I182/I$183</f>
        <v>1</v>
      </c>
    </row>
    <row r="183" spans="1:10" ht="15" customHeight="1" x14ac:dyDescent="0.25">
      <c r="B183" s="1393" t="s">
        <v>2172</v>
      </c>
      <c r="C183" s="1393"/>
      <c r="D183" s="1393"/>
      <c r="E183" s="1393"/>
      <c r="F183" s="1393"/>
      <c r="G183" s="1393"/>
      <c r="H183" s="1393"/>
      <c r="I183" s="272">
        <f>I161+I147+I83+I74+I57+I42+I27+I9-0.03</f>
        <v>727283.88847445161</v>
      </c>
      <c r="J183" s="452">
        <f>I183/I$183</f>
        <v>1</v>
      </c>
    </row>
    <row r="184" spans="1:10" ht="15" customHeight="1" x14ac:dyDescent="0.25">
      <c r="B184" s="1391" t="s">
        <v>901</v>
      </c>
      <c r="C184" s="1391"/>
      <c r="D184" s="1391"/>
      <c r="E184" s="1391"/>
      <c r="F184" s="1391"/>
      <c r="G184" s="1391"/>
      <c r="H184" s="1391"/>
      <c r="I184" s="1084"/>
      <c r="J184" s="1085"/>
    </row>
    <row r="185" spans="1:10" ht="15" customHeight="1" x14ac:dyDescent="0.25">
      <c r="B185" s="1086" t="s">
        <v>5829</v>
      </c>
      <c r="C185" s="1086"/>
      <c r="D185" s="1086"/>
      <c r="E185" s="1086"/>
      <c r="F185" s="1086"/>
      <c r="G185" s="1392"/>
      <c r="H185" s="1392"/>
      <c r="I185" s="1380">
        <f>'Dem. de gastos do Legislativo'!E36</f>
        <v>727283.88914999994</v>
      </c>
      <c r="J185" s="1380"/>
    </row>
    <row r="186" spans="1:10" ht="15" customHeight="1" x14ac:dyDescent="0.25">
      <c r="B186" s="1389" t="s">
        <v>5830</v>
      </c>
      <c r="C186" s="1389"/>
      <c r="D186" s="1389"/>
      <c r="E186" s="1389"/>
      <c r="F186" s="1389"/>
      <c r="G186" s="1389"/>
      <c r="H186" s="1087"/>
      <c r="I186" s="1088">
        <f>I185*70%</f>
        <v>509098.72240499995</v>
      </c>
      <c r="J186" s="1089">
        <f>J183</f>
        <v>1</v>
      </c>
    </row>
    <row r="187" spans="1:10" ht="15" customHeight="1" x14ac:dyDescent="0.25">
      <c r="B187" s="1389" t="s">
        <v>5832</v>
      </c>
      <c r="C187" s="1389"/>
      <c r="D187" s="1389"/>
      <c r="E187" s="1389"/>
      <c r="F187" s="1389"/>
      <c r="G187" s="1090"/>
      <c r="H187" s="1087">
        <f>I185*I187</f>
        <v>509098.72240499995</v>
      </c>
      <c r="I187" s="1089">
        <v>0.7</v>
      </c>
      <c r="J187" s="1089">
        <v>0.7</v>
      </c>
    </row>
    <row r="188" spans="1:10" s="433" customFormat="1" ht="15" customHeight="1" x14ac:dyDescent="0.25">
      <c r="B188" s="1389" t="s">
        <v>5833</v>
      </c>
      <c r="C188" s="1389"/>
      <c r="D188" s="1389"/>
      <c r="E188" s="1389"/>
      <c r="F188" s="1389"/>
      <c r="G188" s="1090"/>
      <c r="H188" s="1087">
        <f>I61+I70</f>
        <v>509081.81575349998</v>
      </c>
      <c r="I188" s="1089">
        <f>H188/I185</f>
        <v>0.6999767537109618</v>
      </c>
      <c r="J188" s="1089">
        <f>I188/J186</f>
        <v>0.6999767537109618</v>
      </c>
    </row>
    <row r="189" spans="1:10" ht="15" customHeight="1" x14ac:dyDescent="0.25">
      <c r="B189" s="1390" t="s">
        <v>5831</v>
      </c>
      <c r="C189" s="1390"/>
      <c r="D189" s="1390"/>
      <c r="E189" s="1390"/>
      <c r="F189" s="1390"/>
      <c r="G189" s="1381">
        <f>I186/12</f>
        <v>42424.893533749993</v>
      </c>
      <c r="H189" s="1381"/>
      <c r="I189" s="1381"/>
      <c r="J189" s="1381"/>
    </row>
    <row r="191" spans="1:10" ht="15" customHeight="1" x14ac:dyDescent="0.25">
      <c r="H191" s="19"/>
    </row>
    <row r="192" spans="1:10" ht="15" customHeight="1" x14ac:dyDescent="0.25">
      <c r="I192" s="783"/>
    </row>
    <row r="194" spans="9:9" ht="15" customHeight="1" x14ac:dyDescent="0.25">
      <c r="I194" s="783"/>
    </row>
  </sheetData>
  <dataConsolidate/>
  <mergeCells count="59">
    <mergeCell ref="B182:D182"/>
    <mergeCell ref="B174:D174"/>
    <mergeCell ref="B175:D175"/>
    <mergeCell ref="B176:D176"/>
    <mergeCell ref="B177:D177"/>
    <mergeCell ref="B178:D178"/>
    <mergeCell ref="B179:D179"/>
    <mergeCell ref="B1:I1"/>
    <mergeCell ref="B3:I3"/>
    <mergeCell ref="B187:F187"/>
    <mergeCell ref="B189:F189"/>
    <mergeCell ref="B184:H184"/>
    <mergeCell ref="G185:H185"/>
    <mergeCell ref="B186:G186"/>
    <mergeCell ref="B188:F188"/>
    <mergeCell ref="B183:H183"/>
    <mergeCell ref="B181:D181"/>
    <mergeCell ref="B180:D180"/>
    <mergeCell ref="B162:D162"/>
    <mergeCell ref="B163:D163"/>
    <mergeCell ref="B164:D164"/>
    <mergeCell ref="B172:D172"/>
    <mergeCell ref="B173:D173"/>
    <mergeCell ref="B171:I171"/>
    <mergeCell ref="B147:D147"/>
    <mergeCell ref="B148:D148"/>
    <mergeCell ref="B149:D149"/>
    <mergeCell ref="B150:D150"/>
    <mergeCell ref="B161:D161"/>
    <mergeCell ref="C5:G5"/>
    <mergeCell ref="C6:G6"/>
    <mergeCell ref="C7:G7"/>
    <mergeCell ref="B60:D60"/>
    <mergeCell ref="B74:D74"/>
    <mergeCell ref="B29:D29"/>
    <mergeCell ref="B30:D30"/>
    <mergeCell ref="B42:D42"/>
    <mergeCell ref="B83:D83"/>
    <mergeCell ref="B75:D75"/>
    <mergeCell ref="B43:D43"/>
    <mergeCell ref="B44:D44"/>
    <mergeCell ref="B45:D45"/>
    <mergeCell ref="B57:D57"/>
    <mergeCell ref="I185:J185"/>
    <mergeCell ref="G189:J189"/>
    <mergeCell ref="B11:D11"/>
    <mergeCell ref="B12:D12"/>
    <mergeCell ref="C8:D8"/>
    <mergeCell ref="B27:D27"/>
    <mergeCell ref="B9:D9"/>
    <mergeCell ref="B10:D10"/>
    <mergeCell ref="B58:D58"/>
    <mergeCell ref="B59:D59"/>
    <mergeCell ref="B28:D28"/>
    <mergeCell ref="B84:D84"/>
    <mergeCell ref="B85:D85"/>
    <mergeCell ref="B86:D86"/>
    <mergeCell ref="B76:D76"/>
    <mergeCell ref="B77:D77"/>
  </mergeCells>
  <printOptions horizontalCentered="1"/>
  <pageMargins left="0.11811023622047245" right="0.11811023622047245" top="0.98425196850393704" bottom="0.78740157480314965" header="0.31496062992125984" footer="0.31496062992125984"/>
  <pageSetup paperSize="9" scale="60" orientation="landscape" r:id="rId1"/>
  <headerFooter alignWithMargins="0">
    <oddHeader>&amp;L                                                                                                                        &amp;G&amp;C&amp;"Vivaldi,Regular"&amp;18Estado do Rio Grande do Sul&amp;11&amp;16Prefeitura Municipal de Chuvisca&amp;11&amp;14Secretaria Municipal da Fazenda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81"/>
  <sheetViews>
    <sheetView topLeftCell="A2658" zoomScale="75" zoomScaleNormal="75" workbookViewId="0">
      <selection activeCell="L2709" sqref="L2709"/>
    </sheetView>
  </sheetViews>
  <sheetFormatPr defaultRowHeight="15" x14ac:dyDescent="0.25"/>
  <cols>
    <col min="1" max="1" width="2.42578125" style="461" customWidth="1"/>
    <col min="2" max="2" width="8" style="400" customWidth="1"/>
    <col min="3" max="3" width="1.85546875" style="400" customWidth="1"/>
    <col min="4" max="4" width="8.7109375" style="480" customWidth="1"/>
    <col min="5" max="5" width="18.42578125" style="399" customWidth="1"/>
    <col min="6" max="6" width="63.28515625" style="461" customWidth="1"/>
    <col min="7" max="7" width="6.85546875" style="776" customWidth="1"/>
    <col min="8" max="8" width="6.28515625" style="776" customWidth="1"/>
    <col min="9" max="9" width="18.5703125" style="399" customWidth="1"/>
    <col min="10" max="10" width="54.7109375" style="461" customWidth="1"/>
    <col min="11" max="11" width="20.42578125" style="783" customWidth="1"/>
    <col min="12" max="12" width="19.5703125" style="110" customWidth="1"/>
    <col min="13" max="13" width="11" style="448" customWidth="1"/>
    <col min="14" max="14" width="26.140625" style="796" customWidth="1"/>
    <col min="15" max="15" width="22.140625" style="461" customWidth="1"/>
    <col min="16" max="16" width="18.28515625" style="399" customWidth="1"/>
    <col min="17" max="17" width="40.42578125" style="461" customWidth="1"/>
    <col min="18" max="16384" width="9.140625" style="461"/>
  </cols>
  <sheetData>
    <row r="1" spans="1:16" ht="20.25" customHeight="1" x14ac:dyDescent="0.35">
      <c r="B1" s="1388" t="s">
        <v>5834</v>
      </c>
      <c r="C1" s="1388"/>
      <c r="D1" s="1388"/>
      <c r="E1" s="1388"/>
      <c r="F1" s="1388"/>
      <c r="G1" s="1388"/>
      <c r="H1" s="1388"/>
      <c r="I1" s="1388"/>
      <c r="J1" s="1388"/>
      <c r="K1" s="1388"/>
      <c r="L1" s="1388"/>
      <c r="M1" s="30"/>
    </row>
    <row r="2" spans="1:16" ht="11.25" customHeight="1" x14ac:dyDescent="0.35">
      <c r="B2" s="460"/>
      <c r="C2" s="466"/>
      <c r="D2" s="479"/>
      <c r="E2" s="460"/>
      <c r="F2" s="460"/>
      <c r="G2" s="778"/>
      <c r="H2" s="778"/>
      <c r="I2" s="460"/>
      <c r="J2" s="460"/>
      <c r="K2" s="939"/>
      <c r="L2" s="460"/>
      <c r="M2" s="447"/>
    </row>
    <row r="3" spans="1:16" ht="21" customHeight="1" x14ac:dyDescent="0.35">
      <c r="B3" s="1388" t="s">
        <v>5835</v>
      </c>
      <c r="C3" s="1388"/>
      <c r="D3" s="1388"/>
      <c r="E3" s="1388"/>
      <c r="F3" s="1388"/>
      <c r="G3" s="1388"/>
      <c r="H3" s="1388"/>
      <c r="I3" s="1388"/>
      <c r="J3" s="1388"/>
      <c r="K3" s="1388"/>
      <c r="L3" s="1388"/>
      <c r="M3" s="30"/>
    </row>
    <row r="4" spans="1:16" ht="15" customHeight="1" x14ac:dyDescent="0.25"/>
    <row r="5" spans="1:16" s="435" customFormat="1" ht="15" customHeight="1" x14ac:dyDescent="0.25">
      <c r="B5" s="459" t="s">
        <v>989</v>
      </c>
      <c r="C5" s="465"/>
      <c r="D5" s="481"/>
      <c r="E5" s="1371" t="s">
        <v>6887</v>
      </c>
      <c r="F5" s="1371"/>
      <c r="G5" s="1371"/>
      <c r="H5" s="1371"/>
      <c r="I5" s="1371"/>
      <c r="J5" s="437"/>
      <c r="K5" s="940"/>
      <c r="L5" s="438"/>
      <c r="M5" s="449"/>
      <c r="N5" s="892"/>
      <c r="P5" s="732"/>
    </row>
    <row r="6" spans="1:16" s="435" customFormat="1" ht="15" customHeight="1" x14ac:dyDescent="0.25">
      <c r="B6" s="459" t="s">
        <v>458</v>
      </c>
      <c r="C6" s="465"/>
      <c r="D6" s="481"/>
      <c r="E6" s="1371" t="s">
        <v>6888</v>
      </c>
      <c r="F6" s="1371"/>
      <c r="G6" s="1371"/>
      <c r="H6" s="1371"/>
      <c r="I6" s="1371"/>
      <c r="J6" s="437"/>
      <c r="K6" s="940"/>
      <c r="L6" s="438"/>
      <c r="M6" s="449"/>
      <c r="N6" s="892"/>
      <c r="P6" s="732"/>
    </row>
    <row r="7" spans="1:16" s="435" customFormat="1" ht="15" customHeight="1" x14ac:dyDescent="0.25">
      <c r="B7" s="439" t="s">
        <v>5764</v>
      </c>
      <c r="C7" s="439"/>
      <c r="D7" s="439"/>
      <c r="E7" s="1371" t="s">
        <v>749</v>
      </c>
      <c r="F7" s="1371"/>
      <c r="G7" s="1371"/>
      <c r="H7" s="1371"/>
      <c r="I7" s="1371"/>
      <c r="J7" s="440"/>
      <c r="K7" s="941"/>
      <c r="L7" s="438"/>
      <c r="M7" s="449"/>
      <c r="N7" s="892"/>
      <c r="P7" s="732"/>
    </row>
    <row r="8" spans="1:16" ht="113.25" customHeight="1" x14ac:dyDescent="0.25">
      <c r="A8" s="396"/>
      <c r="B8" s="1400" t="s">
        <v>2296</v>
      </c>
      <c r="C8" s="1400"/>
      <c r="D8" s="1400"/>
      <c r="E8" s="1384" t="s">
        <v>2297</v>
      </c>
      <c r="F8" s="1384"/>
      <c r="G8" s="443" t="s">
        <v>444</v>
      </c>
      <c r="H8" s="443" t="s">
        <v>2245</v>
      </c>
      <c r="I8" s="444" t="s">
        <v>5725</v>
      </c>
      <c r="J8" s="464" t="s">
        <v>2275</v>
      </c>
      <c r="K8" s="893" t="s">
        <v>11644</v>
      </c>
      <c r="L8" s="464" t="s">
        <v>11522</v>
      </c>
      <c r="M8" s="450" t="s">
        <v>235</v>
      </c>
    </row>
    <row r="9" spans="1:16" s="115" customFormat="1" ht="15" customHeight="1" x14ac:dyDescent="0.25">
      <c r="A9" s="396"/>
      <c r="B9" s="1385" t="s">
        <v>5951</v>
      </c>
      <c r="C9" s="1385"/>
      <c r="D9" s="1385"/>
      <c r="E9" s="1385"/>
      <c r="F9" s="1385"/>
      <c r="G9" s="401"/>
      <c r="H9" s="401"/>
      <c r="I9" s="426"/>
      <c r="J9" s="411"/>
      <c r="K9" s="402">
        <f t="shared" ref="K9:L11" si="0">K10</f>
        <v>0</v>
      </c>
      <c r="L9" s="402">
        <f t="shared" si="0"/>
        <v>14389.104805499999</v>
      </c>
      <c r="M9" s="451">
        <f>L9/L$230</f>
        <v>2.1197798795404371E-2</v>
      </c>
      <c r="N9" s="894"/>
      <c r="P9" s="733"/>
    </row>
    <row r="10" spans="1:16" ht="15" customHeight="1" x14ac:dyDescent="0.25">
      <c r="A10" s="396"/>
      <c r="B10" s="1386" t="s">
        <v>5950</v>
      </c>
      <c r="C10" s="1386"/>
      <c r="D10" s="1386"/>
      <c r="E10" s="1386"/>
      <c r="F10" s="1386"/>
      <c r="G10" s="403"/>
      <c r="H10" s="403"/>
      <c r="I10" s="427"/>
      <c r="J10" s="412"/>
      <c r="K10" s="404">
        <f t="shared" si="0"/>
        <v>0</v>
      </c>
      <c r="L10" s="404">
        <f t="shared" si="0"/>
        <v>14389.104805499999</v>
      </c>
      <c r="M10" s="452">
        <f>L10/L$230</f>
        <v>2.1197798795404371E-2</v>
      </c>
    </row>
    <row r="11" spans="1:16" ht="15" customHeight="1" x14ac:dyDescent="0.25">
      <c r="A11" s="396"/>
      <c r="B11" s="1382" t="s">
        <v>2286</v>
      </c>
      <c r="C11" s="1382"/>
      <c r="D11" s="1382"/>
      <c r="E11" s="1382"/>
      <c r="F11" s="1382"/>
      <c r="G11" s="405"/>
      <c r="H11" s="405"/>
      <c r="I11" s="428"/>
      <c r="J11" s="413"/>
      <c r="K11" s="406">
        <f t="shared" si="0"/>
        <v>0</v>
      </c>
      <c r="L11" s="406">
        <f t="shared" si="0"/>
        <v>14389.104805499999</v>
      </c>
      <c r="M11" s="453">
        <f>L11/L$230</f>
        <v>2.1197798795404371E-2</v>
      </c>
    </row>
    <row r="12" spans="1:16" ht="15" customHeight="1" x14ac:dyDescent="0.25">
      <c r="A12" s="396"/>
      <c r="B12" s="1383" t="s">
        <v>2290</v>
      </c>
      <c r="C12" s="1383"/>
      <c r="D12" s="1383"/>
      <c r="E12" s="1383"/>
      <c r="F12" s="1383"/>
      <c r="G12" s="407"/>
      <c r="H12" s="407"/>
      <c r="I12" s="429"/>
      <c r="J12" s="414"/>
      <c r="K12" s="408">
        <f>K13+K22+K27+K32+K37</f>
        <v>0</v>
      </c>
      <c r="L12" s="408">
        <f>L13+L22+L27+L32+L37</f>
        <v>14389.104805499999</v>
      </c>
      <c r="M12" s="454">
        <f>L12/L$230</f>
        <v>2.1197798795404371E-2</v>
      </c>
    </row>
    <row r="13" spans="1:16" ht="15" customHeight="1" x14ac:dyDescent="0.25">
      <c r="A13" s="396"/>
      <c r="B13" s="1396">
        <v>5000</v>
      </c>
      <c r="C13" s="1396"/>
      <c r="D13" s="1396"/>
      <c r="E13" s="417">
        <v>333904700000000</v>
      </c>
      <c r="F13" s="600" t="s">
        <v>6563</v>
      </c>
      <c r="G13" s="468">
        <v>1</v>
      </c>
      <c r="H13" s="468">
        <v>0</v>
      </c>
      <c r="I13" s="751"/>
      <c r="J13" s="878" t="s">
        <v>5953</v>
      </c>
      <c r="K13" s="789">
        <f>'Parâmetros financeiros Despesa'!E93</f>
        <v>0</v>
      </c>
      <c r="L13" s="789">
        <f>((('Parâmetros financeiros Despesa'!F94+'Parâmetros financeiros Despesa'!F95+'Parâmetros financeiros Despesa'!F97+'Parâmetros financeiros Despesa'!F99))*((1+'Parâmetros financeiros Despesa'!F$4)*(1+'Parâmetros financeiros Despesa'!F$7)))*(1+'Parâmetros financeiros Despesa'!F$83)</f>
        <v>4448.5525200000002</v>
      </c>
      <c r="M13" s="799">
        <f t="shared" ref="M13:M21" si="1">L13/L$230</f>
        <v>6.5535363404750956E-3</v>
      </c>
      <c r="N13" s="894"/>
      <c r="O13" s="894"/>
    </row>
    <row r="14" spans="1:16" ht="15" customHeight="1" x14ac:dyDescent="0.25">
      <c r="A14" s="397"/>
      <c r="B14" s="478">
        <f>B13+1</f>
        <v>5001</v>
      </c>
      <c r="C14" s="600" t="s">
        <v>6062</v>
      </c>
      <c r="D14" s="528">
        <f>B13</f>
        <v>5000</v>
      </c>
      <c r="E14" s="417">
        <v>333904718000000</v>
      </c>
      <c r="F14" s="418" t="s">
        <v>6942</v>
      </c>
      <c r="G14" s="603">
        <v>1</v>
      </c>
      <c r="H14" s="603">
        <v>0</v>
      </c>
      <c r="I14" s="601">
        <v>17</v>
      </c>
      <c r="J14" s="602" t="s">
        <v>7807</v>
      </c>
      <c r="K14" s="891">
        <v>0</v>
      </c>
      <c r="L14" s="891">
        <v>0</v>
      </c>
      <c r="M14" s="477">
        <f t="shared" si="1"/>
        <v>0</v>
      </c>
    </row>
    <row r="15" spans="1:16" ht="15" customHeight="1" x14ac:dyDescent="0.25">
      <c r="A15" s="397"/>
      <c r="B15" s="478">
        <f>B14+1</f>
        <v>5002</v>
      </c>
      <c r="C15" s="600" t="s">
        <v>6062</v>
      </c>
      <c r="D15" s="528">
        <f>D14</f>
        <v>5000</v>
      </c>
      <c r="E15" s="417">
        <v>333904718000000</v>
      </c>
      <c r="F15" s="418" t="s">
        <v>6943</v>
      </c>
      <c r="G15" s="603">
        <v>1</v>
      </c>
      <c r="H15" s="603">
        <v>0</v>
      </c>
      <c r="I15" s="601">
        <v>97</v>
      </c>
      <c r="J15" s="602" t="s">
        <v>5952</v>
      </c>
      <c r="K15" s="891">
        <v>0</v>
      </c>
      <c r="L15" s="891">
        <v>0</v>
      </c>
      <c r="M15" s="477">
        <f t="shared" si="1"/>
        <v>0</v>
      </c>
    </row>
    <row r="16" spans="1:16" ht="15" customHeight="1" x14ac:dyDescent="0.25">
      <c r="A16" s="397"/>
      <c r="B16" s="478">
        <f t="shared" ref="B16:B21" si="2">B15+1</f>
        <v>5003</v>
      </c>
      <c r="C16" s="600" t="s">
        <v>6062</v>
      </c>
      <c r="D16" s="528">
        <f t="shared" ref="D16:D21" si="3">D15</f>
        <v>5000</v>
      </c>
      <c r="E16" s="417">
        <v>333904718000000</v>
      </c>
      <c r="F16" s="418" t="s">
        <v>6944</v>
      </c>
      <c r="G16" s="603">
        <v>1</v>
      </c>
      <c r="H16" s="603">
        <v>0</v>
      </c>
      <c r="I16" s="601">
        <v>1335</v>
      </c>
      <c r="J16" s="602" t="s">
        <v>5954</v>
      </c>
      <c r="K16" s="891">
        <v>0</v>
      </c>
      <c r="L16" s="891">
        <v>0</v>
      </c>
      <c r="M16" s="477">
        <f t="shared" si="1"/>
        <v>0</v>
      </c>
    </row>
    <row r="17" spans="1:16" ht="15" customHeight="1" x14ac:dyDescent="0.25">
      <c r="A17" s="397"/>
      <c r="B17" s="478">
        <f t="shared" si="2"/>
        <v>5004</v>
      </c>
      <c r="C17" s="600" t="s">
        <v>6062</v>
      </c>
      <c r="D17" s="528">
        <f t="shared" si="3"/>
        <v>5000</v>
      </c>
      <c r="E17" s="417">
        <v>333904718000000</v>
      </c>
      <c r="F17" s="418" t="s">
        <v>6945</v>
      </c>
      <c r="G17" s="603">
        <v>1</v>
      </c>
      <c r="H17" s="603">
        <v>0</v>
      </c>
      <c r="I17" s="601">
        <v>1393</v>
      </c>
      <c r="J17" s="602" t="s">
        <v>5955</v>
      </c>
      <c r="K17" s="891">
        <v>0</v>
      </c>
      <c r="L17" s="891">
        <v>0</v>
      </c>
      <c r="M17" s="477">
        <f t="shared" si="1"/>
        <v>0</v>
      </c>
    </row>
    <row r="18" spans="1:16" ht="15" customHeight="1" x14ac:dyDescent="0.25">
      <c r="A18" s="397"/>
      <c r="B18" s="478">
        <f t="shared" si="2"/>
        <v>5005</v>
      </c>
      <c r="C18" s="600" t="s">
        <v>6062</v>
      </c>
      <c r="D18" s="528">
        <f t="shared" si="3"/>
        <v>5000</v>
      </c>
      <c r="E18" s="417">
        <v>333904720000000</v>
      </c>
      <c r="F18" s="418" t="s">
        <v>6946</v>
      </c>
      <c r="G18" s="603">
        <v>1</v>
      </c>
      <c r="H18" s="603">
        <v>0</v>
      </c>
      <c r="I18" s="601">
        <v>17</v>
      </c>
      <c r="J18" s="602" t="s">
        <v>7807</v>
      </c>
      <c r="K18" s="891">
        <v>0</v>
      </c>
      <c r="L18" s="891">
        <v>0</v>
      </c>
      <c r="M18" s="477">
        <f t="shared" si="1"/>
        <v>0</v>
      </c>
    </row>
    <row r="19" spans="1:16" ht="15" customHeight="1" x14ac:dyDescent="0.25">
      <c r="A19" s="397"/>
      <c r="B19" s="478">
        <f t="shared" si="2"/>
        <v>5006</v>
      </c>
      <c r="C19" s="600" t="s">
        <v>6062</v>
      </c>
      <c r="D19" s="528">
        <f t="shared" si="3"/>
        <v>5000</v>
      </c>
      <c r="E19" s="417">
        <v>333904720000000</v>
      </c>
      <c r="F19" s="418" t="s">
        <v>6947</v>
      </c>
      <c r="G19" s="603">
        <v>1</v>
      </c>
      <c r="H19" s="603">
        <v>0</v>
      </c>
      <c r="I19" s="601">
        <v>97</v>
      </c>
      <c r="J19" s="602" t="s">
        <v>5952</v>
      </c>
      <c r="K19" s="891">
        <v>0</v>
      </c>
      <c r="L19" s="891">
        <v>0</v>
      </c>
      <c r="M19" s="477">
        <f t="shared" si="1"/>
        <v>0</v>
      </c>
    </row>
    <row r="20" spans="1:16" ht="15" customHeight="1" x14ac:dyDescent="0.25">
      <c r="A20" s="397"/>
      <c r="B20" s="478">
        <f t="shared" si="2"/>
        <v>5007</v>
      </c>
      <c r="C20" s="600" t="s">
        <v>6062</v>
      </c>
      <c r="D20" s="528">
        <f t="shared" si="3"/>
        <v>5000</v>
      </c>
      <c r="E20" s="417">
        <v>333904720000000</v>
      </c>
      <c r="F20" s="418" t="s">
        <v>6948</v>
      </c>
      <c r="G20" s="603">
        <v>1</v>
      </c>
      <c r="H20" s="603">
        <v>0</v>
      </c>
      <c r="I20" s="601">
        <v>1335</v>
      </c>
      <c r="J20" s="602" t="s">
        <v>5954</v>
      </c>
      <c r="K20" s="891">
        <v>0</v>
      </c>
      <c r="L20" s="891">
        <v>0</v>
      </c>
      <c r="M20" s="477">
        <f t="shared" si="1"/>
        <v>0</v>
      </c>
    </row>
    <row r="21" spans="1:16" ht="15" customHeight="1" x14ac:dyDescent="0.25">
      <c r="A21" s="397"/>
      <c r="B21" s="478">
        <f t="shared" si="2"/>
        <v>5008</v>
      </c>
      <c r="C21" s="600" t="s">
        <v>6062</v>
      </c>
      <c r="D21" s="528">
        <f t="shared" si="3"/>
        <v>5000</v>
      </c>
      <c r="E21" s="417">
        <v>333904720000000</v>
      </c>
      <c r="F21" s="418" t="s">
        <v>6949</v>
      </c>
      <c r="G21" s="603">
        <v>1</v>
      </c>
      <c r="H21" s="603">
        <v>0</v>
      </c>
      <c r="I21" s="601">
        <v>1393</v>
      </c>
      <c r="J21" s="602" t="s">
        <v>5955</v>
      </c>
      <c r="K21" s="891">
        <v>0</v>
      </c>
      <c r="L21" s="891">
        <v>0</v>
      </c>
      <c r="M21" s="477">
        <f t="shared" si="1"/>
        <v>0</v>
      </c>
    </row>
    <row r="22" spans="1:16" s="115" customFormat="1" ht="15" customHeight="1" x14ac:dyDescent="0.25">
      <c r="A22" s="396"/>
      <c r="B22" s="1396">
        <v>5100</v>
      </c>
      <c r="C22" s="1396"/>
      <c r="D22" s="1396"/>
      <c r="E22" s="854">
        <v>344903000000000</v>
      </c>
      <c r="F22" s="855" t="s">
        <v>5836</v>
      </c>
      <c r="G22" s="468">
        <v>1</v>
      </c>
      <c r="H22" s="468">
        <v>0</v>
      </c>
      <c r="I22" s="751"/>
      <c r="J22" s="878" t="s">
        <v>5953</v>
      </c>
      <c r="K22" s="789">
        <f>'Parâmetros financeiros Despesa'!E94</f>
        <v>0</v>
      </c>
      <c r="L22" s="789">
        <f>('Parâmetros financeiros Despesa'!F93+'Parâmetros financeiros Despesa'!F94)*((1+'Parâmetros financeiros Despesa'!F$4)*(1+'Parâmetros financeiros Despesa'!F$5)*(1+'Parâmetros financeiros Despesa'!F$7)*(1+'Parâmetros financeiros Despesa'!F$83))</f>
        <v>2120.6511542399999</v>
      </c>
      <c r="M22" s="799">
        <f t="shared" ref="M22:M26" si="4">L22/L$230</f>
        <v>3.1241093237182453E-3</v>
      </c>
      <c r="N22" s="894"/>
      <c r="O22" s="894"/>
      <c r="P22" s="733"/>
    </row>
    <row r="23" spans="1:16" s="115" customFormat="1" ht="15" customHeight="1" x14ac:dyDescent="0.25">
      <c r="A23" s="396"/>
      <c r="B23" s="599">
        <f>B22+1</f>
        <v>5101</v>
      </c>
      <c r="C23" s="600" t="s">
        <v>6062</v>
      </c>
      <c r="D23" s="528">
        <f>B22</f>
        <v>5100</v>
      </c>
      <c r="E23" s="417">
        <v>344903099050000</v>
      </c>
      <c r="F23" s="418" t="s">
        <v>5958</v>
      </c>
      <c r="G23" s="603">
        <v>1</v>
      </c>
      <c r="H23" s="603">
        <v>0</v>
      </c>
      <c r="I23" s="601">
        <v>17</v>
      </c>
      <c r="J23" s="602" t="s">
        <v>7807</v>
      </c>
      <c r="K23" s="891">
        <v>0</v>
      </c>
      <c r="L23" s="891">
        <v>0</v>
      </c>
      <c r="M23" s="477">
        <f t="shared" si="4"/>
        <v>0</v>
      </c>
      <c r="N23" s="894"/>
      <c r="P23" s="733"/>
    </row>
    <row r="24" spans="1:16" s="115" customFormat="1" ht="15" customHeight="1" x14ac:dyDescent="0.25">
      <c r="A24" s="396"/>
      <c r="B24" s="478">
        <f>B23+1</f>
        <v>5102</v>
      </c>
      <c r="C24" s="600" t="s">
        <v>6062</v>
      </c>
      <c r="D24" s="528">
        <f>D23</f>
        <v>5100</v>
      </c>
      <c r="E24" s="417">
        <v>344903099050000</v>
      </c>
      <c r="F24" s="418" t="s">
        <v>2246</v>
      </c>
      <c r="G24" s="603">
        <v>1</v>
      </c>
      <c r="H24" s="603">
        <v>0</v>
      </c>
      <c r="I24" s="601">
        <v>97</v>
      </c>
      <c r="J24" s="602" t="s">
        <v>5952</v>
      </c>
      <c r="K24" s="891">
        <v>0</v>
      </c>
      <c r="L24" s="891">
        <v>0</v>
      </c>
      <c r="M24" s="477">
        <f t="shared" si="4"/>
        <v>0</v>
      </c>
      <c r="N24" s="894"/>
      <c r="P24" s="733"/>
    </row>
    <row r="25" spans="1:16" s="115" customFormat="1" ht="15" customHeight="1" x14ac:dyDescent="0.25">
      <c r="A25" s="396"/>
      <c r="B25" s="478">
        <f>B24+1</f>
        <v>5103</v>
      </c>
      <c r="C25" s="600" t="s">
        <v>6062</v>
      </c>
      <c r="D25" s="528">
        <f>D24</f>
        <v>5100</v>
      </c>
      <c r="E25" s="417">
        <v>344903099050000</v>
      </c>
      <c r="F25" s="418" t="s">
        <v>5959</v>
      </c>
      <c r="G25" s="603">
        <v>1</v>
      </c>
      <c r="H25" s="603">
        <v>0</v>
      </c>
      <c r="I25" s="601">
        <v>1335</v>
      </c>
      <c r="J25" s="602" t="s">
        <v>5954</v>
      </c>
      <c r="K25" s="891">
        <v>0</v>
      </c>
      <c r="L25" s="891">
        <v>0</v>
      </c>
      <c r="M25" s="477">
        <f t="shared" si="4"/>
        <v>0</v>
      </c>
      <c r="N25" s="894"/>
      <c r="P25" s="733"/>
    </row>
    <row r="26" spans="1:16" s="115" customFormat="1" ht="15" customHeight="1" x14ac:dyDescent="0.25">
      <c r="A26" s="396"/>
      <c r="B26" s="478">
        <f>B25+1</f>
        <v>5104</v>
      </c>
      <c r="C26" s="600" t="s">
        <v>6062</v>
      </c>
      <c r="D26" s="528">
        <f>D25</f>
        <v>5100</v>
      </c>
      <c r="E26" s="417">
        <v>344903099050000</v>
      </c>
      <c r="F26" s="418" t="s">
        <v>5960</v>
      </c>
      <c r="G26" s="603">
        <v>1</v>
      </c>
      <c r="H26" s="603">
        <v>0</v>
      </c>
      <c r="I26" s="601">
        <v>1393</v>
      </c>
      <c r="J26" s="602" t="s">
        <v>5955</v>
      </c>
      <c r="K26" s="891">
        <v>0</v>
      </c>
      <c r="L26" s="891">
        <v>0</v>
      </c>
      <c r="M26" s="477">
        <f t="shared" si="4"/>
        <v>0</v>
      </c>
      <c r="N26" s="894"/>
      <c r="P26" s="733"/>
    </row>
    <row r="27" spans="1:16" s="457" customFormat="1" ht="15" customHeight="1" x14ac:dyDescent="0.25">
      <c r="A27" s="396"/>
      <c r="B27" s="1398" t="s">
        <v>6564</v>
      </c>
      <c r="C27" s="1398"/>
      <c r="D27" s="1398"/>
      <c r="E27" s="854">
        <v>344903600000000</v>
      </c>
      <c r="F27" s="855" t="s">
        <v>5837</v>
      </c>
      <c r="G27" s="468">
        <v>1</v>
      </c>
      <c r="H27" s="468">
        <v>0</v>
      </c>
      <c r="I27" s="751"/>
      <c r="J27" s="878" t="s">
        <v>5953</v>
      </c>
      <c r="K27" s="789">
        <f>'Parâmetros financeiros Despesa'!E95</f>
        <v>0</v>
      </c>
      <c r="L27" s="789">
        <f>('Parâmetros financeiros Despesa'!F95)*((1+'Parâmetros financeiros Despesa'!F$4)*(1+'Parâmetros financeiros Despesa'!F$5)*(1+'Parâmetros financeiros Despesa'!F$7)*(1+'Parâmetros financeiros Despesa'!F$83))</f>
        <v>1060.3255771199999</v>
      </c>
      <c r="M27" s="799">
        <f t="shared" ref="M27:M31" si="5">L27/L$230</f>
        <v>1.5620546618591226E-3</v>
      </c>
      <c r="N27" s="894"/>
      <c r="O27" s="894"/>
      <c r="P27" s="734"/>
    </row>
    <row r="28" spans="1:16" s="457" customFormat="1" ht="15" customHeight="1" x14ac:dyDescent="0.25">
      <c r="A28" s="396"/>
      <c r="B28" s="599">
        <f>B27+1</f>
        <v>5201</v>
      </c>
      <c r="C28" s="600" t="s">
        <v>6062</v>
      </c>
      <c r="D28" s="600" t="str">
        <f>B27</f>
        <v>5200</v>
      </c>
      <c r="E28" s="417">
        <v>344903699010000</v>
      </c>
      <c r="F28" s="418" t="s">
        <v>5961</v>
      </c>
      <c r="G28" s="603">
        <v>1</v>
      </c>
      <c r="H28" s="603">
        <v>0</v>
      </c>
      <c r="I28" s="601">
        <v>17</v>
      </c>
      <c r="J28" s="602" t="s">
        <v>7807</v>
      </c>
      <c r="K28" s="891">
        <v>0</v>
      </c>
      <c r="L28" s="891">
        <v>0</v>
      </c>
      <c r="M28" s="477">
        <f t="shared" si="5"/>
        <v>0</v>
      </c>
      <c r="N28" s="895"/>
      <c r="P28" s="734"/>
    </row>
    <row r="29" spans="1:16" s="457" customFormat="1" ht="15" customHeight="1" x14ac:dyDescent="0.25">
      <c r="A29" s="396"/>
      <c r="B29" s="478">
        <f>B28+1</f>
        <v>5202</v>
      </c>
      <c r="C29" s="600" t="s">
        <v>6062</v>
      </c>
      <c r="D29" s="528" t="str">
        <f>D28</f>
        <v>5200</v>
      </c>
      <c r="E29" s="417">
        <v>344903699010000</v>
      </c>
      <c r="F29" s="418" t="s">
        <v>5962</v>
      </c>
      <c r="G29" s="603">
        <v>1</v>
      </c>
      <c r="H29" s="603">
        <v>0</v>
      </c>
      <c r="I29" s="601">
        <v>97</v>
      </c>
      <c r="J29" s="602" t="s">
        <v>5952</v>
      </c>
      <c r="K29" s="891">
        <v>0</v>
      </c>
      <c r="L29" s="891">
        <v>0</v>
      </c>
      <c r="M29" s="477">
        <f t="shared" si="5"/>
        <v>0</v>
      </c>
      <c r="N29" s="895"/>
      <c r="P29" s="734"/>
    </row>
    <row r="30" spans="1:16" s="457" customFormat="1" ht="15" customHeight="1" x14ac:dyDescent="0.25">
      <c r="A30" s="396"/>
      <c r="B30" s="478">
        <f>B29+1</f>
        <v>5203</v>
      </c>
      <c r="C30" s="600" t="s">
        <v>6062</v>
      </c>
      <c r="D30" s="528" t="str">
        <f>D29</f>
        <v>5200</v>
      </c>
      <c r="E30" s="417">
        <v>344903699010000</v>
      </c>
      <c r="F30" s="418" t="s">
        <v>5963</v>
      </c>
      <c r="G30" s="603">
        <v>1</v>
      </c>
      <c r="H30" s="603">
        <v>0</v>
      </c>
      <c r="I30" s="601">
        <v>1393</v>
      </c>
      <c r="J30" s="602" t="s">
        <v>5954</v>
      </c>
      <c r="K30" s="891">
        <v>0</v>
      </c>
      <c r="L30" s="891">
        <v>0</v>
      </c>
      <c r="M30" s="477">
        <f t="shared" si="5"/>
        <v>0</v>
      </c>
      <c r="N30" s="895"/>
      <c r="P30" s="734"/>
    </row>
    <row r="31" spans="1:16" s="458" customFormat="1" ht="15" customHeight="1" x14ac:dyDescent="0.25">
      <c r="A31" s="397"/>
      <c r="B31" s="478">
        <f>B30+1</f>
        <v>5204</v>
      </c>
      <c r="C31" s="600" t="s">
        <v>6062</v>
      </c>
      <c r="D31" s="528" t="str">
        <f>D30</f>
        <v>5200</v>
      </c>
      <c r="E31" s="417">
        <v>344903699010000</v>
      </c>
      <c r="F31" s="418" t="s">
        <v>5964</v>
      </c>
      <c r="G31" s="603">
        <v>1</v>
      </c>
      <c r="H31" s="603">
        <v>0</v>
      </c>
      <c r="I31" s="601">
        <v>97</v>
      </c>
      <c r="J31" s="602" t="s">
        <v>5955</v>
      </c>
      <c r="K31" s="891">
        <v>0</v>
      </c>
      <c r="L31" s="891">
        <v>0</v>
      </c>
      <c r="M31" s="477">
        <f t="shared" si="5"/>
        <v>0</v>
      </c>
      <c r="N31" s="896"/>
      <c r="P31" s="735"/>
    </row>
    <row r="32" spans="1:16" s="457" customFormat="1" ht="15" customHeight="1" x14ac:dyDescent="0.25">
      <c r="A32" s="396"/>
      <c r="B32" s="1398" t="s">
        <v>6565</v>
      </c>
      <c r="C32" s="1398"/>
      <c r="D32" s="1398"/>
      <c r="E32" s="854">
        <v>344903900000000</v>
      </c>
      <c r="F32" s="855" t="s">
        <v>5838</v>
      </c>
      <c r="G32" s="468">
        <v>1</v>
      </c>
      <c r="H32" s="468">
        <v>0</v>
      </c>
      <c r="I32" s="751"/>
      <c r="J32" s="878" t="s">
        <v>5953</v>
      </c>
      <c r="K32" s="789">
        <f>'Parâmetros financeiros Despesa'!E96</f>
        <v>0</v>
      </c>
      <c r="L32" s="789">
        <f>('Parâmetros financeiros Despesa'!F96+'Parâmetros financeiros Despesa'!F97)*((1+'Parâmetros financeiros Despesa'!F$4)*(1+'Parâmetros financeiros Despesa'!F$5)*(1+'Parâmetros financeiros Despesa'!F$7)*(1+'Parâmetros financeiros Despesa'!F$83))</f>
        <v>2120.6511542399999</v>
      </c>
      <c r="M32" s="799">
        <f t="shared" ref="M32:M36" si="6">L32/L$230</f>
        <v>3.1241093237182453E-3</v>
      </c>
      <c r="N32" s="894"/>
      <c r="O32" s="894"/>
      <c r="P32" s="734"/>
    </row>
    <row r="33" spans="1:16" s="458" customFormat="1" ht="15" customHeight="1" x14ac:dyDescent="0.25">
      <c r="A33" s="397"/>
      <c r="B33" s="599">
        <f>B32+1</f>
        <v>5301</v>
      </c>
      <c r="C33" s="600" t="s">
        <v>6062</v>
      </c>
      <c r="D33" s="600" t="str">
        <f>B32</f>
        <v>5300</v>
      </c>
      <c r="E33" s="417">
        <v>344903999050000</v>
      </c>
      <c r="F33" s="418" t="s">
        <v>5961</v>
      </c>
      <c r="G33" s="603">
        <v>1</v>
      </c>
      <c r="H33" s="603">
        <v>0</v>
      </c>
      <c r="I33" s="601">
        <v>17</v>
      </c>
      <c r="J33" s="602" t="s">
        <v>7807</v>
      </c>
      <c r="K33" s="891">
        <v>0</v>
      </c>
      <c r="L33" s="891">
        <v>0</v>
      </c>
      <c r="M33" s="477">
        <f t="shared" si="6"/>
        <v>0</v>
      </c>
      <c r="N33" s="896"/>
      <c r="P33" s="735"/>
    </row>
    <row r="34" spans="1:16" s="458" customFormat="1" ht="15" customHeight="1" x14ac:dyDescent="0.25">
      <c r="A34" s="397"/>
      <c r="B34" s="478">
        <f>B33+1</f>
        <v>5302</v>
      </c>
      <c r="C34" s="600" t="s">
        <v>6062</v>
      </c>
      <c r="D34" s="528" t="str">
        <f>D33</f>
        <v>5300</v>
      </c>
      <c r="E34" s="417">
        <v>344903999050000</v>
      </c>
      <c r="F34" s="418" t="s">
        <v>5962</v>
      </c>
      <c r="G34" s="603">
        <v>1</v>
      </c>
      <c r="H34" s="603">
        <v>0</v>
      </c>
      <c r="I34" s="601">
        <v>97</v>
      </c>
      <c r="J34" s="602" t="s">
        <v>5952</v>
      </c>
      <c r="K34" s="891">
        <v>0</v>
      </c>
      <c r="L34" s="891">
        <v>0</v>
      </c>
      <c r="M34" s="477">
        <f t="shared" si="6"/>
        <v>0</v>
      </c>
      <c r="N34" s="896"/>
      <c r="P34" s="735"/>
    </row>
    <row r="35" spans="1:16" s="458" customFormat="1" ht="15" customHeight="1" x14ac:dyDescent="0.25">
      <c r="A35" s="397"/>
      <c r="B35" s="478">
        <f>B34+1</f>
        <v>5303</v>
      </c>
      <c r="C35" s="600" t="s">
        <v>6062</v>
      </c>
      <c r="D35" s="528" t="str">
        <f>D34</f>
        <v>5300</v>
      </c>
      <c r="E35" s="417">
        <v>344903999050000</v>
      </c>
      <c r="F35" s="418" t="s">
        <v>5963</v>
      </c>
      <c r="G35" s="603">
        <v>1</v>
      </c>
      <c r="H35" s="603">
        <v>0</v>
      </c>
      <c r="I35" s="601">
        <v>1393</v>
      </c>
      <c r="J35" s="602" t="s">
        <v>5954</v>
      </c>
      <c r="K35" s="891">
        <v>0</v>
      </c>
      <c r="L35" s="891">
        <v>0</v>
      </c>
      <c r="M35" s="477">
        <f t="shared" si="6"/>
        <v>0</v>
      </c>
      <c r="N35" s="896"/>
      <c r="P35" s="735"/>
    </row>
    <row r="36" spans="1:16" s="458" customFormat="1" ht="15" customHeight="1" x14ac:dyDescent="0.25">
      <c r="A36" s="397"/>
      <c r="B36" s="478">
        <f>B35+1</f>
        <v>5304</v>
      </c>
      <c r="C36" s="600" t="s">
        <v>6062</v>
      </c>
      <c r="D36" s="528" t="str">
        <f>D35</f>
        <v>5300</v>
      </c>
      <c r="E36" s="417">
        <v>344903999050000</v>
      </c>
      <c r="F36" s="418" t="s">
        <v>5964</v>
      </c>
      <c r="G36" s="603">
        <v>1</v>
      </c>
      <c r="H36" s="603">
        <v>0</v>
      </c>
      <c r="I36" s="601">
        <v>97</v>
      </c>
      <c r="J36" s="602" t="s">
        <v>5955</v>
      </c>
      <c r="K36" s="891">
        <v>0</v>
      </c>
      <c r="L36" s="891">
        <v>0</v>
      </c>
      <c r="M36" s="477">
        <f t="shared" si="6"/>
        <v>0</v>
      </c>
      <c r="N36" s="896"/>
      <c r="P36" s="735"/>
    </row>
    <row r="37" spans="1:16" s="457" customFormat="1" ht="15" customHeight="1" x14ac:dyDescent="0.25">
      <c r="A37" s="396"/>
      <c r="B37" s="1398" t="s">
        <v>6566</v>
      </c>
      <c r="C37" s="1398"/>
      <c r="D37" s="1398"/>
      <c r="E37" s="854">
        <v>344905200000000</v>
      </c>
      <c r="F37" s="855" t="s">
        <v>5839</v>
      </c>
      <c r="G37" s="468">
        <v>1</v>
      </c>
      <c r="H37" s="468">
        <v>0</v>
      </c>
      <c r="I37" s="751"/>
      <c r="J37" s="878" t="s">
        <v>5953</v>
      </c>
      <c r="K37" s="789">
        <f>'Parâmetros financeiros Despesa'!E97</f>
        <v>0</v>
      </c>
      <c r="L37" s="789">
        <f>('Parâmetros financeiros Despesa'!F98+'Parâmetros financeiros Despesa'!F99)*((1+'Parâmetros financeiros Despesa'!F$4)*(1+'Parâmetros financeiros Despesa'!F$5)*(1+'Parâmetros financeiros Despesa'!F$7)*(1+'Parâmetros financeiros Despesa'!F$83))</f>
        <v>4638.9243998999991</v>
      </c>
      <c r="M37" s="799">
        <f t="shared" ref="M37:M41" si="7">L37/L$230</f>
        <v>6.8339891456336609E-3</v>
      </c>
      <c r="N37" s="894"/>
      <c r="O37" s="894"/>
      <c r="P37" s="734"/>
    </row>
    <row r="38" spans="1:16" ht="15" customHeight="1" x14ac:dyDescent="0.25">
      <c r="A38" s="397"/>
      <c r="B38" s="599">
        <f>B37+1</f>
        <v>5401</v>
      </c>
      <c r="C38" s="600" t="s">
        <v>6062</v>
      </c>
      <c r="D38" s="600" t="str">
        <f>B37</f>
        <v>5400</v>
      </c>
      <c r="E38" s="417">
        <v>344905212000000</v>
      </c>
      <c r="F38" s="418" t="s">
        <v>6071</v>
      </c>
      <c r="G38" s="603">
        <v>1</v>
      </c>
      <c r="H38" s="603">
        <v>0</v>
      </c>
      <c r="I38" s="601">
        <v>17</v>
      </c>
      <c r="J38" s="602" t="s">
        <v>5957</v>
      </c>
      <c r="K38" s="891">
        <v>0</v>
      </c>
      <c r="L38" s="891">
        <v>0</v>
      </c>
      <c r="M38" s="477">
        <f t="shared" si="7"/>
        <v>0</v>
      </c>
    </row>
    <row r="39" spans="1:16" ht="15" customHeight="1" x14ac:dyDescent="0.25">
      <c r="A39" s="397"/>
      <c r="B39" s="478">
        <f>B38+1</f>
        <v>5402</v>
      </c>
      <c r="C39" s="600" t="s">
        <v>6062</v>
      </c>
      <c r="D39" s="528" t="str">
        <f>D38</f>
        <v>5400</v>
      </c>
      <c r="E39" s="417">
        <v>344905235000000</v>
      </c>
      <c r="F39" s="418" t="s">
        <v>6073</v>
      </c>
      <c r="G39" s="603">
        <v>1</v>
      </c>
      <c r="H39" s="603">
        <v>0</v>
      </c>
      <c r="I39" s="601">
        <v>97</v>
      </c>
      <c r="J39" s="602" t="s">
        <v>5952</v>
      </c>
      <c r="K39" s="891">
        <v>0</v>
      </c>
      <c r="L39" s="891">
        <v>0</v>
      </c>
      <c r="M39" s="477">
        <f t="shared" si="7"/>
        <v>0</v>
      </c>
    </row>
    <row r="40" spans="1:16" ht="15" customHeight="1" x14ac:dyDescent="0.25">
      <c r="A40" s="397"/>
      <c r="B40" s="478">
        <f>B39+1</f>
        <v>5403</v>
      </c>
      <c r="C40" s="600" t="s">
        <v>6062</v>
      </c>
      <c r="D40" s="528" t="str">
        <f>D39</f>
        <v>5400</v>
      </c>
      <c r="E40" s="417">
        <v>344905242000000</v>
      </c>
      <c r="F40" s="418" t="s">
        <v>6072</v>
      </c>
      <c r="G40" s="603">
        <v>1</v>
      </c>
      <c r="H40" s="603">
        <v>0</v>
      </c>
      <c r="I40" s="601">
        <v>1335</v>
      </c>
      <c r="J40" s="602" t="s">
        <v>5954</v>
      </c>
      <c r="K40" s="891">
        <v>0</v>
      </c>
      <c r="L40" s="891">
        <v>0</v>
      </c>
      <c r="M40" s="477">
        <f t="shared" si="7"/>
        <v>0</v>
      </c>
    </row>
    <row r="41" spans="1:16" ht="15" customHeight="1" x14ac:dyDescent="0.25">
      <c r="A41" s="397"/>
      <c r="B41" s="478">
        <f>B40+1</f>
        <v>5404</v>
      </c>
      <c r="C41" s="600" t="s">
        <v>6062</v>
      </c>
      <c r="D41" s="528" t="str">
        <f>D40</f>
        <v>5400</v>
      </c>
      <c r="E41" s="417">
        <v>344905299000000</v>
      </c>
      <c r="F41" s="418" t="s">
        <v>6074</v>
      </c>
      <c r="G41" s="603">
        <v>1</v>
      </c>
      <c r="H41" s="603">
        <v>0</v>
      </c>
      <c r="I41" s="601">
        <v>1393</v>
      </c>
      <c r="J41" s="602" t="s">
        <v>5955</v>
      </c>
      <c r="K41" s="891">
        <v>0</v>
      </c>
      <c r="L41" s="891">
        <v>0</v>
      </c>
      <c r="M41" s="477">
        <f t="shared" si="7"/>
        <v>0</v>
      </c>
    </row>
    <row r="42" spans="1:16" s="115" customFormat="1" ht="15" customHeight="1" x14ac:dyDescent="0.25">
      <c r="A42" s="396"/>
      <c r="B42" s="1385" t="s">
        <v>5951</v>
      </c>
      <c r="C42" s="1385"/>
      <c r="D42" s="1385"/>
      <c r="E42" s="1385"/>
      <c r="F42" s="1385"/>
      <c r="G42" s="401"/>
      <c r="H42" s="401"/>
      <c r="I42" s="426"/>
      <c r="J42" s="411"/>
      <c r="K42" s="402">
        <f t="shared" ref="K42:L44" si="8">K43</f>
        <v>0</v>
      </c>
      <c r="L42" s="402">
        <f t="shared" si="8"/>
        <v>88759.734155299986</v>
      </c>
      <c r="M42" s="451">
        <f>L42/L$230</f>
        <v>0.13075941910148944</v>
      </c>
      <c r="N42" s="894"/>
      <c r="P42" s="733"/>
    </row>
    <row r="43" spans="1:16" s="604" customFormat="1" ht="15" customHeight="1" x14ac:dyDescent="0.25">
      <c r="A43" s="396"/>
      <c r="B43" s="1386" t="s">
        <v>6900</v>
      </c>
      <c r="C43" s="1386"/>
      <c r="D43" s="1386"/>
      <c r="E43" s="1386"/>
      <c r="F43" s="1386"/>
      <c r="G43" s="403"/>
      <c r="H43" s="403"/>
      <c r="I43" s="427"/>
      <c r="J43" s="412"/>
      <c r="K43" s="404">
        <f t="shared" si="8"/>
        <v>0</v>
      </c>
      <c r="L43" s="404">
        <f t="shared" si="8"/>
        <v>88759.734155299986</v>
      </c>
      <c r="M43" s="452">
        <f>L43/L$230</f>
        <v>0.13075941910148944</v>
      </c>
      <c r="N43" s="796"/>
      <c r="P43" s="399"/>
    </row>
    <row r="44" spans="1:16" s="604" customFormat="1" ht="15" customHeight="1" x14ac:dyDescent="0.25">
      <c r="A44" s="396"/>
      <c r="B44" s="1382" t="s">
        <v>2286</v>
      </c>
      <c r="C44" s="1382"/>
      <c r="D44" s="1382"/>
      <c r="E44" s="1382"/>
      <c r="F44" s="1382"/>
      <c r="G44" s="405"/>
      <c r="H44" s="405"/>
      <c r="I44" s="428"/>
      <c r="J44" s="413"/>
      <c r="K44" s="406">
        <f t="shared" si="8"/>
        <v>0</v>
      </c>
      <c r="L44" s="406">
        <f t="shared" si="8"/>
        <v>88759.734155299986</v>
      </c>
      <c r="M44" s="453">
        <f>L44/L$230</f>
        <v>0.13075941910148944</v>
      </c>
      <c r="N44" s="796"/>
      <c r="P44" s="399"/>
    </row>
    <row r="45" spans="1:16" s="604" customFormat="1" ht="15" customHeight="1" x14ac:dyDescent="0.25">
      <c r="A45" s="396"/>
      <c r="B45" s="1383" t="s">
        <v>2290</v>
      </c>
      <c r="C45" s="1383"/>
      <c r="D45" s="1383"/>
      <c r="E45" s="1383"/>
      <c r="F45" s="1383"/>
      <c r="G45" s="407"/>
      <c r="H45" s="407"/>
      <c r="I45" s="429"/>
      <c r="J45" s="414"/>
      <c r="K45" s="408">
        <f>K46+K49+K51+K53+K55</f>
        <v>0</v>
      </c>
      <c r="L45" s="408">
        <f>L46+L49+L51+L53+L55-0.01</f>
        <v>88759.734155299986</v>
      </c>
      <c r="M45" s="1007">
        <f>L45/L$230</f>
        <v>0.13075941910148944</v>
      </c>
      <c r="N45" s="796"/>
      <c r="P45" s="399"/>
    </row>
    <row r="46" spans="1:16" s="604" customFormat="1" ht="15" customHeight="1" x14ac:dyDescent="0.25">
      <c r="A46" s="396"/>
      <c r="B46" s="1396">
        <v>5500</v>
      </c>
      <c r="C46" s="1396"/>
      <c r="D46" s="1396"/>
      <c r="E46" s="417">
        <v>333904700000000</v>
      </c>
      <c r="F46" s="600" t="s">
        <v>6889</v>
      </c>
      <c r="G46" s="468">
        <v>1</v>
      </c>
      <c r="H46" s="468">
        <v>0</v>
      </c>
      <c r="I46" s="751"/>
      <c r="J46" s="878" t="s">
        <v>6898</v>
      </c>
      <c r="K46" s="789">
        <f>'Parâmetros financeiros Despesa'!E101</f>
        <v>0</v>
      </c>
      <c r="L46" s="789">
        <f>((('Parâmetros financeiros Despesa'!F102+'Parâmetros financeiros Despesa'!F103+'Parâmetros financeiros Despesa'!F105))*((1+'Parâmetros financeiros Despesa'!F$4)*(1+'Parâmetros financeiros Despesa'!F$7)))*(1+'Parâmetros financeiros Despesa'!F$83)</f>
        <v>3270.9945000000002</v>
      </c>
      <c r="M46" s="799">
        <f t="shared" ref="M46" si="9">L46/L$230</f>
        <v>4.8187767209375704E-3</v>
      </c>
      <c r="N46" s="894"/>
      <c r="O46" s="894"/>
      <c r="P46" s="399"/>
    </row>
    <row r="47" spans="1:16" s="604" customFormat="1" ht="15" customHeight="1" x14ac:dyDescent="0.25">
      <c r="A47" s="397"/>
      <c r="B47" s="478">
        <f>B46+1</f>
        <v>5501</v>
      </c>
      <c r="C47" s="600" t="s">
        <v>6062</v>
      </c>
      <c r="D47" s="528">
        <f>B46</f>
        <v>5500</v>
      </c>
      <c r="E47" s="417">
        <v>333904718000000</v>
      </c>
      <c r="F47" s="418" t="s">
        <v>6893</v>
      </c>
      <c r="G47" s="603">
        <v>1</v>
      </c>
      <c r="H47" s="603">
        <v>0</v>
      </c>
      <c r="I47" s="601">
        <v>17</v>
      </c>
      <c r="J47" s="602" t="s">
        <v>6899</v>
      </c>
      <c r="K47" s="891">
        <v>0</v>
      </c>
      <c r="L47" s="891">
        <v>0</v>
      </c>
      <c r="M47" s="477">
        <f t="shared" ref="M47:M49" si="10">L47/L$230</f>
        <v>0</v>
      </c>
      <c r="N47" s="796"/>
      <c r="P47" s="399"/>
    </row>
    <row r="48" spans="1:16" s="604" customFormat="1" ht="15" customHeight="1" x14ac:dyDescent="0.25">
      <c r="A48" s="397"/>
      <c r="B48" s="478">
        <f>B47+1</f>
        <v>5502</v>
      </c>
      <c r="C48" s="600" t="s">
        <v>6062</v>
      </c>
      <c r="D48" s="528">
        <f>D47</f>
        <v>5500</v>
      </c>
      <c r="E48" s="417">
        <v>333904720000000</v>
      </c>
      <c r="F48" s="418" t="s">
        <v>6894</v>
      </c>
      <c r="G48" s="603">
        <v>1</v>
      </c>
      <c r="H48" s="603">
        <v>0</v>
      </c>
      <c r="I48" s="601">
        <v>1393</v>
      </c>
      <c r="J48" s="602" t="s">
        <v>6899</v>
      </c>
      <c r="K48" s="891">
        <v>0</v>
      </c>
      <c r="L48" s="891">
        <v>0</v>
      </c>
      <c r="M48" s="477">
        <f t="shared" si="10"/>
        <v>0</v>
      </c>
      <c r="N48" s="796"/>
      <c r="P48" s="399"/>
    </row>
    <row r="49" spans="1:16" s="115" customFormat="1" ht="15" customHeight="1" x14ac:dyDescent="0.25">
      <c r="A49" s="396"/>
      <c r="B49" s="1396">
        <v>5600</v>
      </c>
      <c r="C49" s="1396"/>
      <c r="D49" s="1396"/>
      <c r="E49" s="854">
        <v>344903000000000</v>
      </c>
      <c r="F49" s="855" t="s">
        <v>6890</v>
      </c>
      <c r="G49" s="468">
        <v>1</v>
      </c>
      <c r="H49" s="468">
        <v>0</v>
      </c>
      <c r="I49" s="751"/>
      <c r="J49" s="878" t="s">
        <v>6898</v>
      </c>
      <c r="K49" s="789">
        <f>'Parâmetros financeiros Despesa'!E102</f>
        <v>0</v>
      </c>
      <c r="L49" s="789">
        <f>('Parâmetros financeiros Despesa'!F101+'Parâmetros financeiros Despesa'!F102)*((1+'Parâmetros financeiros Despesa'!F$4)*(1+'Parâmetros financeiros Despesa'!F$5)*(1+'Parâmetros financeiros Despesa'!F$7)*(1+'Parâmetros financeiros Despesa'!F$83))</f>
        <v>2650.8139427999995</v>
      </c>
      <c r="M49" s="799">
        <f t="shared" si="10"/>
        <v>3.905136654647806E-3</v>
      </c>
      <c r="N49" s="894"/>
      <c r="O49" s="894"/>
      <c r="P49" s="733"/>
    </row>
    <row r="50" spans="1:16" s="115" customFormat="1" ht="15" customHeight="1" x14ac:dyDescent="0.25">
      <c r="A50" s="396"/>
      <c r="B50" s="599">
        <f>B49+1</f>
        <v>5601</v>
      </c>
      <c r="C50" s="600" t="s">
        <v>6062</v>
      </c>
      <c r="D50" s="528">
        <f>B49</f>
        <v>5600</v>
      </c>
      <c r="E50" s="417">
        <v>344903099050000</v>
      </c>
      <c r="F50" s="418" t="s">
        <v>6895</v>
      </c>
      <c r="G50" s="603">
        <v>1</v>
      </c>
      <c r="H50" s="603">
        <v>0</v>
      </c>
      <c r="I50" s="601">
        <v>17</v>
      </c>
      <c r="J50" s="602" t="s">
        <v>7807</v>
      </c>
      <c r="K50" s="891">
        <v>0</v>
      </c>
      <c r="L50" s="891">
        <v>0</v>
      </c>
      <c r="M50" s="477">
        <f t="shared" ref="M50:M51" si="11">L50/L$230</f>
        <v>0</v>
      </c>
      <c r="N50" s="894"/>
      <c r="P50" s="733"/>
    </row>
    <row r="51" spans="1:16" s="457" customFormat="1" ht="15" customHeight="1" x14ac:dyDescent="0.25">
      <c r="A51" s="396"/>
      <c r="B51" s="1398" t="s">
        <v>6901</v>
      </c>
      <c r="C51" s="1398"/>
      <c r="D51" s="1398"/>
      <c r="E51" s="854">
        <v>344903600000000</v>
      </c>
      <c r="F51" s="855" t="s">
        <v>6891</v>
      </c>
      <c r="G51" s="468">
        <v>1</v>
      </c>
      <c r="H51" s="468">
        <v>0</v>
      </c>
      <c r="I51" s="751"/>
      <c r="J51" s="878" t="s">
        <v>6898</v>
      </c>
      <c r="K51" s="789">
        <f>'Parâmetros financeiros Despesa'!E103</f>
        <v>0</v>
      </c>
      <c r="L51" s="789">
        <f>('Parâmetros financeiros Despesa'!F103)*((1+'Parâmetros financeiros Despesa'!F$4)*(1+'Parâmetros financeiros Despesa'!F$5)*(1+'Parâmetros financeiros Despesa'!F$7)*(1+'Parâmetros financeiros Despesa'!F$83))</f>
        <v>662.70348569999987</v>
      </c>
      <c r="M51" s="799">
        <f t="shared" si="11"/>
        <v>9.7628416366195151E-4</v>
      </c>
      <c r="N51" s="894"/>
      <c r="O51" s="894"/>
      <c r="P51" s="734"/>
    </row>
    <row r="52" spans="1:16" s="458" customFormat="1" ht="15" customHeight="1" x14ac:dyDescent="0.25">
      <c r="A52" s="397"/>
      <c r="B52" s="478">
        <v>5701</v>
      </c>
      <c r="C52" s="600" t="s">
        <v>6062</v>
      </c>
      <c r="D52" s="528">
        <v>5700</v>
      </c>
      <c r="E52" s="417">
        <v>344903699010000</v>
      </c>
      <c r="F52" s="418" t="s">
        <v>6896</v>
      </c>
      <c r="G52" s="603">
        <v>1</v>
      </c>
      <c r="H52" s="603">
        <v>0</v>
      </c>
      <c r="I52" s="601">
        <v>97</v>
      </c>
      <c r="J52" s="602" t="s">
        <v>6899</v>
      </c>
      <c r="K52" s="891">
        <v>0</v>
      </c>
      <c r="L52" s="891">
        <v>0</v>
      </c>
      <c r="M52" s="477">
        <f t="shared" ref="M52:M53" si="12">L52/L$230</f>
        <v>0</v>
      </c>
      <c r="N52" s="896"/>
      <c r="P52" s="735"/>
    </row>
    <row r="53" spans="1:16" s="457" customFormat="1" ht="15" customHeight="1" x14ac:dyDescent="0.25">
      <c r="A53" s="396"/>
      <c r="B53" s="1398" t="s">
        <v>6902</v>
      </c>
      <c r="C53" s="1398"/>
      <c r="D53" s="1398"/>
      <c r="E53" s="854">
        <v>344903900000000</v>
      </c>
      <c r="F53" s="855" t="s">
        <v>6892</v>
      </c>
      <c r="G53" s="468">
        <v>1</v>
      </c>
      <c r="H53" s="468">
        <v>0</v>
      </c>
      <c r="I53" s="751"/>
      <c r="J53" s="878" t="s">
        <v>6898</v>
      </c>
      <c r="K53" s="789">
        <f>'Parâmetros financeiros Despesa'!E104</f>
        <v>0</v>
      </c>
      <c r="L53" s="789">
        <f>('Parâmetros financeiros Despesa'!F104+'Parâmetros financeiros Despesa'!F105)*((1+'Parâmetros financeiros Despesa'!F$4)*(1+'Parâmetros financeiros Despesa'!F$5)*(1+'Parâmetros financeiros Despesa'!F$7)*(1+'Parâmetros financeiros Despesa'!F$83))</f>
        <v>2650.8139427999995</v>
      </c>
      <c r="M53" s="799">
        <f t="shared" si="12"/>
        <v>3.905136654647806E-3</v>
      </c>
      <c r="N53" s="894"/>
      <c r="O53" s="894"/>
      <c r="P53" s="734"/>
    </row>
    <row r="54" spans="1:16" s="458" customFormat="1" ht="15" customHeight="1" x14ac:dyDescent="0.25">
      <c r="A54" s="397"/>
      <c r="B54" s="478">
        <v>5801</v>
      </c>
      <c r="C54" s="600" t="s">
        <v>6062</v>
      </c>
      <c r="D54" s="528">
        <v>5800</v>
      </c>
      <c r="E54" s="417">
        <v>344903999050000</v>
      </c>
      <c r="F54" s="418" t="s">
        <v>6897</v>
      </c>
      <c r="G54" s="603">
        <v>1</v>
      </c>
      <c r="H54" s="603">
        <v>0</v>
      </c>
      <c r="I54" s="601">
        <v>97</v>
      </c>
      <c r="J54" s="602" t="s">
        <v>6899</v>
      </c>
      <c r="K54" s="891">
        <v>0</v>
      </c>
      <c r="L54" s="891">
        <v>0</v>
      </c>
      <c r="M54" s="477">
        <f t="shared" ref="M54:M55" si="13">L54/L$230</f>
        <v>0</v>
      </c>
      <c r="N54" s="896"/>
      <c r="P54" s="735"/>
    </row>
    <row r="55" spans="1:16" s="457" customFormat="1" ht="15" customHeight="1" x14ac:dyDescent="0.25">
      <c r="A55" s="396"/>
      <c r="B55" s="1398" t="s">
        <v>6903</v>
      </c>
      <c r="C55" s="1398"/>
      <c r="D55" s="1398"/>
      <c r="E55" s="854">
        <v>344905200000000</v>
      </c>
      <c r="F55" s="855" t="s">
        <v>6972</v>
      </c>
      <c r="G55" s="468">
        <v>1</v>
      </c>
      <c r="H55" s="468">
        <v>0</v>
      </c>
      <c r="I55" s="751"/>
      <c r="J55" s="878" t="s">
        <v>6898</v>
      </c>
      <c r="K55" s="789">
        <f>'Parâmetros financeiros Despesa'!E105</f>
        <v>0</v>
      </c>
      <c r="L55" s="789">
        <f>('Parâmetros financeiros Despesa'!F106)*((1+'Parâmetros financeiros Despesa'!F$4)*(1+'Parâmetros financeiros Despesa'!F$5)*(1+'Parâmetros financeiros Despesa'!F$7)*(1+'Parâmetros financeiros Despesa'!F$83))</f>
        <v>79524.418283999985</v>
      </c>
      <c r="M55" s="799">
        <f t="shared" si="13"/>
        <v>0.11715409963943418</v>
      </c>
      <c r="N55" s="894"/>
      <c r="O55" s="894"/>
      <c r="P55" s="734"/>
    </row>
    <row r="56" spans="1:16" s="604" customFormat="1" ht="15" customHeight="1" x14ac:dyDescent="0.25">
      <c r="A56" s="397"/>
      <c r="B56" s="478">
        <v>5901</v>
      </c>
      <c r="C56" s="600" t="s">
        <v>6062</v>
      </c>
      <c r="D56" s="528">
        <v>5900</v>
      </c>
      <c r="E56" s="417">
        <v>344905299000000</v>
      </c>
      <c r="F56" s="418" t="s">
        <v>6897</v>
      </c>
      <c r="G56" s="603">
        <v>1</v>
      </c>
      <c r="H56" s="603">
        <v>0</v>
      </c>
      <c r="I56" s="601">
        <v>1393</v>
      </c>
      <c r="J56" s="602" t="s">
        <v>6899</v>
      </c>
      <c r="K56" s="891">
        <v>0</v>
      </c>
      <c r="L56" s="891">
        <v>0</v>
      </c>
      <c r="M56" s="477">
        <f t="shared" ref="M56" si="14">L56/L$230</f>
        <v>0</v>
      </c>
      <c r="N56" s="796"/>
      <c r="P56" s="399"/>
    </row>
    <row r="57" spans="1:16" ht="15" customHeight="1" x14ac:dyDescent="0.25">
      <c r="A57" s="397"/>
      <c r="B57" s="1385" t="s">
        <v>5951</v>
      </c>
      <c r="C57" s="1385"/>
      <c r="D57" s="1385"/>
      <c r="E57" s="1385"/>
      <c r="F57" s="1385"/>
      <c r="G57" s="401"/>
      <c r="H57" s="401"/>
      <c r="I57" s="426"/>
      <c r="J57" s="411"/>
      <c r="K57" s="402">
        <f t="shared" ref="K57:L59" si="15">K58</f>
        <v>436885.40375</v>
      </c>
      <c r="L57" s="402">
        <f t="shared" si="15"/>
        <v>532580.60851517355</v>
      </c>
      <c r="M57" s="451">
        <f>L57/L$230</f>
        <v>0.78458922457243008</v>
      </c>
    </row>
    <row r="58" spans="1:16" ht="15" customHeight="1" x14ac:dyDescent="0.25">
      <c r="A58" s="397"/>
      <c r="B58" s="1386" t="s">
        <v>5965</v>
      </c>
      <c r="C58" s="1386"/>
      <c r="D58" s="1386"/>
      <c r="E58" s="1386"/>
      <c r="F58" s="1386"/>
      <c r="G58" s="403"/>
      <c r="H58" s="403"/>
      <c r="I58" s="427"/>
      <c r="J58" s="412"/>
      <c r="K58" s="404">
        <f t="shared" si="15"/>
        <v>436885.40375</v>
      </c>
      <c r="L58" s="404">
        <f t="shared" si="15"/>
        <v>532580.60851517355</v>
      </c>
      <c r="M58" s="452">
        <f>L58/L$230</f>
        <v>0.78458922457243008</v>
      </c>
    </row>
    <row r="59" spans="1:16" ht="15" customHeight="1" x14ac:dyDescent="0.25">
      <c r="A59" s="397"/>
      <c r="B59" s="1382" t="s">
        <v>2286</v>
      </c>
      <c r="C59" s="1382"/>
      <c r="D59" s="1382"/>
      <c r="E59" s="1382"/>
      <c r="F59" s="1382"/>
      <c r="G59" s="405"/>
      <c r="H59" s="405"/>
      <c r="I59" s="428"/>
      <c r="J59" s="413"/>
      <c r="K59" s="406">
        <f t="shared" si="15"/>
        <v>436885.40375</v>
      </c>
      <c r="L59" s="406">
        <f t="shared" si="15"/>
        <v>532580.60851517355</v>
      </c>
      <c r="M59" s="453">
        <f>L59/L$230</f>
        <v>0.78458922457243008</v>
      </c>
    </row>
    <row r="60" spans="1:16" ht="15" customHeight="1" x14ac:dyDescent="0.25">
      <c r="A60" s="397"/>
      <c r="B60" s="1383" t="s">
        <v>2290</v>
      </c>
      <c r="C60" s="1383"/>
      <c r="D60" s="1383"/>
      <c r="E60" s="1383"/>
      <c r="F60" s="1383"/>
      <c r="G60" s="407"/>
      <c r="H60" s="407"/>
      <c r="I60" s="429"/>
      <c r="J60" s="414"/>
      <c r="K60" s="408">
        <f>K61+K62+K78+K82+K84+K87+K92+K123+K125+K132+K134+K138+K163+K168+K170+K172+0.01</f>
        <v>436885.40375</v>
      </c>
      <c r="L60" s="408">
        <f>L61+L62+L78+L82+L84+L87+L92+L123+L125+L132+L134+L138+L163+L168+L170+L172+0.01</f>
        <v>532580.60851517355</v>
      </c>
      <c r="M60" s="1007">
        <f>L60/L$230</f>
        <v>0.78458922457243008</v>
      </c>
    </row>
    <row r="61" spans="1:16" s="115" customFormat="1" ht="15" customHeight="1" x14ac:dyDescent="0.25">
      <c r="A61" s="396"/>
      <c r="B61" s="1398" t="s">
        <v>6063</v>
      </c>
      <c r="C61" s="1398"/>
      <c r="D61" s="1398"/>
      <c r="E61" s="854">
        <v>331900400000000</v>
      </c>
      <c r="F61" s="855" t="s">
        <v>5851</v>
      </c>
      <c r="G61" s="468">
        <v>1</v>
      </c>
      <c r="H61" s="468">
        <v>0</v>
      </c>
      <c r="I61" s="751"/>
      <c r="J61" s="878" t="s">
        <v>5966</v>
      </c>
      <c r="K61" s="789">
        <f>(('Parâmetros financeiros Despesa'!E108))</f>
        <v>0</v>
      </c>
      <c r="L61" s="789">
        <f>(('Parâmetros financeiros Despesa'!F108)*2.05+(('Parâmetros financeiros Despesa'!F108)*11.28)*(1+'Parâmetros financeiros Despesa'!F$4)*(1+'Parâmetros financeiros Despesa'!F$8)*(1+1+'Parâmetros financeiros Despesa'!F$80))</f>
        <v>28.69636794185336</v>
      </c>
      <c r="M61" s="799">
        <f t="shared" ref="M61" si="16">L61/L$230</f>
        <v>4.2275029754303206E-5</v>
      </c>
      <c r="N61" s="894"/>
      <c r="P61" s="733"/>
    </row>
    <row r="62" spans="1:16" s="115" customFormat="1" ht="15" customHeight="1" x14ac:dyDescent="0.25">
      <c r="A62" s="396"/>
      <c r="B62" s="1398" t="s">
        <v>7032</v>
      </c>
      <c r="C62" s="1398"/>
      <c r="D62" s="1398"/>
      <c r="E62" s="854">
        <v>331901100000000</v>
      </c>
      <c r="F62" s="855" t="s">
        <v>5732</v>
      </c>
      <c r="G62" s="468">
        <v>1</v>
      </c>
      <c r="H62" s="468">
        <v>0</v>
      </c>
      <c r="I62" s="751"/>
      <c r="J62" s="878" t="s">
        <v>5966</v>
      </c>
      <c r="K62" s="789">
        <f>('Parâmetros financeiros Despesa'!E110)</f>
        <v>303302.98375000001</v>
      </c>
      <c r="L62" s="789">
        <f>('Parâmetros financeiros Despesa'!F110)*2.05+(('Parâmetros financeiros Despesa'!F110)*11.28)*(1+'Parâmetros financeiros Despesa'!F$4)*(1+'Parâmetros financeiros Despesa'!F$8)</f>
        <v>352737.08746877417</v>
      </c>
      <c r="M62" s="799">
        <f t="shared" ref="M62:M77" si="17">L62/L$230</f>
        <v>0.51964662909272652</v>
      </c>
      <c r="N62" s="894"/>
      <c r="P62" s="733"/>
    </row>
    <row r="63" spans="1:16" ht="15" customHeight="1" x14ac:dyDescent="0.25">
      <c r="A63" s="397"/>
      <c r="B63" s="599">
        <f>B62+1</f>
        <v>7101</v>
      </c>
      <c r="C63" s="600" t="s">
        <v>6062</v>
      </c>
      <c r="D63" s="600" t="str">
        <f>B62</f>
        <v>7100</v>
      </c>
      <c r="E63" s="417">
        <v>331901101010000</v>
      </c>
      <c r="F63" s="418" t="s">
        <v>6904</v>
      </c>
      <c r="G63" s="603">
        <v>1</v>
      </c>
      <c r="H63" s="603">
        <v>0</v>
      </c>
      <c r="I63" s="601">
        <v>311210101000000</v>
      </c>
      <c r="J63" s="602" t="s">
        <v>6023</v>
      </c>
      <c r="K63" s="891">
        <v>0</v>
      </c>
      <c r="L63" s="891">
        <v>0</v>
      </c>
      <c r="M63" s="477">
        <f t="shared" si="17"/>
        <v>0</v>
      </c>
    </row>
    <row r="64" spans="1:16" ht="15" customHeight="1" x14ac:dyDescent="0.25">
      <c r="A64" s="397"/>
      <c r="B64" s="478">
        <f>B63+1</f>
        <v>7102</v>
      </c>
      <c r="C64" s="600" t="s">
        <v>6062</v>
      </c>
      <c r="D64" s="528" t="str">
        <f>D63</f>
        <v>7100</v>
      </c>
      <c r="E64" s="417">
        <v>331901101040000</v>
      </c>
      <c r="F64" s="418" t="s">
        <v>2256</v>
      </c>
      <c r="G64" s="603">
        <v>1</v>
      </c>
      <c r="H64" s="603">
        <v>0</v>
      </c>
      <c r="I64" s="601">
        <v>311210101000000</v>
      </c>
      <c r="J64" s="602" t="s">
        <v>6024</v>
      </c>
      <c r="K64" s="891">
        <v>0</v>
      </c>
      <c r="L64" s="891">
        <v>0</v>
      </c>
      <c r="M64" s="477">
        <f t="shared" si="17"/>
        <v>0</v>
      </c>
    </row>
    <row r="65" spans="1:16" ht="15" customHeight="1" x14ac:dyDescent="0.25">
      <c r="A65" s="397"/>
      <c r="B65" s="478">
        <f>B64+1</f>
        <v>7103</v>
      </c>
      <c r="C65" s="600" t="s">
        <v>6062</v>
      </c>
      <c r="D65" s="528" t="str">
        <f>D64</f>
        <v>7100</v>
      </c>
      <c r="E65" s="417">
        <v>331901104000000</v>
      </c>
      <c r="F65" s="418" t="s">
        <v>1008</v>
      </c>
      <c r="G65" s="603">
        <v>1</v>
      </c>
      <c r="H65" s="603">
        <v>0</v>
      </c>
      <c r="I65" s="601">
        <v>311210102000000</v>
      </c>
      <c r="J65" s="602" t="s">
        <v>6025</v>
      </c>
      <c r="K65" s="891">
        <v>0</v>
      </c>
      <c r="L65" s="891">
        <v>0</v>
      </c>
      <c r="M65" s="477">
        <f t="shared" si="17"/>
        <v>0</v>
      </c>
    </row>
    <row r="66" spans="1:16" ht="15" customHeight="1" x14ac:dyDescent="0.25">
      <c r="A66" s="397"/>
      <c r="B66" s="478">
        <f>B65+1</f>
        <v>7104</v>
      </c>
      <c r="C66" s="600" t="s">
        <v>6062</v>
      </c>
      <c r="D66" s="528" t="str">
        <f>D65</f>
        <v>7100</v>
      </c>
      <c r="E66" s="417">
        <v>331901133000000</v>
      </c>
      <c r="F66" s="418" t="s">
        <v>5928</v>
      </c>
      <c r="G66" s="603">
        <v>1</v>
      </c>
      <c r="H66" s="603">
        <v>0</v>
      </c>
      <c r="I66" s="601">
        <v>311210114000000</v>
      </c>
      <c r="J66" s="602" t="s">
        <v>6033</v>
      </c>
      <c r="K66" s="891">
        <v>0</v>
      </c>
      <c r="L66" s="891">
        <v>0</v>
      </c>
      <c r="M66" s="477">
        <f t="shared" si="17"/>
        <v>0</v>
      </c>
    </row>
    <row r="67" spans="1:16" ht="15" customHeight="1" x14ac:dyDescent="0.25">
      <c r="A67" s="397"/>
      <c r="B67" s="478">
        <f t="shared" ref="B67:B77" si="18">B66+1</f>
        <v>7105</v>
      </c>
      <c r="C67" s="600" t="s">
        <v>6062</v>
      </c>
      <c r="D67" s="528" t="str">
        <f t="shared" ref="D67:D77" si="19">D66</f>
        <v>7100</v>
      </c>
      <c r="E67" s="417">
        <v>331901137000000</v>
      </c>
      <c r="F67" s="418" t="s">
        <v>5929</v>
      </c>
      <c r="G67" s="603">
        <v>1</v>
      </c>
      <c r="H67" s="603">
        <v>0</v>
      </c>
      <c r="I67" s="601">
        <v>311110118000000</v>
      </c>
      <c r="J67" s="602" t="s">
        <v>6026</v>
      </c>
      <c r="K67" s="891">
        <v>0</v>
      </c>
      <c r="L67" s="891">
        <v>0</v>
      </c>
      <c r="M67" s="477">
        <f t="shared" si="17"/>
        <v>0</v>
      </c>
    </row>
    <row r="68" spans="1:16" ht="15" customHeight="1" x14ac:dyDescent="0.25">
      <c r="A68" s="397"/>
      <c r="B68" s="478">
        <f t="shared" si="18"/>
        <v>7106</v>
      </c>
      <c r="C68" s="600" t="s">
        <v>6062</v>
      </c>
      <c r="D68" s="528" t="str">
        <f t="shared" si="19"/>
        <v>7100</v>
      </c>
      <c r="E68" s="417">
        <v>331901142000000</v>
      </c>
      <c r="F68" s="418" t="s">
        <v>6075</v>
      </c>
      <c r="G68" s="603">
        <v>1</v>
      </c>
      <c r="H68" s="603">
        <v>0</v>
      </c>
      <c r="I68" s="601">
        <v>837</v>
      </c>
      <c r="J68" s="602" t="s">
        <v>6027</v>
      </c>
      <c r="K68" s="891">
        <v>0</v>
      </c>
      <c r="L68" s="891">
        <v>0</v>
      </c>
      <c r="M68" s="477">
        <f t="shared" si="17"/>
        <v>0</v>
      </c>
    </row>
    <row r="69" spans="1:16" ht="15" customHeight="1" x14ac:dyDescent="0.25">
      <c r="A69" s="397"/>
      <c r="B69" s="478">
        <f t="shared" si="18"/>
        <v>7107</v>
      </c>
      <c r="C69" s="600" t="s">
        <v>6062</v>
      </c>
      <c r="D69" s="528" t="str">
        <f t="shared" si="19"/>
        <v>7100</v>
      </c>
      <c r="E69" s="417">
        <v>331901142000000</v>
      </c>
      <c r="F69" s="418" t="s">
        <v>6076</v>
      </c>
      <c r="G69" s="603">
        <v>1</v>
      </c>
      <c r="H69" s="603">
        <v>0</v>
      </c>
      <c r="I69" s="601">
        <v>837</v>
      </c>
      <c r="J69" s="602" t="s">
        <v>6028</v>
      </c>
      <c r="K69" s="891">
        <v>0</v>
      </c>
      <c r="L69" s="891">
        <v>0</v>
      </c>
      <c r="M69" s="477">
        <f t="shared" si="17"/>
        <v>0</v>
      </c>
    </row>
    <row r="70" spans="1:16" ht="15" customHeight="1" x14ac:dyDescent="0.25">
      <c r="A70" s="397"/>
      <c r="B70" s="478">
        <f t="shared" si="18"/>
        <v>7108</v>
      </c>
      <c r="C70" s="600" t="s">
        <v>6062</v>
      </c>
      <c r="D70" s="528" t="str">
        <f t="shared" si="19"/>
        <v>7100</v>
      </c>
      <c r="E70" s="417">
        <v>331901142000000</v>
      </c>
      <c r="F70" s="418" t="s">
        <v>5852</v>
      </c>
      <c r="G70" s="603">
        <v>1</v>
      </c>
      <c r="H70" s="603">
        <v>0</v>
      </c>
      <c r="I70" s="601">
        <v>837</v>
      </c>
      <c r="J70" s="602" t="s">
        <v>6029</v>
      </c>
      <c r="K70" s="891">
        <v>0</v>
      </c>
      <c r="L70" s="891">
        <v>0</v>
      </c>
      <c r="M70" s="477">
        <f t="shared" si="17"/>
        <v>0</v>
      </c>
    </row>
    <row r="71" spans="1:16" ht="15" customHeight="1" x14ac:dyDescent="0.25">
      <c r="A71" s="397"/>
      <c r="B71" s="478">
        <f t="shared" si="18"/>
        <v>7109</v>
      </c>
      <c r="C71" s="600" t="s">
        <v>6062</v>
      </c>
      <c r="D71" s="528" t="str">
        <f t="shared" si="19"/>
        <v>7100</v>
      </c>
      <c r="E71" s="417">
        <v>331901143000000</v>
      </c>
      <c r="F71" s="418" t="s">
        <v>6077</v>
      </c>
      <c r="G71" s="603">
        <v>1</v>
      </c>
      <c r="H71" s="603">
        <v>0</v>
      </c>
      <c r="I71" s="601">
        <v>828</v>
      </c>
      <c r="J71" s="602" t="s">
        <v>6030</v>
      </c>
      <c r="K71" s="891">
        <v>0</v>
      </c>
      <c r="L71" s="891">
        <v>0</v>
      </c>
      <c r="M71" s="477">
        <f t="shared" si="17"/>
        <v>0</v>
      </c>
    </row>
    <row r="72" spans="1:16" ht="15" customHeight="1" x14ac:dyDescent="0.25">
      <c r="A72" s="397"/>
      <c r="B72" s="478">
        <f t="shared" si="18"/>
        <v>7110</v>
      </c>
      <c r="C72" s="600" t="s">
        <v>6062</v>
      </c>
      <c r="D72" s="528" t="str">
        <f t="shared" si="19"/>
        <v>7100</v>
      </c>
      <c r="E72" s="417">
        <v>331901143000000</v>
      </c>
      <c r="F72" s="418" t="s">
        <v>6078</v>
      </c>
      <c r="G72" s="603">
        <v>1</v>
      </c>
      <c r="H72" s="603">
        <v>0</v>
      </c>
      <c r="I72" s="601">
        <v>828</v>
      </c>
      <c r="J72" s="602" t="s">
        <v>6031</v>
      </c>
      <c r="K72" s="891">
        <v>0</v>
      </c>
      <c r="L72" s="891">
        <v>0</v>
      </c>
      <c r="M72" s="477">
        <f t="shared" si="17"/>
        <v>0</v>
      </c>
    </row>
    <row r="73" spans="1:16" ht="15" customHeight="1" x14ac:dyDescent="0.25">
      <c r="A73" s="397"/>
      <c r="B73" s="478">
        <f t="shared" si="18"/>
        <v>7111</v>
      </c>
      <c r="C73" s="600" t="s">
        <v>6062</v>
      </c>
      <c r="D73" s="528" t="str">
        <f t="shared" si="19"/>
        <v>7100</v>
      </c>
      <c r="E73" s="417">
        <v>331901143000000</v>
      </c>
      <c r="F73" s="418" t="s">
        <v>4883</v>
      </c>
      <c r="G73" s="603">
        <v>1</v>
      </c>
      <c r="H73" s="603">
        <v>0</v>
      </c>
      <c r="I73" s="601">
        <v>828</v>
      </c>
      <c r="J73" s="602" t="s">
        <v>6032</v>
      </c>
      <c r="K73" s="891">
        <v>0</v>
      </c>
      <c r="L73" s="891">
        <v>0</v>
      </c>
      <c r="M73" s="477">
        <f t="shared" si="17"/>
        <v>0</v>
      </c>
    </row>
    <row r="74" spans="1:16" ht="15" customHeight="1" x14ac:dyDescent="0.25">
      <c r="A74" s="397"/>
      <c r="B74" s="478">
        <f t="shared" si="18"/>
        <v>7112</v>
      </c>
      <c r="C74" s="600" t="s">
        <v>6062</v>
      </c>
      <c r="D74" s="528" t="str">
        <f t="shared" si="19"/>
        <v>7100</v>
      </c>
      <c r="E74" s="417">
        <v>331901145000000</v>
      </c>
      <c r="F74" s="418" t="s">
        <v>6079</v>
      </c>
      <c r="G74" s="603">
        <v>1</v>
      </c>
      <c r="H74" s="603">
        <v>0</v>
      </c>
      <c r="I74" s="601">
        <v>837</v>
      </c>
      <c r="J74" s="602" t="s">
        <v>6027</v>
      </c>
      <c r="K74" s="891">
        <v>0</v>
      </c>
      <c r="L74" s="891">
        <v>0</v>
      </c>
      <c r="M74" s="477">
        <f t="shared" si="17"/>
        <v>0</v>
      </c>
    </row>
    <row r="75" spans="1:16" ht="15" customHeight="1" x14ac:dyDescent="0.25">
      <c r="A75" s="397"/>
      <c r="B75" s="478">
        <f t="shared" si="18"/>
        <v>7113</v>
      </c>
      <c r="C75" s="600" t="s">
        <v>6062</v>
      </c>
      <c r="D75" s="528" t="str">
        <f t="shared" si="19"/>
        <v>7100</v>
      </c>
      <c r="E75" s="417">
        <v>331901145000000</v>
      </c>
      <c r="F75" s="418" t="s">
        <v>6080</v>
      </c>
      <c r="G75" s="603">
        <v>1</v>
      </c>
      <c r="H75" s="603">
        <v>0</v>
      </c>
      <c r="I75" s="601">
        <v>837</v>
      </c>
      <c r="J75" s="602" t="s">
        <v>6028</v>
      </c>
      <c r="K75" s="891">
        <v>0</v>
      </c>
      <c r="L75" s="891">
        <v>0</v>
      </c>
      <c r="M75" s="477">
        <f t="shared" si="17"/>
        <v>0</v>
      </c>
    </row>
    <row r="76" spans="1:16" ht="15" customHeight="1" x14ac:dyDescent="0.25">
      <c r="A76" s="397"/>
      <c r="B76" s="478">
        <f t="shared" si="18"/>
        <v>7114</v>
      </c>
      <c r="C76" s="600" t="s">
        <v>6062</v>
      </c>
      <c r="D76" s="528" t="str">
        <f t="shared" si="19"/>
        <v>7100</v>
      </c>
      <c r="E76" s="417">
        <v>331901145000000</v>
      </c>
      <c r="F76" s="418" t="s">
        <v>5930</v>
      </c>
      <c r="G76" s="603">
        <v>1</v>
      </c>
      <c r="H76" s="603">
        <v>0</v>
      </c>
      <c r="I76" s="601">
        <v>837</v>
      </c>
      <c r="J76" s="602" t="s">
        <v>6029</v>
      </c>
      <c r="K76" s="891">
        <v>0</v>
      </c>
      <c r="L76" s="891">
        <v>0</v>
      </c>
      <c r="M76" s="477">
        <f t="shared" si="17"/>
        <v>0</v>
      </c>
    </row>
    <row r="77" spans="1:16" ht="15" customHeight="1" x14ac:dyDescent="0.25">
      <c r="A77" s="397"/>
      <c r="B77" s="478">
        <f t="shared" si="18"/>
        <v>7115</v>
      </c>
      <c r="C77" s="600" t="s">
        <v>6062</v>
      </c>
      <c r="D77" s="528" t="str">
        <f t="shared" si="19"/>
        <v>7100</v>
      </c>
      <c r="E77" s="417">
        <v>331901174000000</v>
      </c>
      <c r="F77" s="418" t="s">
        <v>2253</v>
      </c>
      <c r="G77" s="603">
        <v>1</v>
      </c>
      <c r="H77" s="603">
        <v>0</v>
      </c>
      <c r="I77" s="601">
        <v>311210131000000</v>
      </c>
      <c r="J77" s="602" t="s">
        <v>6035</v>
      </c>
      <c r="K77" s="891">
        <v>0</v>
      </c>
      <c r="L77" s="891">
        <v>0</v>
      </c>
      <c r="M77" s="477">
        <f t="shared" si="17"/>
        <v>0</v>
      </c>
    </row>
    <row r="78" spans="1:16" s="115" customFormat="1" ht="15" customHeight="1" x14ac:dyDescent="0.25">
      <c r="A78" s="396"/>
      <c r="B78" s="1398" t="s">
        <v>6064</v>
      </c>
      <c r="C78" s="1398"/>
      <c r="D78" s="1398"/>
      <c r="E78" s="854">
        <v>331901300000000</v>
      </c>
      <c r="F78" s="855" t="s">
        <v>5735</v>
      </c>
      <c r="G78" s="468">
        <v>1</v>
      </c>
      <c r="H78" s="468">
        <v>0</v>
      </c>
      <c r="I78" s="751"/>
      <c r="J78" s="878" t="s">
        <v>5966</v>
      </c>
      <c r="K78" s="789">
        <f>'Parâmetros financeiros Despesa'!E111</f>
        <v>54700.489999999991</v>
      </c>
      <c r="L78" s="789">
        <f>(L82+L62)*'Parâmetros financeiros Despesa'!F12</f>
        <v>74077.719092860221</v>
      </c>
      <c r="M78" s="799">
        <f t="shared" ref="M78:M81" si="20">L78/L$230</f>
        <v>0.10913010960575673</v>
      </c>
      <c r="N78" s="894"/>
      <c r="P78" s="733"/>
    </row>
    <row r="79" spans="1:16" ht="15" customHeight="1" x14ac:dyDescent="0.25">
      <c r="A79" s="397"/>
      <c r="B79" s="599">
        <f>B78+1</f>
        <v>7201</v>
      </c>
      <c r="C79" s="600" t="s">
        <v>6062</v>
      </c>
      <c r="D79" s="528" t="str">
        <f>B78</f>
        <v>7200</v>
      </c>
      <c r="E79" s="417">
        <v>331901302010000</v>
      </c>
      <c r="F79" s="418" t="s">
        <v>2261</v>
      </c>
      <c r="G79" s="603">
        <v>1</v>
      </c>
      <c r="H79" s="603">
        <v>0</v>
      </c>
      <c r="I79" s="601">
        <v>312219900000000</v>
      </c>
      <c r="J79" s="602" t="s">
        <v>6036</v>
      </c>
      <c r="K79" s="891">
        <v>0</v>
      </c>
      <c r="L79" s="891">
        <v>0</v>
      </c>
      <c r="M79" s="477">
        <f t="shared" si="20"/>
        <v>0</v>
      </c>
    </row>
    <row r="80" spans="1:16" ht="15" customHeight="1" x14ac:dyDescent="0.25">
      <c r="A80" s="397"/>
      <c r="B80" s="599">
        <f>B79+1</f>
        <v>7202</v>
      </c>
      <c r="C80" s="600" t="s">
        <v>6062</v>
      </c>
      <c r="D80" s="528" t="str">
        <f>D79</f>
        <v>7200</v>
      </c>
      <c r="E80" s="417">
        <v>331901302010000</v>
      </c>
      <c r="F80" s="418" t="s">
        <v>2259</v>
      </c>
      <c r="G80" s="603">
        <v>1</v>
      </c>
      <c r="H80" s="603">
        <v>0</v>
      </c>
      <c r="I80" s="601">
        <v>312219900000000</v>
      </c>
      <c r="J80" s="602" t="s">
        <v>6037</v>
      </c>
      <c r="K80" s="891">
        <v>0</v>
      </c>
      <c r="L80" s="891">
        <v>0</v>
      </c>
      <c r="M80" s="477">
        <f t="shared" si="20"/>
        <v>0</v>
      </c>
    </row>
    <row r="81" spans="1:16" ht="15" customHeight="1" x14ac:dyDescent="0.25">
      <c r="A81" s="397"/>
      <c r="B81" s="599">
        <f>B80+1</f>
        <v>7203</v>
      </c>
      <c r="C81" s="600" t="s">
        <v>6062</v>
      </c>
      <c r="D81" s="528" t="str">
        <f>D80</f>
        <v>7200</v>
      </c>
      <c r="E81" s="417">
        <v>331901302010000</v>
      </c>
      <c r="F81" s="418" t="s">
        <v>2260</v>
      </c>
      <c r="G81" s="603">
        <v>1</v>
      </c>
      <c r="H81" s="603">
        <v>0</v>
      </c>
      <c r="I81" s="601">
        <v>312219900000000</v>
      </c>
      <c r="J81" s="602" t="s">
        <v>6038</v>
      </c>
      <c r="K81" s="891">
        <v>0</v>
      </c>
      <c r="L81" s="891">
        <v>0</v>
      </c>
      <c r="M81" s="477">
        <f t="shared" si="20"/>
        <v>0</v>
      </c>
    </row>
    <row r="82" spans="1:16" s="115" customFormat="1" ht="15" customHeight="1" x14ac:dyDescent="0.25">
      <c r="A82" s="396"/>
      <c r="B82" s="1398" t="s">
        <v>6065</v>
      </c>
      <c r="C82" s="1398"/>
      <c r="D82" s="1398"/>
      <c r="E82" s="854">
        <v>331901600000000</v>
      </c>
      <c r="F82" s="855" t="s">
        <v>5736</v>
      </c>
      <c r="G82" s="468">
        <v>1</v>
      </c>
      <c r="H82" s="468">
        <v>0</v>
      </c>
      <c r="I82" s="751"/>
      <c r="J82" s="878" t="s">
        <v>5966</v>
      </c>
      <c r="K82" s="789">
        <f>'Parâmetros financeiros Despesa'!F113</f>
        <v>1</v>
      </c>
      <c r="L82" s="789">
        <f>('Parâmetros financeiros Despesa'!F113)*2.05+(('Parâmetros financeiros Despesa'!F113)*11.28)*(1+'Parâmetros financeiros Despesa'!F$4)*(1+'Parâmetros financeiros Despesa'!F$8)</f>
        <v>13.955830560223728</v>
      </c>
      <c r="M82" s="799">
        <f t="shared" ref="M82:M83" si="21">L82/L$230</f>
        <v>2.055950611502258E-5</v>
      </c>
      <c r="N82" s="894"/>
      <c r="P82" s="733"/>
    </row>
    <row r="83" spans="1:16" ht="15" customHeight="1" x14ac:dyDescent="0.25">
      <c r="A83" s="397"/>
      <c r="B83" s="599" t="s">
        <v>7033</v>
      </c>
      <c r="C83" s="600" t="s">
        <v>6062</v>
      </c>
      <c r="D83" s="528">
        <v>7300</v>
      </c>
      <c r="E83" s="417">
        <v>331901644000000</v>
      </c>
      <c r="F83" s="418" t="s">
        <v>2155</v>
      </c>
      <c r="G83" s="603">
        <v>1</v>
      </c>
      <c r="H83" s="603">
        <v>0</v>
      </c>
      <c r="I83" s="601">
        <v>311210203000000</v>
      </c>
      <c r="J83" s="602" t="s">
        <v>6039</v>
      </c>
      <c r="K83" s="891">
        <v>0</v>
      </c>
      <c r="L83" s="891">
        <v>0</v>
      </c>
      <c r="M83" s="477">
        <f t="shared" si="21"/>
        <v>0</v>
      </c>
    </row>
    <row r="84" spans="1:16" s="115" customFormat="1" ht="15" customHeight="1" x14ac:dyDescent="0.25">
      <c r="A84" s="396"/>
      <c r="B84" s="1398" t="s">
        <v>6066</v>
      </c>
      <c r="C84" s="1398"/>
      <c r="D84" s="1398"/>
      <c r="E84" s="854">
        <v>333504300000000</v>
      </c>
      <c r="F84" s="855" t="s">
        <v>6567</v>
      </c>
      <c r="G84" s="468">
        <v>1</v>
      </c>
      <c r="H84" s="468">
        <v>0</v>
      </c>
      <c r="I84" s="751"/>
      <c r="J84" s="878" t="s">
        <v>6089</v>
      </c>
      <c r="K84" s="789">
        <f>'Parâmetros financeiros Despesa'!E115</f>
        <v>0</v>
      </c>
      <c r="L84" s="789">
        <f>('Parâmetros financeiros Despesa'!F115+'Parâmetros financeiros Despesa'!F116)*(1+'Parâmetros financeiros Despesa'!F$4)*(1+'Parâmetros financeiros Despesa'!F$7)</f>
        <v>5451.6575000000003</v>
      </c>
      <c r="M84" s="799">
        <f t="shared" ref="M84:M86" si="22">L84/L$230</f>
        <v>8.03129453489595E-3</v>
      </c>
      <c r="N84" s="894"/>
      <c r="O84" s="894"/>
      <c r="P84" s="733"/>
    </row>
    <row r="85" spans="1:16" ht="15" customHeight="1" x14ac:dyDescent="0.25">
      <c r="A85" s="397"/>
      <c r="B85" s="599">
        <f>B84+1</f>
        <v>7401</v>
      </c>
      <c r="C85" s="600" t="s">
        <v>6062</v>
      </c>
      <c r="D85" s="528" t="str">
        <f>B84</f>
        <v>7400</v>
      </c>
      <c r="E85" s="417">
        <v>333504399000000</v>
      </c>
      <c r="F85" s="418" t="s">
        <v>2217</v>
      </c>
      <c r="G85" s="603">
        <v>1</v>
      </c>
      <c r="H85" s="603">
        <v>0</v>
      </c>
      <c r="I85" s="601">
        <v>353110300000000</v>
      </c>
      <c r="J85" s="602" t="s">
        <v>6084</v>
      </c>
      <c r="K85" s="891">
        <v>0</v>
      </c>
      <c r="L85" s="891">
        <v>0</v>
      </c>
      <c r="M85" s="477">
        <f t="shared" si="22"/>
        <v>0</v>
      </c>
    </row>
    <row r="86" spans="1:16" ht="15" customHeight="1" x14ac:dyDescent="0.25">
      <c r="A86" s="397"/>
      <c r="B86" s="599">
        <f>B85+1</f>
        <v>7402</v>
      </c>
      <c r="C86" s="600" t="s">
        <v>6062</v>
      </c>
      <c r="D86" s="528" t="str">
        <f>D85</f>
        <v>7400</v>
      </c>
      <c r="E86" s="417">
        <v>333504399000000</v>
      </c>
      <c r="F86" s="418" t="s">
        <v>2218</v>
      </c>
      <c r="G86" s="603">
        <v>1</v>
      </c>
      <c r="H86" s="603">
        <v>0</v>
      </c>
      <c r="I86" s="601">
        <v>353110300000000</v>
      </c>
      <c r="J86" s="602" t="s">
        <v>6085</v>
      </c>
      <c r="K86" s="891">
        <v>0</v>
      </c>
      <c r="L86" s="891">
        <v>0</v>
      </c>
      <c r="M86" s="477">
        <f t="shared" si="22"/>
        <v>0</v>
      </c>
    </row>
    <row r="87" spans="1:16" s="115" customFormat="1" ht="15" customHeight="1" x14ac:dyDescent="0.25">
      <c r="A87" s="396"/>
      <c r="B87" s="1398" t="s">
        <v>6067</v>
      </c>
      <c r="C87" s="1398"/>
      <c r="D87" s="1398"/>
      <c r="E87" s="854">
        <v>333901400000000</v>
      </c>
      <c r="F87" s="855" t="s">
        <v>6568</v>
      </c>
      <c r="G87" s="468">
        <v>1</v>
      </c>
      <c r="H87" s="468">
        <v>0</v>
      </c>
      <c r="I87" s="751"/>
      <c r="J87" s="878" t="s">
        <v>6089</v>
      </c>
      <c r="K87" s="789">
        <f>'Parâmetros financeiros Despesa'!E118</f>
        <v>27187.5</v>
      </c>
      <c r="L87" s="789">
        <f>('Parâmetros financeiros Despesa'!F118)*2+(('Parâmetros financeiros Despesa'!F118)*10)*(1+'Parâmetros financeiros Despesa'!F$4)*(1+'Parâmetros financeiros Despesa'!F$8)</f>
        <v>28444.501208339436</v>
      </c>
      <c r="M87" s="799">
        <f t="shared" ref="M87:M91" si="23">L87/L$230</f>
        <v>4.1903983715480618E-2</v>
      </c>
      <c r="N87" s="894"/>
      <c r="O87" s="894"/>
      <c r="P87" s="733"/>
    </row>
    <row r="88" spans="1:16" ht="15" customHeight="1" x14ac:dyDescent="0.25">
      <c r="A88" s="397"/>
      <c r="B88" s="599">
        <f>B87+1</f>
        <v>7501</v>
      </c>
      <c r="C88" s="600" t="s">
        <v>6062</v>
      </c>
      <c r="D88" s="528" t="str">
        <f>B87</f>
        <v>7500</v>
      </c>
      <c r="E88" s="417">
        <v>333901414010000</v>
      </c>
      <c r="F88" s="418" t="s">
        <v>2156</v>
      </c>
      <c r="G88" s="603">
        <v>1</v>
      </c>
      <c r="H88" s="603">
        <v>0</v>
      </c>
      <c r="I88" s="601">
        <v>332110100000000</v>
      </c>
      <c r="J88" s="602" t="s">
        <v>6090</v>
      </c>
      <c r="K88" s="891">
        <v>0</v>
      </c>
      <c r="L88" s="891">
        <v>0</v>
      </c>
      <c r="M88" s="477">
        <f t="shared" si="23"/>
        <v>0</v>
      </c>
    </row>
    <row r="89" spans="1:16" ht="15" customHeight="1" x14ac:dyDescent="0.25">
      <c r="A89" s="397"/>
      <c r="B89" s="599">
        <f>B88+1</f>
        <v>7502</v>
      </c>
      <c r="C89" s="600" t="s">
        <v>6062</v>
      </c>
      <c r="D89" s="528">
        <f>B88</f>
        <v>7501</v>
      </c>
      <c r="E89" s="417">
        <v>333901414030000</v>
      </c>
      <c r="F89" s="418" t="s">
        <v>2157</v>
      </c>
      <c r="G89" s="603">
        <v>1</v>
      </c>
      <c r="H89" s="603">
        <v>0</v>
      </c>
      <c r="I89" s="601">
        <v>332110100000000</v>
      </c>
      <c r="J89" s="602" t="s">
        <v>6088</v>
      </c>
      <c r="K89" s="891">
        <v>0</v>
      </c>
      <c r="L89" s="891">
        <v>0</v>
      </c>
      <c r="M89" s="477">
        <f t="shared" si="23"/>
        <v>0</v>
      </c>
    </row>
    <row r="90" spans="1:16" s="462" customFormat="1" ht="15" customHeight="1" x14ac:dyDescent="0.25">
      <c r="A90" s="397"/>
      <c r="B90" s="599">
        <f>B89+1</f>
        <v>7503</v>
      </c>
      <c r="C90" s="600" t="s">
        <v>6062</v>
      </c>
      <c r="D90" s="528">
        <f>D89</f>
        <v>7501</v>
      </c>
      <c r="E90" s="417">
        <v>333901414040000</v>
      </c>
      <c r="F90" s="418" t="s">
        <v>5931</v>
      </c>
      <c r="G90" s="603">
        <v>1</v>
      </c>
      <c r="H90" s="603">
        <v>0</v>
      </c>
      <c r="I90" s="601">
        <v>332110100000000</v>
      </c>
      <c r="J90" s="602" t="s">
        <v>6086</v>
      </c>
      <c r="K90" s="891">
        <v>0</v>
      </c>
      <c r="L90" s="891">
        <v>0</v>
      </c>
      <c r="M90" s="477">
        <f t="shared" si="23"/>
        <v>0</v>
      </c>
      <c r="N90" s="796"/>
      <c r="P90" s="399"/>
    </row>
    <row r="91" spans="1:16" ht="15" customHeight="1" x14ac:dyDescent="0.25">
      <c r="A91" s="397"/>
      <c r="B91" s="599">
        <f>B90+1</f>
        <v>7504</v>
      </c>
      <c r="C91" s="600" t="s">
        <v>6062</v>
      </c>
      <c r="D91" s="528">
        <f>D90</f>
        <v>7501</v>
      </c>
      <c r="E91" s="417">
        <v>333901414040000</v>
      </c>
      <c r="F91" s="418" t="s">
        <v>5932</v>
      </c>
      <c r="G91" s="603">
        <v>1</v>
      </c>
      <c r="H91" s="603">
        <v>0</v>
      </c>
      <c r="I91" s="601">
        <v>332110100000000</v>
      </c>
      <c r="J91" s="602" t="s">
        <v>6087</v>
      </c>
      <c r="K91" s="891">
        <v>0</v>
      </c>
      <c r="L91" s="891">
        <v>0</v>
      </c>
      <c r="M91" s="477">
        <f t="shared" si="23"/>
        <v>0</v>
      </c>
    </row>
    <row r="92" spans="1:16" ht="15" customHeight="1" x14ac:dyDescent="0.25">
      <c r="A92" s="397"/>
      <c r="B92" s="1396">
        <v>7600</v>
      </c>
      <c r="C92" s="1396"/>
      <c r="D92" s="1396"/>
      <c r="E92" s="417">
        <v>333903000000000</v>
      </c>
      <c r="F92" s="418" t="s">
        <v>6569</v>
      </c>
      <c r="G92" s="468">
        <v>1</v>
      </c>
      <c r="H92" s="468">
        <v>0</v>
      </c>
      <c r="I92" s="751"/>
      <c r="J92" s="878" t="s">
        <v>6089</v>
      </c>
      <c r="K92" s="789">
        <f>'Parâmetros financeiros Despesa'!E120+'Parâmetros financeiros Despesa'!E121</f>
        <v>6993.7349999999997</v>
      </c>
      <c r="L92" s="789">
        <f>('Parâmetros financeiros Despesa'!F120+'Parâmetros financeiros Despesa'!F121)*(1+'Parâmetros financeiros Despesa'!F$4)*(1+'Parâmetros financeiros Despesa'!F$7)</f>
        <v>9806.1525731524998</v>
      </c>
      <c r="M92" s="799">
        <f t="shared" ref="M92:M122" si="24">L92/L$230</f>
        <v>1.4446266950760485E-2</v>
      </c>
      <c r="N92" s="894"/>
      <c r="O92" s="894"/>
    </row>
    <row r="93" spans="1:16" s="604" customFormat="1" ht="15" customHeight="1" x14ac:dyDescent="0.25">
      <c r="A93" s="397"/>
      <c r="B93" s="478">
        <f>B87+1</f>
        <v>7501</v>
      </c>
      <c r="C93" s="528" t="s">
        <v>6062</v>
      </c>
      <c r="D93" s="528">
        <f>B92</f>
        <v>7600</v>
      </c>
      <c r="E93" s="417">
        <v>333903001010100</v>
      </c>
      <c r="F93" s="418" t="s">
        <v>6905</v>
      </c>
      <c r="G93" s="603">
        <v>1</v>
      </c>
      <c r="H93" s="603">
        <v>0</v>
      </c>
      <c r="I93" s="601">
        <v>331110100000000</v>
      </c>
      <c r="J93" s="602" t="s">
        <v>6091</v>
      </c>
      <c r="K93" s="891">
        <v>0</v>
      </c>
      <c r="L93" s="891">
        <v>0</v>
      </c>
      <c r="M93" s="477">
        <f t="shared" si="24"/>
        <v>0</v>
      </c>
      <c r="N93" s="796"/>
      <c r="P93" s="399"/>
    </row>
    <row r="94" spans="1:16" s="604" customFormat="1" ht="15" customHeight="1" x14ac:dyDescent="0.25">
      <c r="A94" s="397"/>
      <c r="B94" s="478">
        <f t="shared" ref="B94:B99" si="25">B93+1</f>
        <v>7502</v>
      </c>
      <c r="C94" s="528" t="s">
        <v>6062</v>
      </c>
      <c r="D94" s="528">
        <f t="shared" ref="D94:D99" si="26">D93</f>
        <v>7600</v>
      </c>
      <c r="E94" s="417">
        <v>333903001010100</v>
      </c>
      <c r="F94" s="418" t="s">
        <v>6906</v>
      </c>
      <c r="G94" s="603">
        <v>1</v>
      </c>
      <c r="H94" s="603">
        <v>0</v>
      </c>
      <c r="I94" s="601">
        <v>665</v>
      </c>
      <c r="J94" s="602" t="s">
        <v>6091</v>
      </c>
      <c r="K94" s="891">
        <v>0</v>
      </c>
      <c r="L94" s="891">
        <v>0</v>
      </c>
      <c r="M94" s="477">
        <f t="shared" si="24"/>
        <v>0</v>
      </c>
      <c r="N94" s="796"/>
      <c r="P94" s="399"/>
    </row>
    <row r="95" spans="1:16" s="604" customFormat="1" ht="15" customHeight="1" x14ac:dyDescent="0.25">
      <c r="A95" s="397"/>
      <c r="B95" s="478">
        <f t="shared" si="25"/>
        <v>7503</v>
      </c>
      <c r="C95" s="528" t="s">
        <v>6062</v>
      </c>
      <c r="D95" s="528">
        <f t="shared" si="26"/>
        <v>7600</v>
      </c>
      <c r="E95" s="417">
        <v>333903001010300</v>
      </c>
      <c r="F95" s="418" t="s">
        <v>6190</v>
      </c>
      <c r="G95" s="603">
        <v>1</v>
      </c>
      <c r="H95" s="603">
        <v>0</v>
      </c>
      <c r="I95" s="601">
        <v>331110100000000</v>
      </c>
      <c r="J95" s="602" t="s">
        <v>6093</v>
      </c>
      <c r="K95" s="891">
        <v>0</v>
      </c>
      <c r="L95" s="891">
        <v>0</v>
      </c>
      <c r="M95" s="477">
        <f t="shared" si="24"/>
        <v>0</v>
      </c>
      <c r="N95" s="796"/>
      <c r="P95" s="399"/>
    </row>
    <row r="96" spans="1:16" s="604" customFormat="1" ht="15" customHeight="1" x14ac:dyDescent="0.25">
      <c r="A96" s="397"/>
      <c r="B96" s="478">
        <f t="shared" si="25"/>
        <v>7504</v>
      </c>
      <c r="C96" s="528" t="s">
        <v>6062</v>
      </c>
      <c r="D96" s="528">
        <f t="shared" si="26"/>
        <v>7600</v>
      </c>
      <c r="E96" s="417">
        <v>333903001010500</v>
      </c>
      <c r="F96" s="418" t="s">
        <v>6191</v>
      </c>
      <c r="G96" s="603">
        <v>1</v>
      </c>
      <c r="H96" s="603">
        <v>0</v>
      </c>
      <c r="I96" s="601">
        <v>665</v>
      </c>
      <c r="J96" s="602" t="s">
        <v>6094</v>
      </c>
      <c r="K96" s="891">
        <v>0</v>
      </c>
      <c r="L96" s="891">
        <v>0</v>
      </c>
      <c r="M96" s="477">
        <f t="shared" si="24"/>
        <v>0</v>
      </c>
      <c r="N96" s="796"/>
      <c r="P96" s="399"/>
    </row>
    <row r="97" spans="1:16" s="604" customFormat="1" ht="15" customHeight="1" x14ac:dyDescent="0.25">
      <c r="A97" s="397"/>
      <c r="B97" s="478">
        <f t="shared" si="25"/>
        <v>7505</v>
      </c>
      <c r="C97" s="528" t="s">
        <v>6062</v>
      </c>
      <c r="D97" s="528">
        <f t="shared" si="26"/>
        <v>7600</v>
      </c>
      <c r="E97" s="417">
        <v>333903001030100</v>
      </c>
      <c r="F97" s="418" t="s">
        <v>6907</v>
      </c>
      <c r="G97" s="603">
        <v>1</v>
      </c>
      <c r="H97" s="603">
        <v>0</v>
      </c>
      <c r="I97" s="601">
        <v>331110100000000</v>
      </c>
      <c r="J97" s="602" t="s">
        <v>6092</v>
      </c>
      <c r="K97" s="891">
        <v>0</v>
      </c>
      <c r="L97" s="891">
        <v>0</v>
      </c>
      <c r="M97" s="477">
        <f t="shared" si="24"/>
        <v>0</v>
      </c>
      <c r="N97" s="796"/>
      <c r="P97" s="399"/>
    </row>
    <row r="98" spans="1:16" s="604" customFormat="1" ht="15" customHeight="1" x14ac:dyDescent="0.25">
      <c r="A98" s="397"/>
      <c r="B98" s="478">
        <f t="shared" si="25"/>
        <v>7506</v>
      </c>
      <c r="C98" s="528" t="s">
        <v>6062</v>
      </c>
      <c r="D98" s="528">
        <f t="shared" si="26"/>
        <v>7600</v>
      </c>
      <c r="E98" s="417">
        <v>333903001030100</v>
      </c>
      <c r="F98" s="418" t="s">
        <v>6908</v>
      </c>
      <c r="G98" s="603">
        <v>1</v>
      </c>
      <c r="H98" s="603">
        <v>0</v>
      </c>
      <c r="I98" s="601">
        <v>676</v>
      </c>
      <c r="J98" s="602" t="s">
        <v>6092</v>
      </c>
      <c r="K98" s="891">
        <v>0</v>
      </c>
      <c r="L98" s="891">
        <v>0</v>
      </c>
      <c r="M98" s="477">
        <f t="shared" si="24"/>
        <v>0</v>
      </c>
      <c r="N98" s="796"/>
      <c r="P98" s="399"/>
    </row>
    <row r="99" spans="1:16" ht="15" customHeight="1" x14ac:dyDescent="0.25">
      <c r="A99" s="397"/>
      <c r="B99" s="478">
        <f t="shared" si="25"/>
        <v>7507</v>
      </c>
      <c r="C99" s="528" t="s">
        <v>6062</v>
      </c>
      <c r="D99" s="528">
        <f t="shared" si="26"/>
        <v>7600</v>
      </c>
      <c r="E99" s="417">
        <v>333903004000000</v>
      </c>
      <c r="F99" s="418" t="s">
        <v>2164</v>
      </c>
      <c r="G99" s="603">
        <v>1</v>
      </c>
      <c r="H99" s="603">
        <v>0</v>
      </c>
      <c r="I99" s="601">
        <v>331110300000000</v>
      </c>
      <c r="J99" s="602" t="s">
        <v>6095</v>
      </c>
      <c r="K99" s="891">
        <v>0</v>
      </c>
      <c r="L99" s="891">
        <v>0</v>
      </c>
      <c r="M99" s="477">
        <f t="shared" si="24"/>
        <v>0</v>
      </c>
    </row>
    <row r="100" spans="1:16" ht="15" customHeight="1" x14ac:dyDescent="0.25">
      <c r="A100" s="397"/>
      <c r="B100" s="478">
        <f t="shared" ref="B100:B122" si="27">B99+1</f>
        <v>7508</v>
      </c>
      <c r="C100" s="528" t="s">
        <v>6062</v>
      </c>
      <c r="D100" s="528">
        <f t="shared" ref="D100:D122" si="28">D99</f>
        <v>7600</v>
      </c>
      <c r="E100" s="417">
        <v>333903004000000</v>
      </c>
      <c r="F100" s="418" t="s">
        <v>5747</v>
      </c>
      <c r="G100" s="603">
        <v>1</v>
      </c>
      <c r="H100" s="603">
        <v>0</v>
      </c>
      <c r="I100" s="601">
        <v>1322</v>
      </c>
      <c r="J100" s="602" t="s">
        <v>6095</v>
      </c>
      <c r="K100" s="891">
        <v>0</v>
      </c>
      <c r="L100" s="891">
        <v>0</v>
      </c>
      <c r="M100" s="477">
        <f t="shared" si="24"/>
        <v>0</v>
      </c>
    </row>
    <row r="101" spans="1:16" ht="15" customHeight="1" x14ac:dyDescent="0.25">
      <c r="A101" s="397"/>
      <c r="B101" s="478">
        <f t="shared" si="27"/>
        <v>7509</v>
      </c>
      <c r="C101" s="528" t="s">
        <v>6062</v>
      </c>
      <c r="D101" s="528">
        <f t="shared" si="28"/>
        <v>7600</v>
      </c>
      <c r="E101" s="417">
        <v>333903007000000</v>
      </c>
      <c r="F101" s="418" t="s">
        <v>2267</v>
      </c>
      <c r="G101" s="603">
        <v>1</v>
      </c>
      <c r="H101" s="603">
        <v>0</v>
      </c>
      <c r="I101" s="601">
        <v>331110600000000</v>
      </c>
      <c r="J101" s="602" t="s">
        <v>6096</v>
      </c>
      <c r="K101" s="891">
        <v>0</v>
      </c>
      <c r="L101" s="891">
        <v>0</v>
      </c>
      <c r="M101" s="477">
        <f t="shared" si="24"/>
        <v>0</v>
      </c>
    </row>
    <row r="102" spans="1:16" ht="15" customHeight="1" x14ac:dyDescent="0.25">
      <c r="A102" s="397"/>
      <c r="B102" s="478">
        <f>B101+1</f>
        <v>7510</v>
      </c>
      <c r="C102" s="528" t="s">
        <v>6062</v>
      </c>
      <c r="D102" s="528">
        <f>D101</f>
        <v>7600</v>
      </c>
      <c r="E102" s="417">
        <v>333903007000000</v>
      </c>
      <c r="F102" s="418" t="s">
        <v>5749</v>
      </c>
      <c r="G102" s="603">
        <v>1</v>
      </c>
      <c r="H102" s="603">
        <v>0</v>
      </c>
      <c r="I102" s="601">
        <v>30</v>
      </c>
      <c r="J102" s="602" t="s">
        <v>6096</v>
      </c>
      <c r="K102" s="891">
        <v>0</v>
      </c>
      <c r="L102" s="891">
        <v>0</v>
      </c>
      <c r="M102" s="477">
        <f t="shared" si="24"/>
        <v>0</v>
      </c>
    </row>
    <row r="103" spans="1:16" s="604" customFormat="1" ht="15" customHeight="1" x14ac:dyDescent="0.25">
      <c r="A103" s="397"/>
      <c r="B103" s="478">
        <f>B102+1</f>
        <v>7511</v>
      </c>
      <c r="C103" s="528" t="s">
        <v>6062</v>
      </c>
      <c r="D103" s="528">
        <f>D102</f>
        <v>7600</v>
      </c>
      <c r="E103" s="417">
        <v>333903007000000</v>
      </c>
      <c r="F103" s="418" t="s">
        <v>6923</v>
      </c>
      <c r="G103" s="603">
        <v>1</v>
      </c>
      <c r="H103" s="603">
        <v>0</v>
      </c>
      <c r="I103" s="601">
        <v>331110600000000</v>
      </c>
      <c r="J103" s="602" t="s">
        <v>6096</v>
      </c>
      <c r="K103" s="891">
        <v>0</v>
      </c>
      <c r="L103" s="891">
        <v>0</v>
      </c>
      <c r="M103" s="477">
        <f t="shared" si="24"/>
        <v>0</v>
      </c>
      <c r="N103" s="796"/>
      <c r="P103" s="399"/>
    </row>
    <row r="104" spans="1:16" s="604" customFormat="1" ht="15" customHeight="1" x14ac:dyDescent="0.25">
      <c r="A104" s="397"/>
      <c r="B104" s="478">
        <f>B103+1</f>
        <v>7512</v>
      </c>
      <c r="C104" s="528" t="s">
        <v>6062</v>
      </c>
      <c r="D104" s="528">
        <f>D103</f>
        <v>7600</v>
      </c>
      <c r="E104" s="417">
        <v>333903007000000</v>
      </c>
      <c r="F104" s="418" t="s">
        <v>6924</v>
      </c>
      <c r="G104" s="603">
        <v>1</v>
      </c>
      <c r="H104" s="603">
        <v>0</v>
      </c>
      <c r="I104" s="601">
        <v>30</v>
      </c>
      <c r="J104" s="602" t="s">
        <v>6096</v>
      </c>
      <c r="K104" s="891">
        <v>0</v>
      </c>
      <c r="L104" s="891">
        <v>0</v>
      </c>
      <c r="M104" s="477">
        <f t="shared" si="24"/>
        <v>0</v>
      </c>
      <c r="N104" s="796"/>
      <c r="P104" s="399"/>
    </row>
    <row r="105" spans="1:16" ht="15" customHeight="1" x14ac:dyDescent="0.25">
      <c r="A105" s="397"/>
      <c r="B105" s="478">
        <f>B104+1</f>
        <v>7513</v>
      </c>
      <c r="C105" s="528" t="s">
        <v>6062</v>
      </c>
      <c r="D105" s="528">
        <f>D104</f>
        <v>7600</v>
      </c>
      <c r="E105" s="417">
        <v>333903016000000</v>
      </c>
      <c r="F105" s="418" t="s">
        <v>2264</v>
      </c>
      <c r="G105" s="603">
        <v>1</v>
      </c>
      <c r="H105" s="603">
        <v>0</v>
      </c>
      <c r="I105" s="601">
        <v>331111600000000</v>
      </c>
      <c r="J105" s="602" t="s">
        <v>6097</v>
      </c>
      <c r="K105" s="891">
        <v>0</v>
      </c>
      <c r="L105" s="891">
        <v>0</v>
      </c>
      <c r="M105" s="477">
        <f t="shared" si="24"/>
        <v>0</v>
      </c>
    </row>
    <row r="106" spans="1:16" ht="15" customHeight="1" x14ac:dyDescent="0.25">
      <c r="A106" s="397"/>
      <c r="B106" s="478">
        <f t="shared" si="27"/>
        <v>7514</v>
      </c>
      <c r="C106" s="528" t="s">
        <v>6062</v>
      </c>
      <c r="D106" s="528">
        <f t="shared" si="28"/>
        <v>7600</v>
      </c>
      <c r="E106" s="417">
        <v>333903016000000</v>
      </c>
      <c r="F106" s="418" t="s">
        <v>5751</v>
      </c>
      <c r="G106" s="603">
        <v>1</v>
      </c>
      <c r="H106" s="603">
        <v>0</v>
      </c>
      <c r="I106" s="601">
        <v>35</v>
      </c>
      <c r="J106" s="602" t="s">
        <v>6097</v>
      </c>
      <c r="K106" s="891">
        <v>0</v>
      </c>
      <c r="L106" s="891">
        <v>0</v>
      </c>
      <c r="M106" s="477">
        <f t="shared" si="24"/>
        <v>0</v>
      </c>
    </row>
    <row r="107" spans="1:16" ht="15" customHeight="1" x14ac:dyDescent="0.25">
      <c r="A107" s="397"/>
      <c r="B107" s="478">
        <f t="shared" si="27"/>
        <v>7515</v>
      </c>
      <c r="C107" s="528" t="s">
        <v>6062</v>
      </c>
      <c r="D107" s="528">
        <f t="shared" si="28"/>
        <v>7600</v>
      </c>
      <c r="E107" s="417">
        <v>333903017000000</v>
      </c>
      <c r="F107" s="418" t="s">
        <v>5753</v>
      </c>
      <c r="G107" s="603">
        <v>1</v>
      </c>
      <c r="H107" s="603">
        <v>0</v>
      </c>
      <c r="I107" s="601">
        <v>331111700000000</v>
      </c>
      <c r="J107" s="602" t="s">
        <v>6098</v>
      </c>
      <c r="K107" s="891">
        <v>0</v>
      </c>
      <c r="L107" s="891">
        <v>0</v>
      </c>
      <c r="M107" s="477">
        <f t="shared" si="24"/>
        <v>0</v>
      </c>
    </row>
    <row r="108" spans="1:16" ht="15" customHeight="1" x14ac:dyDescent="0.25">
      <c r="A108" s="397"/>
      <c r="B108" s="478">
        <f t="shared" si="27"/>
        <v>7516</v>
      </c>
      <c r="C108" s="528" t="s">
        <v>6062</v>
      </c>
      <c r="D108" s="528">
        <f t="shared" si="28"/>
        <v>7600</v>
      </c>
      <c r="E108" s="417">
        <v>333903017000000</v>
      </c>
      <c r="F108" s="418" t="s">
        <v>5754</v>
      </c>
      <c r="G108" s="603">
        <v>1</v>
      </c>
      <c r="H108" s="603">
        <v>0</v>
      </c>
      <c r="I108" s="601">
        <v>617</v>
      </c>
      <c r="J108" s="602" t="s">
        <v>6098</v>
      </c>
      <c r="K108" s="891">
        <v>0</v>
      </c>
      <c r="L108" s="891">
        <v>0</v>
      </c>
      <c r="M108" s="477">
        <f t="shared" si="24"/>
        <v>0</v>
      </c>
    </row>
    <row r="109" spans="1:16" ht="15" customHeight="1" x14ac:dyDescent="0.25">
      <c r="A109" s="397"/>
      <c r="B109" s="478">
        <f t="shared" si="27"/>
        <v>7517</v>
      </c>
      <c r="C109" s="528" t="s">
        <v>6062</v>
      </c>
      <c r="D109" s="528">
        <f t="shared" si="28"/>
        <v>7600</v>
      </c>
      <c r="E109" s="417">
        <v>333903021000000</v>
      </c>
      <c r="F109" s="418" t="s">
        <v>5868</v>
      </c>
      <c r="G109" s="603">
        <v>1</v>
      </c>
      <c r="H109" s="603">
        <v>0</v>
      </c>
      <c r="I109" s="601">
        <v>331112100000000</v>
      </c>
      <c r="J109" s="602" t="s">
        <v>6099</v>
      </c>
      <c r="K109" s="891">
        <v>0</v>
      </c>
      <c r="L109" s="891">
        <v>0</v>
      </c>
      <c r="M109" s="477">
        <f t="shared" si="24"/>
        <v>0</v>
      </c>
    </row>
    <row r="110" spans="1:16" ht="15" customHeight="1" x14ac:dyDescent="0.25">
      <c r="A110" s="397"/>
      <c r="B110" s="478">
        <f t="shared" si="27"/>
        <v>7518</v>
      </c>
      <c r="C110" s="528" t="s">
        <v>6062</v>
      </c>
      <c r="D110" s="528">
        <f t="shared" si="28"/>
        <v>7600</v>
      </c>
      <c r="E110" s="417">
        <v>333903021000000</v>
      </c>
      <c r="F110" s="418" t="s">
        <v>5869</v>
      </c>
      <c r="G110" s="603">
        <v>1</v>
      </c>
      <c r="H110" s="603">
        <v>0</v>
      </c>
      <c r="I110" s="601">
        <v>28</v>
      </c>
      <c r="J110" s="602" t="s">
        <v>6099</v>
      </c>
      <c r="K110" s="891">
        <v>0</v>
      </c>
      <c r="L110" s="891">
        <v>0</v>
      </c>
      <c r="M110" s="477">
        <f t="shared" si="24"/>
        <v>0</v>
      </c>
    </row>
    <row r="111" spans="1:16" ht="15" customHeight="1" x14ac:dyDescent="0.25">
      <c r="A111" s="397"/>
      <c r="B111" s="478">
        <f t="shared" si="27"/>
        <v>7519</v>
      </c>
      <c r="C111" s="528" t="s">
        <v>6062</v>
      </c>
      <c r="D111" s="528">
        <f t="shared" si="28"/>
        <v>7600</v>
      </c>
      <c r="E111" s="417">
        <v>333903022000000</v>
      </c>
      <c r="F111" s="418" t="s">
        <v>5757</v>
      </c>
      <c r="G111" s="603">
        <v>1</v>
      </c>
      <c r="H111" s="603">
        <v>0</v>
      </c>
      <c r="I111" s="601">
        <v>331112200000000</v>
      </c>
      <c r="J111" s="602" t="s">
        <v>6100</v>
      </c>
      <c r="K111" s="891">
        <v>0</v>
      </c>
      <c r="L111" s="891">
        <v>0</v>
      </c>
      <c r="M111" s="477">
        <f t="shared" si="24"/>
        <v>0</v>
      </c>
    </row>
    <row r="112" spans="1:16" ht="15" customHeight="1" x14ac:dyDescent="0.25">
      <c r="A112" s="397"/>
      <c r="B112" s="478">
        <f t="shared" si="27"/>
        <v>7520</v>
      </c>
      <c r="C112" s="528" t="s">
        <v>6062</v>
      </c>
      <c r="D112" s="528">
        <f t="shared" si="28"/>
        <v>7600</v>
      </c>
      <c r="E112" s="417">
        <v>333903022000000</v>
      </c>
      <c r="F112" s="418" t="s">
        <v>5758</v>
      </c>
      <c r="G112" s="603">
        <v>1</v>
      </c>
      <c r="H112" s="603">
        <v>0</v>
      </c>
      <c r="I112" s="601">
        <v>28</v>
      </c>
      <c r="J112" s="602" t="s">
        <v>6100</v>
      </c>
      <c r="K112" s="891">
        <v>0</v>
      </c>
      <c r="L112" s="891">
        <v>0</v>
      </c>
      <c r="M112" s="477">
        <f t="shared" si="24"/>
        <v>0</v>
      </c>
    </row>
    <row r="113" spans="1:16" ht="15" customHeight="1" x14ac:dyDescent="0.25">
      <c r="A113" s="397"/>
      <c r="B113" s="478">
        <f t="shared" si="27"/>
        <v>7521</v>
      </c>
      <c r="C113" s="528" t="s">
        <v>6062</v>
      </c>
      <c r="D113" s="528">
        <f t="shared" si="28"/>
        <v>7600</v>
      </c>
      <c r="E113" s="417">
        <v>333903024000000</v>
      </c>
      <c r="F113" s="418" t="s">
        <v>5760</v>
      </c>
      <c r="G113" s="603">
        <v>1</v>
      </c>
      <c r="H113" s="603">
        <v>0</v>
      </c>
      <c r="I113" s="601">
        <v>331112400000000</v>
      </c>
      <c r="J113" s="602" t="s">
        <v>6101</v>
      </c>
      <c r="K113" s="891">
        <v>0</v>
      </c>
      <c r="L113" s="891">
        <v>0</v>
      </c>
      <c r="M113" s="477">
        <f t="shared" si="24"/>
        <v>0</v>
      </c>
    </row>
    <row r="114" spans="1:16" ht="15" customHeight="1" x14ac:dyDescent="0.25">
      <c r="A114" s="397"/>
      <c r="B114" s="478">
        <f t="shared" si="27"/>
        <v>7522</v>
      </c>
      <c r="C114" s="528" t="s">
        <v>6062</v>
      </c>
      <c r="D114" s="528">
        <f t="shared" si="28"/>
        <v>7600</v>
      </c>
      <c r="E114" s="417">
        <v>333903024000000</v>
      </c>
      <c r="F114" s="418" t="s">
        <v>5759</v>
      </c>
      <c r="G114" s="603">
        <v>1</v>
      </c>
      <c r="H114" s="603">
        <v>0</v>
      </c>
      <c r="I114" s="601">
        <v>28</v>
      </c>
      <c r="J114" s="602" t="s">
        <v>6101</v>
      </c>
      <c r="K114" s="891">
        <v>0</v>
      </c>
      <c r="L114" s="891">
        <v>0</v>
      </c>
      <c r="M114" s="477">
        <f t="shared" si="24"/>
        <v>0</v>
      </c>
    </row>
    <row r="115" spans="1:16" s="462" customFormat="1" ht="15" customHeight="1" x14ac:dyDescent="0.25">
      <c r="A115" s="397"/>
      <c r="B115" s="478">
        <f t="shared" si="27"/>
        <v>7523</v>
      </c>
      <c r="C115" s="528" t="s">
        <v>6062</v>
      </c>
      <c r="D115" s="528">
        <f t="shared" si="28"/>
        <v>7600</v>
      </c>
      <c r="E115" s="417">
        <v>333903026000000</v>
      </c>
      <c r="F115" s="418" t="s">
        <v>5933</v>
      </c>
      <c r="G115" s="603">
        <v>1</v>
      </c>
      <c r="H115" s="603">
        <v>0</v>
      </c>
      <c r="I115" s="601">
        <v>331110300000000</v>
      </c>
      <c r="J115" s="602" t="s">
        <v>6104</v>
      </c>
      <c r="K115" s="891">
        <v>0</v>
      </c>
      <c r="L115" s="891">
        <v>0</v>
      </c>
      <c r="M115" s="477">
        <f t="shared" si="24"/>
        <v>0</v>
      </c>
      <c r="N115" s="796"/>
      <c r="P115" s="399"/>
    </row>
    <row r="116" spans="1:16" s="462" customFormat="1" ht="15" customHeight="1" x14ac:dyDescent="0.25">
      <c r="A116" s="397"/>
      <c r="B116" s="478">
        <f t="shared" si="27"/>
        <v>7524</v>
      </c>
      <c r="C116" s="528" t="s">
        <v>6062</v>
      </c>
      <c r="D116" s="528">
        <f t="shared" si="28"/>
        <v>7600</v>
      </c>
      <c r="E116" s="417">
        <v>333903026000000</v>
      </c>
      <c r="F116" s="418" t="s">
        <v>6040</v>
      </c>
      <c r="G116" s="603">
        <v>1</v>
      </c>
      <c r="H116" s="603">
        <v>0</v>
      </c>
      <c r="I116" s="601">
        <v>28</v>
      </c>
      <c r="J116" s="602" t="s">
        <v>6104</v>
      </c>
      <c r="K116" s="891">
        <v>0</v>
      </c>
      <c r="L116" s="891">
        <v>0</v>
      </c>
      <c r="M116" s="477">
        <f t="shared" si="24"/>
        <v>0</v>
      </c>
      <c r="N116" s="796"/>
      <c r="P116" s="399"/>
    </row>
    <row r="117" spans="1:16" s="462" customFormat="1" ht="15" customHeight="1" x14ac:dyDescent="0.25">
      <c r="A117" s="397"/>
      <c r="B117" s="478">
        <f t="shared" si="27"/>
        <v>7525</v>
      </c>
      <c r="C117" s="528" t="s">
        <v>6062</v>
      </c>
      <c r="D117" s="528">
        <f t="shared" si="28"/>
        <v>7600</v>
      </c>
      <c r="E117" s="417">
        <v>333903028000000</v>
      </c>
      <c r="F117" s="418" t="s">
        <v>5934</v>
      </c>
      <c r="G117" s="603">
        <v>1</v>
      </c>
      <c r="H117" s="603">
        <v>0</v>
      </c>
      <c r="I117" s="601">
        <v>331110300000000</v>
      </c>
      <c r="J117" s="602" t="s">
        <v>6111</v>
      </c>
      <c r="K117" s="891">
        <v>0</v>
      </c>
      <c r="L117" s="891">
        <v>0</v>
      </c>
      <c r="M117" s="477">
        <f t="shared" si="24"/>
        <v>0</v>
      </c>
      <c r="N117" s="796"/>
      <c r="P117" s="399"/>
    </row>
    <row r="118" spans="1:16" s="462" customFormat="1" ht="15" customHeight="1" x14ac:dyDescent="0.25">
      <c r="A118" s="397"/>
      <c r="B118" s="478">
        <f t="shared" si="27"/>
        <v>7526</v>
      </c>
      <c r="C118" s="528" t="s">
        <v>6062</v>
      </c>
      <c r="D118" s="528">
        <f t="shared" si="28"/>
        <v>7600</v>
      </c>
      <c r="E118" s="417">
        <v>333903028000000</v>
      </c>
      <c r="F118" s="418" t="s">
        <v>6041</v>
      </c>
      <c r="G118" s="603">
        <v>1</v>
      </c>
      <c r="H118" s="603">
        <v>0</v>
      </c>
      <c r="I118" s="601">
        <v>28</v>
      </c>
      <c r="J118" s="602" t="s">
        <v>6111</v>
      </c>
      <c r="K118" s="891">
        <v>0</v>
      </c>
      <c r="L118" s="891">
        <v>0</v>
      </c>
      <c r="M118" s="477">
        <f t="shared" si="24"/>
        <v>0</v>
      </c>
      <c r="N118" s="796"/>
      <c r="P118" s="399"/>
    </row>
    <row r="119" spans="1:16" s="604" customFormat="1" ht="15" customHeight="1" x14ac:dyDescent="0.25">
      <c r="A119" s="397"/>
      <c r="B119" s="478">
        <f t="shared" si="27"/>
        <v>7527</v>
      </c>
      <c r="C119" s="528" t="s">
        <v>6062</v>
      </c>
      <c r="D119" s="528">
        <f t="shared" si="28"/>
        <v>7600</v>
      </c>
      <c r="E119" s="417">
        <v>333903039010000</v>
      </c>
      <c r="F119" s="418" t="s">
        <v>6909</v>
      </c>
      <c r="G119" s="603">
        <v>1</v>
      </c>
      <c r="H119" s="603">
        <v>0</v>
      </c>
      <c r="I119" s="601">
        <v>331110390000000</v>
      </c>
      <c r="J119" s="602" t="s">
        <v>6105</v>
      </c>
      <c r="K119" s="891">
        <v>0</v>
      </c>
      <c r="L119" s="891">
        <v>0</v>
      </c>
      <c r="M119" s="477">
        <f t="shared" si="24"/>
        <v>0</v>
      </c>
      <c r="N119" s="796"/>
      <c r="P119" s="399"/>
    </row>
    <row r="120" spans="1:16" s="604" customFormat="1" ht="15" customHeight="1" x14ac:dyDescent="0.25">
      <c r="A120" s="397"/>
      <c r="B120" s="478">
        <f t="shared" si="27"/>
        <v>7528</v>
      </c>
      <c r="C120" s="528" t="s">
        <v>6062</v>
      </c>
      <c r="D120" s="528">
        <f t="shared" si="28"/>
        <v>7600</v>
      </c>
      <c r="E120" s="417">
        <v>333903039010000</v>
      </c>
      <c r="F120" s="418" t="s">
        <v>6910</v>
      </c>
      <c r="G120" s="603">
        <v>1</v>
      </c>
      <c r="H120" s="603">
        <v>0</v>
      </c>
      <c r="I120" s="601">
        <v>32</v>
      </c>
      <c r="J120" s="602" t="s">
        <v>6105</v>
      </c>
      <c r="K120" s="891">
        <v>0</v>
      </c>
      <c r="L120" s="891">
        <v>0</v>
      </c>
      <c r="M120" s="477">
        <f t="shared" si="24"/>
        <v>0</v>
      </c>
      <c r="N120" s="796"/>
      <c r="P120" s="399"/>
    </row>
    <row r="121" spans="1:16" ht="15" customHeight="1" x14ac:dyDescent="0.25">
      <c r="A121" s="397"/>
      <c r="B121" s="478">
        <f t="shared" si="27"/>
        <v>7529</v>
      </c>
      <c r="C121" s="528" t="s">
        <v>6062</v>
      </c>
      <c r="D121" s="528">
        <f t="shared" si="28"/>
        <v>7600</v>
      </c>
      <c r="E121" s="417">
        <v>333903099000000</v>
      </c>
      <c r="F121" s="418" t="s">
        <v>5762</v>
      </c>
      <c r="G121" s="603">
        <v>1</v>
      </c>
      <c r="H121" s="603">
        <v>0</v>
      </c>
      <c r="I121" s="601">
        <v>331119900000000</v>
      </c>
      <c r="J121" s="602" t="s">
        <v>6106</v>
      </c>
      <c r="K121" s="891">
        <v>0</v>
      </c>
      <c r="L121" s="891">
        <v>0</v>
      </c>
      <c r="M121" s="477">
        <f t="shared" si="24"/>
        <v>0</v>
      </c>
    </row>
    <row r="122" spans="1:16" ht="15" customHeight="1" x14ac:dyDescent="0.25">
      <c r="A122" s="397"/>
      <c r="B122" s="478">
        <f t="shared" si="27"/>
        <v>7530</v>
      </c>
      <c r="C122" s="528" t="s">
        <v>6062</v>
      </c>
      <c r="D122" s="528">
        <f t="shared" si="28"/>
        <v>7600</v>
      </c>
      <c r="E122" s="417">
        <v>333903099000000</v>
      </c>
      <c r="F122" s="418" t="s">
        <v>5763</v>
      </c>
      <c r="G122" s="603">
        <v>1</v>
      </c>
      <c r="H122" s="603">
        <v>0</v>
      </c>
      <c r="I122" s="601">
        <v>28</v>
      </c>
      <c r="J122" s="602" t="s">
        <v>6106</v>
      </c>
      <c r="K122" s="891">
        <v>0</v>
      </c>
      <c r="L122" s="891">
        <v>0</v>
      </c>
      <c r="M122" s="477">
        <f t="shared" si="24"/>
        <v>0</v>
      </c>
    </row>
    <row r="123" spans="1:16" s="462" customFormat="1" ht="15" customHeight="1" x14ac:dyDescent="0.25">
      <c r="A123" s="397"/>
      <c r="B123" s="1396">
        <v>7700</v>
      </c>
      <c r="C123" s="1396"/>
      <c r="D123" s="1396"/>
      <c r="E123" s="417">
        <v>333903200000000</v>
      </c>
      <c r="F123" s="418" t="s">
        <v>1021</v>
      </c>
      <c r="G123" s="468">
        <v>1</v>
      </c>
      <c r="H123" s="468">
        <v>0</v>
      </c>
      <c r="I123" s="751"/>
      <c r="J123" s="878" t="s">
        <v>6089</v>
      </c>
      <c r="K123" s="789">
        <f>'Parâmetros financeiros Despesa'!E123</f>
        <v>0</v>
      </c>
      <c r="L123" s="789">
        <f>('Parâmetros financeiros Despesa'!F123)*(1+'Parâmetros financeiros Despesa'!F$4)*(1+'Parâmetros financeiros Despesa'!F$7)</f>
        <v>2180.663</v>
      </c>
      <c r="M123" s="799">
        <f t="shared" ref="M123:M124" si="29">L123/L$230</f>
        <v>3.2125178139583801E-3</v>
      </c>
      <c r="N123" s="894"/>
      <c r="O123" s="894"/>
      <c r="P123" s="399"/>
    </row>
    <row r="124" spans="1:16" s="462" customFormat="1" ht="15" customHeight="1" x14ac:dyDescent="0.25">
      <c r="A124" s="397"/>
      <c r="B124" s="478">
        <f>B123+1</f>
        <v>7701</v>
      </c>
      <c r="C124" s="528" t="s">
        <v>6062</v>
      </c>
      <c r="D124" s="528">
        <f>B123</f>
        <v>7700</v>
      </c>
      <c r="E124" s="417">
        <v>333903209000000</v>
      </c>
      <c r="F124" s="418" t="s">
        <v>2203</v>
      </c>
      <c r="G124" s="603">
        <v>1</v>
      </c>
      <c r="H124" s="603">
        <v>0</v>
      </c>
      <c r="I124" s="601">
        <v>331210600000000</v>
      </c>
      <c r="J124" s="602" t="s">
        <v>6112</v>
      </c>
      <c r="K124" s="891">
        <v>0</v>
      </c>
      <c r="L124" s="891">
        <v>0</v>
      </c>
      <c r="M124" s="477">
        <f t="shared" si="29"/>
        <v>0</v>
      </c>
      <c r="N124" s="796"/>
      <c r="P124" s="399"/>
    </row>
    <row r="125" spans="1:16" ht="15" customHeight="1" x14ac:dyDescent="0.25">
      <c r="A125" s="397"/>
      <c r="B125" s="1396">
        <v>7800</v>
      </c>
      <c r="C125" s="1396"/>
      <c r="D125" s="1396"/>
      <c r="E125" s="417">
        <v>333903300000000</v>
      </c>
      <c r="F125" s="418" t="s">
        <v>3469</v>
      </c>
      <c r="G125" s="468">
        <v>1</v>
      </c>
      <c r="H125" s="468">
        <v>0</v>
      </c>
      <c r="I125" s="751"/>
      <c r="J125" s="878" t="s">
        <v>6089</v>
      </c>
      <c r="K125" s="789">
        <f>'Parâmetros financeiros Despesa'!E125</f>
        <v>6077.0550000000003</v>
      </c>
      <c r="L125" s="789">
        <f>('Parâmetros financeiros Despesa'!F125)*(1+'Parâmetros financeiros Despesa'!F$4)*(1+'Parâmetros financeiros Despesa'!F$7)</f>
        <v>6626.0044937325001</v>
      </c>
      <c r="M125" s="799">
        <f t="shared" ref="M125:M131" si="30">L125/L$230</f>
        <v>9.761323721952422E-3</v>
      </c>
      <c r="N125" s="894"/>
      <c r="O125" s="894"/>
    </row>
    <row r="126" spans="1:16" ht="15" customHeight="1" x14ac:dyDescent="0.25">
      <c r="A126" s="397"/>
      <c r="B126" s="530">
        <f t="shared" ref="B126:B131" si="31">B125+1</f>
        <v>7801</v>
      </c>
      <c r="C126" s="531" t="s">
        <v>6062</v>
      </c>
      <c r="D126" s="532">
        <f>B125</f>
        <v>7800</v>
      </c>
      <c r="E126" s="417">
        <v>333903301000000</v>
      </c>
      <c r="F126" s="418" t="s">
        <v>6517</v>
      </c>
      <c r="G126" s="603">
        <v>1</v>
      </c>
      <c r="H126" s="603">
        <v>0</v>
      </c>
      <c r="I126" s="601">
        <v>332315600000000</v>
      </c>
      <c r="J126" s="602" t="s">
        <v>6121</v>
      </c>
      <c r="K126" s="891">
        <v>0</v>
      </c>
      <c r="L126" s="533">
        <v>0</v>
      </c>
      <c r="M126" s="477">
        <f t="shared" si="30"/>
        <v>0</v>
      </c>
    </row>
    <row r="127" spans="1:16" ht="15" customHeight="1" x14ac:dyDescent="0.25">
      <c r="A127" s="397"/>
      <c r="B127" s="530">
        <f t="shared" si="31"/>
        <v>7802</v>
      </c>
      <c r="C127" s="531" t="s">
        <v>6062</v>
      </c>
      <c r="D127" s="532">
        <f>D126</f>
        <v>7800</v>
      </c>
      <c r="E127" s="417">
        <v>333903301000000</v>
      </c>
      <c r="F127" s="418" t="s">
        <v>6518</v>
      </c>
      <c r="G127" s="603">
        <v>1</v>
      </c>
      <c r="H127" s="603">
        <v>0</v>
      </c>
      <c r="I127" s="601">
        <v>332315600000000</v>
      </c>
      <c r="J127" s="602" t="s">
        <v>6122</v>
      </c>
      <c r="K127" s="891">
        <v>0</v>
      </c>
      <c r="L127" s="533">
        <v>0</v>
      </c>
      <c r="M127" s="477">
        <f t="shared" si="30"/>
        <v>0</v>
      </c>
    </row>
    <row r="128" spans="1:16" s="529" customFormat="1" ht="15" customHeight="1" x14ac:dyDescent="0.25">
      <c r="A128" s="397"/>
      <c r="B128" s="530">
        <f t="shared" si="31"/>
        <v>7803</v>
      </c>
      <c r="C128" s="531" t="s">
        <v>6062</v>
      </c>
      <c r="D128" s="532">
        <f>D127</f>
        <v>7800</v>
      </c>
      <c r="E128" s="417">
        <v>333903301000000</v>
      </c>
      <c r="F128" s="418" t="s">
        <v>6519</v>
      </c>
      <c r="G128" s="603">
        <v>1</v>
      </c>
      <c r="H128" s="603">
        <v>0</v>
      </c>
      <c r="I128" s="601">
        <v>332315600000000</v>
      </c>
      <c r="J128" s="602" t="s">
        <v>6123</v>
      </c>
      <c r="K128" s="891">
        <v>0</v>
      </c>
      <c r="L128" s="533">
        <v>0</v>
      </c>
      <c r="M128" s="477">
        <f t="shared" si="30"/>
        <v>0</v>
      </c>
      <c r="N128" s="796"/>
      <c r="P128" s="399"/>
    </row>
    <row r="129" spans="1:16" s="529" customFormat="1" ht="15" customHeight="1" x14ac:dyDescent="0.25">
      <c r="A129" s="397"/>
      <c r="B129" s="530">
        <f t="shared" si="31"/>
        <v>7804</v>
      </c>
      <c r="C129" s="531" t="s">
        <v>6062</v>
      </c>
      <c r="D129" s="532">
        <f>D128</f>
        <v>7800</v>
      </c>
      <c r="E129" s="417">
        <v>333903305000000</v>
      </c>
      <c r="F129" s="418" t="s">
        <v>6520</v>
      </c>
      <c r="G129" s="603">
        <v>1</v>
      </c>
      <c r="H129" s="603">
        <v>0</v>
      </c>
      <c r="I129" s="601">
        <v>332315600000000</v>
      </c>
      <c r="J129" s="602" t="s">
        <v>6121</v>
      </c>
      <c r="K129" s="891">
        <v>0</v>
      </c>
      <c r="L129" s="533">
        <v>0</v>
      </c>
      <c r="M129" s="477">
        <f t="shared" si="30"/>
        <v>0</v>
      </c>
      <c r="N129" s="796"/>
      <c r="P129" s="399"/>
    </row>
    <row r="130" spans="1:16" s="529" customFormat="1" ht="15" customHeight="1" x14ac:dyDescent="0.25">
      <c r="A130" s="397"/>
      <c r="B130" s="530">
        <f t="shared" si="31"/>
        <v>7805</v>
      </c>
      <c r="C130" s="531" t="s">
        <v>6062</v>
      </c>
      <c r="D130" s="532">
        <f>D129</f>
        <v>7800</v>
      </c>
      <c r="E130" s="417">
        <v>333903305000000</v>
      </c>
      <c r="F130" s="418" t="s">
        <v>6521</v>
      </c>
      <c r="G130" s="603">
        <v>1</v>
      </c>
      <c r="H130" s="603">
        <v>0</v>
      </c>
      <c r="I130" s="601">
        <v>332315600000000</v>
      </c>
      <c r="J130" s="602" t="s">
        <v>6122</v>
      </c>
      <c r="K130" s="891">
        <v>0</v>
      </c>
      <c r="L130" s="533">
        <v>0</v>
      </c>
      <c r="M130" s="477">
        <f t="shared" si="30"/>
        <v>0</v>
      </c>
      <c r="N130" s="796"/>
      <c r="P130" s="399"/>
    </row>
    <row r="131" spans="1:16" ht="15.75" customHeight="1" x14ac:dyDescent="0.25">
      <c r="A131" s="397"/>
      <c r="B131" s="530">
        <f t="shared" si="31"/>
        <v>7806</v>
      </c>
      <c r="C131" s="531" t="s">
        <v>6062</v>
      </c>
      <c r="D131" s="532">
        <f>D130</f>
        <v>7800</v>
      </c>
      <c r="E131" s="417">
        <v>333903305000000</v>
      </c>
      <c r="F131" s="418" t="s">
        <v>6522</v>
      </c>
      <c r="G131" s="603">
        <v>1</v>
      </c>
      <c r="H131" s="603">
        <v>0</v>
      </c>
      <c r="I131" s="601">
        <v>332315600000000</v>
      </c>
      <c r="J131" s="602" t="s">
        <v>6123</v>
      </c>
      <c r="K131" s="891">
        <v>0</v>
      </c>
      <c r="L131" s="533">
        <v>0</v>
      </c>
      <c r="M131" s="477">
        <f t="shared" si="30"/>
        <v>0</v>
      </c>
    </row>
    <row r="132" spans="1:16" ht="15" customHeight="1" x14ac:dyDescent="0.25">
      <c r="A132" s="397"/>
      <c r="B132" s="1398" t="s">
        <v>7034</v>
      </c>
      <c r="C132" s="1398"/>
      <c r="D132" s="1398"/>
      <c r="E132" s="417">
        <v>333903500000000</v>
      </c>
      <c r="F132" s="418" t="s">
        <v>2190</v>
      </c>
      <c r="G132" s="468">
        <v>1</v>
      </c>
      <c r="H132" s="468">
        <v>0</v>
      </c>
      <c r="I132" s="751"/>
      <c r="J132" s="878" t="s">
        <v>6089</v>
      </c>
      <c r="K132" s="789">
        <f>'Parâmetros financeiros Despesa'!E127</f>
        <v>0</v>
      </c>
      <c r="L132" s="789">
        <f>('Parâmetros financeiros Despesa'!F127)*(1+'Parâmetros financeiros Despesa'!F$4)*(1+'Parâmetros financeiros Despesa'!F$7)</f>
        <v>3270.9945000000002</v>
      </c>
      <c r="M132" s="799">
        <f t="shared" ref="M132:M133" si="32">L132/L$230</f>
        <v>4.8187767209375704E-3</v>
      </c>
      <c r="N132" s="894"/>
      <c r="O132" s="894"/>
    </row>
    <row r="133" spans="1:16" ht="15" customHeight="1" x14ac:dyDescent="0.25">
      <c r="A133" s="397"/>
      <c r="B133" s="599">
        <f>B132+1</f>
        <v>7901</v>
      </c>
      <c r="C133" s="600" t="s">
        <v>6062</v>
      </c>
      <c r="D133" s="528" t="str">
        <f>B132</f>
        <v>7900</v>
      </c>
      <c r="E133" s="417">
        <v>333903501000000</v>
      </c>
      <c r="F133" s="418" t="s">
        <v>5873</v>
      </c>
      <c r="G133" s="603">
        <v>1</v>
      </c>
      <c r="H133" s="603">
        <v>0</v>
      </c>
      <c r="I133" s="601">
        <v>332310100000000</v>
      </c>
      <c r="J133" s="602" t="s">
        <v>6126</v>
      </c>
      <c r="K133" s="891">
        <v>0</v>
      </c>
      <c r="L133" s="891">
        <v>0</v>
      </c>
      <c r="M133" s="477">
        <f t="shared" si="32"/>
        <v>0</v>
      </c>
    </row>
    <row r="134" spans="1:16" ht="15" customHeight="1" x14ac:dyDescent="0.25">
      <c r="A134" s="397"/>
      <c r="B134" s="1398" t="s">
        <v>7035</v>
      </c>
      <c r="C134" s="1398"/>
      <c r="D134" s="1398"/>
      <c r="E134" s="417">
        <v>333903600000000</v>
      </c>
      <c r="F134" s="418" t="s">
        <v>993</v>
      </c>
      <c r="G134" s="468">
        <v>1</v>
      </c>
      <c r="H134" s="468">
        <v>0</v>
      </c>
      <c r="I134" s="751"/>
      <c r="J134" s="878" t="s">
        <v>6089</v>
      </c>
      <c r="K134" s="789">
        <f>'Parâmetros financeiros Despesa'!E129</f>
        <v>1074.4499999999998</v>
      </c>
      <c r="L134" s="789">
        <f>('Parâmetros financeiros Despesa'!F129)*(1+'Parâmetros financeiros Despesa'!F$4)*(1+'Parâmetros financeiros Despesa'!F$7)</f>
        <v>1171.5066801749997</v>
      </c>
      <c r="M134" s="799">
        <f t="shared" ref="M134:M137" si="33">L134/L$230</f>
        <v>1.7258448826037902E-3</v>
      </c>
      <c r="N134" s="894"/>
      <c r="O134" s="894"/>
    </row>
    <row r="135" spans="1:16" ht="15" customHeight="1" x14ac:dyDescent="0.25">
      <c r="A135" s="397"/>
      <c r="B135" s="599" t="s">
        <v>9995</v>
      </c>
      <c r="C135" s="600" t="s">
        <v>6062</v>
      </c>
      <c r="D135" s="528" t="str">
        <f>B134</f>
        <v>8000</v>
      </c>
      <c r="E135" s="417">
        <v>333903606000000</v>
      </c>
      <c r="F135" s="418" t="s">
        <v>1151</v>
      </c>
      <c r="G135" s="603">
        <v>1</v>
      </c>
      <c r="H135" s="603">
        <v>0</v>
      </c>
      <c r="I135" s="601">
        <v>332211500000000</v>
      </c>
      <c r="J135" s="602" t="s">
        <v>6131</v>
      </c>
      <c r="K135" s="891">
        <v>0</v>
      </c>
      <c r="L135" s="891">
        <v>0</v>
      </c>
      <c r="M135" s="477">
        <f t="shared" si="33"/>
        <v>0</v>
      </c>
    </row>
    <row r="136" spans="1:16" ht="15" customHeight="1" x14ac:dyDescent="0.25">
      <c r="A136" s="397"/>
      <c r="B136" s="599">
        <f>B135+1</f>
        <v>8002</v>
      </c>
      <c r="C136" s="600" t="s">
        <v>6062</v>
      </c>
      <c r="D136" s="528" t="str">
        <f>D135</f>
        <v>8000</v>
      </c>
      <c r="E136" s="417">
        <v>333903625000000</v>
      </c>
      <c r="F136" s="418" t="s">
        <v>5880</v>
      </c>
      <c r="G136" s="603">
        <v>1</v>
      </c>
      <c r="H136" s="603">
        <v>0</v>
      </c>
      <c r="I136" s="601">
        <v>332210800000000</v>
      </c>
      <c r="J136" s="602" t="s">
        <v>6131</v>
      </c>
      <c r="K136" s="891">
        <v>0</v>
      </c>
      <c r="L136" s="891">
        <v>0</v>
      </c>
      <c r="M136" s="477">
        <f t="shared" si="33"/>
        <v>0</v>
      </c>
    </row>
    <row r="137" spans="1:16" ht="15" customHeight="1" x14ac:dyDescent="0.25">
      <c r="A137" s="397"/>
      <c r="B137" s="599">
        <f>B136+1</f>
        <v>8003</v>
      </c>
      <c r="C137" s="600" t="s">
        <v>6062</v>
      </c>
      <c r="D137" s="528" t="str">
        <f>D136</f>
        <v>8000</v>
      </c>
      <c r="E137" s="417">
        <v>333903699000000</v>
      </c>
      <c r="F137" s="418" t="s">
        <v>2193</v>
      </c>
      <c r="G137" s="603">
        <v>1</v>
      </c>
      <c r="H137" s="603">
        <v>0</v>
      </c>
      <c r="I137" s="601">
        <v>332219900000000</v>
      </c>
      <c r="J137" s="602" t="s">
        <v>6131</v>
      </c>
      <c r="K137" s="891">
        <v>0</v>
      </c>
      <c r="L137" s="891">
        <v>0</v>
      </c>
      <c r="M137" s="477">
        <f t="shared" si="33"/>
        <v>0</v>
      </c>
    </row>
    <row r="138" spans="1:16" ht="15" customHeight="1" x14ac:dyDescent="0.25">
      <c r="A138" s="397"/>
      <c r="B138" s="1398" t="s">
        <v>6068</v>
      </c>
      <c r="C138" s="1398"/>
      <c r="D138" s="1398"/>
      <c r="E138" s="417">
        <v>333903900000000</v>
      </c>
      <c r="F138" s="418" t="s">
        <v>2268</v>
      </c>
      <c r="G138" s="468">
        <v>1</v>
      </c>
      <c r="H138" s="468">
        <v>0</v>
      </c>
      <c r="I138" s="751"/>
      <c r="J138" s="878" t="s">
        <v>6089</v>
      </c>
      <c r="K138" s="789">
        <f>'Parâmetros financeiros Despesa'!E131</f>
        <v>37515.18</v>
      </c>
      <c r="L138" s="789">
        <f>('Parâmetros financeiros Despesa'!F131+'Parâmetros financeiros Despesa'!F132)*(1+'Parâmetros financeiros Despesa'!F$4)*(1+'Parâmetros financeiros Despesa'!F$7)</f>
        <v>44174.976982170003</v>
      </c>
      <c r="M138" s="799">
        <f t="shared" ref="M138" si="34">L138/L$230</f>
        <v>6.5077868742865141E-2</v>
      </c>
      <c r="N138" s="894"/>
      <c r="O138" s="894"/>
    </row>
    <row r="139" spans="1:16" ht="15" customHeight="1" x14ac:dyDescent="0.25">
      <c r="A139" s="397"/>
      <c r="B139" s="599">
        <f>B138+1</f>
        <v>8101</v>
      </c>
      <c r="C139" s="600" t="s">
        <v>6062</v>
      </c>
      <c r="D139" s="528" t="str">
        <f>B138</f>
        <v>8100</v>
      </c>
      <c r="E139" s="417">
        <v>333903901000000</v>
      </c>
      <c r="F139" s="418" t="s">
        <v>2269</v>
      </c>
      <c r="G139" s="603">
        <v>1</v>
      </c>
      <c r="H139" s="603">
        <v>0</v>
      </c>
      <c r="I139" s="601">
        <v>332311400000000</v>
      </c>
      <c r="J139" s="602" t="s">
        <v>6133</v>
      </c>
      <c r="K139" s="891">
        <v>0</v>
      </c>
      <c r="L139" s="891">
        <v>0</v>
      </c>
      <c r="M139" s="477">
        <f t="shared" ref="M139:M163" si="35">L139/L$230</f>
        <v>0</v>
      </c>
    </row>
    <row r="140" spans="1:16" s="462" customFormat="1" ht="15" customHeight="1" x14ac:dyDescent="0.25">
      <c r="A140" s="397"/>
      <c r="B140" s="599">
        <f t="shared" ref="B140:B162" si="36">B139+1</f>
        <v>8102</v>
      </c>
      <c r="C140" s="600" t="s">
        <v>6062</v>
      </c>
      <c r="D140" s="528" t="str">
        <f>D139</f>
        <v>8100</v>
      </c>
      <c r="E140" s="417">
        <v>333903905000000</v>
      </c>
      <c r="F140" s="418" t="s">
        <v>1151</v>
      </c>
      <c r="G140" s="603">
        <v>1</v>
      </c>
      <c r="H140" s="603">
        <v>0</v>
      </c>
      <c r="I140" s="601">
        <v>332315100000000</v>
      </c>
      <c r="J140" s="602" t="s">
        <v>6127</v>
      </c>
      <c r="K140" s="891">
        <v>0</v>
      </c>
      <c r="L140" s="891">
        <v>0</v>
      </c>
      <c r="M140" s="477">
        <f t="shared" si="35"/>
        <v>0</v>
      </c>
      <c r="N140" s="796"/>
      <c r="P140" s="399"/>
    </row>
    <row r="141" spans="1:16" ht="15" customHeight="1" x14ac:dyDescent="0.25">
      <c r="A141" s="397"/>
      <c r="B141" s="599">
        <f t="shared" si="36"/>
        <v>8103</v>
      </c>
      <c r="C141" s="600" t="s">
        <v>6062</v>
      </c>
      <c r="D141" s="528" t="str">
        <f t="shared" ref="D141:D162" si="37">D140</f>
        <v>8100</v>
      </c>
      <c r="E141" s="417">
        <v>333903916000000</v>
      </c>
      <c r="F141" s="418" t="s">
        <v>2270</v>
      </c>
      <c r="G141" s="603">
        <v>1</v>
      </c>
      <c r="H141" s="603">
        <v>0</v>
      </c>
      <c r="I141" s="601">
        <v>332310600000000</v>
      </c>
      <c r="J141" s="602" t="s">
        <v>6101</v>
      </c>
      <c r="K141" s="891">
        <v>0</v>
      </c>
      <c r="L141" s="891">
        <v>0</v>
      </c>
      <c r="M141" s="477">
        <f t="shared" si="35"/>
        <v>0</v>
      </c>
    </row>
    <row r="142" spans="1:16" s="462" customFormat="1" ht="15" customHeight="1" x14ac:dyDescent="0.25">
      <c r="A142" s="397"/>
      <c r="B142" s="599">
        <f t="shared" si="36"/>
        <v>8104</v>
      </c>
      <c r="C142" s="600" t="s">
        <v>6062</v>
      </c>
      <c r="D142" s="528" t="str">
        <f t="shared" si="37"/>
        <v>8100</v>
      </c>
      <c r="E142" s="417">
        <v>333903919430000</v>
      </c>
      <c r="F142" s="418" t="s">
        <v>5279</v>
      </c>
      <c r="G142" s="603">
        <v>1</v>
      </c>
      <c r="H142" s="603">
        <v>0</v>
      </c>
      <c r="I142" s="601">
        <v>332310600000000</v>
      </c>
      <c r="J142" s="602" t="s">
        <v>6134</v>
      </c>
      <c r="K142" s="891">
        <v>0</v>
      </c>
      <c r="L142" s="891">
        <v>0</v>
      </c>
      <c r="M142" s="477">
        <f t="shared" si="35"/>
        <v>0</v>
      </c>
      <c r="N142" s="796"/>
      <c r="P142" s="399"/>
    </row>
    <row r="143" spans="1:16" s="462" customFormat="1" ht="15" customHeight="1" x14ac:dyDescent="0.25">
      <c r="A143" s="397"/>
      <c r="B143" s="599">
        <f t="shared" si="36"/>
        <v>8105</v>
      </c>
      <c r="C143" s="600" t="s">
        <v>6062</v>
      </c>
      <c r="D143" s="528" t="str">
        <f t="shared" si="37"/>
        <v>8100</v>
      </c>
      <c r="E143" s="417">
        <v>333903919440000</v>
      </c>
      <c r="F143" s="418" t="s">
        <v>5935</v>
      </c>
      <c r="G143" s="603">
        <v>1</v>
      </c>
      <c r="H143" s="603">
        <v>0</v>
      </c>
      <c r="I143" s="601">
        <v>332310600000000</v>
      </c>
      <c r="J143" s="602" t="s">
        <v>6134</v>
      </c>
      <c r="K143" s="891">
        <v>0</v>
      </c>
      <c r="L143" s="891">
        <v>0</v>
      </c>
      <c r="M143" s="477">
        <f t="shared" si="35"/>
        <v>0</v>
      </c>
      <c r="N143" s="796"/>
      <c r="P143" s="399"/>
    </row>
    <row r="144" spans="1:16" ht="15" customHeight="1" x14ac:dyDescent="0.25">
      <c r="A144" s="397"/>
      <c r="B144" s="599">
        <f t="shared" si="36"/>
        <v>8106</v>
      </c>
      <c r="C144" s="600" t="s">
        <v>6062</v>
      </c>
      <c r="D144" s="528" t="str">
        <f t="shared" si="37"/>
        <v>8100</v>
      </c>
      <c r="E144" s="417">
        <v>333903920000000</v>
      </c>
      <c r="F144" s="418" t="s">
        <v>2352</v>
      </c>
      <c r="G144" s="603">
        <v>1</v>
      </c>
      <c r="H144" s="603">
        <v>0</v>
      </c>
      <c r="I144" s="601">
        <v>332310600000000</v>
      </c>
      <c r="J144" s="602" t="s">
        <v>6135</v>
      </c>
      <c r="K144" s="891">
        <v>0</v>
      </c>
      <c r="L144" s="891">
        <v>0</v>
      </c>
      <c r="M144" s="477">
        <f t="shared" si="35"/>
        <v>0</v>
      </c>
    </row>
    <row r="145" spans="1:16" s="467" customFormat="1" ht="15" customHeight="1" x14ac:dyDescent="0.25">
      <c r="A145" s="397"/>
      <c r="B145" s="599">
        <f t="shared" si="36"/>
        <v>8107</v>
      </c>
      <c r="C145" s="600" t="s">
        <v>6062</v>
      </c>
      <c r="D145" s="528" t="str">
        <f t="shared" si="37"/>
        <v>8100</v>
      </c>
      <c r="E145" s="417">
        <v>333903948000000</v>
      </c>
      <c r="F145" s="418" t="s">
        <v>6911</v>
      </c>
      <c r="G145" s="603">
        <v>1</v>
      </c>
      <c r="H145" s="603">
        <v>0</v>
      </c>
      <c r="I145" s="601">
        <v>332313000000000</v>
      </c>
      <c r="J145" s="602" t="s">
        <v>6149</v>
      </c>
      <c r="K145" s="891">
        <v>0</v>
      </c>
      <c r="L145" s="891">
        <v>0</v>
      </c>
      <c r="M145" s="477">
        <f t="shared" si="35"/>
        <v>0</v>
      </c>
      <c r="N145" s="796"/>
      <c r="P145" s="399"/>
    </row>
    <row r="146" spans="1:16" s="470" customFormat="1" ht="15" customHeight="1" x14ac:dyDescent="0.25">
      <c r="A146" s="397"/>
      <c r="B146" s="599">
        <f t="shared" si="36"/>
        <v>8108</v>
      </c>
      <c r="C146" s="600" t="s">
        <v>6062</v>
      </c>
      <c r="D146" s="528" t="str">
        <f t="shared" si="37"/>
        <v>8100</v>
      </c>
      <c r="E146" s="417">
        <v>333903948000000</v>
      </c>
      <c r="F146" s="418" t="s">
        <v>6912</v>
      </c>
      <c r="G146" s="603">
        <v>1</v>
      </c>
      <c r="H146" s="603">
        <v>0</v>
      </c>
      <c r="I146" s="601">
        <v>332313000000000</v>
      </c>
      <c r="J146" s="602" t="s">
        <v>6150</v>
      </c>
      <c r="K146" s="891">
        <v>0</v>
      </c>
      <c r="L146" s="891">
        <v>0</v>
      </c>
      <c r="M146" s="477">
        <f t="shared" si="35"/>
        <v>0</v>
      </c>
      <c r="N146" s="796"/>
      <c r="P146" s="399"/>
    </row>
    <row r="147" spans="1:16" s="470" customFormat="1" ht="15" customHeight="1" x14ac:dyDescent="0.25">
      <c r="A147" s="397"/>
      <c r="B147" s="599">
        <f t="shared" si="36"/>
        <v>8109</v>
      </c>
      <c r="C147" s="600" t="s">
        <v>6062</v>
      </c>
      <c r="D147" s="528" t="str">
        <f t="shared" si="37"/>
        <v>8100</v>
      </c>
      <c r="E147" s="417">
        <v>333903948000000</v>
      </c>
      <c r="F147" s="418" t="s">
        <v>6913</v>
      </c>
      <c r="G147" s="603">
        <v>1</v>
      </c>
      <c r="H147" s="603">
        <v>0</v>
      </c>
      <c r="I147" s="601">
        <v>332313000000000</v>
      </c>
      <c r="J147" s="602" t="s">
        <v>6151</v>
      </c>
      <c r="K147" s="891">
        <v>0</v>
      </c>
      <c r="L147" s="891">
        <v>0</v>
      </c>
      <c r="M147" s="477">
        <f t="shared" si="35"/>
        <v>0</v>
      </c>
      <c r="N147" s="796"/>
      <c r="P147" s="399"/>
    </row>
    <row r="148" spans="1:16" ht="15" customHeight="1" x14ac:dyDescent="0.25">
      <c r="A148" s="397"/>
      <c r="B148" s="599">
        <f t="shared" si="36"/>
        <v>8110</v>
      </c>
      <c r="C148" s="600" t="s">
        <v>6062</v>
      </c>
      <c r="D148" s="528" t="str">
        <f t="shared" si="37"/>
        <v>8100</v>
      </c>
      <c r="E148" s="417">
        <v>333903958010000</v>
      </c>
      <c r="F148" s="418" t="s">
        <v>1041</v>
      </c>
      <c r="G148" s="603">
        <v>1</v>
      </c>
      <c r="H148" s="603">
        <v>0</v>
      </c>
      <c r="I148" s="601">
        <v>332310400000000</v>
      </c>
      <c r="J148" s="602" t="s">
        <v>6136</v>
      </c>
      <c r="K148" s="891">
        <v>0</v>
      </c>
      <c r="L148" s="891">
        <v>0</v>
      </c>
      <c r="M148" s="477">
        <f t="shared" si="35"/>
        <v>0</v>
      </c>
    </row>
    <row r="149" spans="1:16" ht="15" customHeight="1" x14ac:dyDescent="0.25">
      <c r="A149" s="397"/>
      <c r="B149" s="599">
        <f t="shared" si="36"/>
        <v>8111</v>
      </c>
      <c r="C149" s="600" t="s">
        <v>6062</v>
      </c>
      <c r="D149" s="528" t="str">
        <f t="shared" si="37"/>
        <v>8100</v>
      </c>
      <c r="E149" s="417">
        <v>333903958020000</v>
      </c>
      <c r="F149" s="418" t="s">
        <v>1150</v>
      </c>
      <c r="G149" s="603">
        <v>1</v>
      </c>
      <c r="H149" s="603">
        <v>0</v>
      </c>
      <c r="I149" s="601">
        <v>332310400000000</v>
      </c>
      <c r="J149" s="602" t="s">
        <v>6137</v>
      </c>
      <c r="K149" s="891">
        <v>0</v>
      </c>
      <c r="L149" s="891">
        <v>0</v>
      </c>
      <c r="M149" s="477">
        <f t="shared" si="35"/>
        <v>0</v>
      </c>
    </row>
    <row r="150" spans="1:16" ht="15" customHeight="1" x14ac:dyDescent="0.25">
      <c r="A150" s="397"/>
      <c r="B150" s="599">
        <f t="shared" si="36"/>
        <v>8112</v>
      </c>
      <c r="C150" s="600" t="s">
        <v>6062</v>
      </c>
      <c r="D150" s="528" t="str">
        <f t="shared" si="37"/>
        <v>8100</v>
      </c>
      <c r="E150" s="417">
        <v>333903963000000</v>
      </c>
      <c r="F150" s="418" t="s">
        <v>5895</v>
      </c>
      <c r="G150" s="603">
        <v>1</v>
      </c>
      <c r="H150" s="603">
        <v>0</v>
      </c>
      <c r="I150" s="601">
        <v>332314600000000</v>
      </c>
      <c r="J150" s="602" t="s">
        <v>6139</v>
      </c>
      <c r="K150" s="891">
        <v>0</v>
      </c>
      <c r="L150" s="891">
        <v>0</v>
      </c>
      <c r="M150" s="477">
        <f t="shared" si="35"/>
        <v>0</v>
      </c>
    </row>
    <row r="151" spans="1:16" s="462" customFormat="1" ht="15" customHeight="1" x14ac:dyDescent="0.25">
      <c r="A151" s="397"/>
      <c r="B151" s="599">
        <f t="shared" si="36"/>
        <v>8113</v>
      </c>
      <c r="C151" s="600" t="s">
        <v>6062</v>
      </c>
      <c r="D151" s="528" t="str">
        <f t="shared" si="37"/>
        <v>8100</v>
      </c>
      <c r="E151" s="417">
        <v>333903969220000</v>
      </c>
      <c r="F151" s="418" t="s">
        <v>5318</v>
      </c>
      <c r="G151" s="603">
        <v>1</v>
      </c>
      <c r="H151" s="603">
        <v>0</v>
      </c>
      <c r="I151" s="601">
        <v>332312900000000</v>
      </c>
      <c r="J151" s="602" t="s">
        <v>6140</v>
      </c>
      <c r="K151" s="891">
        <v>0</v>
      </c>
      <c r="L151" s="891">
        <v>0</v>
      </c>
      <c r="M151" s="477">
        <f t="shared" si="35"/>
        <v>0</v>
      </c>
      <c r="N151" s="796"/>
      <c r="P151" s="399"/>
    </row>
    <row r="152" spans="1:16" ht="15" customHeight="1" x14ac:dyDescent="0.25">
      <c r="A152" s="397"/>
      <c r="B152" s="599">
        <f t="shared" si="36"/>
        <v>8114</v>
      </c>
      <c r="C152" s="600" t="s">
        <v>6062</v>
      </c>
      <c r="D152" s="528" t="str">
        <f t="shared" si="37"/>
        <v>8100</v>
      </c>
      <c r="E152" s="417">
        <v>333903978000000</v>
      </c>
      <c r="F152" s="418" t="s">
        <v>5897</v>
      </c>
      <c r="G152" s="603">
        <v>1</v>
      </c>
      <c r="H152" s="603">
        <v>0</v>
      </c>
      <c r="I152" s="601">
        <v>332310600000000</v>
      </c>
      <c r="J152" s="602" t="s">
        <v>6101</v>
      </c>
      <c r="K152" s="891">
        <v>0</v>
      </c>
      <c r="L152" s="891">
        <v>0</v>
      </c>
      <c r="M152" s="477">
        <f t="shared" si="35"/>
        <v>0</v>
      </c>
    </row>
    <row r="153" spans="1:16" ht="15" customHeight="1" x14ac:dyDescent="0.25">
      <c r="A153" s="397"/>
      <c r="B153" s="599">
        <f t="shared" si="36"/>
        <v>8115</v>
      </c>
      <c r="C153" s="600" t="s">
        <v>6062</v>
      </c>
      <c r="D153" s="528" t="str">
        <f t="shared" si="37"/>
        <v>8100</v>
      </c>
      <c r="E153" s="417">
        <v>333903990000000</v>
      </c>
      <c r="F153" s="418" t="s">
        <v>1098</v>
      </c>
      <c r="G153" s="603">
        <v>1</v>
      </c>
      <c r="H153" s="603">
        <v>0</v>
      </c>
      <c r="I153" s="601">
        <v>332310500000000</v>
      </c>
      <c r="J153" s="602" t="s">
        <v>6153</v>
      </c>
      <c r="K153" s="891">
        <v>0</v>
      </c>
      <c r="L153" s="891">
        <v>0</v>
      </c>
      <c r="M153" s="477">
        <f t="shared" si="35"/>
        <v>0</v>
      </c>
    </row>
    <row r="154" spans="1:16" ht="15" customHeight="1" x14ac:dyDescent="0.25">
      <c r="A154" s="397"/>
      <c r="B154" s="599">
        <f t="shared" si="36"/>
        <v>8116</v>
      </c>
      <c r="C154" s="600" t="s">
        <v>6062</v>
      </c>
      <c r="D154" s="528" t="str">
        <f t="shared" si="37"/>
        <v>8100</v>
      </c>
      <c r="E154" s="417">
        <v>333903992000000</v>
      </c>
      <c r="F154" s="418" t="s">
        <v>1097</v>
      </c>
      <c r="G154" s="603">
        <v>1</v>
      </c>
      <c r="H154" s="603">
        <v>0</v>
      </c>
      <c r="I154" s="601">
        <v>332310500000000</v>
      </c>
      <c r="J154" s="602" t="s">
        <v>6152</v>
      </c>
      <c r="K154" s="891">
        <v>0</v>
      </c>
      <c r="L154" s="891">
        <v>0</v>
      </c>
      <c r="M154" s="477">
        <f t="shared" si="35"/>
        <v>0</v>
      </c>
    </row>
    <row r="155" spans="1:16" ht="15" customHeight="1" x14ac:dyDescent="0.25">
      <c r="A155" s="397"/>
      <c r="B155" s="599">
        <f t="shared" si="36"/>
        <v>8117</v>
      </c>
      <c r="C155" s="600" t="s">
        <v>6062</v>
      </c>
      <c r="D155" s="528" t="str">
        <f t="shared" si="37"/>
        <v>8100</v>
      </c>
      <c r="E155" s="417">
        <v>333903993000000</v>
      </c>
      <c r="F155" s="418" t="s">
        <v>2189</v>
      </c>
      <c r="G155" s="603">
        <v>1</v>
      </c>
      <c r="H155" s="603">
        <v>0</v>
      </c>
      <c r="I155" s="601">
        <v>332310500000000</v>
      </c>
      <c r="J155" s="602" t="s">
        <v>6154</v>
      </c>
      <c r="K155" s="891">
        <v>0</v>
      </c>
      <c r="L155" s="891">
        <v>0</v>
      </c>
      <c r="M155" s="477">
        <f t="shared" si="35"/>
        <v>0</v>
      </c>
    </row>
    <row r="156" spans="1:16" ht="15" customHeight="1" x14ac:dyDescent="0.25">
      <c r="A156" s="397"/>
      <c r="B156" s="599">
        <f t="shared" si="36"/>
        <v>8118</v>
      </c>
      <c r="C156" s="600" t="s">
        <v>6062</v>
      </c>
      <c r="D156" s="528" t="str">
        <f t="shared" si="37"/>
        <v>8100</v>
      </c>
      <c r="E156" s="417">
        <v>333903995000000</v>
      </c>
      <c r="F156" s="418" t="s">
        <v>3164</v>
      </c>
      <c r="G156" s="603">
        <v>1</v>
      </c>
      <c r="H156" s="603">
        <v>0</v>
      </c>
      <c r="I156" s="601">
        <v>332311100000000</v>
      </c>
      <c r="J156" s="602" t="s">
        <v>6155</v>
      </c>
      <c r="K156" s="891">
        <v>0</v>
      </c>
      <c r="L156" s="891">
        <v>0</v>
      </c>
      <c r="M156" s="477">
        <f t="shared" si="35"/>
        <v>0</v>
      </c>
    </row>
    <row r="157" spans="1:16" ht="15" customHeight="1" x14ac:dyDescent="0.25">
      <c r="A157" s="397"/>
      <c r="B157" s="599">
        <f t="shared" si="36"/>
        <v>8119</v>
      </c>
      <c r="C157" s="600" t="s">
        <v>6062</v>
      </c>
      <c r="D157" s="528" t="str">
        <f t="shared" si="37"/>
        <v>8100</v>
      </c>
      <c r="E157" s="417">
        <v>333903999010000</v>
      </c>
      <c r="F157" s="418" t="s">
        <v>2449</v>
      </c>
      <c r="G157" s="603">
        <v>1</v>
      </c>
      <c r="H157" s="603">
        <v>0</v>
      </c>
      <c r="I157" s="601">
        <v>332310700000000</v>
      </c>
      <c r="J157" s="602" t="s">
        <v>6156</v>
      </c>
      <c r="K157" s="891">
        <v>0</v>
      </c>
      <c r="L157" s="891">
        <v>0</v>
      </c>
      <c r="M157" s="477">
        <f t="shared" si="35"/>
        <v>0</v>
      </c>
    </row>
    <row r="158" spans="1:16" ht="15" customHeight="1" x14ac:dyDescent="0.25">
      <c r="A158" s="397"/>
      <c r="B158" s="599">
        <f t="shared" si="36"/>
        <v>8120</v>
      </c>
      <c r="C158" s="600" t="s">
        <v>6062</v>
      </c>
      <c r="D158" s="528" t="str">
        <f t="shared" si="37"/>
        <v>8100</v>
      </c>
      <c r="E158" s="417">
        <v>333903999020100</v>
      </c>
      <c r="F158" s="418" t="s">
        <v>6915</v>
      </c>
      <c r="G158" s="603">
        <v>1</v>
      </c>
      <c r="H158" s="603">
        <v>0</v>
      </c>
      <c r="I158" s="417">
        <v>332319900000000</v>
      </c>
      <c r="J158" s="602" t="s">
        <v>6157</v>
      </c>
      <c r="K158" s="891">
        <v>0</v>
      </c>
      <c r="L158" s="533">
        <v>0</v>
      </c>
      <c r="M158" s="477">
        <f t="shared" si="35"/>
        <v>0</v>
      </c>
    </row>
    <row r="159" spans="1:16" s="462" customFormat="1" ht="15" customHeight="1" x14ac:dyDescent="0.25">
      <c r="A159" s="397"/>
      <c r="B159" s="599">
        <f t="shared" si="36"/>
        <v>8121</v>
      </c>
      <c r="C159" s="600" t="s">
        <v>6062</v>
      </c>
      <c r="D159" s="528" t="str">
        <f t="shared" si="37"/>
        <v>8100</v>
      </c>
      <c r="E159" s="417">
        <v>333903999020100</v>
      </c>
      <c r="F159" s="418" t="s">
        <v>6916</v>
      </c>
      <c r="G159" s="603">
        <v>1</v>
      </c>
      <c r="H159" s="603">
        <v>0</v>
      </c>
      <c r="I159" s="417">
        <v>332319900000000</v>
      </c>
      <c r="J159" s="602" t="s">
        <v>6158</v>
      </c>
      <c r="K159" s="891">
        <v>0</v>
      </c>
      <c r="L159" s="533">
        <v>0</v>
      </c>
      <c r="M159" s="477">
        <f t="shared" si="35"/>
        <v>0</v>
      </c>
      <c r="N159" s="796"/>
      <c r="P159" s="399"/>
    </row>
    <row r="160" spans="1:16" s="462" customFormat="1" ht="15" customHeight="1" x14ac:dyDescent="0.25">
      <c r="A160" s="397"/>
      <c r="B160" s="599">
        <f t="shared" si="36"/>
        <v>8122</v>
      </c>
      <c r="C160" s="600" t="s">
        <v>6062</v>
      </c>
      <c r="D160" s="528" t="str">
        <f t="shared" si="37"/>
        <v>8100</v>
      </c>
      <c r="E160" s="417">
        <v>333903999020100</v>
      </c>
      <c r="F160" s="418" t="s">
        <v>6914</v>
      </c>
      <c r="G160" s="603">
        <v>1</v>
      </c>
      <c r="H160" s="603">
        <v>0</v>
      </c>
      <c r="I160" s="417">
        <v>332319900000000</v>
      </c>
      <c r="J160" s="602" t="s">
        <v>6159</v>
      </c>
      <c r="K160" s="891">
        <v>0</v>
      </c>
      <c r="L160" s="533">
        <v>0</v>
      </c>
      <c r="M160" s="477">
        <f t="shared" si="35"/>
        <v>0</v>
      </c>
      <c r="N160" s="796"/>
      <c r="P160" s="399"/>
    </row>
    <row r="161" spans="1:16" ht="15" customHeight="1" x14ac:dyDescent="0.25">
      <c r="A161" s="397"/>
      <c r="B161" s="599">
        <f t="shared" si="36"/>
        <v>8123</v>
      </c>
      <c r="C161" s="600" t="s">
        <v>6062</v>
      </c>
      <c r="D161" s="528" t="str">
        <f t="shared" si="37"/>
        <v>8100</v>
      </c>
      <c r="E161" s="417">
        <v>333903999040000</v>
      </c>
      <c r="F161" s="418" t="s">
        <v>5812</v>
      </c>
      <c r="G161" s="603">
        <v>1</v>
      </c>
      <c r="H161" s="603">
        <v>0</v>
      </c>
      <c r="I161" s="601">
        <v>332319900000000</v>
      </c>
      <c r="J161" s="602" t="s">
        <v>6160</v>
      </c>
      <c r="K161" s="891">
        <v>0</v>
      </c>
      <c r="L161" s="891">
        <v>0</v>
      </c>
      <c r="M161" s="477">
        <f t="shared" si="35"/>
        <v>0</v>
      </c>
    </row>
    <row r="162" spans="1:16" s="462" customFormat="1" ht="15" customHeight="1" x14ac:dyDescent="0.25">
      <c r="A162" s="397"/>
      <c r="B162" s="599">
        <f t="shared" si="36"/>
        <v>8124</v>
      </c>
      <c r="C162" s="600" t="s">
        <v>6062</v>
      </c>
      <c r="D162" s="528" t="str">
        <f t="shared" si="37"/>
        <v>8100</v>
      </c>
      <c r="E162" s="417">
        <v>333903999070700</v>
      </c>
      <c r="F162" s="418" t="s">
        <v>5936</v>
      </c>
      <c r="G162" s="603">
        <v>1</v>
      </c>
      <c r="H162" s="603">
        <v>0</v>
      </c>
      <c r="I162" s="601">
        <v>332319900000000</v>
      </c>
      <c r="J162" s="602" t="s">
        <v>6161</v>
      </c>
      <c r="K162" s="891">
        <v>0</v>
      </c>
      <c r="L162" s="891">
        <v>0</v>
      </c>
      <c r="M162" s="477">
        <f t="shared" si="35"/>
        <v>0</v>
      </c>
      <c r="N162" s="796"/>
      <c r="P162" s="399"/>
    </row>
    <row r="163" spans="1:16" ht="15" customHeight="1" x14ac:dyDescent="0.25">
      <c r="A163" s="397"/>
      <c r="B163" s="1398" t="s">
        <v>6205</v>
      </c>
      <c r="C163" s="1398"/>
      <c r="D163" s="1398"/>
      <c r="E163" s="417">
        <v>333904700000000</v>
      </c>
      <c r="F163" s="418" t="s">
        <v>990</v>
      </c>
      <c r="G163" s="468">
        <v>1</v>
      </c>
      <c r="H163" s="468">
        <v>0</v>
      </c>
      <c r="I163" s="751"/>
      <c r="J163" s="878" t="s">
        <v>6089</v>
      </c>
      <c r="K163" s="789">
        <f>'Parâmetros financeiros Despesa'!E133</f>
        <v>33</v>
      </c>
      <c r="L163" s="789">
        <f>('Parâmetros financeiros Despesa'!F132+'Parâmetros financeiros Despesa'!F129+'Parâmetros financeiros Despesa'!F121)*((1+'Parâmetros financeiros Despesa'!F4)*(1+'Parâmetros financeiros Despesa'!F7)*('Parâmetros financeiros Despesa'!F83))</f>
        <v>1324.6328360350001</v>
      </c>
      <c r="M163" s="799">
        <f t="shared" si="35"/>
        <v>1.9514278834999483E-3</v>
      </c>
      <c r="N163" s="894"/>
      <c r="O163" s="894"/>
    </row>
    <row r="164" spans="1:16" ht="15" customHeight="1" x14ac:dyDescent="0.25">
      <c r="A164" s="397"/>
      <c r="B164" s="599">
        <f>B163+1</f>
        <v>8201</v>
      </c>
      <c r="C164" s="600" t="s">
        <v>6062</v>
      </c>
      <c r="D164" s="528" t="str">
        <f>B163</f>
        <v>8200</v>
      </c>
      <c r="E164" s="417">
        <v>333904718000000</v>
      </c>
      <c r="F164" s="418" t="s">
        <v>5904</v>
      </c>
      <c r="G164" s="603">
        <v>1</v>
      </c>
      <c r="H164" s="603">
        <v>0</v>
      </c>
      <c r="I164" s="601">
        <v>372110400000000</v>
      </c>
      <c r="J164" s="602" t="s">
        <v>6131</v>
      </c>
      <c r="K164" s="891">
        <v>0</v>
      </c>
      <c r="L164" s="891">
        <v>0</v>
      </c>
      <c r="M164" s="477">
        <f t="shared" ref="M164:M168" si="38">L164/L$230</f>
        <v>0</v>
      </c>
    </row>
    <row r="165" spans="1:16" s="462" customFormat="1" ht="15" customHeight="1" x14ac:dyDescent="0.25">
      <c r="A165" s="397"/>
      <c r="B165" s="599">
        <f>B164+1</f>
        <v>8202</v>
      </c>
      <c r="C165" s="600" t="s">
        <v>6062</v>
      </c>
      <c r="D165" s="528" t="str">
        <f>D164</f>
        <v>8200</v>
      </c>
      <c r="E165" s="417">
        <v>333904718000000</v>
      </c>
      <c r="F165" s="418" t="s">
        <v>6917</v>
      </c>
      <c r="G165" s="603">
        <v>1</v>
      </c>
      <c r="H165" s="603">
        <v>0</v>
      </c>
      <c r="I165" s="601">
        <v>372110400000000</v>
      </c>
      <c r="J165" s="602" t="s">
        <v>6134</v>
      </c>
      <c r="K165" s="891">
        <v>0</v>
      </c>
      <c r="L165" s="891">
        <v>0</v>
      </c>
      <c r="M165" s="477">
        <f t="shared" si="38"/>
        <v>0</v>
      </c>
      <c r="N165" s="796"/>
      <c r="P165" s="399"/>
    </row>
    <row r="166" spans="1:16" ht="15" customHeight="1" x14ac:dyDescent="0.25">
      <c r="A166" s="397"/>
      <c r="B166" s="599">
        <f>B165+1</f>
        <v>8203</v>
      </c>
      <c r="C166" s="600" t="s">
        <v>6062</v>
      </c>
      <c r="D166" s="528" t="str">
        <f>D165</f>
        <v>8200</v>
      </c>
      <c r="E166" s="417">
        <v>333904720000000</v>
      </c>
      <c r="F166" s="418" t="s">
        <v>5905</v>
      </c>
      <c r="G166" s="603">
        <v>1</v>
      </c>
      <c r="H166" s="603">
        <v>0</v>
      </c>
      <c r="I166" s="601">
        <v>372110500000000</v>
      </c>
      <c r="J166" s="602" t="s">
        <v>6160</v>
      </c>
      <c r="K166" s="891">
        <v>0</v>
      </c>
      <c r="L166" s="891">
        <v>0</v>
      </c>
      <c r="M166" s="477">
        <f t="shared" si="38"/>
        <v>0</v>
      </c>
    </row>
    <row r="167" spans="1:16" s="462" customFormat="1" ht="15" customHeight="1" x14ac:dyDescent="0.25">
      <c r="A167" s="397"/>
      <c r="B167" s="599">
        <f>B166+1</f>
        <v>8204</v>
      </c>
      <c r="C167" s="600" t="s">
        <v>6062</v>
      </c>
      <c r="D167" s="528" t="str">
        <f>D166</f>
        <v>8200</v>
      </c>
      <c r="E167" s="417">
        <v>333904720000000</v>
      </c>
      <c r="F167" s="418" t="s">
        <v>6918</v>
      </c>
      <c r="G167" s="603">
        <v>1</v>
      </c>
      <c r="H167" s="603">
        <v>0</v>
      </c>
      <c r="I167" s="601">
        <v>372110500000000</v>
      </c>
      <c r="J167" s="602" t="s">
        <v>6134</v>
      </c>
      <c r="K167" s="891">
        <v>0</v>
      </c>
      <c r="L167" s="891">
        <v>0</v>
      </c>
      <c r="M167" s="477">
        <f t="shared" si="38"/>
        <v>0</v>
      </c>
      <c r="N167" s="796"/>
      <c r="P167" s="399"/>
    </row>
    <row r="168" spans="1:16" s="462" customFormat="1" ht="15" customHeight="1" x14ac:dyDescent="0.25">
      <c r="A168" s="397"/>
      <c r="B168" s="1398" t="s">
        <v>6206</v>
      </c>
      <c r="C168" s="1398"/>
      <c r="D168" s="1398"/>
      <c r="E168" s="417">
        <v>333904900000000</v>
      </c>
      <c r="F168" s="418" t="s">
        <v>7167</v>
      </c>
      <c r="G168" s="468">
        <v>1</v>
      </c>
      <c r="H168" s="468">
        <v>0</v>
      </c>
      <c r="I168" s="751"/>
      <c r="J168" s="878" t="s">
        <v>5966</v>
      </c>
      <c r="K168" s="789">
        <f>'Parâmetros financeiros Despesa'!E135</f>
        <v>0</v>
      </c>
      <c r="L168" s="789">
        <f>('Parâmetros financeiros Despesa'!F135)*((1+'Parâmetros financeiros Despesa'!F4)*(1+'Parâmetros financeiros Despesa'!F8))</f>
        <v>1.0554814326439474</v>
      </c>
      <c r="M168" s="799">
        <f t="shared" si="38"/>
        <v>1.5549183457833664E-6</v>
      </c>
      <c r="N168" s="894"/>
      <c r="O168" s="894"/>
      <c r="P168" s="399"/>
    </row>
    <row r="169" spans="1:16" s="462" customFormat="1" ht="15" customHeight="1" x14ac:dyDescent="0.25">
      <c r="A169" s="397"/>
      <c r="B169" s="599">
        <f>B168+1</f>
        <v>8301</v>
      </c>
      <c r="C169" s="600" t="s">
        <v>6062</v>
      </c>
      <c r="D169" s="528" t="str">
        <f>B168</f>
        <v>8300</v>
      </c>
      <c r="E169" s="417">
        <v>333904901000000</v>
      </c>
      <c r="F169" s="418" t="s">
        <v>6042</v>
      </c>
      <c r="G169" s="603">
        <v>1</v>
      </c>
      <c r="H169" s="603">
        <v>0</v>
      </c>
      <c r="I169" s="601">
        <v>313110200000000</v>
      </c>
      <c r="J169" s="602" t="s">
        <v>6163</v>
      </c>
      <c r="K169" s="891">
        <v>0</v>
      </c>
      <c r="L169" s="891">
        <v>0</v>
      </c>
      <c r="M169" s="477">
        <f t="shared" ref="M169:M170" si="39">L169/L$230</f>
        <v>0</v>
      </c>
      <c r="N169" s="796"/>
      <c r="P169" s="399"/>
    </row>
    <row r="170" spans="1:16" ht="15" customHeight="1" x14ac:dyDescent="0.25">
      <c r="A170" s="397"/>
      <c r="B170" s="1398" t="s">
        <v>7036</v>
      </c>
      <c r="C170" s="1398"/>
      <c r="D170" s="1398"/>
      <c r="E170" s="417">
        <v>333909300000000</v>
      </c>
      <c r="F170" s="418" t="s">
        <v>5818</v>
      </c>
      <c r="G170" s="468">
        <v>1</v>
      </c>
      <c r="H170" s="468">
        <v>0</v>
      </c>
      <c r="I170" s="751"/>
      <c r="J170" s="878" t="s">
        <v>6089</v>
      </c>
      <c r="K170" s="789">
        <f>'Parâmetros financeiros Despesa'!E137</f>
        <v>0</v>
      </c>
      <c r="L170" s="789">
        <f>('Parâmetros financeiros Despesa'!F137)*((1+'Parâmetros financeiros Despesa'!F4)*(1+'Parâmetros financeiros Despesa'!F7))</f>
        <v>1635.4972500000001</v>
      </c>
      <c r="M170" s="799">
        <f t="shared" si="39"/>
        <v>2.4093883604687852E-3</v>
      </c>
      <c r="N170" s="894"/>
      <c r="O170" s="894"/>
    </row>
    <row r="171" spans="1:16" ht="15" customHeight="1" x14ac:dyDescent="0.25">
      <c r="A171" s="397"/>
      <c r="B171" s="599">
        <f>B170+1</f>
        <v>8401</v>
      </c>
      <c r="C171" s="600" t="s">
        <v>6062</v>
      </c>
      <c r="D171" s="528" t="str">
        <f>B170</f>
        <v>8400</v>
      </c>
      <c r="E171" s="417">
        <v>333909399000000</v>
      </c>
      <c r="F171" s="418" t="s">
        <v>1038</v>
      </c>
      <c r="G171" s="603">
        <v>1</v>
      </c>
      <c r="H171" s="603">
        <v>0</v>
      </c>
      <c r="I171" s="601">
        <v>399910300000000</v>
      </c>
      <c r="J171" s="602" t="s">
        <v>6164</v>
      </c>
      <c r="K171" s="891">
        <v>0</v>
      </c>
      <c r="L171" s="891">
        <v>0</v>
      </c>
      <c r="M171" s="477">
        <f t="shared" ref="M171:M172" si="40">L171/L$230</f>
        <v>0</v>
      </c>
    </row>
    <row r="172" spans="1:16" s="482" customFormat="1" ht="15" customHeight="1" x14ac:dyDescent="0.25">
      <c r="A172" s="397"/>
      <c r="B172" s="1398" t="s">
        <v>7037</v>
      </c>
      <c r="C172" s="1398"/>
      <c r="D172" s="1398"/>
      <c r="E172" s="417">
        <v>333933000000000</v>
      </c>
      <c r="F172" s="418" t="s">
        <v>7066</v>
      </c>
      <c r="G172" s="468">
        <v>1</v>
      </c>
      <c r="H172" s="468">
        <v>0</v>
      </c>
      <c r="I172" s="751"/>
      <c r="J172" s="878" t="s">
        <v>6197</v>
      </c>
      <c r="K172" s="789">
        <f>'Parâmetros financeiros Despesa'!E137</f>
        <v>0</v>
      </c>
      <c r="L172" s="789">
        <f>('Parâmetros financeiros Despesa'!F137)*((1+'Parâmetros financeiros Despesa'!F4)*(1+'Parâmetros financeiros Despesa'!F7))</f>
        <v>1635.4972500000001</v>
      </c>
      <c r="M172" s="799">
        <f t="shared" si="40"/>
        <v>2.4093883604687852E-3</v>
      </c>
      <c r="N172" s="894"/>
      <c r="O172" s="894"/>
      <c r="P172" s="399"/>
    </row>
    <row r="173" spans="1:16" s="482" customFormat="1" ht="15" customHeight="1" x14ac:dyDescent="0.25">
      <c r="A173" s="397"/>
      <c r="B173" s="599">
        <f>B172+1</f>
        <v>8501</v>
      </c>
      <c r="C173" s="600" t="s">
        <v>6062</v>
      </c>
      <c r="D173" s="528" t="str">
        <f>B172</f>
        <v>8500</v>
      </c>
      <c r="E173" s="417">
        <v>333933002000000</v>
      </c>
      <c r="F173" s="418" t="s">
        <v>6199</v>
      </c>
      <c r="G173" s="603">
        <v>1</v>
      </c>
      <c r="H173" s="603">
        <v>0</v>
      </c>
      <c r="I173" s="601">
        <v>35</v>
      </c>
      <c r="J173" s="602" t="s">
        <v>6198</v>
      </c>
      <c r="K173" s="891">
        <v>0</v>
      </c>
      <c r="L173" s="891">
        <v>0</v>
      </c>
      <c r="M173" s="477">
        <f t="shared" ref="M173" si="41">L173/L$230</f>
        <v>0</v>
      </c>
      <c r="N173" s="796"/>
      <c r="P173" s="399"/>
    </row>
    <row r="174" spans="1:16" s="462" customFormat="1" ht="15" customHeight="1" x14ac:dyDescent="0.25">
      <c r="A174" s="397"/>
      <c r="B174" s="1385" t="s">
        <v>5951</v>
      </c>
      <c r="C174" s="1385"/>
      <c r="D174" s="1385"/>
      <c r="E174" s="1385"/>
      <c r="F174" s="1385"/>
      <c r="G174" s="401"/>
      <c r="H174" s="401"/>
      <c r="I174" s="426"/>
      <c r="J174" s="411"/>
      <c r="K174" s="402">
        <f t="shared" ref="K174:L177" si="42">K175</f>
        <v>5023.68</v>
      </c>
      <c r="L174" s="402">
        <f t="shared" si="42"/>
        <v>5477.4765499200003</v>
      </c>
      <c r="M174" s="451">
        <f>L174/L$230</f>
        <v>8.069330745813218E-3</v>
      </c>
      <c r="N174" s="796"/>
      <c r="P174" s="399"/>
    </row>
    <row r="175" spans="1:16" s="462" customFormat="1" ht="15" customHeight="1" x14ac:dyDescent="0.25">
      <c r="A175" s="397"/>
      <c r="B175" s="1386" t="s">
        <v>6061</v>
      </c>
      <c r="C175" s="1386"/>
      <c r="D175" s="1386"/>
      <c r="E175" s="1386"/>
      <c r="F175" s="1386"/>
      <c r="G175" s="403"/>
      <c r="H175" s="403"/>
      <c r="I175" s="427"/>
      <c r="J175" s="412"/>
      <c r="K175" s="404">
        <f t="shared" si="42"/>
        <v>5023.68</v>
      </c>
      <c r="L175" s="404">
        <f t="shared" si="42"/>
        <v>5477.4765499200003</v>
      </c>
      <c r="M175" s="452">
        <f>L175/L$230</f>
        <v>8.069330745813218E-3</v>
      </c>
      <c r="N175" s="796"/>
      <c r="P175" s="399"/>
    </row>
    <row r="176" spans="1:16" s="462" customFormat="1" ht="15" customHeight="1" x14ac:dyDescent="0.25">
      <c r="A176" s="397"/>
      <c r="B176" s="1382" t="s">
        <v>2286</v>
      </c>
      <c r="C176" s="1382"/>
      <c r="D176" s="1382"/>
      <c r="E176" s="1382"/>
      <c r="F176" s="1382"/>
      <c r="G176" s="405"/>
      <c r="H176" s="405"/>
      <c r="I176" s="428"/>
      <c r="J176" s="413"/>
      <c r="K176" s="406">
        <f t="shared" si="42"/>
        <v>5023.68</v>
      </c>
      <c r="L176" s="406">
        <f t="shared" si="42"/>
        <v>5477.4765499200003</v>
      </c>
      <c r="M176" s="453">
        <f>L176/L$230</f>
        <v>8.069330745813218E-3</v>
      </c>
      <c r="N176" s="796"/>
      <c r="P176" s="399"/>
    </row>
    <row r="177" spans="1:16" s="462" customFormat="1" ht="15" customHeight="1" x14ac:dyDescent="0.25">
      <c r="A177" s="397"/>
      <c r="B177" s="1383" t="s">
        <v>2290</v>
      </c>
      <c r="C177" s="1383"/>
      <c r="D177" s="1383"/>
      <c r="E177" s="1383"/>
      <c r="F177" s="1383"/>
      <c r="G177" s="407"/>
      <c r="H177" s="407"/>
      <c r="I177" s="429"/>
      <c r="J177" s="414"/>
      <c r="K177" s="408">
        <f t="shared" si="42"/>
        <v>5023.68</v>
      </c>
      <c r="L177" s="408">
        <f t="shared" si="42"/>
        <v>5477.4765499200003</v>
      </c>
      <c r="M177" s="1007">
        <f>L177/L$230</f>
        <v>8.069330745813218E-3</v>
      </c>
      <c r="N177" s="796"/>
      <c r="P177" s="399"/>
    </row>
    <row r="178" spans="1:16" s="462" customFormat="1" ht="15" customHeight="1" x14ac:dyDescent="0.25">
      <c r="A178" s="397"/>
      <c r="B178" s="1398" t="s">
        <v>6919</v>
      </c>
      <c r="C178" s="1398"/>
      <c r="D178" s="1398"/>
      <c r="E178" s="417">
        <v>331717000000000</v>
      </c>
      <c r="F178" s="418" t="s">
        <v>4792</v>
      </c>
      <c r="G178" s="468">
        <v>1</v>
      </c>
      <c r="H178" s="468">
        <v>0</v>
      </c>
      <c r="I178" s="751"/>
      <c r="J178" s="878" t="s">
        <v>6166</v>
      </c>
      <c r="K178" s="789">
        <f>('Parâmetros financeiros Despesa'!E142)</f>
        <v>5023.68</v>
      </c>
      <c r="L178" s="789">
        <f>('Parâmetros financeiros Despesa'!F142)*((1+'Parâmetros financeiros Despesa'!F4)*(1+'Parâmetros financeiros Despesa'!F7))</f>
        <v>5477.4765499200003</v>
      </c>
      <c r="M178" s="799">
        <f t="shared" ref="M178:M179" si="43">L178/L$230</f>
        <v>8.069330745813218E-3</v>
      </c>
      <c r="N178" s="796"/>
      <c r="P178" s="399"/>
    </row>
    <row r="179" spans="1:16" s="462" customFormat="1" ht="15" customHeight="1" x14ac:dyDescent="0.25">
      <c r="A179" s="397"/>
      <c r="B179" s="599">
        <f>B178+1</f>
        <v>9001</v>
      </c>
      <c r="C179" s="600" t="s">
        <v>6062</v>
      </c>
      <c r="D179" s="528" t="str">
        <f>B178</f>
        <v>9000</v>
      </c>
      <c r="E179" s="417">
        <v>331717001000000</v>
      </c>
      <c r="F179" s="418" t="s">
        <v>5599</v>
      </c>
      <c r="G179" s="468">
        <v>1</v>
      </c>
      <c r="H179" s="468">
        <v>0</v>
      </c>
      <c r="I179" s="471">
        <v>355010100000000</v>
      </c>
      <c r="J179" s="475" t="s">
        <v>6165</v>
      </c>
      <c r="K179" s="891">
        <v>0</v>
      </c>
      <c r="L179" s="476">
        <v>0</v>
      </c>
      <c r="M179" s="477">
        <f t="shared" si="43"/>
        <v>0</v>
      </c>
      <c r="N179" s="796"/>
      <c r="P179" s="399"/>
    </row>
    <row r="180" spans="1:16" s="462" customFormat="1" ht="15" customHeight="1" x14ac:dyDescent="0.25">
      <c r="A180" s="397"/>
      <c r="B180" s="1385" t="s">
        <v>6059</v>
      </c>
      <c r="C180" s="1385"/>
      <c r="D180" s="1385"/>
      <c r="E180" s="1385"/>
      <c r="F180" s="1385"/>
      <c r="G180" s="401"/>
      <c r="H180" s="401"/>
      <c r="I180" s="426"/>
      <c r="J180" s="411"/>
      <c r="K180" s="402">
        <f t="shared" ref="K180:L182" si="44">K181</f>
        <v>16749.870000000003</v>
      </c>
      <c r="L180" s="402">
        <f t="shared" si="44"/>
        <v>30284.884194275</v>
      </c>
      <c r="M180" s="451">
        <f>L180/L$230</f>
        <v>4.4615206461417936E-2</v>
      </c>
      <c r="N180" s="796"/>
      <c r="P180" s="399"/>
    </row>
    <row r="181" spans="1:16" s="462" customFormat="1" ht="15" customHeight="1" x14ac:dyDescent="0.25">
      <c r="A181" s="397"/>
      <c r="B181" s="1386" t="s">
        <v>6060</v>
      </c>
      <c r="C181" s="1386"/>
      <c r="D181" s="1386"/>
      <c r="E181" s="1386"/>
      <c r="F181" s="1386"/>
      <c r="G181" s="403"/>
      <c r="H181" s="403"/>
      <c r="I181" s="427"/>
      <c r="J181" s="412"/>
      <c r="K181" s="404">
        <f t="shared" si="44"/>
        <v>16749.870000000003</v>
      </c>
      <c r="L181" s="404">
        <f t="shared" si="44"/>
        <v>30284.884194275</v>
      </c>
      <c r="M181" s="452">
        <f>L181/L$230</f>
        <v>4.4615206461417936E-2</v>
      </c>
      <c r="N181" s="796"/>
      <c r="P181" s="399"/>
    </row>
    <row r="182" spans="1:16" s="462" customFormat="1" ht="15" customHeight="1" x14ac:dyDescent="0.25">
      <c r="A182" s="397"/>
      <c r="B182" s="1382" t="s">
        <v>2286</v>
      </c>
      <c r="C182" s="1382"/>
      <c r="D182" s="1382"/>
      <c r="E182" s="1382"/>
      <c r="F182" s="1382"/>
      <c r="G182" s="405"/>
      <c r="H182" s="405"/>
      <c r="I182" s="428"/>
      <c r="J182" s="413"/>
      <c r="K182" s="406">
        <f t="shared" si="44"/>
        <v>16749.870000000003</v>
      </c>
      <c r="L182" s="406">
        <f t="shared" si="44"/>
        <v>30284.884194275</v>
      </c>
      <c r="M182" s="453">
        <f>L182/L$230</f>
        <v>4.4615206461417936E-2</v>
      </c>
      <c r="N182" s="796"/>
      <c r="P182" s="399"/>
    </row>
    <row r="183" spans="1:16" s="462" customFormat="1" ht="15" customHeight="1" x14ac:dyDescent="0.25">
      <c r="A183" s="397"/>
      <c r="B183" s="1383" t="s">
        <v>2290</v>
      </c>
      <c r="C183" s="1383"/>
      <c r="D183" s="1383"/>
      <c r="E183" s="1383"/>
      <c r="F183" s="1383"/>
      <c r="G183" s="407"/>
      <c r="H183" s="407"/>
      <c r="I183" s="429"/>
      <c r="J183" s="414"/>
      <c r="K183" s="408">
        <f>SUM(K184+K189+K192+K200)</f>
        <v>16749.870000000003</v>
      </c>
      <c r="L183" s="408">
        <f>SUM(L184+L189+L192+L200)</f>
        <v>30284.884194275</v>
      </c>
      <c r="M183" s="1007">
        <f>L183/L$230</f>
        <v>4.4615206461417936E-2</v>
      </c>
      <c r="N183" s="796"/>
      <c r="P183" s="399"/>
    </row>
    <row r="184" spans="1:16" s="462" customFormat="1" ht="15" customHeight="1" x14ac:dyDescent="0.25">
      <c r="A184" s="397"/>
      <c r="B184" s="1398" t="s">
        <v>6069</v>
      </c>
      <c r="C184" s="1398"/>
      <c r="D184" s="1398"/>
      <c r="E184" s="417">
        <v>333903000000000</v>
      </c>
      <c r="F184" s="418" t="s">
        <v>996</v>
      </c>
      <c r="G184" s="468">
        <v>1</v>
      </c>
      <c r="H184" s="468">
        <v>0</v>
      </c>
      <c r="I184" s="751"/>
      <c r="J184" s="878" t="s">
        <v>6167</v>
      </c>
      <c r="K184" s="789">
        <f>('Parâmetros financeiros Despesa'!E145+'Parâmetros financeiros Despesa'!E146)</f>
        <v>374.52</v>
      </c>
      <c r="L184" s="789">
        <f>('Parâmetros financeiros Despesa'!F145+'Parâmetros financeiros Despesa'!F146)*((1+'Parâmetros financeiros Despesa'!F$4)*(1+'Parâmetros financeiros Despesa'!F$7))</f>
        <v>7825.8761478800006</v>
      </c>
      <c r="M184" s="799">
        <f t="shared" ref="M184:M188" si="45">L184/L$230</f>
        <v>1.1528955430021278E-2</v>
      </c>
      <c r="N184" s="894"/>
      <c r="O184" s="894"/>
      <c r="P184" s="399"/>
    </row>
    <row r="185" spans="1:16" s="462" customFormat="1" ht="15" customHeight="1" x14ac:dyDescent="0.25">
      <c r="A185" s="397"/>
      <c r="B185" s="599">
        <f>B184+1</f>
        <v>9101</v>
      </c>
      <c r="C185" s="600" t="s">
        <v>6062</v>
      </c>
      <c r="D185" s="528" t="str">
        <f>B184</f>
        <v>9100</v>
      </c>
      <c r="E185" s="417">
        <v>333903001012100</v>
      </c>
      <c r="F185" s="418" t="s">
        <v>5946</v>
      </c>
      <c r="G185" s="603">
        <v>1</v>
      </c>
      <c r="H185" s="603">
        <v>0</v>
      </c>
      <c r="I185" s="601">
        <v>331110100000000</v>
      </c>
      <c r="J185" s="475" t="s">
        <v>6170</v>
      </c>
      <c r="K185" s="891">
        <v>0</v>
      </c>
      <c r="L185" s="891">
        <v>0</v>
      </c>
      <c r="M185" s="477">
        <f t="shared" si="45"/>
        <v>0</v>
      </c>
      <c r="N185" s="796"/>
      <c r="P185" s="399"/>
    </row>
    <row r="186" spans="1:16" s="462" customFormat="1" ht="15" customHeight="1" x14ac:dyDescent="0.25">
      <c r="A186" s="397"/>
      <c r="B186" s="599">
        <f>B185+1</f>
        <v>9102</v>
      </c>
      <c r="C186" s="600" t="s">
        <v>6062</v>
      </c>
      <c r="D186" s="528" t="str">
        <f>D185</f>
        <v>9100</v>
      </c>
      <c r="E186" s="417">
        <v>333903001033300</v>
      </c>
      <c r="F186" s="418" t="s">
        <v>2222</v>
      </c>
      <c r="G186" s="603">
        <v>1</v>
      </c>
      <c r="H186" s="603">
        <v>0</v>
      </c>
      <c r="I186" s="601">
        <v>331110100000000</v>
      </c>
      <c r="J186" s="475" t="s">
        <v>6170</v>
      </c>
      <c r="K186" s="891">
        <v>0</v>
      </c>
      <c r="L186" s="891">
        <v>0</v>
      </c>
      <c r="M186" s="477">
        <f t="shared" si="45"/>
        <v>0</v>
      </c>
      <c r="N186" s="796"/>
      <c r="P186" s="399"/>
    </row>
    <row r="187" spans="1:16" s="462" customFormat="1" ht="15" customHeight="1" x14ac:dyDescent="0.25">
      <c r="A187" s="397"/>
      <c r="B187" s="599">
        <f>B186+1</f>
        <v>9103</v>
      </c>
      <c r="C187" s="600" t="s">
        <v>6062</v>
      </c>
      <c r="D187" s="528" t="str">
        <f>D186</f>
        <v>9100</v>
      </c>
      <c r="E187" s="417">
        <v>333903007010000</v>
      </c>
      <c r="F187" s="418" t="s">
        <v>2197</v>
      </c>
      <c r="G187" s="603">
        <v>1</v>
      </c>
      <c r="H187" s="603">
        <v>0</v>
      </c>
      <c r="I187" s="601">
        <v>331110600000000</v>
      </c>
      <c r="J187" s="475" t="s">
        <v>6171</v>
      </c>
      <c r="K187" s="891">
        <v>0</v>
      </c>
      <c r="L187" s="891">
        <v>0</v>
      </c>
      <c r="M187" s="477">
        <f t="shared" si="45"/>
        <v>0</v>
      </c>
      <c r="N187" s="796"/>
      <c r="P187" s="399"/>
    </row>
    <row r="188" spans="1:16" s="462" customFormat="1" ht="15" customHeight="1" x14ac:dyDescent="0.25">
      <c r="A188" s="397"/>
      <c r="B188" s="599">
        <f>B187+1</f>
        <v>9104</v>
      </c>
      <c r="C188" s="600" t="s">
        <v>6062</v>
      </c>
      <c r="D188" s="528" t="str">
        <f>D187</f>
        <v>9100</v>
      </c>
      <c r="E188" s="417">
        <v>333903039330000</v>
      </c>
      <c r="F188" s="418" t="s">
        <v>2223</v>
      </c>
      <c r="G188" s="603">
        <v>1</v>
      </c>
      <c r="H188" s="603">
        <v>0</v>
      </c>
      <c r="I188" s="601">
        <v>32</v>
      </c>
      <c r="J188" s="475" t="s">
        <v>6172</v>
      </c>
      <c r="K188" s="891">
        <v>0</v>
      </c>
      <c r="L188" s="891">
        <v>0</v>
      </c>
      <c r="M188" s="477">
        <f t="shared" si="45"/>
        <v>0</v>
      </c>
      <c r="N188" s="796"/>
      <c r="P188" s="399"/>
    </row>
    <row r="189" spans="1:16" s="462" customFormat="1" ht="15" customHeight="1" x14ac:dyDescent="0.25">
      <c r="A189" s="397"/>
      <c r="B189" s="1398" t="s">
        <v>6070</v>
      </c>
      <c r="C189" s="1398"/>
      <c r="D189" s="1398"/>
      <c r="E189" s="417">
        <v>333903600000000</v>
      </c>
      <c r="F189" s="418" t="s">
        <v>993</v>
      </c>
      <c r="G189" s="468">
        <v>1</v>
      </c>
      <c r="H189" s="468">
        <v>0</v>
      </c>
      <c r="I189" s="751"/>
      <c r="J189" s="878" t="s">
        <v>6167</v>
      </c>
      <c r="K189" s="789">
        <f>'Parâmetros financeiros Despesa'!E147</f>
        <v>9114.9000000000015</v>
      </c>
      <c r="L189" s="789">
        <f>'Parâmetros financeiros Despesa'!F147*((1+'Parâmetros financeiros Despesa'!F4)*(1+'Parâmetros financeiros Despesa'!F7))</f>
        <v>9938.2625893500008</v>
      </c>
      <c r="M189" s="799">
        <f t="shared" ref="M189:M191" si="46">L189/L$230</f>
        <v>1.464088931122462E-2</v>
      </c>
      <c r="N189" s="894"/>
      <c r="O189" s="894"/>
      <c r="P189" s="399"/>
    </row>
    <row r="190" spans="1:16" s="31" customFormat="1" ht="15" customHeight="1" x14ac:dyDescent="0.25">
      <c r="A190" s="472"/>
      <c r="B190" s="599">
        <f>B189+1</f>
        <v>9201</v>
      </c>
      <c r="C190" s="600" t="s">
        <v>6062</v>
      </c>
      <c r="D190" s="528" t="str">
        <f>B189</f>
        <v>9200</v>
      </c>
      <c r="E190" s="473">
        <v>333903606000000</v>
      </c>
      <c r="F190" s="474" t="s">
        <v>1151</v>
      </c>
      <c r="G190" s="603">
        <v>1</v>
      </c>
      <c r="H190" s="603">
        <v>0</v>
      </c>
      <c r="I190" s="471">
        <v>332211500000000</v>
      </c>
      <c r="J190" s="475" t="s">
        <v>6174</v>
      </c>
      <c r="K190" s="891">
        <v>0</v>
      </c>
      <c r="L190" s="476">
        <v>0</v>
      </c>
      <c r="M190" s="477">
        <f t="shared" si="46"/>
        <v>0</v>
      </c>
      <c r="N190" s="897"/>
      <c r="P190" s="736"/>
    </row>
    <row r="191" spans="1:16" s="31" customFormat="1" ht="15" customHeight="1" x14ac:dyDescent="0.25">
      <c r="A191" s="472"/>
      <c r="B191" s="599">
        <f>B190+1</f>
        <v>9202</v>
      </c>
      <c r="C191" s="600" t="s">
        <v>6062</v>
      </c>
      <c r="D191" s="528" t="str">
        <f>D190</f>
        <v>9200</v>
      </c>
      <c r="E191" s="473">
        <v>333903615000000</v>
      </c>
      <c r="F191" s="474" t="s">
        <v>1026</v>
      </c>
      <c r="G191" s="603">
        <v>1</v>
      </c>
      <c r="H191" s="603">
        <v>0</v>
      </c>
      <c r="I191" s="471">
        <v>332212100000000</v>
      </c>
      <c r="J191" s="475" t="s">
        <v>6173</v>
      </c>
      <c r="K191" s="891">
        <v>0</v>
      </c>
      <c r="L191" s="476">
        <v>0</v>
      </c>
      <c r="M191" s="477">
        <f t="shared" si="46"/>
        <v>0</v>
      </c>
      <c r="N191" s="897"/>
      <c r="P191" s="736"/>
    </row>
    <row r="192" spans="1:16" s="462" customFormat="1" ht="15" customHeight="1" x14ac:dyDescent="0.25">
      <c r="A192" s="397"/>
      <c r="B192" s="1398" t="s">
        <v>6920</v>
      </c>
      <c r="C192" s="1398"/>
      <c r="D192" s="1398"/>
      <c r="E192" s="417">
        <v>333903900000000</v>
      </c>
      <c r="F192" s="418" t="s">
        <v>992</v>
      </c>
      <c r="G192" s="468">
        <v>1</v>
      </c>
      <c r="H192" s="468">
        <v>0</v>
      </c>
      <c r="I192" s="751"/>
      <c r="J192" s="878" t="s">
        <v>6167</v>
      </c>
      <c r="K192" s="789">
        <f>'Parâmetros financeiros Despesa'!E148+'Parâmetros financeiros Despesa'!E149</f>
        <v>7260.4500000000007</v>
      </c>
      <c r="L192" s="789">
        <f>('Parâmetros financeiros Despesa'!F148+'Parâmetros financeiros Despesa'!F149)*((1+'Parâmetros financeiros Despesa'!F4)*(1+'Parâmetros financeiros Despesa'!F7))</f>
        <v>10096.960339175001</v>
      </c>
      <c r="M192" s="799">
        <f t="shared" ref="M192:M199" si="47">L192/L$230</f>
        <v>1.4874680295135442E-2</v>
      </c>
      <c r="N192" s="894"/>
      <c r="O192" s="894"/>
      <c r="P192" s="399"/>
    </row>
    <row r="193" spans="1:16" s="31" customFormat="1" ht="15" customHeight="1" x14ac:dyDescent="0.25">
      <c r="A193" s="472"/>
      <c r="B193" s="599">
        <f t="shared" ref="B193:B199" si="48">B192+1</f>
        <v>9301</v>
      </c>
      <c r="C193" s="600" t="s">
        <v>6062</v>
      </c>
      <c r="D193" s="528" t="str">
        <f>B192</f>
        <v>9300</v>
      </c>
      <c r="E193" s="473">
        <v>333903905000000</v>
      </c>
      <c r="F193" s="474" t="s">
        <v>1151</v>
      </c>
      <c r="G193" s="603">
        <v>1</v>
      </c>
      <c r="H193" s="603">
        <v>0</v>
      </c>
      <c r="I193" s="471">
        <v>332315100000000</v>
      </c>
      <c r="J193" s="475" t="s">
        <v>6174</v>
      </c>
      <c r="K193" s="891">
        <v>0</v>
      </c>
      <c r="L193" s="476">
        <v>0</v>
      </c>
      <c r="M193" s="477">
        <f t="shared" si="47"/>
        <v>0</v>
      </c>
      <c r="N193" s="897"/>
      <c r="P193" s="736"/>
    </row>
    <row r="194" spans="1:16" s="31" customFormat="1" ht="15" customHeight="1" x14ac:dyDescent="0.25">
      <c r="A194" s="472"/>
      <c r="B194" s="599">
        <f t="shared" si="48"/>
        <v>9302</v>
      </c>
      <c r="C194" s="600" t="s">
        <v>6062</v>
      </c>
      <c r="D194" s="528" t="str">
        <f t="shared" ref="D194:D199" si="49">D193</f>
        <v>9300</v>
      </c>
      <c r="E194" s="473">
        <v>333903919200000</v>
      </c>
      <c r="F194" s="474" t="s">
        <v>5947</v>
      </c>
      <c r="G194" s="603">
        <v>1</v>
      </c>
      <c r="H194" s="603">
        <v>0</v>
      </c>
      <c r="I194" s="471">
        <v>332310600000000</v>
      </c>
      <c r="J194" s="475" t="s">
        <v>6172</v>
      </c>
      <c r="K194" s="891">
        <v>0</v>
      </c>
      <c r="L194" s="476">
        <v>0</v>
      </c>
      <c r="M194" s="477">
        <f t="shared" si="47"/>
        <v>0</v>
      </c>
      <c r="N194" s="897"/>
      <c r="P194" s="736"/>
    </row>
    <row r="195" spans="1:16" s="31" customFormat="1" ht="15" customHeight="1" x14ac:dyDescent="0.25">
      <c r="A195" s="472"/>
      <c r="B195" s="599">
        <f t="shared" si="48"/>
        <v>9303</v>
      </c>
      <c r="C195" s="600" t="s">
        <v>6062</v>
      </c>
      <c r="D195" s="528" t="str">
        <f t="shared" si="49"/>
        <v>9300</v>
      </c>
      <c r="E195" s="473">
        <v>333903943000000</v>
      </c>
      <c r="F195" s="474" t="s">
        <v>5888</v>
      </c>
      <c r="G195" s="603">
        <v>1</v>
      </c>
      <c r="H195" s="603">
        <v>0</v>
      </c>
      <c r="I195" s="471">
        <v>332310800000000</v>
      </c>
      <c r="J195" s="475" t="s">
        <v>6175</v>
      </c>
      <c r="K195" s="891">
        <v>0</v>
      </c>
      <c r="L195" s="476">
        <v>0</v>
      </c>
      <c r="M195" s="477">
        <f t="shared" si="47"/>
        <v>0</v>
      </c>
      <c r="N195" s="897"/>
      <c r="P195" s="736"/>
    </row>
    <row r="196" spans="1:16" s="31" customFormat="1" ht="15" customHeight="1" x14ac:dyDescent="0.25">
      <c r="A196" s="472"/>
      <c r="B196" s="599">
        <f t="shared" si="48"/>
        <v>9304</v>
      </c>
      <c r="C196" s="600" t="s">
        <v>6062</v>
      </c>
      <c r="D196" s="528" t="str">
        <f t="shared" si="49"/>
        <v>9300</v>
      </c>
      <c r="E196" s="473">
        <v>333903944000000</v>
      </c>
      <c r="F196" s="474" t="s">
        <v>2187</v>
      </c>
      <c r="G196" s="603">
        <v>1</v>
      </c>
      <c r="H196" s="603">
        <v>0</v>
      </c>
      <c r="I196" s="471">
        <v>332310800000000</v>
      </c>
      <c r="J196" s="475" t="s">
        <v>6171</v>
      </c>
      <c r="K196" s="891">
        <v>0</v>
      </c>
      <c r="L196" s="476">
        <v>0</v>
      </c>
      <c r="M196" s="477">
        <f t="shared" si="47"/>
        <v>0</v>
      </c>
      <c r="N196" s="897"/>
      <c r="P196" s="736"/>
    </row>
    <row r="197" spans="1:16" s="31" customFormat="1" ht="15" customHeight="1" x14ac:dyDescent="0.25">
      <c r="A197" s="472"/>
      <c r="B197" s="599">
        <f t="shared" si="48"/>
        <v>9305</v>
      </c>
      <c r="C197" s="600" t="s">
        <v>6062</v>
      </c>
      <c r="D197" s="528" t="str">
        <f t="shared" si="49"/>
        <v>9300</v>
      </c>
      <c r="E197" s="473">
        <v>333903958010000</v>
      </c>
      <c r="F197" s="474" t="s">
        <v>5948</v>
      </c>
      <c r="G197" s="603">
        <v>1</v>
      </c>
      <c r="H197" s="603">
        <v>0</v>
      </c>
      <c r="I197" s="471">
        <v>332310400000000</v>
      </c>
      <c r="J197" s="475" t="s">
        <v>6176</v>
      </c>
      <c r="K197" s="891">
        <v>0</v>
      </c>
      <c r="L197" s="476">
        <v>0</v>
      </c>
      <c r="M197" s="477">
        <f t="shared" si="47"/>
        <v>0</v>
      </c>
      <c r="N197" s="897"/>
      <c r="P197" s="736"/>
    </row>
    <row r="198" spans="1:16" s="31" customFormat="1" ht="15" customHeight="1" x14ac:dyDescent="0.25">
      <c r="A198" s="472"/>
      <c r="B198" s="599">
        <f t="shared" si="48"/>
        <v>9306</v>
      </c>
      <c r="C198" s="600" t="s">
        <v>6062</v>
      </c>
      <c r="D198" s="528" t="str">
        <f t="shared" si="49"/>
        <v>9300</v>
      </c>
      <c r="E198" s="473">
        <v>333903958030000</v>
      </c>
      <c r="F198" s="474" t="s">
        <v>1183</v>
      </c>
      <c r="G198" s="603">
        <v>1</v>
      </c>
      <c r="H198" s="603">
        <v>0</v>
      </c>
      <c r="I198" s="471">
        <v>332310400000000</v>
      </c>
      <c r="J198" s="475" t="s">
        <v>6176</v>
      </c>
      <c r="K198" s="891">
        <v>0</v>
      </c>
      <c r="L198" s="476">
        <v>0</v>
      </c>
      <c r="M198" s="477">
        <f t="shared" si="47"/>
        <v>0</v>
      </c>
      <c r="N198" s="897"/>
      <c r="P198" s="736"/>
    </row>
    <row r="199" spans="1:16" s="31" customFormat="1" ht="15" customHeight="1" x14ac:dyDescent="0.25">
      <c r="A199" s="472"/>
      <c r="B199" s="599">
        <f t="shared" si="48"/>
        <v>9307</v>
      </c>
      <c r="C199" s="600" t="s">
        <v>6062</v>
      </c>
      <c r="D199" s="528" t="str">
        <f t="shared" si="49"/>
        <v>9300</v>
      </c>
      <c r="E199" s="473">
        <v>333903999040000</v>
      </c>
      <c r="F199" s="474" t="s">
        <v>2193</v>
      </c>
      <c r="G199" s="603">
        <v>1</v>
      </c>
      <c r="H199" s="603">
        <v>0</v>
      </c>
      <c r="I199" s="471">
        <v>332319900000000</v>
      </c>
      <c r="J199" s="475" t="s">
        <v>6174</v>
      </c>
      <c r="K199" s="891">
        <v>0</v>
      </c>
      <c r="L199" s="476">
        <v>0</v>
      </c>
      <c r="M199" s="477">
        <f t="shared" si="47"/>
        <v>0</v>
      </c>
      <c r="N199" s="897"/>
      <c r="P199" s="736"/>
    </row>
    <row r="200" spans="1:16" s="462" customFormat="1" ht="15" customHeight="1" x14ac:dyDescent="0.25">
      <c r="A200" s="397"/>
      <c r="B200" s="1398" t="s">
        <v>6925</v>
      </c>
      <c r="C200" s="1398"/>
      <c r="D200" s="1398"/>
      <c r="E200" s="417">
        <v>333904700000000</v>
      </c>
      <c r="F200" s="418" t="s">
        <v>990</v>
      </c>
      <c r="G200" s="468">
        <v>1</v>
      </c>
      <c r="H200" s="468">
        <v>0</v>
      </c>
      <c r="I200" s="751"/>
      <c r="J200" s="878" t="s">
        <v>6167</v>
      </c>
      <c r="K200" s="789">
        <f>'Parâmetros financeiros Despesa'!E150</f>
        <v>0</v>
      </c>
      <c r="L200" s="789">
        <f>(('Parâmetros financeiros Despesa'!F147+'Parâmetros financeiros Despesa'!F149)*((1+'Parâmetros financeiros Despesa'!F4)*(1+'Parâmetros financeiros Despesa'!F7)))*('Parâmetros financeiros Despesa'!F83)</f>
        <v>2423.7851178700002</v>
      </c>
      <c r="M200" s="799">
        <f t="shared" ref="M200:M204" si="50">L200/L$230</f>
        <v>3.5706814250366001E-3</v>
      </c>
      <c r="N200" s="894"/>
      <c r="O200" s="894"/>
      <c r="P200" s="399"/>
    </row>
    <row r="201" spans="1:16" s="31" customFormat="1" ht="15" customHeight="1" x14ac:dyDescent="0.25">
      <c r="A201" s="472"/>
      <c r="B201" s="599">
        <f>B200+1</f>
        <v>9401</v>
      </c>
      <c r="C201" s="600" t="s">
        <v>6062</v>
      </c>
      <c r="D201" s="528" t="str">
        <f>B200</f>
        <v>9400</v>
      </c>
      <c r="E201" s="473">
        <v>333904718000000</v>
      </c>
      <c r="F201" s="474" t="s">
        <v>5904</v>
      </c>
      <c r="G201" s="603">
        <v>1</v>
      </c>
      <c r="H201" s="603">
        <v>0</v>
      </c>
      <c r="I201" s="471">
        <v>372110400000000</v>
      </c>
      <c r="J201" s="475" t="s">
        <v>6174</v>
      </c>
      <c r="K201" s="891">
        <v>0</v>
      </c>
      <c r="L201" s="476">
        <v>0</v>
      </c>
      <c r="M201" s="477">
        <f t="shared" si="50"/>
        <v>0</v>
      </c>
      <c r="N201" s="897"/>
      <c r="P201" s="736"/>
    </row>
    <row r="202" spans="1:16" s="31" customFormat="1" ht="15" customHeight="1" x14ac:dyDescent="0.25">
      <c r="A202" s="472"/>
      <c r="B202" s="599">
        <f>B201+1</f>
        <v>9402</v>
      </c>
      <c r="C202" s="600" t="s">
        <v>6062</v>
      </c>
      <c r="D202" s="528" t="str">
        <f>D201</f>
        <v>9400</v>
      </c>
      <c r="E202" s="473">
        <v>333904718000000</v>
      </c>
      <c r="F202" s="474" t="s">
        <v>2225</v>
      </c>
      <c r="G202" s="603">
        <v>1</v>
      </c>
      <c r="H202" s="603">
        <v>0</v>
      </c>
      <c r="I202" s="471">
        <v>372110400000000</v>
      </c>
      <c r="J202" s="475" t="s">
        <v>6172</v>
      </c>
      <c r="K202" s="891">
        <v>0</v>
      </c>
      <c r="L202" s="476">
        <v>0</v>
      </c>
      <c r="M202" s="477">
        <f t="shared" si="50"/>
        <v>0</v>
      </c>
      <c r="N202" s="897"/>
      <c r="P202" s="736"/>
    </row>
    <row r="203" spans="1:16" s="31" customFormat="1" ht="15" customHeight="1" x14ac:dyDescent="0.25">
      <c r="A203" s="472"/>
      <c r="B203" s="599">
        <f>B202+1</f>
        <v>9403</v>
      </c>
      <c r="C203" s="600" t="s">
        <v>6062</v>
      </c>
      <c r="D203" s="528" t="str">
        <f>D202</f>
        <v>9400</v>
      </c>
      <c r="E203" s="473">
        <v>333904720000000</v>
      </c>
      <c r="F203" s="474" t="s">
        <v>5905</v>
      </c>
      <c r="G203" s="603">
        <v>1</v>
      </c>
      <c r="H203" s="603">
        <v>0</v>
      </c>
      <c r="I203" s="471">
        <v>372110500000000</v>
      </c>
      <c r="J203" s="475" t="s">
        <v>6174</v>
      </c>
      <c r="K203" s="891">
        <v>0</v>
      </c>
      <c r="L203" s="476">
        <v>0</v>
      </c>
      <c r="M203" s="477">
        <f t="shared" si="50"/>
        <v>0</v>
      </c>
      <c r="N203" s="897"/>
      <c r="P203" s="736"/>
    </row>
    <row r="204" spans="1:16" s="31" customFormat="1" ht="15" customHeight="1" x14ac:dyDescent="0.25">
      <c r="A204" s="472"/>
      <c r="B204" s="599">
        <f>B203+1</f>
        <v>9404</v>
      </c>
      <c r="C204" s="600" t="s">
        <v>6062</v>
      </c>
      <c r="D204" s="528" t="str">
        <f>D203</f>
        <v>9400</v>
      </c>
      <c r="E204" s="473">
        <v>333904720000000</v>
      </c>
      <c r="F204" s="474" t="s">
        <v>5949</v>
      </c>
      <c r="G204" s="603">
        <v>1</v>
      </c>
      <c r="H204" s="603">
        <v>0</v>
      </c>
      <c r="I204" s="471">
        <v>372110500000000</v>
      </c>
      <c r="J204" s="475" t="s">
        <v>6172</v>
      </c>
      <c r="K204" s="891">
        <v>0</v>
      </c>
      <c r="L204" s="476">
        <v>0</v>
      </c>
      <c r="M204" s="477">
        <f t="shared" si="50"/>
        <v>0</v>
      </c>
      <c r="N204" s="897"/>
      <c r="P204" s="736"/>
    </row>
    <row r="205" spans="1:16" s="31" customFormat="1" ht="15" customHeight="1" x14ac:dyDescent="0.25">
      <c r="A205" s="472"/>
      <c r="B205" s="1385" t="s">
        <v>6055</v>
      </c>
      <c r="C205" s="1385"/>
      <c r="D205" s="1385"/>
      <c r="E205" s="1385"/>
      <c r="F205" s="1385"/>
      <c r="G205" s="401"/>
      <c r="H205" s="401"/>
      <c r="I205" s="426"/>
      <c r="J205" s="411"/>
      <c r="K205" s="402">
        <f t="shared" ref="K205:L207" si="51">K206</f>
        <v>0</v>
      </c>
      <c r="L205" s="402">
        <f t="shared" si="51"/>
        <v>3493.8405500000003</v>
      </c>
      <c r="M205" s="451">
        <f>L205/L$230</f>
        <v>5.1470699534981543E-3</v>
      </c>
      <c r="N205" s="897"/>
      <c r="P205" s="736"/>
    </row>
    <row r="206" spans="1:16" s="31" customFormat="1" ht="15" customHeight="1" x14ac:dyDescent="0.25">
      <c r="A206" s="472"/>
      <c r="B206" s="1386" t="s">
        <v>6056</v>
      </c>
      <c r="C206" s="1386"/>
      <c r="D206" s="1386"/>
      <c r="E206" s="1386"/>
      <c r="F206" s="1386"/>
      <c r="G206" s="403"/>
      <c r="H206" s="403"/>
      <c r="I206" s="427"/>
      <c r="J206" s="412"/>
      <c r="K206" s="404">
        <f t="shared" si="51"/>
        <v>0</v>
      </c>
      <c r="L206" s="404">
        <f t="shared" si="51"/>
        <v>3493.8405500000003</v>
      </c>
      <c r="M206" s="452">
        <f>L206/L$230</f>
        <v>5.1470699534981543E-3</v>
      </c>
      <c r="N206" s="897"/>
      <c r="P206" s="736"/>
    </row>
    <row r="207" spans="1:16" s="31" customFormat="1" ht="15" customHeight="1" x14ac:dyDescent="0.25">
      <c r="A207" s="472"/>
      <c r="B207" s="1382" t="s">
        <v>2286</v>
      </c>
      <c r="C207" s="1382"/>
      <c r="D207" s="1382"/>
      <c r="E207" s="1382"/>
      <c r="F207" s="1382"/>
      <c r="G207" s="405"/>
      <c r="H207" s="405"/>
      <c r="I207" s="428"/>
      <c r="J207" s="413"/>
      <c r="K207" s="406">
        <f t="shared" si="51"/>
        <v>0</v>
      </c>
      <c r="L207" s="406">
        <f t="shared" si="51"/>
        <v>3493.8405500000003</v>
      </c>
      <c r="M207" s="453">
        <f>L207/L$230</f>
        <v>5.1470699534981543E-3</v>
      </c>
      <c r="N207" s="897"/>
      <c r="P207" s="736"/>
    </row>
    <row r="208" spans="1:16" s="31" customFormat="1" ht="15" customHeight="1" x14ac:dyDescent="0.25">
      <c r="A208" s="472"/>
      <c r="B208" s="1383" t="s">
        <v>6057</v>
      </c>
      <c r="C208" s="1383"/>
      <c r="D208" s="1383"/>
      <c r="E208" s="1383"/>
      <c r="F208" s="1383"/>
      <c r="G208" s="407"/>
      <c r="H208" s="407"/>
      <c r="I208" s="429"/>
      <c r="J208" s="414"/>
      <c r="K208" s="408">
        <f>SUM(K209:K215)</f>
        <v>0</v>
      </c>
      <c r="L208" s="408">
        <f>SUM(L209:L215)+0.03</f>
        <v>3493.8405500000003</v>
      </c>
      <c r="M208" s="1007">
        <f>L208/L$230</f>
        <v>5.1470699534981543E-3</v>
      </c>
      <c r="N208" s="897"/>
      <c r="P208" s="736"/>
    </row>
    <row r="209" spans="1:16" s="31" customFormat="1" ht="15" customHeight="1" x14ac:dyDescent="0.25">
      <c r="A209" s="472"/>
      <c r="B209" s="1398" t="s">
        <v>6926</v>
      </c>
      <c r="C209" s="1398"/>
      <c r="D209" s="1398"/>
      <c r="E209" s="417">
        <v>333903000000000</v>
      </c>
      <c r="F209" s="418" t="s">
        <v>996</v>
      </c>
      <c r="G209" s="468">
        <v>1</v>
      </c>
      <c r="H209" s="468">
        <v>0</v>
      </c>
      <c r="I209" s="751"/>
      <c r="J209" s="878" t="s">
        <v>7038</v>
      </c>
      <c r="K209" s="789">
        <f>'Parâmetros financeiros Despesa'!E153</f>
        <v>0</v>
      </c>
      <c r="L209" s="789">
        <f>'Parâmetros financeiros Despesa'!F153*((1+'Parâmetros financeiros Despesa'!F$4)*(1+'Parâmetros financeiros Despesa'!F$7))</f>
        <v>545.16575</v>
      </c>
      <c r="M209" s="799">
        <f t="shared" ref="M209" si="52">L209/L$230</f>
        <v>8.0312945348959503E-4</v>
      </c>
      <c r="N209" s="894"/>
      <c r="O209" s="894"/>
      <c r="P209" s="736"/>
    </row>
    <row r="210" spans="1:16" s="31" customFormat="1" ht="15" customHeight="1" x14ac:dyDescent="0.25">
      <c r="A210" s="472"/>
      <c r="B210" s="1398" t="s">
        <v>6927</v>
      </c>
      <c r="C210" s="1398"/>
      <c r="D210" s="1398"/>
      <c r="E210" s="417">
        <v>333903200000000</v>
      </c>
      <c r="F210" s="418" t="s">
        <v>1021</v>
      </c>
      <c r="G210" s="468">
        <v>1</v>
      </c>
      <c r="H210" s="468">
        <v>0</v>
      </c>
      <c r="I210" s="751"/>
      <c r="J210" s="878" t="s">
        <v>7038</v>
      </c>
      <c r="K210" s="789">
        <f>'Parâmetros financeiros Despesa'!E154</f>
        <v>0</v>
      </c>
      <c r="L210" s="789">
        <f>'Parâmetros financeiros Despesa'!F154*((1+'Parâmetros financeiros Despesa'!F$4)*(1+'Parâmetros financeiros Despesa'!F$7))</f>
        <v>545.16575</v>
      </c>
      <c r="M210" s="799">
        <f t="shared" ref="M210:M215" si="53">L210/L$230</f>
        <v>8.0312945348959503E-4</v>
      </c>
      <c r="N210" s="894"/>
      <c r="O210" s="894"/>
      <c r="P210" s="736"/>
    </row>
    <row r="211" spans="1:16" s="31" customFormat="1" ht="15" customHeight="1" x14ac:dyDescent="0.25">
      <c r="A211" s="472"/>
      <c r="B211" s="1398" t="s">
        <v>6928</v>
      </c>
      <c r="C211" s="1398"/>
      <c r="D211" s="1398"/>
      <c r="E211" s="417">
        <v>333903600000000</v>
      </c>
      <c r="F211" s="418" t="s">
        <v>993</v>
      </c>
      <c r="G211" s="468">
        <v>1</v>
      </c>
      <c r="H211" s="468">
        <v>0</v>
      </c>
      <c r="I211" s="751"/>
      <c r="J211" s="878" t="s">
        <v>7038</v>
      </c>
      <c r="K211" s="789">
        <f>'Parâmetros financeiros Despesa'!E155</f>
        <v>0</v>
      </c>
      <c r="L211" s="789">
        <f>'Parâmetros financeiros Despesa'!F155*((1+'Parâmetros financeiros Despesa'!F$4)*(1+'Parâmetros financeiros Despesa'!F$7))</f>
        <v>545.16575</v>
      </c>
      <c r="M211" s="799">
        <f t="shared" si="53"/>
        <v>8.0312945348959503E-4</v>
      </c>
      <c r="N211" s="894"/>
      <c r="O211" s="894"/>
      <c r="P211" s="736"/>
    </row>
    <row r="212" spans="1:16" s="31" customFormat="1" ht="15" customHeight="1" x14ac:dyDescent="0.25">
      <c r="A212" s="472"/>
      <c r="B212" s="1398" t="s">
        <v>6929</v>
      </c>
      <c r="C212" s="1398"/>
      <c r="D212" s="1398"/>
      <c r="E212" s="417">
        <v>333903900000000</v>
      </c>
      <c r="F212" s="418" t="s">
        <v>992</v>
      </c>
      <c r="G212" s="468">
        <v>1</v>
      </c>
      <c r="H212" s="468">
        <v>0</v>
      </c>
      <c r="I212" s="751"/>
      <c r="J212" s="878" t="s">
        <v>7038</v>
      </c>
      <c r="K212" s="789">
        <f>'Parâmetros financeiros Despesa'!E156</f>
        <v>0</v>
      </c>
      <c r="L212" s="789">
        <f>'Parâmetros financeiros Despesa'!F156*((1+'Parâmetros financeiros Despesa'!F$4)*(1+'Parâmetros financeiros Despesa'!F$7))</f>
        <v>545.16575</v>
      </c>
      <c r="M212" s="799">
        <f t="shared" si="53"/>
        <v>8.0312945348959503E-4</v>
      </c>
      <c r="N212" s="894"/>
      <c r="O212" s="894"/>
      <c r="P212" s="736"/>
    </row>
    <row r="213" spans="1:16" s="31" customFormat="1" ht="15" customHeight="1" x14ac:dyDescent="0.25">
      <c r="A213" s="472"/>
      <c r="B213" s="1398" t="s">
        <v>6930</v>
      </c>
      <c r="C213" s="1398"/>
      <c r="D213" s="1398"/>
      <c r="E213" s="417">
        <v>333904700000000</v>
      </c>
      <c r="F213" s="418" t="s">
        <v>990</v>
      </c>
      <c r="G213" s="468">
        <v>1</v>
      </c>
      <c r="H213" s="468">
        <v>0</v>
      </c>
      <c r="I213" s="751"/>
      <c r="J213" s="878" t="s">
        <v>7038</v>
      </c>
      <c r="K213" s="789">
        <f>'Parâmetros financeiros Despesa'!E157</f>
        <v>0</v>
      </c>
      <c r="L213" s="789">
        <f>(('Parâmetros financeiros Despesa'!F155+'Parâmetros financeiros Despesa'!F157)*((1+'Parâmetros financeiros Despesa'!F$4)*(1+'Parâmetros financeiros Despesa'!F$4)))*('Parâmetros financeiros Despesa'!F$83)</f>
        <v>222.81605000000005</v>
      </c>
      <c r="M213" s="799">
        <f t="shared" si="53"/>
        <v>3.2824903704095556E-4</v>
      </c>
      <c r="N213" s="894"/>
      <c r="O213" s="894"/>
      <c r="P213" s="736"/>
    </row>
    <row r="214" spans="1:16" s="31" customFormat="1" ht="15" customHeight="1" x14ac:dyDescent="0.25">
      <c r="A214" s="472"/>
      <c r="B214" s="1398" t="s">
        <v>6931</v>
      </c>
      <c r="C214" s="1398"/>
      <c r="D214" s="1398"/>
      <c r="E214" s="417">
        <v>344905100000000</v>
      </c>
      <c r="F214" s="418" t="s">
        <v>1029</v>
      </c>
      <c r="G214" s="468">
        <v>1</v>
      </c>
      <c r="H214" s="468">
        <v>0</v>
      </c>
      <c r="I214" s="751"/>
      <c r="J214" s="878" t="s">
        <v>7038</v>
      </c>
      <c r="K214" s="789">
        <f>'Parâmetros financeiros Despesa'!E158</f>
        <v>0</v>
      </c>
      <c r="L214" s="789">
        <f>'Parâmetros financeiros Despesa'!F158*((1+'Parâmetros financeiros Despesa'!F$4)*(1+'Parâmetros financeiros Despesa'!F$7))</f>
        <v>545.16575</v>
      </c>
      <c r="M214" s="799">
        <f t="shared" si="53"/>
        <v>8.0312945348959503E-4</v>
      </c>
      <c r="N214" s="894"/>
      <c r="O214" s="894"/>
      <c r="P214" s="736"/>
    </row>
    <row r="215" spans="1:16" s="31" customFormat="1" ht="15" customHeight="1" x14ac:dyDescent="0.25">
      <c r="A215" s="472"/>
      <c r="B215" s="1398" t="s">
        <v>6932</v>
      </c>
      <c r="C215" s="1398"/>
      <c r="D215" s="1398"/>
      <c r="E215" s="417">
        <v>344905200000000</v>
      </c>
      <c r="F215" s="418" t="s">
        <v>997</v>
      </c>
      <c r="G215" s="468">
        <v>1</v>
      </c>
      <c r="H215" s="468">
        <v>0</v>
      </c>
      <c r="I215" s="751"/>
      <c r="J215" s="878" t="s">
        <v>7038</v>
      </c>
      <c r="K215" s="789">
        <f>'Parâmetros financeiros Despesa'!E159</f>
        <v>0</v>
      </c>
      <c r="L215" s="789">
        <f>'Parâmetros financeiros Despesa'!F159*((1+'Parâmetros financeiros Despesa'!F$4)*(1+'Parâmetros financeiros Despesa'!F$7))</f>
        <v>545.16575</v>
      </c>
      <c r="M215" s="799">
        <f t="shared" si="53"/>
        <v>8.0312945348959503E-4</v>
      </c>
      <c r="N215" s="894"/>
      <c r="O215" s="894"/>
      <c r="P215" s="736"/>
    </row>
    <row r="216" spans="1:16" s="31" customFormat="1" ht="15" customHeight="1" x14ac:dyDescent="0.25">
      <c r="A216" s="472"/>
      <c r="B216" s="1385" t="s">
        <v>6055</v>
      </c>
      <c r="C216" s="1385"/>
      <c r="D216" s="1385"/>
      <c r="E216" s="1385"/>
      <c r="F216" s="1385"/>
      <c r="G216" s="401"/>
      <c r="H216" s="401"/>
      <c r="I216" s="426"/>
      <c r="J216" s="411"/>
      <c r="K216" s="402">
        <f t="shared" ref="K216:L218" si="54">K217</f>
        <v>0</v>
      </c>
      <c r="L216" s="402">
        <f t="shared" si="54"/>
        <v>3816.1902500000006</v>
      </c>
      <c r="M216" s="451">
        <f>L216/L$230</f>
        <v>5.6219503699467942E-3</v>
      </c>
      <c r="N216" s="897"/>
      <c r="P216" s="736"/>
    </row>
    <row r="217" spans="1:16" s="31" customFormat="1" ht="15" customHeight="1" x14ac:dyDescent="0.25">
      <c r="A217" s="472"/>
      <c r="B217" s="1386" t="s">
        <v>6058</v>
      </c>
      <c r="C217" s="1386"/>
      <c r="D217" s="1386"/>
      <c r="E217" s="1386"/>
      <c r="F217" s="1386"/>
      <c r="G217" s="403"/>
      <c r="H217" s="403"/>
      <c r="I217" s="427"/>
      <c r="J217" s="412"/>
      <c r="K217" s="404">
        <f t="shared" si="54"/>
        <v>0</v>
      </c>
      <c r="L217" s="404">
        <f t="shared" si="54"/>
        <v>3816.1902500000006</v>
      </c>
      <c r="M217" s="452">
        <f>L217/L$230</f>
        <v>5.6219503699467942E-3</v>
      </c>
      <c r="N217" s="897"/>
      <c r="P217" s="736"/>
    </row>
    <row r="218" spans="1:16" s="31" customFormat="1" ht="15" customHeight="1" x14ac:dyDescent="0.25">
      <c r="A218" s="472"/>
      <c r="B218" s="1382" t="s">
        <v>2286</v>
      </c>
      <c r="C218" s="1382"/>
      <c r="D218" s="1382"/>
      <c r="E218" s="1382"/>
      <c r="F218" s="1382"/>
      <c r="G218" s="405"/>
      <c r="H218" s="405"/>
      <c r="I218" s="428"/>
      <c r="J218" s="413"/>
      <c r="K218" s="406">
        <f t="shared" si="54"/>
        <v>0</v>
      </c>
      <c r="L218" s="406">
        <f t="shared" si="54"/>
        <v>3816.1902500000006</v>
      </c>
      <c r="M218" s="453">
        <f>L218/L$230</f>
        <v>5.6219503699467942E-3</v>
      </c>
      <c r="N218" s="897"/>
      <c r="P218" s="736"/>
    </row>
    <row r="219" spans="1:16" s="31" customFormat="1" ht="15" customHeight="1" x14ac:dyDescent="0.25">
      <c r="A219" s="472"/>
      <c r="B219" s="1383" t="s">
        <v>6057</v>
      </c>
      <c r="C219" s="1383"/>
      <c r="D219" s="1383"/>
      <c r="E219" s="1383"/>
      <c r="F219" s="1383"/>
      <c r="G219" s="407"/>
      <c r="H219" s="407"/>
      <c r="I219" s="429"/>
      <c r="J219" s="414"/>
      <c r="K219" s="408">
        <f>SUM(K220:K226)</f>
        <v>0</v>
      </c>
      <c r="L219" s="408">
        <f>SUM(L220:L226)+0.03</f>
        <v>3816.1902500000006</v>
      </c>
      <c r="M219" s="454">
        <f>L219/L$230</f>
        <v>5.6219503699467942E-3</v>
      </c>
      <c r="N219" s="897"/>
      <c r="P219" s="736"/>
    </row>
    <row r="220" spans="1:16" s="31" customFormat="1" ht="15" customHeight="1" x14ac:dyDescent="0.25">
      <c r="A220" s="472"/>
      <c r="B220" s="1398" t="s">
        <v>6933</v>
      </c>
      <c r="C220" s="1398"/>
      <c r="D220" s="1398"/>
      <c r="E220" s="417">
        <v>333903000000000</v>
      </c>
      <c r="F220" s="418" t="s">
        <v>996</v>
      </c>
      <c r="G220" s="468">
        <v>1</v>
      </c>
      <c r="H220" s="468">
        <v>0</v>
      </c>
      <c r="I220" s="751"/>
      <c r="J220" s="878" t="s">
        <v>7039</v>
      </c>
      <c r="K220" s="789">
        <f>'Parâmetros financeiros Despesa'!E163</f>
        <v>0</v>
      </c>
      <c r="L220" s="789">
        <f>'Parâmetros financeiros Despesa'!F163*((1+'Parâmetros financeiros Despesa'!F$4)*(1+'Parâmetros financeiros Despesa'!F$7))</f>
        <v>545.16575</v>
      </c>
      <c r="M220" s="799">
        <f t="shared" ref="M220:M225" si="55">L220/L$230</f>
        <v>8.0312945348959503E-4</v>
      </c>
      <c r="N220" s="894"/>
      <c r="O220" s="894"/>
      <c r="P220" s="736"/>
    </row>
    <row r="221" spans="1:16" s="31" customFormat="1" ht="15" customHeight="1" x14ac:dyDescent="0.25">
      <c r="A221" s="472"/>
      <c r="B221" s="1398" t="s">
        <v>6934</v>
      </c>
      <c r="C221" s="1398"/>
      <c r="D221" s="1398"/>
      <c r="E221" s="417">
        <v>333903200000000</v>
      </c>
      <c r="F221" s="418" t="s">
        <v>1021</v>
      </c>
      <c r="G221" s="468">
        <v>1</v>
      </c>
      <c r="H221" s="468">
        <v>0</v>
      </c>
      <c r="I221" s="751"/>
      <c r="J221" s="878" t="s">
        <v>7039</v>
      </c>
      <c r="K221" s="789">
        <f>'Parâmetros financeiros Despesa'!E164</f>
        <v>0</v>
      </c>
      <c r="L221" s="789">
        <f>'Parâmetros financeiros Despesa'!F164*((1+'Parâmetros financeiros Despesa'!F$4)*(1+'Parâmetros financeiros Despesa'!F$7))</f>
        <v>545.16575</v>
      </c>
      <c r="M221" s="799">
        <f t="shared" si="55"/>
        <v>8.0312945348959503E-4</v>
      </c>
      <c r="N221" s="894"/>
      <c r="O221" s="894"/>
      <c r="P221" s="736"/>
    </row>
    <row r="222" spans="1:16" s="31" customFormat="1" ht="15" customHeight="1" x14ac:dyDescent="0.25">
      <c r="A222" s="472"/>
      <c r="B222" s="1398" t="s">
        <v>6935</v>
      </c>
      <c r="C222" s="1398"/>
      <c r="D222" s="1398"/>
      <c r="E222" s="417">
        <v>333903600000000</v>
      </c>
      <c r="F222" s="418" t="s">
        <v>993</v>
      </c>
      <c r="G222" s="468">
        <v>1</v>
      </c>
      <c r="H222" s="468">
        <v>0</v>
      </c>
      <c r="I222" s="751"/>
      <c r="J222" s="878" t="s">
        <v>7039</v>
      </c>
      <c r="K222" s="789">
        <f>'Parâmetros financeiros Despesa'!E165</f>
        <v>0</v>
      </c>
      <c r="L222" s="789">
        <f>'Parâmetros financeiros Despesa'!F165*((1+'Parâmetros financeiros Despesa'!F$4)*(1+'Parâmetros financeiros Despesa'!F$7))</f>
        <v>545.16575</v>
      </c>
      <c r="M222" s="799">
        <f t="shared" si="55"/>
        <v>8.0312945348959503E-4</v>
      </c>
      <c r="N222" s="894"/>
      <c r="O222" s="894"/>
      <c r="P222" s="736"/>
    </row>
    <row r="223" spans="1:16" s="31" customFormat="1" ht="15" customHeight="1" x14ac:dyDescent="0.25">
      <c r="A223" s="472"/>
      <c r="B223" s="1398" t="s">
        <v>6936</v>
      </c>
      <c r="C223" s="1398"/>
      <c r="D223" s="1398"/>
      <c r="E223" s="417">
        <v>333903900000000</v>
      </c>
      <c r="F223" s="418" t="s">
        <v>992</v>
      </c>
      <c r="G223" s="468">
        <v>1</v>
      </c>
      <c r="H223" s="468">
        <v>0</v>
      </c>
      <c r="I223" s="751"/>
      <c r="J223" s="878" t="s">
        <v>7039</v>
      </c>
      <c r="K223" s="789">
        <f>'Parâmetros financeiros Despesa'!E166</f>
        <v>0</v>
      </c>
      <c r="L223" s="789">
        <f>'Parâmetros financeiros Despesa'!F166*((1+'Parâmetros financeiros Despesa'!F$4)*(1+'Parâmetros financeiros Despesa'!F$7))</f>
        <v>545.16575</v>
      </c>
      <c r="M223" s="799">
        <f t="shared" si="55"/>
        <v>8.0312945348959503E-4</v>
      </c>
      <c r="N223" s="894"/>
      <c r="O223" s="894"/>
      <c r="P223" s="736"/>
    </row>
    <row r="224" spans="1:16" s="31" customFormat="1" ht="15" customHeight="1" x14ac:dyDescent="0.25">
      <c r="A224" s="472"/>
      <c r="B224" s="1398" t="s">
        <v>6937</v>
      </c>
      <c r="C224" s="1398"/>
      <c r="D224" s="1398"/>
      <c r="E224" s="417">
        <v>333904700000000</v>
      </c>
      <c r="F224" s="418" t="s">
        <v>990</v>
      </c>
      <c r="G224" s="468">
        <v>1</v>
      </c>
      <c r="H224" s="468">
        <v>0</v>
      </c>
      <c r="I224" s="751"/>
      <c r="J224" s="878" t="s">
        <v>7039</v>
      </c>
      <c r="K224" s="789">
        <f>'Parâmetros financeiros Despesa'!E167</f>
        <v>0</v>
      </c>
      <c r="L224" s="789">
        <f>'Parâmetros financeiros Despesa'!F167*((1+'Parâmetros financeiros Despesa'!F$4)*(1+'Parâmetros financeiros Despesa'!F$7))</f>
        <v>545.16575</v>
      </c>
      <c r="M224" s="799">
        <f t="shared" si="55"/>
        <v>8.0312945348959503E-4</v>
      </c>
      <c r="N224" s="894"/>
      <c r="O224" s="894"/>
      <c r="P224" s="736"/>
    </row>
    <row r="225" spans="1:16" s="31" customFormat="1" ht="15" customHeight="1" x14ac:dyDescent="0.25">
      <c r="A225" s="472"/>
      <c r="B225" s="1398" t="s">
        <v>6938</v>
      </c>
      <c r="C225" s="1398"/>
      <c r="D225" s="1398"/>
      <c r="E225" s="417">
        <v>344905100000000</v>
      </c>
      <c r="F225" s="418" t="s">
        <v>1029</v>
      </c>
      <c r="G225" s="468">
        <v>1</v>
      </c>
      <c r="H225" s="468">
        <v>0</v>
      </c>
      <c r="I225" s="751"/>
      <c r="J225" s="878" t="s">
        <v>7039</v>
      </c>
      <c r="K225" s="789">
        <f>'Parâmetros financeiros Despesa'!E168</f>
        <v>0</v>
      </c>
      <c r="L225" s="789">
        <f>'Parâmetros financeiros Despesa'!F168*((1+'Parâmetros financeiros Despesa'!F$4)*(1+'Parâmetros financeiros Despesa'!F$7))</f>
        <v>545.16575</v>
      </c>
      <c r="M225" s="799">
        <f t="shared" si="55"/>
        <v>8.0312945348959503E-4</v>
      </c>
      <c r="N225" s="894"/>
      <c r="O225" s="894"/>
      <c r="P225" s="736"/>
    </row>
    <row r="226" spans="1:16" s="31" customFormat="1" ht="15" customHeight="1" x14ac:dyDescent="0.25">
      <c r="A226" s="472"/>
      <c r="B226" s="1398" t="s">
        <v>6939</v>
      </c>
      <c r="C226" s="1398"/>
      <c r="D226" s="1398"/>
      <c r="E226" s="417">
        <v>344905200000000</v>
      </c>
      <c r="F226" s="418" t="s">
        <v>997</v>
      </c>
      <c r="G226" s="468">
        <v>1</v>
      </c>
      <c r="H226" s="468">
        <v>0</v>
      </c>
      <c r="I226" s="751"/>
      <c r="J226" s="878" t="s">
        <v>7039</v>
      </c>
      <c r="K226" s="789">
        <f>'Parâmetros financeiros Despesa'!E169</f>
        <v>0</v>
      </c>
      <c r="L226" s="789">
        <f>'Parâmetros financeiros Despesa'!F169*((1+'Parâmetros financeiros Despesa'!F$4)*(1+'Parâmetros financeiros Despesa'!F$7))</f>
        <v>545.16575</v>
      </c>
      <c r="M226" s="799">
        <f>L226/L$230</f>
        <v>8.0312945348959503E-4</v>
      </c>
      <c r="N226" s="894"/>
      <c r="O226" s="894"/>
      <c r="P226" s="736"/>
    </row>
    <row r="227" spans="1:16" s="820" customFormat="1" ht="15" customHeight="1" x14ac:dyDescent="0.25">
      <c r="B227" s="864" t="s">
        <v>22</v>
      </c>
      <c r="C227" s="864"/>
      <c r="D227" s="864"/>
      <c r="E227" s="864"/>
      <c r="F227" s="864"/>
      <c r="G227" s="864"/>
      <c r="H227" s="864"/>
      <c r="I227" s="864"/>
      <c r="J227" s="864"/>
      <c r="K227" s="863">
        <f>K217+K206+K181+K175+K58+K43+K10</f>
        <v>458658.95374999999</v>
      </c>
      <c r="L227" s="863">
        <f>L217+L206+L181+L175+L58+L43+L10</f>
        <v>678801.83902016853</v>
      </c>
      <c r="M227" s="452">
        <f>L227/L$230</f>
        <v>1</v>
      </c>
      <c r="N227" s="796"/>
      <c r="P227" s="399"/>
    </row>
    <row r="228" spans="1:16" s="820" customFormat="1" ht="15" customHeight="1" x14ac:dyDescent="0.25">
      <c r="B228" s="864" t="s">
        <v>11469</v>
      </c>
      <c r="C228" s="864"/>
      <c r="D228" s="864"/>
      <c r="E228" s="864"/>
      <c r="F228" s="864"/>
      <c r="G228" s="864"/>
      <c r="H228" s="864"/>
      <c r="I228" s="864"/>
      <c r="J228" s="864"/>
      <c r="K228" s="863"/>
      <c r="L228" s="863"/>
      <c r="M228" s="452"/>
      <c r="N228" s="796"/>
      <c r="P228" s="399"/>
    </row>
    <row r="229" spans="1:16" s="31" customFormat="1" ht="15" customHeight="1" x14ac:dyDescent="0.25">
      <c r="B229" s="869" t="s">
        <v>745</v>
      </c>
      <c r="C229" s="869"/>
      <c r="D229" s="869"/>
      <c r="E229" s="869"/>
      <c r="F229" s="869"/>
      <c r="G229" s="869"/>
      <c r="H229" s="869"/>
      <c r="I229" s="869"/>
      <c r="J229" s="869"/>
      <c r="K229" s="870">
        <f>K227</f>
        <v>458658.95374999999</v>
      </c>
      <c r="L229" s="870">
        <f>L227</f>
        <v>678801.83902016853</v>
      </c>
      <c r="M229" s="871">
        <f>L229/L$230</f>
        <v>1</v>
      </c>
      <c r="N229" s="897"/>
      <c r="P229" s="736"/>
    </row>
    <row r="230" spans="1:16" s="115" customFormat="1" ht="15" customHeight="1" x14ac:dyDescent="0.25">
      <c r="B230" s="864" t="s">
        <v>2172</v>
      </c>
      <c r="C230" s="864"/>
      <c r="D230" s="864"/>
      <c r="E230" s="864"/>
      <c r="F230" s="864"/>
      <c r="G230" s="864"/>
      <c r="H230" s="864"/>
      <c r="I230" s="864"/>
      <c r="J230" s="864"/>
      <c r="K230" s="863">
        <f>SUM(K229:K229)</f>
        <v>458658.95374999999</v>
      </c>
      <c r="L230" s="863">
        <f>SUM(L229:L229)</f>
        <v>678801.83902016853</v>
      </c>
      <c r="M230" s="452">
        <f>L230/L$230</f>
        <v>1</v>
      </c>
      <c r="O230" s="894"/>
      <c r="P230" s="733"/>
    </row>
    <row r="233" spans="1:16" s="435" customFormat="1" ht="15" customHeight="1" x14ac:dyDescent="0.25">
      <c r="B233" s="644" t="s">
        <v>989</v>
      </c>
      <c r="C233" s="644"/>
      <c r="D233" s="481"/>
      <c r="E233" s="1371" t="s">
        <v>6887</v>
      </c>
      <c r="F233" s="1371"/>
      <c r="G233" s="1371"/>
      <c r="H233" s="1371"/>
      <c r="I233" s="1371"/>
      <c r="J233" s="437"/>
      <c r="K233" s="940"/>
      <c r="L233" s="438"/>
      <c r="M233" s="449"/>
      <c r="N233" s="892"/>
      <c r="P233" s="732"/>
    </row>
    <row r="234" spans="1:16" s="435" customFormat="1" ht="15" customHeight="1" x14ac:dyDescent="0.25">
      <c r="B234" s="644" t="s">
        <v>458</v>
      </c>
      <c r="C234" s="644"/>
      <c r="D234" s="481"/>
      <c r="E234" s="1371" t="s">
        <v>6975</v>
      </c>
      <c r="F234" s="1371"/>
      <c r="G234" s="1371"/>
      <c r="H234" s="1371"/>
      <c r="I234" s="1371"/>
      <c r="J234" s="437"/>
      <c r="K234" s="940"/>
      <c r="L234" s="438"/>
      <c r="M234" s="449"/>
      <c r="N234" s="892"/>
      <c r="P234" s="732"/>
    </row>
    <row r="235" spans="1:16" s="435" customFormat="1" ht="15" customHeight="1" x14ac:dyDescent="0.25">
      <c r="B235" s="439" t="s">
        <v>5764</v>
      </c>
      <c r="C235" s="439"/>
      <c r="D235" s="439"/>
      <c r="E235" s="1371" t="s">
        <v>749</v>
      </c>
      <c r="F235" s="1371"/>
      <c r="G235" s="1371"/>
      <c r="H235" s="1371"/>
      <c r="I235" s="1371"/>
      <c r="J235" s="440"/>
      <c r="K235" s="941"/>
      <c r="L235" s="438"/>
      <c r="M235" s="449"/>
      <c r="N235" s="892"/>
      <c r="P235" s="732"/>
    </row>
    <row r="236" spans="1:16" s="851" customFormat="1" ht="113.25" customHeight="1" x14ac:dyDescent="0.25">
      <c r="A236" s="396"/>
      <c r="B236" s="1400" t="s">
        <v>2296</v>
      </c>
      <c r="C236" s="1400"/>
      <c r="D236" s="1400"/>
      <c r="E236" s="1384" t="s">
        <v>2297</v>
      </c>
      <c r="F236" s="1384"/>
      <c r="G236" s="443" t="s">
        <v>444</v>
      </c>
      <c r="H236" s="443" t="s">
        <v>2245</v>
      </c>
      <c r="I236" s="444" t="s">
        <v>5725</v>
      </c>
      <c r="J236" s="849" t="s">
        <v>2275</v>
      </c>
      <c r="K236" s="893" t="s">
        <v>11644</v>
      </c>
      <c r="L236" s="890" t="s">
        <v>11522</v>
      </c>
      <c r="M236" s="450" t="s">
        <v>235</v>
      </c>
      <c r="N236" s="796"/>
      <c r="P236" s="399"/>
    </row>
    <row r="237" spans="1:16" s="115" customFormat="1" ht="15" customHeight="1" x14ac:dyDescent="0.25">
      <c r="A237" s="396"/>
      <c r="B237" s="1385" t="s">
        <v>5951</v>
      </c>
      <c r="C237" s="1385"/>
      <c r="D237" s="1385"/>
      <c r="E237" s="1385"/>
      <c r="F237" s="1385"/>
      <c r="G237" s="401"/>
      <c r="H237" s="401"/>
      <c r="I237" s="426"/>
      <c r="J237" s="411"/>
      <c r="K237" s="402">
        <f t="shared" ref="K237:L239" si="56">K238</f>
        <v>0</v>
      </c>
      <c r="L237" s="402">
        <f t="shared" si="56"/>
        <v>9164.4765138013099</v>
      </c>
      <c r="M237" s="451">
        <f t="shared" ref="M237:M242" si="57">L237/L$428</f>
        <v>1.5534622407349543E-2</v>
      </c>
      <c r="N237" s="894"/>
      <c r="P237" s="733"/>
    </row>
    <row r="238" spans="1:16" s="645" customFormat="1" ht="15" customHeight="1" x14ac:dyDescent="0.25">
      <c r="A238" s="396"/>
      <c r="B238" s="1386" t="s">
        <v>5950</v>
      </c>
      <c r="C238" s="1386"/>
      <c r="D238" s="1386"/>
      <c r="E238" s="1386"/>
      <c r="F238" s="1386"/>
      <c r="G238" s="403"/>
      <c r="H238" s="403"/>
      <c r="I238" s="427"/>
      <c r="J238" s="412"/>
      <c r="K238" s="404">
        <f t="shared" si="56"/>
        <v>0</v>
      </c>
      <c r="L238" s="404">
        <f t="shared" si="56"/>
        <v>9164.4765138013099</v>
      </c>
      <c r="M238" s="452">
        <f t="shared" si="57"/>
        <v>1.5534622407349543E-2</v>
      </c>
      <c r="N238" s="796"/>
      <c r="P238" s="399"/>
    </row>
    <row r="239" spans="1:16" s="645" customFormat="1" ht="15" customHeight="1" x14ac:dyDescent="0.25">
      <c r="A239" s="396"/>
      <c r="B239" s="1382" t="s">
        <v>2286</v>
      </c>
      <c r="C239" s="1382"/>
      <c r="D239" s="1382"/>
      <c r="E239" s="1382"/>
      <c r="F239" s="1382"/>
      <c r="G239" s="405"/>
      <c r="H239" s="405"/>
      <c r="I239" s="428"/>
      <c r="J239" s="413"/>
      <c r="K239" s="406">
        <f t="shared" si="56"/>
        <v>0</v>
      </c>
      <c r="L239" s="406">
        <f t="shared" si="56"/>
        <v>9164.4765138013099</v>
      </c>
      <c r="M239" s="453">
        <f t="shared" si="57"/>
        <v>1.5534622407349543E-2</v>
      </c>
      <c r="N239" s="796"/>
      <c r="P239" s="399"/>
    </row>
    <row r="240" spans="1:16" s="645" customFormat="1" ht="15" customHeight="1" x14ac:dyDescent="0.25">
      <c r="A240" s="396"/>
      <c r="B240" s="1383" t="s">
        <v>2290</v>
      </c>
      <c r="C240" s="1383"/>
      <c r="D240" s="1383"/>
      <c r="E240" s="1383"/>
      <c r="F240" s="1383"/>
      <c r="G240" s="407"/>
      <c r="H240" s="407"/>
      <c r="I240" s="429"/>
      <c r="J240" s="414"/>
      <c r="K240" s="408">
        <f>K241+K250+K255+K260+K265</f>
        <v>0</v>
      </c>
      <c r="L240" s="408">
        <f>L241+L250+L255+L260+L265</f>
        <v>9164.4765138013099</v>
      </c>
      <c r="M240" s="454">
        <f t="shared" si="57"/>
        <v>1.5534622407349543E-2</v>
      </c>
      <c r="N240" s="796"/>
      <c r="P240" s="399"/>
    </row>
    <row r="241" spans="1:16" s="645" customFormat="1" ht="15" customHeight="1" x14ac:dyDescent="0.25">
      <c r="A241" s="396"/>
      <c r="B241" s="1396">
        <v>12000</v>
      </c>
      <c r="C241" s="1396"/>
      <c r="D241" s="1396"/>
      <c r="E241" s="417">
        <v>333904700000000</v>
      </c>
      <c r="F241" s="600" t="s">
        <v>6563</v>
      </c>
      <c r="G241" s="468">
        <v>1</v>
      </c>
      <c r="H241" s="468">
        <v>0</v>
      </c>
      <c r="I241" s="751"/>
      <c r="J241" s="878" t="s">
        <v>6980</v>
      </c>
      <c r="K241" s="789">
        <f>((('Parâmetros financeiros Despesa'!E176+'Parâmetros financeiros Despesa'!E177+'Parâmetros financeiros Despesa'!E179)))</f>
        <v>0</v>
      </c>
      <c r="L241" s="789">
        <f>((('Parâmetros financeiros Despesa'!F176+'Parâmetros financeiros Despesa'!F177+'Parâmetros financeiros Despesa'!F179))*((1+'Parâmetros financeiros Despesa'!F$4)*(1+'Parâmetros financeiros Despesa'!F$7)*(1+'Parâmetros financeiros Despesa'!F$78)))*(1+'Parâmetros financeiros Despesa'!F$83)</f>
        <v>1212.034685401311</v>
      </c>
      <c r="M241" s="799">
        <f t="shared" si="57"/>
        <v>2.0545091859818878E-3</v>
      </c>
      <c r="N241" s="894"/>
      <c r="O241" s="796"/>
      <c r="P241" s="399"/>
    </row>
    <row r="242" spans="1:16" s="645" customFormat="1" ht="15" customHeight="1" x14ac:dyDescent="0.25">
      <c r="A242" s="397"/>
      <c r="B242" s="478">
        <f>B241+1</f>
        <v>12001</v>
      </c>
      <c r="C242" s="600" t="s">
        <v>6062</v>
      </c>
      <c r="D242" s="528">
        <f>B241</f>
        <v>12000</v>
      </c>
      <c r="E242" s="417">
        <v>333904718000000</v>
      </c>
      <c r="F242" s="418" t="s">
        <v>6942</v>
      </c>
      <c r="G242" s="603">
        <v>1</v>
      </c>
      <c r="H242" s="603">
        <v>0</v>
      </c>
      <c r="I242" s="601">
        <v>17</v>
      </c>
      <c r="J242" s="602" t="s">
        <v>6976</v>
      </c>
      <c r="K242" s="891">
        <v>0</v>
      </c>
      <c r="L242" s="891">
        <v>0</v>
      </c>
      <c r="M242" s="996">
        <f t="shared" si="57"/>
        <v>0</v>
      </c>
      <c r="N242" s="796"/>
      <c r="P242" s="399"/>
    </row>
    <row r="243" spans="1:16" s="645" customFormat="1" ht="15" customHeight="1" x14ac:dyDescent="0.25">
      <c r="A243" s="397"/>
      <c r="B243" s="478">
        <f>B242+1</f>
        <v>12002</v>
      </c>
      <c r="C243" s="600" t="s">
        <v>6062</v>
      </c>
      <c r="D243" s="528">
        <f>D242</f>
        <v>12000</v>
      </c>
      <c r="E243" s="417">
        <v>333904718000000</v>
      </c>
      <c r="F243" s="418" t="s">
        <v>6943</v>
      </c>
      <c r="G243" s="603">
        <v>1</v>
      </c>
      <c r="H243" s="603">
        <v>0</v>
      </c>
      <c r="I243" s="601">
        <v>97</v>
      </c>
      <c r="J243" s="602" t="s">
        <v>6977</v>
      </c>
      <c r="K243" s="891">
        <v>0</v>
      </c>
      <c r="L243" s="891">
        <v>0</v>
      </c>
      <c r="M243" s="996">
        <f t="shared" ref="M243:M249" si="58">L243/L$428</f>
        <v>0</v>
      </c>
      <c r="N243" s="796"/>
      <c r="P243" s="399"/>
    </row>
    <row r="244" spans="1:16" s="645" customFormat="1" ht="15" customHeight="1" x14ac:dyDescent="0.25">
      <c r="A244" s="397"/>
      <c r="B244" s="478">
        <f t="shared" ref="B244:B249" si="59">B243+1</f>
        <v>12003</v>
      </c>
      <c r="C244" s="600" t="s">
        <v>6062</v>
      </c>
      <c r="D244" s="528">
        <f t="shared" ref="D244:D249" si="60">D243</f>
        <v>12000</v>
      </c>
      <c r="E244" s="417">
        <v>333904718000000</v>
      </c>
      <c r="F244" s="418" t="s">
        <v>6944</v>
      </c>
      <c r="G244" s="603">
        <v>1</v>
      </c>
      <c r="H244" s="603">
        <v>0</v>
      </c>
      <c r="I244" s="601">
        <v>1335</v>
      </c>
      <c r="J244" s="602" t="s">
        <v>6978</v>
      </c>
      <c r="K244" s="891">
        <v>0</v>
      </c>
      <c r="L244" s="891">
        <v>0</v>
      </c>
      <c r="M244" s="996">
        <f t="shared" si="58"/>
        <v>0</v>
      </c>
      <c r="N244" s="796"/>
      <c r="P244" s="399"/>
    </row>
    <row r="245" spans="1:16" s="645" customFormat="1" ht="15" customHeight="1" x14ac:dyDescent="0.25">
      <c r="A245" s="397"/>
      <c r="B245" s="478">
        <f t="shared" si="59"/>
        <v>12004</v>
      </c>
      <c r="C245" s="600" t="s">
        <v>6062</v>
      </c>
      <c r="D245" s="528">
        <f t="shared" si="60"/>
        <v>12000</v>
      </c>
      <c r="E245" s="417">
        <v>333904718000000</v>
      </c>
      <c r="F245" s="418" t="s">
        <v>6945</v>
      </c>
      <c r="G245" s="603">
        <v>1</v>
      </c>
      <c r="H245" s="603">
        <v>0</v>
      </c>
      <c r="I245" s="601">
        <v>1393</v>
      </c>
      <c r="J245" s="602" t="s">
        <v>6979</v>
      </c>
      <c r="K245" s="891">
        <v>0</v>
      </c>
      <c r="L245" s="891">
        <v>0</v>
      </c>
      <c r="M245" s="996">
        <f t="shared" si="58"/>
        <v>0</v>
      </c>
      <c r="N245" s="796"/>
      <c r="P245" s="399"/>
    </row>
    <row r="246" spans="1:16" s="645" customFormat="1" ht="15" customHeight="1" x14ac:dyDescent="0.25">
      <c r="A246" s="397"/>
      <c r="B246" s="478">
        <f t="shared" si="59"/>
        <v>12005</v>
      </c>
      <c r="C246" s="600" t="s">
        <v>6062</v>
      </c>
      <c r="D246" s="528">
        <f t="shared" si="60"/>
        <v>12000</v>
      </c>
      <c r="E246" s="417">
        <v>333904720000000</v>
      </c>
      <c r="F246" s="418" t="s">
        <v>6946</v>
      </c>
      <c r="G246" s="603">
        <v>1</v>
      </c>
      <c r="H246" s="603">
        <v>0</v>
      </c>
      <c r="I246" s="601">
        <v>17</v>
      </c>
      <c r="J246" s="602" t="s">
        <v>6976</v>
      </c>
      <c r="K246" s="891">
        <v>0</v>
      </c>
      <c r="L246" s="891">
        <v>0</v>
      </c>
      <c r="M246" s="996">
        <f t="shared" si="58"/>
        <v>0</v>
      </c>
      <c r="N246" s="796"/>
      <c r="P246" s="399"/>
    </row>
    <row r="247" spans="1:16" s="645" customFormat="1" ht="15" customHeight="1" x14ac:dyDescent="0.25">
      <c r="A247" s="397"/>
      <c r="B247" s="478">
        <f t="shared" si="59"/>
        <v>12006</v>
      </c>
      <c r="C247" s="600" t="s">
        <v>6062</v>
      </c>
      <c r="D247" s="528">
        <f t="shared" si="60"/>
        <v>12000</v>
      </c>
      <c r="E247" s="417">
        <v>333904720000000</v>
      </c>
      <c r="F247" s="418" t="s">
        <v>6947</v>
      </c>
      <c r="G247" s="603">
        <v>1</v>
      </c>
      <c r="H247" s="603">
        <v>0</v>
      </c>
      <c r="I247" s="601">
        <v>97</v>
      </c>
      <c r="J247" s="602" t="s">
        <v>6977</v>
      </c>
      <c r="K247" s="891">
        <v>0</v>
      </c>
      <c r="L247" s="891">
        <v>0</v>
      </c>
      <c r="M247" s="996">
        <f t="shared" si="58"/>
        <v>0</v>
      </c>
      <c r="N247" s="796"/>
      <c r="P247" s="399"/>
    </row>
    <row r="248" spans="1:16" s="645" customFormat="1" ht="15" customHeight="1" x14ac:dyDescent="0.25">
      <c r="A248" s="397"/>
      <c r="B248" s="478">
        <f t="shared" si="59"/>
        <v>12007</v>
      </c>
      <c r="C248" s="600" t="s">
        <v>6062</v>
      </c>
      <c r="D248" s="528">
        <f t="shared" si="60"/>
        <v>12000</v>
      </c>
      <c r="E248" s="417">
        <v>333904720000000</v>
      </c>
      <c r="F248" s="418" t="s">
        <v>6948</v>
      </c>
      <c r="G248" s="603">
        <v>1</v>
      </c>
      <c r="H248" s="603">
        <v>0</v>
      </c>
      <c r="I248" s="601">
        <v>1335</v>
      </c>
      <c r="J248" s="602" t="s">
        <v>6978</v>
      </c>
      <c r="K248" s="891">
        <v>0</v>
      </c>
      <c r="L248" s="891">
        <v>0</v>
      </c>
      <c r="M248" s="996">
        <f t="shared" si="58"/>
        <v>0</v>
      </c>
      <c r="N248" s="796"/>
      <c r="P248" s="399"/>
    </row>
    <row r="249" spans="1:16" s="645" customFormat="1" ht="15" customHeight="1" x14ac:dyDescent="0.25">
      <c r="A249" s="397"/>
      <c r="B249" s="478">
        <f t="shared" si="59"/>
        <v>12008</v>
      </c>
      <c r="C249" s="600" t="s">
        <v>6062</v>
      </c>
      <c r="D249" s="528">
        <f t="shared" si="60"/>
        <v>12000</v>
      </c>
      <c r="E249" s="417">
        <v>333904720000000</v>
      </c>
      <c r="F249" s="418" t="s">
        <v>6949</v>
      </c>
      <c r="G249" s="603">
        <v>1</v>
      </c>
      <c r="H249" s="603">
        <v>0</v>
      </c>
      <c r="I249" s="601">
        <v>1393</v>
      </c>
      <c r="J249" s="602" t="s">
        <v>6979</v>
      </c>
      <c r="K249" s="891">
        <v>0</v>
      </c>
      <c r="L249" s="891">
        <v>0</v>
      </c>
      <c r="M249" s="996">
        <f t="shared" si="58"/>
        <v>0</v>
      </c>
      <c r="N249" s="796"/>
      <c r="P249" s="399"/>
    </row>
    <row r="250" spans="1:16" s="115" customFormat="1" ht="15" customHeight="1" x14ac:dyDescent="0.25">
      <c r="A250" s="396"/>
      <c r="B250" s="1396">
        <v>12100</v>
      </c>
      <c r="C250" s="1396"/>
      <c r="D250" s="1396"/>
      <c r="E250" s="854">
        <v>344903000000000</v>
      </c>
      <c r="F250" s="855" t="s">
        <v>5836</v>
      </c>
      <c r="G250" s="468">
        <v>1</v>
      </c>
      <c r="H250" s="468">
        <v>0</v>
      </c>
      <c r="I250" s="751"/>
      <c r="J250" s="878" t="s">
        <v>6980</v>
      </c>
      <c r="K250" s="789">
        <f>('Parâmetros financeiros Despesa'!E175+'Parâmetros financeiros Despesa'!E176)</f>
        <v>0</v>
      </c>
      <c r="L250" s="789">
        <f>('Parâmetros financeiros Despesa'!F175+'Parâmetros financeiros Despesa'!F176)*((1+'Parâmetros financeiros Despesa'!F$4)*(1+'Parâmetros financeiros Despesa'!F$5)*(1+'Parâmetros financeiros Despesa'!F$7)*(1+'Parâmetros financeiros Despesa'!F$83))</f>
        <v>1325.4069713999997</v>
      </c>
      <c r="M250" s="799">
        <f>L250/L$428</f>
        <v>2.2466855368946091E-3</v>
      </c>
      <c r="N250" s="894"/>
      <c r="O250" s="796"/>
      <c r="P250" s="733"/>
    </row>
    <row r="251" spans="1:16" s="115" customFormat="1" ht="15" customHeight="1" x14ac:dyDescent="0.25">
      <c r="A251" s="396"/>
      <c r="B251" s="599">
        <f>B250+1</f>
        <v>12101</v>
      </c>
      <c r="C251" s="600" t="s">
        <v>6062</v>
      </c>
      <c r="D251" s="528">
        <f>B250</f>
        <v>12100</v>
      </c>
      <c r="E251" s="417">
        <v>344903099050000</v>
      </c>
      <c r="F251" s="418" t="s">
        <v>5958</v>
      </c>
      <c r="G251" s="603">
        <v>1</v>
      </c>
      <c r="H251" s="603">
        <v>0</v>
      </c>
      <c r="I251" s="601">
        <v>17</v>
      </c>
      <c r="J251" s="602" t="s">
        <v>6976</v>
      </c>
      <c r="K251" s="891">
        <v>0</v>
      </c>
      <c r="L251" s="891">
        <v>0</v>
      </c>
      <c r="M251" s="996">
        <f t="shared" ref="M251:M254" si="61">L251/L$428</f>
        <v>0</v>
      </c>
      <c r="N251" s="894"/>
      <c r="P251" s="733"/>
    </row>
    <row r="252" spans="1:16" s="115" customFormat="1" ht="15" customHeight="1" x14ac:dyDescent="0.25">
      <c r="A252" s="396"/>
      <c r="B252" s="478">
        <f>B251+1</f>
        <v>12102</v>
      </c>
      <c r="C252" s="600" t="s">
        <v>6062</v>
      </c>
      <c r="D252" s="528">
        <f>D251</f>
        <v>12100</v>
      </c>
      <c r="E252" s="417">
        <v>344903099050000</v>
      </c>
      <c r="F252" s="418" t="s">
        <v>2246</v>
      </c>
      <c r="G252" s="603">
        <v>1</v>
      </c>
      <c r="H252" s="603">
        <v>0</v>
      </c>
      <c r="I252" s="601">
        <v>97</v>
      </c>
      <c r="J252" s="602" t="s">
        <v>6977</v>
      </c>
      <c r="K252" s="891">
        <v>0</v>
      </c>
      <c r="L252" s="891">
        <v>0</v>
      </c>
      <c r="M252" s="996">
        <f t="shared" si="61"/>
        <v>0</v>
      </c>
      <c r="N252" s="894"/>
      <c r="P252" s="733"/>
    </row>
    <row r="253" spans="1:16" s="115" customFormat="1" ht="15" customHeight="1" x14ac:dyDescent="0.25">
      <c r="A253" s="396"/>
      <c r="B253" s="478">
        <f>B252+1</f>
        <v>12103</v>
      </c>
      <c r="C253" s="600" t="s">
        <v>6062</v>
      </c>
      <c r="D253" s="528">
        <f>D252</f>
        <v>12100</v>
      </c>
      <c r="E253" s="417">
        <v>344903099050000</v>
      </c>
      <c r="F253" s="418" t="s">
        <v>5959</v>
      </c>
      <c r="G253" s="603">
        <v>1</v>
      </c>
      <c r="H253" s="603">
        <v>0</v>
      </c>
      <c r="I253" s="601">
        <v>1335</v>
      </c>
      <c r="J253" s="602" t="s">
        <v>6978</v>
      </c>
      <c r="K253" s="891">
        <v>0</v>
      </c>
      <c r="L253" s="891">
        <v>0</v>
      </c>
      <c r="M253" s="996">
        <f t="shared" si="61"/>
        <v>0</v>
      </c>
      <c r="N253" s="894"/>
      <c r="P253" s="733"/>
    </row>
    <row r="254" spans="1:16" s="115" customFormat="1" ht="15" customHeight="1" x14ac:dyDescent="0.25">
      <c r="A254" s="396"/>
      <c r="B254" s="478">
        <f>B253+1</f>
        <v>12104</v>
      </c>
      <c r="C254" s="600" t="s">
        <v>6062</v>
      </c>
      <c r="D254" s="528">
        <f>D253</f>
        <v>12100</v>
      </c>
      <c r="E254" s="417">
        <v>344903099050000</v>
      </c>
      <c r="F254" s="418" t="s">
        <v>5960</v>
      </c>
      <c r="G254" s="603">
        <v>1</v>
      </c>
      <c r="H254" s="603">
        <v>0</v>
      </c>
      <c r="I254" s="601">
        <v>1393</v>
      </c>
      <c r="J254" s="602" t="s">
        <v>6979</v>
      </c>
      <c r="K254" s="891">
        <v>0</v>
      </c>
      <c r="L254" s="891">
        <v>0</v>
      </c>
      <c r="M254" s="996">
        <f t="shared" si="61"/>
        <v>0</v>
      </c>
      <c r="N254" s="894"/>
      <c r="P254" s="733"/>
    </row>
    <row r="255" spans="1:16" s="457" customFormat="1" ht="15" customHeight="1" x14ac:dyDescent="0.25">
      <c r="A255" s="396"/>
      <c r="B255" s="1398" t="s">
        <v>7042</v>
      </c>
      <c r="C255" s="1398"/>
      <c r="D255" s="1398"/>
      <c r="E255" s="854">
        <v>344903600000000</v>
      </c>
      <c r="F255" s="855" t="s">
        <v>5837</v>
      </c>
      <c r="G255" s="468">
        <v>1</v>
      </c>
      <c r="H255" s="468">
        <v>0</v>
      </c>
      <c r="I255" s="751"/>
      <c r="J255" s="878" t="s">
        <v>6980</v>
      </c>
      <c r="K255" s="789">
        <f>'Parâmetros financeiros Despesa'!E177</f>
        <v>0</v>
      </c>
      <c r="L255" s="789">
        <f>('Parâmetros financeiros Despesa'!F177)*((1+'Parâmetros financeiros Despesa'!F$4)*(1+'Parâmetros financeiros Despesa'!F$5)*(1+'Parâmetros financeiros Despesa'!F$7)*(1+'Parâmetros financeiros Despesa'!F$83))</f>
        <v>662.70348569999987</v>
      </c>
      <c r="M255" s="799">
        <f>L255/L$428</f>
        <v>1.1233427684473045E-3</v>
      </c>
      <c r="N255" s="894"/>
      <c r="O255" s="796"/>
      <c r="P255" s="734"/>
    </row>
    <row r="256" spans="1:16" s="457" customFormat="1" ht="15" customHeight="1" x14ac:dyDescent="0.25">
      <c r="A256" s="396"/>
      <c r="B256" s="599">
        <f>B255+1</f>
        <v>12201</v>
      </c>
      <c r="C256" s="600" t="s">
        <v>6062</v>
      </c>
      <c r="D256" s="600" t="str">
        <f>B255</f>
        <v>12200</v>
      </c>
      <c r="E256" s="417">
        <v>344903699010000</v>
      </c>
      <c r="F256" s="418" t="s">
        <v>5961</v>
      </c>
      <c r="G256" s="603">
        <v>1</v>
      </c>
      <c r="H256" s="603">
        <v>0</v>
      </c>
      <c r="I256" s="601">
        <v>17</v>
      </c>
      <c r="J256" s="602" t="s">
        <v>6976</v>
      </c>
      <c r="K256" s="891">
        <v>0</v>
      </c>
      <c r="L256" s="891">
        <v>0</v>
      </c>
      <c r="M256" s="996">
        <f t="shared" ref="M256:M259" si="62">L256/L$428</f>
        <v>0</v>
      </c>
      <c r="N256" s="895"/>
      <c r="P256" s="734"/>
    </row>
    <row r="257" spans="1:16" s="457" customFormat="1" ht="15" customHeight="1" x14ac:dyDescent="0.25">
      <c r="A257" s="396"/>
      <c r="B257" s="478">
        <f>B256+1</f>
        <v>12202</v>
      </c>
      <c r="C257" s="600" t="s">
        <v>6062</v>
      </c>
      <c r="D257" s="528" t="str">
        <f>D256</f>
        <v>12200</v>
      </c>
      <c r="E257" s="417">
        <v>344903699010000</v>
      </c>
      <c r="F257" s="418" t="s">
        <v>5962</v>
      </c>
      <c r="G257" s="603">
        <v>1</v>
      </c>
      <c r="H257" s="603">
        <v>0</v>
      </c>
      <c r="I257" s="601">
        <v>97</v>
      </c>
      <c r="J257" s="602" t="s">
        <v>6977</v>
      </c>
      <c r="K257" s="891">
        <v>0</v>
      </c>
      <c r="L257" s="891">
        <v>0</v>
      </c>
      <c r="M257" s="996">
        <f t="shared" si="62"/>
        <v>0</v>
      </c>
      <c r="N257" s="895"/>
      <c r="P257" s="734"/>
    </row>
    <row r="258" spans="1:16" s="457" customFormat="1" ht="15" customHeight="1" x14ac:dyDescent="0.25">
      <c r="A258" s="396"/>
      <c r="B258" s="478">
        <f>B257+1</f>
        <v>12203</v>
      </c>
      <c r="C258" s="600" t="s">
        <v>6062</v>
      </c>
      <c r="D258" s="528" t="str">
        <f>D257</f>
        <v>12200</v>
      </c>
      <c r="E258" s="417">
        <v>344903699010000</v>
      </c>
      <c r="F258" s="418" t="s">
        <v>5963</v>
      </c>
      <c r="G258" s="603">
        <v>1</v>
      </c>
      <c r="H258" s="603">
        <v>0</v>
      </c>
      <c r="I258" s="601">
        <v>1393</v>
      </c>
      <c r="J258" s="602" t="s">
        <v>6978</v>
      </c>
      <c r="K258" s="891">
        <v>0</v>
      </c>
      <c r="L258" s="891">
        <v>0</v>
      </c>
      <c r="M258" s="996">
        <f t="shared" si="62"/>
        <v>0</v>
      </c>
      <c r="N258" s="895"/>
      <c r="P258" s="734"/>
    </row>
    <row r="259" spans="1:16" s="458" customFormat="1" ht="15" customHeight="1" x14ac:dyDescent="0.25">
      <c r="A259" s="397"/>
      <c r="B259" s="478">
        <f>B258+1</f>
        <v>12204</v>
      </c>
      <c r="C259" s="600" t="s">
        <v>6062</v>
      </c>
      <c r="D259" s="528" t="str">
        <f>D258</f>
        <v>12200</v>
      </c>
      <c r="E259" s="417">
        <v>344903699010000</v>
      </c>
      <c r="F259" s="418" t="s">
        <v>5964</v>
      </c>
      <c r="G259" s="603">
        <v>1</v>
      </c>
      <c r="H259" s="603">
        <v>0</v>
      </c>
      <c r="I259" s="601">
        <v>97</v>
      </c>
      <c r="J259" s="602" t="s">
        <v>6979</v>
      </c>
      <c r="K259" s="891">
        <v>0</v>
      </c>
      <c r="L259" s="891">
        <v>0</v>
      </c>
      <c r="M259" s="996">
        <f t="shared" si="62"/>
        <v>0</v>
      </c>
      <c r="N259" s="896"/>
      <c r="P259" s="735"/>
    </row>
    <row r="260" spans="1:16" s="457" customFormat="1" ht="15" customHeight="1" x14ac:dyDescent="0.25">
      <c r="A260" s="396"/>
      <c r="B260" s="1398" t="s">
        <v>7043</v>
      </c>
      <c r="C260" s="1398"/>
      <c r="D260" s="1398"/>
      <c r="E260" s="854">
        <v>344903900000000</v>
      </c>
      <c r="F260" s="855" t="s">
        <v>5838</v>
      </c>
      <c r="G260" s="468">
        <v>1</v>
      </c>
      <c r="H260" s="468">
        <v>0</v>
      </c>
      <c r="I260" s="751"/>
      <c r="J260" s="878" t="s">
        <v>6980</v>
      </c>
      <c r="K260" s="789">
        <f>('Parâmetros financeiros Despesa'!E178+'Parâmetros financeiros Despesa'!E179)</f>
        <v>0</v>
      </c>
      <c r="L260" s="789">
        <f>('Parâmetros financeiros Despesa'!F178+'Parâmetros financeiros Despesa'!F179)*((1+'Parâmetros financeiros Despesa'!F$4)*(1+'Parâmetros financeiros Despesa'!F$5)*(1+'Parâmetros financeiros Despesa'!F$7)*(1+'Parâmetros financeiros Despesa'!F$83))</f>
        <v>1325.4069713999997</v>
      </c>
      <c r="M260" s="799">
        <f>L260/L$428</f>
        <v>2.2466855368946091E-3</v>
      </c>
      <c r="N260" s="894"/>
      <c r="O260" s="796"/>
      <c r="P260" s="734"/>
    </row>
    <row r="261" spans="1:16" s="458" customFormat="1" ht="15" customHeight="1" x14ac:dyDescent="0.25">
      <c r="A261" s="397"/>
      <c r="B261" s="599">
        <f>B260+1</f>
        <v>12301</v>
      </c>
      <c r="C261" s="600" t="s">
        <v>6062</v>
      </c>
      <c r="D261" s="600" t="str">
        <f>B260</f>
        <v>12300</v>
      </c>
      <c r="E261" s="417">
        <v>344903999050000</v>
      </c>
      <c r="F261" s="418" t="s">
        <v>5961</v>
      </c>
      <c r="G261" s="603">
        <v>1</v>
      </c>
      <c r="H261" s="603">
        <v>0</v>
      </c>
      <c r="I261" s="601">
        <v>17</v>
      </c>
      <c r="J261" s="602" t="s">
        <v>6976</v>
      </c>
      <c r="K261" s="891">
        <v>0</v>
      </c>
      <c r="L261" s="891">
        <v>0</v>
      </c>
      <c r="M261" s="996">
        <f t="shared" ref="M261:M264" si="63">L261/L$428</f>
        <v>0</v>
      </c>
      <c r="N261" s="896"/>
      <c r="P261" s="735"/>
    </row>
    <row r="262" spans="1:16" s="458" customFormat="1" ht="15" customHeight="1" x14ac:dyDescent="0.25">
      <c r="A262" s="397"/>
      <c r="B262" s="478">
        <f>B261+1</f>
        <v>12302</v>
      </c>
      <c r="C262" s="600" t="s">
        <v>6062</v>
      </c>
      <c r="D262" s="528" t="str">
        <f>D261</f>
        <v>12300</v>
      </c>
      <c r="E262" s="417">
        <v>344903999050000</v>
      </c>
      <c r="F262" s="418" t="s">
        <v>5962</v>
      </c>
      <c r="G262" s="603">
        <v>1</v>
      </c>
      <c r="H262" s="603">
        <v>0</v>
      </c>
      <c r="I262" s="601">
        <v>97</v>
      </c>
      <c r="J262" s="602" t="s">
        <v>6977</v>
      </c>
      <c r="K262" s="891">
        <v>0</v>
      </c>
      <c r="L262" s="891">
        <v>0</v>
      </c>
      <c r="M262" s="996">
        <f t="shared" si="63"/>
        <v>0</v>
      </c>
      <c r="N262" s="896"/>
      <c r="P262" s="735"/>
    </row>
    <row r="263" spans="1:16" s="458" customFormat="1" ht="15" customHeight="1" x14ac:dyDescent="0.25">
      <c r="A263" s="397"/>
      <c r="B263" s="478">
        <f>B262+1</f>
        <v>12303</v>
      </c>
      <c r="C263" s="600" t="s">
        <v>6062</v>
      </c>
      <c r="D263" s="528" t="str">
        <f>D262</f>
        <v>12300</v>
      </c>
      <c r="E263" s="417">
        <v>344903999050000</v>
      </c>
      <c r="F263" s="418" t="s">
        <v>5963</v>
      </c>
      <c r="G263" s="603">
        <v>1</v>
      </c>
      <c r="H263" s="603">
        <v>0</v>
      </c>
      <c r="I263" s="601">
        <v>1393</v>
      </c>
      <c r="J263" s="602" t="s">
        <v>6978</v>
      </c>
      <c r="K263" s="891">
        <v>0</v>
      </c>
      <c r="L263" s="891">
        <v>0</v>
      </c>
      <c r="M263" s="996">
        <f t="shared" si="63"/>
        <v>0</v>
      </c>
      <c r="N263" s="896"/>
      <c r="P263" s="735"/>
    </row>
    <row r="264" spans="1:16" s="458" customFormat="1" ht="15" customHeight="1" x14ac:dyDescent="0.25">
      <c r="A264" s="397"/>
      <c r="B264" s="478">
        <f>B263+1</f>
        <v>12304</v>
      </c>
      <c r="C264" s="600" t="s">
        <v>6062</v>
      </c>
      <c r="D264" s="528" t="str">
        <f>D263</f>
        <v>12300</v>
      </c>
      <c r="E264" s="417">
        <v>344903999050000</v>
      </c>
      <c r="F264" s="418" t="s">
        <v>5964</v>
      </c>
      <c r="G264" s="603">
        <v>1</v>
      </c>
      <c r="H264" s="603">
        <v>0</v>
      </c>
      <c r="I264" s="601">
        <v>97</v>
      </c>
      <c r="J264" s="602" t="s">
        <v>6979</v>
      </c>
      <c r="K264" s="891">
        <v>0</v>
      </c>
      <c r="L264" s="891">
        <v>0</v>
      </c>
      <c r="M264" s="996">
        <f t="shared" si="63"/>
        <v>0</v>
      </c>
      <c r="N264" s="896"/>
      <c r="P264" s="735"/>
    </row>
    <row r="265" spans="1:16" s="457" customFormat="1" ht="15" customHeight="1" x14ac:dyDescent="0.25">
      <c r="A265" s="396"/>
      <c r="B265" s="1398" t="s">
        <v>7044</v>
      </c>
      <c r="C265" s="1398"/>
      <c r="D265" s="1398"/>
      <c r="E265" s="854">
        <v>344905200000000</v>
      </c>
      <c r="F265" s="855" t="s">
        <v>7041</v>
      </c>
      <c r="G265" s="468">
        <v>1</v>
      </c>
      <c r="H265" s="468">
        <v>0</v>
      </c>
      <c r="I265" s="751"/>
      <c r="J265" s="878" t="s">
        <v>6980</v>
      </c>
      <c r="K265" s="789">
        <f>('Parâmetros financeiros Despesa'!E180)</f>
        <v>0</v>
      </c>
      <c r="L265" s="789">
        <f>('Parâmetros financeiros Despesa'!F180)*((1+'Parâmetros financeiros Despesa'!F$4)*(1+'Parâmetros financeiros Despesa'!F$5)*(1+'Parâmetros financeiros Despesa'!F$7)*(1+'Parâmetros financeiros Despesa'!F$83))</f>
        <v>4638.9243998999991</v>
      </c>
      <c r="M265" s="799">
        <f>L265/L$428</f>
        <v>7.8633993791311311E-3</v>
      </c>
      <c r="N265" s="894"/>
      <c r="O265" s="796"/>
      <c r="P265" s="734"/>
    </row>
    <row r="266" spans="1:16" s="645" customFormat="1" ht="15" customHeight="1" x14ac:dyDescent="0.25">
      <c r="A266" s="397"/>
      <c r="B266" s="599">
        <f>B265+1</f>
        <v>12401</v>
      </c>
      <c r="C266" s="600" t="s">
        <v>6062</v>
      </c>
      <c r="D266" s="600" t="str">
        <f>B265</f>
        <v>12400</v>
      </c>
      <c r="E266" s="417">
        <v>344905212000000</v>
      </c>
      <c r="F266" s="418" t="s">
        <v>6071</v>
      </c>
      <c r="G266" s="603">
        <v>1</v>
      </c>
      <c r="H266" s="603">
        <v>0</v>
      </c>
      <c r="I266" s="601">
        <v>17</v>
      </c>
      <c r="J266" s="602" t="s">
        <v>6976</v>
      </c>
      <c r="K266" s="891">
        <v>0</v>
      </c>
      <c r="L266" s="891">
        <v>0</v>
      </c>
      <c r="M266" s="996">
        <f t="shared" ref="M266:M269" si="64">L266/L$428</f>
        <v>0</v>
      </c>
      <c r="N266" s="796"/>
      <c r="P266" s="399"/>
    </row>
    <row r="267" spans="1:16" s="645" customFormat="1" ht="15" customHeight="1" x14ac:dyDescent="0.25">
      <c r="A267" s="397"/>
      <c r="B267" s="478">
        <f>B266+1</f>
        <v>12402</v>
      </c>
      <c r="C267" s="600" t="s">
        <v>6062</v>
      </c>
      <c r="D267" s="528" t="str">
        <f>D266</f>
        <v>12400</v>
      </c>
      <c r="E267" s="417">
        <v>344905235000000</v>
      </c>
      <c r="F267" s="418" t="s">
        <v>6073</v>
      </c>
      <c r="G267" s="603">
        <v>1</v>
      </c>
      <c r="H267" s="603">
        <v>0</v>
      </c>
      <c r="I267" s="601">
        <v>97</v>
      </c>
      <c r="J267" s="602" t="s">
        <v>6977</v>
      </c>
      <c r="K267" s="891">
        <v>0</v>
      </c>
      <c r="L267" s="891">
        <v>0</v>
      </c>
      <c r="M267" s="996">
        <f t="shared" si="64"/>
        <v>0</v>
      </c>
      <c r="N267" s="796"/>
      <c r="P267" s="399"/>
    </row>
    <row r="268" spans="1:16" s="645" customFormat="1" ht="15" customHeight="1" x14ac:dyDescent="0.25">
      <c r="A268" s="397"/>
      <c r="B268" s="478">
        <f>B267+1</f>
        <v>12403</v>
      </c>
      <c r="C268" s="600" t="s">
        <v>6062</v>
      </c>
      <c r="D268" s="528" t="str">
        <f>D267</f>
        <v>12400</v>
      </c>
      <c r="E268" s="417">
        <v>344905242000000</v>
      </c>
      <c r="F268" s="418" t="s">
        <v>6072</v>
      </c>
      <c r="G268" s="603">
        <v>1</v>
      </c>
      <c r="H268" s="603">
        <v>0</v>
      </c>
      <c r="I268" s="601">
        <v>1335</v>
      </c>
      <c r="J268" s="602" t="s">
        <v>6978</v>
      </c>
      <c r="K268" s="891">
        <v>0</v>
      </c>
      <c r="L268" s="891">
        <v>0</v>
      </c>
      <c r="M268" s="996">
        <f t="shared" si="64"/>
        <v>0</v>
      </c>
      <c r="N268" s="796"/>
      <c r="P268" s="399"/>
    </row>
    <row r="269" spans="1:16" s="645" customFormat="1" ht="15" customHeight="1" x14ac:dyDescent="0.25">
      <c r="A269" s="397"/>
      <c r="B269" s="478">
        <f>B268+1</f>
        <v>12404</v>
      </c>
      <c r="C269" s="600" t="s">
        <v>6062</v>
      </c>
      <c r="D269" s="528" t="str">
        <f>D268</f>
        <v>12400</v>
      </c>
      <c r="E269" s="417">
        <v>344905299000000</v>
      </c>
      <c r="F269" s="418" t="s">
        <v>6074</v>
      </c>
      <c r="G269" s="603">
        <v>1</v>
      </c>
      <c r="H269" s="603">
        <v>0</v>
      </c>
      <c r="I269" s="601">
        <v>1393</v>
      </c>
      <c r="J269" s="602" t="s">
        <v>6979</v>
      </c>
      <c r="K269" s="891">
        <v>0</v>
      </c>
      <c r="L269" s="891">
        <v>0</v>
      </c>
      <c r="M269" s="996">
        <f t="shared" si="64"/>
        <v>0</v>
      </c>
      <c r="N269" s="796"/>
      <c r="P269" s="399"/>
    </row>
    <row r="270" spans="1:16" s="115" customFormat="1" ht="15" customHeight="1" x14ac:dyDescent="0.25">
      <c r="A270" s="396"/>
      <c r="B270" s="1385" t="s">
        <v>5951</v>
      </c>
      <c r="C270" s="1385"/>
      <c r="D270" s="1385"/>
      <c r="E270" s="1385"/>
      <c r="F270" s="1385"/>
      <c r="G270" s="401"/>
      <c r="H270" s="401"/>
      <c r="I270" s="426"/>
      <c r="J270" s="411"/>
      <c r="K270" s="402">
        <f t="shared" ref="K270:L272" si="65">K271</f>
        <v>0</v>
      </c>
      <c r="L270" s="402">
        <f t="shared" si="65"/>
        <v>14352.732113402621</v>
      </c>
      <c r="M270" s="451">
        <f>L270/L$428</f>
        <v>2.4329188204015258E-2</v>
      </c>
      <c r="N270" s="894"/>
      <c r="P270" s="733"/>
    </row>
    <row r="271" spans="1:16" s="645" customFormat="1" ht="15" customHeight="1" x14ac:dyDescent="0.25">
      <c r="A271" s="396"/>
      <c r="B271" s="1386" t="s">
        <v>6983</v>
      </c>
      <c r="C271" s="1386"/>
      <c r="D271" s="1386"/>
      <c r="E271" s="1386"/>
      <c r="F271" s="1386"/>
      <c r="G271" s="403"/>
      <c r="H271" s="403"/>
      <c r="I271" s="427"/>
      <c r="J271" s="412"/>
      <c r="K271" s="404">
        <f t="shared" si="65"/>
        <v>0</v>
      </c>
      <c r="L271" s="404">
        <f t="shared" si="65"/>
        <v>14352.732113402621</v>
      </c>
      <c r="M271" s="452">
        <f>L271/L$428</f>
        <v>2.4329188204015258E-2</v>
      </c>
      <c r="N271" s="796"/>
      <c r="P271" s="399"/>
    </row>
    <row r="272" spans="1:16" s="645" customFormat="1" ht="15" customHeight="1" x14ac:dyDescent="0.25">
      <c r="A272" s="396"/>
      <c r="B272" s="1382" t="s">
        <v>2286</v>
      </c>
      <c r="C272" s="1382"/>
      <c r="D272" s="1382"/>
      <c r="E272" s="1382"/>
      <c r="F272" s="1382"/>
      <c r="G272" s="405"/>
      <c r="H272" s="405"/>
      <c r="I272" s="428"/>
      <c r="J272" s="413"/>
      <c r="K272" s="406">
        <f t="shared" si="65"/>
        <v>0</v>
      </c>
      <c r="L272" s="406">
        <f t="shared" si="65"/>
        <v>14352.732113402621</v>
      </c>
      <c r="M272" s="453">
        <f>L272/L$428</f>
        <v>2.4329188204015258E-2</v>
      </c>
      <c r="N272" s="796"/>
      <c r="P272" s="399"/>
    </row>
    <row r="273" spans="1:16" s="645" customFormat="1" ht="15" customHeight="1" x14ac:dyDescent="0.25">
      <c r="A273" s="396"/>
      <c r="B273" s="1383" t="s">
        <v>2290</v>
      </c>
      <c r="C273" s="1383"/>
      <c r="D273" s="1383"/>
      <c r="E273" s="1383"/>
      <c r="F273" s="1383"/>
      <c r="G273" s="407"/>
      <c r="H273" s="407"/>
      <c r="I273" s="429"/>
      <c r="J273" s="414"/>
      <c r="K273" s="408">
        <f>SUM(K274:K278)</f>
        <v>0</v>
      </c>
      <c r="L273" s="408">
        <f>SUM(L274:L278)</f>
        <v>14352.732113402621</v>
      </c>
      <c r="M273" s="454">
        <f>L273/L$428</f>
        <v>2.4329188204015258E-2</v>
      </c>
      <c r="N273" s="796"/>
      <c r="P273" s="399"/>
    </row>
    <row r="274" spans="1:16" s="645" customFormat="1" ht="15" customHeight="1" x14ac:dyDescent="0.25">
      <c r="A274" s="396"/>
      <c r="B274" s="1396">
        <v>12500</v>
      </c>
      <c r="C274" s="1396"/>
      <c r="D274" s="1396"/>
      <c r="E274" s="417">
        <v>333904700000000</v>
      </c>
      <c r="F274" s="600" t="s">
        <v>7047</v>
      </c>
      <c r="G274" s="468">
        <v>1</v>
      </c>
      <c r="H274" s="468">
        <v>0</v>
      </c>
      <c r="I274" s="751"/>
      <c r="J274" s="878" t="s">
        <v>6980</v>
      </c>
      <c r="K274" s="789">
        <f>((('Parâmetros financeiros Despesa'!E183+'Parâmetros financeiros Despesa'!E185+'Parâmetros financeiros Despesa'!E184)))</f>
        <v>0</v>
      </c>
      <c r="L274" s="789">
        <f>((('Parâmetros financeiros Despesa'!F183+'Parâmetros financeiros Despesa'!F185+'Parâmetros financeiros Despesa'!F184))*((1+'Parâmetros financeiros Despesa'!F$4)*(1+'Parâmetros financeiros Despesa'!F$7)*(1+'Parâmetros financeiros Despesa'!F$78)))*(1+'Parâmetros financeiros Despesa'!F$83)</f>
        <v>2424.069370802622</v>
      </c>
      <c r="M274" s="799">
        <f>L274/L$428</f>
        <v>4.1090183719637756E-3</v>
      </c>
      <c r="N274" s="894"/>
      <c r="O274" s="796"/>
      <c r="P274" s="399"/>
    </row>
    <row r="275" spans="1:16" s="115" customFormat="1" ht="15" customHeight="1" x14ac:dyDescent="0.25">
      <c r="A275" s="396"/>
      <c r="B275" s="1396">
        <v>12600</v>
      </c>
      <c r="C275" s="1396"/>
      <c r="D275" s="1396"/>
      <c r="E275" s="854">
        <v>344903000000000</v>
      </c>
      <c r="F275" s="855" t="s">
        <v>7046</v>
      </c>
      <c r="G275" s="468">
        <v>1</v>
      </c>
      <c r="H275" s="468">
        <v>0</v>
      </c>
      <c r="I275" s="751"/>
      <c r="J275" s="878" t="s">
        <v>6980</v>
      </c>
      <c r="K275" s="789">
        <f>('Parâmetros financeiros Despesa'!E182+'Parâmetros financeiros Despesa'!E183)</f>
        <v>0</v>
      </c>
      <c r="L275" s="789">
        <f>('Parâmetros financeiros Despesa'!F182+'Parâmetros financeiros Despesa'!F183)*((1+'Parâmetros financeiros Despesa'!F$4)*(1+'Parâmetros financeiros Despesa'!F$5)*(1+'Parâmetros financeiros Despesa'!F$7)*(1+'Parâmetros financeiros Despesa'!F$83))</f>
        <v>2650.8139427999995</v>
      </c>
      <c r="M275" s="799">
        <f t="shared" ref="M275:M278" si="66">L275/L$428</f>
        <v>4.4933710737892181E-3</v>
      </c>
      <c r="N275" s="894"/>
      <c r="O275" s="796"/>
      <c r="P275" s="733"/>
    </row>
    <row r="276" spans="1:16" s="457" customFormat="1" ht="15" customHeight="1" x14ac:dyDescent="0.25">
      <c r="A276" s="396"/>
      <c r="B276" s="1398" t="s">
        <v>7048</v>
      </c>
      <c r="C276" s="1398"/>
      <c r="D276" s="1398"/>
      <c r="E276" s="854">
        <v>344903600000000</v>
      </c>
      <c r="F276" s="855" t="s">
        <v>10017</v>
      </c>
      <c r="G276" s="468">
        <v>1</v>
      </c>
      <c r="H276" s="468">
        <v>0</v>
      </c>
      <c r="I276" s="751"/>
      <c r="J276" s="878" t="s">
        <v>6980</v>
      </c>
      <c r="K276" s="789">
        <f>('Parâmetros financeiros Despesa'!E184)</f>
        <v>0</v>
      </c>
      <c r="L276" s="789">
        <f>('Parâmetros financeiros Despesa'!F184)*((1+'Parâmetros financeiros Despesa'!F$4)*(1+'Parâmetros financeiros Despesa'!F$5)*(1+'Parâmetros financeiros Despesa'!F$7)*(1+'Parâmetros financeiros Despesa'!F$83))</f>
        <v>1325.4069713999997</v>
      </c>
      <c r="M276" s="799">
        <f t="shared" si="66"/>
        <v>2.2466855368946091E-3</v>
      </c>
      <c r="N276" s="894"/>
      <c r="O276" s="796"/>
      <c r="P276" s="734"/>
    </row>
    <row r="277" spans="1:16" s="457" customFormat="1" ht="15" customHeight="1" x14ac:dyDescent="0.25">
      <c r="A277" s="396"/>
      <c r="B277" s="1398" t="s">
        <v>7049</v>
      </c>
      <c r="C277" s="1398"/>
      <c r="D277" s="1398"/>
      <c r="E277" s="854">
        <v>344903900000000</v>
      </c>
      <c r="F277" s="855" t="s">
        <v>10018</v>
      </c>
      <c r="G277" s="468">
        <v>1</v>
      </c>
      <c r="H277" s="468">
        <v>0</v>
      </c>
      <c r="I277" s="751"/>
      <c r="J277" s="878" t="s">
        <v>6980</v>
      </c>
      <c r="K277" s="789">
        <f>('Parâmetros financeiros Despesa'!E185+'Parâmetros financeiros Despesa'!E186)</f>
        <v>0</v>
      </c>
      <c r="L277" s="789">
        <f>('Parâmetros financeiros Despesa'!F185+'Parâmetros financeiros Despesa'!F186)*((1+'Parâmetros financeiros Despesa'!F$4)*(1+'Parâmetros financeiros Despesa'!F$5)*(1+'Parâmetros financeiros Despesa'!F$7)*(1+'Parâmetros financeiros Despesa'!F$83))</f>
        <v>2650.8139427999995</v>
      </c>
      <c r="M277" s="799">
        <f t="shared" si="66"/>
        <v>4.4933710737892181E-3</v>
      </c>
      <c r="N277" s="894"/>
      <c r="O277" s="796"/>
      <c r="P277" s="734"/>
    </row>
    <row r="278" spans="1:16" s="457" customFormat="1" ht="15" customHeight="1" x14ac:dyDescent="0.25">
      <c r="A278" s="396"/>
      <c r="B278" s="1398" t="s">
        <v>7050</v>
      </c>
      <c r="C278" s="1398"/>
      <c r="D278" s="1398"/>
      <c r="E278" s="854">
        <v>344905100000000</v>
      </c>
      <c r="F278" s="855" t="s">
        <v>7045</v>
      </c>
      <c r="G278" s="468">
        <v>1</v>
      </c>
      <c r="H278" s="468">
        <v>0</v>
      </c>
      <c r="I278" s="751"/>
      <c r="J278" s="878" t="s">
        <v>6980</v>
      </c>
      <c r="K278" s="789">
        <f>('Parâmetros financeiros Despesa'!E187)</f>
        <v>0</v>
      </c>
      <c r="L278" s="789">
        <f>('Parâmetros financeiros Despesa'!F187)*((1+'Parâmetros financeiros Despesa'!F$4)*(1+'Parâmetros financeiros Despesa'!F$5)*(1+'Parâmetros financeiros Despesa'!F$7)*(1+'Parâmetros financeiros Despesa'!F$83))</f>
        <v>5301.627885599999</v>
      </c>
      <c r="M278" s="799">
        <f t="shared" si="66"/>
        <v>8.9867421475784363E-3</v>
      </c>
      <c r="N278" s="894"/>
      <c r="O278" s="796"/>
      <c r="P278" s="734"/>
    </row>
    <row r="279" spans="1:16" s="115" customFormat="1" ht="15" customHeight="1" x14ac:dyDescent="0.25">
      <c r="A279" s="396"/>
      <c r="B279" s="1385" t="s">
        <v>5951</v>
      </c>
      <c r="C279" s="1385"/>
      <c r="D279" s="1385"/>
      <c r="E279" s="1385"/>
      <c r="F279" s="1385"/>
      <c r="G279" s="401"/>
      <c r="H279" s="401"/>
      <c r="I279" s="426"/>
      <c r="J279" s="411"/>
      <c r="K279" s="402">
        <f t="shared" ref="K279:L281" si="67">K280</f>
        <v>0</v>
      </c>
      <c r="L279" s="402">
        <f t="shared" si="67"/>
        <v>14352.732113402621</v>
      </c>
      <c r="M279" s="451">
        <f>L279/L$428</f>
        <v>2.4329188204015258E-2</v>
      </c>
      <c r="N279" s="894"/>
      <c r="P279" s="733"/>
    </row>
    <row r="280" spans="1:16" s="657" customFormat="1" ht="15" customHeight="1" x14ac:dyDescent="0.25">
      <c r="A280" s="396"/>
      <c r="B280" s="1386" t="s">
        <v>6982</v>
      </c>
      <c r="C280" s="1386"/>
      <c r="D280" s="1386"/>
      <c r="E280" s="1386"/>
      <c r="F280" s="1386"/>
      <c r="G280" s="403"/>
      <c r="H280" s="403"/>
      <c r="I280" s="427"/>
      <c r="J280" s="412"/>
      <c r="K280" s="404">
        <f t="shared" si="67"/>
        <v>0</v>
      </c>
      <c r="L280" s="404">
        <f t="shared" si="67"/>
        <v>14352.732113402621</v>
      </c>
      <c r="M280" s="452">
        <f>L280/L$428</f>
        <v>2.4329188204015258E-2</v>
      </c>
      <c r="N280" s="796"/>
      <c r="P280" s="399"/>
    </row>
    <row r="281" spans="1:16" s="657" customFormat="1" ht="15" customHeight="1" x14ac:dyDescent="0.25">
      <c r="A281" s="396"/>
      <c r="B281" s="1382" t="s">
        <v>2286</v>
      </c>
      <c r="C281" s="1382"/>
      <c r="D281" s="1382"/>
      <c r="E281" s="1382"/>
      <c r="F281" s="1382"/>
      <c r="G281" s="405"/>
      <c r="H281" s="405"/>
      <c r="I281" s="428"/>
      <c r="J281" s="413"/>
      <c r="K281" s="406">
        <f t="shared" si="67"/>
        <v>0</v>
      </c>
      <c r="L281" s="406">
        <f t="shared" si="67"/>
        <v>14352.732113402621</v>
      </c>
      <c r="M281" s="453">
        <f>L281/L$428</f>
        <v>2.4329188204015258E-2</v>
      </c>
      <c r="N281" s="796"/>
      <c r="P281" s="399"/>
    </row>
    <row r="282" spans="1:16" s="657" customFormat="1" ht="15" customHeight="1" x14ac:dyDescent="0.25">
      <c r="A282" s="396"/>
      <c r="B282" s="1383" t="s">
        <v>2290</v>
      </c>
      <c r="C282" s="1383"/>
      <c r="D282" s="1383"/>
      <c r="E282" s="1383"/>
      <c r="F282" s="1383"/>
      <c r="G282" s="407"/>
      <c r="H282" s="407"/>
      <c r="I282" s="429"/>
      <c r="J282" s="414"/>
      <c r="K282" s="408">
        <f>SUM(K283:K287)</f>
        <v>0</v>
      </c>
      <c r="L282" s="408">
        <f>SUM(L283:L287)</f>
        <v>14352.732113402621</v>
      </c>
      <c r="M282" s="454">
        <f>L282/L$428</f>
        <v>2.4329188204015258E-2</v>
      </c>
      <c r="N282" s="796"/>
      <c r="P282" s="399"/>
    </row>
    <row r="283" spans="1:16" s="657" customFormat="1" ht="15" customHeight="1" x14ac:dyDescent="0.25">
      <c r="A283" s="396"/>
      <c r="B283" s="1396">
        <v>13000</v>
      </c>
      <c r="C283" s="1396"/>
      <c r="D283" s="1396"/>
      <c r="E283" s="417">
        <v>333904700000000</v>
      </c>
      <c r="F283" s="600" t="s">
        <v>7051</v>
      </c>
      <c r="G283" s="468">
        <v>1</v>
      </c>
      <c r="H283" s="468">
        <v>0</v>
      </c>
      <c r="I283" s="751"/>
      <c r="J283" s="878" t="s">
        <v>6980</v>
      </c>
      <c r="K283" s="789">
        <f>((('Parâmetros financeiros Despesa'!E191+'Parâmetros financeiros Despesa'!E190+'Parâmetros financeiros Despesa'!E193)))</f>
        <v>0</v>
      </c>
      <c r="L283" s="789">
        <f>((('Parâmetros financeiros Despesa'!F191+'Parâmetros financeiros Despesa'!F190+'Parâmetros financeiros Despesa'!F193))*((1+'Parâmetros financeiros Despesa'!F$4)*(1+'Parâmetros financeiros Despesa'!F$7)*(1+'Parâmetros financeiros Despesa'!F$78)))*(1+'Parâmetros financeiros Despesa'!F$83)</f>
        <v>2424.069370802622</v>
      </c>
      <c r="M283" s="799">
        <f>L283/L$428</f>
        <v>4.1090183719637756E-3</v>
      </c>
      <c r="N283" s="894"/>
      <c r="O283" s="796"/>
      <c r="P283" s="399"/>
    </row>
    <row r="284" spans="1:16" s="115" customFormat="1" ht="15" customHeight="1" x14ac:dyDescent="0.25">
      <c r="A284" s="396"/>
      <c r="B284" s="1396">
        <v>13100</v>
      </c>
      <c r="C284" s="1396"/>
      <c r="D284" s="1396"/>
      <c r="E284" s="854">
        <v>344903000000000</v>
      </c>
      <c r="F284" s="855" t="s">
        <v>7052</v>
      </c>
      <c r="G284" s="468">
        <v>1</v>
      </c>
      <c r="H284" s="468">
        <v>0</v>
      </c>
      <c r="I284" s="751"/>
      <c r="J284" s="878" t="s">
        <v>6980</v>
      </c>
      <c r="K284" s="789">
        <f>('Parâmetros financeiros Despesa'!E189+'Parâmetros financeiros Despesa'!E190)</f>
        <v>0</v>
      </c>
      <c r="L284" s="789">
        <f>('Parâmetros financeiros Despesa'!F189+'Parâmetros financeiros Despesa'!F190)*((1+'Parâmetros financeiros Despesa'!F$4)*(1+'Parâmetros financeiros Despesa'!F$5)*(1+'Parâmetros financeiros Despesa'!F$7)*(1+'Parâmetros financeiros Despesa'!F$83))</f>
        <v>2650.8139427999995</v>
      </c>
      <c r="M284" s="799">
        <f t="shared" ref="M284:M287" si="68">L284/L$428</f>
        <v>4.4933710737892181E-3</v>
      </c>
      <c r="N284" s="894"/>
      <c r="O284" s="796"/>
      <c r="P284" s="733"/>
    </row>
    <row r="285" spans="1:16" s="457" customFormat="1" ht="15" customHeight="1" x14ac:dyDescent="0.25">
      <c r="A285" s="396"/>
      <c r="B285" s="1398" t="s">
        <v>6981</v>
      </c>
      <c r="C285" s="1398"/>
      <c r="D285" s="1398"/>
      <c r="E285" s="854">
        <v>344903600000000</v>
      </c>
      <c r="F285" s="855" t="s">
        <v>10019</v>
      </c>
      <c r="G285" s="468">
        <v>1</v>
      </c>
      <c r="H285" s="468">
        <v>0</v>
      </c>
      <c r="I285" s="751"/>
      <c r="J285" s="878" t="s">
        <v>6980</v>
      </c>
      <c r="K285" s="789">
        <f>('Parâmetros financeiros Despesa'!E191)</f>
        <v>0</v>
      </c>
      <c r="L285" s="789">
        <f>('Parâmetros financeiros Despesa'!F191)*((1+'Parâmetros financeiros Despesa'!F$4)*(1+'Parâmetros financeiros Despesa'!F$5)*(1+'Parâmetros financeiros Despesa'!F$7)*(1+'Parâmetros financeiros Despesa'!F$83))</f>
        <v>1325.4069713999997</v>
      </c>
      <c r="M285" s="799">
        <f t="shared" si="68"/>
        <v>2.2466855368946091E-3</v>
      </c>
      <c r="N285" s="894"/>
      <c r="O285" s="796"/>
      <c r="P285" s="734"/>
    </row>
    <row r="286" spans="1:16" s="457" customFormat="1" ht="15" customHeight="1" x14ac:dyDescent="0.25">
      <c r="A286" s="396"/>
      <c r="B286" s="1398" t="s">
        <v>6984</v>
      </c>
      <c r="C286" s="1398"/>
      <c r="D286" s="1398"/>
      <c r="E286" s="854">
        <v>344903900000000</v>
      </c>
      <c r="F286" s="855" t="s">
        <v>10020</v>
      </c>
      <c r="G286" s="468">
        <v>1</v>
      </c>
      <c r="H286" s="468">
        <v>0</v>
      </c>
      <c r="I286" s="751"/>
      <c r="J286" s="878" t="s">
        <v>6980</v>
      </c>
      <c r="K286" s="789">
        <f>('Parâmetros financeiros Despesa'!E192+'Parâmetros financeiros Despesa'!E193)</f>
        <v>0</v>
      </c>
      <c r="L286" s="789">
        <f>('Parâmetros financeiros Despesa'!F192+'Parâmetros financeiros Despesa'!F193)*((1+'Parâmetros financeiros Despesa'!F$4)*(1+'Parâmetros financeiros Despesa'!F$5)*(1+'Parâmetros financeiros Despesa'!F$7)*(1+'Parâmetros financeiros Despesa'!F$83))</f>
        <v>2650.8139427999995</v>
      </c>
      <c r="M286" s="799">
        <f t="shared" si="68"/>
        <v>4.4933710737892181E-3</v>
      </c>
      <c r="N286" s="894"/>
      <c r="O286" s="796"/>
      <c r="P286" s="734"/>
    </row>
    <row r="287" spans="1:16" s="457" customFormat="1" ht="15" customHeight="1" x14ac:dyDescent="0.25">
      <c r="A287" s="396"/>
      <c r="B287" s="1398" t="s">
        <v>6985</v>
      </c>
      <c r="C287" s="1398"/>
      <c r="D287" s="1398"/>
      <c r="E287" s="854">
        <v>344905200000000</v>
      </c>
      <c r="F287" s="855" t="s">
        <v>7053</v>
      </c>
      <c r="G287" s="468">
        <v>1</v>
      </c>
      <c r="H287" s="468">
        <v>0</v>
      </c>
      <c r="I287" s="751"/>
      <c r="J287" s="878" t="s">
        <v>6980</v>
      </c>
      <c r="K287" s="789">
        <f>('Parâmetros financeiros Despesa'!E194)</f>
        <v>0</v>
      </c>
      <c r="L287" s="789">
        <f>('Parâmetros financeiros Despesa'!F194)*((1+'Parâmetros financeiros Despesa'!F$4)*(1+'Parâmetros financeiros Despesa'!F$5)*(1+'Parâmetros financeiros Despesa'!F$7)*(1+'Parâmetros financeiros Despesa'!F$83))</f>
        <v>5301.627885599999</v>
      </c>
      <c r="M287" s="799">
        <f t="shared" si="68"/>
        <v>8.9867421475784363E-3</v>
      </c>
      <c r="N287" s="894"/>
      <c r="O287" s="796"/>
      <c r="P287" s="734"/>
    </row>
    <row r="288" spans="1:16" s="645" customFormat="1" ht="15" customHeight="1" x14ac:dyDescent="0.25">
      <c r="A288" s="397"/>
      <c r="B288" s="1385" t="s">
        <v>5951</v>
      </c>
      <c r="C288" s="1385"/>
      <c r="D288" s="1385"/>
      <c r="E288" s="1385"/>
      <c r="F288" s="1385"/>
      <c r="G288" s="401"/>
      <c r="H288" s="401"/>
      <c r="I288" s="426"/>
      <c r="J288" s="411"/>
      <c r="K288" s="402">
        <f t="shared" ref="K288:L290" si="69">K289</f>
        <v>344777.10999999993</v>
      </c>
      <c r="L288" s="402">
        <f t="shared" si="69"/>
        <v>415448.20370601717</v>
      </c>
      <c r="M288" s="451">
        <f t="shared" ref="M288:M293" si="70">L288/L$428</f>
        <v>0.70422254502648551</v>
      </c>
      <c r="N288" s="796"/>
      <c r="P288" s="399"/>
    </row>
    <row r="289" spans="1:16" s="645" customFormat="1" ht="15" customHeight="1" x14ac:dyDescent="0.25">
      <c r="A289" s="397"/>
      <c r="B289" s="1386" t="s">
        <v>5965</v>
      </c>
      <c r="C289" s="1386"/>
      <c r="D289" s="1386"/>
      <c r="E289" s="1386"/>
      <c r="F289" s="1386"/>
      <c r="G289" s="403"/>
      <c r="H289" s="403"/>
      <c r="I289" s="427"/>
      <c r="J289" s="412"/>
      <c r="K289" s="404">
        <f t="shared" si="69"/>
        <v>344777.10999999993</v>
      </c>
      <c r="L289" s="404">
        <f t="shared" si="69"/>
        <v>415448.20370601717</v>
      </c>
      <c r="M289" s="452">
        <f t="shared" si="70"/>
        <v>0.70422254502648551</v>
      </c>
      <c r="N289" s="796"/>
      <c r="P289" s="399"/>
    </row>
    <row r="290" spans="1:16" s="645" customFormat="1" ht="15" customHeight="1" x14ac:dyDescent="0.25">
      <c r="A290" s="397"/>
      <c r="B290" s="1382" t="s">
        <v>2286</v>
      </c>
      <c r="C290" s="1382"/>
      <c r="D290" s="1382"/>
      <c r="E290" s="1382"/>
      <c r="F290" s="1382"/>
      <c r="G290" s="405"/>
      <c r="H290" s="405"/>
      <c r="I290" s="428"/>
      <c r="J290" s="413"/>
      <c r="K290" s="406">
        <f t="shared" si="69"/>
        <v>344777.10999999993</v>
      </c>
      <c r="L290" s="406">
        <f t="shared" si="69"/>
        <v>415448.20370601717</v>
      </c>
      <c r="M290" s="453">
        <f t="shared" si="70"/>
        <v>0.70422254502648551</v>
      </c>
      <c r="N290" s="796"/>
      <c r="P290" s="399"/>
    </row>
    <row r="291" spans="1:16" s="645" customFormat="1" ht="15" customHeight="1" x14ac:dyDescent="0.25">
      <c r="A291" s="397"/>
      <c r="B291" s="1383" t="s">
        <v>2290</v>
      </c>
      <c r="C291" s="1383"/>
      <c r="D291" s="1383"/>
      <c r="E291" s="1383"/>
      <c r="F291" s="1383"/>
      <c r="G291" s="407"/>
      <c r="H291" s="407"/>
      <c r="I291" s="429"/>
      <c r="J291" s="414"/>
      <c r="K291" s="408">
        <f>K292+K293+K310+K314+K316+K320+K345+K347+K354+K356+K362+K384+K387+K389+K391</f>
        <v>344777.10999999993</v>
      </c>
      <c r="L291" s="408">
        <f>L292+L293+L310+L314+L316+L320+L345+L347+L354+L356+L362+L384+L387+L389+L391</f>
        <v>415448.20370601717</v>
      </c>
      <c r="M291" s="454">
        <f t="shared" si="70"/>
        <v>0.70422254502648551</v>
      </c>
      <c r="N291" s="796"/>
      <c r="P291" s="399"/>
    </row>
    <row r="292" spans="1:16" s="115" customFormat="1" ht="15" customHeight="1" x14ac:dyDescent="0.25">
      <c r="A292" s="396"/>
      <c r="B292" s="1398" t="s">
        <v>6986</v>
      </c>
      <c r="C292" s="1398"/>
      <c r="D292" s="1398"/>
      <c r="E292" s="854">
        <v>331900400000000</v>
      </c>
      <c r="F292" s="855" t="s">
        <v>5851</v>
      </c>
      <c r="G292" s="468">
        <v>1</v>
      </c>
      <c r="H292" s="468">
        <v>0</v>
      </c>
      <c r="I292" s="751"/>
      <c r="J292" s="878" t="s">
        <v>7055</v>
      </c>
      <c r="K292" s="789">
        <f>'Parâmetros financeiros Despesa'!E196</f>
        <v>0</v>
      </c>
      <c r="L292" s="789">
        <f>(('Parâmetros financeiros Despesa'!F196)*2.05+(('Parâmetros financeiros Despesa'!F196)*11.28)*(1+'Parâmetros financeiros Despesa'!F$4)*(1+'Parâmetros financeiros Despesa'!F$8))*(1+'Parâmetros financeiros Despesa'!F$80)</f>
        <v>27.357830962580255</v>
      </c>
      <c r="M292" s="799">
        <f t="shared" si="70"/>
        <v>4.6374015280388161E-5</v>
      </c>
      <c r="N292" s="894"/>
      <c r="P292" s="733"/>
    </row>
    <row r="293" spans="1:16" s="115" customFormat="1" ht="15" customHeight="1" x14ac:dyDescent="0.25">
      <c r="A293" s="396"/>
      <c r="B293" s="1398" t="s">
        <v>6987</v>
      </c>
      <c r="C293" s="1398"/>
      <c r="D293" s="1398"/>
      <c r="E293" s="854">
        <v>331901100000000</v>
      </c>
      <c r="F293" s="855" t="s">
        <v>5732</v>
      </c>
      <c r="G293" s="468">
        <v>1</v>
      </c>
      <c r="H293" s="468">
        <v>0</v>
      </c>
      <c r="I293" s="751"/>
      <c r="J293" s="878" t="s">
        <v>7055</v>
      </c>
      <c r="K293" s="789">
        <f>'Parâmetros financeiros Despesa'!E197</f>
        <v>183665.46249999999</v>
      </c>
      <c r="L293" s="789">
        <f>('Parâmetros financeiros Despesa'!F197)*2.05+(('Parâmetros financeiros Despesa'!F197)*11.28)*(1+'Parâmetros financeiros Despesa'!F$4)*(1+'Parâmetros financeiros Despesa'!F$8)</f>
        <v>213600.33953459375</v>
      </c>
      <c r="M293" s="799">
        <f t="shared" si="70"/>
        <v>0.36207203060147541</v>
      </c>
      <c r="N293" s="894"/>
      <c r="P293" s="733"/>
    </row>
    <row r="294" spans="1:16" s="645" customFormat="1" ht="15" customHeight="1" x14ac:dyDescent="0.25">
      <c r="A294" s="397"/>
      <c r="B294" s="599">
        <f>B293+1</f>
        <v>14101</v>
      </c>
      <c r="C294" s="600" t="s">
        <v>6062</v>
      </c>
      <c r="D294" s="600" t="str">
        <f>B293</f>
        <v>14100</v>
      </c>
      <c r="E294" s="417">
        <v>331901101010000</v>
      </c>
      <c r="F294" s="418" t="s">
        <v>6904</v>
      </c>
      <c r="G294" s="603">
        <v>1</v>
      </c>
      <c r="H294" s="603">
        <v>0</v>
      </c>
      <c r="I294" s="601">
        <v>311210101000000</v>
      </c>
      <c r="J294" s="602" t="s">
        <v>6023</v>
      </c>
      <c r="K294" s="891">
        <v>0</v>
      </c>
      <c r="L294" s="891">
        <v>0</v>
      </c>
      <c r="M294" s="996">
        <f t="shared" ref="M294:M309" si="71">L294/L$428</f>
        <v>0</v>
      </c>
      <c r="N294" s="796"/>
      <c r="P294" s="399"/>
    </row>
    <row r="295" spans="1:16" s="645" customFormat="1" ht="15" customHeight="1" x14ac:dyDescent="0.25">
      <c r="A295" s="397"/>
      <c r="B295" s="478">
        <f>B294+1</f>
        <v>14102</v>
      </c>
      <c r="C295" s="600" t="s">
        <v>6062</v>
      </c>
      <c r="D295" s="528" t="str">
        <f>D294</f>
        <v>14100</v>
      </c>
      <c r="E295" s="417">
        <v>331901101040000</v>
      </c>
      <c r="F295" s="418" t="s">
        <v>2256</v>
      </c>
      <c r="G295" s="603">
        <v>1</v>
      </c>
      <c r="H295" s="603">
        <v>0</v>
      </c>
      <c r="I295" s="601">
        <v>311210101000000</v>
      </c>
      <c r="J295" s="602" t="s">
        <v>6024</v>
      </c>
      <c r="K295" s="891">
        <v>0</v>
      </c>
      <c r="L295" s="891">
        <v>0</v>
      </c>
      <c r="M295" s="996">
        <f t="shared" si="71"/>
        <v>0</v>
      </c>
      <c r="N295" s="796"/>
      <c r="P295" s="399"/>
    </row>
    <row r="296" spans="1:16" s="645" customFormat="1" ht="15" customHeight="1" x14ac:dyDescent="0.25">
      <c r="A296" s="397"/>
      <c r="B296" s="478">
        <f t="shared" ref="B296:B309" si="72">B295+1</f>
        <v>14103</v>
      </c>
      <c r="C296" s="600" t="s">
        <v>6062</v>
      </c>
      <c r="D296" s="528" t="str">
        <f t="shared" ref="D296:D309" si="73">D295</f>
        <v>14100</v>
      </c>
      <c r="E296" s="417">
        <v>331901104000000</v>
      </c>
      <c r="F296" s="418" t="s">
        <v>1008</v>
      </c>
      <c r="G296" s="603">
        <v>1</v>
      </c>
      <c r="H296" s="603">
        <v>0</v>
      </c>
      <c r="I296" s="601">
        <v>311210102000000</v>
      </c>
      <c r="J296" s="602" t="s">
        <v>6025</v>
      </c>
      <c r="K296" s="891">
        <v>0</v>
      </c>
      <c r="L296" s="891">
        <v>0</v>
      </c>
      <c r="M296" s="996">
        <f t="shared" si="71"/>
        <v>0</v>
      </c>
      <c r="N296" s="796"/>
      <c r="P296" s="399"/>
    </row>
    <row r="297" spans="1:16" s="645" customFormat="1" ht="15" customHeight="1" x14ac:dyDescent="0.25">
      <c r="A297" s="397"/>
      <c r="B297" s="478">
        <f t="shared" si="72"/>
        <v>14104</v>
      </c>
      <c r="C297" s="600" t="s">
        <v>6062</v>
      </c>
      <c r="D297" s="528" t="str">
        <f t="shared" si="73"/>
        <v>14100</v>
      </c>
      <c r="E297" s="417">
        <v>331901131000000</v>
      </c>
      <c r="F297" s="418" t="s">
        <v>5928</v>
      </c>
      <c r="G297" s="603">
        <v>1</v>
      </c>
      <c r="H297" s="603">
        <v>0</v>
      </c>
      <c r="I297" s="601">
        <v>311210114000000</v>
      </c>
      <c r="J297" s="602" t="s">
        <v>6033</v>
      </c>
      <c r="K297" s="891">
        <v>0</v>
      </c>
      <c r="L297" s="891">
        <v>0</v>
      </c>
      <c r="M297" s="996">
        <f t="shared" si="71"/>
        <v>0</v>
      </c>
      <c r="N297" s="796"/>
      <c r="P297" s="399"/>
    </row>
    <row r="298" spans="1:16" s="645" customFormat="1" ht="15" customHeight="1" x14ac:dyDescent="0.25">
      <c r="A298" s="397"/>
      <c r="B298" s="478"/>
      <c r="C298" s="600"/>
      <c r="D298" s="528"/>
      <c r="E298" s="417">
        <v>331901133000000</v>
      </c>
      <c r="F298" s="418" t="s">
        <v>2226</v>
      </c>
      <c r="G298" s="603">
        <v>1</v>
      </c>
      <c r="H298" s="603">
        <v>0</v>
      </c>
      <c r="I298" s="601">
        <v>311210116000000</v>
      </c>
      <c r="J298" s="602" t="s">
        <v>6033</v>
      </c>
      <c r="K298" s="891">
        <v>0</v>
      </c>
      <c r="L298" s="891">
        <v>0</v>
      </c>
      <c r="M298" s="996">
        <f t="shared" si="71"/>
        <v>0</v>
      </c>
      <c r="N298" s="796"/>
      <c r="P298" s="399"/>
    </row>
    <row r="299" spans="1:16" s="645" customFormat="1" ht="15" customHeight="1" x14ac:dyDescent="0.25">
      <c r="A299" s="397"/>
      <c r="B299" s="478">
        <f>B297+1</f>
        <v>14105</v>
      </c>
      <c r="C299" s="600" t="s">
        <v>6062</v>
      </c>
      <c r="D299" s="528" t="str">
        <f>D297</f>
        <v>14100</v>
      </c>
      <c r="E299" s="417">
        <v>331901137000000</v>
      </c>
      <c r="F299" s="418" t="s">
        <v>5929</v>
      </c>
      <c r="G299" s="603">
        <v>1</v>
      </c>
      <c r="H299" s="603">
        <v>0</v>
      </c>
      <c r="I299" s="601">
        <v>311110118000000</v>
      </c>
      <c r="J299" s="602" t="s">
        <v>6026</v>
      </c>
      <c r="K299" s="891">
        <v>0</v>
      </c>
      <c r="L299" s="891">
        <v>0</v>
      </c>
      <c r="M299" s="996">
        <f t="shared" si="71"/>
        <v>0</v>
      </c>
      <c r="N299" s="796"/>
      <c r="P299" s="399"/>
    </row>
    <row r="300" spans="1:16" s="645" customFormat="1" ht="15" customHeight="1" x14ac:dyDescent="0.25">
      <c r="A300" s="397"/>
      <c r="B300" s="478">
        <f t="shared" si="72"/>
        <v>14106</v>
      </c>
      <c r="C300" s="600" t="s">
        <v>6062</v>
      </c>
      <c r="D300" s="528" t="str">
        <f t="shared" si="73"/>
        <v>14100</v>
      </c>
      <c r="E300" s="417">
        <v>331901142000000</v>
      </c>
      <c r="F300" s="418" t="s">
        <v>6075</v>
      </c>
      <c r="G300" s="603">
        <v>1</v>
      </c>
      <c r="H300" s="603">
        <v>0</v>
      </c>
      <c r="I300" s="601">
        <v>837</v>
      </c>
      <c r="J300" s="602" t="s">
        <v>6027</v>
      </c>
      <c r="K300" s="891">
        <v>0</v>
      </c>
      <c r="L300" s="891">
        <v>0</v>
      </c>
      <c r="M300" s="996">
        <f t="shared" si="71"/>
        <v>0</v>
      </c>
      <c r="N300" s="796"/>
      <c r="P300" s="399"/>
    </row>
    <row r="301" spans="1:16" s="645" customFormat="1" ht="15" customHeight="1" x14ac:dyDescent="0.25">
      <c r="A301" s="397"/>
      <c r="B301" s="478">
        <f t="shared" si="72"/>
        <v>14107</v>
      </c>
      <c r="C301" s="600" t="s">
        <v>6062</v>
      </c>
      <c r="D301" s="528" t="str">
        <f t="shared" si="73"/>
        <v>14100</v>
      </c>
      <c r="E301" s="417">
        <v>331901142000000</v>
      </c>
      <c r="F301" s="418" t="s">
        <v>6076</v>
      </c>
      <c r="G301" s="603">
        <v>1</v>
      </c>
      <c r="H301" s="603">
        <v>0</v>
      </c>
      <c r="I301" s="601">
        <v>837</v>
      </c>
      <c r="J301" s="602" t="s">
        <v>6028</v>
      </c>
      <c r="K301" s="891">
        <v>0</v>
      </c>
      <c r="L301" s="891">
        <v>0</v>
      </c>
      <c r="M301" s="996">
        <f t="shared" si="71"/>
        <v>0</v>
      </c>
      <c r="N301" s="796"/>
      <c r="P301" s="399"/>
    </row>
    <row r="302" spans="1:16" s="645" customFormat="1" ht="15" customHeight="1" x14ac:dyDescent="0.25">
      <c r="A302" s="397"/>
      <c r="B302" s="478">
        <f t="shared" si="72"/>
        <v>14108</v>
      </c>
      <c r="C302" s="600" t="s">
        <v>6062</v>
      </c>
      <c r="D302" s="528" t="str">
        <f t="shared" si="73"/>
        <v>14100</v>
      </c>
      <c r="E302" s="417">
        <v>331901142000000</v>
      </c>
      <c r="F302" s="418" t="s">
        <v>6990</v>
      </c>
      <c r="G302" s="603">
        <v>1</v>
      </c>
      <c r="H302" s="603">
        <v>0</v>
      </c>
      <c r="I302" s="601">
        <v>837</v>
      </c>
      <c r="J302" s="602" t="s">
        <v>6029</v>
      </c>
      <c r="K302" s="891">
        <v>0</v>
      </c>
      <c r="L302" s="891">
        <v>0</v>
      </c>
      <c r="M302" s="996">
        <f t="shared" si="71"/>
        <v>0</v>
      </c>
      <c r="N302" s="796"/>
      <c r="P302" s="399"/>
    </row>
    <row r="303" spans="1:16" s="645" customFormat="1" ht="15" customHeight="1" x14ac:dyDescent="0.25">
      <c r="A303" s="397"/>
      <c r="B303" s="478">
        <f t="shared" si="72"/>
        <v>14109</v>
      </c>
      <c r="C303" s="600" t="s">
        <v>6062</v>
      </c>
      <c r="D303" s="528" t="str">
        <f t="shared" si="73"/>
        <v>14100</v>
      </c>
      <c r="E303" s="417">
        <v>331901143000000</v>
      </c>
      <c r="F303" s="418" t="s">
        <v>6077</v>
      </c>
      <c r="G303" s="603">
        <v>1</v>
      </c>
      <c r="H303" s="603">
        <v>0</v>
      </c>
      <c r="I303" s="601">
        <v>828</v>
      </c>
      <c r="J303" s="602" t="s">
        <v>6030</v>
      </c>
      <c r="K303" s="891">
        <v>0</v>
      </c>
      <c r="L303" s="891">
        <v>0</v>
      </c>
      <c r="M303" s="996">
        <f t="shared" si="71"/>
        <v>0</v>
      </c>
      <c r="N303" s="796"/>
      <c r="P303" s="399"/>
    </row>
    <row r="304" spans="1:16" s="645" customFormat="1" ht="15" customHeight="1" x14ac:dyDescent="0.25">
      <c r="A304" s="397"/>
      <c r="B304" s="478">
        <f t="shared" si="72"/>
        <v>14110</v>
      </c>
      <c r="C304" s="600" t="s">
        <v>6062</v>
      </c>
      <c r="D304" s="528" t="str">
        <f t="shared" si="73"/>
        <v>14100</v>
      </c>
      <c r="E304" s="417">
        <v>331901143000000</v>
      </c>
      <c r="F304" s="418" t="s">
        <v>6078</v>
      </c>
      <c r="G304" s="603">
        <v>1</v>
      </c>
      <c r="H304" s="603">
        <v>0</v>
      </c>
      <c r="I304" s="601">
        <v>828</v>
      </c>
      <c r="J304" s="602" t="s">
        <v>6031</v>
      </c>
      <c r="K304" s="891">
        <v>0</v>
      </c>
      <c r="L304" s="891">
        <v>0</v>
      </c>
      <c r="M304" s="996">
        <f t="shared" si="71"/>
        <v>0</v>
      </c>
      <c r="N304" s="796"/>
      <c r="P304" s="399"/>
    </row>
    <row r="305" spans="1:16" s="645" customFormat="1" ht="15" customHeight="1" x14ac:dyDescent="0.25">
      <c r="A305" s="397"/>
      <c r="B305" s="478">
        <f t="shared" si="72"/>
        <v>14111</v>
      </c>
      <c r="C305" s="600" t="s">
        <v>6062</v>
      </c>
      <c r="D305" s="528" t="str">
        <f t="shared" si="73"/>
        <v>14100</v>
      </c>
      <c r="E305" s="417">
        <v>331901143000000</v>
      </c>
      <c r="F305" s="418" t="s">
        <v>6989</v>
      </c>
      <c r="G305" s="603">
        <v>1</v>
      </c>
      <c r="H305" s="603">
        <v>0</v>
      </c>
      <c r="I305" s="601">
        <v>828</v>
      </c>
      <c r="J305" s="602" t="s">
        <v>6032</v>
      </c>
      <c r="K305" s="891">
        <v>0</v>
      </c>
      <c r="L305" s="891">
        <v>0</v>
      </c>
      <c r="M305" s="996">
        <f t="shared" si="71"/>
        <v>0</v>
      </c>
      <c r="N305" s="796"/>
      <c r="P305" s="399"/>
    </row>
    <row r="306" spans="1:16" s="645" customFormat="1" ht="15" customHeight="1" x14ac:dyDescent="0.25">
      <c r="A306" s="397"/>
      <c r="B306" s="478">
        <f t="shared" si="72"/>
        <v>14112</v>
      </c>
      <c r="C306" s="600" t="s">
        <v>6062</v>
      </c>
      <c r="D306" s="528" t="str">
        <f t="shared" si="73"/>
        <v>14100</v>
      </c>
      <c r="E306" s="417">
        <v>331901145000000</v>
      </c>
      <c r="F306" s="418" t="s">
        <v>6079</v>
      </c>
      <c r="G306" s="603">
        <v>1</v>
      </c>
      <c r="H306" s="603">
        <v>0</v>
      </c>
      <c r="I306" s="601">
        <v>837</v>
      </c>
      <c r="J306" s="602" t="s">
        <v>6027</v>
      </c>
      <c r="K306" s="891">
        <v>0</v>
      </c>
      <c r="L306" s="891">
        <v>0</v>
      </c>
      <c r="M306" s="996">
        <f t="shared" si="71"/>
        <v>0</v>
      </c>
      <c r="N306" s="796"/>
      <c r="P306" s="399"/>
    </row>
    <row r="307" spans="1:16" s="645" customFormat="1" ht="15" customHeight="1" x14ac:dyDescent="0.25">
      <c r="A307" s="397"/>
      <c r="B307" s="478">
        <f t="shared" si="72"/>
        <v>14113</v>
      </c>
      <c r="C307" s="600" t="s">
        <v>6062</v>
      </c>
      <c r="D307" s="528" t="str">
        <f t="shared" si="73"/>
        <v>14100</v>
      </c>
      <c r="E307" s="417">
        <v>331901145000000</v>
      </c>
      <c r="F307" s="418" t="s">
        <v>6080</v>
      </c>
      <c r="G307" s="603">
        <v>1</v>
      </c>
      <c r="H307" s="603">
        <v>0</v>
      </c>
      <c r="I307" s="601">
        <v>837</v>
      </c>
      <c r="J307" s="602" t="s">
        <v>6028</v>
      </c>
      <c r="K307" s="891">
        <v>0</v>
      </c>
      <c r="L307" s="891">
        <v>0</v>
      </c>
      <c r="M307" s="996">
        <f t="shared" si="71"/>
        <v>0</v>
      </c>
      <c r="N307" s="796"/>
      <c r="P307" s="399"/>
    </row>
    <row r="308" spans="1:16" s="645" customFormat="1" ht="15" customHeight="1" x14ac:dyDescent="0.25">
      <c r="A308" s="397"/>
      <c r="B308" s="478">
        <f t="shared" si="72"/>
        <v>14114</v>
      </c>
      <c r="C308" s="600" t="s">
        <v>6062</v>
      </c>
      <c r="D308" s="528" t="str">
        <f t="shared" si="73"/>
        <v>14100</v>
      </c>
      <c r="E308" s="417">
        <v>331901145000000</v>
      </c>
      <c r="F308" s="418" t="s">
        <v>6988</v>
      </c>
      <c r="G308" s="603">
        <v>1</v>
      </c>
      <c r="H308" s="603">
        <v>0</v>
      </c>
      <c r="I308" s="601">
        <v>837</v>
      </c>
      <c r="J308" s="602" t="s">
        <v>6029</v>
      </c>
      <c r="K308" s="891">
        <v>0</v>
      </c>
      <c r="L308" s="891">
        <v>0</v>
      </c>
      <c r="M308" s="996">
        <f t="shared" si="71"/>
        <v>0</v>
      </c>
      <c r="N308" s="796"/>
      <c r="P308" s="399"/>
    </row>
    <row r="309" spans="1:16" s="645" customFormat="1" ht="15" customHeight="1" x14ac:dyDescent="0.25">
      <c r="A309" s="397"/>
      <c r="B309" s="478">
        <f t="shared" si="72"/>
        <v>14115</v>
      </c>
      <c r="C309" s="600" t="s">
        <v>6062</v>
      </c>
      <c r="D309" s="528" t="str">
        <f t="shared" si="73"/>
        <v>14100</v>
      </c>
      <c r="E309" s="417">
        <v>331901174050000</v>
      </c>
      <c r="F309" s="418" t="s">
        <v>6991</v>
      </c>
      <c r="G309" s="603">
        <v>1</v>
      </c>
      <c r="H309" s="603">
        <v>0</v>
      </c>
      <c r="I309" s="601">
        <v>311210131000000</v>
      </c>
      <c r="J309" s="602" t="s">
        <v>6035</v>
      </c>
      <c r="K309" s="891">
        <v>0</v>
      </c>
      <c r="L309" s="891">
        <v>0</v>
      </c>
      <c r="M309" s="996">
        <f t="shared" si="71"/>
        <v>0</v>
      </c>
      <c r="N309" s="796"/>
      <c r="P309" s="399"/>
    </row>
    <row r="310" spans="1:16" s="115" customFormat="1" ht="15" customHeight="1" x14ac:dyDescent="0.25">
      <c r="A310" s="396"/>
      <c r="B310" s="1398" t="s">
        <v>7056</v>
      </c>
      <c r="C310" s="1398"/>
      <c r="D310" s="1398"/>
      <c r="E310" s="854">
        <v>331901300000000</v>
      </c>
      <c r="F310" s="855" t="s">
        <v>5735</v>
      </c>
      <c r="G310" s="468">
        <v>1</v>
      </c>
      <c r="H310" s="468">
        <v>0</v>
      </c>
      <c r="I310" s="751"/>
      <c r="J310" s="878" t="s">
        <v>7055</v>
      </c>
      <c r="K310" s="789">
        <f>'Parâmetros financeiros Despesa'!E198</f>
        <v>35670.017500000002</v>
      </c>
      <c r="L310" s="789">
        <f>(L314+L293)*'Parâmetros financeiros Despesa'!F$80</f>
        <v>51128.598102024502</v>
      </c>
      <c r="M310" s="799">
        <f>L310/L$428</f>
        <v>8.666763066455048E-2</v>
      </c>
      <c r="N310" s="894"/>
      <c r="P310" s="733"/>
    </row>
    <row r="311" spans="1:16" s="645" customFormat="1" ht="15" customHeight="1" x14ac:dyDescent="0.25">
      <c r="A311" s="397"/>
      <c r="B311" s="599">
        <f>B310+1</f>
        <v>14201</v>
      </c>
      <c r="C311" s="600" t="s">
        <v>6062</v>
      </c>
      <c r="D311" s="528" t="str">
        <f>B310</f>
        <v>14200</v>
      </c>
      <c r="E311" s="417">
        <v>331901302010000</v>
      </c>
      <c r="F311" s="418" t="s">
        <v>2261</v>
      </c>
      <c r="G311" s="603">
        <v>1</v>
      </c>
      <c r="H311" s="603">
        <v>0</v>
      </c>
      <c r="I311" s="601">
        <v>312219900000000</v>
      </c>
      <c r="J311" s="602" t="s">
        <v>6036</v>
      </c>
      <c r="K311" s="891">
        <v>0</v>
      </c>
      <c r="L311" s="891">
        <v>0</v>
      </c>
      <c r="M311" s="996">
        <f t="shared" ref="M311:M313" si="74">L311/L$428</f>
        <v>0</v>
      </c>
      <c r="N311" s="796"/>
      <c r="P311" s="399"/>
    </row>
    <row r="312" spans="1:16" s="645" customFormat="1" ht="15" customHeight="1" x14ac:dyDescent="0.25">
      <c r="A312" s="397"/>
      <c r="B312" s="599">
        <f>B311+1</f>
        <v>14202</v>
      </c>
      <c r="C312" s="600" t="s">
        <v>6062</v>
      </c>
      <c r="D312" s="528" t="str">
        <f>D311</f>
        <v>14200</v>
      </c>
      <c r="E312" s="417">
        <v>331901302010000</v>
      </c>
      <c r="F312" s="418" t="s">
        <v>2259</v>
      </c>
      <c r="G312" s="603">
        <v>1</v>
      </c>
      <c r="H312" s="603">
        <v>0</v>
      </c>
      <c r="I312" s="601">
        <v>312219900000000</v>
      </c>
      <c r="J312" s="602" t="s">
        <v>6037</v>
      </c>
      <c r="K312" s="891">
        <v>0</v>
      </c>
      <c r="L312" s="891">
        <v>0</v>
      </c>
      <c r="M312" s="996">
        <f t="shared" si="74"/>
        <v>0</v>
      </c>
      <c r="N312" s="796"/>
      <c r="P312" s="399"/>
    </row>
    <row r="313" spans="1:16" s="645" customFormat="1" ht="15" customHeight="1" x14ac:dyDescent="0.25">
      <c r="A313" s="397"/>
      <c r="B313" s="599">
        <f>B312+1</f>
        <v>14203</v>
      </c>
      <c r="C313" s="600" t="s">
        <v>6062</v>
      </c>
      <c r="D313" s="528" t="str">
        <f>D312</f>
        <v>14200</v>
      </c>
      <c r="E313" s="417">
        <v>331901302010000</v>
      </c>
      <c r="F313" s="418" t="s">
        <v>6992</v>
      </c>
      <c r="G313" s="603">
        <v>1</v>
      </c>
      <c r="H313" s="603">
        <v>0</v>
      </c>
      <c r="I313" s="601">
        <v>312219900000000</v>
      </c>
      <c r="J313" s="602" t="s">
        <v>6038</v>
      </c>
      <c r="K313" s="891">
        <v>0</v>
      </c>
      <c r="L313" s="891">
        <v>0</v>
      </c>
      <c r="M313" s="996">
        <f t="shared" si="74"/>
        <v>0</v>
      </c>
      <c r="N313" s="796"/>
      <c r="P313" s="399"/>
    </row>
    <row r="314" spans="1:16" s="115" customFormat="1" ht="15" customHeight="1" x14ac:dyDescent="0.25">
      <c r="A314" s="396"/>
      <c r="B314" s="1398" t="s">
        <v>7057</v>
      </c>
      <c r="C314" s="1398"/>
      <c r="D314" s="1398"/>
      <c r="E314" s="854">
        <v>331901600000000</v>
      </c>
      <c r="F314" s="855" t="s">
        <v>5736</v>
      </c>
      <c r="G314" s="468">
        <v>1</v>
      </c>
      <c r="H314" s="468">
        <v>0</v>
      </c>
      <c r="I314" s="751"/>
      <c r="J314" s="878" t="s">
        <v>7055</v>
      </c>
      <c r="K314" s="789">
        <f>'Parâmetros financeiros Despesa'!E199</f>
        <v>81.75</v>
      </c>
      <c r="L314" s="789">
        <f>('Parâmetros financeiros Despesa'!F199)*2.05+(('Parâmetros financeiros Despesa'!F199)*11.28)*(1+'Parâmetros financeiros Despesa'!F$4)*(1+'Parâmetros financeiros Despesa'!F$8)</f>
        <v>1140.8891482982897</v>
      </c>
      <c r="M314" s="799">
        <f>L314/L$428</f>
        <v>1.9339110205330377E-3</v>
      </c>
      <c r="N314" s="894"/>
      <c r="P314" s="733"/>
    </row>
    <row r="315" spans="1:16" s="645" customFormat="1" ht="15" customHeight="1" x14ac:dyDescent="0.25">
      <c r="A315" s="397"/>
      <c r="B315" s="599" t="s">
        <v>6974</v>
      </c>
      <c r="C315" s="600" t="s">
        <v>6062</v>
      </c>
      <c r="D315" s="528">
        <v>7400</v>
      </c>
      <c r="E315" s="417">
        <v>331901644000000</v>
      </c>
      <c r="F315" s="418" t="s">
        <v>2155</v>
      </c>
      <c r="G315" s="603">
        <v>1</v>
      </c>
      <c r="H315" s="603">
        <v>0</v>
      </c>
      <c r="I315" s="601">
        <v>311210203000000</v>
      </c>
      <c r="J315" s="602" t="s">
        <v>6039</v>
      </c>
      <c r="K315" s="891">
        <v>0</v>
      </c>
      <c r="L315" s="891">
        <v>0</v>
      </c>
      <c r="M315" s="996">
        <f t="shared" ref="M315" si="75">L315/L$428</f>
        <v>0</v>
      </c>
      <c r="N315" s="796"/>
      <c r="P315" s="399"/>
    </row>
    <row r="316" spans="1:16" s="115" customFormat="1" ht="15" customHeight="1" x14ac:dyDescent="0.25">
      <c r="A316" s="396"/>
      <c r="B316" s="1398" t="s">
        <v>7058</v>
      </c>
      <c r="C316" s="1398"/>
      <c r="D316" s="1398"/>
      <c r="E316" s="854">
        <v>333901400000000</v>
      </c>
      <c r="F316" s="855" t="s">
        <v>6568</v>
      </c>
      <c r="G316" s="468">
        <v>1</v>
      </c>
      <c r="H316" s="468">
        <v>0</v>
      </c>
      <c r="I316" s="751"/>
      <c r="J316" s="878" t="s">
        <v>7054</v>
      </c>
      <c r="K316" s="789">
        <f>'Parâmetros financeiros Despesa'!E200</f>
        <v>2880</v>
      </c>
      <c r="L316" s="789">
        <f>('Parâmetros financeiros Despesa'!F200)*2+(('Parâmetros financeiros Despesa'!F200)*10)*(1+'Parâmetros financeiros Despesa'!F$4)*(1+'Parâmetros financeiros Despesa'!F$8)</f>
        <v>3013.1554383454741</v>
      </c>
      <c r="M316" s="799">
        <f>L316/L$428</f>
        <v>5.1075729114322616E-3</v>
      </c>
      <c r="N316" s="894"/>
      <c r="O316" s="796"/>
      <c r="P316" s="733"/>
    </row>
    <row r="317" spans="1:16" s="645" customFormat="1" ht="15" customHeight="1" x14ac:dyDescent="0.25">
      <c r="A317" s="397"/>
      <c r="B317" s="599">
        <f>B316+1</f>
        <v>14401</v>
      </c>
      <c r="C317" s="600" t="s">
        <v>6062</v>
      </c>
      <c r="D317" s="528" t="str">
        <f>B316</f>
        <v>14400</v>
      </c>
      <c r="E317" s="417">
        <v>333901414010000</v>
      </c>
      <c r="F317" s="418" t="s">
        <v>2156</v>
      </c>
      <c r="G317" s="603">
        <v>1</v>
      </c>
      <c r="H317" s="603">
        <v>0</v>
      </c>
      <c r="I317" s="601">
        <v>332110100000000</v>
      </c>
      <c r="J317" s="602" t="s">
        <v>6090</v>
      </c>
      <c r="K317" s="891">
        <v>0</v>
      </c>
      <c r="L317" s="891">
        <v>0</v>
      </c>
      <c r="M317" s="996">
        <f t="shared" ref="M317:M319" si="76">L317/L$428</f>
        <v>0</v>
      </c>
      <c r="N317" s="796"/>
      <c r="P317" s="399"/>
    </row>
    <row r="318" spans="1:16" s="645" customFormat="1" ht="15" customHeight="1" x14ac:dyDescent="0.25">
      <c r="A318" s="397"/>
      <c r="B318" s="599">
        <f>B317+1</f>
        <v>14402</v>
      </c>
      <c r="C318" s="600" t="s">
        <v>6062</v>
      </c>
      <c r="D318" s="528">
        <f>B317</f>
        <v>14401</v>
      </c>
      <c r="E318" s="417">
        <v>333901414030000</v>
      </c>
      <c r="F318" s="418" t="s">
        <v>2157</v>
      </c>
      <c r="G318" s="603">
        <v>1</v>
      </c>
      <c r="H318" s="603">
        <v>0</v>
      </c>
      <c r="I318" s="601">
        <v>332110100000000</v>
      </c>
      <c r="J318" s="602" t="s">
        <v>6088</v>
      </c>
      <c r="K318" s="891">
        <v>0</v>
      </c>
      <c r="L318" s="891">
        <v>0</v>
      </c>
      <c r="M318" s="996">
        <f t="shared" si="76"/>
        <v>0</v>
      </c>
      <c r="N318" s="796"/>
      <c r="P318" s="399"/>
    </row>
    <row r="319" spans="1:16" s="645" customFormat="1" ht="15" customHeight="1" x14ac:dyDescent="0.25">
      <c r="A319" s="397"/>
      <c r="B319" s="599">
        <f>B318+1</f>
        <v>14403</v>
      </c>
      <c r="C319" s="600" t="s">
        <v>6062</v>
      </c>
      <c r="D319" s="528">
        <f>D318</f>
        <v>14401</v>
      </c>
      <c r="E319" s="417">
        <v>333901414040000</v>
      </c>
      <c r="F319" s="418" t="s">
        <v>6993</v>
      </c>
      <c r="G319" s="603">
        <v>1</v>
      </c>
      <c r="H319" s="603">
        <v>0</v>
      </c>
      <c r="I319" s="601">
        <v>332110100000000</v>
      </c>
      <c r="J319" s="602" t="s">
        <v>6086</v>
      </c>
      <c r="K319" s="891">
        <v>0</v>
      </c>
      <c r="L319" s="891">
        <v>0</v>
      </c>
      <c r="M319" s="996">
        <f t="shared" si="76"/>
        <v>0</v>
      </c>
      <c r="N319" s="796"/>
      <c r="P319" s="399"/>
    </row>
    <row r="320" spans="1:16" s="115" customFormat="1" ht="15" customHeight="1" x14ac:dyDescent="0.25">
      <c r="A320" s="396"/>
      <c r="B320" s="1396">
        <v>14500</v>
      </c>
      <c r="C320" s="1396"/>
      <c r="D320" s="1396"/>
      <c r="E320" s="854">
        <v>333903000000000</v>
      </c>
      <c r="F320" s="855" t="s">
        <v>6994</v>
      </c>
      <c r="G320" s="468">
        <v>1</v>
      </c>
      <c r="H320" s="468">
        <v>0</v>
      </c>
      <c r="I320" s="751"/>
      <c r="J320" s="878" t="s">
        <v>7054</v>
      </c>
      <c r="K320" s="789">
        <f>'Parâmetros financeiros Despesa'!E201+'Parâmetros financeiros Despesa'!E202</f>
        <v>8403.630000000001</v>
      </c>
      <c r="L320" s="789">
        <f>('Parâmetros financeiros Despesa'!F201+'Parâmetros financeiros Despesa'!F202)*(1+'Parâmetros financeiros Despesa'!F$4)*(1+'Parâmetros financeiros Despesa'!F$7)</f>
        <v>11343.405503345</v>
      </c>
      <c r="M320" s="799">
        <f>L320/L$428</f>
        <v>1.9228105505267247E-2</v>
      </c>
      <c r="N320" s="894"/>
      <c r="O320" s="796"/>
      <c r="P320" s="733"/>
    </row>
    <row r="321" spans="1:16" s="645" customFormat="1" ht="15" customHeight="1" x14ac:dyDescent="0.25">
      <c r="A321" s="397"/>
      <c r="B321" s="478">
        <v>7701</v>
      </c>
      <c r="C321" s="528" t="s">
        <v>6062</v>
      </c>
      <c r="D321" s="528">
        <v>14500</v>
      </c>
      <c r="E321" s="417">
        <v>333903004000000</v>
      </c>
      <c r="F321" s="418" t="s">
        <v>2164</v>
      </c>
      <c r="G321" s="603">
        <v>1</v>
      </c>
      <c r="H321" s="603">
        <v>0</v>
      </c>
      <c r="I321" s="601">
        <v>331110300000000</v>
      </c>
      <c r="J321" s="602" t="s">
        <v>6095</v>
      </c>
      <c r="K321" s="891">
        <v>0</v>
      </c>
      <c r="L321" s="891">
        <v>0</v>
      </c>
      <c r="M321" s="996">
        <f t="shared" ref="M321:M344" si="77">L321/L$428</f>
        <v>0</v>
      </c>
      <c r="N321" s="796"/>
      <c r="P321" s="399"/>
    </row>
    <row r="322" spans="1:16" s="645" customFormat="1" ht="15" customHeight="1" x14ac:dyDescent="0.25">
      <c r="A322" s="397"/>
      <c r="B322" s="478">
        <f t="shared" ref="B322:B344" si="78">B321+1</f>
        <v>7702</v>
      </c>
      <c r="C322" s="528" t="s">
        <v>6062</v>
      </c>
      <c r="D322" s="528">
        <f t="shared" ref="D322:D344" si="79">D321</f>
        <v>14500</v>
      </c>
      <c r="E322" s="417">
        <v>333903004000000</v>
      </c>
      <c r="F322" s="418" t="s">
        <v>5747</v>
      </c>
      <c r="G322" s="603">
        <v>1</v>
      </c>
      <c r="H322" s="603">
        <v>0</v>
      </c>
      <c r="I322" s="601">
        <v>1322</v>
      </c>
      <c r="J322" s="602" t="s">
        <v>6095</v>
      </c>
      <c r="K322" s="891">
        <v>0</v>
      </c>
      <c r="L322" s="891">
        <v>0</v>
      </c>
      <c r="M322" s="996">
        <f t="shared" si="77"/>
        <v>0</v>
      </c>
      <c r="N322" s="796"/>
      <c r="P322" s="399"/>
    </row>
    <row r="323" spans="1:16" s="645" customFormat="1" ht="15" customHeight="1" x14ac:dyDescent="0.25">
      <c r="A323" s="397"/>
      <c r="B323" s="478">
        <f t="shared" si="78"/>
        <v>7703</v>
      </c>
      <c r="C323" s="528" t="s">
        <v>6062</v>
      </c>
      <c r="D323" s="528">
        <f t="shared" si="79"/>
        <v>14500</v>
      </c>
      <c r="E323" s="417">
        <v>333903007000000</v>
      </c>
      <c r="F323" s="418" t="s">
        <v>2267</v>
      </c>
      <c r="G323" s="603">
        <v>1</v>
      </c>
      <c r="H323" s="603">
        <v>0</v>
      </c>
      <c r="I323" s="601">
        <v>331110600000000</v>
      </c>
      <c r="J323" s="602" t="s">
        <v>6096</v>
      </c>
      <c r="K323" s="891">
        <v>0</v>
      </c>
      <c r="L323" s="891">
        <v>0</v>
      </c>
      <c r="M323" s="996">
        <f t="shared" si="77"/>
        <v>0</v>
      </c>
      <c r="N323" s="796"/>
      <c r="P323" s="399"/>
    </row>
    <row r="324" spans="1:16" s="645" customFormat="1" ht="15" customHeight="1" x14ac:dyDescent="0.25">
      <c r="A324" s="397"/>
      <c r="B324" s="478">
        <f>B323+1</f>
        <v>7704</v>
      </c>
      <c r="C324" s="528" t="s">
        <v>6062</v>
      </c>
      <c r="D324" s="528">
        <f>D323</f>
        <v>14500</v>
      </c>
      <c r="E324" s="417">
        <v>333903007000000</v>
      </c>
      <c r="F324" s="418" t="s">
        <v>5749</v>
      </c>
      <c r="G324" s="603">
        <v>1</v>
      </c>
      <c r="H324" s="603">
        <v>0</v>
      </c>
      <c r="I324" s="601">
        <v>30</v>
      </c>
      <c r="J324" s="602" t="s">
        <v>6096</v>
      </c>
      <c r="K324" s="891">
        <v>0</v>
      </c>
      <c r="L324" s="891">
        <v>0</v>
      </c>
      <c r="M324" s="996">
        <f t="shared" si="77"/>
        <v>0</v>
      </c>
      <c r="N324" s="796"/>
      <c r="P324" s="399"/>
    </row>
    <row r="325" spans="1:16" s="645" customFormat="1" ht="15" customHeight="1" x14ac:dyDescent="0.25">
      <c r="A325" s="397"/>
      <c r="B325" s="478">
        <f>B324+1</f>
        <v>7705</v>
      </c>
      <c r="C325" s="528" t="s">
        <v>6062</v>
      </c>
      <c r="D325" s="528">
        <f>D324</f>
        <v>14500</v>
      </c>
      <c r="E325" s="417">
        <v>333903007000000</v>
      </c>
      <c r="F325" s="418" t="s">
        <v>6923</v>
      </c>
      <c r="G325" s="603">
        <v>1</v>
      </c>
      <c r="H325" s="603">
        <v>0</v>
      </c>
      <c r="I325" s="601">
        <v>331110600000000</v>
      </c>
      <c r="J325" s="602" t="s">
        <v>6096</v>
      </c>
      <c r="K325" s="891">
        <v>0</v>
      </c>
      <c r="L325" s="891">
        <v>0</v>
      </c>
      <c r="M325" s="996">
        <f t="shared" si="77"/>
        <v>0</v>
      </c>
      <c r="N325" s="796"/>
      <c r="P325" s="399"/>
    </row>
    <row r="326" spans="1:16" s="645" customFormat="1" ht="15" customHeight="1" x14ac:dyDescent="0.25">
      <c r="A326" s="397"/>
      <c r="B326" s="478">
        <f>B325+1</f>
        <v>7706</v>
      </c>
      <c r="C326" s="528" t="s">
        <v>6062</v>
      </c>
      <c r="D326" s="528">
        <f>D325</f>
        <v>14500</v>
      </c>
      <c r="E326" s="417">
        <v>333903007000000</v>
      </c>
      <c r="F326" s="418" t="s">
        <v>6924</v>
      </c>
      <c r="G326" s="603">
        <v>1</v>
      </c>
      <c r="H326" s="603">
        <v>0</v>
      </c>
      <c r="I326" s="601">
        <v>30</v>
      </c>
      <c r="J326" s="602" t="s">
        <v>6096</v>
      </c>
      <c r="K326" s="891">
        <v>0</v>
      </c>
      <c r="L326" s="891">
        <v>0</v>
      </c>
      <c r="M326" s="996">
        <f t="shared" si="77"/>
        <v>0</v>
      </c>
      <c r="N326" s="796"/>
      <c r="P326" s="399"/>
    </row>
    <row r="327" spans="1:16" s="645" customFormat="1" ht="15" customHeight="1" x14ac:dyDescent="0.25">
      <c r="A327" s="397"/>
      <c r="B327" s="478">
        <f>B326+1</f>
        <v>7707</v>
      </c>
      <c r="C327" s="528" t="s">
        <v>6062</v>
      </c>
      <c r="D327" s="528">
        <f>D326</f>
        <v>14500</v>
      </c>
      <c r="E327" s="417">
        <v>333903016000000</v>
      </c>
      <c r="F327" s="418" t="s">
        <v>2264</v>
      </c>
      <c r="G327" s="603">
        <v>1</v>
      </c>
      <c r="H327" s="603">
        <v>0</v>
      </c>
      <c r="I327" s="601">
        <v>331111600000000</v>
      </c>
      <c r="J327" s="602" t="s">
        <v>6097</v>
      </c>
      <c r="K327" s="891">
        <v>0</v>
      </c>
      <c r="L327" s="891">
        <v>0</v>
      </c>
      <c r="M327" s="996">
        <f t="shared" si="77"/>
        <v>0</v>
      </c>
      <c r="N327" s="796"/>
      <c r="P327" s="399"/>
    </row>
    <row r="328" spans="1:16" s="645" customFormat="1" ht="15" customHeight="1" x14ac:dyDescent="0.25">
      <c r="A328" s="397"/>
      <c r="B328" s="478">
        <f t="shared" si="78"/>
        <v>7708</v>
      </c>
      <c r="C328" s="528" t="s">
        <v>6062</v>
      </c>
      <c r="D328" s="528">
        <f t="shared" si="79"/>
        <v>14500</v>
      </c>
      <c r="E328" s="417">
        <v>333903016000000</v>
      </c>
      <c r="F328" s="418" t="s">
        <v>5751</v>
      </c>
      <c r="G328" s="603">
        <v>1</v>
      </c>
      <c r="H328" s="603">
        <v>0</v>
      </c>
      <c r="I328" s="601">
        <v>35</v>
      </c>
      <c r="J328" s="602" t="s">
        <v>6097</v>
      </c>
      <c r="K328" s="891">
        <v>0</v>
      </c>
      <c r="L328" s="891">
        <v>0</v>
      </c>
      <c r="M328" s="996">
        <f t="shared" si="77"/>
        <v>0</v>
      </c>
      <c r="N328" s="796"/>
      <c r="P328" s="399"/>
    </row>
    <row r="329" spans="1:16" s="645" customFormat="1" ht="15" customHeight="1" x14ac:dyDescent="0.25">
      <c r="A329" s="397"/>
      <c r="B329" s="478">
        <f t="shared" si="78"/>
        <v>7709</v>
      </c>
      <c r="C329" s="528" t="s">
        <v>6062</v>
      </c>
      <c r="D329" s="528">
        <f t="shared" si="79"/>
        <v>14500</v>
      </c>
      <c r="E329" s="417">
        <v>333903017000000</v>
      </c>
      <c r="F329" s="418" t="s">
        <v>5753</v>
      </c>
      <c r="G329" s="603">
        <v>1</v>
      </c>
      <c r="H329" s="603">
        <v>0</v>
      </c>
      <c r="I329" s="601">
        <v>331111700000000</v>
      </c>
      <c r="J329" s="602" t="s">
        <v>6098</v>
      </c>
      <c r="K329" s="891">
        <v>0</v>
      </c>
      <c r="L329" s="891">
        <v>0</v>
      </c>
      <c r="M329" s="996">
        <f t="shared" si="77"/>
        <v>0</v>
      </c>
      <c r="N329" s="796"/>
      <c r="P329" s="399"/>
    </row>
    <row r="330" spans="1:16" s="645" customFormat="1" ht="15" customHeight="1" x14ac:dyDescent="0.25">
      <c r="A330" s="397"/>
      <c r="B330" s="478">
        <f t="shared" si="78"/>
        <v>7710</v>
      </c>
      <c r="C330" s="528" t="s">
        <v>6062</v>
      </c>
      <c r="D330" s="528">
        <f t="shared" si="79"/>
        <v>14500</v>
      </c>
      <c r="E330" s="417">
        <v>333903017000000</v>
      </c>
      <c r="F330" s="418" t="s">
        <v>5754</v>
      </c>
      <c r="G330" s="603">
        <v>1</v>
      </c>
      <c r="H330" s="603">
        <v>0</v>
      </c>
      <c r="I330" s="601">
        <v>617</v>
      </c>
      <c r="J330" s="602" t="s">
        <v>6098</v>
      </c>
      <c r="K330" s="891">
        <v>0</v>
      </c>
      <c r="L330" s="891">
        <v>0</v>
      </c>
      <c r="M330" s="996">
        <f t="shared" si="77"/>
        <v>0</v>
      </c>
      <c r="N330" s="796"/>
      <c r="P330" s="399"/>
    </row>
    <row r="331" spans="1:16" s="645" customFormat="1" ht="15" customHeight="1" x14ac:dyDescent="0.25">
      <c r="A331" s="397"/>
      <c r="B331" s="478">
        <f t="shared" si="78"/>
        <v>7711</v>
      </c>
      <c r="C331" s="528" t="s">
        <v>6062</v>
      </c>
      <c r="D331" s="528">
        <f t="shared" si="79"/>
        <v>14500</v>
      </c>
      <c r="E331" s="417">
        <v>333903021000000</v>
      </c>
      <c r="F331" s="418" t="s">
        <v>5868</v>
      </c>
      <c r="G331" s="603">
        <v>1</v>
      </c>
      <c r="H331" s="603">
        <v>0</v>
      </c>
      <c r="I331" s="601">
        <v>331112100000000</v>
      </c>
      <c r="J331" s="602" t="s">
        <v>6099</v>
      </c>
      <c r="K331" s="891">
        <v>0</v>
      </c>
      <c r="L331" s="891">
        <v>0</v>
      </c>
      <c r="M331" s="996">
        <f t="shared" si="77"/>
        <v>0</v>
      </c>
      <c r="N331" s="796"/>
      <c r="P331" s="399"/>
    </row>
    <row r="332" spans="1:16" s="645" customFormat="1" ht="15" customHeight="1" x14ac:dyDescent="0.25">
      <c r="A332" s="397"/>
      <c r="B332" s="478">
        <f t="shared" si="78"/>
        <v>7712</v>
      </c>
      <c r="C332" s="528" t="s">
        <v>6062</v>
      </c>
      <c r="D332" s="528">
        <f t="shared" si="79"/>
        <v>14500</v>
      </c>
      <c r="E332" s="417">
        <v>333903021000000</v>
      </c>
      <c r="F332" s="418" t="s">
        <v>5869</v>
      </c>
      <c r="G332" s="603">
        <v>1</v>
      </c>
      <c r="H332" s="603">
        <v>0</v>
      </c>
      <c r="I332" s="601">
        <v>28</v>
      </c>
      <c r="J332" s="602" t="s">
        <v>6099</v>
      </c>
      <c r="K332" s="891">
        <v>0</v>
      </c>
      <c r="L332" s="891">
        <v>0</v>
      </c>
      <c r="M332" s="996">
        <f t="shared" si="77"/>
        <v>0</v>
      </c>
      <c r="N332" s="796"/>
      <c r="P332" s="399"/>
    </row>
    <row r="333" spans="1:16" s="645" customFormat="1" ht="15" customHeight="1" x14ac:dyDescent="0.25">
      <c r="A333" s="397"/>
      <c r="B333" s="478">
        <f t="shared" si="78"/>
        <v>7713</v>
      </c>
      <c r="C333" s="528" t="s">
        <v>6062</v>
      </c>
      <c r="D333" s="528">
        <f t="shared" si="79"/>
        <v>14500</v>
      </c>
      <c r="E333" s="417">
        <v>333903022000000</v>
      </c>
      <c r="F333" s="418" t="s">
        <v>5757</v>
      </c>
      <c r="G333" s="603">
        <v>1</v>
      </c>
      <c r="H333" s="603">
        <v>0</v>
      </c>
      <c r="I333" s="601">
        <v>331112200000000</v>
      </c>
      <c r="J333" s="602" t="s">
        <v>6100</v>
      </c>
      <c r="K333" s="891">
        <v>0</v>
      </c>
      <c r="L333" s="891">
        <v>0</v>
      </c>
      <c r="M333" s="996">
        <f t="shared" si="77"/>
        <v>0</v>
      </c>
      <c r="N333" s="796"/>
      <c r="P333" s="399"/>
    </row>
    <row r="334" spans="1:16" s="645" customFormat="1" ht="15" customHeight="1" x14ac:dyDescent="0.25">
      <c r="A334" s="397"/>
      <c r="B334" s="478">
        <f t="shared" si="78"/>
        <v>7714</v>
      </c>
      <c r="C334" s="528" t="s">
        <v>6062</v>
      </c>
      <c r="D334" s="528">
        <f t="shared" si="79"/>
        <v>14500</v>
      </c>
      <c r="E334" s="417">
        <v>333903022000000</v>
      </c>
      <c r="F334" s="418" t="s">
        <v>5758</v>
      </c>
      <c r="G334" s="603">
        <v>1</v>
      </c>
      <c r="H334" s="603">
        <v>0</v>
      </c>
      <c r="I334" s="601">
        <v>28</v>
      </c>
      <c r="J334" s="602" t="s">
        <v>6100</v>
      </c>
      <c r="K334" s="891">
        <v>0</v>
      </c>
      <c r="L334" s="891">
        <v>0</v>
      </c>
      <c r="M334" s="996">
        <f t="shared" si="77"/>
        <v>0</v>
      </c>
      <c r="N334" s="796"/>
      <c r="P334" s="399"/>
    </row>
    <row r="335" spans="1:16" s="645" customFormat="1" ht="15" customHeight="1" x14ac:dyDescent="0.25">
      <c r="A335" s="397"/>
      <c r="B335" s="478">
        <f t="shared" si="78"/>
        <v>7715</v>
      </c>
      <c r="C335" s="528" t="s">
        <v>6062</v>
      </c>
      <c r="D335" s="528">
        <f t="shared" si="79"/>
        <v>14500</v>
      </c>
      <c r="E335" s="417">
        <v>333903024000000</v>
      </c>
      <c r="F335" s="418" t="s">
        <v>5760</v>
      </c>
      <c r="G335" s="603">
        <v>1</v>
      </c>
      <c r="H335" s="603">
        <v>0</v>
      </c>
      <c r="I335" s="601">
        <v>331112400000000</v>
      </c>
      <c r="J335" s="602" t="s">
        <v>6101</v>
      </c>
      <c r="K335" s="891">
        <v>0</v>
      </c>
      <c r="L335" s="891">
        <v>0</v>
      </c>
      <c r="M335" s="996">
        <f t="shared" si="77"/>
        <v>0</v>
      </c>
      <c r="N335" s="796"/>
      <c r="P335" s="399"/>
    </row>
    <row r="336" spans="1:16" s="645" customFormat="1" ht="15" customHeight="1" x14ac:dyDescent="0.25">
      <c r="A336" s="397"/>
      <c r="B336" s="478">
        <f t="shared" si="78"/>
        <v>7716</v>
      </c>
      <c r="C336" s="528" t="s">
        <v>6062</v>
      </c>
      <c r="D336" s="528">
        <f t="shared" si="79"/>
        <v>14500</v>
      </c>
      <c r="E336" s="417">
        <v>333903024000000</v>
      </c>
      <c r="F336" s="418" t="s">
        <v>5759</v>
      </c>
      <c r="G336" s="603">
        <v>1</v>
      </c>
      <c r="H336" s="603">
        <v>0</v>
      </c>
      <c r="I336" s="601">
        <v>28</v>
      </c>
      <c r="J336" s="602" t="s">
        <v>6101</v>
      </c>
      <c r="K336" s="891">
        <v>0</v>
      </c>
      <c r="L336" s="891">
        <v>0</v>
      </c>
      <c r="M336" s="996">
        <f t="shared" si="77"/>
        <v>0</v>
      </c>
      <c r="N336" s="796"/>
      <c r="P336" s="399"/>
    </row>
    <row r="337" spans="1:16" s="645" customFormat="1" ht="15" customHeight="1" x14ac:dyDescent="0.25">
      <c r="A337" s="397"/>
      <c r="B337" s="478">
        <f t="shared" si="78"/>
        <v>7717</v>
      </c>
      <c r="C337" s="528" t="s">
        <v>6062</v>
      </c>
      <c r="D337" s="528">
        <f t="shared" si="79"/>
        <v>14500</v>
      </c>
      <c r="E337" s="417">
        <v>333903026000000</v>
      </c>
      <c r="F337" s="418" t="s">
        <v>5933</v>
      </c>
      <c r="G337" s="603">
        <v>1</v>
      </c>
      <c r="H337" s="603">
        <v>0</v>
      </c>
      <c r="I337" s="601">
        <v>331110300000000</v>
      </c>
      <c r="J337" s="602" t="s">
        <v>6104</v>
      </c>
      <c r="K337" s="891">
        <v>0</v>
      </c>
      <c r="L337" s="891">
        <v>0</v>
      </c>
      <c r="M337" s="996">
        <f t="shared" si="77"/>
        <v>0</v>
      </c>
      <c r="N337" s="796"/>
      <c r="P337" s="399"/>
    </row>
    <row r="338" spans="1:16" s="645" customFormat="1" ht="15" customHeight="1" x14ac:dyDescent="0.25">
      <c r="A338" s="397"/>
      <c r="B338" s="478">
        <f t="shared" si="78"/>
        <v>7718</v>
      </c>
      <c r="C338" s="528" t="s">
        <v>6062</v>
      </c>
      <c r="D338" s="528">
        <f t="shared" si="79"/>
        <v>14500</v>
      </c>
      <c r="E338" s="417">
        <v>333903026000000</v>
      </c>
      <c r="F338" s="418" t="s">
        <v>6040</v>
      </c>
      <c r="G338" s="603">
        <v>1</v>
      </c>
      <c r="H338" s="603">
        <v>0</v>
      </c>
      <c r="I338" s="601">
        <v>28</v>
      </c>
      <c r="J338" s="602" t="s">
        <v>6104</v>
      </c>
      <c r="K338" s="891">
        <v>0</v>
      </c>
      <c r="L338" s="891">
        <v>0</v>
      </c>
      <c r="M338" s="996">
        <f t="shared" si="77"/>
        <v>0</v>
      </c>
      <c r="N338" s="796"/>
      <c r="P338" s="399"/>
    </row>
    <row r="339" spans="1:16" s="645" customFormat="1" ht="15" customHeight="1" x14ac:dyDescent="0.25">
      <c r="A339" s="397"/>
      <c r="B339" s="478">
        <f t="shared" si="78"/>
        <v>7719</v>
      </c>
      <c r="C339" s="528" t="s">
        <v>6062</v>
      </c>
      <c r="D339" s="528">
        <f t="shared" si="79"/>
        <v>14500</v>
      </c>
      <c r="E339" s="417">
        <v>333903028000000</v>
      </c>
      <c r="F339" s="418" t="s">
        <v>5934</v>
      </c>
      <c r="G339" s="603">
        <v>1</v>
      </c>
      <c r="H339" s="603">
        <v>0</v>
      </c>
      <c r="I339" s="601">
        <v>331110300000000</v>
      </c>
      <c r="J339" s="602" t="s">
        <v>6111</v>
      </c>
      <c r="K339" s="891">
        <v>0</v>
      </c>
      <c r="L339" s="891">
        <v>0</v>
      </c>
      <c r="M339" s="996">
        <f t="shared" si="77"/>
        <v>0</v>
      </c>
      <c r="N339" s="796"/>
      <c r="P339" s="399"/>
    </row>
    <row r="340" spans="1:16" s="645" customFormat="1" ht="15" customHeight="1" x14ac:dyDescent="0.25">
      <c r="A340" s="397"/>
      <c r="B340" s="478">
        <f t="shared" si="78"/>
        <v>7720</v>
      </c>
      <c r="C340" s="528" t="s">
        <v>6062</v>
      </c>
      <c r="D340" s="528">
        <f t="shared" si="79"/>
        <v>14500</v>
      </c>
      <c r="E340" s="417">
        <v>333903028000000</v>
      </c>
      <c r="F340" s="418" t="s">
        <v>6041</v>
      </c>
      <c r="G340" s="603">
        <v>1</v>
      </c>
      <c r="H340" s="603">
        <v>0</v>
      </c>
      <c r="I340" s="601">
        <v>28</v>
      </c>
      <c r="J340" s="602" t="s">
        <v>6111</v>
      </c>
      <c r="K340" s="891">
        <v>0</v>
      </c>
      <c r="L340" s="891">
        <v>0</v>
      </c>
      <c r="M340" s="996">
        <f t="shared" si="77"/>
        <v>0</v>
      </c>
      <c r="N340" s="796"/>
      <c r="P340" s="399"/>
    </row>
    <row r="341" spans="1:16" s="645" customFormat="1" ht="15" customHeight="1" x14ac:dyDescent="0.25">
      <c r="A341" s="397"/>
      <c r="B341" s="478">
        <f t="shared" si="78"/>
        <v>7721</v>
      </c>
      <c r="C341" s="528" t="s">
        <v>6062</v>
      </c>
      <c r="D341" s="528">
        <f t="shared" si="79"/>
        <v>14500</v>
      </c>
      <c r="E341" s="417">
        <v>333903039010000</v>
      </c>
      <c r="F341" s="418" t="s">
        <v>6909</v>
      </c>
      <c r="G341" s="603">
        <v>1</v>
      </c>
      <c r="H341" s="603">
        <v>0</v>
      </c>
      <c r="I341" s="601">
        <v>331110390000000</v>
      </c>
      <c r="J341" s="602" t="s">
        <v>6105</v>
      </c>
      <c r="K341" s="891">
        <v>0</v>
      </c>
      <c r="L341" s="891">
        <v>0</v>
      </c>
      <c r="M341" s="996">
        <f t="shared" si="77"/>
        <v>0</v>
      </c>
      <c r="N341" s="796"/>
      <c r="P341" s="399"/>
    </row>
    <row r="342" spans="1:16" s="645" customFormat="1" ht="15" customHeight="1" x14ac:dyDescent="0.25">
      <c r="A342" s="397"/>
      <c r="B342" s="478">
        <f t="shared" si="78"/>
        <v>7722</v>
      </c>
      <c r="C342" s="528" t="s">
        <v>6062</v>
      </c>
      <c r="D342" s="528">
        <f t="shared" si="79"/>
        <v>14500</v>
      </c>
      <c r="E342" s="417">
        <v>333903039010000</v>
      </c>
      <c r="F342" s="418" t="s">
        <v>6910</v>
      </c>
      <c r="G342" s="603">
        <v>1</v>
      </c>
      <c r="H342" s="603">
        <v>0</v>
      </c>
      <c r="I342" s="601">
        <v>32</v>
      </c>
      <c r="J342" s="602" t="s">
        <v>6105</v>
      </c>
      <c r="K342" s="891">
        <v>0</v>
      </c>
      <c r="L342" s="891">
        <v>0</v>
      </c>
      <c r="M342" s="996">
        <f t="shared" si="77"/>
        <v>0</v>
      </c>
      <c r="N342" s="796"/>
      <c r="P342" s="399"/>
    </row>
    <row r="343" spans="1:16" s="645" customFormat="1" ht="15" customHeight="1" x14ac:dyDescent="0.25">
      <c r="A343" s="397"/>
      <c r="B343" s="478">
        <f t="shared" si="78"/>
        <v>7723</v>
      </c>
      <c r="C343" s="528" t="s">
        <v>6062</v>
      </c>
      <c r="D343" s="528">
        <f t="shared" si="79"/>
        <v>14500</v>
      </c>
      <c r="E343" s="417">
        <v>333903099000000</v>
      </c>
      <c r="F343" s="418" t="s">
        <v>5762</v>
      </c>
      <c r="G343" s="603">
        <v>1</v>
      </c>
      <c r="H343" s="603">
        <v>0</v>
      </c>
      <c r="I343" s="601">
        <v>331119900000000</v>
      </c>
      <c r="J343" s="602" t="s">
        <v>6106</v>
      </c>
      <c r="K343" s="891">
        <v>0</v>
      </c>
      <c r="L343" s="891">
        <v>0</v>
      </c>
      <c r="M343" s="996">
        <f t="shared" si="77"/>
        <v>0</v>
      </c>
      <c r="N343" s="796"/>
      <c r="P343" s="399"/>
    </row>
    <row r="344" spans="1:16" s="645" customFormat="1" ht="15" customHeight="1" x14ac:dyDescent="0.25">
      <c r="A344" s="397"/>
      <c r="B344" s="478">
        <f t="shared" si="78"/>
        <v>7724</v>
      </c>
      <c r="C344" s="528" t="s">
        <v>6062</v>
      </c>
      <c r="D344" s="528">
        <f t="shared" si="79"/>
        <v>14500</v>
      </c>
      <c r="E344" s="417">
        <v>333903099000000</v>
      </c>
      <c r="F344" s="418" t="s">
        <v>5763</v>
      </c>
      <c r="G344" s="603">
        <v>1</v>
      </c>
      <c r="H344" s="603">
        <v>0</v>
      </c>
      <c r="I344" s="601">
        <v>28</v>
      </c>
      <c r="J344" s="602" t="s">
        <v>6106</v>
      </c>
      <c r="K344" s="891">
        <v>0</v>
      </c>
      <c r="L344" s="891">
        <v>0</v>
      </c>
      <c r="M344" s="996">
        <f t="shared" si="77"/>
        <v>0</v>
      </c>
      <c r="N344" s="796"/>
      <c r="P344" s="399"/>
    </row>
    <row r="345" spans="1:16" s="645" customFormat="1" ht="15" customHeight="1" x14ac:dyDescent="0.25">
      <c r="A345" s="397"/>
      <c r="B345" s="1396">
        <v>14600</v>
      </c>
      <c r="C345" s="1396"/>
      <c r="D345" s="1396"/>
      <c r="E345" s="417">
        <v>333903200000000</v>
      </c>
      <c r="F345" s="418" t="s">
        <v>1021</v>
      </c>
      <c r="G345" s="468">
        <v>1</v>
      </c>
      <c r="H345" s="468">
        <v>0</v>
      </c>
      <c r="I345" s="751"/>
      <c r="J345" s="878" t="s">
        <v>7054</v>
      </c>
      <c r="K345" s="789">
        <f>'Parâmetros financeiros Despesa'!E203</f>
        <v>0</v>
      </c>
      <c r="L345" s="789">
        <f>('Parâmetros financeiros Despesa'!F203)*(1+'Parâmetros financeiros Despesa'!F$4)*(1+'Parâmetros financeiros Despesa'!F$7)</f>
        <v>2180.663</v>
      </c>
      <c r="M345" s="799">
        <f>L345/L$428</f>
        <v>3.6964224035778374E-3</v>
      </c>
      <c r="N345" s="894"/>
      <c r="O345" s="796"/>
      <c r="P345" s="399"/>
    </row>
    <row r="346" spans="1:16" s="645" customFormat="1" ht="15" customHeight="1" x14ac:dyDescent="0.25">
      <c r="A346" s="397"/>
      <c r="B346" s="478">
        <f>B345+1</f>
        <v>14601</v>
      </c>
      <c r="C346" s="528" t="s">
        <v>6062</v>
      </c>
      <c r="D346" s="528">
        <f>B345</f>
        <v>14600</v>
      </c>
      <c r="E346" s="417">
        <v>333903209000000</v>
      </c>
      <c r="F346" s="418" t="s">
        <v>2203</v>
      </c>
      <c r="G346" s="603">
        <v>1</v>
      </c>
      <c r="H346" s="603">
        <v>0</v>
      </c>
      <c r="I346" s="601">
        <v>331210600000000</v>
      </c>
      <c r="J346" s="602" t="s">
        <v>6112</v>
      </c>
      <c r="K346" s="891">
        <v>0</v>
      </c>
      <c r="L346" s="891">
        <v>0</v>
      </c>
      <c r="M346" s="996">
        <f t="shared" ref="M346" si="80">L346/L$428</f>
        <v>0</v>
      </c>
      <c r="N346" s="796"/>
      <c r="P346" s="399"/>
    </row>
    <row r="347" spans="1:16" s="645" customFormat="1" ht="15" customHeight="1" x14ac:dyDescent="0.25">
      <c r="A347" s="397"/>
      <c r="B347" s="1396">
        <v>14700</v>
      </c>
      <c r="C347" s="1396"/>
      <c r="D347" s="1396"/>
      <c r="E347" s="417">
        <v>333903300000000</v>
      </c>
      <c r="F347" s="418" t="s">
        <v>3469</v>
      </c>
      <c r="G347" s="468">
        <v>1</v>
      </c>
      <c r="H347" s="468">
        <v>0</v>
      </c>
      <c r="I347" s="751"/>
      <c r="J347" s="878" t="s">
        <v>7054</v>
      </c>
      <c r="K347" s="789">
        <f>'Parâmetros financeiros Despesa'!E204</f>
        <v>3648.8999999999996</v>
      </c>
      <c r="L347" s="789">
        <f>('Parâmetros financeiros Despesa'!F204)*(1+'Parâmetros financeiros Despesa'!F$4)*(1+'Parâmetros financeiros Despesa'!F$7)</f>
        <v>3978.5106103499998</v>
      </c>
      <c r="M347" s="799">
        <f>L347/L$428</f>
        <v>6.7439378542075851E-3</v>
      </c>
      <c r="N347" s="894"/>
      <c r="O347" s="796"/>
      <c r="P347" s="399"/>
    </row>
    <row r="348" spans="1:16" s="645" customFormat="1" ht="15" customHeight="1" x14ac:dyDescent="0.25">
      <c r="A348" s="397"/>
      <c r="B348" s="530">
        <f t="shared" ref="B348:B353" si="81">B347+1</f>
        <v>14701</v>
      </c>
      <c r="C348" s="531" t="s">
        <v>6062</v>
      </c>
      <c r="D348" s="532">
        <f t="shared" ref="D348" si="82">B347</f>
        <v>14700</v>
      </c>
      <c r="E348" s="417">
        <v>333903301000000</v>
      </c>
      <c r="F348" s="418" t="s">
        <v>6517</v>
      </c>
      <c r="G348" s="603">
        <v>1</v>
      </c>
      <c r="H348" s="603">
        <v>0</v>
      </c>
      <c r="I348" s="601">
        <v>332315600000000</v>
      </c>
      <c r="J348" s="602" t="s">
        <v>6121</v>
      </c>
      <c r="K348" s="891">
        <v>0</v>
      </c>
      <c r="L348" s="533">
        <v>0</v>
      </c>
      <c r="M348" s="996">
        <f t="shared" ref="M348:M353" si="83">L348/L$428</f>
        <v>0</v>
      </c>
      <c r="N348" s="796"/>
      <c r="P348" s="399"/>
    </row>
    <row r="349" spans="1:16" s="645" customFormat="1" ht="15" customHeight="1" x14ac:dyDescent="0.25">
      <c r="A349" s="397"/>
      <c r="B349" s="530">
        <f t="shared" si="81"/>
        <v>14702</v>
      </c>
      <c r="C349" s="531" t="s">
        <v>6062</v>
      </c>
      <c r="D349" s="532">
        <v>14700</v>
      </c>
      <c r="E349" s="417">
        <v>333903301000000</v>
      </c>
      <c r="F349" s="418" t="s">
        <v>6518</v>
      </c>
      <c r="G349" s="603">
        <v>1</v>
      </c>
      <c r="H349" s="603">
        <v>0</v>
      </c>
      <c r="I349" s="601">
        <v>332315600000000</v>
      </c>
      <c r="J349" s="602" t="s">
        <v>6122</v>
      </c>
      <c r="K349" s="891">
        <v>0</v>
      </c>
      <c r="L349" s="533">
        <v>0</v>
      </c>
      <c r="M349" s="996">
        <f t="shared" si="83"/>
        <v>0</v>
      </c>
      <c r="N349" s="796"/>
      <c r="P349" s="399"/>
    </row>
    <row r="350" spans="1:16" s="645" customFormat="1" ht="15" customHeight="1" x14ac:dyDescent="0.25">
      <c r="A350" s="397"/>
      <c r="B350" s="530">
        <f t="shared" si="81"/>
        <v>14703</v>
      </c>
      <c r="C350" s="531" t="s">
        <v>6062</v>
      </c>
      <c r="D350" s="532">
        <v>14700</v>
      </c>
      <c r="E350" s="417">
        <v>333903301000000</v>
      </c>
      <c r="F350" s="418" t="s">
        <v>6519</v>
      </c>
      <c r="G350" s="603">
        <v>1</v>
      </c>
      <c r="H350" s="603">
        <v>0</v>
      </c>
      <c r="I350" s="601">
        <v>332315600000000</v>
      </c>
      <c r="J350" s="602" t="s">
        <v>6123</v>
      </c>
      <c r="K350" s="891">
        <v>0</v>
      </c>
      <c r="L350" s="533">
        <v>0</v>
      </c>
      <c r="M350" s="996">
        <f t="shared" si="83"/>
        <v>0</v>
      </c>
      <c r="N350" s="796"/>
      <c r="P350" s="399"/>
    </row>
    <row r="351" spans="1:16" s="645" customFormat="1" ht="15" customHeight="1" x14ac:dyDescent="0.25">
      <c r="A351" s="397"/>
      <c r="B351" s="530">
        <f t="shared" si="81"/>
        <v>14704</v>
      </c>
      <c r="C351" s="531" t="s">
        <v>6062</v>
      </c>
      <c r="D351" s="532">
        <v>14700</v>
      </c>
      <c r="E351" s="417">
        <v>333903305000000</v>
      </c>
      <c r="F351" s="418" t="s">
        <v>6520</v>
      </c>
      <c r="G351" s="603">
        <v>1</v>
      </c>
      <c r="H351" s="603">
        <v>0</v>
      </c>
      <c r="I351" s="601">
        <v>332315600000000</v>
      </c>
      <c r="J351" s="602" t="s">
        <v>6121</v>
      </c>
      <c r="K351" s="891">
        <v>0</v>
      </c>
      <c r="L351" s="533">
        <v>0</v>
      </c>
      <c r="M351" s="996">
        <f t="shared" si="83"/>
        <v>0</v>
      </c>
      <c r="N351" s="796"/>
      <c r="P351" s="399"/>
    </row>
    <row r="352" spans="1:16" s="645" customFormat="1" ht="15" customHeight="1" x14ac:dyDescent="0.25">
      <c r="A352" s="397"/>
      <c r="B352" s="530">
        <f t="shared" si="81"/>
        <v>14705</v>
      </c>
      <c r="C352" s="531" t="s">
        <v>6062</v>
      </c>
      <c r="D352" s="532">
        <v>14700</v>
      </c>
      <c r="E352" s="417">
        <v>333903305000000</v>
      </c>
      <c r="F352" s="418" t="s">
        <v>6521</v>
      </c>
      <c r="G352" s="603">
        <v>1</v>
      </c>
      <c r="H352" s="603">
        <v>0</v>
      </c>
      <c r="I352" s="601">
        <v>332315600000000</v>
      </c>
      <c r="J352" s="602" t="s">
        <v>6122</v>
      </c>
      <c r="K352" s="891">
        <v>0</v>
      </c>
      <c r="L352" s="533">
        <v>0</v>
      </c>
      <c r="M352" s="996">
        <f t="shared" si="83"/>
        <v>0</v>
      </c>
      <c r="N352" s="796"/>
      <c r="P352" s="399"/>
    </row>
    <row r="353" spans="1:16" s="645" customFormat="1" ht="15.75" customHeight="1" x14ac:dyDescent="0.25">
      <c r="A353" s="397"/>
      <c r="B353" s="530">
        <f t="shared" si="81"/>
        <v>14706</v>
      </c>
      <c r="C353" s="531" t="s">
        <v>6062</v>
      </c>
      <c r="D353" s="532">
        <v>14700</v>
      </c>
      <c r="E353" s="417">
        <v>333903305000000</v>
      </c>
      <c r="F353" s="418" t="s">
        <v>6522</v>
      </c>
      <c r="G353" s="603">
        <v>1</v>
      </c>
      <c r="H353" s="603">
        <v>0</v>
      </c>
      <c r="I353" s="601">
        <v>332315600000000</v>
      </c>
      <c r="J353" s="602" t="s">
        <v>6123</v>
      </c>
      <c r="K353" s="891">
        <v>0</v>
      </c>
      <c r="L353" s="533">
        <v>0</v>
      </c>
      <c r="M353" s="996">
        <f t="shared" si="83"/>
        <v>0</v>
      </c>
      <c r="N353" s="796"/>
      <c r="P353" s="399"/>
    </row>
    <row r="354" spans="1:16" s="645" customFormat="1" ht="15" customHeight="1" x14ac:dyDescent="0.25">
      <c r="A354" s="397"/>
      <c r="B354" s="1398" t="s">
        <v>7059</v>
      </c>
      <c r="C354" s="1398"/>
      <c r="D354" s="1398"/>
      <c r="E354" s="417">
        <v>333903500000000</v>
      </c>
      <c r="F354" s="418" t="s">
        <v>2190</v>
      </c>
      <c r="G354" s="468">
        <v>1</v>
      </c>
      <c r="H354" s="468">
        <v>0</v>
      </c>
      <c r="I354" s="751"/>
      <c r="J354" s="878" t="s">
        <v>7054</v>
      </c>
      <c r="K354" s="789">
        <f>'Parâmetros financeiros Despesa'!E205</f>
        <v>21856.14</v>
      </c>
      <c r="L354" s="789">
        <f>('Parâmetros financeiros Despesa'!F205)*(1+'Parâmetros financeiros Despesa'!F$4)*(1+'Parâmetros financeiros Despesa'!F$7)</f>
        <v>23830.437910410001</v>
      </c>
      <c r="M354" s="799">
        <f>L354/L$428</f>
        <v>4.0394762775866858E-2</v>
      </c>
      <c r="N354" s="894"/>
      <c r="O354" s="796"/>
      <c r="P354" s="399"/>
    </row>
    <row r="355" spans="1:16" s="645" customFormat="1" ht="15" customHeight="1" x14ac:dyDescent="0.25">
      <c r="A355" s="397"/>
      <c r="B355" s="599">
        <f>B354+1</f>
        <v>14801</v>
      </c>
      <c r="C355" s="600" t="s">
        <v>6062</v>
      </c>
      <c r="D355" s="528" t="str">
        <f>B354</f>
        <v>14800</v>
      </c>
      <c r="E355" s="417">
        <v>333903501000000</v>
      </c>
      <c r="F355" s="418" t="s">
        <v>6995</v>
      </c>
      <c r="G355" s="603">
        <v>1</v>
      </c>
      <c r="H355" s="603">
        <v>0</v>
      </c>
      <c r="I355" s="601">
        <v>332310100000000</v>
      </c>
      <c r="J355" s="602" t="s">
        <v>6126</v>
      </c>
      <c r="K355" s="891">
        <v>0</v>
      </c>
      <c r="L355" s="891">
        <v>0</v>
      </c>
      <c r="M355" s="996">
        <f t="shared" ref="M355" si="84">L355/L$428</f>
        <v>0</v>
      </c>
      <c r="N355" s="796"/>
      <c r="P355" s="399"/>
    </row>
    <row r="356" spans="1:16" s="645" customFormat="1" ht="15" customHeight="1" x14ac:dyDescent="0.25">
      <c r="A356" s="397"/>
      <c r="B356" s="1398" t="s">
        <v>7060</v>
      </c>
      <c r="C356" s="1398"/>
      <c r="D356" s="1398"/>
      <c r="E356" s="417">
        <v>333903600000000</v>
      </c>
      <c r="F356" s="418" t="s">
        <v>993</v>
      </c>
      <c r="G356" s="468">
        <v>1</v>
      </c>
      <c r="H356" s="468">
        <v>0</v>
      </c>
      <c r="I356" s="751"/>
      <c r="J356" s="878" t="s">
        <v>7054</v>
      </c>
      <c r="K356" s="789">
        <f>'Parâmetros financeiros Despesa'!E206+'Parâmetros financeiros Despesa'!E207</f>
        <v>12647.099999999999</v>
      </c>
      <c r="L356" s="789">
        <f>('Parâmetros financeiros Despesa'!F206+'Parâmetros financeiros Despesa'!E207)*(1+'Parâmetros financeiros Despesa'!F$4)*(1+'Parâmetros financeiros Despesa'!F$7)</f>
        <v>13789.531513649999</v>
      </c>
      <c r="M356" s="799">
        <f>L356/L$428</f>
        <v>2.3374511890144632E-2</v>
      </c>
      <c r="N356" s="894"/>
      <c r="O356" s="796"/>
      <c r="P356" s="399"/>
    </row>
    <row r="357" spans="1:16" s="645" customFormat="1" ht="15" customHeight="1" x14ac:dyDescent="0.25">
      <c r="A357" s="397"/>
      <c r="B357" s="599">
        <f>B356+1</f>
        <v>14901</v>
      </c>
      <c r="C357" s="600" t="s">
        <v>6062</v>
      </c>
      <c r="D357" s="600" t="str">
        <f>B$356</f>
        <v>14900</v>
      </c>
      <c r="E357" s="417">
        <v>333903606000000</v>
      </c>
      <c r="F357" s="418" t="s">
        <v>1151</v>
      </c>
      <c r="G357" s="603">
        <v>1</v>
      </c>
      <c r="H357" s="603">
        <v>0</v>
      </c>
      <c r="I357" s="601">
        <v>332211500000000</v>
      </c>
      <c r="J357" s="602" t="s">
        <v>6131</v>
      </c>
      <c r="K357" s="891">
        <v>0</v>
      </c>
      <c r="L357" s="891">
        <v>0</v>
      </c>
      <c r="M357" s="996">
        <f t="shared" ref="M357:M361" si="85">L357/L$428</f>
        <v>0</v>
      </c>
      <c r="N357" s="796"/>
      <c r="P357" s="399"/>
    </row>
    <row r="358" spans="1:16" s="645" customFormat="1" ht="15" customHeight="1" x14ac:dyDescent="0.25">
      <c r="A358" s="397"/>
      <c r="B358" s="599">
        <f>B357+1</f>
        <v>14902</v>
      </c>
      <c r="C358" s="600" t="s">
        <v>6062</v>
      </c>
      <c r="D358" s="600" t="str">
        <f t="shared" ref="D358:D361" si="86">B$356</f>
        <v>14900</v>
      </c>
      <c r="E358" s="417">
        <v>333903615000000</v>
      </c>
      <c r="F358" s="418" t="s">
        <v>2227</v>
      </c>
      <c r="G358" s="603"/>
      <c r="H358" s="603"/>
      <c r="I358" s="601">
        <v>332212100000000</v>
      </c>
      <c r="J358" s="602"/>
      <c r="K358" s="891">
        <v>0</v>
      </c>
      <c r="L358" s="891"/>
      <c r="M358" s="996">
        <f t="shared" si="85"/>
        <v>0</v>
      </c>
      <c r="N358" s="796"/>
      <c r="P358" s="399"/>
    </row>
    <row r="359" spans="1:16" s="645" customFormat="1" ht="15" customHeight="1" x14ac:dyDescent="0.25">
      <c r="A359" s="397"/>
      <c r="B359" s="599">
        <f>B358+1</f>
        <v>14903</v>
      </c>
      <c r="C359" s="600" t="s">
        <v>6062</v>
      </c>
      <c r="D359" s="600" t="str">
        <f t="shared" si="86"/>
        <v>14900</v>
      </c>
      <c r="E359" s="417">
        <v>333903625000000</v>
      </c>
      <c r="F359" s="418" t="s">
        <v>5880</v>
      </c>
      <c r="G359" s="603">
        <v>1</v>
      </c>
      <c r="H359" s="603">
        <v>0</v>
      </c>
      <c r="I359" s="601">
        <v>332210800000000</v>
      </c>
      <c r="J359" s="602" t="s">
        <v>6131</v>
      </c>
      <c r="K359" s="891">
        <v>0</v>
      </c>
      <c r="L359" s="891">
        <v>0</v>
      </c>
      <c r="M359" s="996">
        <f t="shared" si="85"/>
        <v>0</v>
      </c>
      <c r="N359" s="796"/>
      <c r="P359" s="399"/>
    </row>
    <row r="360" spans="1:16" s="645" customFormat="1" ht="15" customHeight="1" x14ac:dyDescent="0.25">
      <c r="A360" s="397"/>
      <c r="B360" s="599">
        <f>B359+1</f>
        <v>14904</v>
      </c>
      <c r="C360" s="600" t="s">
        <v>6062</v>
      </c>
      <c r="D360" s="600" t="str">
        <f t="shared" si="86"/>
        <v>14900</v>
      </c>
      <c r="E360" s="417">
        <v>333903628000000</v>
      </c>
      <c r="F360" s="418" t="s">
        <v>1042</v>
      </c>
      <c r="G360" s="603"/>
      <c r="H360" s="603"/>
      <c r="I360" s="601"/>
      <c r="J360" s="602"/>
      <c r="K360" s="891">
        <v>0</v>
      </c>
      <c r="L360" s="891"/>
      <c r="M360" s="996">
        <f t="shared" si="85"/>
        <v>0</v>
      </c>
      <c r="N360" s="796"/>
      <c r="P360" s="399"/>
    </row>
    <row r="361" spans="1:16" s="645" customFormat="1" ht="15" customHeight="1" x14ac:dyDescent="0.25">
      <c r="A361" s="397"/>
      <c r="B361" s="599">
        <f>B360+1</f>
        <v>14905</v>
      </c>
      <c r="C361" s="600" t="s">
        <v>6062</v>
      </c>
      <c r="D361" s="600" t="str">
        <f t="shared" si="86"/>
        <v>14900</v>
      </c>
      <c r="E361" s="417">
        <v>333903699000000</v>
      </c>
      <c r="F361" s="418" t="s">
        <v>2193</v>
      </c>
      <c r="G361" s="603">
        <v>1</v>
      </c>
      <c r="H361" s="603">
        <v>0</v>
      </c>
      <c r="I361" s="601">
        <v>332219900000000</v>
      </c>
      <c r="J361" s="602" t="s">
        <v>6131</v>
      </c>
      <c r="K361" s="891">
        <v>0</v>
      </c>
      <c r="L361" s="891">
        <v>0</v>
      </c>
      <c r="M361" s="996">
        <f t="shared" si="85"/>
        <v>0</v>
      </c>
      <c r="N361" s="796"/>
      <c r="P361" s="399"/>
    </row>
    <row r="362" spans="1:16" s="645" customFormat="1" ht="15" customHeight="1" x14ac:dyDescent="0.25">
      <c r="A362" s="397"/>
      <c r="B362" s="1398" t="s">
        <v>7061</v>
      </c>
      <c r="C362" s="1398"/>
      <c r="D362" s="1398"/>
      <c r="E362" s="417">
        <v>333903900000000</v>
      </c>
      <c r="F362" s="418" t="s">
        <v>2268</v>
      </c>
      <c r="G362" s="468">
        <v>1</v>
      </c>
      <c r="H362" s="468">
        <v>0</v>
      </c>
      <c r="I362" s="751"/>
      <c r="J362" s="878" t="s">
        <v>7054</v>
      </c>
      <c r="K362" s="789">
        <f>('Parâmetros financeiros Despesa'!E208+'Parâmetros financeiros Despesa'!E209+'Parâmetros financeiros Despesa'!E210)</f>
        <v>71575.445000000007</v>
      </c>
      <c r="L362" s="789">
        <f>('Parâmetros financeiros Despesa'!F208+'Parâmetros financeiros Despesa'!F209+'Parâmetros financeiros Despesa'!F210)*(1+'Parâmetros financeiros Despesa'!F$4)*(1+'Parâmetros financeiros Despesa'!F$7)</f>
        <v>78586.128060017509</v>
      </c>
      <c r="M362" s="799">
        <f>L362/L$428</f>
        <v>0.13321064482292111</v>
      </c>
      <c r="N362" s="894"/>
      <c r="O362" s="796"/>
      <c r="P362" s="399"/>
    </row>
    <row r="363" spans="1:16" s="645" customFormat="1" ht="15" customHeight="1" x14ac:dyDescent="0.25">
      <c r="A363" s="397"/>
      <c r="B363" s="599">
        <f>B362+1</f>
        <v>15001</v>
      </c>
      <c r="C363" s="600" t="s">
        <v>6062</v>
      </c>
      <c r="D363" s="528" t="str">
        <f>B362</f>
        <v>15000</v>
      </c>
      <c r="E363" s="417">
        <v>333903901000000</v>
      </c>
      <c r="F363" s="418" t="s">
        <v>2269</v>
      </c>
      <c r="G363" s="603">
        <v>1</v>
      </c>
      <c r="H363" s="603">
        <v>0</v>
      </c>
      <c r="I363" s="601">
        <v>332311400000000</v>
      </c>
      <c r="J363" s="602" t="s">
        <v>6133</v>
      </c>
      <c r="K363" s="891">
        <v>0</v>
      </c>
      <c r="L363" s="891">
        <v>0</v>
      </c>
      <c r="M363" s="996">
        <f t="shared" ref="M363:M383" si="87">L363/L$428</f>
        <v>0</v>
      </c>
      <c r="N363" s="796"/>
      <c r="P363" s="399"/>
    </row>
    <row r="364" spans="1:16" s="645" customFormat="1" ht="15" customHeight="1" x14ac:dyDescent="0.25">
      <c r="A364" s="397"/>
      <c r="B364" s="599">
        <f>B363+1</f>
        <v>15002</v>
      </c>
      <c r="C364" s="600" t="s">
        <v>6062</v>
      </c>
      <c r="D364" s="528" t="str">
        <f>D363</f>
        <v>15000</v>
      </c>
      <c r="E364" s="417">
        <v>333903905000000</v>
      </c>
      <c r="F364" s="418" t="s">
        <v>1151</v>
      </c>
      <c r="G364" s="603">
        <v>1</v>
      </c>
      <c r="H364" s="603">
        <v>0</v>
      </c>
      <c r="I364" s="601">
        <v>332315100000000</v>
      </c>
      <c r="J364" s="602" t="s">
        <v>6127</v>
      </c>
      <c r="K364" s="891">
        <v>0</v>
      </c>
      <c r="L364" s="891">
        <v>0</v>
      </c>
      <c r="M364" s="996">
        <f t="shared" si="87"/>
        <v>0</v>
      </c>
      <c r="N364" s="796"/>
      <c r="P364" s="399"/>
    </row>
    <row r="365" spans="1:16" s="645" customFormat="1" ht="15" customHeight="1" x14ac:dyDescent="0.25">
      <c r="A365" s="397"/>
      <c r="B365" s="599">
        <f>B364+1</f>
        <v>15003</v>
      </c>
      <c r="C365" s="600" t="s">
        <v>6062</v>
      </c>
      <c r="D365" s="528" t="str">
        <f>D364</f>
        <v>15000</v>
      </c>
      <c r="E365" s="417">
        <v>333903916000000</v>
      </c>
      <c r="F365" s="418" t="s">
        <v>2270</v>
      </c>
      <c r="G365" s="603">
        <v>1</v>
      </c>
      <c r="H365" s="603">
        <v>0</v>
      </c>
      <c r="I365" s="601">
        <v>332310600000000</v>
      </c>
      <c r="J365" s="602" t="s">
        <v>6101</v>
      </c>
      <c r="K365" s="891">
        <v>0</v>
      </c>
      <c r="L365" s="891">
        <v>0</v>
      </c>
      <c r="M365" s="996">
        <f t="shared" si="87"/>
        <v>0</v>
      </c>
      <c r="N365" s="796"/>
      <c r="P365" s="399"/>
    </row>
    <row r="366" spans="1:16" s="645" customFormat="1" ht="15" customHeight="1" x14ac:dyDescent="0.25">
      <c r="A366" s="397"/>
      <c r="B366" s="599">
        <f t="shared" ref="B366:B383" si="88">B365+1</f>
        <v>15004</v>
      </c>
      <c r="C366" s="600" t="s">
        <v>6062</v>
      </c>
      <c r="D366" s="528" t="str">
        <f t="shared" ref="D366:D383" si="89">D365</f>
        <v>15000</v>
      </c>
      <c r="E366" s="417">
        <v>333903920000000</v>
      </c>
      <c r="F366" s="418" t="s">
        <v>2352</v>
      </c>
      <c r="G366" s="603">
        <v>1</v>
      </c>
      <c r="H366" s="603">
        <v>0</v>
      </c>
      <c r="I366" s="601">
        <v>332310600000000</v>
      </c>
      <c r="J366" s="602" t="s">
        <v>6135</v>
      </c>
      <c r="K366" s="891">
        <v>0</v>
      </c>
      <c r="L366" s="891">
        <v>0</v>
      </c>
      <c r="M366" s="996">
        <f t="shared" si="87"/>
        <v>0</v>
      </c>
      <c r="N366" s="796"/>
      <c r="P366" s="399"/>
    </row>
    <row r="367" spans="1:16" s="645" customFormat="1" ht="15" customHeight="1" x14ac:dyDescent="0.25">
      <c r="A367" s="397"/>
      <c r="B367" s="599">
        <f t="shared" si="88"/>
        <v>15005</v>
      </c>
      <c r="C367" s="600" t="s">
        <v>6062</v>
      </c>
      <c r="D367" s="528" t="str">
        <f t="shared" si="89"/>
        <v>15000</v>
      </c>
      <c r="E367" s="417">
        <v>333903943000000</v>
      </c>
      <c r="F367" s="418" t="s">
        <v>6997</v>
      </c>
      <c r="G367" s="603">
        <v>1</v>
      </c>
      <c r="H367" s="603">
        <v>0</v>
      </c>
      <c r="I367" s="601">
        <v>332310800000000</v>
      </c>
      <c r="J367" s="602"/>
      <c r="K367" s="891">
        <v>0</v>
      </c>
      <c r="L367" s="891">
        <v>0</v>
      </c>
      <c r="M367" s="996">
        <f t="shared" si="87"/>
        <v>0</v>
      </c>
      <c r="N367" s="796"/>
      <c r="P367" s="399"/>
    </row>
    <row r="368" spans="1:16" s="645" customFormat="1" ht="15" customHeight="1" x14ac:dyDescent="0.25">
      <c r="A368" s="397"/>
      <c r="B368" s="599">
        <f t="shared" si="88"/>
        <v>15006</v>
      </c>
      <c r="C368" s="600" t="s">
        <v>6062</v>
      </c>
      <c r="D368" s="528" t="str">
        <f t="shared" si="89"/>
        <v>15000</v>
      </c>
      <c r="E368" s="417">
        <v>333903944000000</v>
      </c>
      <c r="F368" s="418" t="s">
        <v>6999</v>
      </c>
      <c r="G368" s="603">
        <v>1</v>
      </c>
      <c r="H368" s="603">
        <v>0</v>
      </c>
      <c r="I368" s="601">
        <v>332310800000000</v>
      </c>
      <c r="J368" s="602"/>
      <c r="K368" s="891">
        <v>0</v>
      </c>
      <c r="L368" s="891">
        <v>0</v>
      </c>
      <c r="M368" s="996">
        <f t="shared" si="87"/>
        <v>0</v>
      </c>
      <c r="N368" s="796"/>
      <c r="P368" s="399"/>
    </row>
    <row r="369" spans="1:16" s="645" customFormat="1" ht="15" customHeight="1" x14ac:dyDescent="0.25">
      <c r="A369" s="397"/>
      <c r="B369" s="599">
        <f t="shared" si="88"/>
        <v>15007</v>
      </c>
      <c r="C369" s="600" t="s">
        <v>6062</v>
      </c>
      <c r="D369" s="528" t="str">
        <f t="shared" si="89"/>
        <v>15000</v>
      </c>
      <c r="E369" s="417">
        <v>333903947000000</v>
      </c>
      <c r="F369" s="418" t="s">
        <v>7001</v>
      </c>
      <c r="G369" s="603">
        <v>1</v>
      </c>
      <c r="H369" s="603">
        <v>0</v>
      </c>
      <c r="I369" s="601">
        <v>332310400000000</v>
      </c>
      <c r="J369" s="602"/>
      <c r="K369" s="891">
        <v>0</v>
      </c>
      <c r="L369" s="891">
        <v>0</v>
      </c>
      <c r="M369" s="996">
        <f t="shared" si="87"/>
        <v>0</v>
      </c>
      <c r="N369" s="796"/>
      <c r="P369" s="399"/>
    </row>
    <row r="370" spans="1:16" s="645" customFormat="1" ht="15" customHeight="1" x14ac:dyDescent="0.25">
      <c r="A370" s="397"/>
      <c r="B370" s="599">
        <f t="shared" si="88"/>
        <v>15008</v>
      </c>
      <c r="C370" s="600" t="s">
        <v>6062</v>
      </c>
      <c r="D370" s="528" t="str">
        <f t="shared" si="89"/>
        <v>15000</v>
      </c>
      <c r="E370" s="417">
        <v>333903948000000</v>
      </c>
      <c r="F370" s="418" t="s">
        <v>6911</v>
      </c>
      <c r="G370" s="603">
        <v>1</v>
      </c>
      <c r="H370" s="603">
        <v>0</v>
      </c>
      <c r="I370" s="601">
        <v>332313000000000</v>
      </c>
      <c r="J370" s="602" t="s">
        <v>6149</v>
      </c>
      <c r="K370" s="891">
        <v>0</v>
      </c>
      <c r="L370" s="891">
        <v>0</v>
      </c>
      <c r="M370" s="996">
        <f t="shared" si="87"/>
        <v>0</v>
      </c>
      <c r="N370" s="796"/>
      <c r="P370" s="399"/>
    </row>
    <row r="371" spans="1:16" s="645" customFormat="1" ht="15" customHeight="1" x14ac:dyDescent="0.25">
      <c r="A371" s="397"/>
      <c r="B371" s="599">
        <f t="shared" si="88"/>
        <v>15009</v>
      </c>
      <c r="C371" s="600" t="s">
        <v>6062</v>
      </c>
      <c r="D371" s="528" t="str">
        <f t="shared" si="89"/>
        <v>15000</v>
      </c>
      <c r="E371" s="417">
        <v>333903948000000</v>
      </c>
      <c r="F371" s="418" t="s">
        <v>6912</v>
      </c>
      <c r="G371" s="603">
        <v>1</v>
      </c>
      <c r="H371" s="603">
        <v>0</v>
      </c>
      <c r="I371" s="601">
        <v>332313000000000</v>
      </c>
      <c r="J371" s="602" t="s">
        <v>6150</v>
      </c>
      <c r="K371" s="891">
        <v>0</v>
      </c>
      <c r="L371" s="891">
        <v>0</v>
      </c>
      <c r="M371" s="996">
        <f t="shared" si="87"/>
        <v>0</v>
      </c>
      <c r="N371" s="796"/>
      <c r="P371" s="399"/>
    </row>
    <row r="372" spans="1:16" s="645" customFormat="1" ht="15" customHeight="1" x14ac:dyDescent="0.25">
      <c r="A372" s="397"/>
      <c r="B372" s="599">
        <f t="shared" si="88"/>
        <v>15010</v>
      </c>
      <c r="C372" s="600" t="s">
        <v>6062</v>
      </c>
      <c r="D372" s="528" t="str">
        <f t="shared" si="89"/>
        <v>15000</v>
      </c>
      <c r="E372" s="417">
        <v>333903948000000</v>
      </c>
      <c r="F372" s="418" t="s">
        <v>6996</v>
      </c>
      <c r="G372" s="603">
        <v>1</v>
      </c>
      <c r="H372" s="603">
        <v>0</v>
      </c>
      <c r="I372" s="601">
        <v>332313000000000</v>
      </c>
      <c r="J372" s="602" t="s">
        <v>6151</v>
      </c>
      <c r="K372" s="891">
        <v>0</v>
      </c>
      <c r="L372" s="891">
        <v>0</v>
      </c>
      <c r="M372" s="996">
        <f t="shared" si="87"/>
        <v>0</v>
      </c>
      <c r="N372" s="796"/>
      <c r="P372" s="399"/>
    </row>
    <row r="373" spans="1:16" s="645" customFormat="1" ht="15" customHeight="1" x14ac:dyDescent="0.25">
      <c r="A373" s="397"/>
      <c r="B373" s="599">
        <f t="shared" si="88"/>
        <v>15011</v>
      </c>
      <c r="C373" s="600" t="s">
        <v>6062</v>
      </c>
      <c r="D373" s="528" t="str">
        <f t="shared" si="89"/>
        <v>15000</v>
      </c>
      <c r="E373" s="417">
        <v>333903958010000</v>
      </c>
      <c r="F373" s="418" t="s">
        <v>7002</v>
      </c>
      <c r="G373" s="603">
        <v>1</v>
      </c>
      <c r="H373" s="603">
        <v>0</v>
      </c>
      <c r="I373" s="601">
        <v>332310400000000</v>
      </c>
      <c r="J373" s="602" t="s">
        <v>6136</v>
      </c>
      <c r="K373" s="891">
        <v>0</v>
      </c>
      <c r="L373" s="891">
        <v>0</v>
      </c>
      <c r="M373" s="996">
        <f t="shared" si="87"/>
        <v>0</v>
      </c>
      <c r="N373" s="796"/>
      <c r="P373" s="399"/>
    </row>
    <row r="374" spans="1:16" s="645" customFormat="1" ht="15" customHeight="1" x14ac:dyDescent="0.25">
      <c r="A374" s="397"/>
      <c r="B374" s="599">
        <f t="shared" si="88"/>
        <v>15012</v>
      </c>
      <c r="C374" s="600" t="s">
        <v>6062</v>
      </c>
      <c r="D374" s="528" t="str">
        <f t="shared" si="89"/>
        <v>15000</v>
      </c>
      <c r="E374" s="417">
        <v>333903958020000</v>
      </c>
      <c r="F374" s="418" t="s">
        <v>1150</v>
      </c>
      <c r="G374" s="603">
        <v>1</v>
      </c>
      <c r="H374" s="603">
        <v>0</v>
      </c>
      <c r="I374" s="601">
        <v>332310400000000</v>
      </c>
      <c r="J374" s="602" t="s">
        <v>6137</v>
      </c>
      <c r="K374" s="891">
        <v>0</v>
      </c>
      <c r="L374" s="891">
        <v>0</v>
      </c>
      <c r="M374" s="996">
        <f t="shared" si="87"/>
        <v>0</v>
      </c>
      <c r="N374" s="796"/>
      <c r="P374" s="399"/>
    </row>
    <row r="375" spans="1:16" s="645" customFormat="1" ht="15" customHeight="1" x14ac:dyDescent="0.25">
      <c r="A375" s="397"/>
      <c r="B375" s="599">
        <f t="shared" si="88"/>
        <v>15013</v>
      </c>
      <c r="C375" s="600" t="s">
        <v>6062</v>
      </c>
      <c r="D375" s="528" t="str">
        <f t="shared" si="89"/>
        <v>15000</v>
      </c>
      <c r="E375" s="417">
        <v>333903963000000</v>
      </c>
      <c r="F375" s="418" t="s">
        <v>5895</v>
      </c>
      <c r="G375" s="603">
        <v>1</v>
      </c>
      <c r="H375" s="603">
        <v>0</v>
      </c>
      <c r="I375" s="601">
        <v>332314600000000</v>
      </c>
      <c r="J375" s="602" t="s">
        <v>6139</v>
      </c>
      <c r="K375" s="891">
        <v>0</v>
      </c>
      <c r="L375" s="891">
        <v>0</v>
      </c>
      <c r="M375" s="996">
        <f t="shared" si="87"/>
        <v>0</v>
      </c>
      <c r="N375" s="796"/>
      <c r="P375" s="399"/>
    </row>
    <row r="376" spans="1:16" s="645" customFormat="1" ht="15" customHeight="1" x14ac:dyDescent="0.25">
      <c r="A376" s="397"/>
      <c r="B376" s="599">
        <f t="shared" si="88"/>
        <v>15014</v>
      </c>
      <c r="C376" s="600" t="s">
        <v>6062</v>
      </c>
      <c r="D376" s="528" t="str">
        <f t="shared" si="89"/>
        <v>15000</v>
      </c>
      <c r="E376" s="417">
        <v>333903978000000</v>
      </c>
      <c r="F376" s="418" t="s">
        <v>5897</v>
      </c>
      <c r="G376" s="603">
        <v>1</v>
      </c>
      <c r="H376" s="603">
        <v>0</v>
      </c>
      <c r="I376" s="601">
        <v>332310600000000</v>
      </c>
      <c r="J376" s="602" t="s">
        <v>6101</v>
      </c>
      <c r="K376" s="891">
        <v>0</v>
      </c>
      <c r="L376" s="891">
        <v>0</v>
      </c>
      <c r="M376" s="996">
        <f t="shared" si="87"/>
        <v>0</v>
      </c>
      <c r="N376" s="796"/>
      <c r="P376" s="399"/>
    </row>
    <row r="377" spans="1:16" s="645" customFormat="1" ht="15" customHeight="1" x14ac:dyDescent="0.25">
      <c r="A377" s="397"/>
      <c r="B377" s="599">
        <f t="shared" si="88"/>
        <v>15015</v>
      </c>
      <c r="C377" s="600" t="s">
        <v>6062</v>
      </c>
      <c r="D377" s="528" t="str">
        <f t="shared" si="89"/>
        <v>15000</v>
      </c>
      <c r="E377" s="417">
        <v>333903983000000</v>
      </c>
      <c r="F377" s="418" t="s">
        <v>7004</v>
      </c>
      <c r="G377" s="603">
        <v>1</v>
      </c>
      <c r="H377" s="603">
        <v>0</v>
      </c>
      <c r="I377" s="601">
        <v>332319900000000</v>
      </c>
      <c r="J377" s="602"/>
      <c r="K377" s="891">
        <v>0</v>
      </c>
      <c r="L377" s="891">
        <v>0</v>
      </c>
      <c r="M377" s="996">
        <f t="shared" si="87"/>
        <v>0</v>
      </c>
      <c r="N377" s="796"/>
      <c r="P377" s="399"/>
    </row>
    <row r="378" spans="1:16" s="645" customFormat="1" ht="15" customHeight="1" x14ac:dyDescent="0.25">
      <c r="A378" s="397"/>
      <c r="B378" s="599">
        <f t="shared" si="88"/>
        <v>15016</v>
      </c>
      <c r="C378" s="600" t="s">
        <v>6062</v>
      </c>
      <c r="D378" s="528" t="str">
        <f t="shared" si="89"/>
        <v>15000</v>
      </c>
      <c r="E378" s="417">
        <v>333903990000000</v>
      </c>
      <c r="F378" s="418" t="s">
        <v>1098</v>
      </c>
      <c r="G378" s="603">
        <v>1</v>
      </c>
      <c r="H378" s="603">
        <v>0</v>
      </c>
      <c r="I378" s="601">
        <v>332310500000000</v>
      </c>
      <c r="J378" s="602" t="s">
        <v>6153</v>
      </c>
      <c r="K378" s="891">
        <v>0</v>
      </c>
      <c r="L378" s="891">
        <v>0</v>
      </c>
      <c r="M378" s="996">
        <f t="shared" si="87"/>
        <v>0</v>
      </c>
      <c r="N378" s="796"/>
      <c r="P378" s="399"/>
    </row>
    <row r="379" spans="1:16" s="645" customFormat="1" ht="15" customHeight="1" x14ac:dyDescent="0.25">
      <c r="A379" s="397"/>
      <c r="B379" s="599">
        <f t="shared" si="88"/>
        <v>15017</v>
      </c>
      <c r="C379" s="600" t="s">
        <v>6062</v>
      </c>
      <c r="D379" s="528" t="str">
        <f t="shared" si="89"/>
        <v>15000</v>
      </c>
      <c r="E379" s="417">
        <v>333903992000000</v>
      </c>
      <c r="F379" s="418" t="s">
        <v>1097</v>
      </c>
      <c r="G379" s="603">
        <v>1</v>
      </c>
      <c r="H379" s="603">
        <v>0</v>
      </c>
      <c r="I379" s="601">
        <v>332310500000000</v>
      </c>
      <c r="J379" s="602" t="s">
        <v>6152</v>
      </c>
      <c r="K379" s="891">
        <v>0</v>
      </c>
      <c r="L379" s="891">
        <v>0</v>
      </c>
      <c r="M379" s="996">
        <f t="shared" si="87"/>
        <v>0</v>
      </c>
      <c r="N379" s="796"/>
      <c r="P379" s="399"/>
    </row>
    <row r="380" spans="1:16" s="645" customFormat="1" ht="15" customHeight="1" x14ac:dyDescent="0.25">
      <c r="A380" s="397"/>
      <c r="B380" s="599">
        <f t="shared" si="88"/>
        <v>15018</v>
      </c>
      <c r="C380" s="600" t="s">
        <v>6062</v>
      </c>
      <c r="D380" s="528" t="str">
        <f t="shared" si="89"/>
        <v>15000</v>
      </c>
      <c r="E380" s="417">
        <v>333903993000000</v>
      </c>
      <c r="F380" s="418" t="s">
        <v>2189</v>
      </c>
      <c r="G380" s="603">
        <v>1</v>
      </c>
      <c r="H380" s="603">
        <v>0</v>
      </c>
      <c r="I380" s="601">
        <v>332310500000000</v>
      </c>
      <c r="J380" s="602" t="s">
        <v>6154</v>
      </c>
      <c r="K380" s="891">
        <v>0</v>
      </c>
      <c r="L380" s="891">
        <v>0</v>
      </c>
      <c r="M380" s="996">
        <f t="shared" si="87"/>
        <v>0</v>
      </c>
      <c r="N380" s="796"/>
      <c r="P380" s="399"/>
    </row>
    <row r="381" spans="1:16" s="645" customFormat="1" ht="15" customHeight="1" x14ac:dyDescent="0.25">
      <c r="A381" s="397"/>
      <c r="B381" s="599">
        <f t="shared" si="88"/>
        <v>15019</v>
      </c>
      <c r="C381" s="600" t="s">
        <v>6062</v>
      </c>
      <c r="D381" s="528" t="str">
        <f t="shared" si="89"/>
        <v>15000</v>
      </c>
      <c r="E381" s="417">
        <v>333903995000000</v>
      </c>
      <c r="F381" s="418" t="s">
        <v>3164</v>
      </c>
      <c r="G381" s="603">
        <v>1</v>
      </c>
      <c r="H381" s="603">
        <v>0</v>
      </c>
      <c r="I381" s="601">
        <v>332311100000000</v>
      </c>
      <c r="J381" s="602" t="s">
        <v>6155</v>
      </c>
      <c r="K381" s="891">
        <v>0</v>
      </c>
      <c r="L381" s="891">
        <v>0</v>
      </c>
      <c r="M381" s="996">
        <f t="shared" si="87"/>
        <v>0</v>
      </c>
      <c r="N381" s="796"/>
      <c r="P381" s="399"/>
    </row>
    <row r="382" spans="1:16" s="645" customFormat="1" ht="15" customHeight="1" x14ac:dyDescent="0.25">
      <c r="A382" s="397"/>
      <c r="B382" s="599">
        <f t="shared" si="88"/>
        <v>15020</v>
      </c>
      <c r="C382" s="600" t="s">
        <v>6062</v>
      </c>
      <c r="D382" s="528" t="str">
        <f t="shared" si="89"/>
        <v>15000</v>
      </c>
      <c r="E382" s="417">
        <v>333903999010000</v>
      </c>
      <c r="F382" s="418" t="s">
        <v>2449</v>
      </c>
      <c r="G382" s="603">
        <v>1</v>
      </c>
      <c r="H382" s="603">
        <v>0</v>
      </c>
      <c r="I382" s="601">
        <v>332310700000000</v>
      </c>
      <c r="J382" s="602" t="s">
        <v>6156</v>
      </c>
      <c r="K382" s="891">
        <v>0</v>
      </c>
      <c r="L382" s="891">
        <v>0</v>
      </c>
      <c r="M382" s="996">
        <f t="shared" si="87"/>
        <v>0</v>
      </c>
      <c r="N382" s="796"/>
      <c r="P382" s="399"/>
    </row>
    <row r="383" spans="1:16" s="645" customFormat="1" ht="15" customHeight="1" x14ac:dyDescent="0.25">
      <c r="A383" s="397"/>
      <c r="B383" s="599">
        <f t="shared" si="88"/>
        <v>15021</v>
      </c>
      <c r="C383" s="600" t="s">
        <v>6062</v>
      </c>
      <c r="D383" s="528" t="str">
        <f t="shared" si="89"/>
        <v>15000</v>
      </c>
      <c r="E383" s="417">
        <v>333903999040000</v>
      </c>
      <c r="F383" s="418" t="s">
        <v>5812</v>
      </c>
      <c r="G383" s="603">
        <v>1</v>
      </c>
      <c r="H383" s="603">
        <v>0</v>
      </c>
      <c r="I383" s="601">
        <v>332319900000000</v>
      </c>
      <c r="J383" s="602" t="s">
        <v>6160</v>
      </c>
      <c r="K383" s="891">
        <v>0</v>
      </c>
      <c r="L383" s="891">
        <v>0</v>
      </c>
      <c r="M383" s="996">
        <f t="shared" si="87"/>
        <v>0</v>
      </c>
      <c r="N383" s="796"/>
      <c r="P383" s="399"/>
    </row>
    <row r="384" spans="1:16" s="645" customFormat="1" ht="15" customHeight="1" x14ac:dyDescent="0.25">
      <c r="A384" s="397"/>
      <c r="B384" s="1398" t="s">
        <v>7062</v>
      </c>
      <c r="C384" s="1398"/>
      <c r="D384" s="1398"/>
      <c r="E384" s="417">
        <v>333904700000000</v>
      </c>
      <c r="F384" s="418" t="s">
        <v>990</v>
      </c>
      <c r="G384" s="468">
        <v>1</v>
      </c>
      <c r="H384" s="468">
        <v>0</v>
      </c>
      <c r="I384" s="751"/>
      <c r="J384" s="878" t="s">
        <v>7054</v>
      </c>
      <c r="K384" s="789">
        <f>'Parâmetros financeiros Despesa'!E211</f>
        <v>1058.25</v>
      </c>
      <c r="L384" s="789">
        <f>((('Parâmetros financeiros Despesa'!F202+'Parâmetros financeiros Despesa'!F206+'Parâmetros financeiros Despesa'!F209))*((1+'Parâmetros financeiros Despesa'!F$4)*(1+'Parâmetros financeiros Despesa'!F$7)))*(1+'Parâmetros financeiros Despesa'!F$83)</f>
        <v>5239.4789900999995</v>
      </c>
      <c r="M384" s="799">
        <f>L384/L$428</f>
        <v>8.8813941090764691E-3</v>
      </c>
      <c r="N384" s="894"/>
      <c r="O384" s="796"/>
      <c r="P384" s="399"/>
    </row>
    <row r="385" spans="1:16" s="645" customFormat="1" ht="15" customHeight="1" x14ac:dyDescent="0.25">
      <c r="A385" s="397"/>
      <c r="B385" s="599">
        <f>B384+1</f>
        <v>15101</v>
      </c>
      <c r="C385" s="600" t="s">
        <v>6062</v>
      </c>
      <c r="D385" s="528" t="str">
        <f>B384</f>
        <v>15100</v>
      </c>
      <c r="E385" s="417">
        <v>333904718000000</v>
      </c>
      <c r="F385" s="418" t="s">
        <v>5904</v>
      </c>
      <c r="G385" s="603">
        <v>1</v>
      </c>
      <c r="H385" s="603">
        <v>0</v>
      </c>
      <c r="I385" s="601">
        <v>372110400000000</v>
      </c>
      <c r="J385" s="602" t="s">
        <v>6131</v>
      </c>
      <c r="K385" s="891">
        <v>0</v>
      </c>
      <c r="L385" s="891">
        <v>0</v>
      </c>
      <c r="M385" s="996">
        <f t="shared" ref="M385:M386" si="90">L385/L$428</f>
        <v>0</v>
      </c>
      <c r="N385" s="796"/>
      <c r="P385" s="399"/>
    </row>
    <row r="386" spans="1:16" s="645" customFormat="1" ht="15" customHeight="1" x14ac:dyDescent="0.25">
      <c r="A386" s="397"/>
      <c r="B386" s="599">
        <f>B385+1</f>
        <v>15102</v>
      </c>
      <c r="C386" s="600" t="s">
        <v>6062</v>
      </c>
      <c r="D386" s="528">
        <v>15100</v>
      </c>
      <c r="E386" s="417">
        <v>333904720000000</v>
      </c>
      <c r="F386" s="418" t="s">
        <v>5905</v>
      </c>
      <c r="G386" s="603">
        <v>1</v>
      </c>
      <c r="H386" s="603">
        <v>0</v>
      </c>
      <c r="I386" s="601">
        <v>372110500000000</v>
      </c>
      <c r="J386" s="602" t="s">
        <v>6160</v>
      </c>
      <c r="K386" s="891">
        <v>0</v>
      </c>
      <c r="L386" s="891">
        <v>0</v>
      </c>
      <c r="M386" s="996">
        <f t="shared" si="90"/>
        <v>0</v>
      </c>
      <c r="N386" s="796"/>
      <c r="P386" s="399"/>
    </row>
    <row r="387" spans="1:16" s="645" customFormat="1" ht="15" customHeight="1" x14ac:dyDescent="0.25">
      <c r="A387" s="397"/>
      <c r="B387" s="1398" t="s">
        <v>7063</v>
      </c>
      <c r="C387" s="1398"/>
      <c r="D387" s="1398"/>
      <c r="E387" s="417">
        <v>333904900000000</v>
      </c>
      <c r="F387" s="418" t="s">
        <v>7167</v>
      </c>
      <c r="G387" s="468">
        <v>1</v>
      </c>
      <c r="H387" s="468">
        <v>0</v>
      </c>
      <c r="I387" s="751"/>
      <c r="J387" s="878" t="s">
        <v>7055</v>
      </c>
      <c r="K387" s="789">
        <f>'Parâmetros financeiros Despesa'!E212</f>
        <v>3201.915</v>
      </c>
      <c r="L387" s="789">
        <f>('Parâmetros financeiros Despesa'!F212)*2+(('Parâmetros financeiros Despesa'!F212)*10)*(1+'Parâmetros financeiros Despesa'!F$4)*(1+'Parâmetros financeiros Despesa'!F$8)</f>
        <v>3349.9540261701213</v>
      </c>
      <c r="M387" s="799">
        <f>L387/L$428</f>
        <v>5.6784771939960522E-3</v>
      </c>
      <c r="N387" s="894"/>
      <c r="O387" s="796"/>
      <c r="P387" s="399"/>
    </row>
    <row r="388" spans="1:16" s="645" customFormat="1" ht="15" customHeight="1" x14ac:dyDescent="0.25">
      <c r="A388" s="397"/>
      <c r="B388" s="599">
        <f>B387+1</f>
        <v>15201</v>
      </c>
      <c r="C388" s="600" t="s">
        <v>6062</v>
      </c>
      <c r="D388" s="528" t="str">
        <f>B387</f>
        <v>15200</v>
      </c>
      <c r="E388" s="417">
        <v>333904901000000</v>
      </c>
      <c r="F388" s="418" t="s">
        <v>6042</v>
      </c>
      <c r="G388" s="603">
        <v>1</v>
      </c>
      <c r="H388" s="603">
        <v>0</v>
      </c>
      <c r="I388" s="601">
        <v>313110200000000</v>
      </c>
      <c r="J388" s="602" t="s">
        <v>6163</v>
      </c>
      <c r="K388" s="891">
        <v>0</v>
      </c>
      <c r="L388" s="891">
        <v>0</v>
      </c>
      <c r="M388" s="996">
        <f t="shared" ref="M388" si="91">L388/L$428</f>
        <v>0</v>
      </c>
      <c r="N388" s="796"/>
      <c r="P388" s="399"/>
    </row>
    <row r="389" spans="1:16" s="645" customFormat="1" ht="15" customHeight="1" x14ac:dyDescent="0.25">
      <c r="A389" s="397"/>
      <c r="B389" s="1398" t="s">
        <v>7064</v>
      </c>
      <c r="C389" s="1398"/>
      <c r="D389" s="1398"/>
      <c r="E389" s="417">
        <v>333909300000000</v>
      </c>
      <c r="F389" s="418" t="s">
        <v>5818</v>
      </c>
      <c r="G389" s="468">
        <v>1</v>
      </c>
      <c r="H389" s="468">
        <v>0</v>
      </c>
      <c r="I389" s="751"/>
      <c r="J389" s="878" t="s">
        <v>7054</v>
      </c>
      <c r="K389" s="789">
        <f>'Parâmetros financeiros Despesa'!E213</f>
        <v>88.5</v>
      </c>
      <c r="L389" s="789">
        <f>('Parâmetros financeiros Despesa'!F213)*((1+'Parâmetros financeiros Despesa'!F$4)*(1+'Parâmetros financeiros Despesa'!F$7))</f>
        <v>968.75953775000005</v>
      </c>
      <c r="M389" s="799">
        <f>L389/L$428</f>
        <v>1.6421356527894543E-3</v>
      </c>
      <c r="N389" s="894"/>
      <c r="O389" s="796"/>
      <c r="P389" s="399"/>
    </row>
    <row r="390" spans="1:16" s="645" customFormat="1" ht="15" customHeight="1" x14ac:dyDescent="0.25">
      <c r="A390" s="397"/>
      <c r="B390" s="599">
        <f>B389+1</f>
        <v>15301</v>
      </c>
      <c r="C390" s="600" t="s">
        <v>6062</v>
      </c>
      <c r="D390" s="528" t="str">
        <f>B389</f>
        <v>15300</v>
      </c>
      <c r="E390" s="417">
        <v>333909399000000</v>
      </c>
      <c r="F390" s="418" t="s">
        <v>1038</v>
      </c>
      <c r="G390" s="603">
        <v>1</v>
      </c>
      <c r="H390" s="603">
        <v>0</v>
      </c>
      <c r="I390" s="601">
        <v>399910300000000</v>
      </c>
      <c r="J390" s="602" t="s">
        <v>6164</v>
      </c>
      <c r="K390" s="891">
        <v>0</v>
      </c>
      <c r="L390" s="891">
        <v>0</v>
      </c>
      <c r="M390" s="996">
        <f t="shared" ref="M390" si="92">L390/L$428</f>
        <v>0</v>
      </c>
      <c r="N390" s="796"/>
      <c r="P390" s="399"/>
    </row>
    <row r="391" spans="1:16" s="645" customFormat="1" ht="15" customHeight="1" x14ac:dyDescent="0.25">
      <c r="A391" s="397"/>
      <c r="B391" s="1398" t="s">
        <v>7065</v>
      </c>
      <c r="C391" s="1398"/>
      <c r="D391" s="1398"/>
      <c r="E391" s="417">
        <v>333933000000000</v>
      </c>
      <c r="F391" s="418" t="s">
        <v>7066</v>
      </c>
      <c r="G391" s="468">
        <v>1</v>
      </c>
      <c r="H391" s="468">
        <v>0</v>
      </c>
      <c r="I391" s="751"/>
      <c r="J391" s="878" t="s">
        <v>6197</v>
      </c>
      <c r="K391" s="789">
        <f>'Parâmetros financeiros Despesa'!E214</f>
        <v>0</v>
      </c>
      <c r="L391" s="789">
        <f>('Parâmetros financeiros Despesa'!F214)*((1+'Parâmetros financeiros Despesa'!F$4)*(1+'Parâmetros financeiros Despesa'!F$7))</f>
        <v>3270.9945000000002</v>
      </c>
      <c r="M391" s="799">
        <f>L391/L$428</f>
        <v>5.5446336053667561E-3</v>
      </c>
      <c r="N391" s="894"/>
      <c r="O391" s="796"/>
      <c r="P391" s="399"/>
    </row>
    <row r="392" spans="1:16" s="645" customFormat="1" ht="15" customHeight="1" x14ac:dyDescent="0.25">
      <c r="A392" s="397"/>
      <c r="B392" s="599">
        <f>B391+1</f>
        <v>15401</v>
      </c>
      <c r="C392" s="600" t="s">
        <v>6062</v>
      </c>
      <c r="D392" s="528" t="str">
        <f>B391</f>
        <v>15400</v>
      </c>
      <c r="E392" s="417">
        <v>333933002000000</v>
      </c>
      <c r="F392" s="418" t="s">
        <v>6199</v>
      </c>
      <c r="G392" s="603">
        <v>1</v>
      </c>
      <c r="H392" s="603">
        <v>0</v>
      </c>
      <c r="I392" s="601">
        <v>35</v>
      </c>
      <c r="J392" s="602" t="s">
        <v>6198</v>
      </c>
      <c r="K392" s="891">
        <v>0</v>
      </c>
      <c r="L392" s="891">
        <v>0</v>
      </c>
      <c r="M392" s="996">
        <f t="shared" ref="M392" si="93">L392/L$428</f>
        <v>0</v>
      </c>
      <c r="N392" s="796"/>
      <c r="P392" s="399"/>
    </row>
    <row r="393" spans="1:16" s="645" customFormat="1" ht="15" customHeight="1" x14ac:dyDescent="0.25">
      <c r="A393" s="397"/>
      <c r="B393" s="1385" t="s">
        <v>5951</v>
      </c>
      <c r="C393" s="1385"/>
      <c r="D393" s="1385"/>
      <c r="E393" s="1385"/>
      <c r="F393" s="1385"/>
      <c r="G393" s="401"/>
      <c r="H393" s="401"/>
      <c r="I393" s="426"/>
      <c r="J393" s="411"/>
      <c r="K393" s="402">
        <f t="shared" ref="K393:L395" si="94">K394</f>
        <v>0</v>
      </c>
      <c r="L393" s="402">
        <f t="shared" si="94"/>
        <v>31325.784999999996</v>
      </c>
      <c r="M393" s="451">
        <f>L393/L$428</f>
        <v>5.3100058781967933E-2</v>
      </c>
      <c r="N393" s="796"/>
      <c r="P393" s="399"/>
    </row>
    <row r="394" spans="1:16" s="645" customFormat="1" ht="15" customHeight="1" x14ac:dyDescent="0.25">
      <c r="A394" s="397"/>
      <c r="B394" s="1386" t="s">
        <v>7005</v>
      </c>
      <c r="C394" s="1386"/>
      <c r="D394" s="1386"/>
      <c r="E394" s="1386"/>
      <c r="F394" s="1386"/>
      <c r="G394" s="403"/>
      <c r="H394" s="403"/>
      <c r="I394" s="427"/>
      <c r="J394" s="412"/>
      <c r="K394" s="404">
        <f t="shared" si="94"/>
        <v>0</v>
      </c>
      <c r="L394" s="404">
        <f t="shared" si="94"/>
        <v>31325.784999999996</v>
      </c>
      <c r="M394" s="452">
        <f>L394/L$428</f>
        <v>5.3100058781967933E-2</v>
      </c>
      <c r="N394" s="796"/>
      <c r="P394" s="399"/>
    </row>
    <row r="395" spans="1:16" s="645" customFormat="1" ht="15" customHeight="1" x14ac:dyDescent="0.25">
      <c r="A395" s="397"/>
      <c r="B395" s="1382" t="s">
        <v>2286</v>
      </c>
      <c r="C395" s="1382"/>
      <c r="D395" s="1382"/>
      <c r="E395" s="1382"/>
      <c r="F395" s="1382"/>
      <c r="G395" s="405"/>
      <c r="H395" s="405"/>
      <c r="I395" s="428"/>
      <c r="J395" s="413"/>
      <c r="K395" s="406">
        <f t="shared" si="94"/>
        <v>0</v>
      </c>
      <c r="L395" s="406">
        <f t="shared" si="94"/>
        <v>31325.784999999996</v>
      </c>
      <c r="M395" s="453">
        <f>L395/L$428</f>
        <v>5.3100058781967933E-2</v>
      </c>
      <c r="N395" s="796"/>
      <c r="P395" s="399"/>
    </row>
    <row r="396" spans="1:16" s="645" customFormat="1" ht="15" customHeight="1" x14ac:dyDescent="0.25">
      <c r="A396" s="397"/>
      <c r="B396" s="1383" t="s">
        <v>2290</v>
      </c>
      <c r="C396" s="1383"/>
      <c r="D396" s="1383"/>
      <c r="E396" s="1383"/>
      <c r="F396" s="1383"/>
      <c r="G396" s="407"/>
      <c r="H396" s="407"/>
      <c r="I396" s="429"/>
      <c r="J396" s="414"/>
      <c r="K396" s="408">
        <f>SUM(K397:K402)</f>
        <v>0</v>
      </c>
      <c r="L396" s="408">
        <f>SUM(L397:L402)+0.01</f>
        <v>31325.784999999996</v>
      </c>
      <c r="M396" s="454">
        <f>L396/L$428</f>
        <v>5.3100058781967933E-2</v>
      </c>
      <c r="N396" s="796"/>
      <c r="P396" s="399"/>
    </row>
    <row r="397" spans="1:16" s="645" customFormat="1" ht="15" customHeight="1" x14ac:dyDescent="0.25">
      <c r="A397" s="397"/>
      <c r="B397" s="1398" t="s">
        <v>7067</v>
      </c>
      <c r="C397" s="1398"/>
      <c r="D397" s="1398"/>
      <c r="E397" s="417">
        <v>333309300000000</v>
      </c>
      <c r="F397" s="418" t="s">
        <v>7006</v>
      </c>
      <c r="G397" s="468">
        <v>1155</v>
      </c>
      <c r="H397" s="468">
        <v>0</v>
      </c>
      <c r="I397" s="751"/>
      <c r="J397" s="878" t="s">
        <v>7071</v>
      </c>
      <c r="K397" s="789">
        <f>'Parâmetros financeiros Despesa'!E216</f>
        <v>0</v>
      </c>
      <c r="L397" s="789">
        <f>'Parâmetros financeiros Despesa'!F216</f>
        <v>1000</v>
      </c>
      <c r="M397" s="799">
        <f>L397/L$428</f>
        <v>1.6950910817388276E-3</v>
      </c>
      <c r="N397" s="796"/>
      <c r="P397" s="399"/>
    </row>
    <row r="398" spans="1:16" s="645" customFormat="1" ht="15" customHeight="1" x14ac:dyDescent="0.25">
      <c r="A398" s="397"/>
      <c r="B398" s="1396">
        <v>16100</v>
      </c>
      <c r="C398" s="1396"/>
      <c r="D398" s="1396"/>
      <c r="E398" s="417">
        <v>333903000000000</v>
      </c>
      <c r="F398" s="418" t="s">
        <v>1955</v>
      </c>
      <c r="G398" s="468">
        <v>1155</v>
      </c>
      <c r="H398" s="468">
        <v>0</v>
      </c>
      <c r="I398" s="751"/>
      <c r="J398" s="878" t="s">
        <v>7071</v>
      </c>
      <c r="K398" s="789">
        <f>'Parâmetros financeiros Despesa'!E217</f>
        <v>0</v>
      </c>
      <c r="L398" s="789">
        <f>'Parâmetros financeiros Despesa'!F217</f>
        <v>1000</v>
      </c>
      <c r="M398" s="799">
        <f t="shared" ref="M398:M402" si="95">L398/L$428</f>
        <v>1.6950910817388276E-3</v>
      </c>
      <c r="N398" s="796"/>
      <c r="P398" s="399"/>
    </row>
    <row r="399" spans="1:16" s="645" customFormat="1" ht="15" customHeight="1" x14ac:dyDescent="0.25">
      <c r="A399" s="397"/>
      <c r="B399" s="1396">
        <v>16200</v>
      </c>
      <c r="C399" s="1396"/>
      <c r="D399" s="1396"/>
      <c r="E399" s="417">
        <v>333903000000000</v>
      </c>
      <c r="F399" s="418" t="s">
        <v>7009</v>
      </c>
      <c r="G399" s="468">
        <v>1</v>
      </c>
      <c r="H399" s="468">
        <v>0</v>
      </c>
      <c r="I399" s="751"/>
      <c r="J399" s="878" t="s">
        <v>7071</v>
      </c>
      <c r="K399" s="789">
        <f>'Parâmetros financeiros Despesa'!E218</f>
        <v>0</v>
      </c>
      <c r="L399" s="789">
        <f>'Parâmetros financeiros Despesa'!F218</f>
        <v>6265.1549999999997</v>
      </c>
      <c r="M399" s="799">
        <f t="shared" si="95"/>
        <v>1.0620008366211424E-2</v>
      </c>
      <c r="N399" s="894"/>
      <c r="O399" s="796"/>
      <c r="P399" s="399"/>
    </row>
    <row r="400" spans="1:16" s="645" customFormat="1" ht="15" customHeight="1" x14ac:dyDescent="0.25">
      <c r="A400" s="397"/>
      <c r="B400" s="1398" t="s">
        <v>7068</v>
      </c>
      <c r="C400" s="1398"/>
      <c r="D400" s="1398"/>
      <c r="E400" s="417">
        <v>333903600000000</v>
      </c>
      <c r="F400" s="418" t="s">
        <v>5388</v>
      </c>
      <c r="G400" s="468">
        <v>1155</v>
      </c>
      <c r="H400" s="468">
        <v>0</v>
      </c>
      <c r="I400" s="751"/>
      <c r="J400" s="878" t="s">
        <v>7071</v>
      </c>
      <c r="K400" s="789">
        <f>'Parâmetros financeiros Despesa'!E219</f>
        <v>0</v>
      </c>
      <c r="L400" s="789">
        <f>'Parâmetros financeiros Despesa'!F219</f>
        <v>1000</v>
      </c>
      <c r="M400" s="799">
        <f t="shared" si="95"/>
        <v>1.6950910817388276E-3</v>
      </c>
      <c r="N400" s="796"/>
      <c r="P400" s="399"/>
    </row>
    <row r="401" spans="1:16" s="645" customFormat="1" ht="15" customHeight="1" x14ac:dyDescent="0.25">
      <c r="A401" s="397"/>
      <c r="B401" s="1398" t="s">
        <v>7069</v>
      </c>
      <c r="C401" s="1398"/>
      <c r="D401" s="1398"/>
      <c r="E401" s="417">
        <v>333903900000000</v>
      </c>
      <c r="F401" s="418" t="s">
        <v>7007</v>
      </c>
      <c r="G401" s="468">
        <v>1155</v>
      </c>
      <c r="H401" s="468">
        <v>0</v>
      </c>
      <c r="I401" s="751"/>
      <c r="J401" s="878" t="s">
        <v>7071</v>
      </c>
      <c r="K401" s="789">
        <f>'Parâmetros financeiros Despesa'!E220</f>
        <v>0</v>
      </c>
      <c r="L401" s="789">
        <f>'Parâmetros financeiros Despesa'!F220</f>
        <v>21860.62</v>
      </c>
      <c r="M401" s="799">
        <f t="shared" si="95"/>
        <v>3.7055742003281447E-2</v>
      </c>
      <c r="N401" s="796"/>
      <c r="P401" s="399"/>
    </row>
    <row r="402" spans="1:16" s="645" customFormat="1" ht="15" customHeight="1" x14ac:dyDescent="0.25">
      <c r="A402" s="397"/>
      <c r="B402" s="1398" t="s">
        <v>7070</v>
      </c>
      <c r="C402" s="1398"/>
      <c r="D402" s="1398"/>
      <c r="E402" s="417">
        <v>333904700000000</v>
      </c>
      <c r="F402" s="418" t="s">
        <v>990</v>
      </c>
      <c r="G402" s="468">
        <v>1155</v>
      </c>
      <c r="H402" s="468">
        <v>0</v>
      </c>
      <c r="I402" s="751"/>
      <c r="J402" s="878" t="s">
        <v>7071</v>
      </c>
      <c r="K402" s="789">
        <f>'Parâmetros financeiros Despesa'!E221</f>
        <v>0</v>
      </c>
      <c r="L402" s="789">
        <f>'Parâmetros financeiros Despesa'!F221</f>
        <v>200</v>
      </c>
      <c r="M402" s="799">
        <f t="shared" si="95"/>
        <v>3.3901821634776556E-4</v>
      </c>
      <c r="N402" s="796"/>
      <c r="P402" s="399"/>
    </row>
    <row r="403" spans="1:16" s="645" customFormat="1" ht="15" customHeight="1" x14ac:dyDescent="0.25">
      <c r="A403" s="397"/>
      <c r="B403" s="1385" t="s">
        <v>5951</v>
      </c>
      <c r="C403" s="1385"/>
      <c r="D403" s="1385"/>
      <c r="E403" s="1385"/>
      <c r="F403" s="1385"/>
      <c r="G403" s="401"/>
      <c r="H403" s="401"/>
      <c r="I403" s="426"/>
      <c r="J403" s="411"/>
      <c r="K403" s="402">
        <f t="shared" ref="K403:L405" si="96">K404</f>
        <v>59987.024999999994</v>
      </c>
      <c r="L403" s="402">
        <f t="shared" si="96"/>
        <v>80234.251348787497</v>
      </c>
      <c r="M403" s="451">
        <f>L403/L$428</f>
        <v>0.1360043639113212</v>
      </c>
      <c r="N403" s="796"/>
      <c r="P403" s="399"/>
    </row>
    <row r="404" spans="1:16" s="645" customFormat="1" ht="15" customHeight="1" x14ac:dyDescent="0.25">
      <c r="A404" s="397"/>
      <c r="B404" s="1386" t="s">
        <v>7008</v>
      </c>
      <c r="C404" s="1386"/>
      <c r="D404" s="1386"/>
      <c r="E404" s="1386"/>
      <c r="F404" s="1386"/>
      <c r="G404" s="403"/>
      <c r="H404" s="403"/>
      <c r="I404" s="427"/>
      <c r="J404" s="412"/>
      <c r="K404" s="404">
        <f t="shared" si="96"/>
        <v>59987.024999999994</v>
      </c>
      <c r="L404" s="404">
        <f t="shared" si="96"/>
        <v>80234.251348787497</v>
      </c>
      <c r="M404" s="452">
        <f>L404/L$428</f>
        <v>0.1360043639113212</v>
      </c>
      <c r="N404" s="796"/>
      <c r="P404" s="399"/>
    </row>
    <row r="405" spans="1:16" s="645" customFormat="1" ht="15" customHeight="1" x14ac:dyDescent="0.25">
      <c r="A405" s="397"/>
      <c r="B405" s="1382" t="s">
        <v>2286</v>
      </c>
      <c r="C405" s="1382"/>
      <c r="D405" s="1382"/>
      <c r="E405" s="1382"/>
      <c r="F405" s="1382"/>
      <c r="G405" s="405"/>
      <c r="H405" s="405"/>
      <c r="I405" s="428"/>
      <c r="J405" s="413"/>
      <c r="K405" s="406">
        <f t="shared" si="96"/>
        <v>59987.024999999994</v>
      </c>
      <c r="L405" s="406">
        <f t="shared" si="96"/>
        <v>80234.251348787497</v>
      </c>
      <c r="M405" s="453">
        <f>L405/L$428</f>
        <v>0.1360043639113212</v>
      </c>
      <c r="N405" s="796"/>
      <c r="P405" s="399"/>
    </row>
    <row r="406" spans="1:16" s="645" customFormat="1" ht="15" customHeight="1" x14ac:dyDescent="0.25">
      <c r="A406" s="397"/>
      <c r="B406" s="1383" t="s">
        <v>2287</v>
      </c>
      <c r="C406" s="1383"/>
      <c r="D406" s="1383"/>
      <c r="E406" s="1383"/>
      <c r="F406" s="1383"/>
      <c r="G406" s="407"/>
      <c r="H406" s="407"/>
      <c r="I406" s="429"/>
      <c r="J406" s="414"/>
      <c r="K406" s="408">
        <f>SUM(K407+K410+K412+K420+K423)</f>
        <v>59987.024999999994</v>
      </c>
      <c r="L406" s="408">
        <f>SUM(L407+L410+L412+L420+L423)</f>
        <v>80234.251348787497</v>
      </c>
      <c r="M406" s="454">
        <f>L406/L$428</f>
        <v>0.1360043639113212</v>
      </c>
      <c r="N406" s="796"/>
      <c r="P406" s="399"/>
    </row>
    <row r="407" spans="1:16" s="645" customFormat="1" ht="15" customHeight="1" x14ac:dyDescent="0.25">
      <c r="A407" s="397"/>
      <c r="B407" s="1396">
        <v>17000</v>
      </c>
      <c r="C407" s="1396"/>
      <c r="D407" s="1396"/>
      <c r="E407" s="417">
        <v>333903000000000</v>
      </c>
      <c r="F407" s="418" t="s">
        <v>7181</v>
      </c>
      <c r="G407" s="468">
        <v>1</v>
      </c>
      <c r="H407" s="468">
        <v>0</v>
      </c>
      <c r="I407" s="751"/>
      <c r="J407" s="878" t="s">
        <v>7076</v>
      </c>
      <c r="K407" s="789">
        <f>'Parâmetros financeiros Despesa'!E223+'Parâmetros financeiros Despesa'!E224</f>
        <v>0</v>
      </c>
      <c r="L407" s="789">
        <f>('Parâmetros financeiros Despesa'!F223+'Parâmetros financeiros Despesa'!F224)*(1+'Parâmetros financeiros Despesa'!F$4)*(1+'Parâmetros financeiros Despesa'!F$7)</f>
        <v>4361.326</v>
      </c>
      <c r="M407" s="799">
        <f>L407/L$428</f>
        <v>7.3928448071556747E-3</v>
      </c>
      <c r="N407" s="894"/>
      <c r="O407" s="796"/>
      <c r="P407" s="399"/>
    </row>
    <row r="408" spans="1:16" s="645" customFormat="1" ht="15" customHeight="1" x14ac:dyDescent="0.25">
      <c r="A408" s="397"/>
      <c r="B408" s="478">
        <f>B407+1</f>
        <v>17001</v>
      </c>
      <c r="C408" s="528" t="s">
        <v>6062</v>
      </c>
      <c r="D408" s="528">
        <v>17000</v>
      </c>
      <c r="E408" s="417">
        <v>333903017000000</v>
      </c>
      <c r="F408" s="418" t="s">
        <v>5753</v>
      </c>
      <c r="G408" s="603">
        <v>1</v>
      </c>
      <c r="H408" s="603">
        <v>0</v>
      </c>
      <c r="I408" s="601">
        <v>331111700000000</v>
      </c>
      <c r="J408" s="602" t="s">
        <v>6098</v>
      </c>
      <c r="K408" s="891">
        <v>0</v>
      </c>
      <c r="L408" s="891">
        <v>0</v>
      </c>
      <c r="M408" s="996">
        <f t="shared" ref="M408:M409" si="97">L408/L$428</f>
        <v>0</v>
      </c>
      <c r="N408" s="796"/>
      <c r="P408" s="399"/>
    </row>
    <row r="409" spans="1:16" s="645" customFormat="1" ht="15" customHeight="1" x14ac:dyDescent="0.25">
      <c r="A409" s="397"/>
      <c r="B409" s="478">
        <f>B408+1</f>
        <v>17002</v>
      </c>
      <c r="C409" s="528" t="s">
        <v>6062</v>
      </c>
      <c r="D409" s="528">
        <f>D408</f>
        <v>17000</v>
      </c>
      <c r="E409" s="417">
        <v>333903017000000</v>
      </c>
      <c r="F409" s="418" t="s">
        <v>5754</v>
      </c>
      <c r="G409" s="603">
        <v>1</v>
      </c>
      <c r="H409" s="603">
        <v>0</v>
      </c>
      <c r="I409" s="601">
        <v>617</v>
      </c>
      <c r="J409" s="602" t="s">
        <v>6098</v>
      </c>
      <c r="K409" s="891">
        <v>0</v>
      </c>
      <c r="L409" s="891">
        <v>0</v>
      </c>
      <c r="M409" s="996">
        <f t="shared" si="97"/>
        <v>0</v>
      </c>
      <c r="N409" s="796"/>
      <c r="P409" s="399"/>
    </row>
    <row r="410" spans="1:16" s="645" customFormat="1" ht="15" customHeight="1" x14ac:dyDescent="0.25">
      <c r="A410" s="397"/>
      <c r="B410" s="1398" t="s">
        <v>7072</v>
      </c>
      <c r="C410" s="1398"/>
      <c r="D410" s="1398"/>
      <c r="E410" s="417">
        <v>333903600000000</v>
      </c>
      <c r="F410" s="418" t="s">
        <v>7177</v>
      </c>
      <c r="G410" s="468">
        <v>1</v>
      </c>
      <c r="H410" s="468">
        <v>0</v>
      </c>
      <c r="I410" s="751"/>
      <c r="J410" s="878" t="s">
        <v>7076</v>
      </c>
      <c r="K410" s="789">
        <f>'Parâmetros financeiros Despesa'!E225</f>
        <v>0</v>
      </c>
      <c r="L410" s="789">
        <f>('Parâmetros financeiros Despesa'!F225)*(1+'Parâmetros financeiros Despesa'!F$4)*(1+'Parâmetros financeiros Despesa'!F$7)</f>
        <v>2725.8287500000001</v>
      </c>
      <c r="M410" s="799">
        <f>L410/L$428</f>
        <v>4.6205280044722971E-3</v>
      </c>
      <c r="N410" s="894"/>
      <c r="O410" s="796"/>
      <c r="P410" s="399"/>
    </row>
    <row r="411" spans="1:16" s="645" customFormat="1" ht="15" customHeight="1" x14ac:dyDescent="0.25">
      <c r="A411" s="397"/>
      <c r="B411" s="599">
        <f>B410+1</f>
        <v>17101</v>
      </c>
      <c r="C411" s="600" t="s">
        <v>6062</v>
      </c>
      <c r="D411" s="528" t="str">
        <f>B410</f>
        <v>17100</v>
      </c>
      <c r="E411" s="417">
        <v>333903606000000</v>
      </c>
      <c r="F411" s="418" t="s">
        <v>1151</v>
      </c>
      <c r="G411" s="603">
        <v>1</v>
      </c>
      <c r="H411" s="603">
        <v>0</v>
      </c>
      <c r="I411" s="601">
        <v>332211500000000</v>
      </c>
      <c r="J411" s="602" t="s">
        <v>6131</v>
      </c>
      <c r="K411" s="891">
        <v>0</v>
      </c>
      <c r="L411" s="891">
        <v>0</v>
      </c>
      <c r="M411" s="996">
        <f>L411/L$428</f>
        <v>0</v>
      </c>
      <c r="N411" s="796"/>
      <c r="P411" s="399"/>
    </row>
    <row r="412" spans="1:16" s="645" customFormat="1" ht="15" customHeight="1" x14ac:dyDescent="0.25">
      <c r="A412" s="397"/>
      <c r="B412" s="1398" t="s">
        <v>7073</v>
      </c>
      <c r="C412" s="1398"/>
      <c r="D412" s="1398"/>
      <c r="E412" s="417">
        <v>333903900000000</v>
      </c>
      <c r="F412" s="418" t="s">
        <v>7178</v>
      </c>
      <c r="G412" s="468">
        <v>1</v>
      </c>
      <c r="H412" s="468">
        <v>0</v>
      </c>
      <c r="I412" s="751"/>
      <c r="J412" s="878" t="s">
        <v>7076</v>
      </c>
      <c r="K412" s="789">
        <f>'Parâmetros financeiros Despesa'!E226+'Parâmetros financeiros Despesa'!E227</f>
        <v>59987.024999999994</v>
      </c>
      <c r="L412" s="789">
        <f>('Parâmetros financeiros Despesa'!F226+'Parâmetros financeiros Despesa'!F227)*(1+'Parâmetros financeiros Despesa'!F$4)*(1+'Parâmetros financeiros Despesa'!F$7)</f>
        <v>67586.405948787491</v>
      </c>
      <c r="M412" s="799">
        <f>L412/L$428</f>
        <v>0.11456511397056973</v>
      </c>
      <c r="N412" s="894"/>
      <c r="O412" s="796"/>
      <c r="P412" s="399"/>
    </row>
    <row r="413" spans="1:16" s="645" customFormat="1" ht="15" customHeight="1" x14ac:dyDescent="0.25">
      <c r="A413" s="397"/>
      <c r="B413" s="599">
        <f t="shared" ref="B413:B419" si="98">B412+1</f>
        <v>17201</v>
      </c>
      <c r="C413" s="600" t="s">
        <v>6062</v>
      </c>
      <c r="D413" s="528">
        <v>17200</v>
      </c>
      <c r="E413" s="417">
        <v>333903905000000</v>
      </c>
      <c r="F413" s="418" t="s">
        <v>1151</v>
      </c>
      <c r="G413" s="603">
        <v>1</v>
      </c>
      <c r="H413" s="603">
        <v>0</v>
      </c>
      <c r="I413" s="601">
        <v>332315100000000</v>
      </c>
      <c r="J413" s="602" t="s">
        <v>6127</v>
      </c>
      <c r="K413" s="891">
        <v>0</v>
      </c>
      <c r="L413" s="891">
        <v>0</v>
      </c>
      <c r="M413" s="996">
        <f t="shared" ref="M413:M419" si="99">L413/L$428</f>
        <v>0</v>
      </c>
      <c r="N413" s="796"/>
      <c r="P413" s="399"/>
    </row>
    <row r="414" spans="1:16" s="645" customFormat="1" ht="15" customHeight="1" x14ac:dyDescent="0.25">
      <c r="A414" s="397"/>
      <c r="B414" s="599">
        <f t="shared" si="98"/>
        <v>17202</v>
      </c>
      <c r="C414" s="600" t="s">
        <v>6062</v>
      </c>
      <c r="D414" s="528">
        <f t="shared" ref="D414:D419" si="100">D413</f>
        <v>17200</v>
      </c>
      <c r="E414" s="417">
        <v>333903908000000</v>
      </c>
      <c r="F414" s="418" t="s">
        <v>7010</v>
      </c>
      <c r="G414" s="603">
        <v>1</v>
      </c>
      <c r="H414" s="603">
        <v>0</v>
      </c>
      <c r="I414" s="601">
        <v>332315100000000</v>
      </c>
      <c r="J414" s="602" t="s">
        <v>6127</v>
      </c>
      <c r="K414" s="891">
        <v>0</v>
      </c>
      <c r="L414" s="891">
        <v>0</v>
      </c>
      <c r="M414" s="996">
        <f t="shared" si="99"/>
        <v>0</v>
      </c>
      <c r="N414" s="796"/>
      <c r="P414" s="399"/>
    </row>
    <row r="415" spans="1:16" s="645" customFormat="1" ht="15" customHeight="1" x14ac:dyDescent="0.25">
      <c r="A415" s="397"/>
      <c r="B415" s="599">
        <f t="shared" si="98"/>
        <v>17203</v>
      </c>
      <c r="C415" s="600" t="s">
        <v>6062</v>
      </c>
      <c r="D415" s="528">
        <f t="shared" si="100"/>
        <v>17200</v>
      </c>
      <c r="E415" s="417">
        <v>333903911000000</v>
      </c>
      <c r="F415" s="418" t="s">
        <v>2623</v>
      </c>
      <c r="G415" s="603">
        <v>1</v>
      </c>
      <c r="H415" s="603">
        <v>0</v>
      </c>
      <c r="I415" s="601">
        <v>332315100000000</v>
      </c>
      <c r="J415" s="602" t="s">
        <v>6127</v>
      </c>
      <c r="K415" s="891">
        <v>0</v>
      </c>
      <c r="L415" s="891">
        <v>0</v>
      </c>
      <c r="M415" s="996">
        <f t="shared" si="99"/>
        <v>0</v>
      </c>
      <c r="N415" s="796"/>
      <c r="P415" s="399"/>
    </row>
    <row r="416" spans="1:16" s="645" customFormat="1" ht="15" customHeight="1" x14ac:dyDescent="0.25">
      <c r="A416" s="397"/>
      <c r="B416" s="599">
        <f t="shared" si="98"/>
        <v>17204</v>
      </c>
      <c r="C416" s="600" t="s">
        <v>6062</v>
      </c>
      <c r="D416" s="528">
        <f t="shared" si="100"/>
        <v>17200</v>
      </c>
      <c r="E416" s="417">
        <v>333903930000000</v>
      </c>
      <c r="F416" s="418" t="s">
        <v>2629</v>
      </c>
      <c r="G416" s="603">
        <v>1</v>
      </c>
      <c r="H416" s="603">
        <v>0</v>
      </c>
      <c r="I416" s="601">
        <v>332315100000000</v>
      </c>
      <c r="J416" s="602" t="s">
        <v>6127</v>
      </c>
      <c r="K416" s="891">
        <v>0</v>
      </c>
      <c r="L416" s="891">
        <v>0</v>
      </c>
      <c r="M416" s="996">
        <f t="shared" si="99"/>
        <v>0</v>
      </c>
      <c r="N416" s="796"/>
      <c r="P416" s="399"/>
    </row>
    <row r="417" spans="1:16" s="645" customFormat="1" ht="15" customHeight="1" x14ac:dyDescent="0.25">
      <c r="A417" s="397"/>
      <c r="B417" s="599">
        <f t="shared" si="98"/>
        <v>17205</v>
      </c>
      <c r="C417" s="600" t="s">
        <v>6062</v>
      </c>
      <c r="D417" s="528">
        <f t="shared" si="100"/>
        <v>17200</v>
      </c>
      <c r="E417" s="417">
        <v>333903948000000</v>
      </c>
      <c r="F417" s="418" t="s">
        <v>2158</v>
      </c>
      <c r="G417" s="603">
        <v>1</v>
      </c>
      <c r="H417" s="603">
        <v>0</v>
      </c>
      <c r="I417" s="601">
        <v>332315100000000</v>
      </c>
      <c r="J417" s="602" t="s">
        <v>6127</v>
      </c>
      <c r="K417" s="891">
        <v>0</v>
      </c>
      <c r="L417" s="891">
        <v>0</v>
      </c>
      <c r="M417" s="996">
        <f t="shared" si="99"/>
        <v>0</v>
      </c>
      <c r="N417" s="796"/>
      <c r="P417" s="399"/>
    </row>
    <row r="418" spans="1:16" s="645" customFormat="1" ht="15" customHeight="1" x14ac:dyDescent="0.25">
      <c r="A418" s="397"/>
      <c r="B418" s="599">
        <f t="shared" si="98"/>
        <v>17206</v>
      </c>
      <c r="C418" s="600" t="s">
        <v>6062</v>
      </c>
      <c r="D418" s="528">
        <f t="shared" si="100"/>
        <v>17200</v>
      </c>
      <c r="E418" s="417">
        <v>333903958030000</v>
      </c>
      <c r="F418" s="418" t="s">
        <v>7011</v>
      </c>
      <c r="G418" s="603">
        <v>1</v>
      </c>
      <c r="H418" s="603">
        <v>0</v>
      </c>
      <c r="I418" s="601">
        <v>332315100000000</v>
      </c>
      <c r="J418" s="602" t="s">
        <v>6127</v>
      </c>
      <c r="K418" s="891">
        <v>0</v>
      </c>
      <c r="L418" s="891">
        <v>0</v>
      </c>
      <c r="M418" s="996">
        <f t="shared" si="99"/>
        <v>0</v>
      </c>
      <c r="N418" s="796"/>
      <c r="P418" s="399"/>
    </row>
    <row r="419" spans="1:16" s="645" customFormat="1" ht="15" customHeight="1" x14ac:dyDescent="0.25">
      <c r="A419" s="397"/>
      <c r="B419" s="599">
        <f t="shared" si="98"/>
        <v>17207</v>
      </c>
      <c r="C419" s="600" t="s">
        <v>6062</v>
      </c>
      <c r="D419" s="528">
        <f t="shared" si="100"/>
        <v>17200</v>
      </c>
      <c r="E419" s="417">
        <v>333903999040000</v>
      </c>
      <c r="F419" s="418" t="s">
        <v>5812</v>
      </c>
      <c r="G419" s="603">
        <v>1</v>
      </c>
      <c r="H419" s="603">
        <v>0</v>
      </c>
      <c r="I419" s="601">
        <v>332319900000000</v>
      </c>
      <c r="J419" s="602" t="s">
        <v>6160</v>
      </c>
      <c r="K419" s="891">
        <v>0</v>
      </c>
      <c r="L419" s="891">
        <v>0</v>
      </c>
      <c r="M419" s="996">
        <f t="shared" si="99"/>
        <v>0</v>
      </c>
      <c r="N419" s="796"/>
      <c r="P419" s="399"/>
    </row>
    <row r="420" spans="1:16" s="645" customFormat="1" ht="15" customHeight="1" x14ac:dyDescent="0.25">
      <c r="A420" s="397"/>
      <c r="B420" s="1398" t="s">
        <v>7074</v>
      </c>
      <c r="C420" s="1398"/>
      <c r="D420" s="1398"/>
      <c r="E420" s="417">
        <v>333904700000000</v>
      </c>
      <c r="F420" s="418" t="s">
        <v>7179</v>
      </c>
      <c r="G420" s="468">
        <v>1</v>
      </c>
      <c r="H420" s="468">
        <v>0</v>
      </c>
      <c r="I420" s="751"/>
      <c r="J420" s="878" t="s">
        <v>7076</v>
      </c>
      <c r="K420" s="789">
        <f>'Parâmetros financeiros Despesa'!E229</f>
        <v>0</v>
      </c>
      <c r="L420" s="789">
        <f>('Parâmetros financeiros Despesa'!F224+'Parâmetros financeiros Despesa'!F225+'Parâmetros financeiros Despesa'!F227)*((1+'Parâmetros financeiros Despesa'!F4)*(1+'Parâmetros financeiros Despesa'!F7)*('Parâmetros financeiros Despesa'!F83))</f>
        <v>1199.3646500000002</v>
      </c>
      <c r="M420" s="799">
        <f>L420/L$428</f>
        <v>2.0330323219678106E-3</v>
      </c>
      <c r="N420" s="894"/>
      <c r="O420" s="796"/>
      <c r="P420" s="399"/>
    </row>
    <row r="421" spans="1:16" s="645" customFormat="1" ht="15" customHeight="1" x14ac:dyDescent="0.25">
      <c r="A421" s="397"/>
      <c r="B421" s="599">
        <f>B420+1</f>
        <v>17301</v>
      </c>
      <c r="C421" s="600" t="s">
        <v>6062</v>
      </c>
      <c r="D421" s="528" t="str">
        <f>B420</f>
        <v>17300</v>
      </c>
      <c r="E421" s="417">
        <v>333904718000000</v>
      </c>
      <c r="F421" s="418" t="s">
        <v>5904</v>
      </c>
      <c r="G421" s="603">
        <v>1</v>
      </c>
      <c r="H421" s="603">
        <v>0</v>
      </c>
      <c r="I421" s="601">
        <v>372110400000000</v>
      </c>
      <c r="J421" s="602" t="s">
        <v>6131</v>
      </c>
      <c r="K421" s="891">
        <v>0</v>
      </c>
      <c r="L421" s="891">
        <v>0</v>
      </c>
      <c r="M421" s="996">
        <f>L421/L$428</f>
        <v>0</v>
      </c>
      <c r="N421" s="796"/>
      <c r="P421" s="399"/>
    </row>
    <row r="422" spans="1:16" s="645" customFormat="1" ht="15" customHeight="1" x14ac:dyDescent="0.25">
      <c r="A422" s="397"/>
      <c r="B422" s="599">
        <f>B421+1</f>
        <v>17302</v>
      </c>
      <c r="C422" s="600" t="s">
        <v>6062</v>
      </c>
      <c r="D422" s="528">
        <v>17300</v>
      </c>
      <c r="E422" s="417">
        <v>333904720000000</v>
      </c>
      <c r="F422" s="418" t="s">
        <v>5905</v>
      </c>
      <c r="G422" s="603">
        <v>1</v>
      </c>
      <c r="H422" s="603">
        <v>0</v>
      </c>
      <c r="I422" s="601">
        <v>372110500000000</v>
      </c>
      <c r="J422" s="602" t="s">
        <v>6160</v>
      </c>
      <c r="K422" s="891">
        <v>0</v>
      </c>
      <c r="L422" s="891">
        <v>0</v>
      </c>
      <c r="M422" s="996">
        <f>L422/L$428</f>
        <v>0</v>
      </c>
      <c r="N422" s="796"/>
      <c r="P422" s="399"/>
    </row>
    <row r="423" spans="1:16" s="457" customFormat="1" ht="15" customHeight="1" x14ac:dyDescent="0.25">
      <c r="A423" s="396"/>
      <c r="B423" s="1398" t="s">
        <v>7075</v>
      </c>
      <c r="C423" s="1398"/>
      <c r="D423" s="1398"/>
      <c r="E423" s="854">
        <v>344905200000000</v>
      </c>
      <c r="F423" s="855" t="s">
        <v>7180</v>
      </c>
      <c r="G423" s="468">
        <v>1</v>
      </c>
      <c r="H423" s="468">
        <v>0</v>
      </c>
      <c r="I423" s="751"/>
      <c r="J423" s="878" t="s">
        <v>7076</v>
      </c>
      <c r="K423" s="789">
        <f>'Parâmetros financeiros Despesa'!E29</f>
        <v>0</v>
      </c>
      <c r="L423" s="789">
        <f>('Parâmetros financeiros Despesa'!F228)*(1+'Parâmetros financeiros Despesa'!F$4)*(1+'Parâmetros financeiros Despesa'!F$7)</f>
        <v>4361.326</v>
      </c>
      <c r="M423" s="799">
        <f>L423/L$428</f>
        <v>7.3928448071556747E-3</v>
      </c>
      <c r="N423" s="894"/>
      <c r="O423" s="796"/>
      <c r="P423" s="734"/>
    </row>
    <row r="424" spans="1:16" s="820" customFormat="1" ht="15" customHeight="1" x14ac:dyDescent="0.25">
      <c r="B424" s="864" t="s">
        <v>22</v>
      </c>
      <c r="C424" s="864"/>
      <c r="D424" s="864"/>
      <c r="E424" s="864"/>
      <c r="F424" s="864"/>
      <c r="G424" s="864"/>
      <c r="H424" s="864"/>
      <c r="I424" s="864"/>
      <c r="J424" s="864"/>
      <c r="K424" s="863">
        <f>K404+K394+K289+K280+K271+K238</f>
        <v>404764.13499999989</v>
      </c>
      <c r="L424" s="863">
        <f>L404+L394+L289+L280+L271+L238</f>
        <v>564878.180795411</v>
      </c>
      <c r="M424" s="452">
        <f>L424/L$428</f>
        <v>0.95751996653515425</v>
      </c>
      <c r="N424" s="796"/>
      <c r="P424" s="399"/>
    </row>
    <row r="425" spans="1:16" s="820" customFormat="1" ht="15" customHeight="1" x14ac:dyDescent="0.25">
      <c r="B425" s="864" t="s">
        <v>11469</v>
      </c>
      <c r="C425" s="864"/>
      <c r="D425" s="864"/>
      <c r="E425" s="864"/>
      <c r="F425" s="864"/>
      <c r="G425" s="864"/>
      <c r="H425" s="864"/>
      <c r="I425" s="864"/>
      <c r="J425" s="864"/>
      <c r="K425" s="863"/>
      <c r="L425" s="863"/>
      <c r="M425" s="452"/>
      <c r="N425" s="796"/>
      <c r="P425" s="399"/>
    </row>
    <row r="426" spans="1:16" s="31" customFormat="1" ht="15" customHeight="1" x14ac:dyDescent="0.25">
      <c r="B426" s="869" t="s">
        <v>745</v>
      </c>
      <c r="C426" s="869"/>
      <c r="D426" s="869"/>
      <c r="E426" s="869"/>
      <c r="F426" s="869"/>
      <c r="G426" s="869"/>
      <c r="H426" s="869"/>
      <c r="I426" s="869"/>
      <c r="J426" s="869"/>
      <c r="K426" s="870">
        <f>K424</f>
        <v>404764.13499999989</v>
      </c>
      <c r="L426" s="870">
        <f>L424</f>
        <v>564878.180795411</v>
      </c>
      <c r="M426" s="871">
        <f>L426/L$428</f>
        <v>0.95751996653515425</v>
      </c>
      <c r="N426" s="897"/>
      <c r="P426" s="736"/>
    </row>
    <row r="427" spans="1:16" s="31" customFormat="1" ht="15" customHeight="1" x14ac:dyDescent="0.25">
      <c r="B427" s="869" t="s">
        <v>11521</v>
      </c>
      <c r="C427" s="869"/>
      <c r="D427" s="869"/>
      <c r="E427" s="869"/>
      <c r="F427" s="869"/>
      <c r="G427" s="869"/>
      <c r="H427" s="869"/>
      <c r="I427" s="869"/>
      <c r="J427" s="869"/>
      <c r="K427" s="870">
        <v>0</v>
      </c>
      <c r="L427" s="870">
        <v>25060.62</v>
      </c>
      <c r="M427" s="871">
        <f>L427/L$428</f>
        <v>4.2480033464845697E-2</v>
      </c>
      <c r="N427" s="897"/>
      <c r="P427" s="736"/>
    </row>
    <row r="428" spans="1:16" s="115" customFormat="1" ht="15" customHeight="1" x14ac:dyDescent="0.25">
      <c r="B428" s="864" t="s">
        <v>2172</v>
      </c>
      <c r="C428" s="864"/>
      <c r="D428" s="864"/>
      <c r="E428" s="864"/>
      <c r="F428" s="864"/>
      <c r="G428" s="864"/>
      <c r="H428" s="864"/>
      <c r="I428" s="864"/>
      <c r="J428" s="864"/>
      <c r="K428" s="863">
        <f>SUM(K426:K427)</f>
        <v>404764.13499999989</v>
      </c>
      <c r="L428" s="863">
        <f>SUM(L426:L427)</f>
        <v>589938.80079541099</v>
      </c>
      <c r="M428" s="452">
        <f>L428/L$428</f>
        <v>1</v>
      </c>
      <c r="O428" s="894"/>
      <c r="P428" s="733"/>
    </row>
    <row r="429" spans="1:16" s="660" customFormat="1" ht="15" customHeight="1" x14ac:dyDescent="0.25">
      <c r="A429" s="397"/>
      <c r="B429" s="648"/>
      <c r="C429" s="658"/>
      <c r="D429" s="658"/>
      <c r="E429" s="649"/>
      <c r="F429" s="642"/>
      <c r="G429" s="650"/>
      <c r="H429" s="650"/>
      <c r="I429" s="651"/>
      <c r="J429" s="652"/>
      <c r="K429" s="653"/>
      <c r="L429" s="653"/>
      <c r="M429" s="654"/>
      <c r="N429" s="796"/>
      <c r="P429" s="399"/>
    </row>
    <row r="430" spans="1:16" s="660" customFormat="1" ht="15" customHeight="1" x14ac:dyDescent="0.25">
      <c r="A430" s="397"/>
      <c r="B430" s="648"/>
      <c r="C430" s="658"/>
      <c r="D430" s="658"/>
      <c r="E430" s="649"/>
      <c r="F430" s="642"/>
      <c r="G430" s="650"/>
      <c r="H430" s="650"/>
      <c r="I430" s="651"/>
      <c r="J430" s="652"/>
      <c r="K430" s="653"/>
      <c r="L430" s="653"/>
      <c r="M430" s="654"/>
      <c r="N430" s="796"/>
      <c r="P430" s="399"/>
    </row>
    <row r="431" spans="1:16" s="660" customFormat="1" ht="15" customHeight="1" x14ac:dyDescent="0.25">
      <c r="A431" s="397"/>
      <c r="B431" s="648"/>
      <c r="C431" s="658"/>
      <c r="D431" s="658"/>
      <c r="E431" s="649"/>
      <c r="F431" s="642"/>
      <c r="G431" s="650"/>
      <c r="H431" s="650"/>
      <c r="I431" s="651"/>
      <c r="J431" s="652"/>
      <c r="K431" s="653"/>
      <c r="L431" s="653"/>
      <c r="M431" s="654"/>
      <c r="N431" s="796"/>
      <c r="P431" s="399"/>
    </row>
    <row r="432" spans="1:16" s="660" customFormat="1" ht="15" customHeight="1" x14ac:dyDescent="0.25">
      <c r="A432" s="397"/>
      <c r="B432" s="648"/>
      <c r="C432" s="658"/>
      <c r="D432" s="658"/>
      <c r="E432" s="649"/>
      <c r="F432" s="642"/>
      <c r="G432" s="650"/>
      <c r="H432" s="650"/>
      <c r="I432" s="651"/>
      <c r="J432" s="652"/>
      <c r="K432" s="653"/>
      <c r="L432" s="653"/>
      <c r="M432" s="654"/>
      <c r="N432" s="796"/>
      <c r="P432" s="399"/>
    </row>
    <row r="433" spans="1:16" s="660" customFormat="1" ht="15" customHeight="1" x14ac:dyDescent="0.25">
      <c r="A433" s="397"/>
      <c r="B433" s="655"/>
      <c r="C433" s="658"/>
      <c r="D433" s="656"/>
      <c r="E433" s="649"/>
      <c r="F433" s="642"/>
      <c r="G433" s="650"/>
      <c r="H433" s="650"/>
      <c r="I433" s="651"/>
      <c r="J433" s="652"/>
      <c r="K433" s="653"/>
      <c r="L433" s="653"/>
      <c r="M433" s="654"/>
      <c r="N433" s="796"/>
      <c r="P433" s="399"/>
    </row>
    <row r="434" spans="1:16" s="435" customFormat="1" ht="15" customHeight="1" x14ac:dyDescent="0.25">
      <c r="B434" s="659" t="s">
        <v>989</v>
      </c>
      <c r="C434" s="659"/>
      <c r="D434" s="481"/>
      <c r="E434" s="1371" t="s">
        <v>6887</v>
      </c>
      <c r="F434" s="1371"/>
      <c r="G434" s="1371"/>
      <c r="H434" s="1371"/>
      <c r="I434" s="1371"/>
      <c r="J434" s="437"/>
      <c r="K434" s="940"/>
      <c r="L434" s="438"/>
      <c r="M434" s="449"/>
      <c r="N434" s="892"/>
      <c r="P434" s="732"/>
    </row>
    <row r="435" spans="1:16" s="435" customFormat="1" ht="15" customHeight="1" x14ac:dyDescent="0.25">
      <c r="B435" s="659" t="s">
        <v>458</v>
      </c>
      <c r="C435" s="659"/>
      <c r="D435" s="481"/>
      <c r="E435" s="1371" t="s">
        <v>7012</v>
      </c>
      <c r="F435" s="1371"/>
      <c r="G435" s="1371"/>
      <c r="H435" s="1371"/>
      <c r="I435" s="1371"/>
      <c r="J435" s="437"/>
      <c r="K435" s="940"/>
      <c r="L435" s="438"/>
      <c r="M435" s="449"/>
      <c r="N435" s="892"/>
      <c r="P435" s="732"/>
    </row>
    <row r="436" spans="1:16" s="435" customFormat="1" ht="15" customHeight="1" x14ac:dyDescent="0.25">
      <c r="B436" s="661" t="s">
        <v>5764</v>
      </c>
      <c r="C436" s="661"/>
      <c r="D436" s="661"/>
      <c r="E436" s="1371" t="s">
        <v>749</v>
      </c>
      <c r="F436" s="1371"/>
      <c r="G436" s="1371"/>
      <c r="H436" s="1371"/>
      <c r="I436" s="1371"/>
      <c r="J436" s="440"/>
      <c r="K436" s="941"/>
      <c r="L436" s="438"/>
      <c r="M436" s="449"/>
      <c r="N436" s="892"/>
      <c r="P436" s="732"/>
    </row>
    <row r="437" spans="1:16" s="645" customFormat="1" ht="113.25" customHeight="1" x14ac:dyDescent="0.25">
      <c r="A437" s="396"/>
      <c r="B437" s="1400" t="s">
        <v>2296</v>
      </c>
      <c r="C437" s="1400"/>
      <c r="D437" s="1400"/>
      <c r="E437" s="1384" t="s">
        <v>2297</v>
      </c>
      <c r="F437" s="1384"/>
      <c r="G437" s="443" t="s">
        <v>444</v>
      </c>
      <c r="H437" s="443" t="s">
        <v>2245</v>
      </c>
      <c r="I437" s="444" t="s">
        <v>5725</v>
      </c>
      <c r="J437" s="849" t="s">
        <v>2275</v>
      </c>
      <c r="K437" s="893" t="s">
        <v>11644</v>
      </c>
      <c r="L437" s="890" t="s">
        <v>11522</v>
      </c>
      <c r="M437" s="450" t="s">
        <v>235</v>
      </c>
      <c r="N437" s="796"/>
      <c r="P437" s="399"/>
    </row>
    <row r="438" spans="1:16" s="115" customFormat="1" ht="15" customHeight="1" x14ac:dyDescent="0.25">
      <c r="A438" s="396"/>
      <c r="B438" s="1385" t="s">
        <v>5951</v>
      </c>
      <c r="C438" s="1385"/>
      <c r="D438" s="1385"/>
      <c r="E438" s="1385"/>
      <c r="F438" s="1385"/>
      <c r="G438" s="401"/>
      <c r="H438" s="401"/>
      <c r="I438" s="426"/>
      <c r="J438" s="411"/>
      <c r="K438" s="402">
        <f t="shared" ref="K438:L440" si="101">K439</f>
        <v>0</v>
      </c>
      <c r="L438" s="402">
        <f t="shared" si="101"/>
        <v>8589.6315570000006</v>
      </c>
      <c r="M438" s="451">
        <f t="shared" ref="M438:M443" si="102">L438/L$618</f>
        <v>1.1740856585549214E-2</v>
      </c>
      <c r="N438" s="894"/>
      <c r="P438" s="733"/>
    </row>
    <row r="439" spans="1:16" s="645" customFormat="1" ht="15" customHeight="1" x14ac:dyDescent="0.25">
      <c r="A439" s="396"/>
      <c r="B439" s="1386" t="s">
        <v>5950</v>
      </c>
      <c r="C439" s="1386"/>
      <c r="D439" s="1386"/>
      <c r="E439" s="1386"/>
      <c r="F439" s="1386"/>
      <c r="G439" s="403"/>
      <c r="H439" s="403"/>
      <c r="I439" s="427"/>
      <c r="J439" s="412"/>
      <c r="K439" s="404">
        <f t="shared" si="101"/>
        <v>0</v>
      </c>
      <c r="L439" s="404">
        <f t="shared" si="101"/>
        <v>8589.6315570000006</v>
      </c>
      <c r="M439" s="452">
        <f t="shared" si="102"/>
        <v>1.1740856585549214E-2</v>
      </c>
      <c r="N439" s="796"/>
      <c r="P439" s="399"/>
    </row>
    <row r="440" spans="1:16" s="645" customFormat="1" ht="15" customHeight="1" x14ac:dyDescent="0.25">
      <c r="A440" s="396"/>
      <c r="B440" s="1382" t="s">
        <v>2286</v>
      </c>
      <c r="C440" s="1382"/>
      <c r="D440" s="1382"/>
      <c r="E440" s="1382"/>
      <c r="F440" s="1382"/>
      <c r="G440" s="405"/>
      <c r="H440" s="405"/>
      <c r="I440" s="428"/>
      <c r="J440" s="413"/>
      <c r="K440" s="406">
        <f t="shared" si="101"/>
        <v>0</v>
      </c>
      <c r="L440" s="406">
        <f t="shared" si="101"/>
        <v>8589.6315570000006</v>
      </c>
      <c r="M440" s="453">
        <f t="shared" si="102"/>
        <v>1.1740856585549214E-2</v>
      </c>
      <c r="N440" s="796"/>
      <c r="P440" s="399"/>
    </row>
    <row r="441" spans="1:16" s="645" customFormat="1" ht="15" customHeight="1" x14ac:dyDescent="0.25">
      <c r="A441" s="396"/>
      <c r="B441" s="1383" t="s">
        <v>7013</v>
      </c>
      <c r="C441" s="1383"/>
      <c r="D441" s="1383"/>
      <c r="E441" s="1383"/>
      <c r="F441" s="1383"/>
      <c r="G441" s="407"/>
      <c r="H441" s="407"/>
      <c r="I441" s="429"/>
      <c r="J441" s="414"/>
      <c r="K441" s="408">
        <f>K442+K451+K456+K461+K466</f>
        <v>0</v>
      </c>
      <c r="L441" s="408">
        <f>L442+L451+L456+L461+L466</f>
        <v>8589.6315570000006</v>
      </c>
      <c r="M441" s="454">
        <f t="shared" si="102"/>
        <v>1.1740856585549214E-2</v>
      </c>
      <c r="N441" s="796"/>
      <c r="P441" s="399"/>
    </row>
    <row r="442" spans="1:16" s="645" customFormat="1" ht="15" customHeight="1" x14ac:dyDescent="0.25">
      <c r="A442" s="396"/>
      <c r="B442" s="1396">
        <v>18000</v>
      </c>
      <c r="C442" s="1396"/>
      <c r="D442" s="1396"/>
      <c r="E442" s="417">
        <v>333904700000000</v>
      </c>
      <c r="F442" s="600" t="s">
        <v>7089</v>
      </c>
      <c r="G442" s="468">
        <v>1</v>
      </c>
      <c r="H442" s="468">
        <v>0</v>
      </c>
      <c r="I442" s="751"/>
      <c r="J442" s="878" t="s">
        <v>7157</v>
      </c>
      <c r="K442" s="789">
        <f>((('Parâmetros financeiros Despesa'!E234+'Parâmetros financeiros Despesa'!E235+'Parâmetros financeiros Despesa'!E237)))</f>
        <v>0</v>
      </c>
      <c r="L442" s="789">
        <f>((('Parâmetros financeiros Despesa'!F234+'Parâmetros financeiros Despesa'!F235+'Parâmetros financeiros Despesa'!F237))*((1+'Parâmetros financeiros Despesa'!F$4)*(1+'Parâmetros financeiros Despesa'!F$7))*(1+'Parâmetros financeiros Despesa'!F$83))</f>
        <v>1962.5967000000001</v>
      </c>
      <c r="M442" s="799">
        <f t="shared" si="102"/>
        <v>2.6826024186327223E-3</v>
      </c>
      <c r="N442" s="894"/>
      <c r="O442" s="796"/>
      <c r="P442" s="399"/>
    </row>
    <row r="443" spans="1:16" s="645" customFormat="1" ht="15" customHeight="1" x14ac:dyDescent="0.25">
      <c r="A443" s="397"/>
      <c r="B443" s="478">
        <f>B442+1</f>
        <v>18001</v>
      </c>
      <c r="C443" s="600" t="s">
        <v>6062</v>
      </c>
      <c r="D443" s="528">
        <f>B442</f>
        <v>18000</v>
      </c>
      <c r="E443" s="417">
        <v>333904718000000</v>
      </c>
      <c r="F443" s="418" t="s">
        <v>7090</v>
      </c>
      <c r="G443" s="603">
        <v>1</v>
      </c>
      <c r="H443" s="603">
        <v>0</v>
      </c>
      <c r="I443" s="601">
        <v>17</v>
      </c>
      <c r="J443" s="602" t="s">
        <v>6976</v>
      </c>
      <c r="K443" s="891"/>
      <c r="L443" s="891">
        <v>0</v>
      </c>
      <c r="M443" s="996">
        <f t="shared" si="102"/>
        <v>0</v>
      </c>
      <c r="N443" s="796"/>
      <c r="P443" s="399"/>
    </row>
    <row r="444" spans="1:16" s="645" customFormat="1" ht="15" customHeight="1" x14ac:dyDescent="0.25">
      <c r="A444" s="397"/>
      <c r="B444" s="478">
        <f>B443+1</f>
        <v>18002</v>
      </c>
      <c r="C444" s="600" t="s">
        <v>6062</v>
      </c>
      <c r="D444" s="528">
        <f>D443</f>
        <v>18000</v>
      </c>
      <c r="E444" s="417">
        <v>333904718000000</v>
      </c>
      <c r="F444" s="418" t="s">
        <v>7091</v>
      </c>
      <c r="G444" s="603">
        <v>1</v>
      </c>
      <c r="H444" s="603">
        <v>0</v>
      </c>
      <c r="I444" s="601">
        <v>97</v>
      </c>
      <c r="J444" s="602" t="s">
        <v>6977</v>
      </c>
      <c r="K444" s="891"/>
      <c r="L444" s="891">
        <v>0</v>
      </c>
      <c r="M444" s="996">
        <f t="shared" ref="M444:M450" si="103">L444/L$618</f>
        <v>0</v>
      </c>
      <c r="N444" s="796"/>
      <c r="P444" s="399"/>
    </row>
    <row r="445" spans="1:16" s="645" customFormat="1" ht="15" customHeight="1" x14ac:dyDescent="0.25">
      <c r="A445" s="397"/>
      <c r="B445" s="478">
        <f t="shared" ref="B445:B450" si="104">B444+1</f>
        <v>18003</v>
      </c>
      <c r="C445" s="600" t="s">
        <v>6062</v>
      </c>
      <c r="D445" s="528">
        <f t="shared" ref="D445:D450" si="105">D444</f>
        <v>18000</v>
      </c>
      <c r="E445" s="417">
        <v>333904718000000</v>
      </c>
      <c r="F445" s="418" t="s">
        <v>7092</v>
      </c>
      <c r="G445" s="603">
        <v>1</v>
      </c>
      <c r="H445" s="603">
        <v>0</v>
      </c>
      <c r="I445" s="601">
        <v>1335</v>
      </c>
      <c r="J445" s="602" t="s">
        <v>6978</v>
      </c>
      <c r="K445" s="891"/>
      <c r="L445" s="891">
        <v>0</v>
      </c>
      <c r="M445" s="996">
        <f t="shared" si="103"/>
        <v>0</v>
      </c>
      <c r="N445" s="796"/>
      <c r="P445" s="399"/>
    </row>
    <row r="446" spans="1:16" s="645" customFormat="1" ht="15" customHeight="1" x14ac:dyDescent="0.25">
      <c r="A446" s="397"/>
      <c r="B446" s="478">
        <f t="shared" si="104"/>
        <v>18004</v>
      </c>
      <c r="C446" s="600" t="s">
        <v>6062</v>
      </c>
      <c r="D446" s="528">
        <f t="shared" si="105"/>
        <v>18000</v>
      </c>
      <c r="E446" s="417">
        <v>333904718000000</v>
      </c>
      <c r="F446" s="418" t="s">
        <v>7093</v>
      </c>
      <c r="G446" s="603">
        <v>1</v>
      </c>
      <c r="H446" s="603">
        <v>0</v>
      </c>
      <c r="I446" s="601">
        <v>1393</v>
      </c>
      <c r="J446" s="602" t="s">
        <v>6979</v>
      </c>
      <c r="K446" s="891"/>
      <c r="L446" s="891">
        <v>0</v>
      </c>
      <c r="M446" s="996">
        <f t="shared" si="103"/>
        <v>0</v>
      </c>
      <c r="N446" s="796"/>
      <c r="P446" s="399"/>
    </row>
    <row r="447" spans="1:16" s="645" customFormat="1" ht="15" customHeight="1" x14ac:dyDescent="0.25">
      <c r="A447" s="397"/>
      <c r="B447" s="478">
        <f t="shared" si="104"/>
        <v>18005</v>
      </c>
      <c r="C447" s="600" t="s">
        <v>6062</v>
      </c>
      <c r="D447" s="528">
        <f t="shared" si="105"/>
        <v>18000</v>
      </c>
      <c r="E447" s="417">
        <v>333904720000000</v>
      </c>
      <c r="F447" s="418" t="s">
        <v>7094</v>
      </c>
      <c r="G447" s="603">
        <v>1</v>
      </c>
      <c r="H447" s="603">
        <v>0</v>
      </c>
      <c r="I447" s="601">
        <v>17</v>
      </c>
      <c r="J447" s="602" t="s">
        <v>6976</v>
      </c>
      <c r="K447" s="891"/>
      <c r="L447" s="891">
        <v>0</v>
      </c>
      <c r="M447" s="996">
        <f t="shared" si="103"/>
        <v>0</v>
      </c>
      <c r="N447" s="796"/>
      <c r="P447" s="399"/>
    </row>
    <row r="448" spans="1:16" s="645" customFormat="1" ht="15" customHeight="1" x14ac:dyDescent="0.25">
      <c r="A448" s="397"/>
      <c r="B448" s="478">
        <f t="shared" si="104"/>
        <v>18006</v>
      </c>
      <c r="C448" s="600" t="s">
        <v>6062</v>
      </c>
      <c r="D448" s="528">
        <f t="shared" si="105"/>
        <v>18000</v>
      </c>
      <c r="E448" s="417">
        <v>333904720000000</v>
      </c>
      <c r="F448" s="418" t="s">
        <v>7095</v>
      </c>
      <c r="G448" s="603">
        <v>1</v>
      </c>
      <c r="H448" s="603">
        <v>0</v>
      </c>
      <c r="I448" s="601">
        <v>97</v>
      </c>
      <c r="J448" s="602" t="s">
        <v>6977</v>
      </c>
      <c r="K448" s="891"/>
      <c r="L448" s="891">
        <v>0</v>
      </c>
      <c r="M448" s="996">
        <f t="shared" si="103"/>
        <v>0</v>
      </c>
      <c r="N448" s="796"/>
      <c r="P448" s="399"/>
    </row>
    <row r="449" spans="1:16" s="645" customFormat="1" ht="15" customHeight="1" x14ac:dyDescent="0.25">
      <c r="A449" s="397"/>
      <c r="B449" s="478">
        <f t="shared" si="104"/>
        <v>18007</v>
      </c>
      <c r="C449" s="600" t="s">
        <v>6062</v>
      </c>
      <c r="D449" s="528">
        <f t="shared" si="105"/>
        <v>18000</v>
      </c>
      <c r="E449" s="417">
        <v>333904720000000</v>
      </c>
      <c r="F449" s="418" t="s">
        <v>7096</v>
      </c>
      <c r="G449" s="603">
        <v>1</v>
      </c>
      <c r="H449" s="603">
        <v>0</v>
      </c>
      <c r="I449" s="601">
        <v>1335</v>
      </c>
      <c r="J449" s="602" t="s">
        <v>6978</v>
      </c>
      <c r="K449" s="891"/>
      <c r="L449" s="891">
        <v>0</v>
      </c>
      <c r="M449" s="996">
        <f t="shared" si="103"/>
        <v>0</v>
      </c>
      <c r="N449" s="796"/>
      <c r="P449" s="399"/>
    </row>
    <row r="450" spans="1:16" s="645" customFormat="1" ht="15" customHeight="1" x14ac:dyDescent="0.25">
      <c r="A450" s="397"/>
      <c r="B450" s="478">
        <f t="shared" si="104"/>
        <v>18008</v>
      </c>
      <c r="C450" s="600" t="s">
        <v>6062</v>
      </c>
      <c r="D450" s="528">
        <f t="shared" si="105"/>
        <v>18000</v>
      </c>
      <c r="E450" s="417">
        <v>333904720000000</v>
      </c>
      <c r="F450" s="418" t="s">
        <v>7097</v>
      </c>
      <c r="G450" s="603">
        <v>1</v>
      </c>
      <c r="H450" s="603">
        <v>0</v>
      </c>
      <c r="I450" s="601">
        <v>1393</v>
      </c>
      <c r="J450" s="602" t="s">
        <v>6979</v>
      </c>
      <c r="K450" s="891"/>
      <c r="L450" s="891">
        <v>0</v>
      </c>
      <c r="M450" s="996">
        <f t="shared" si="103"/>
        <v>0</v>
      </c>
      <c r="N450" s="796"/>
      <c r="P450" s="399"/>
    </row>
    <row r="451" spans="1:16" s="115" customFormat="1" ht="15" customHeight="1" x14ac:dyDescent="0.25">
      <c r="A451" s="396"/>
      <c r="B451" s="1396">
        <v>18100</v>
      </c>
      <c r="C451" s="1396"/>
      <c r="D451" s="1396"/>
      <c r="E451" s="854">
        <v>344903000000000</v>
      </c>
      <c r="F451" s="855" t="s">
        <v>7156</v>
      </c>
      <c r="G451" s="468">
        <v>1</v>
      </c>
      <c r="H451" s="468">
        <v>0</v>
      </c>
      <c r="I451" s="751"/>
      <c r="J451" s="878" t="s">
        <v>7157</v>
      </c>
      <c r="K451" s="789">
        <f>('Parâmetros financeiros Despesa'!E233+'Parâmetros financeiros Despesa'!E234)</f>
        <v>0</v>
      </c>
      <c r="L451" s="789">
        <f>('Parâmetros financeiros Despesa'!F233+'Parâmetros financeiros Despesa'!F234)*((1+'Parâmetros financeiros Despesa'!F$4)*(1+'Parâmetros financeiros Despesa'!F$5)*(1+'Parâmetros financeiros Despesa'!F$7))</f>
        <v>1104.5058094999999</v>
      </c>
      <c r="M451" s="799">
        <f>L451/L$618</f>
        <v>1.5097090278194153E-3</v>
      </c>
      <c r="N451" s="894"/>
      <c r="O451" s="796"/>
      <c r="P451" s="733"/>
    </row>
    <row r="452" spans="1:16" s="115" customFormat="1" ht="15" customHeight="1" x14ac:dyDescent="0.25">
      <c r="A452" s="396"/>
      <c r="B452" s="599">
        <f>B451+1</f>
        <v>18101</v>
      </c>
      <c r="C452" s="600" t="s">
        <v>6062</v>
      </c>
      <c r="D452" s="528">
        <f>B451</f>
        <v>18100</v>
      </c>
      <c r="E452" s="417">
        <v>344903099050000</v>
      </c>
      <c r="F452" s="418" t="s">
        <v>7098</v>
      </c>
      <c r="G452" s="603">
        <v>1</v>
      </c>
      <c r="H452" s="603">
        <v>0</v>
      </c>
      <c r="I452" s="601">
        <v>17</v>
      </c>
      <c r="J452" s="602" t="s">
        <v>6976</v>
      </c>
      <c r="K452" s="891"/>
      <c r="L452" s="891">
        <v>0</v>
      </c>
      <c r="M452" s="996">
        <f t="shared" ref="M452:M455" si="106">L452/L$618</f>
        <v>0</v>
      </c>
      <c r="N452" s="894"/>
      <c r="P452" s="733"/>
    </row>
    <row r="453" spans="1:16" s="115" customFormat="1" ht="15" customHeight="1" x14ac:dyDescent="0.25">
      <c r="A453" s="396"/>
      <c r="B453" s="478">
        <f>B452+1</f>
        <v>18102</v>
      </c>
      <c r="C453" s="600" t="s">
        <v>6062</v>
      </c>
      <c r="D453" s="528">
        <f>D452</f>
        <v>18100</v>
      </c>
      <c r="E453" s="417">
        <v>344903099050000</v>
      </c>
      <c r="F453" s="418" t="s">
        <v>7099</v>
      </c>
      <c r="G453" s="603">
        <v>1</v>
      </c>
      <c r="H453" s="603">
        <v>0</v>
      </c>
      <c r="I453" s="601">
        <v>97</v>
      </c>
      <c r="J453" s="602" t="s">
        <v>6977</v>
      </c>
      <c r="K453" s="891"/>
      <c r="L453" s="891">
        <v>0</v>
      </c>
      <c r="M453" s="996">
        <f t="shared" si="106"/>
        <v>0</v>
      </c>
      <c r="N453" s="894"/>
      <c r="P453" s="733"/>
    </row>
    <row r="454" spans="1:16" s="115" customFormat="1" ht="15" customHeight="1" x14ac:dyDescent="0.25">
      <c r="A454" s="396"/>
      <c r="B454" s="478">
        <f>B453+1</f>
        <v>18103</v>
      </c>
      <c r="C454" s="600" t="s">
        <v>6062</v>
      </c>
      <c r="D454" s="528">
        <f>D453</f>
        <v>18100</v>
      </c>
      <c r="E454" s="417">
        <v>344903099050000</v>
      </c>
      <c r="F454" s="418" t="s">
        <v>7100</v>
      </c>
      <c r="G454" s="603">
        <v>1</v>
      </c>
      <c r="H454" s="603">
        <v>0</v>
      </c>
      <c r="I454" s="601">
        <v>1335</v>
      </c>
      <c r="J454" s="602" t="s">
        <v>6978</v>
      </c>
      <c r="K454" s="891"/>
      <c r="L454" s="891">
        <v>0</v>
      </c>
      <c r="M454" s="996">
        <f t="shared" si="106"/>
        <v>0</v>
      </c>
      <c r="N454" s="894"/>
      <c r="P454" s="733"/>
    </row>
    <row r="455" spans="1:16" s="115" customFormat="1" ht="15" customHeight="1" x14ac:dyDescent="0.25">
      <c r="A455" s="396"/>
      <c r="B455" s="478">
        <f>B454+1</f>
        <v>18104</v>
      </c>
      <c r="C455" s="600" t="s">
        <v>6062</v>
      </c>
      <c r="D455" s="528">
        <f>D454</f>
        <v>18100</v>
      </c>
      <c r="E455" s="417">
        <v>344903099050000</v>
      </c>
      <c r="F455" s="418" t="s">
        <v>7101</v>
      </c>
      <c r="G455" s="603">
        <v>1</v>
      </c>
      <c r="H455" s="603">
        <v>0</v>
      </c>
      <c r="I455" s="601">
        <v>1393</v>
      </c>
      <c r="J455" s="602" t="s">
        <v>6979</v>
      </c>
      <c r="K455" s="891"/>
      <c r="L455" s="891">
        <v>0</v>
      </c>
      <c r="M455" s="996">
        <f t="shared" si="106"/>
        <v>0</v>
      </c>
      <c r="N455" s="894"/>
      <c r="P455" s="733"/>
    </row>
    <row r="456" spans="1:16" s="457" customFormat="1" ht="15" customHeight="1" x14ac:dyDescent="0.25">
      <c r="A456" s="396"/>
      <c r="B456" s="1398" t="s">
        <v>7077</v>
      </c>
      <c r="C456" s="1398"/>
      <c r="D456" s="1398"/>
      <c r="E456" s="854">
        <v>344903600000000</v>
      </c>
      <c r="F456" s="855" t="s">
        <v>7158</v>
      </c>
      <c r="G456" s="468">
        <v>1</v>
      </c>
      <c r="H456" s="468">
        <v>0</v>
      </c>
      <c r="I456" s="751"/>
      <c r="J456" s="878" t="s">
        <v>7157</v>
      </c>
      <c r="K456" s="789">
        <f>'Parâmetros financeiros Despesa'!E235</f>
        <v>0</v>
      </c>
      <c r="L456" s="789">
        <f>('Parâmetros financeiros Despesa'!F235)*((1+'Parâmetros financeiros Despesa'!F$4)*(1+'Parâmetros financeiros Despesa'!F$5)*(1+'Parâmetros financeiros Despesa'!F$7))</f>
        <v>552.25290474999997</v>
      </c>
      <c r="M456" s="799">
        <f>L456/L$618</f>
        <v>7.5485451390970766E-4</v>
      </c>
      <c r="N456" s="894"/>
      <c r="O456" s="796"/>
      <c r="P456" s="734"/>
    </row>
    <row r="457" spans="1:16" s="457" customFormat="1" ht="15" customHeight="1" x14ac:dyDescent="0.25">
      <c r="A457" s="396"/>
      <c r="B457" s="599">
        <f>B456+1</f>
        <v>18201</v>
      </c>
      <c r="C457" s="600" t="s">
        <v>6062</v>
      </c>
      <c r="D457" s="600" t="str">
        <f>B456</f>
        <v>18200</v>
      </c>
      <c r="E457" s="417">
        <v>344903699010000</v>
      </c>
      <c r="F457" s="418" t="s">
        <v>7098</v>
      </c>
      <c r="G457" s="603">
        <v>1</v>
      </c>
      <c r="H457" s="603">
        <v>0</v>
      </c>
      <c r="I457" s="601">
        <v>17</v>
      </c>
      <c r="J457" s="602" t="s">
        <v>6976</v>
      </c>
      <c r="K457" s="891"/>
      <c r="L457" s="891">
        <v>0</v>
      </c>
      <c r="M457" s="996">
        <f t="shared" ref="M457:M460" si="107">L457/L$618</f>
        <v>0</v>
      </c>
      <c r="N457" s="895"/>
      <c r="P457" s="734"/>
    </row>
    <row r="458" spans="1:16" s="457" customFormat="1" ht="15" customHeight="1" x14ac:dyDescent="0.25">
      <c r="A458" s="396"/>
      <c r="B458" s="478">
        <f>B457+1</f>
        <v>18202</v>
      </c>
      <c r="C458" s="600" t="s">
        <v>6062</v>
      </c>
      <c r="D458" s="528" t="str">
        <f>D457</f>
        <v>18200</v>
      </c>
      <c r="E458" s="417">
        <v>344903699010000</v>
      </c>
      <c r="F458" s="418" t="s">
        <v>7099</v>
      </c>
      <c r="G458" s="603">
        <v>1</v>
      </c>
      <c r="H458" s="603">
        <v>0</v>
      </c>
      <c r="I458" s="601">
        <v>97</v>
      </c>
      <c r="J458" s="602" t="s">
        <v>6977</v>
      </c>
      <c r="K458" s="891"/>
      <c r="L458" s="891">
        <v>0</v>
      </c>
      <c r="M458" s="996">
        <f t="shared" si="107"/>
        <v>0</v>
      </c>
      <c r="N458" s="895"/>
      <c r="P458" s="734"/>
    </row>
    <row r="459" spans="1:16" s="457" customFormat="1" ht="15" customHeight="1" x14ac:dyDescent="0.25">
      <c r="A459" s="396"/>
      <c r="B459" s="478">
        <f>B458+1</f>
        <v>18203</v>
      </c>
      <c r="C459" s="600" t="s">
        <v>6062</v>
      </c>
      <c r="D459" s="528" t="str">
        <f>D458</f>
        <v>18200</v>
      </c>
      <c r="E459" s="417">
        <v>344903699010000</v>
      </c>
      <c r="F459" s="418" t="s">
        <v>7100</v>
      </c>
      <c r="G459" s="603">
        <v>1</v>
      </c>
      <c r="H459" s="603">
        <v>0</v>
      </c>
      <c r="I459" s="601">
        <v>1393</v>
      </c>
      <c r="J459" s="602" t="s">
        <v>6978</v>
      </c>
      <c r="K459" s="891"/>
      <c r="L459" s="891">
        <v>0</v>
      </c>
      <c r="M459" s="996">
        <f t="shared" si="107"/>
        <v>0</v>
      </c>
      <c r="N459" s="895"/>
      <c r="P459" s="734"/>
    </row>
    <row r="460" spans="1:16" s="458" customFormat="1" ht="15" customHeight="1" x14ac:dyDescent="0.25">
      <c r="A460" s="397"/>
      <c r="B460" s="478">
        <f>B459+1</f>
        <v>18204</v>
      </c>
      <c r="C460" s="600" t="s">
        <v>6062</v>
      </c>
      <c r="D460" s="528" t="str">
        <f>D459</f>
        <v>18200</v>
      </c>
      <c r="E460" s="417">
        <v>344903699010000</v>
      </c>
      <c r="F460" s="418" t="s">
        <v>7101</v>
      </c>
      <c r="G460" s="603">
        <v>1</v>
      </c>
      <c r="H460" s="603">
        <v>0</v>
      </c>
      <c r="I460" s="601">
        <v>97</v>
      </c>
      <c r="J460" s="602" t="s">
        <v>6979</v>
      </c>
      <c r="K460" s="891"/>
      <c r="L460" s="891">
        <v>0</v>
      </c>
      <c r="M460" s="996">
        <f t="shared" si="107"/>
        <v>0</v>
      </c>
      <c r="N460" s="896"/>
      <c r="P460" s="735"/>
    </row>
    <row r="461" spans="1:16" s="457" customFormat="1" ht="15" customHeight="1" x14ac:dyDescent="0.25">
      <c r="A461" s="396"/>
      <c r="B461" s="1398" t="s">
        <v>7078</v>
      </c>
      <c r="C461" s="1398"/>
      <c r="D461" s="1398"/>
      <c r="E461" s="854">
        <v>344903900000000</v>
      </c>
      <c r="F461" s="855" t="s">
        <v>7159</v>
      </c>
      <c r="G461" s="468">
        <v>1</v>
      </c>
      <c r="H461" s="468">
        <v>0</v>
      </c>
      <c r="I461" s="751"/>
      <c r="J461" s="878" t="s">
        <v>7157</v>
      </c>
      <c r="K461" s="789">
        <f>('Parâmetros financeiros Despesa'!E236+'Parâmetros financeiros Despesa'!E237)</f>
        <v>0</v>
      </c>
      <c r="L461" s="789">
        <f>('Parâmetros financeiros Despesa'!F236+'Parâmetros financeiros Despesa'!F237)*((1+'Parâmetros financeiros Despesa'!F$4)*(1+'Parâmetros financeiros Despesa'!F$5)*(1+'Parâmetros financeiros Despesa'!F$7))</f>
        <v>1104.5058094999999</v>
      </c>
      <c r="M461" s="799">
        <f>L461/L$618</f>
        <v>1.5097090278194153E-3</v>
      </c>
      <c r="N461" s="894"/>
      <c r="O461" s="796"/>
      <c r="P461" s="734"/>
    </row>
    <row r="462" spans="1:16" s="458" customFormat="1" ht="15" customHeight="1" x14ac:dyDescent="0.25">
      <c r="A462" s="397"/>
      <c r="B462" s="599">
        <f>B461+1</f>
        <v>18301</v>
      </c>
      <c r="C462" s="600" t="s">
        <v>6062</v>
      </c>
      <c r="D462" s="600" t="str">
        <f>B461</f>
        <v>18300</v>
      </c>
      <c r="E462" s="417">
        <v>344903999050000</v>
      </c>
      <c r="F462" s="418" t="s">
        <v>7098</v>
      </c>
      <c r="G462" s="603">
        <v>1</v>
      </c>
      <c r="H462" s="603">
        <v>0</v>
      </c>
      <c r="I462" s="601">
        <v>17</v>
      </c>
      <c r="J462" s="602" t="s">
        <v>6976</v>
      </c>
      <c r="K462" s="891"/>
      <c r="L462" s="891">
        <v>0</v>
      </c>
      <c r="M462" s="996">
        <f t="shared" ref="M462:M465" si="108">L462/L$618</f>
        <v>0</v>
      </c>
      <c r="N462" s="896"/>
      <c r="P462" s="735"/>
    </row>
    <row r="463" spans="1:16" s="458" customFormat="1" ht="15" customHeight="1" x14ac:dyDescent="0.25">
      <c r="A463" s="397"/>
      <c r="B463" s="478">
        <f>B462+1</f>
        <v>18302</v>
      </c>
      <c r="C463" s="600" t="s">
        <v>6062</v>
      </c>
      <c r="D463" s="528" t="str">
        <f>D462</f>
        <v>18300</v>
      </c>
      <c r="E463" s="417">
        <v>344903999050000</v>
      </c>
      <c r="F463" s="418" t="s">
        <v>7099</v>
      </c>
      <c r="G463" s="603">
        <v>1</v>
      </c>
      <c r="H463" s="603">
        <v>0</v>
      </c>
      <c r="I463" s="601">
        <v>97</v>
      </c>
      <c r="J463" s="602" t="s">
        <v>6977</v>
      </c>
      <c r="K463" s="891"/>
      <c r="L463" s="891">
        <v>0</v>
      </c>
      <c r="M463" s="996">
        <f t="shared" si="108"/>
        <v>0</v>
      </c>
      <c r="N463" s="896"/>
      <c r="P463" s="735"/>
    </row>
    <row r="464" spans="1:16" s="458" customFormat="1" ht="15" customHeight="1" x14ac:dyDescent="0.25">
      <c r="A464" s="397"/>
      <c r="B464" s="478">
        <f>B463+1</f>
        <v>18303</v>
      </c>
      <c r="C464" s="600" t="s">
        <v>6062</v>
      </c>
      <c r="D464" s="528" t="str">
        <f>D463</f>
        <v>18300</v>
      </c>
      <c r="E464" s="417">
        <v>344903999050000</v>
      </c>
      <c r="F464" s="418" t="s">
        <v>7100</v>
      </c>
      <c r="G464" s="603">
        <v>1</v>
      </c>
      <c r="H464" s="603">
        <v>0</v>
      </c>
      <c r="I464" s="601">
        <v>1393</v>
      </c>
      <c r="J464" s="602" t="s">
        <v>6978</v>
      </c>
      <c r="K464" s="891"/>
      <c r="L464" s="891">
        <v>0</v>
      </c>
      <c r="M464" s="996">
        <f t="shared" si="108"/>
        <v>0</v>
      </c>
      <c r="N464" s="896"/>
      <c r="P464" s="735"/>
    </row>
    <row r="465" spans="1:16" s="458" customFormat="1" ht="15" customHeight="1" x14ac:dyDescent="0.25">
      <c r="A465" s="397"/>
      <c r="B465" s="478">
        <f>B464+1</f>
        <v>18304</v>
      </c>
      <c r="C465" s="600" t="s">
        <v>6062</v>
      </c>
      <c r="D465" s="528" t="str">
        <f>D464</f>
        <v>18300</v>
      </c>
      <c r="E465" s="417">
        <v>344903999050000</v>
      </c>
      <c r="F465" s="418" t="s">
        <v>7101</v>
      </c>
      <c r="G465" s="603">
        <v>1</v>
      </c>
      <c r="H465" s="603">
        <v>0</v>
      </c>
      <c r="I465" s="601">
        <v>97</v>
      </c>
      <c r="J465" s="602" t="s">
        <v>6979</v>
      </c>
      <c r="K465" s="891"/>
      <c r="L465" s="891">
        <v>0</v>
      </c>
      <c r="M465" s="996">
        <f t="shared" si="108"/>
        <v>0</v>
      </c>
      <c r="N465" s="896"/>
      <c r="P465" s="735"/>
    </row>
    <row r="466" spans="1:16" s="457" customFormat="1" ht="15" customHeight="1" x14ac:dyDescent="0.25">
      <c r="A466" s="396"/>
      <c r="B466" s="1398" t="s">
        <v>7079</v>
      </c>
      <c r="C466" s="1398"/>
      <c r="D466" s="1398"/>
      <c r="E466" s="854">
        <v>344905200000000</v>
      </c>
      <c r="F466" s="855" t="s">
        <v>7041</v>
      </c>
      <c r="G466" s="468">
        <v>1</v>
      </c>
      <c r="H466" s="468">
        <v>0</v>
      </c>
      <c r="I466" s="751"/>
      <c r="J466" s="878" t="s">
        <v>7157</v>
      </c>
      <c r="K466" s="789">
        <f>'Parâmetros financeiros Despesa'!E238</f>
        <v>0</v>
      </c>
      <c r="L466" s="789">
        <f>('Parâmetros financeiros Despesa'!F238)*((1+'Parâmetros financeiros Despesa'!F$4)*(1+'Parâmetros financeiros Despesa'!F$5)*(1+'Parâmetros financeiros Despesa'!F$7))</f>
        <v>3865.77033325</v>
      </c>
      <c r="M466" s="799">
        <f>L466/L$618</f>
        <v>5.2839815973679538E-3</v>
      </c>
      <c r="N466" s="894"/>
      <c r="O466" s="796"/>
      <c r="P466" s="734"/>
    </row>
    <row r="467" spans="1:16" s="645" customFormat="1" ht="15" customHeight="1" x14ac:dyDescent="0.25">
      <c r="A467" s="397"/>
      <c r="B467" s="599">
        <f>B466+1</f>
        <v>18401</v>
      </c>
      <c r="C467" s="600" t="s">
        <v>6062</v>
      </c>
      <c r="D467" s="600" t="str">
        <f>B466</f>
        <v>18400</v>
      </c>
      <c r="E467" s="417">
        <v>344905212000000</v>
      </c>
      <c r="F467" s="418" t="s">
        <v>6071</v>
      </c>
      <c r="G467" s="603">
        <v>1</v>
      </c>
      <c r="H467" s="603">
        <v>0</v>
      </c>
      <c r="I467" s="601">
        <v>17</v>
      </c>
      <c r="J467" s="602" t="s">
        <v>6976</v>
      </c>
      <c r="K467" s="891"/>
      <c r="L467" s="891">
        <v>0</v>
      </c>
      <c r="M467" s="996">
        <f t="shared" ref="M467:M470" si="109">L467/L$618</f>
        <v>0</v>
      </c>
      <c r="N467" s="796"/>
      <c r="P467" s="399"/>
    </row>
    <row r="468" spans="1:16" s="645" customFormat="1" ht="15" customHeight="1" x14ac:dyDescent="0.25">
      <c r="A468" s="397"/>
      <c r="B468" s="478">
        <f>B467+1</f>
        <v>18402</v>
      </c>
      <c r="C468" s="600" t="s">
        <v>6062</v>
      </c>
      <c r="D468" s="528" t="str">
        <f>D467</f>
        <v>18400</v>
      </c>
      <c r="E468" s="417">
        <v>344905235000000</v>
      </c>
      <c r="F468" s="418" t="s">
        <v>6073</v>
      </c>
      <c r="G468" s="603">
        <v>1</v>
      </c>
      <c r="H468" s="603">
        <v>0</v>
      </c>
      <c r="I468" s="601">
        <v>97</v>
      </c>
      <c r="J468" s="602" t="s">
        <v>6977</v>
      </c>
      <c r="K468" s="891"/>
      <c r="L468" s="891">
        <v>0</v>
      </c>
      <c r="M468" s="996">
        <f t="shared" si="109"/>
        <v>0</v>
      </c>
      <c r="N468" s="796"/>
      <c r="P468" s="399"/>
    </row>
    <row r="469" spans="1:16" s="645" customFormat="1" ht="15" customHeight="1" x14ac:dyDescent="0.25">
      <c r="A469" s="397"/>
      <c r="B469" s="478">
        <f>B468+1</f>
        <v>18403</v>
      </c>
      <c r="C469" s="600" t="s">
        <v>6062</v>
      </c>
      <c r="D469" s="528" t="str">
        <f>D468</f>
        <v>18400</v>
      </c>
      <c r="E469" s="417">
        <v>344905242000000</v>
      </c>
      <c r="F469" s="418" t="s">
        <v>6072</v>
      </c>
      <c r="G469" s="603">
        <v>1</v>
      </c>
      <c r="H469" s="603">
        <v>0</v>
      </c>
      <c r="I469" s="601">
        <v>1335</v>
      </c>
      <c r="J469" s="602" t="s">
        <v>6978</v>
      </c>
      <c r="K469" s="891"/>
      <c r="L469" s="891">
        <v>0</v>
      </c>
      <c r="M469" s="996">
        <f t="shared" si="109"/>
        <v>0</v>
      </c>
      <c r="N469" s="796"/>
      <c r="P469" s="399"/>
    </row>
    <row r="470" spans="1:16" s="645" customFormat="1" ht="15" customHeight="1" x14ac:dyDescent="0.25">
      <c r="A470" s="397"/>
      <c r="B470" s="478">
        <f>B469+1</f>
        <v>18404</v>
      </c>
      <c r="C470" s="600" t="s">
        <v>6062</v>
      </c>
      <c r="D470" s="528" t="str">
        <f>D469</f>
        <v>18400</v>
      </c>
      <c r="E470" s="417">
        <v>344905299000000</v>
      </c>
      <c r="F470" s="418" t="s">
        <v>6074</v>
      </c>
      <c r="G470" s="603">
        <v>1</v>
      </c>
      <c r="H470" s="603">
        <v>0</v>
      </c>
      <c r="I470" s="601">
        <v>1393</v>
      </c>
      <c r="J470" s="602" t="s">
        <v>6979</v>
      </c>
      <c r="K470" s="891"/>
      <c r="L470" s="891">
        <v>0</v>
      </c>
      <c r="M470" s="996">
        <f t="shared" si="109"/>
        <v>0</v>
      </c>
      <c r="N470" s="796"/>
      <c r="P470" s="399"/>
    </row>
    <row r="471" spans="1:16" s="115" customFormat="1" ht="15" customHeight="1" x14ac:dyDescent="0.25">
      <c r="A471" s="396"/>
      <c r="B471" s="1385" t="s">
        <v>5951</v>
      </c>
      <c r="C471" s="1385"/>
      <c r="D471" s="1385"/>
      <c r="E471" s="1385"/>
      <c r="F471" s="1385"/>
      <c r="G471" s="401"/>
      <c r="H471" s="401"/>
      <c r="I471" s="426"/>
      <c r="J471" s="411"/>
      <c r="K471" s="402">
        <f t="shared" ref="K471:L473" si="110">K472</f>
        <v>7215.7199999999993</v>
      </c>
      <c r="L471" s="402">
        <f t="shared" si="110"/>
        <v>13865.7456855</v>
      </c>
      <c r="M471" s="451">
        <f>L471/L$618</f>
        <v>1.8952586087640184E-2</v>
      </c>
      <c r="N471" s="894"/>
      <c r="P471" s="733"/>
    </row>
    <row r="472" spans="1:16" s="660" customFormat="1" ht="15" customHeight="1" x14ac:dyDescent="0.25">
      <c r="A472" s="396"/>
      <c r="B472" s="1386" t="s">
        <v>6982</v>
      </c>
      <c r="C472" s="1386"/>
      <c r="D472" s="1386"/>
      <c r="E472" s="1386"/>
      <c r="F472" s="1386"/>
      <c r="G472" s="403"/>
      <c r="H472" s="403"/>
      <c r="I472" s="427"/>
      <c r="J472" s="412"/>
      <c r="K472" s="404">
        <f t="shared" si="110"/>
        <v>7215.7199999999993</v>
      </c>
      <c r="L472" s="404">
        <f t="shared" si="110"/>
        <v>13865.7456855</v>
      </c>
      <c r="M472" s="452">
        <f>L472/L$618</f>
        <v>1.8952586087640184E-2</v>
      </c>
      <c r="N472" s="796"/>
      <c r="P472" s="399"/>
    </row>
    <row r="473" spans="1:16" s="660" customFormat="1" ht="15" customHeight="1" x14ac:dyDescent="0.25">
      <c r="A473" s="396"/>
      <c r="B473" s="1382" t="s">
        <v>2286</v>
      </c>
      <c r="C473" s="1382"/>
      <c r="D473" s="1382"/>
      <c r="E473" s="1382"/>
      <c r="F473" s="1382"/>
      <c r="G473" s="405"/>
      <c r="H473" s="405"/>
      <c r="I473" s="428"/>
      <c r="J473" s="413"/>
      <c r="K473" s="406">
        <f t="shared" si="110"/>
        <v>7215.7199999999993</v>
      </c>
      <c r="L473" s="406">
        <f t="shared" si="110"/>
        <v>13865.7456855</v>
      </c>
      <c r="M473" s="453">
        <f>L473/L$618</f>
        <v>1.8952586087640184E-2</v>
      </c>
      <c r="N473" s="796"/>
      <c r="P473" s="399"/>
    </row>
    <row r="474" spans="1:16" s="660" customFormat="1" ht="15" customHeight="1" x14ac:dyDescent="0.25">
      <c r="A474" s="396"/>
      <c r="B474" s="1383" t="s">
        <v>7013</v>
      </c>
      <c r="C474" s="1383"/>
      <c r="D474" s="1383"/>
      <c r="E474" s="1383"/>
      <c r="F474" s="1383"/>
      <c r="G474" s="407"/>
      <c r="H474" s="407"/>
      <c r="I474" s="429"/>
      <c r="J474" s="414"/>
      <c r="K474" s="408">
        <f>SUM(K475:K479)</f>
        <v>7215.7199999999993</v>
      </c>
      <c r="L474" s="408">
        <f>SUM(L475:L479)</f>
        <v>13865.7456855</v>
      </c>
      <c r="M474" s="454">
        <f>L474/L$618</f>
        <v>1.8952586087640184E-2</v>
      </c>
      <c r="N474" s="796"/>
      <c r="P474" s="399"/>
    </row>
    <row r="475" spans="1:16" s="660" customFormat="1" ht="15" customHeight="1" x14ac:dyDescent="0.25">
      <c r="A475" s="396"/>
      <c r="B475" s="1396">
        <v>18500</v>
      </c>
      <c r="C475" s="1396"/>
      <c r="D475" s="1396"/>
      <c r="E475" s="417">
        <v>333904700000000</v>
      </c>
      <c r="F475" s="600" t="s">
        <v>7160</v>
      </c>
      <c r="G475" s="468">
        <v>1</v>
      </c>
      <c r="H475" s="468">
        <v>0</v>
      </c>
      <c r="I475" s="751"/>
      <c r="J475" s="878" t="s">
        <v>7157</v>
      </c>
      <c r="K475" s="789">
        <f>((('Parâmetros financeiros Despesa'!E241+'Parâmetros financeiros Despesa'!E242+'Parâmetros financeiros Despesa'!E244)))</f>
        <v>0</v>
      </c>
      <c r="L475" s="789">
        <f>((('Parâmetros financeiros Despesa'!F241+'Parâmetros financeiros Despesa'!F242+'Parâmetros financeiros Despesa'!F244))*((1+'Parâmetros financeiros Despesa'!F$4)*(1+'Parâmetros financeiros Despesa'!F$7))*(1+'Parâmetros financeiros Despesa'!F$83))</f>
        <v>3925.1934000000001</v>
      </c>
      <c r="M475" s="799">
        <f>L475/L$618</f>
        <v>5.3652048372654446E-3</v>
      </c>
      <c r="N475" s="894"/>
      <c r="O475" s="796"/>
      <c r="P475" s="399"/>
    </row>
    <row r="476" spans="1:16" s="115" customFormat="1" ht="15" customHeight="1" x14ac:dyDescent="0.25">
      <c r="A476" s="396"/>
      <c r="B476" s="1396">
        <v>18600</v>
      </c>
      <c r="C476" s="1396"/>
      <c r="D476" s="1396"/>
      <c r="E476" s="854">
        <v>344903000000000</v>
      </c>
      <c r="F476" s="855" t="s">
        <v>7161</v>
      </c>
      <c r="G476" s="468">
        <v>1</v>
      </c>
      <c r="H476" s="468">
        <v>0</v>
      </c>
      <c r="I476" s="751"/>
      <c r="J476" s="878" t="s">
        <v>7157</v>
      </c>
      <c r="K476" s="789">
        <f>'Parâmetros financeiros Despesa'!E240+'Parâmetros financeiros Despesa'!E241</f>
        <v>0</v>
      </c>
      <c r="L476" s="789">
        <f>('Parâmetros financeiros Despesa'!F240+'Parâmetros financeiros Despesa'!F241)*((1+'Parâmetros financeiros Despesa'!F$4)*(1+'Parâmetros financeiros Despesa'!F$5)*(1+'Parâmetros financeiros Despesa'!F$7))</f>
        <v>2209.0116189999999</v>
      </c>
      <c r="M476" s="799">
        <f t="shared" ref="M476:M479" si="111">L476/L$618</f>
        <v>3.0194180556388306E-3</v>
      </c>
      <c r="N476" s="894"/>
      <c r="O476" s="796"/>
      <c r="P476" s="733"/>
    </row>
    <row r="477" spans="1:16" s="457" customFormat="1" ht="15" customHeight="1" x14ac:dyDescent="0.25">
      <c r="A477" s="396"/>
      <c r="B477" s="1398" t="s">
        <v>7080</v>
      </c>
      <c r="C477" s="1398"/>
      <c r="D477" s="1398"/>
      <c r="E477" s="854">
        <v>344903600000000</v>
      </c>
      <c r="F477" s="855" t="s">
        <v>7164</v>
      </c>
      <c r="G477" s="468">
        <v>1</v>
      </c>
      <c r="H477" s="468">
        <v>0</v>
      </c>
      <c r="I477" s="751"/>
      <c r="J477" s="878" t="s">
        <v>7157</v>
      </c>
      <c r="K477" s="789">
        <f>'Parâmetros financeiros Despesa'!E242</f>
        <v>0</v>
      </c>
      <c r="L477" s="789">
        <f>('Parâmetros financeiros Despesa'!F242)*((1+'Parâmetros financeiros Despesa'!F$4)*(1+'Parâmetros financeiros Despesa'!F$5)*(1+'Parâmetros financeiros Despesa'!F$7))</f>
        <v>1104.5058094999999</v>
      </c>
      <c r="M477" s="799">
        <f t="shared" si="111"/>
        <v>1.5097090278194153E-3</v>
      </c>
      <c r="N477" s="894"/>
      <c r="O477" s="796"/>
      <c r="P477" s="734"/>
    </row>
    <row r="478" spans="1:16" s="457" customFormat="1" ht="15" customHeight="1" x14ac:dyDescent="0.25">
      <c r="A478" s="396"/>
      <c r="B478" s="1398" t="s">
        <v>7081</v>
      </c>
      <c r="C478" s="1398"/>
      <c r="D478" s="1398"/>
      <c r="E478" s="854">
        <v>344903900000000</v>
      </c>
      <c r="F478" s="855" t="s">
        <v>7163</v>
      </c>
      <c r="G478" s="468">
        <v>1</v>
      </c>
      <c r="H478" s="468">
        <v>0</v>
      </c>
      <c r="I478" s="751"/>
      <c r="J478" s="878" t="s">
        <v>7157</v>
      </c>
      <c r="K478" s="789">
        <f>'Parâmetros financeiros Despesa'!E243+'Parâmetros financeiros Despesa'!E244</f>
        <v>0</v>
      </c>
      <c r="L478" s="789">
        <f>('Parâmetros financeiros Despesa'!F243+'Parâmetros financeiros Despesa'!F244)*((1+'Parâmetros financeiros Despesa'!F$4)*(1+'Parâmetros financeiros Despesa'!F$5)*(1+'Parâmetros financeiros Despesa'!F$7))</f>
        <v>2209.0116189999999</v>
      </c>
      <c r="M478" s="799">
        <f t="shared" si="111"/>
        <v>3.0194180556388306E-3</v>
      </c>
      <c r="N478" s="894"/>
      <c r="O478" s="796"/>
      <c r="P478" s="734"/>
    </row>
    <row r="479" spans="1:16" s="457" customFormat="1" ht="15" customHeight="1" x14ac:dyDescent="0.25">
      <c r="A479" s="396"/>
      <c r="B479" s="1398" t="s">
        <v>7082</v>
      </c>
      <c r="C479" s="1398"/>
      <c r="D479" s="1398"/>
      <c r="E479" s="854">
        <v>344905200000000</v>
      </c>
      <c r="F479" s="855" t="s">
        <v>7162</v>
      </c>
      <c r="G479" s="468">
        <v>1</v>
      </c>
      <c r="H479" s="468">
        <v>0</v>
      </c>
      <c r="I479" s="751"/>
      <c r="J479" s="878" t="s">
        <v>7157</v>
      </c>
      <c r="K479" s="789">
        <f>'Parâmetros financeiros Despesa'!E245</f>
        <v>7215.7199999999993</v>
      </c>
      <c r="L479" s="789">
        <f>('Parâmetros financeiros Despesa'!F245)*((1+'Parâmetros financeiros Despesa'!F$4)*(1+'Parâmetros financeiros Despesa'!F$5)*(1+'Parâmetros financeiros Despesa'!F$7))</f>
        <v>4418.0232379999998</v>
      </c>
      <c r="M479" s="799">
        <f t="shared" si="111"/>
        <v>6.0388361112776612E-3</v>
      </c>
      <c r="N479" s="894"/>
      <c r="O479" s="796"/>
      <c r="P479" s="734"/>
    </row>
    <row r="480" spans="1:16" s="645" customFormat="1" ht="15" customHeight="1" x14ac:dyDescent="0.25">
      <c r="A480" s="397"/>
      <c r="B480" s="1385" t="s">
        <v>5951</v>
      </c>
      <c r="C480" s="1385"/>
      <c r="D480" s="1385"/>
      <c r="E480" s="1385"/>
      <c r="F480" s="1385"/>
      <c r="G480" s="401"/>
      <c r="H480" s="401"/>
      <c r="I480" s="426"/>
      <c r="J480" s="411"/>
      <c r="K480" s="402">
        <f t="shared" ref="K480:L482" si="112">K481</f>
        <v>558418.6449999999</v>
      </c>
      <c r="L480" s="402">
        <f t="shared" si="112"/>
        <v>676981.64182853163</v>
      </c>
      <c r="M480" s="451">
        <f t="shared" ref="M480:M485" si="113">L480/L$618</f>
        <v>0.92534171169205071</v>
      </c>
      <c r="N480" s="796"/>
      <c r="P480" s="399"/>
    </row>
    <row r="481" spans="1:16" s="645" customFormat="1" ht="15" customHeight="1" x14ac:dyDescent="0.25">
      <c r="A481" s="397"/>
      <c r="B481" s="1386" t="s">
        <v>5965</v>
      </c>
      <c r="C481" s="1386"/>
      <c r="D481" s="1386"/>
      <c r="E481" s="1386"/>
      <c r="F481" s="1386"/>
      <c r="G481" s="403"/>
      <c r="H481" s="403"/>
      <c r="I481" s="427"/>
      <c r="J481" s="412"/>
      <c r="K481" s="404">
        <f t="shared" si="112"/>
        <v>558418.6449999999</v>
      </c>
      <c r="L481" s="404">
        <f t="shared" si="112"/>
        <v>676981.64182853163</v>
      </c>
      <c r="M481" s="452">
        <f t="shared" si="113"/>
        <v>0.92534171169205071</v>
      </c>
      <c r="N481" s="796"/>
      <c r="P481" s="399"/>
    </row>
    <row r="482" spans="1:16" s="645" customFormat="1" ht="15" customHeight="1" x14ac:dyDescent="0.25">
      <c r="A482" s="397"/>
      <c r="B482" s="1382" t="s">
        <v>2286</v>
      </c>
      <c r="C482" s="1382"/>
      <c r="D482" s="1382"/>
      <c r="E482" s="1382"/>
      <c r="F482" s="1382"/>
      <c r="G482" s="405"/>
      <c r="H482" s="405"/>
      <c r="I482" s="428"/>
      <c r="J482" s="413"/>
      <c r="K482" s="406">
        <f t="shared" si="112"/>
        <v>558418.6449999999</v>
      </c>
      <c r="L482" s="406">
        <f t="shared" si="112"/>
        <v>676981.64182853163</v>
      </c>
      <c r="M482" s="453">
        <f t="shared" si="113"/>
        <v>0.92534171169205071</v>
      </c>
      <c r="N482" s="796"/>
      <c r="P482" s="399"/>
    </row>
    <row r="483" spans="1:16" s="645" customFormat="1" ht="15" customHeight="1" x14ac:dyDescent="0.25">
      <c r="A483" s="397"/>
      <c r="B483" s="1383" t="s">
        <v>7013</v>
      </c>
      <c r="C483" s="1383"/>
      <c r="D483" s="1383"/>
      <c r="E483" s="1383"/>
      <c r="F483" s="1383"/>
      <c r="G483" s="407"/>
      <c r="H483" s="407"/>
      <c r="I483" s="429"/>
      <c r="J483" s="414"/>
      <c r="K483" s="408">
        <f>K484+K485+K503+K507+K509+K514+K537+K539+K546+K552+K575+K578+K580+K582</f>
        <v>558418.6449999999</v>
      </c>
      <c r="L483" s="408">
        <f>L484+L485+L503+L507+L509+L514+L537+L539+L546+L552+L575+L578+L580+L582-0.01</f>
        <v>676981.64182853163</v>
      </c>
      <c r="M483" s="454">
        <f t="shared" si="113"/>
        <v>0.92534171169205071</v>
      </c>
      <c r="N483" s="796"/>
      <c r="P483" s="399"/>
    </row>
    <row r="484" spans="1:16" s="115" customFormat="1" ht="15" customHeight="1" x14ac:dyDescent="0.25">
      <c r="A484" s="396"/>
      <c r="B484" s="1398" t="s">
        <v>7083</v>
      </c>
      <c r="C484" s="1398"/>
      <c r="D484" s="1398"/>
      <c r="E484" s="854">
        <v>331900400000000</v>
      </c>
      <c r="F484" s="855" t="s">
        <v>5851</v>
      </c>
      <c r="G484" s="468">
        <v>1</v>
      </c>
      <c r="H484" s="468">
        <v>0</v>
      </c>
      <c r="I484" s="751"/>
      <c r="J484" s="878" t="s">
        <v>7165</v>
      </c>
      <c r="K484" s="789">
        <f>'Parâmetros financeiros Despesa'!E247</f>
        <v>0</v>
      </c>
      <c r="L484" s="789">
        <f>(('Parâmetros financeiros Despesa'!F247)*2.05+(('Parâmetros financeiros Despesa'!F247)*11.28)*(1+'Parâmetros financeiros Despesa'!F$4)*(1+'Parâmetros financeiros Despesa'!F$8))*(1+'Parâmetros financeiros Despesa'!F$80)</f>
        <v>27.357830962580255</v>
      </c>
      <c r="M484" s="799">
        <f t="shared" si="113"/>
        <v>3.7394429282777743E-5</v>
      </c>
      <c r="N484" s="894"/>
      <c r="P484" s="733"/>
    </row>
    <row r="485" spans="1:16" s="115" customFormat="1" ht="15" customHeight="1" x14ac:dyDescent="0.25">
      <c r="A485" s="396"/>
      <c r="B485" s="1398" t="s">
        <v>7084</v>
      </c>
      <c r="C485" s="1398"/>
      <c r="D485" s="1398"/>
      <c r="E485" s="854">
        <v>331901100000000</v>
      </c>
      <c r="F485" s="855" t="s">
        <v>5732</v>
      </c>
      <c r="G485" s="468">
        <v>1</v>
      </c>
      <c r="H485" s="468">
        <v>0</v>
      </c>
      <c r="I485" s="751"/>
      <c r="J485" s="878" t="s">
        <v>7165</v>
      </c>
      <c r="K485" s="789">
        <f>'Parâmetros financeiros Despesa'!E248</f>
        <v>386493.33124999999</v>
      </c>
      <c r="L485" s="789">
        <f>('Parâmetros financeiros Despesa'!F248)*2.05+(('Parâmetros financeiros Despesa'!F248)*11.28)*(1+'Parâmetros financeiros Despesa'!F$4)*(1+'Parâmetros financeiros Despesa'!F$8)</f>
        <v>449486.28696511849</v>
      </c>
      <c r="M485" s="799">
        <f t="shared" si="113"/>
        <v>0.61438654235731094</v>
      </c>
      <c r="N485" s="894"/>
      <c r="P485" s="733"/>
    </row>
    <row r="486" spans="1:16" s="645" customFormat="1" ht="15" customHeight="1" x14ac:dyDescent="0.25">
      <c r="A486" s="397"/>
      <c r="B486" s="599">
        <f>B485+1</f>
        <v>19101</v>
      </c>
      <c r="C486" s="600" t="s">
        <v>6062</v>
      </c>
      <c r="D486" s="600" t="str">
        <f>B485</f>
        <v>19100</v>
      </c>
      <c r="E486" s="417">
        <v>331901101010000</v>
      </c>
      <c r="F486" s="418" t="s">
        <v>6904</v>
      </c>
      <c r="G486" s="603">
        <v>1</v>
      </c>
      <c r="H486" s="603">
        <v>0</v>
      </c>
      <c r="I486" s="601">
        <v>311210101000000</v>
      </c>
      <c r="J486" s="602" t="s">
        <v>6023</v>
      </c>
      <c r="K486" s="891">
        <v>0</v>
      </c>
      <c r="L486" s="891">
        <v>0</v>
      </c>
      <c r="M486" s="996">
        <f t="shared" ref="M486:M502" si="114">L486/L$618</f>
        <v>0</v>
      </c>
      <c r="N486" s="796"/>
      <c r="P486" s="399"/>
    </row>
    <row r="487" spans="1:16" s="645" customFormat="1" ht="15" customHeight="1" x14ac:dyDescent="0.25">
      <c r="A487" s="397"/>
      <c r="B487" s="478">
        <f>B486+1</f>
        <v>19102</v>
      </c>
      <c r="C487" s="600" t="s">
        <v>6062</v>
      </c>
      <c r="D487" s="528" t="str">
        <f>D486</f>
        <v>19100</v>
      </c>
      <c r="E487" s="417">
        <v>331901101040000</v>
      </c>
      <c r="F487" s="418" t="s">
        <v>2256</v>
      </c>
      <c r="G487" s="603">
        <v>1</v>
      </c>
      <c r="H487" s="603">
        <v>0</v>
      </c>
      <c r="I487" s="601">
        <v>311210101000000</v>
      </c>
      <c r="J487" s="602" t="s">
        <v>6024</v>
      </c>
      <c r="K487" s="891">
        <v>0</v>
      </c>
      <c r="L487" s="891">
        <v>0</v>
      </c>
      <c r="M487" s="996">
        <f t="shared" si="114"/>
        <v>0</v>
      </c>
      <c r="N487" s="796"/>
      <c r="P487" s="399"/>
    </row>
    <row r="488" spans="1:16" s="645" customFormat="1" ht="15" customHeight="1" x14ac:dyDescent="0.25">
      <c r="A488" s="397"/>
      <c r="B488" s="478">
        <f t="shared" ref="B488:B502" si="115">B487+1</f>
        <v>19103</v>
      </c>
      <c r="C488" s="600" t="s">
        <v>6062</v>
      </c>
      <c r="D488" s="528" t="str">
        <f t="shared" ref="D488:D502" si="116">D487</f>
        <v>19100</v>
      </c>
      <c r="E488" s="417">
        <v>331901104000000</v>
      </c>
      <c r="F488" s="418" t="s">
        <v>1008</v>
      </c>
      <c r="G488" s="603">
        <v>1</v>
      </c>
      <c r="H488" s="603">
        <v>0</v>
      </c>
      <c r="I488" s="601">
        <v>311210102000000</v>
      </c>
      <c r="J488" s="602" t="s">
        <v>6025</v>
      </c>
      <c r="K488" s="891">
        <v>0</v>
      </c>
      <c r="L488" s="891">
        <v>0</v>
      </c>
      <c r="M488" s="996">
        <f t="shared" si="114"/>
        <v>0</v>
      </c>
      <c r="N488" s="796"/>
      <c r="P488" s="399"/>
    </row>
    <row r="489" spans="1:16" s="645" customFormat="1" ht="15" customHeight="1" x14ac:dyDescent="0.25">
      <c r="A489" s="397"/>
      <c r="B489" s="478">
        <f t="shared" si="115"/>
        <v>19104</v>
      </c>
      <c r="C489" s="600" t="s">
        <v>6062</v>
      </c>
      <c r="D489" s="528" t="str">
        <f t="shared" si="116"/>
        <v>19100</v>
      </c>
      <c r="E489" s="417">
        <v>331901131000000</v>
      </c>
      <c r="F489" s="418" t="s">
        <v>5928</v>
      </c>
      <c r="G489" s="603">
        <v>1</v>
      </c>
      <c r="H489" s="603">
        <v>0</v>
      </c>
      <c r="I489" s="601">
        <v>311210114000000</v>
      </c>
      <c r="J489" s="602" t="s">
        <v>6033</v>
      </c>
      <c r="K489" s="891">
        <v>0</v>
      </c>
      <c r="L489" s="891">
        <v>0</v>
      </c>
      <c r="M489" s="996">
        <f t="shared" si="114"/>
        <v>0</v>
      </c>
      <c r="N489" s="796"/>
      <c r="P489" s="399"/>
    </row>
    <row r="490" spans="1:16" s="645" customFormat="1" ht="15" customHeight="1" x14ac:dyDescent="0.25">
      <c r="A490" s="397"/>
      <c r="B490" s="478">
        <v>19105</v>
      </c>
      <c r="C490" s="600" t="s">
        <v>6062</v>
      </c>
      <c r="D490" s="528" t="str">
        <f t="shared" si="116"/>
        <v>19100</v>
      </c>
      <c r="E490" s="417">
        <v>331901133000000</v>
      </c>
      <c r="F490" s="418" t="s">
        <v>7014</v>
      </c>
      <c r="G490" s="603">
        <v>1</v>
      </c>
      <c r="H490" s="603">
        <v>0</v>
      </c>
      <c r="I490" s="601">
        <v>311210116000000</v>
      </c>
      <c r="J490" s="602" t="s">
        <v>6033</v>
      </c>
      <c r="K490" s="891">
        <v>0</v>
      </c>
      <c r="L490" s="891">
        <v>0</v>
      </c>
      <c r="M490" s="996">
        <f t="shared" si="114"/>
        <v>0</v>
      </c>
      <c r="N490" s="796"/>
      <c r="P490" s="399"/>
    </row>
    <row r="491" spans="1:16" s="645" customFormat="1" ht="15" customHeight="1" x14ac:dyDescent="0.25">
      <c r="A491" s="397"/>
      <c r="B491" s="478">
        <v>19106</v>
      </c>
      <c r="C491" s="600" t="s">
        <v>6062</v>
      </c>
      <c r="D491" s="528" t="str">
        <f t="shared" si="116"/>
        <v>19100</v>
      </c>
      <c r="E491" s="417">
        <v>331901133000000</v>
      </c>
      <c r="F491" s="418" t="s">
        <v>2226</v>
      </c>
      <c r="G491" s="603">
        <v>1</v>
      </c>
      <c r="H491" s="603">
        <v>0</v>
      </c>
      <c r="I491" s="601">
        <v>311210116000000</v>
      </c>
      <c r="J491" s="602" t="s">
        <v>6033</v>
      </c>
      <c r="K491" s="891">
        <v>0</v>
      </c>
      <c r="L491" s="891">
        <v>0</v>
      </c>
      <c r="M491" s="996">
        <f t="shared" si="114"/>
        <v>0</v>
      </c>
      <c r="N491" s="796"/>
      <c r="P491" s="399"/>
    </row>
    <row r="492" spans="1:16" s="645" customFormat="1" ht="15" customHeight="1" x14ac:dyDescent="0.25">
      <c r="A492" s="397"/>
      <c r="B492" s="478">
        <v>19107</v>
      </c>
      <c r="C492" s="600" t="s">
        <v>6062</v>
      </c>
      <c r="D492" s="528" t="str">
        <f>D489</f>
        <v>19100</v>
      </c>
      <c r="E492" s="417">
        <v>331901137000000</v>
      </c>
      <c r="F492" s="418" t="s">
        <v>5929</v>
      </c>
      <c r="G492" s="603">
        <v>1</v>
      </c>
      <c r="H492" s="603">
        <v>0</v>
      </c>
      <c r="I492" s="601">
        <v>311110118000000</v>
      </c>
      <c r="J492" s="602" t="s">
        <v>6026</v>
      </c>
      <c r="K492" s="891">
        <v>0</v>
      </c>
      <c r="L492" s="891">
        <v>0</v>
      </c>
      <c r="M492" s="996">
        <f t="shared" si="114"/>
        <v>0</v>
      </c>
      <c r="N492" s="796"/>
      <c r="P492" s="399"/>
    </row>
    <row r="493" spans="1:16" s="645" customFormat="1" ht="15" customHeight="1" x14ac:dyDescent="0.25">
      <c r="A493" s="397"/>
      <c r="B493" s="478">
        <f t="shared" si="115"/>
        <v>19108</v>
      </c>
      <c r="C493" s="600" t="s">
        <v>6062</v>
      </c>
      <c r="D493" s="528" t="str">
        <f t="shared" si="116"/>
        <v>19100</v>
      </c>
      <c r="E493" s="417">
        <v>331901142000000</v>
      </c>
      <c r="F493" s="418" t="s">
        <v>6075</v>
      </c>
      <c r="G493" s="603">
        <v>1</v>
      </c>
      <c r="H493" s="603">
        <v>0</v>
      </c>
      <c r="I493" s="601">
        <v>837</v>
      </c>
      <c r="J493" s="602" t="s">
        <v>6027</v>
      </c>
      <c r="K493" s="891">
        <v>0</v>
      </c>
      <c r="L493" s="891">
        <v>0</v>
      </c>
      <c r="M493" s="996">
        <f t="shared" si="114"/>
        <v>0</v>
      </c>
      <c r="N493" s="796"/>
      <c r="P493" s="399"/>
    </row>
    <row r="494" spans="1:16" s="645" customFormat="1" ht="15" customHeight="1" x14ac:dyDescent="0.25">
      <c r="A494" s="397"/>
      <c r="B494" s="478">
        <f t="shared" si="115"/>
        <v>19109</v>
      </c>
      <c r="C494" s="600" t="s">
        <v>6062</v>
      </c>
      <c r="D494" s="528" t="str">
        <f t="shared" si="116"/>
        <v>19100</v>
      </c>
      <c r="E494" s="417">
        <v>331901142000000</v>
      </c>
      <c r="F494" s="418" t="s">
        <v>6076</v>
      </c>
      <c r="G494" s="603">
        <v>1</v>
      </c>
      <c r="H494" s="603">
        <v>0</v>
      </c>
      <c r="I494" s="601">
        <v>837</v>
      </c>
      <c r="J494" s="602" t="s">
        <v>6028</v>
      </c>
      <c r="K494" s="891">
        <v>0</v>
      </c>
      <c r="L494" s="891">
        <v>0</v>
      </c>
      <c r="M494" s="996">
        <f t="shared" si="114"/>
        <v>0</v>
      </c>
      <c r="N494" s="796"/>
      <c r="P494" s="399"/>
    </row>
    <row r="495" spans="1:16" s="645" customFormat="1" ht="15" customHeight="1" x14ac:dyDescent="0.25">
      <c r="A495" s="397"/>
      <c r="B495" s="478">
        <f t="shared" si="115"/>
        <v>19110</v>
      </c>
      <c r="C495" s="600" t="s">
        <v>6062</v>
      </c>
      <c r="D495" s="528" t="str">
        <f t="shared" si="116"/>
        <v>19100</v>
      </c>
      <c r="E495" s="417">
        <v>331901142000000</v>
      </c>
      <c r="F495" s="418" t="s">
        <v>7015</v>
      </c>
      <c r="G495" s="603">
        <v>1</v>
      </c>
      <c r="H495" s="603">
        <v>0</v>
      </c>
      <c r="I495" s="601">
        <v>837</v>
      </c>
      <c r="J495" s="602" t="s">
        <v>6029</v>
      </c>
      <c r="K495" s="891">
        <v>0</v>
      </c>
      <c r="L495" s="891">
        <v>0</v>
      </c>
      <c r="M495" s="996">
        <f t="shared" si="114"/>
        <v>0</v>
      </c>
      <c r="N495" s="796"/>
      <c r="P495" s="399"/>
    </row>
    <row r="496" spans="1:16" s="645" customFormat="1" ht="15" customHeight="1" x14ac:dyDescent="0.25">
      <c r="A496" s="397"/>
      <c r="B496" s="478">
        <f t="shared" si="115"/>
        <v>19111</v>
      </c>
      <c r="C496" s="600" t="s">
        <v>6062</v>
      </c>
      <c r="D496" s="528" t="str">
        <f t="shared" si="116"/>
        <v>19100</v>
      </c>
      <c r="E496" s="417">
        <v>331901143000000</v>
      </c>
      <c r="F496" s="418" t="s">
        <v>6077</v>
      </c>
      <c r="G496" s="603">
        <v>1</v>
      </c>
      <c r="H496" s="603">
        <v>0</v>
      </c>
      <c r="I496" s="601">
        <v>828</v>
      </c>
      <c r="J496" s="602" t="s">
        <v>6030</v>
      </c>
      <c r="K496" s="891">
        <v>0</v>
      </c>
      <c r="L496" s="891">
        <v>0</v>
      </c>
      <c r="M496" s="996">
        <f t="shared" si="114"/>
        <v>0</v>
      </c>
      <c r="N496" s="796"/>
      <c r="P496" s="399"/>
    </row>
    <row r="497" spans="1:16" s="645" customFormat="1" ht="15" customHeight="1" x14ac:dyDescent="0.25">
      <c r="A497" s="397"/>
      <c r="B497" s="478">
        <f t="shared" si="115"/>
        <v>19112</v>
      </c>
      <c r="C497" s="600" t="s">
        <v>6062</v>
      </c>
      <c r="D497" s="528" t="str">
        <f t="shared" si="116"/>
        <v>19100</v>
      </c>
      <c r="E497" s="417">
        <v>331901143000000</v>
      </c>
      <c r="F497" s="418" t="s">
        <v>6078</v>
      </c>
      <c r="G497" s="603">
        <v>1</v>
      </c>
      <c r="H497" s="603">
        <v>0</v>
      </c>
      <c r="I497" s="601">
        <v>828</v>
      </c>
      <c r="J497" s="602" t="s">
        <v>6031</v>
      </c>
      <c r="K497" s="891">
        <v>0</v>
      </c>
      <c r="L497" s="891">
        <v>0</v>
      </c>
      <c r="M497" s="996">
        <f t="shared" si="114"/>
        <v>0</v>
      </c>
      <c r="N497" s="796"/>
      <c r="P497" s="399"/>
    </row>
    <row r="498" spans="1:16" s="645" customFormat="1" ht="15" customHeight="1" x14ac:dyDescent="0.25">
      <c r="A498" s="397"/>
      <c r="B498" s="478">
        <f t="shared" si="115"/>
        <v>19113</v>
      </c>
      <c r="C498" s="600" t="s">
        <v>6062</v>
      </c>
      <c r="D498" s="528" t="str">
        <f t="shared" si="116"/>
        <v>19100</v>
      </c>
      <c r="E498" s="417">
        <v>331901143000000</v>
      </c>
      <c r="F498" s="418" t="s">
        <v>7016</v>
      </c>
      <c r="G498" s="603">
        <v>1</v>
      </c>
      <c r="H498" s="603">
        <v>0</v>
      </c>
      <c r="I498" s="601">
        <v>828</v>
      </c>
      <c r="J498" s="602" t="s">
        <v>6032</v>
      </c>
      <c r="K498" s="891">
        <v>0</v>
      </c>
      <c r="L498" s="891">
        <v>0</v>
      </c>
      <c r="M498" s="996">
        <f t="shared" si="114"/>
        <v>0</v>
      </c>
      <c r="N498" s="796"/>
      <c r="P498" s="399"/>
    </row>
    <row r="499" spans="1:16" s="645" customFormat="1" ht="15" customHeight="1" x14ac:dyDescent="0.25">
      <c r="A499" s="397"/>
      <c r="B499" s="478">
        <f t="shared" si="115"/>
        <v>19114</v>
      </c>
      <c r="C499" s="600" t="s">
        <v>6062</v>
      </c>
      <c r="D499" s="528" t="str">
        <f t="shared" si="116"/>
        <v>19100</v>
      </c>
      <c r="E499" s="417">
        <v>331901145000000</v>
      </c>
      <c r="F499" s="418" t="s">
        <v>6079</v>
      </c>
      <c r="G499" s="603">
        <v>1</v>
      </c>
      <c r="H499" s="603">
        <v>0</v>
      </c>
      <c r="I499" s="601">
        <v>837</v>
      </c>
      <c r="J499" s="602" t="s">
        <v>6027</v>
      </c>
      <c r="K499" s="891">
        <v>0</v>
      </c>
      <c r="L499" s="891">
        <v>0</v>
      </c>
      <c r="M499" s="996">
        <f t="shared" si="114"/>
        <v>0</v>
      </c>
      <c r="N499" s="796"/>
      <c r="P499" s="399"/>
    </row>
    <row r="500" spans="1:16" s="645" customFormat="1" ht="15" customHeight="1" x14ac:dyDescent="0.25">
      <c r="A500" s="397"/>
      <c r="B500" s="478">
        <f t="shared" si="115"/>
        <v>19115</v>
      </c>
      <c r="C500" s="600" t="s">
        <v>6062</v>
      </c>
      <c r="D500" s="528" t="str">
        <f t="shared" si="116"/>
        <v>19100</v>
      </c>
      <c r="E500" s="417">
        <v>331901145000000</v>
      </c>
      <c r="F500" s="418" t="s">
        <v>6080</v>
      </c>
      <c r="G500" s="603">
        <v>1</v>
      </c>
      <c r="H500" s="603">
        <v>0</v>
      </c>
      <c r="I500" s="601">
        <v>837</v>
      </c>
      <c r="J500" s="602" t="s">
        <v>6028</v>
      </c>
      <c r="K500" s="891">
        <v>0</v>
      </c>
      <c r="L500" s="891">
        <v>0</v>
      </c>
      <c r="M500" s="996">
        <f t="shared" si="114"/>
        <v>0</v>
      </c>
      <c r="N500" s="796"/>
      <c r="P500" s="399"/>
    </row>
    <row r="501" spans="1:16" s="645" customFormat="1" ht="15" customHeight="1" x14ac:dyDescent="0.25">
      <c r="A501" s="397"/>
      <c r="B501" s="478">
        <f t="shared" si="115"/>
        <v>19116</v>
      </c>
      <c r="C501" s="600" t="s">
        <v>6062</v>
      </c>
      <c r="D501" s="528" t="str">
        <f t="shared" si="116"/>
        <v>19100</v>
      </c>
      <c r="E501" s="417">
        <v>331901145000000</v>
      </c>
      <c r="F501" s="418" t="s">
        <v>7017</v>
      </c>
      <c r="G501" s="603">
        <v>1</v>
      </c>
      <c r="H501" s="603">
        <v>0</v>
      </c>
      <c r="I501" s="601">
        <v>837</v>
      </c>
      <c r="J501" s="602" t="s">
        <v>6029</v>
      </c>
      <c r="K501" s="891">
        <v>0</v>
      </c>
      <c r="L501" s="891">
        <v>0</v>
      </c>
      <c r="M501" s="996">
        <f t="shared" si="114"/>
        <v>0</v>
      </c>
      <c r="N501" s="796"/>
      <c r="P501" s="399"/>
    </row>
    <row r="502" spans="1:16" s="645" customFormat="1" ht="15" customHeight="1" x14ac:dyDescent="0.25">
      <c r="A502" s="397"/>
      <c r="B502" s="478">
        <f t="shared" si="115"/>
        <v>19117</v>
      </c>
      <c r="C502" s="600" t="s">
        <v>6062</v>
      </c>
      <c r="D502" s="528" t="str">
        <f t="shared" si="116"/>
        <v>19100</v>
      </c>
      <c r="E502" s="417">
        <v>331901174060000</v>
      </c>
      <c r="F502" s="418" t="s">
        <v>7018</v>
      </c>
      <c r="G502" s="603">
        <v>1</v>
      </c>
      <c r="H502" s="603">
        <v>0</v>
      </c>
      <c r="I502" s="601">
        <v>311210131000000</v>
      </c>
      <c r="J502" s="602" t="s">
        <v>6035</v>
      </c>
      <c r="K502" s="891">
        <v>0</v>
      </c>
      <c r="L502" s="891">
        <v>0</v>
      </c>
      <c r="M502" s="996">
        <f t="shared" si="114"/>
        <v>0</v>
      </c>
      <c r="N502" s="796"/>
      <c r="P502" s="399"/>
    </row>
    <row r="503" spans="1:16" s="115" customFormat="1" ht="15" customHeight="1" x14ac:dyDescent="0.25">
      <c r="A503" s="396"/>
      <c r="B503" s="1398" t="s">
        <v>7085</v>
      </c>
      <c r="C503" s="1398"/>
      <c r="D503" s="1398"/>
      <c r="E503" s="854">
        <v>331901300000000</v>
      </c>
      <c r="F503" s="855" t="s">
        <v>5735</v>
      </c>
      <c r="G503" s="468">
        <v>1</v>
      </c>
      <c r="H503" s="468">
        <v>0</v>
      </c>
      <c r="I503" s="751"/>
      <c r="J503" s="878" t="s">
        <v>7165</v>
      </c>
      <c r="K503" s="789">
        <f>'Parâmetros financeiros Despesa'!E249</f>
        <v>76569.59375</v>
      </c>
      <c r="L503" s="789">
        <f>(L507+L485)*'Parâmetros financeiros Despesa'!F80</f>
        <v>111622.31455578421</v>
      </c>
      <c r="M503" s="799">
        <f>L503/L$618</f>
        <v>0.15257250305206832</v>
      </c>
      <c r="N503" s="894"/>
      <c r="P503" s="733"/>
    </row>
    <row r="504" spans="1:16" s="645" customFormat="1" ht="15" customHeight="1" x14ac:dyDescent="0.25">
      <c r="A504" s="397"/>
      <c r="B504" s="599">
        <f>B503+1</f>
        <v>19201</v>
      </c>
      <c r="C504" s="600" t="s">
        <v>6062</v>
      </c>
      <c r="D504" s="528" t="str">
        <f>B503</f>
        <v>19200</v>
      </c>
      <c r="E504" s="417">
        <v>331901302010000</v>
      </c>
      <c r="F504" s="418" t="s">
        <v>7019</v>
      </c>
      <c r="G504" s="603">
        <v>1</v>
      </c>
      <c r="H504" s="603">
        <v>0</v>
      </c>
      <c r="I504" s="601">
        <v>312219900000000</v>
      </c>
      <c r="J504" s="602" t="s">
        <v>6036</v>
      </c>
      <c r="K504" s="891">
        <v>0</v>
      </c>
      <c r="L504" s="891">
        <v>0</v>
      </c>
      <c r="M504" s="996">
        <f t="shared" ref="M504:M506" si="117">L504/L$618</f>
        <v>0</v>
      </c>
      <c r="N504" s="796"/>
      <c r="P504" s="399"/>
    </row>
    <row r="505" spans="1:16" s="645" customFormat="1" ht="15" customHeight="1" x14ac:dyDescent="0.25">
      <c r="A505" s="397"/>
      <c r="B505" s="599">
        <f>B504+1</f>
        <v>19202</v>
      </c>
      <c r="C505" s="600" t="s">
        <v>6062</v>
      </c>
      <c r="D505" s="528" t="str">
        <f>D504</f>
        <v>19200</v>
      </c>
      <c r="E505" s="417">
        <v>331901302010000</v>
      </c>
      <c r="F505" s="418" t="s">
        <v>7020</v>
      </c>
      <c r="G505" s="603">
        <v>1</v>
      </c>
      <c r="H505" s="603">
        <v>0</v>
      </c>
      <c r="I505" s="601">
        <v>312219900000000</v>
      </c>
      <c r="J505" s="602" t="s">
        <v>6037</v>
      </c>
      <c r="K505" s="891">
        <v>0</v>
      </c>
      <c r="L505" s="891">
        <v>0</v>
      </c>
      <c r="M505" s="996">
        <f t="shared" si="117"/>
        <v>0</v>
      </c>
      <c r="N505" s="796"/>
      <c r="P505" s="399"/>
    </row>
    <row r="506" spans="1:16" s="645" customFormat="1" ht="15" customHeight="1" x14ac:dyDescent="0.25">
      <c r="A506" s="397"/>
      <c r="B506" s="599">
        <f>B505+1</f>
        <v>19203</v>
      </c>
      <c r="C506" s="600" t="s">
        <v>6062</v>
      </c>
      <c r="D506" s="528" t="str">
        <f>D505</f>
        <v>19200</v>
      </c>
      <c r="E506" s="417">
        <v>331901302010000</v>
      </c>
      <c r="F506" s="418" t="s">
        <v>7021</v>
      </c>
      <c r="G506" s="603">
        <v>1</v>
      </c>
      <c r="H506" s="603">
        <v>0</v>
      </c>
      <c r="I506" s="601">
        <v>312219900000000</v>
      </c>
      <c r="J506" s="602" t="s">
        <v>6038</v>
      </c>
      <c r="K506" s="891">
        <v>0</v>
      </c>
      <c r="L506" s="891">
        <v>0</v>
      </c>
      <c r="M506" s="996">
        <f t="shared" si="117"/>
        <v>0</v>
      </c>
      <c r="N506" s="796"/>
      <c r="P506" s="399"/>
    </row>
    <row r="507" spans="1:16" s="115" customFormat="1" ht="15" customHeight="1" x14ac:dyDescent="0.25">
      <c r="A507" s="396"/>
      <c r="B507" s="1398" t="s">
        <v>7086</v>
      </c>
      <c r="C507" s="1398"/>
      <c r="D507" s="1398"/>
      <c r="E507" s="854">
        <v>331901600000000</v>
      </c>
      <c r="F507" s="855" t="s">
        <v>5736</v>
      </c>
      <c r="G507" s="468">
        <v>1</v>
      </c>
      <c r="H507" s="468">
        <v>0</v>
      </c>
      <c r="I507" s="751"/>
      <c r="J507" s="878" t="s">
        <v>7165</v>
      </c>
      <c r="K507" s="789">
        <f>'Parâmetros financeiros Despesa'!E250</f>
        <v>16620.900000000001</v>
      </c>
      <c r="L507" s="789">
        <f>('Parâmetros financeiros Despesa'!F250)*2.05+(('Parâmetros financeiros Despesa'!F250)*11.28)*(1+'Parâmetros financeiros Despesa'!F$4)*(1+'Parâmetros financeiros Despesa'!F$8)</f>
        <v>19329.872013201879</v>
      </c>
      <c r="M507" s="799">
        <f>L507/L$618</f>
        <v>2.6421302662170139E-2</v>
      </c>
      <c r="N507" s="894"/>
      <c r="P507" s="733"/>
    </row>
    <row r="508" spans="1:16" s="645" customFormat="1" ht="15" customHeight="1" x14ac:dyDescent="0.25">
      <c r="A508" s="397"/>
      <c r="B508" s="599" t="s">
        <v>7102</v>
      </c>
      <c r="C508" s="600" t="s">
        <v>6062</v>
      </c>
      <c r="D508" s="528">
        <v>19300</v>
      </c>
      <c r="E508" s="417">
        <v>331901644000000</v>
      </c>
      <c r="F508" s="418" t="s">
        <v>2155</v>
      </c>
      <c r="G508" s="603">
        <v>1</v>
      </c>
      <c r="H508" s="603">
        <v>0</v>
      </c>
      <c r="I508" s="601">
        <v>311210203000000</v>
      </c>
      <c r="J508" s="602" t="s">
        <v>6039</v>
      </c>
      <c r="K508" s="891">
        <v>0</v>
      </c>
      <c r="L508" s="891">
        <v>0</v>
      </c>
      <c r="M508" s="996">
        <f t="shared" ref="M508" si="118">L508/L$618</f>
        <v>0</v>
      </c>
      <c r="N508" s="796"/>
      <c r="P508" s="399"/>
    </row>
    <row r="509" spans="1:16" s="115" customFormat="1" ht="15" customHeight="1" x14ac:dyDescent="0.25">
      <c r="A509" s="396"/>
      <c r="B509" s="1398" t="s">
        <v>7087</v>
      </c>
      <c r="C509" s="1398"/>
      <c r="D509" s="1398"/>
      <c r="E509" s="854">
        <v>333901400000000</v>
      </c>
      <c r="F509" s="855" t="s">
        <v>6568</v>
      </c>
      <c r="G509" s="468">
        <v>1</v>
      </c>
      <c r="H509" s="468">
        <v>0</v>
      </c>
      <c r="I509" s="751"/>
      <c r="J509" s="878" t="s">
        <v>7166</v>
      </c>
      <c r="K509" s="789">
        <f>'Parâmetros financeiros Despesa'!E251</f>
        <v>19333.5</v>
      </c>
      <c r="L509" s="789">
        <f>('Parâmetros financeiros Despesa'!F251)*2+(('Parâmetros financeiros Despesa'!F251)*10)*(1+'Parâmetros financeiros Despesa'!F$4)*(1+'Parâmetros financeiros Despesa'!F$8)</f>
        <v>20227.3752316848</v>
      </c>
      <c r="M509" s="799">
        <f>L509/L$618</f>
        <v>2.7648067338087987E-2</v>
      </c>
      <c r="N509" s="894"/>
      <c r="O509" s="796"/>
      <c r="P509" s="733"/>
    </row>
    <row r="510" spans="1:16" s="662" customFormat="1" ht="15" customHeight="1" x14ac:dyDescent="0.25">
      <c r="A510" s="397"/>
      <c r="B510" s="599" t="s">
        <v>7110</v>
      </c>
      <c r="C510" s="600" t="s">
        <v>6062</v>
      </c>
      <c r="D510" s="528">
        <v>19400</v>
      </c>
      <c r="E510" s="417">
        <v>333901414010000</v>
      </c>
      <c r="F510" s="418" t="s">
        <v>2263</v>
      </c>
      <c r="G510" s="603">
        <v>1</v>
      </c>
      <c r="H510" s="603">
        <v>0</v>
      </c>
      <c r="I510" s="601">
        <v>332110100000000</v>
      </c>
      <c r="J510" s="602" t="s">
        <v>6090</v>
      </c>
      <c r="K510" s="891">
        <v>0</v>
      </c>
      <c r="L510" s="891">
        <v>0</v>
      </c>
      <c r="M510" s="996">
        <f t="shared" ref="M510:M513" si="119">L510/L$618</f>
        <v>0</v>
      </c>
      <c r="N510" s="796"/>
      <c r="P510" s="399"/>
    </row>
    <row r="511" spans="1:16" s="645" customFormat="1" ht="15" customHeight="1" x14ac:dyDescent="0.25">
      <c r="A511" s="397"/>
      <c r="B511" s="599" t="s">
        <v>7111</v>
      </c>
      <c r="C511" s="600" t="s">
        <v>6062</v>
      </c>
      <c r="D511" s="528" t="str">
        <f>B509</f>
        <v>19400</v>
      </c>
      <c r="E511" s="417">
        <v>333901414020000</v>
      </c>
      <c r="F511" s="418" t="s">
        <v>2156</v>
      </c>
      <c r="G511" s="603">
        <v>1</v>
      </c>
      <c r="H511" s="603">
        <v>0</v>
      </c>
      <c r="I511" s="601">
        <v>332110100000000</v>
      </c>
      <c r="J511" s="602" t="s">
        <v>6090</v>
      </c>
      <c r="K511" s="891">
        <v>0</v>
      </c>
      <c r="L511" s="891">
        <v>0</v>
      </c>
      <c r="M511" s="996">
        <f t="shared" si="119"/>
        <v>0</v>
      </c>
      <c r="N511" s="796"/>
      <c r="P511" s="399"/>
    </row>
    <row r="512" spans="1:16" s="645" customFormat="1" ht="15" customHeight="1" x14ac:dyDescent="0.25">
      <c r="A512" s="397"/>
      <c r="B512" s="599">
        <f>B511+1</f>
        <v>19403</v>
      </c>
      <c r="C512" s="600" t="s">
        <v>6062</v>
      </c>
      <c r="D512" s="528">
        <v>19400</v>
      </c>
      <c r="E512" s="417">
        <v>333901414030000</v>
      </c>
      <c r="F512" s="418" t="s">
        <v>2157</v>
      </c>
      <c r="G512" s="603">
        <v>1</v>
      </c>
      <c r="H512" s="603">
        <v>0</v>
      </c>
      <c r="I512" s="601">
        <v>332110100000000</v>
      </c>
      <c r="J512" s="602" t="s">
        <v>6088</v>
      </c>
      <c r="K512" s="891">
        <v>0</v>
      </c>
      <c r="L512" s="891">
        <v>0</v>
      </c>
      <c r="M512" s="996">
        <f t="shared" si="119"/>
        <v>0</v>
      </c>
      <c r="N512" s="796"/>
      <c r="P512" s="399"/>
    </row>
    <row r="513" spans="1:16" s="645" customFormat="1" ht="15" customHeight="1" x14ac:dyDescent="0.25">
      <c r="A513" s="397"/>
      <c r="B513" s="599">
        <f>B512+1</f>
        <v>19404</v>
      </c>
      <c r="C513" s="600" t="s">
        <v>6062</v>
      </c>
      <c r="D513" s="528">
        <f>D512</f>
        <v>19400</v>
      </c>
      <c r="E513" s="417">
        <v>333901414040000</v>
      </c>
      <c r="F513" s="418" t="s">
        <v>7022</v>
      </c>
      <c r="G513" s="603">
        <v>1</v>
      </c>
      <c r="H513" s="603">
        <v>0</v>
      </c>
      <c r="I513" s="601">
        <v>332110100000000</v>
      </c>
      <c r="J513" s="602" t="s">
        <v>6086</v>
      </c>
      <c r="K513" s="891">
        <v>0</v>
      </c>
      <c r="L513" s="891">
        <v>0</v>
      </c>
      <c r="M513" s="996">
        <f t="shared" si="119"/>
        <v>0</v>
      </c>
      <c r="N513" s="796"/>
      <c r="P513" s="399"/>
    </row>
    <row r="514" spans="1:16" s="645" customFormat="1" ht="15" customHeight="1" x14ac:dyDescent="0.25">
      <c r="A514" s="397"/>
      <c r="B514" s="1396">
        <v>19500</v>
      </c>
      <c r="C514" s="1396"/>
      <c r="D514" s="1396"/>
      <c r="E514" s="417">
        <v>333903000000000</v>
      </c>
      <c r="F514" s="418" t="s">
        <v>7023</v>
      </c>
      <c r="G514" s="468">
        <v>1</v>
      </c>
      <c r="H514" s="468">
        <v>0</v>
      </c>
      <c r="I514" s="751"/>
      <c r="J514" s="878" t="s">
        <v>7166</v>
      </c>
      <c r="K514" s="789">
        <f>'Parâmetros financeiros Despesa'!E252+'Parâmetros financeiros Despesa'!E253</f>
        <v>16617.105</v>
      </c>
      <c r="L514" s="789">
        <f>('Parâmetros financeiros Despesa'!F252+'Parâmetros financeiros Despesa'!F253)*(1+'Parâmetros financeiros Despesa'!F$4)*(1+'Parâmetros financeiros Despesa'!F$7)*(1+'Parâmetros financeiros Despesa'!F$77)</f>
        <v>20298.816020307499</v>
      </c>
      <c r="M514" s="799">
        <f>L514/L$618</f>
        <v>2.7745717167188523E-2</v>
      </c>
      <c r="N514" s="894"/>
      <c r="O514" s="796"/>
      <c r="P514" s="399"/>
    </row>
    <row r="515" spans="1:16" s="645" customFormat="1" ht="15" customHeight="1" x14ac:dyDescent="0.25">
      <c r="A515" s="397"/>
      <c r="B515" s="478">
        <v>19501</v>
      </c>
      <c r="C515" s="528" t="s">
        <v>6062</v>
      </c>
      <c r="D515" s="528">
        <v>19500</v>
      </c>
      <c r="E515" s="417">
        <v>333903004000000</v>
      </c>
      <c r="F515" s="418" t="s">
        <v>2164</v>
      </c>
      <c r="G515" s="603">
        <v>1</v>
      </c>
      <c r="H515" s="603">
        <v>0</v>
      </c>
      <c r="I515" s="601">
        <v>331110300000000</v>
      </c>
      <c r="J515" s="602" t="s">
        <v>6095</v>
      </c>
      <c r="K515" s="891">
        <v>0</v>
      </c>
      <c r="L515" s="891">
        <v>0</v>
      </c>
      <c r="M515" s="996">
        <f t="shared" ref="M515:M536" si="120">L515/L$618</f>
        <v>0</v>
      </c>
      <c r="N515" s="796"/>
      <c r="P515" s="399"/>
    </row>
    <row r="516" spans="1:16" s="645" customFormat="1" ht="15" customHeight="1" x14ac:dyDescent="0.25">
      <c r="A516" s="397"/>
      <c r="B516" s="478">
        <f t="shared" ref="B516:B536" si="121">B515+1</f>
        <v>19502</v>
      </c>
      <c r="C516" s="528" t="s">
        <v>6062</v>
      </c>
      <c r="D516" s="528">
        <f t="shared" ref="D516:D536" si="122">D515</f>
        <v>19500</v>
      </c>
      <c r="E516" s="417">
        <v>333903004000000</v>
      </c>
      <c r="F516" s="418" t="s">
        <v>5747</v>
      </c>
      <c r="G516" s="603">
        <v>1</v>
      </c>
      <c r="H516" s="603">
        <v>0</v>
      </c>
      <c r="I516" s="601">
        <v>1322</v>
      </c>
      <c r="J516" s="602" t="s">
        <v>6095</v>
      </c>
      <c r="K516" s="891">
        <v>0</v>
      </c>
      <c r="L516" s="891">
        <v>0</v>
      </c>
      <c r="M516" s="996">
        <f t="shared" si="120"/>
        <v>0</v>
      </c>
      <c r="N516" s="796"/>
      <c r="P516" s="399"/>
    </row>
    <row r="517" spans="1:16" s="645" customFormat="1" ht="15" customHeight="1" x14ac:dyDescent="0.25">
      <c r="A517" s="397"/>
      <c r="B517" s="478">
        <f t="shared" si="121"/>
        <v>19503</v>
      </c>
      <c r="C517" s="528" t="s">
        <v>6062</v>
      </c>
      <c r="D517" s="528">
        <f t="shared" si="122"/>
        <v>19500</v>
      </c>
      <c r="E517" s="417">
        <v>333903007000000</v>
      </c>
      <c r="F517" s="418" t="s">
        <v>2267</v>
      </c>
      <c r="G517" s="603">
        <v>1</v>
      </c>
      <c r="H517" s="603">
        <v>0</v>
      </c>
      <c r="I517" s="601">
        <v>331110600000000</v>
      </c>
      <c r="J517" s="602" t="s">
        <v>6096</v>
      </c>
      <c r="K517" s="891">
        <v>0</v>
      </c>
      <c r="L517" s="891">
        <v>0</v>
      </c>
      <c r="M517" s="996">
        <f t="shared" si="120"/>
        <v>0</v>
      </c>
      <c r="N517" s="796"/>
      <c r="P517" s="399"/>
    </row>
    <row r="518" spans="1:16" s="645" customFormat="1" ht="15" customHeight="1" x14ac:dyDescent="0.25">
      <c r="A518" s="397"/>
      <c r="B518" s="478">
        <f>B517+1</f>
        <v>19504</v>
      </c>
      <c r="C518" s="528" t="s">
        <v>6062</v>
      </c>
      <c r="D518" s="528">
        <f>D517</f>
        <v>19500</v>
      </c>
      <c r="E518" s="417">
        <v>333903007000000</v>
      </c>
      <c r="F518" s="418" t="s">
        <v>5749</v>
      </c>
      <c r="G518" s="603">
        <v>1</v>
      </c>
      <c r="H518" s="603">
        <v>0</v>
      </c>
      <c r="I518" s="601">
        <v>30</v>
      </c>
      <c r="J518" s="602" t="s">
        <v>6096</v>
      </c>
      <c r="K518" s="891">
        <v>0</v>
      </c>
      <c r="L518" s="891">
        <v>0</v>
      </c>
      <c r="M518" s="996">
        <f t="shared" si="120"/>
        <v>0</v>
      </c>
      <c r="N518" s="796"/>
      <c r="P518" s="399"/>
    </row>
    <row r="519" spans="1:16" s="645" customFormat="1" ht="15" customHeight="1" x14ac:dyDescent="0.25">
      <c r="A519" s="397"/>
      <c r="B519" s="478">
        <f>B518+1</f>
        <v>19505</v>
      </c>
      <c r="C519" s="528" t="s">
        <v>6062</v>
      </c>
      <c r="D519" s="528">
        <f>D518</f>
        <v>19500</v>
      </c>
      <c r="E519" s="417">
        <v>333903007000000</v>
      </c>
      <c r="F519" s="418" t="s">
        <v>6923</v>
      </c>
      <c r="G519" s="603">
        <v>1</v>
      </c>
      <c r="H519" s="603">
        <v>0</v>
      </c>
      <c r="I519" s="601">
        <v>331110600000000</v>
      </c>
      <c r="J519" s="602" t="s">
        <v>6096</v>
      </c>
      <c r="K519" s="891">
        <v>0</v>
      </c>
      <c r="L519" s="891">
        <v>0</v>
      </c>
      <c r="M519" s="996">
        <f t="shared" si="120"/>
        <v>0</v>
      </c>
      <c r="N519" s="796"/>
      <c r="P519" s="399"/>
    </row>
    <row r="520" spans="1:16" s="645" customFormat="1" ht="15" customHeight="1" x14ac:dyDescent="0.25">
      <c r="A520" s="397"/>
      <c r="B520" s="478">
        <f>B519+1</f>
        <v>19506</v>
      </c>
      <c r="C520" s="528" t="s">
        <v>6062</v>
      </c>
      <c r="D520" s="528">
        <f>D519</f>
        <v>19500</v>
      </c>
      <c r="E520" s="417">
        <v>333903007000000</v>
      </c>
      <c r="F520" s="418" t="s">
        <v>6924</v>
      </c>
      <c r="G520" s="603">
        <v>1</v>
      </c>
      <c r="H520" s="603">
        <v>0</v>
      </c>
      <c r="I520" s="601">
        <v>30</v>
      </c>
      <c r="J520" s="602" t="s">
        <v>6096</v>
      </c>
      <c r="K520" s="891">
        <v>0</v>
      </c>
      <c r="L520" s="891">
        <v>0</v>
      </c>
      <c r="M520" s="996">
        <f t="shared" si="120"/>
        <v>0</v>
      </c>
      <c r="N520" s="796"/>
      <c r="P520" s="399"/>
    </row>
    <row r="521" spans="1:16" s="645" customFormat="1" ht="15" customHeight="1" x14ac:dyDescent="0.25">
      <c r="A521" s="397"/>
      <c r="B521" s="478">
        <f>B520+1</f>
        <v>19507</v>
      </c>
      <c r="C521" s="528" t="s">
        <v>6062</v>
      </c>
      <c r="D521" s="528">
        <f>D520</f>
        <v>19500</v>
      </c>
      <c r="E521" s="417">
        <v>333903016000000</v>
      </c>
      <c r="F521" s="418" t="s">
        <v>2264</v>
      </c>
      <c r="G521" s="603">
        <v>1</v>
      </c>
      <c r="H521" s="603">
        <v>0</v>
      </c>
      <c r="I521" s="601">
        <v>331111600000000</v>
      </c>
      <c r="J521" s="602" t="s">
        <v>6097</v>
      </c>
      <c r="K521" s="891">
        <v>0</v>
      </c>
      <c r="L521" s="891">
        <v>0</v>
      </c>
      <c r="M521" s="996">
        <f t="shared" si="120"/>
        <v>0</v>
      </c>
      <c r="N521" s="796"/>
      <c r="P521" s="399"/>
    </row>
    <row r="522" spans="1:16" s="645" customFormat="1" ht="15" customHeight="1" x14ac:dyDescent="0.25">
      <c r="A522" s="397"/>
      <c r="B522" s="478">
        <f t="shared" si="121"/>
        <v>19508</v>
      </c>
      <c r="C522" s="528" t="s">
        <v>6062</v>
      </c>
      <c r="D522" s="528">
        <f t="shared" si="122"/>
        <v>19500</v>
      </c>
      <c r="E522" s="417">
        <v>333903016000000</v>
      </c>
      <c r="F522" s="418" t="s">
        <v>5751</v>
      </c>
      <c r="G522" s="603">
        <v>1</v>
      </c>
      <c r="H522" s="603">
        <v>0</v>
      </c>
      <c r="I522" s="601">
        <v>35</v>
      </c>
      <c r="J522" s="602" t="s">
        <v>6097</v>
      </c>
      <c r="K522" s="891">
        <v>0</v>
      </c>
      <c r="L522" s="891">
        <v>0</v>
      </c>
      <c r="M522" s="996">
        <f t="shared" si="120"/>
        <v>0</v>
      </c>
      <c r="N522" s="796"/>
      <c r="P522" s="399"/>
    </row>
    <row r="523" spans="1:16" s="645" customFormat="1" ht="15" customHeight="1" x14ac:dyDescent="0.25">
      <c r="A523" s="397"/>
      <c r="B523" s="478">
        <f t="shared" si="121"/>
        <v>19509</v>
      </c>
      <c r="C523" s="528" t="s">
        <v>6062</v>
      </c>
      <c r="D523" s="528">
        <f t="shared" si="122"/>
        <v>19500</v>
      </c>
      <c r="E523" s="417">
        <v>333903017000000</v>
      </c>
      <c r="F523" s="418" t="s">
        <v>5753</v>
      </c>
      <c r="G523" s="603">
        <v>1</v>
      </c>
      <c r="H523" s="603">
        <v>0</v>
      </c>
      <c r="I523" s="601">
        <v>331111700000000</v>
      </c>
      <c r="J523" s="602" t="s">
        <v>6098</v>
      </c>
      <c r="K523" s="891">
        <v>0</v>
      </c>
      <c r="L523" s="891">
        <v>0</v>
      </c>
      <c r="M523" s="996">
        <f t="shared" si="120"/>
        <v>0</v>
      </c>
      <c r="N523" s="796"/>
      <c r="P523" s="399"/>
    </row>
    <row r="524" spans="1:16" s="645" customFormat="1" ht="15" customHeight="1" x14ac:dyDescent="0.25">
      <c r="A524" s="397"/>
      <c r="B524" s="478">
        <f t="shared" si="121"/>
        <v>19510</v>
      </c>
      <c r="C524" s="528" t="s">
        <v>6062</v>
      </c>
      <c r="D524" s="528">
        <f t="shared" si="122"/>
        <v>19500</v>
      </c>
      <c r="E524" s="417">
        <v>333903017000000</v>
      </c>
      <c r="F524" s="418" t="s">
        <v>5754</v>
      </c>
      <c r="G524" s="603">
        <v>1</v>
      </c>
      <c r="H524" s="603">
        <v>0</v>
      </c>
      <c r="I524" s="601">
        <v>617</v>
      </c>
      <c r="J524" s="602" t="s">
        <v>6098</v>
      </c>
      <c r="K524" s="891">
        <v>0</v>
      </c>
      <c r="L524" s="891">
        <v>0</v>
      </c>
      <c r="M524" s="996">
        <f t="shared" si="120"/>
        <v>0</v>
      </c>
      <c r="N524" s="796"/>
      <c r="P524" s="399"/>
    </row>
    <row r="525" spans="1:16" s="645" customFormat="1" ht="15" customHeight="1" x14ac:dyDescent="0.25">
      <c r="A525" s="397"/>
      <c r="B525" s="478">
        <f t="shared" si="121"/>
        <v>19511</v>
      </c>
      <c r="C525" s="528" t="s">
        <v>6062</v>
      </c>
      <c r="D525" s="528">
        <f t="shared" si="122"/>
        <v>19500</v>
      </c>
      <c r="E525" s="417">
        <v>333903021000000</v>
      </c>
      <c r="F525" s="418" t="s">
        <v>5868</v>
      </c>
      <c r="G525" s="603">
        <v>1</v>
      </c>
      <c r="H525" s="603">
        <v>0</v>
      </c>
      <c r="I525" s="601">
        <v>331112100000000</v>
      </c>
      <c r="J525" s="602" t="s">
        <v>6099</v>
      </c>
      <c r="K525" s="891">
        <v>0</v>
      </c>
      <c r="L525" s="891">
        <v>0</v>
      </c>
      <c r="M525" s="996">
        <f t="shared" si="120"/>
        <v>0</v>
      </c>
      <c r="N525" s="796"/>
      <c r="P525" s="399"/>
    </row>
    <row r="526" spans="1:16" s="645" customFormat="1" ht="15" customHeight="1" x14ac:dyDescent="0.25">
      <c r="A526" s="397"/>
      <c r="B526" s="478">
        <f t="shared" si="121"/>
        <v>19512</v>
      </c>
      <c r="C526" s="528" t="s">
        <v>6062</v>
      </c>
      <c r="D526" s="528">
        <f t="shared" si="122"/>
        <v>19500</v>
      </c>
      <c r="E526" s="417">
        <v>333903021000000</v>
      </c>
      <c r="F526" s="418" t="s">
        <v>5869</v>
      </c>
      <c r="G526" s="603">
        <v>1</v>
      </c>
      <c r="H526" s="603">
        <v>0</v>
      </c>
      <c r="I526" s="601">
        <v>28</v>
      </c>
      <c r="J526" s="602" t="s">
        <v>6099</v>
      </c>
      <c r="K526" s="891">
        <v>0</v>
      </c>
      <c r="L526" s="891">
        <v>0</v>
      </c>
      <c r="M526" s="996">
        <f t="shared" si="120"/>
        <v>0</v>
      </c>
      <c r="N526" s="796"/>
      <c r="P526" s="399"/>
    </row>
    <row r="527" spans="1:16" s="645" customFormat="1" ht="15" customHeight="1" x14ac:dyDescent="0.25">
      <c r="A527" s="397"/>
      <c r="B527" s="478">
        <f t="shared" si="121"/>
        <v>19513</v>
      </c>
      <c r="C527" s="528" t="s">
        <v>6062</v>
      </c>
      <c r="D527" s="528">
        <f t="shared" si="122"/>
        <v>19500</v>
      </c>
      <c r="E527" s="417">
        <v>333903022000000</v>
      </c>
      <c r="F527" s="418" t="s">
        <v>5757</v>
      </c>
      <c r="G527" s="603">
        <v>1</v>
      </c>
      <c r="H527" s="603">
        <v>0</v>
      </c>
      <c r="I527" s="601">
        <v>331112200000000</v>
      </c>
      <c r="J527" s="602" t="s">
        <v>6100</v>
      </c>
      <c r="K527" s="891">
        <v>0</v>
      </c>
      <c r="L527" s="891">
        <v>0</v>
      </c>
      <c r="M527" s="996">
        <f t="shared" si="120"/>
        <v>0</v>
      </c>
      <c r="N527" s="796"/>
      <c r="P527" s="399"/>
    </row>
    <row r="528" spans="1:16" s="645" customFormat="1" ht="15" customHeight="1" x14ac:dyDescent="0.25">
      <c r="A528" s="397"/>
      <c r="B528" s="478">
        <f t="shared" si="121"/>
        <v>19514</v>
      </c>
      <c r="C528" s="528" t="s">
        <v>6062</v>
      </c>
      <c r="D528" s="528">
        <f t="shared" si="122"/>
        <v>19500</v>
      </c>
      <c r="E528" s="417">
        <v>333903022000000</v>
      </c>
      <c r="F528" s="418" t="s">
        <v>5758</v>
      </c>
      <c r="G528" s="603">
        <v>1</v>
      </c>
      <c r="H528" s="603">
        <v>0</v>
      </c>
      <c r="I528" s="601">
        <v>28</v>
      </c>
      <c r="J528" s="602" t="s">
        <v>6100</v>
      </c>
      <c r="K528" s="891">
        <v>0</v>
      </c>
      <c r="L528" s="891">
        <v>0</v>
      </c>
      <c r="M528" s="996">
        <f t="shared" si="120"/>
        <v>0</v>
      </c>
      <c r="N528" s="796"/>
      <c r="P528" s="399"/>
    </row>
    <row r="529" spans="1:16" s="645" customFormat="1" ht="15" customHeight="1" x14ac:dyDescent="0.25">
      <c r="A529" s="397"/>
      <c r="B529" s="478">
        <f t="shared" si="121"/>
        <v>19515</v>
      </c>
      <c r="C529" s="528" t="s">
        <v>6062</v>
      </c>
      <c r="D529" s="528">
        <f t="shared" si="122"/>
        <v>19500</v>
      </c>
      <c r="E529" s="417">
        <v>333903024000000</v>
      </c>
      <c r="F529" s="418" t="s">
        <v>5760</v>
      </c>
      <c r="G529" s="603">
        <v>1</v>
      </c>
      <c r="H529" s="603">
        <v>0</v>
      </c>
      <c r="I529" s="601">
        <v>331112400000000</v>
      </c>
      <c r="J529" s="602" t="s">
        <v>6101</v>
      </c>
      <c r="K529" s="891">
        <v>0</v>
      </c>
      <c r="L529" s="891">
        <v>0</v>
      </c>
      <c r="M529" s="996">
        <f t="shared" si="120"/>
        <v>0</v>
      </c>
      <c r="N529" s="796"/>
      <c r="P529" s="399"/>
    </row>
    <row r="530" spans="1:16" s="645" customFormat="1" ht="15" customHeight="1" x14ac:dyDescent="0.25">
      <c r="A530" s="397"/>
      <c r="B530" s="478">
        <f t="shared" si="121"/>
        <v>19516</v>
      </c>
      <c r="C530" s="528" t="s">
        <v>6062</v>
      </c>
      <c r="D530" s="528">
        <f t="shared" si="122"/>
        <v>19500</v>
      </c>
      <c r="E530" s="417">
        <v>333903024000000</v>
      </c>
      <c r="F530" s="418" t="s">
        <v>5759</v>
      </c>
      <c r="G530" s="603">
        <v>1</v>
      </c>
      <c r="H530" s="603">
        <v>0</v>
      </c>
      <c r="I530" s="601">
        <v>28</v>
      </c>
      <c r="J530" s="602" t="s">
        <v>6101</v>
      </c>
      <c r="K530" s="891">
        <v>0</v>
      </c>
      <c r="L530" s="891">
        <v>0</v>
      </c>
      <c r="M530" s="996">
        <f t="shared" si="120"/>
        <v>0</v>
      </c>
      <c r="N530" s="796"/>
      <c r="P530" s="399"/>
    </row>
    <row r="531" spans="1:16" s="645" customFormat="1" ht="15" customHeight="1" x14ac:dyDescent="0.25">
      <c r="A531" s="397"/>
      <c r="B531" s="478">
        <f t="shared" si="121"/>
        <v>19517</v>
      </c>
      <c r="C531" s="528" t="s">
        <v>6062</v>
      </c>
      <c r="D531" s="528">
        <f t="shared" si="122"/>
        <v>19500</v>
      </c>
      <c r="E531" s="417">
        <v>333903026000000</v>
      </c>
      <c r="F531" s="418" t="s">
        <v>5933</v>
      </c>
      <c r="G531" s="603">
        <v>1</v>
      </c>
      <c r="H531" s="603">
        <v>0</v>
      </c>
      <c r="I531" s="601">
        <v>331110300000000</v>
      </c>
      <c r="J531" s="602" t="s">
        <v>6104</v>
      </c>
      <c r="K531" s="891">
        <v>0</v>
      </c>
      <c r="L531" s="891">
        <v>0</v>
      </c>
      <c r="M531" s="996">
        <f t="shared" si="120"/>
        <v>0</v>
      </c>
      <c r="N531" s="796"/>
      <c r="P531" s="399"/>
    </row>
    <row r="532" spans="1:16" s="645" customFormat="1" ht="15" customHeight="1" x14ac:dyDescent="0.25">
      <c r="A532" s="397"/>
      <c r="B532" s="478">
        <f t="shared" si="121"/>
        <v>19518</v>
      </c>
      <c r="C532" s="528" t="s">
        <v>6062</v>
      </c>
      <c r="D532" s="528">
        <f t="shared" si="122"/>
        <v>19500</v>
      </c>
      <c r="E532" s="417">
        <v>333903026000000</v>
      </c>
      <c r="F532" s="418" t="s">
        <v>6040</v>
      </c>
      <c r="G532" s="603">
        <v>1</v>
      </c>
      <c r="H532" s="603">
        <v>0</v>
      </c>
      <c r="I532" s="601">
        <v>28</v>
      </c>
      <c r="J532" s="602" t="s">
        <v>6104</v>
      </c>
      <c r="K532" s="891">
        <v>0</v>
      </c>
      <c r="L532" s="891">
        <v>0</v>
      </c>
      <c r="M532" s="996">
        <f t="shared" si="120"/>
        <v>0</v>
      </c>
      <c r="N532" s="796"/>
      <c r="P532" s="399"/>
    </row>
    <row r="533" spans="1:16" s="645" customFormat="1" ht="15" customHeight="1" x14ac:dyDescent="0.25">
      <c r="A533" s="397"/>
      <c r="B533" s="478">
        <f t="shared" si="121"/>
        <v>19519</v>
      </c>
      <c r="C533" s="528" t="s">
        <v>6062</v>
      </c>
      <c r="D533" s="528">
        <f t="shared" si="122"/>
        <v>19500</v>
      </c>
      <c r="E533" s="417">
        <v>333903028000000</v>
      </c>
      <c r="F533" s="418" t="s">
        <v>5934</v>
      </c>
      <c r="G533" s="603">
        <v>1</v>
      </c>
      <c r="H533" s="603">
        <v>0</v>
      </c>
      <c r="I533" s="601">
        <v>331110300000000</v>
      </c>
      <c r="J533" s="602" t="s">
        <v>6111</v>
      </c>
      <c r="K533" s="891">
        <v>0</v>
      </c>
      <c r="L533" s="891">
        <v>0</v>
      </c>
      <c r="M533" s="996">
        <f t="shared" si="120"/>
        <v>0</v>
      </c>
      <c r="N533" s="796"/>
      <c r="P533" s="399"/>
    </row>
    <row r="534" spans="1:16" s="645" customFormat="1" ht="15" customHeight="1" x14ac:dyDescent="0.25">
      <c r="A534" s="397"/>
      <c r="B534" s="478">
        <f t="shared" si="121"/>
        <v>19520</v>
      </c>
      <c r="C534" s="528" t="s">
        <v>6062</v>
      </c>
      <c r="D534" s="528">
        <f t="shared" si="122"/>
        <v>19500</v>
      </c>
      <c r="E534" s="417">
        <v>333903028000000</v>
      </c>
      <c r="F534" s="418" t="s">
        <v>6041</v>
      </c>
      <c r="G534" s="603">
        <v>1</v>
      </c>
      <c r="H534" s="603">
        <v>0</v>
      </c>
      <c r="I534" s="601">
        <v>28</v>
      </c>
      <c r="J534" s="602" t="s">
        <v>6111</v>
      </c>
      <c r="K534" s="891">
        <v>0</v>
      </c>
      <c r="L534" s="891">
        <v>0</v>
      </c>
      <c r="M534" s="996">
        <f t="shared" si="120"/>
        <v>0</v>
      </c>
      <c r="N534" s="796"/>
      <c r="P534" s="399"/>
    </row>
    <row r="535" spans="1:16" s="645" customFormat="1" ht="15" customHeight="1" x14ac:dyDescent="0.25">
      <c r="A535" s="397"/>
      <c r="B535" s="478">
        <f>B534+1</f>
        <v>19521</v>
      </c>
      <c r="C535" s="528" t="s">
        <v>6062</v>
      </c>
      <c r="D535" s="528">
        <v>19500</v>
      </c>
      <c r="E535" s="417">
        <v>333903099000000</v>
      </c>
      <c r="F535" s="418" t="s">
        <v>5762</v>
      </c>
      <c r="G535" s="603">
        <v>1</v>
      </c>
      <c r="H535" s="603">
        <v>0</v>
      </c>
      <c r="I535" s="601">
        <v>331119900000000</v>
      </c>
      <c r="J535" s="602" t="s">
        <v>6106</v>
      </c>
      <c r="K535" s="891">
        <v>0</v>
      </c>
      <c r="L535" s="891">
        <v>0</v>
      </c>
      <c r="M535" s="996">
        <f t="shared" si="120"/>
        <v>0</v>
      </c>
      <c r="N535" s="796"/>
      <c r="P535" s="399"/>
    </row>
    <row r="536" spans="1:16" s="645" customFormat="1" ht="15" customHeight="1" x14ac:dyDescent="0.25">
      <c r="A536" s="397"/>
      <c r="B536" s="478">
        <f t="shared" si="121"/>
        <v>19522</v>
      </c>
      <c r="C536" s="528" t="s">
        <v>6062</v>
      </c>
      <c r="D536" s="528">
        <f t="shared" si="122"/>
        <v>19500</v>
      </c>
      <c r="E536" s="417">
        <v>333903099000000</v>
      </c>
      <c r="F536" s="418" t="s">
        <v>5763</v>
      </c>
      <c r="G536" s="603">
        <v>1</v>
      </c>
      <c r="H536" s="603">
        <v>0</v>
      </c>
      <c r="I536" s="601">
        <v>28</v>
      </c>
      <c r="J536" s="602" t="s">
        <v>6106</v>
      </c>
      <c r="K536" s="891">
        <v>0</v>
      </c>
      <c r="L536" s="891">
        <v>0</v>
      </c>
      <c r="M536" s="996">
        <f t="shared" si="120"/>
        <v>0</v>
      </c>
      <c r="N536" s="796"/>
      <c r="P536" s="399"/>
    </row>
    <row r="537" spans="1:16" s="645" customFormat="1" ht="15" customHeight="1" x14ac:dyDescent="0.25">
      <c r="A537" s="397"/>
      <c r="B537" s="1396">
        <v>19600</v>
      </c>
      <c r="C537" s="1396"/>
      <c r="D537" s="1396"/>
      <c r="E537" s="417">
        <v>333903200000000</v>
      </c>
      <c r="F537" s="418" t="s">
        <v>1021</v>
      </c>
      <c r="G537" s="468">
        <v>1</v>
      </c>
      <c r="H537" s="468">
        <v>0</v>
      </c>
      <c r="I537" s="751"/>
      <c r="J537" s="878" t="s">
        <v>7166</v>
      </c>
      <c r="K537" s="789">
        <f>'Parâmetros financeiros Despesa'!E254</f>
        <v>0</v>
      </c>
      <c r="L537" s="789">
        <f>('Parâmetros financeiros Despesa'!F253)*(1+'Parâmetros financeiros Despesa'!F$4)*(1+'Parâmetros financeiros Despesa'!F$7)</f>
        <v>2180.663</v>
      </c>
      <c r="M537" s="799">
        <f>L537/L$618</f>
        <v>2.980669354036358E-3</v>
      </c>
      <c r="N537" s="894"/>
      <c r="O537" s="796"/>
      <c r="P537" s="399"/>
    </row>
    <row r="538" spans="1:16" s="645" customFormat="1" ht="15" customHeight="1" x14ac:dyDescent="0.25">
      <c r="A538" s="397"/>
      <c r="B538" s="478">
        <f>B537+1</f>
        <v>19601</v>
      </c>
      <c r="C538" s="528" t="s">
        <v>6062</v>
      </c>
      <c r="D538" s="528">
        <f>B537</f>
        <v>19600</v>
      </c>
      <c r="E538" s="417">
        <v>333903209000000</v>
      </c>
      <c r="F538" s="418" t="s">
        <v>2203</v>
      </c>
      <c r="G538" s="603">
        <v>1</v>
      </c>
      <c r="H538" s="603">
        <v>0</v>
      </c>
      <c r="I538" s="601">
        <v>331210600000000</v>
      </c>
      <c r="J538" s="602" t="s">
        <v>6112</v>
      </c>
      <c r="K538" s="891">
        <v>0</v>
      </c>
      <c r="L538" s="891">
        <v>0</v>
      </c>
      <c r="M538" s="996">
        <f t="shared" ref="M538" si="123">L538/L$618</f>
        <v>0</v>
      </c>
      <c r="N538" s="796"/>
      <c r="P538" s="399"/>
    </row>
    <row r="539" spans="1:16" s="645" customFormat="1" ht="15" customHeight="1" x14ac:dyDescent="0.25">
      <c r="A539" s="397"/>
      <c r="B539" s="1396">
        <v>19700</v>
      </c>
      <c r="C539" s="1396"/>
      <c r="D539" s="1396"/>
      <c r="E539" s="417">
        <v>333903300000000</v>
      </c>
      <c r="F539" s="418" t="s">
        <v>3469</v>
      </c>
      <c r="G539" s="468">
        <v>1</v>
      </c>
      <c r="H539" s="468">
        <v>0</v>
      </c>
      <c r="I539" s="751"/>
      <c r="J539" s="878" t="s">
        <v>7166</v>
      </c>
      <c r="K539" s="789">
        <f>'Parâmetros financeiros Despesa'!E255</f>
        <v>1271.4749999999999</v>
      </c>
      <c r="L539" s="789">
        <f>('Parâmetros financeiros Despesa'!F255)*(1+'Parâmetros financeiros Despesa'!F$4)*(1+'Parâmetros financeiros Despesa'!F$7)</f>
        <v>1386.3292439625</v>
      </c>
      <c r="M539" s="799">
        <f>L539/L$618</f>
        <v>1.894923283461689E-3</v>
      </c>
      <c r="N539" s="894"/>
      <c r="O539" s="796"/>
      <c r="P539" s="399"/>
    </row>
    <row r="540" spans="1:16" s="645" customFormat="1" ht="15" customHeight="1" x14ac:dyDescent="0.25">
      <c r="A540" s="397"/>
      <c r="B540" s="530">
        <f t="shared" ref="B540:B545" si="124">B539+1</f>
        <v>19701</v>
      </c>
      <c r="C540" s="531" t="s">
        <v>6062</v>
      </c>
      <c r="D540" s="532">
        <f>B539</f>
        <v>19700</v>
      </c>
      <c r="E540" s="417">
        <v>333903301000000</v>
      </c>
      <c r="F540" s="418" t="s">
        <v>6517</v>
      </c>
      <c r="G540" s="603">
        <v>1</v>
      </c>
      <c r="H540" s="603">
        <v>0</v>
      </c>
      <c r="I540" s="601">
        <v>332315600000000</v>
      </c>
      <c r="J540" s="602" t="s">
        <v>6121</v>
      </c>
      <c r="K540" s="533">
        <v>0</v>
      </c>
      <c r="L540" s="533">
        <v>0</v>
      </c>
      <c r="M540" s="996">
        <f t="shared" ref="M540:M545" si="125">L540/L$618</f>
        <v>0</v>
      </c>
      <c r="N540" s="796"/>
      <c r="P540" s="399"/>
    </row>
    <row r="541" spans="1:16" s="645" customFormat="1" ht="15" customHeight="1" x14ac:dyDescent="0.25">
      <c r="A541" s="397"/>
      <c r="B541" s="530">
        <f t="shared" si="124"/>
        <v>19702</v>
      </c>
      <c r="C541" s="531" t="s">
        <v>6062</v>
      </c>
      <c r="D541" s="532">
        <v>19700</v>
      </c>
      <c r="E541" s="417">
        <v>333903301000000</v>
      </c>
      <c r="F541" s="418" t="s">
        <v>6518</v>
      </c>
      <c r="G541" s="603">
        <v>1</v>
      </c>
      <c r="H541" s="603">
        <v>0</v>
      </c>
      <c r="I541" s="601">
        <v>332315600000000</v>
      </c>
      <c r="J541" s="602" t="s">
        <v>6122</v>
      </c>
      <c r="K541" s="533">
        <v>0</v>
      </c>
      <c r="L541" s="533">
        <v>0</v>
      </c>
      <c r="M541" s="996">
        <f t="shared" si="125"/>
        <v>0</v>
      </c>
      <c r="N541" s="796"/>
      <c r="P541" s="399"/>
    </row>
    <row r="542" spans="1:16" s="645" customFormat="1" ht="15" customHeight="1" x14ac:dyDescent="0.25">
      <c r="A542" s="397"/>
      <c r="B542" s="530">
        <f t="shared" si="124"/>
        <v>19703</v>
      </c>
      <c r="C542" s="531" t="s">
        <v>6062</v>
      </c>
      <c r="D542" s="532">
        <v>19700</v>
      </c>
      <c r="E542" s="417">
        <v>333903301000000</v>
      </c>
      <c r="F542" s="418" t="s">
        <v>6519</v>
      </c>
      <c r="G542" s="603">
        <v>1</v>
      </c>
      <c r="H542" s="603">
        <v>0</v>
      </c>
      <c r="I542" s="601">
        <v>332315600000000</v>
      </c>
      <c r="J542" s="602" t="s">
        <v>6123</v>
      </c>
      <c r="K542" s="533">
        <v>0</v>
      </c>
      <c r="L542" s="533">
        <v>0</v>
      </c>
      <c r="M542" s="996">
        <f t="shared" si="125"/>
        <v>0</v>
      </c>
      <c r="N542" s="796"/>
      <c r="P542" s="399"/>
    </row>
    <row r="543" spans="1:16" s="645" customFormat="1" ht="15" customHeight="1" x14ac:dyDescent="0.25">
      <c r="A543" s="397"/>
      <c r="B543" s="530">
        <f t="shared" si="124"/>
        <v>19704</v>
      </c>
      <c r="C543" s="531" t="s">
        <v>6062</v>
      </c>
      <c r="D543" s="532">
        <v>19700</v>
      </c>
      <c r="E543" s="417">
        <v>333903305000000</v>
      </c>
      <c r="F543" s="418" t="s">
        <v>6520</v>
      </c>
      <c r="G543" s="603">
        <v>1</v>
      </c>
      <c r="H543" s="603">
        <v>0</v>
      </c>
      <c r="I543" s="601">
        <v>332315600000000</v>
      </c>
      <c r="J543" s="602" t="s">
        <v>6121</v>
      </c>
      <c r="K543" s="533">
        <v>0</v>
      </c>
      <c r="L543" s="533">
        <v>0</v>
      </c>
      <c r="M543" s="996">
        <f t="shared" si="125"/>
        <v>0</v>
      </c>
      <c r="N543" s="796"/>
      <c r="P543" s="399"/>
    </row>
    <row r="544" spans="1:16" s="645" customFormat="1" ht="15" customHeight="1" x14ac:dyDescent="0.25">
      <c r="A544" s="397"/>
      <c r="B544" s="530">
        <f t="shared" si="124"/>
        <v>19705</v>
      </c>
      <c r="C544" s="531" t="s">
        <v>6062</v>
      </c>
      <c r="D544" s="532">
        <v>19700</v>
      </c>
      <c r="E544" s="417">
        <v>333903305000000</v>
      </c>
      <c r="F544" s="418" t="s">
        <v>6521</v>
      </c>
      <c r="G544" s="603">
        <v>1</v>
      </c>
      <c r="H544" s="603">
        <v>0</v>
      </c>
      <c r="I544" s="601">
        <v>332315600000000</v>
      </c>
      <c r="J544" s="602" t="s">
        <v>6122</v>
      </c>
      <c r="K544" s="533">
        <v>0</v>
      </c>
      <c r="L544" s="533">
        <v>0</v>
      </c>
      <c r="M544" s="996">
        <f t="shared" si="125"/>
        <v>0</v>
      </c>
      <c r="N544" s="796"/>
      <c r="P544" s="399"/>
    </row>
    <row r="545" spans="1:16" s="645" customFormat="1" ht="15.75" customHeight="1" x14ac:dyDescent="0.25">
      <c r="A545" s="397"/>
      <c r="B545" s="530">
        <f t="shared" si="124"/>
        <v>19706</v>
      </c>
      <c r="C545" s="531" t="s">
        <v>6062</v>
      </c>
      <c r="D545" s="532">
        <v>19700</v>
      </c>
      <c r="E545" s="417">
        <v>333903305000000</v>
      </c>
      <c r="F545" s="418" t="s">
        <v>6522</v>
      </c>
      <c r="G545" s="603">
        <v>1</v>
      </c>
      <c r="H545" s="603">
        <v>0</v>
      </c>
      <c r="I545" s="601">
        <v>332315600000000</v>
      </c>
      <c r="J545" s="602" t="s">
        <v>6123</v>
      </c>
      <c r="K545" s="533">
        <v>0</v>
      </c>
      <c r="L545" s="533">
        <v>0</v>
      </c>
      <c r="M545" s="996">
        <f t="shared" si="125"/>
        <v>0</v>
      </c>
      <c r="N545" s="796"/>
      <c r="P545" s="399"/>
    </row>
    <row r="546" spans="1:16" s="645" customFormat="1" ht="15" customHeight="1" x14ac:dyDescent="0.25">
      <c r="A546" s="397"/>
      <c r="B546" s="1398" t="s">
        <v>7103</v>
      </c>
      <c r="C546" s="1398"/>
      <c r="D546" s="1398"/>
      <c r="E546" s="417">
        <v>333903600000000</v>
      </c>
      <c r="F546" s="418" t="s">
        <v>993</v>
      </c>
      <c r="G546" s="468">
        <v>1</v>
      </c>
      <c r="H546" s="468">
        <v>0</v>
      </c>
      <c r="I546" s="751"/>
      <c r="J546" s="878" t="s">
        <v>7166</v>
      </c>
      <c r="K546" s="789">
        <f>'Parâmetros financeiros Despesa'!E256</f>
        <v>0</v>
      </c>
      <c r="L546" s="789">
        <f>('Parâmetros financeiros Despesa'!F256)*(1+'Parâmetros financeiros Despesa'!F$4)*(1+'Parâmetros financeiros Despesa'!F$7)</f>
        <v>2180.663</v>
      </c>
      <c r="M546" s="799">
        <f>L546/L$618</f>
        <v>2.980669354036358E-3</v>
      </c>
      <c r="N546" s="894"/>
      <c r="O546" s="796"/>
      <c r="P546" s="399"/>
    </row>
    <row r="547" spans="1:16" s="645" customFormat="1" ht="15" customHeight="1" x14ac:dyDescent="0.25">
      <c r="A547" s="397"/>
      <c r="B547" s="599">
        <f>B546+1</f>
        <v>19801</v>
      </c>
      <c r="C547" s="600" t="s">
        <v>6062</v>
      </c>
      <c r="D547" s="528" t="str">
        <f>B546</f>
        <v>19800</v>
      </c>
      <c r="E547" s="417">
        <v>333903606000000</v>
      </c>
      <c r="F547" s="418" t="s">
        <v>1151</v>
      </c>
      <c r="G547" s="603">
        <v>1</v>
      </c>
      <c r="H547" s="603">
        <v>0</v>
      </c>
      <c r="I547" s="601">
        <v>332211500000000</v>
      </c>
      <c r="J547" s="602" t="s">
        <v>6131</v>
      </c>
      <c r="K547" s="891">
        <v>0</v>
      </c>
      <c r="L547" s="891">
        <v>0</v>
      </c>
      <c r="M547" s="996">
        <f t="shared" ref="M547:M551" si="126">L547/L$618</f>
        <v>0</v>
      </c>
      <c r="N547" s="796"/>
      <c r="P547" s="399"/>
    </row>
    <row r="548" spans="1:16" s="645" customFormat="1" ht="15" customHeight="1" x14ac:dyDescent="0.25">
      <c r="A548" s="397"/>
      <c r="B548" s="599" t="s">
        <v>7105</v>
      </c>
      <c r="C548" s="600" t="s">
        <v>6062</v>
      </c>
      <c r="D548" s="528">
        <v>19900</v>
      </c>
      <c r="E548" s="417">
        <v>333903615000000</v>
      </c>
      <c r="F548" s="418" t="s">
        <v>2227</v>
      </c>
      <c r="G548" s="603">
        <v>1</v>
      </c>
      <c r="H548" s="603">
        <v>0</v>
      </c>
      <c r="I548" s="601">
        <v>332212100000000</v>
      </c>
      <c r="J548" s="602"/>
      <c r="K548" s="891">
        <v>0</v>
      </c>
      <c r="L548" s="891">
        <v>0</v>
      </c>
      <c r="M548" s="996">
        <f t="shared" si="126"/>
        <v>0</v>
      </c>
      <c r="N548" s="796"/>
      <c r="P548" s="399"/>
    </row>
    <row r="549" spans="1:16" s="645" customFormat="1" ht="15" customHeight="1" x14ac:dyDescent="0.25">
      <c r="A549" s="397"/>
      <c r="B549" s="599" t="s">
        <v>7106</v>
      </c>
      <c r="C549" s="600" t="s">
        <v>6062</v>
      </c>
      <c r="D549" s="528" t="str">
        <f>D547</f>
        <v>19800</v>
      </c>
      <c r="E549" s="417">
        <v>333903625000000</v>
      </c>
      <c r="F549" s="418" t="s">
        <v>5880</v>
      </c>
      <c r="G549" s="603">
        <v>1</v>
      </c>
      <c r="H549" s="603">
        <v>0</v>
      </c>
      <c r="I549" s="601">
        <v>332210800000000</v>
      </c>
      <c r="J549" s="602" t="s">
        <v>6131</v>
      </c>
      <c r="K549" s="891">
        <v>0</v>
      </c>
      <c r="L549" s="891">
        <v>0</v>
      </c>
      <c r="M549" s="996">
        <f t="shared" si="126"/>
        <v>0</v>
      </c>
      <c r="N549" s="796"/>
      <c r="P549" s="399"/>
    </row>
    <row r="550" spans="1:16" s="645" customFormat="1" ht="15" customHeight="1" x14ac:dyDescent="0.25">
      <c r="A550" s="397"/>
      <c r="B550" s="599" t="s">
        <v>7107</v>
      </c>
      <c r="C550" s="600" t="s">
        <v>6062</v>
      </c>
      <c r="D550" s="528">
        <f>D548</f>
        <v>19900</v>
      </c>
      <c r="E550" s="417">
        <v>333903628000000</v>
      </c>
      <c r="F550" s="418" t="s">
        <v>1042</v>
      </c>
      <c r="G550" s="603">
        <v>1</v>
      </c>
      <c r="H550" s="603">
        <v>0</v>
      </c>
      <c r="I550" s="601"/>
      <c r="J550" s="602"/>
      <c r="K550" s="891">
        <v>0</v>
      </c>
      <c r="L550" s="891">
        <v>0</v>
      </c>
      <c r="M550" s="996">
        <f t="shared" si="126"/>
        <v>0</v>
      </c>
      <c r="N550" s="796"/>
      <c r="P550" s="399"/>
    </row>
    <row r="551" spans="1:16" s="645" customFormat="1" ht="15" customHeight="1" x14ac:dyDescent="0.25">
      <c r="A551" s="397"/>
      <c r="B551" s="599" t="s">
        <v>7108</v>
      </c>
      <c r="C551" s="600" t="s">
        <v>6062</v>
      </c>
      <c r="D551" s="528" t="str">
        <f>D549</f>
        <v>19800</v>
      </c>
      <c r="E551" s="417">
        <v>333903699000000</v>
      </c>
      <c r="F551" s="418" t="s">
        <v>2193</v>
      </c>
      <c r="G551" s="603">
        <v>1</v>
      </c>
      <c r="H551" s="603">
        <v>0</v>
      </c>
      <c r="I551" s="601">
        <v>332219900000000</v>
      </c>
      <c r="J551" s="602" t="s">
        <v>6131</v>
      </c>
      <c r="K551" s="891">
        <v>0</v>
      </c>
      <c r="L551" s="891">
        <v>0</v>
      </c>
      <c r="M551" s="996">
        <f t="shared" si="126"/>
        <v>0</v>
      </c>
      <c r="N551" s="796"/>
      <c r="P551" s="399"/>
    </row>
    <row r="552" spans="1:16" s="645" customFormat="1" ht="15" customHeight="1" x14ac:dyDescent="0.25">
      <c r="A552" s="397"/>
      <c r="B552" s="1398" t="s">
        <v>7104</v>
      </c>
      <c r="C552" s="1398"/>
      <c r="D552" s="1398"/>
      <c r="E552" s="417">
        <v>333903900000000</v>
      </c>
      <c r="F552" s="418" t="s">
        <v>2268</v>
      </c>
      <c r="G552" s="468">
        <v>1</v>
      </c>
      <c r="H552" s="468">
        <v>0</v>
      </c>
      <c r="I552" s="751"/>
      <c r="J552" s="878" t="s">
        <v>7166</v>
      </c>
      <c r="K552" s="1016">
        <f>'Parâmetros financeiros Despesa'!E258+'Parâmetros financeiros Despesa'!E259</f>
        <v>33652.425000000003</v>
      </c>
      <c r="L552" s="789">
        <f>('Parâmetros financeiros Despesa'!F258+'Parâmetros financeiros Despesa'!F259)*(1+'Parâmetros financeiros Despesa'!F$4)*(1+'Parâmetros financeiros Despesa'!F$7)</f>
        <v>39963.293528887501</v>
      </c>
      <c r="M552" s="799">
        <f>L552/L$618</f>
        <v>5.4624379974308031E-2</v>
      </c>
      <c r="N552" s="894"/>
      <c r="O552" s="796"/>
      <c r="P552" s="399"/>
    </row>
    <row r="553" spans="1:16" s="645" customFormat="1" ht="15" customHeight="1" x14ac:dyDescent="0.25">
      <c r="A553" s="397"/>
      <c r="B553" s="599">
        <f>B552+1</f>
        <v>19901</v>
      </c>
      <c r="C553" s="600" t="s">
        <v>6062</v>
      </c>
      <c r="D553" s="528" t="str">
        <f>B552</f>
        <v>19900</v>
      </c>
      <c r="E553" s="417">
        <v>333903901000000</v>
      </c>
      <c r="F553" s="418" t="s">
        <v>2269</v>
      </c>
      <c r="G553" s="603">
        <v>1</v>
      </c>
      <c r="H553" s="603">
        <v>0</v>
      </c>
      <c r="I553" s="601">
        <v>332311400000000</v>
      </c>
      <c r="J553" s="602" t="s">
        <v>6133</v>
      </c>
      <c r="K553" s="891">
        <v>0</v>
      </c>
      <c r="L553" s="891">
        <v>0</v>
      </c>
      <c r="M553" s="996">
        <f t="shared" ref="M553:M573" si="127">L553/L$618</f>
        <v>0</v>
      </c>
      <c r="N553" s="796"/>
      <c r="P553" s="399"/>
    </row>
    <row r="554" spans="1:16" s="645" customFormat="1" ht="15" customHeight="1" x14ac:dyDescent="0.25">
      <c r="A554" s="397"/>
      <c r="B554" s="599">
        <f>B553+1</f>
        <v>19902</v>
      </c>
      <c r="C554" s="600" t="s">
        <v>6062</v>
      </c>
      <c r="D554" s="528" t="str">
        <f>D553</f>
        <v>19900</v>
      </c>
      <c r="E554" s="417">
        <v>333903905000000</v>
      </c>
      <c r="F554" s="418" t="s">
        <v>1151</v>
      </c>
      <c r="G554" s="603">
        <v>1</v>
      </c>
      <c r="H554" s="603">
        <v>0</v>
      </c>
      <c r="I554" s="601">
        <v>332315100000000</v>
      </c>
      <c r="J554" s="602" t="s">
        <v>6127</v>
      </c>
      <c r="K554" s="891">
        <v>0</v>
      </c>
      <c r="L554" s="891">
        <v>0</v>
      </c>
      <c r="M554" s="996">
        <f t="shared" si="127"/>
        <v>0</v>
      </c>
      <c r="N554" s="796"/>
      <c r="P554" s="399"/>
    </row>
    <row r="555" spans="1:16" s="645" customFormat="1" ht="15" customHeight="1" x14ac:dyDescent="0.25">
      <c r="A555" s="397"/>
      <c r="B555" s="599">
        <f>B554+1</f>
        <v>19903</v>
      </c>
      <c r="C555" s="600" t="s">
        <v>6062</v>
      </c>
      <c r="D555" s="528" t="str">
        <f>D554</f>
        <v>19900</v>
      </c>
      <c r="E555" s="417">
        <v>333903916000000</v>
      </c>
      <c r="F555" s="418" t="s">
        <v>2270</v>
      </c>
      <c r="G555" s="603">
        <v>1</v>
      </c>
      <c r="H555" s="603">
        <v>0</v>
      </c>
      <c r="I555" s="601">
        <v>332310600000000</v>
      </c>
      <c r="J555" s="602" t="s">
        <v>6101</v>
      </c>
      <c r="K555" s="891">
        <v>0</v>
      </c>
      <c r="L555" s="891">
        <v>0</v>
      </c>
      <c r="M555" s="996">
        <f t="shared" si="127"/>
        <v>0</v>
      </c>
      <c r="N555" s="796"/>
      <c r="P555" s="399"/>
    </row>
    <row r="556" spans="1:16" s="645" customFormat="1" ht="15" customHeight="1" x14ac:dyDescent="0.25">
      <c r="A556" s="397"/>
      <c r="B556" s="599">
        <f t="shared" ref="B556:B574" si="128">B555+1</f>
        <v>19904</v>
      </c>
      <c r="C556" s="600" t="s">
        <v>6062</v>
      </c>
      <c r="D556" s="528" t="str">
        <f t="shared" ref="D556:D574" si="129">D555</f>
        <v>19900</v>
      </c>
      <c r="E556" s="417">
        <v>333903920000000</v>
      </c>
      <c r="F556" s="418" t="s">
        <v>2352</v>
      </c>
      <c r="G556" s="603">
        <v>1</v>
      </c>
      <c r="H556" s="603">
        <v>0</v>
      </c>
      <c r="I556" s="601">
        <v>332310600000000</v>
      </c>
      <c r="J556" s="602" t="s">
        <v>6135</v>
      </c>
      <c r="K556" s="891">
        <v>0</v>
      </c>
      <c r="L556" s="891">
        <v>0</v>
      </c>
      <c r="M556" s="996">
        <f t="shared" si="127"/>
        <v>0</v>
      </c>
      <c r="N556" s="796"/>
      <c r="P556" s="399"/>
    </row>
    <row r="557" spans="1:16" s="645" customFormat="1" ht="15" customHeight="1" x14ac:dyDescent="0.25">
      <c r="A557" s="397"/>
      <c r="B557" s="599">
        <f t="shared" si="128"/>
        <v>19905</v>
      </c>
      <c r="C557" s="600" t="s">
        <v>6062</v>
      </c>
      <c r="D557" s="528" t="str">
        <f t="shared" si="129"/>
        <v>19900</v>
      </c>
      <c r="E557" s="417">
        <v>333903943000000</v>
      </c>
      <c r="F557" s="418" t="s">
        <v>6998</v>
      </c>
      <c r="G557" s="603">
        <v>1</v>
      </c>
      <c r="H557" s="603">
        <v>0</v>
      </c>
      <c r="I557" s="601">
        <v>332310800000000</v>
      </c>
      <c r="J557" s="602"/>
      <c r="K557" s="891">
        <v>0</v>
      </c>
      <c r="L557" s="891">
        <v>0</v>
      </c>
      <c r="M557" s="996">
        <f t="shared" si="127"/>
        <v>0</v>
      </c>
      <c r="N557" s="796"/>
      <c r="P557" s="399"/>
    </row>
    <row r="558" spans="1:16" s="645" customFormat="1" ht="15" customHeight="1" x14ac:dyDescent="0.25">
      <c r="A558" s="397"/>
      <c r="B558" s="599">
        <f t="shared" si="128"/>
        <v>19906</v>
      </c>
      <c r="C558" s="600" t="s">
        <v>6062</v>
      </c>
      <c r="D558" s="528" t="str">
        <f t="shared" si="129"/>
        <v>19900</v>
      </c>
      <c r="E558" s="417">
        <v>333903944000000</v>
      </c>
      <c r="F558" s="418" t="s">
        <v>7000</v>
      </c>
      <c r="G558" s="603">
        <v>1</v>
      </c>
      <c r="H558" s="603">
        <v>0</v>
      </c>
      <c r="I558" s="601">
        <v>332310800000000</v>
      </c>
      <c r="J558" s="602"/>
      <c r="K558" s="891">
        <v>0</v>
      </c>
      <c r="L558" s="891">
        <v>0</v>
      </c>
      <c r="M558" s="996">
        <f t="shared" si="127"/>
        <v>0</v>
      </c>
      <c r="N558" s="796"/>
      <c r="P558" s="399"/>
    </row>
    <row r="559" spans="1:16" s="645" customFormat="1" ht="15" customHeight="1" x14ac:dyDescent="0.25">
      <c r="A559" s="397"/>
      <c r="B559" s="599">
        <f t="shared" si="128"/>
        <v>19907</v>
      </c>
      <c r="C559" s="600" t="s">
        <v>6062</v>
      </c>
      <c r="D559" s="528" t="str">
        <f t="shared" si="129"/>
        <v>19900</v>
      </c>
      <c r="E559" s="417">
        <v>333903947000000</v>
      </c>
      <c r="F559" s="418" t="s">
        <v>7001</v>
      </c>
      <c r="G559" s="603">
        <v>1</v>
      </c>
      <c r="H559" s="603">
        <v>0</v>
      </c>
      <c r="I559" s="601">
        <v>332310400000000</v>
      </c>
      <c r="J559" s="602"/>
      <c r="K559" s="891">
        <v>0</v>
      </c>
      <c r="L559" s="891">
        <v>0</v>
      </c>
      <c r="M559" s="996">
        <f t="shared" si="127"/>
        <v>0</v>
      </c>
      <c r="N559" s="796"/>
      <c r="P559" s="399"/>
    </row>
    <row r="560" spans="1:16" s="645" customFormat="1" ht="15" customHeight="1" x14ac:dyDescent="0.25">
      <c r="A560" s="397"/>
      <c r="B560" s="599">
        <f t="shared" si="128"/>
        <v>19908</v>
      </c>
      <c r="C560" s="600" t="s">
        <v>6062</v>
      </c>
      <c r="D560" s="528" t="str">
        <f t="shared" si="129"/>
        <v>19900</v>
      </c>
      <c r="E560" s="417">
        <v>333903948000000</v>
      </c>
      <c r="F560" s="418" t="s">
        <v>6911</v>
      </c>
      <c r="G560" s="603">
        <v>1</v>
      </c>
      <c r="H560" s="603">
        <v>0</v>
      </c>
      <c r="I560" s="601">
        <v>332313000000000</v>
      </c>
      <c r="J560" s="602" t="s">
        <v>6149</v>
      </c>
      <c r="K560" s="891">
        <v>0</v>
      </c>
      <c r="L560" s="891">
        <v>0</v>
      </c>
      <c r="M560" s="996">
        <f t="shared" si="127"/>
        <v>0</v>
      </c>
      <c r="N560" s="796"/>
      <c r="P560" s="399"/>
    </row>
    <row r="561" spans="1:16" s="645" customFormat="1" ht="15" customHeight="1" x14ac:dyDescent="0.25">
      <c r="A561" s="397"/>
      <c r="B561" s="599">
        <f t="shared" si="128"/>
        <v>19909</v>
      </c>
      <c r="C561" s="600" t="s">
        <v>6062</v>
      </c>
      <c r="D561" s="528" t="str">
        <f t="shared" si="129"/>
        <v>19900</v>
      </c>
      <c r="E561" s="417">
        <v>333903948000000</v>
      </c>
      <c r="F561" s="418" t="s">
        <v>6912</v>
      </c>
      <c r="G561" s="603">
        <v>1</v>
      </c>
      <c r="H561" s="603">
        <v>0</v>
      </c>
      <c r="I561" s="601">
        <v>332313000000000</v>
      </c>
      <c r="J561" s="602" t="s">
        <v>6150</v>
      </c>
      <c r="K561" s="891">
        <v>0</v>
      </c>
      <c r="L561" s="891">
        <v>0</v>
      </c>
      <c r="M561" s="996">
        <f t="shared" si="127"/>
        <v>0</v>
      </c>
      <c r="N561" s="796"/>
      <c r="P561" s="399"/>
    </row>
    <row r="562" spans="1:16" s="645" customFormat="1" ht="15" customHeight="1" x14ac:dyDescent="0.25">
      <c r="A562" s="397"/>
      <c r="B562" s="599">
        <f t="shared" si="128"/>
        <v>19910</v>
      </c>
      <c r="C562" s="600" t="s">
        <v>6062</v>
      </c>
      <c r="D562" s="528" t="str">
        <f t="shared" si="129"/>
        <v>19900</v>
      </c>
      <c r="E562" s="417">
        <v>333903948000000</v>
      </c>
      <c r="F562" s="418" t="s">
        <v>7115</v>
      </c>
      <c r="G562" s="603">
        <v>1</v>
      </c>
      <c r="H562" s="603">
        <v>0</v>
      </c>
      <c r="I562" s="601">
        <v>332313000000000</v>
      </c>
      <c r="J562" s="602" t="s">
        <v>6151</v>
      </c>
      <c r="K562" s="891">
        <v>0</v>
      </c>
      <c r="L562" s="891">
        <v>0</v>
      </c>
      <c r="M562" s="996">
        <f t="shared" si="127"/>
        <v>0</v>
      </c>
      <c r="N562" s="796"/>
      <c r="P562" s="399"/>
    </row>
    <row r="563" spans="1:16" s="645" customFormat="1" ht="15" customHeight="1" x14ac:dyDescent="0.25">
      <c r="A563" s="397"/>
      <c r="B563" s="599">
        <f t="shared" si="128"/>
        <v>19911</v>
      </c>
      <c r="C563" s="600" t="s">
        <v>6062</v>
      </c>
      <c r="D563" s="528" t="str">
        <f t="shared" si="129"/>
        <v>19900</v>
      </c>
      <c r="E563" s="417">
        <v>333903958010000</v>
      </c>
      <c r="F563" s="418" t="s">
        <v>7024</v>
      </c>
      <c r="G563" s="603">
        <v>1</v>
      </c>
      <c r="H563" s="603">
        <v>0</v>
      </c>
      <c r="I563" s="601">
        <v>332310400000000</v>
      </c>
      <c r="J563" s="602" t="s">
        <v>6136</v>
      </c>
      <c r="K563" s="891">
        <v>0</v>
      </c>
      <c r="L563" s="891">
        <v>0</v>
      </c>
      <c r="M563" s="996">
        <f t="shared" si="127"/>
        <v>0</v>
      </c>
      <c r="N563" s="796"/>
      <c r="P563" s="399"/>
    </row>
    <row r="564" spans="1:16" s="645" customFormat="1" ht="15" customHeight="1" x14ac:dyDescent="0.25">
      <c r="A564" s="397"/>
      <c r="B564" s="599">
        <f t="shared" si="128"/>
        <v>19912</v>
      </c>
      <c r="C564" s="600" t="s">
        <v>6062</v>
      </c>
      <c r="D564" s="528" t="str">
        <f t="shared" si="129"/>
        <v>19900</v>
      </c>
      <c r="E564" s="417">
        <v>333903958010000</v>
      </c>
      <c r="F564" s="418" t="s">
        <v>7003</v>
      </c>
      <c r="G564" s="603">
        <v>1</v>
      </c>
      <c r="H564" s="603">
        <v>0</v>
      </c>
      <c r="I564" s="601">
        <v>332310400000000</v>
      </c>
      <c r="J564" s="602"/>
      <c r="K564" s="891">
        <v>0</v>
      </c>
      <c r="L564" s="891">
        <v>0</v>
      </c>
      <c r="M564" s="996">
        <f t="shared" si="127"/>
        <v>0</v>
      </c>
      <c r="N564" s="796"/>
      <c r="P564" s="399"/>
    </row>
    <row r="565" spans="1:16" s="645" customFormat="1" ht="15" customHeight="1" x14ac:dyDescent="0.25">
      <c r="A565" s="397"/>
      <c r="B565" s="599">
        <f t="shared" si="128"/>
        <v>19913</v>
      </c>
      <c r="C565" s="600" t="s">
        <v>6062</v>
      </c>
      <c r="D565" s="528" t="str">
        <f t="shared" si="129"/>
        <v>19900</v>
      </c>
      <c r="E565" s="417">
        <v>333903958020000</v>
      </c>
      <c r="F565" s="418" t="s">
        <v>1150</v>
      </c>
      <c r="G565" s="603">
        <v>1</v>
      </c>
      <c r="H565" s="603">
        <v>0</v>
      </c>
      <c r="I565" s="601">
        <v>332310400000000</v>
      </c>
      <c r="J565" s="602" t="s">
        <v>6137</v>
      </c>
      <c r="K565" s="891">
        <v>0</v>
      </c>
      <c r="L565" s="891">
        <v>0</v>
      </c>
      <c r="M565" s="996">
        <f t="shared" si="127"/>
        <v>0</v>
      </c>
      <c r="N565" s="796"/>
      <c r="P565" s="399"/>
    </row>
    <row r="566" spans="1:16" s="645" customFormat="1" ht="15" customHeight="1" x14ac:dyDescent="0.25">
      <c r="A566" s="397"/>
      <c r="B566" s="599">
        <f t="shared" si="128"/>
        <v>19914</v>
      </c>
      <c r="C566" s="600" t="s">
        <v>6062</v>
      </c>
      <c r="D566" s="528" t="str">
        <f t="shared" si="129"/>
        <v>19900</v>
      </c>
      <c r="E566" s="417">
        <v>333903963000000</v>
      </c>
      <c r="F566" s="418" t="s">
        <v>5895</v>
      </c>
      <c r="G566" s="603">
        <v>1</v>
      </c>
      <c r="H566" s="603">
        <v>0</v>
      </c>
      <c r="I566" s="601">
        <v>332314600000000</v>
      </c>
      <c r="J566" s="602" t="s">
        <v>6139</v>
      </c>
      <c r="K566" s="891">
        <v>0</v>
      </c>
      <c r="L566" s="891">
        <v>0</v>
      </c>
      <c r="M566" s="996">
        <f t="shared" si="127"/>
        <v>0</v>
      </c>
      <c r="N566" s="796"/>
      <c r="P566" s="399"/>
    </row>
    <row r="567" spans="1:16" s="645" customFormat="1" ht="15" customHeight="1" x14ac:dyDescent="0.25">
      <c r="A567" s="397"/>
      <c r="B567" s="599">
        <f t="shared" si="128"/>
        <v>19915</v>
      </c>
      <c r="C567" s="600" t="s">
        <v>6062</v>
      </c>
      <c r="D567" s="528" t="str">
        <f t="shared" si="129"/>
        <v>19900</v>
      </c>
      <c r="E567" s="417">
        <v>333903978000000</v>
      </c>
      <c r="F567" s="418" t="s">
        <v>5897</v>
      </c>
      <c r="G567" s="603">
        <v>1</v>
      </c>
      <c r="H567" s="603">
        <v>0</v>
      </c>
      <c r="I567" s="601">
        <v>332310600000000</v>
      </c>
      <c r="J567" s="602" t="s">
        <v>6101</v>
      </c>
      <c r="K567" s="891">
        <v>0</v>
      </c>
      <c r="L567" s="891">
        <v>0</v>
      </c>
      <c r="M567" s="996">
        <f t="shared" si="127"/>
        <v>0</v>
      </c>
      <c r="N567" s="796"/>
      <c r="P567" s="399"/>
    </row>
    <row r="568" spans="1:16" s="645" customFormat="1" ht="15" customHeight="1" x14ac:dyDescent="0.25">
      <c r="A568" s="397"/>
      <c r="B568" s="599">
        <f t="shared" si="128"/>
        <v>19916</v>
      </c>
      <c r="C568" s="600" t="s">
        <v>6062</v>
      </c>
      <c r="D568" s="528" t="str">
        <f t="shared" si="129"/>
        <v>19900</v>
      </c>
      <c r="E568" s="417">
        <v>333903983000000</v>
      </c>
      <c r="F568" s="418" t="s">
        <v>7004</v>
      </c>
      <c r="G568" s="603">
        <v>1</v>
      </c>
      <c r="H568" s="603">
        <v>0</v>
      </c>
      <c r="I568" s="601">
        <v>332319900000000</v>
      </c>
      <c r="J568" s="602"/>
      <c r="K568" s="891">
        <v>0</v>
      </c>
      <c r="L568" s="891">
        <v>0</v>
      </c>
      <c r="M568" s="996">
        <f t="shared" si="127"/>
        <v>0</v>
      </c>
      <c r="N568" s="796"/>
      <c r="P568" s="399"/>
    </row>
    <row r="569" spans="1:16" s="645" customFormat="1" ht="15" customHeight="1" x14ac:dyDescent="0.25">
      <c r="A569" s="397"/>
      <c r="B569" s="599">
        <f t="shared" si="128"/>
        <v>19917</v>
      </c>
      <c r="C569" s="600" t="s">
        <v>6062</v>
      </c>
      <c r="D569" s="528" t="str">
        <f t="shared" si="129"/>
        <v>19900</v>
      </c>
      <c r="E569" s="417">
        <v>333903990000000</v>
      </c>
      <c r="F569" s="418" t="s">
        <v>1098</v>
      </c>
      <c r="G569" s="603">
        <v>1</v>
      </c>
      <c r="H569" s="603">
        <v>0</v>
      </c>
      <c r="I569" s="601">
        <v>332310500000000</v>
      </c>
      <c r="J569" s="602" t="s">
        <v>6153</v>
      </c>
      <c r="K569" s="891">
        <v>0</v>
      </c>
      <c r="L569" s="891">
        <v>0</v>
      </c>
      <c r="M569" s="996">
        <f t="shared" si="127"/>
        <v>0</v>
      </c>
      <c r="N569" s="796"/>
      <c r="P569" s="399"/>
    </row>
    <row r="570" spans="1:16" s="645" customFormat="1" ht="15" customHeight="1" x14ac:dyDescent="0.25">
      <c r="A570" s="397"/>
      <c r="B570" s="599">
        <f t="shared" si="128"/>
        <v>19918</v>
      </c>
      <c r="C570" s="600" t="s">
        <v>6062</v>
      </c>
      <c r="D570" s="528" t="str">
        <f t="shared" si="129"/>
        <v>19900</v>
      </c>
      <c r="E570" s="417">
        <v>333903992000000</v>
      </c>
      <c r="F570" s="418" t="s">
        <v>1097</v>
      </c>
      <c r="G570" s="603">
        <v>1</v>
      </c>
      <c r="H570" s="603">
        <v>0</v>
      </c>
      <c r="I570" s="601">
        <v>332310500000000</v>
      </c>
      <c r="J570" s="602" t="s">
        <v>6152</v>
      </c>
      <c r="K570" s="891">
        <v>0</v>
      </c>
      <c r="L570" s="891">
        <v>0</v>
      </c>
      <c r="M570" s="996">
        <f t="shared" si="127"/>
        <v>0</v>
      </c>
      <c r="N570" s="796"/>
      <c r="P570" s="399"/>
    </row>
    <row r="571" spans="1:16" s="645" customFormat="1" ht="15" customHeight="1" x14ac:dyDescent="0.25">
      <c r="A571" s="397"/>
      <c r="B571" s="599">
        <f t="shared" si="128"/>
        <v>19919</v>
      </c>
      <c r="C571" s="600" t="s">
        <v>6062</v>
      </c>
      <c r="D571" s="528" t="str">
        <f t="shared" si="129"/>
        <v>19900</v>
      </c>
      <c r="E571" s="417">
        <v>333903993000000</v>
      </c>
      <c r="F571" s="418" t="s">
        <v>2189</v>
      </c>
      <c r="G571" s="603">
        <v>1</v>
      </c>
      <c r="H571" s="603">
        <v>0</v>
      </c>
      <c r="I571" s="601">
        <v>332310500000000</v>
      </c>
      <c r="J571" s="602" t="s">
        <v>6154</v>
      </c>
      <c r="K571" s="891">
        <v>0</v>
      </c>
      <c r="L571" s="891">
        <v>0</v>
      </c>
      <c r="M571" s="996">
        <f t="shared" si="127"/>
        <v>0</v>
      </c>
      <c r="N571" s="796"/>
      <c r="P571" s="399"/>
    </row>
    <row r="572" spans="1:16" s="645" customFormat="1" ht="15" customHeight="1" x14ac:dyDescent="0.25">
      <c r="A572" s="397"/>
      <c r="B572" s="599">
        <f t="shared" si="128"/>
        <v>19920</v>
      </c>
      <c r="C572" s="600" t="s">
        <v>6062</v>
      </c>
      <c r="D572" s="528" t="str">
        <f t="shared" si="129"/>
        <v>19900</v>
      </c>
      <c r="E572" s="417">
        <v>333903995000000</v>
      </c>
      <c r="F572" s="418" t="s">
        <v>3164</v>
      </c>
      <c r="G572" s="603">
        <v>1</v>
      </c>
      <c r="H572" s="603">
        <v>0</v>
      </c>
      <c r="I572" s="601">
        <v>332311100000000</v>
      </c>
      <c r="J572" s="602" t="s">
        <v>6155</v>
      </c>
      <c r="K572" s="891">
        <v>0</v>
      </c>
      <c r="L572" s="891">
        <v>0</v>
      </c>
      <c r="M572" s="996">
        <f t="shared" si="127"/>
        <v>0</v>
      </c>
      <c r="N572" s="796"/>
      <c r="P572" s="399"/>
    </row>
    <row r="573" spans="1:16" s="645" customFormat="1" ht="15" customHeight="1" x14ac:dyDescent="0.25">
      <c r="A573" s="397"/>
      <c r="B573" s="599">
        <f t="shared" si="128"/>
        <v>19921</v>
      </c>
      <c r="C573" s="600" t="s">
        <v>6062</v>
      </c>
      <c r="D573" s="528" t="str">
        <f t="shared" si="129"/>
        <v>19900</v>
      </c>
      <c r="E573" s="417">
        <v>333903999010000</v>
      </c>
      <c r="F573" s="418" t="s">
        <v>2449</v>
      </c>
      <c r="G573" s="603">
        <v>1</v>
      </c>
      <c r="H573" s="603">
        <v>0</v>
      </c>
      <c r="I573" s="601">
        <v>332310700000000</v>
      </c>
      <c r="J573" s="602" t="s">
        <v>6156</v>
      </c>
      <c r="K573" s="891">
        <v>0</v>
      </c>
      <c r="L573" s="891">
        <v>0</v>
      </c>
      <c r="M573" s="996">
        <f t="shared" si="127"/>
        <v>0</v>
      </c>
      <c r="N573" s="796"/>
      <c r="P573" s="399"/>
    </row>
    <row r="574" spans="1:16" s="645" customFormat="1" ht="15" customHeight="1" x14ac:dyDescent="0.25">
      <c r="A574" s="397"/>
      <c r="B574" s="599">
        <f t="shared" si="128"/>
        <v>19922</v>
      </c>
      <c r="C574" s="600" t="s">
        <v>6062</v>
      </c>
      <c r="D574" s="528" t="str">
        <f t="shared" si="129"/>
        <v>19900</v>
      </c>
      <c r="E574" s="417">
        <v>333903999040000</v>
      </c>
      <c r="F574" s="418" t="s">
        <v>5812</v>
      </c>
      <c r="G574" s="603">
        <v>1</v>
      </c>
      <c r="H574" s="603">
        <v>0</v>
      </c>
      <c r="I574" s="601">
        <v>332319900000000</v>
      </c>
      <c r="J574" s="602" t="s">
        <v>6160</v>
      </c>
      <c r="K574" s="891">
        <v>0</v>
      </c>
      <c r="L574" s="891">
        <v>0</v>
      </c>
      <c r="M574" s="996">
        <f>L574/L$618</f>
        <v>0</v>
      </c>
      <c r="N574" s="796"/>
      <c r="P574" s="399"/>
    </row>
    <row r="575" spans="1:16" s="645" customFormat="1" ht="15" customHeight="1" x14ac:dyDescent="0.25">
      <c r="A575" s="397"/>
      <c r="B575" s="1398" t="s">
        <v>7109</v>
      </c>
      <c r="C575" s="1398"/>
      <c r="D575" s="1398"/>
      <c r="E575" s="417">
        <v>333904700000000</v>
      </c>
      <c r="F575" s="418" t="s">
        <v>990</v>
      </c>
      <c r="G575" s="468">
        <v>1</v>
      </c>
      <c r="H575" s="468">
        <v>0</v>
      </c>
      <c r="I575" s="751"/>
      <c r="J575" s="878" t="s">
        <v>7166</v>
      </c>
      <c r="K575" s="789">
        <f>'Parâmetros financeiros Despesa'!E262</f>
        <v>133.19999999999999</v>
      </c>
      <c r="L575" s="789">
        <f>('Parâmetros financeiros Despesa'!F253+'Parâmetros financeiros Despesa'!F257+'Parâmetros financeiros Despesa'!F259)*((1+'Parâmetros financeiros Despesa'!F4)*(1+'Parâmetros financeiros Despesa'!F7))*('Parâmetros financeiros Despesa'!F83)</f>
        <v>1417.4309499999999</v>
      </c>
      <c r="M575" s="799">
        <f>L575/L$618</f>
        <v>1.9374350801236325E-3</v>
      </c>
      <c r="N575" s="894"/>
      <c r="O575" s="796"/>
      <c r="P575" s="399"/>
    </row>
    <row r="576" spans="1:16" s="645" customFormat="1" ht="15" customHeight="1" x14ac:dyDescent="0.25">
      <c r="A576" s="397"/>
      <c r="B576" s="599">
        <f>B575+1</f>
        <v>20001</v>
      </c>
      <c r="C576" s="600" t="s">
        <v>6062</v>
      </c>
      <c r="D576" s="528" t="str">
        <f>B575</f>
        <v>20000</v>
      </c>
      <c r="E576" s="417">
        <v>333904718000000</v>
      </c>
      <c r="F576" s="418" t="s">
        <v>5904</v>
      </c>
      <c r="G576" s="603">
        <v>1</v>
      </c>
      <c r="H576" s="603">
        <v>0</v>
      </c>
      <c r="I576" s="601">
        <v>372110400000000</v>
      </c>
      <c r="J576" s="602" t="s">
        <v>6131</v>
      </c>
      <c r="K576" s="891">
        <v>0</v>
      </c>
      <c r="L576" s="891">
        <v>0</v>
      </c>
      <c r="M576" s="996">
        <f t="shared" ref="M576:M577" si="130">L576/L$618</f>
        <v>0</v>
      </c>
      <c r="N576" s="796"/>
      <c r="P576" s="399"/>
    </row>
    <row r="577" spans="1:16" s="645" customFormat="1" ht="15" customHeight="1" x14ac:dyDescent="0.25">
      <c r="A577" s="397"/>
      <c r="B577" s="599">
        <f>B576+1</f>
        <v>20002</v>
      </c>
      <c r="C577" s="600" t="s">
        <v>6062</v>
      </c>
      <c r="D577" s="528">
        <v>20000</v>
      </c>
      <c r="E577" s="417">
        <v>333904720000000</v>
      </c>
      <c r="F577" s="418" t="s">
        <v>5905</v>
      </c>
      <c r="G577" s="603">
        <v>1</v>
      </c>
      <c r="H577" s="603">
        <v>0</v>
      </c>
      <c r="I577" s="601">
        <v>372110500000000</v>
      </c>
      <c r="J577" s="602" t="s">
        <v>6160</v>
      </c>
      <c r="K577" s="891">
        <v>0</v>
      </c>
      <c r="L577" s="891">
        <v>0</v>
      </c>
      <c r="M577" s="996">
        <f t="shared" si="130"/>
        <v>0</v>
      </c>
      <c r="N577" s="796"/>
      <c r="P577" s="399"/>
    </row>
    <row r="578" spans="1:16" s="645" customFormat="1" ht="15" customHeight="1" x14ac:dyDescent="0.25">
      <c r="A578" s="397"/>
      <c r="B578" s="1398" t="s">
        <v>7112</v>
      </c>
      <c r="C578" s="1398"/>
      <c r="D578" s="1398"/>
      <c r="E578" s="417">
        <v>333904900000000</v>
      </c>
      <c r="F578" s="418" t="s">
        <v>7167</v>
      </c>
      <c r="G578" s="468">
        <v>1</v>
      </c>
      <c r="H578" s="468">
        <v>0</v>
      </c>
      <c r="I578" s="751"/>
      <c r="J578" s="878" t="s">
        <v>7165</v>
      </c>
      <c r="K578" s="789">
        <f>'Parâmetros financeiros Despesa'!E261</f>
        <v>3596.5499999999997</v>
      </c>
      <c r="L578" s="789">
        <f>('Parâmetros financeiros Despesa'!F261)*(1+'Parâmetros financeiros Despesa'!F$4)*(1+'Parâmetros financeiros Despesa'!F$7)</f>
        <v>3921.4317563250002</v>
      </c>
      <c r="M578" s="799">
        <f t="shared" ref="M578:M593" si="131">L578/L$618</f>
        <v>5.3600631826297316E-3</v>
      </c>
      <c r="N578" s="894"/>
      <c r="O578" s="796"/>
      <c r="P578" s="399"/>
    </row>
    <row r="579" spans="1:16" s="645" customFormat="1" ht="15" customHeight="1" x14ac:dyDescent="0.25">
      <c r="A579" s="397"/>
      <c r="B579" s="599">
        <f>B578+1</f>
        <v>20101</v>
      </c>
      <c r="C579" s="600" t="s">
        <v>6062</v>
      </c>
      <c r="D579" s="528" t="str">
        <f>B578</f>
        <v>20100</v>
      </c>
      <c r="E579" s="417">
        <v>333904901000000</v>
      </c>
      <c r="F579" s="418" t="s">
        <v>6042</v>
      </c>
      <c r="G579" s="603">
        <v>1</v>
      </c>
      <c r="H579" s="603">
        <v>0</v>
      </c>
      <c r="I579" s="601">
        <v>313110200000000</v>
      </c>
      <c r="J579" s="602" t="s">
        <v>6163</v>
      </c>
      <c r="K579" s="891">
        <v>0</v>
      </c>
      <c r="L579" s="891">
        <v>0</v>
      </c>
      <c r="M579" s="996">
        <f t="shared" si="131"/>
        <v>0</v>
      </c>
      <c r="N579" s="796"/>
      <c r="P579" s="399"/>
    </row>
    <row r="580" spans="1:16" s="645" customFormat="1" ht="15" customHeight="1" x14ac:dyDescent="0.25">
      <c r="A580" s="397"/>
      <c r="B580" s="1398" t="s">
        <v>7113</v>
      </c>
      <c r="C580" s="1398"/>
      <c r="D580" s="1398"/>
      <c r="E580" s="417">
        <v>333909300000000</v>
      </c>
      <c r="F580" s="418" t="s">
        <v>5818</v>
      </c>
      <c r="G580" s="468">
        <v>1</v>
      </c>
      <c r="H580" s="468">
        <v>0</v>
      </c>
      <c r="I580" s="751"/>
      <c r="J580" s="878" t="s">
        <v>7166</v>
      </c>
      <c r="K580" s="789">
        <f>'Parâmetros financeiros Despesa'!E262</f>
        <v>133.19999999999999</v>
      </c>
      <c r="L580" s="789">
        <f>('Parâmetros financeiros Despesa'!F262)*(1+'Parâmetros financeiros Despesa'!F$4)*(1+'Parâmetros financeiros Despesa'!F$7)</f>
        <v>581.36475580000001</v>
      </c>
      <c r="M580" s="799">
        <f t="shared" si="131"/>
        <v>7.9464644978609301E-4</v>
      </c>
      <c r="N580" s="894"/>
      <c r="O580" s="796"/>
      <c r="P580" s="399"/>
    </row>
    <row r="581" spans="1:16" s="645" customFormat="1" ht="15" customHeight="1" x14ac:dyDescent="0.25">
      <c r="A581" s="397"/>
      <c r="B581" s="599">
        <f>B580+1</f>
        <v>20201</v>
      </c>
      <c r="C581" s="600" t="s">
        <v>6062</v>
      </c>
      <c r="D581" s="528" t="str">
        <f>B580</f>
        <v>20200</v>
      </c>
      <c r="E581" s="417">
        <v>333909399000000</v>
      </c>
      <c r="F581" s="418" t="s">
        <v>1038</v>
      </c>
      <c r="G581" s="603">
        <v>1</v>
      </c>
      <c r="H581" s="603">
        <v>0</v>
      </c>
      <c r="I581" s="601">
        <v>399910300000000</v>
      </c>
      <c r="J581" s="602" t="s">
        <v>6164</v>
      </c>
      <c r="K581" s="891">
        <v>0</v>
      </c>
      <c r="L581" s="891">
        <v>0</v>
      </c>
      <c r="M581" s="996">
        <f t="shared" si="131"/>
        <v>0</v>
      </c>
      <c r="N581" s="796"/>
      <c r="P581" s="399"/>
    </row>
    <row r="582" spans="1:16" s="645" customFormat="1" ht="15" customHeight="1" x14ac:dyDescent="0.25">
      <c r="A582" s="397"/>
      <c r="B582" s="1398" t="s">
        <v>7114</v>
      </c>
      <c r="C582" s="1398"/>
      <c r="D582" s="1398"/>
      <c r="E582" s="417">
        <v>333933000000000</v>
      </c>
      <c r="F582" s="418" t="s">
        <v>6955</v>
      </c>
      <c r="G582" s="468">
        <v>1</v>
      </c>
      <c r="H582" s="468">
        <v>0</v>
      </c>
      <c r="I582" s="751"/>
      <c r="J582" s="878" t="s">
        <v>6197</v>
      </c>
      <c r="K582" s="789">
        <f>'Parâmetros financeiros Despesa'!E263</f>
        <v>3997.3649999999998</v>
      </c>
      <c r="L582" s="789">
        <f>('Parâmetros financeiros Despesa'!F263)*(1+'Parâmetros financeiros Despesa'!F$4)*(1+'Parâmetros financeiros Despesa'!F$7)</f>
        <v>4358.4529764974995</v>
      </c>
      <c r="M582" s="799">
        <f t="shared" si="131"/>
        <v>5.9574116761987725E-3</v>
      </c>
      <c r="N582" s="894"/>
      <c r="O582" s="796"/>
      <c r="P582" s="399"/>
    </row>
    <row r="583" spans="1:16" s="645" customFormat="1" ht="15" customHeight="1" x14ac:dyDescent="0.25">
      <c r="A583" s="397"/>
      <c r="B583" s="599">
        <f>B582+1</f>
        <v>20301</v>
      </c>
      <c r="C583" s="600" t="s">
        <v>6062</v>
      </c>
      <c r="D583" s="528" t="str">
        <f>B582</f>
        <v>20300</v>
      </c>
      <c r="E583" s="417">
        <v>333933002000000</v>
      </c>
      <c r="F583" s="418" t="s">
        <v>6199</v>
      </c>
      <c r="G583" s="603">
        <v>1</v>
      </c>
      <c r="H583" s="603">
        <v>0</v>
      </c>
      <c r="I583" s="601">
        <v>35</v>
      </c>
      <c r="J583" s="602" t="s">
        <v>6198</v>
      </c>
      <c r="K583" s="891">
        <v>0</v>
      </c>
      <c r="L583" s="891">
        <v>0</v>
      </c>
      <c r="M583" s="996">
        <f t="shared" si="131"/>
        <v>0</v>
      </c>
      <c r="N583" s="796"/>
      <c r="P583" s="399"/>
    </row>
    <row r="584" spans="1:16" s="647" customFormat="1" ht="15" customHeight="1" x14ac:dyDescent="0.25">
      <c r="A584" s="397"/>
      <c r="B584" s="1385" t="s">
        <v>5951</v>
      </c>
      <c r="C584" s="1385"/>
      <c r="D584" s="1385"/>
      <c r="E584" s="1385"/>
      <c r="F584" s="1385"/>
      <c r="G584" s="401"/>
      <c r="H584" s="401"/>
      <c r="I584" s="426"/>
      <c r="J584" s="411"/>
      <c r="K584" s="402">
        <f t="shared" ref="K584:L586" si="132">K585</f>
        <v>0</v>
      </c>
      <c r="L584" s="402">
        <f t="shared" si="132"/>
        <v>12647.8354</v>
      </c>
      <c r="M584" s="451">
        <f t="shared" si="131"/>
        <v>1.7287868584772697E-2</v>
      </c>
      <c r="N584" s="796"/>
      <c r="P584" s="399"/>
    </row>
    <row r="585" spans="1:16" s="647" customFormat="1" ht="15" customHeight="1" x14ac:dyDescent="0.25">
      <c r="A585" s="397"/>
      <c r="B585" s="1386" t="s">
        <v>7008</v>
      </c>
      <c r="C585" s="1386"/>
      <c r="D585" s="1386"/>
      <c r="E585" s="1386"/>
      <c r="F585" s="1386"/>
      <c r="G585" s="403"/>
      <c r="H585" s="403"/>
      <c r="I585" s="427"/>
      <c r="J585" s="412"/>
      <c r="K585" s="404">
        <f t="shared" si="132"/>
        <v>0</v>
      </c>
      <c r="L585" s="404">
        <f t="shared" si="132"/>
        <v>12647.8354</v>
      </c>
      <c r="M585" s="452">
        <f t="shared" si="131"/>
        <v>1.7287868584772697E-2</v>
      </c>
      <c r="N585" s="796"/>
      <c r="P585" s="399"/>
    </row>
    <row r="586" spans="1:16" s="647" customFormat="1" ht="15" customHeight="1" x14ac:dyDescent="0.25">
      <c r="A586" s="397"/>
      <c r="B586" s="1382" t="s">
        <v>2286</v>
      </c>
      <c r="C586" s="1382"/>
      <c r="D586" s="1382"/>
      <c r="E586" s="1382"/>
      <c r="F586" s="1382"/>
      <c r="G586" s="405"/>
      <c r="H586" s="405"/>
      <c r="I586" s="428"/>
      <c r="J586" s="413"/>
      <c r="K586" s="406">
        <f t="shared" si="132"/>
        <v>0</v>
      </c>
      <c r="L586" s="406">
        <f t="shared" si="132"/>
        <v>12647.8354</v>
      </c>
      <c r="M586" s="453">
        <f t="shared" si="131"/>
        <v>1.7287868584772697E-2</v>
      </c>
      <c r="N586" s="796"/>
      <c r="P586" s="399"/>
    </row>
    <row r="587" spans="1:16" s="647" customFormat="1" ht="15" customHeight="1" x14ac:dyDescent="0.25">
      <c r="A587" s="397"/>
      <c r="B587" s="1383" t="s">
        <v>2287</v>
      </c>
      <c r="C587" s="1383"/>
      <c r="D587" s="1383"/>
      <c r="E587" s="1383"/>
      <c r="F587" s="1383"/>
      <c r="G587" s="407"/>
      <c r="H587" s="407"/>
      <c r="I587" s="429"/>
      <c r="J587" s="414"/>
      <c r="K587" s="408">
        <f>K588+K591+K593+K600+K603</f>
        <v>0</v>
      </c>
      <c r="L587" s="408">
        <f>L588+L591+L593+L600+L603-0.01</f>
        <v>12647.8354</v>
      </c>
      <c r="M587" s="454">
        <f t="shared" si="131"/>
        <v>1.7287868584772697E-2</v>
      </c>
      <c r="N587" s="796"/>
      <c r="P587" s="399"/>
    </row>
    <row r="588" spans="1:16" s="647" customFormat="1" ht="15" customHeight="1" x14ac:dyDescent="0.25">
      <c r="A588" s="397"/>
      <c r="B588" s="1396">
        <v>20400</v>
      </c>
      <c r="C588" s="1396"/>
      <c r="D588" s="1396"/>
      <c r="E588" s="417">
        <v>333903000000000</v>
      </c>
      <c r="F588" s="418" t="s">
        <v>7176</v>
      </c>
      <c r="G588" s="468">
        <v>1</v>
      </c>
      <c r="H588" s="468">
        <v>0</v>
      </c>
      <c r="I588" s="751"/>
      <c r="J588" s="878" t="s">
        <v>7186</v>
      </c>
      <c r="K588" s="789">
        <f>'Parâmetros financeiros Despesa'!E265+'Parâmetros financeiros Despesa'!E266</f>
        <v>0</v>
      </c>
      <c r="L588" s="789">
        <f>('Parâmetros financeiros Despesa'!F265+'Parâmetros financeiros Despesa'!F266)*(1+'Parâmetros financeiros Despesa'!F$4)*(1+'Parâmetros financeiros Despesa'!F$7)</f>
        <v>2180.663</v>
      </c>
      <c r="M588" s="799">
        <f t="shared" si="131"/>
        <v>2.980669354036358E-3</v>
      </c>
      <c r="N588" s="894"/>
      <c r="O588" s="796"/>
      <c r="P588" s="399"/>
    </row>
    <row r="589" spans="1:16" s="647" customFormat="1" ht="15" customHeight="1" x14ac:dyDescent="0.25">
      <c r="A589" s="397"/>
      <c r="B589" s="478">
        <f>B588+1</f>
        <v>20401</v>
      </c>
      <c r="C589" s="528" t="s">
        <v>6062</v>
      </c>
      <c r="D589" s="528">
        <v>20400</v>
      </c>
      <c r="E589" s="417">
        <v>333903017000000</v>
      </c>
      <c r="F589" s="418" t="s">
        <v>5753</v>
      </c>
      <c r="G589" s="603">
        <v>1</v>
      </c>
      <c r="H589" s="603">
        <v>0</v>
      </c>
      <c r="I589" s="601">
        <v>331111700000000</v>
      </c>
      <c r="J589" s="602" t="s">
        <v>6098</v>
      </c>
      <c r="K589" s="891">
        <v>0</v>
      </c>
      <c r="L589" s="891">
        <v>0</v>
      </c>
      <c r="M589" s="996">
        <f t="shared" si="131"/>
        <v>0</v>
      </c>
      <c r="N589" s="796"/>
      <c r="P589" s="399"/>
    </row>
    <row r="590" spans="1:16" s="647" customFormat="1" ht="15" customHeight="1" x14ac:dyDescent="0.25">
      <c r="A590" s="397"/>
      <c r="B590" s="478">
        <f>B589+1</f>
        <v>20402</v>
      </c>
      <c r="C590" s="528" t="s">
        <v>6062</v>
      </c>
      <c r="D590" s="528">
        <f>D589</f>
        <v>20400</v>
      </c>
      <c r="E590" s="417">
        <v>333903017000000</v>
      </c>
      <c r="F590" s="418" t="s">
        <v>5754</v>
      </c>
      <c r="G590" s="603">
        <v>1</v>
      </c>
      <c r="H590" s="603">
        <v>0</v>
      </c>
      <c r="I590" s="601">
        <v>617</v>
      </c>
      <c r="J590" s="602" t="s">
        <v>6098</v>
      </c>
      <c r="K590" s="891">
        <v>0</v>
      </c>
      <c r="L590" s="891">
        <v>0</v>
      </c>
      <c r="M590" s="996">
        <f t="shared" si="131"/>
        <v>0</v>
      </c>
      <c r="N590" s="796"/>
      <c r="P590" s="399"/>
    </row>
    <row r="591" spans="1:16" s="660" customFormat="1" ht="15" customHeight="1" x14ac:dyDescent="0.25">
      <c r="A591" s="397"/>
      <c r="B591" s="994"/>
      <c r="C591" s="994"/>
      <c r="D591" s="994" t="s">
        <v>7182</v>
      </c>
      <c r="E591" s="417">
        <v>333903600000000</v>
      </c>
      <c r="F591" s="418" t="s">
        <v>7177</v>
      </c>
      <c r="G591" s="468">
        <v>1</v>
      </c>
      <c r="H591" s="468">
        <v>0</v>
      </c>
      <c r="I591" s="751"/>
      <c r="J591" s="878" t="s">
        <v>7186</v>
      </c>
      <c r="K591" s="789">
        <f>'Parâmetros financeiros Despesa'!E267</f>
        <v>0</v>
      </c>
      <c r="L591" s="789">
        <f>('Parâmetros financeiros Despesa'!F267)*(1+'Parâmetros financeiros Despesa'!F$4)*(1+'Parâmetros financeiros Despesa'!F$7)</f>
        <v>1090.3315</v>
      </c>
      <c r="M591" s="799">
        <f t="shared" si="131"/>
        <v>1.490334677018179E-3</v>
      </c>
      <c r="N591" s="894"/>
      <c r="O591" s="796"/>
      <c r="P591" s="399"/>
    </row>
    <row r="592" spans="1:16" s="647" customFormat="1" ht="15" customHeight="1" x14ac:dyDescent="0.25">
      <c r="A592" s="397"/>
      <c r="B592" s="599" t="s">
        <v>7184</v>
      </c>
      <c r="C592" s="600" t="s">
        <v>6062</v>
      </c>
      <c r="D592" s="528">
        <v>20500</v>
      </c>
      <c r="E592" s="417">
        <v>333903606000000</v>
      </c>
      <c r="F592" s="418" t="s">
        <v>1151</v>
      </c>
      <c r="G592" s="603">
        <v>1</v>
      </c>
      <c r="H592" s="603">
        <v>0</v>
      </c>
      <c r="I592" s="601">
        <v>332211500000000</v>
      </c>
      <c r="J592" s="602" t="s">
        <v>6131</v>
      </c>
      <c r="K592" s="891">
        <v>0</v>
      </c>
      <c r="L592" s="891">
        <v>0</v>
      </c>
      <c r="M592" s="996">
        <f t="shared" si="131"/>
        <v>0</v>
      </c>
      <c r="N592" s="796"/>
      <c r="P592" s="399"/>
    </row>
    <row r="593" spans="1:16" s="647" customFormat="1" ht="15" customHeight="1" x14ac:dyDescent="0.25">
      <c r="A593" s="397"/>
      <c r="B593" s="1398" t="s">
        <v>7116</v>
      </c>
      <c r="C593" s="1398"/>
      <c r="D593" s="1398"/>
      <c r="E593" s="417">
        <v>333903900000000</v>
      </c>
      <c r="F593" s="418" t="s">
        <v>7178</v>
      </c>
      <c r="G593" s="468">
        <v>1</v>
      </c>
      <c r="H593" s="468">
        <v>0</v>
      </c>
      <c r="I593" s="751"/>
      <c r="J593" s="878" t="s">
        <v>7186</v>
      </c>
      <c r="K593" s="789">
        <f>'Parâmetros financeiros Despesa'!E269+'Parâmetros financeiros Despesa'!E270</f>
        <v>0</v>
      </c>
      <c r="L593" s="789">
        <f>('Parâmetros financeiros Despesa'!F269+'Parâmetros financeiros Despesa'!F270)*(1+'Parâmetros financeiros Despesa'!F$4)*(1+'Parâmetros financeiros Despesa'!F$7)</f>
        <v>4906.4917500000001</v>
      </c>
      <c r="M593" s="799">
        <f t="shared" si="131"/>
        <v>6.7065060465818054E-3</v>
      </c>
      <c r="N593" s="894"/>
      <c r="O593" s="796"/>
      <c r="P593" s="399"/>
    </row>
    <row r="594" spans="1:16" s="647" customFormat="1" ht="15" customHeight="1" x14ac:dyDescent="0.25">
      <c r="A594" s="397"/>
      <c r="B594" s="599">
        <f t="shared" ref="B594:B599" si="133">B593+1</f>
        <v>20601</v>
      </c>
      <c r="C594" s="600" t="s">
        <v>6062</v>
      </c>
      <c r="D594" s="528">
        <v>20600</v>
      </c>
      <c r="E594" s="417">
        <v>333903905000000</v>
      </c>
      <c r="F594" s="418" t="s">
        <v>1151</v>
      </c>
      <c r="G594" s="603">
        <v>1</v>
      </c>
      <c r="H594" s="603">
        <v>0</v>
      </c>
      <c r="I594" s="601">
        <v>332315100000000</v>
      </c>
      <c r="J594" s="602" t="s">
        <v>6127</v>
      </c>
      <c r="K594" s="891">
        <v>0</v>
      </c>
      <c r="L594" s="891">
        <v>0</v>
      </c>
      <c r="M594" s="996">
        <f t="shared" ref="M594:M599" si="134">L594/L$618</f>
        <v>0</v>
      </c>
      <c r="N594" s="796"/>
      <c r="P594" s="399"/>
    </row>
    <row r="595" spans="1:16" s="647" customFormat="1" ht="15" customHeight="1" x14ac:dyDescent="0.25">
      <c r="A595" s="397"/>
      <c r="B595" s="599">
        <f t="shared" si="133"/>
        <v>20602</v>
      </c>
      <c r="C595" s="600" t="s">
        <v>6062</v>
      </c>
      <c r="D595" s="528">
        <v>20600</v>
      </c>
      <c r="E595" s="417">
        <v>333903908000000</v>
      </c>
      <c r="F595" s="418" t="s">
        <v>7010</v>
      </c>
      <c r="G595" s="603">
        <v>1</v>
      </c>
      <c r="H595" s="603">
        <v>0</v>
      </c>
      <c r="I595" s="601">
        <v>332315100000000</v>
      </c>
      <c r="J595" s="602" t="s">
        <v>6127</v>
      </c>
      <c r="K595" s="891">
        <v>0</v>
      </c>
      <c r="L595" s="891">
        <v>0</v>
      </c>
      <c r="M595" s="996">
        <f t="shared" si="134"/>
        <v>0</v>
      </c>
      <c r="N595" s="796"/>
      <c r="P595" s="399"/>
    </row>
    <row r="596" spans="1:16" s="647" customFormat="1" ht="15" customHeight="1" x14ac:dyDescent="0.25">
      <c r="A596" s="397"/>
      <c r="B596" s="599">
        <f t="shared" si="133"/>
        <v>20603</v>
      </c>
      <c r="C596" s="600" t="s">
        <v>6062</v>
      </c>
      <c r="D596" s="528">
        <v>20600</v>
      </c>
      <c r="E596" s="417">
        <v>333903911000000</v>
      </c>
      <c r="F596" s="418" t="s">
        <v>2623</v>
      </c>
      <c r="G596" s="603">
        <v>1</v>
      </c>
      <c r="H596" s="603">
        <v>0</v>
      </c>
      <c r="I596" s="601">
        <v>332315100000000</v>
      </c>
      <c r="J596" s="602" t="s">
        <v>6127</v>
      </c>
      <c r="K596" s="891">
        <v>0</v>
      </c>
      <c r="L596" s="891">
        <v>0</v>
      </c>
      <c r="M596" s="996">
        <f t="shared" si="134"/>
        <v>0</v>
      </c>
      <c r="N596" s="796"/>
      <c r="P596" s="399"/>
    </row>
    <row r="597" spans="1:16" s="647" customFormat="1" ht="15" customHeight="1" x14ac:dyDescent="0.25">
      <c r="A597" s="397"/>
      <c r="B597" s="599">
        <f t="shared" si="133"/>
        <v>20604</v>
      </c>
      <c r="C597" s="600" t="s">
        <v>6062</v>
      </c>
      <c r="D597" s="528">
        <v>20600</v>
      </c>
      <c r="E597" s="417">
        <v>333903948000000</v>
      </c>
      <c r="F597" s="418" t="s">
        <v>2158</v>
      </c>
      <c r="G597" s="603">
        <v>1</v>
      </c>
      <c r="H597" s="603">
        <v>0</v>
      </c>
      <c r="I597" s="601">
        <v>332315100000000</v>
      </c>
      <c r="J597" s="602" t="s">
        <v>6127</v>
      </c>
      <c r="K597" s="891">
        <v>0</v>
      </c>
      <c r="L597" s="891">
        <v>0</v>
      </c>
      <c r="M597" s="996">
        <f t="shared" si="134"/>
        <v>0</v>
      </c>
      <c r="N597" s="796"/>
      <c r="P597" s="399"/>
    </row>
    <row r="598" spans="1:16" s="647" customFormat="1" ht="15" customHeight="1" x14ac:dyDescent="0.25">
      <c r="A598" s="397"/>
      <c r="B598" s="599">
        <f t="shared" si="133"/>
        <v>20605</v>
      </c>
      <c r="C598" s="600" t="s">
        <v>6062</v>
      </c>
      <c r="D598" s="528">
        <v>20600</v>
      </c>
      <c r="E598" s="417">
        <v>333903958030000</v>
      </c>
      <c r="F598" s="418" t="s">
        <v>7011</v>
      </c>
      <c r="G598" s="603">
        <v>1</v>
      </c>
      <c r="H598" s="603">
        <v>0</v>
      </c>
      <c r="I598" s="601">
        <v>332315100000000</v>
      </c>
      <c r="J598" s="602" t="s">
        <v>6127</v>
      </c>
      <c r="K598" s="891">
        <v>0</v>
      </c>
      <c r="L598" s="891">
        <v>0</v>
      </c>
      <c r="M598" s="996">
        <f t="shared" si="134"/>
        <v>0</v>
      </c>
      <c r="N598" s="796"/>
      <c r="P598" s="399"/>
    </row>
    <row r="599" spans="1:16" s="647" customFormat="1" ht="15" customHeight="1" x14ac:dyDescent="0.25">
      <c r="A599" s="397"/>
      <c r="B599" s="599">
        <f t="shared" si="133"/>
        <v>20606</v>
      </c>
      <c r="C599" s="600" t="s">
        <v>6062</v>
      </c>
      <c r="D599" s="528">
        <v>20600</v>
      </c>
      <c r="E599" s="417">
        <v>333903999040000</v>
      </c>
      <c r="F599" s="418" t="s">
        <v>5812</v>
      </c>
      <c r="G599" s="603">
        <v>1</v>
      </c>
      <c r="H599" s="603">
        <v>0</v>
      </c>
      <c r="I599" s="601">
        <v>332319900000000</v>
      </c>
      <c r="J599" s="602" t="s">
        <v>6160</v>
      </c>
      <c r="K599" s="891">
        <v>0</v>
      </c>
      <c r="L599" s="891">
        <v>0</v>
      </c>
      <c r="M599" s="996">
        <f t="shared" si="134"/>
        <v>0</v>
      </c>
      <c r="N599" s="796"/>
      <c r="P599" s="399"/>
    </row>
    <row r="600" spans="1:16" s="647" customFormat="1" ht="15" customHeight="1" x14ac:dyDescent="0.25">
      <c r="A600" s="397"/>
      <c r="B600" s="1398" t="s">
        <v>7117</v>
      </c>
      <c r="C600" s="1398"/>
      <c r="D600" s="1398"/>
      <c r="E600" s="417">
        <v>333904700000000</v>
      </c>
      <c r="F600" s="418" t="s">
        <v>7179</v>
      </c>
      <c r="G600" s="468">
        <v>1</v>
      </c>
      <c r="H600" s="468">
        <v>0</v>
      </c>
      <c r="I600" s="751"/>
      <c r="J600" s="878" t="s">
        <v>7186</v>
      </c>
      <c r="K600" s="789">
        <f>('Parâmetros financeiros Despesa'!E266+'Parâmetros financeiros Despesa'!E267+'Parâmetros financeiros Despesa'!E269)</f>
        <v>0</v>
      </c>
      <c r="L600" s="789">
        <f>('Parâmetros financeiros Despesa'!F266+'Parâmetros financeiros Despesa'!F267+'Parâmetros financeiros Despesa'!F269)*((1+'Parâmetros financeiros Despesa'!F4)*(1+'Parâmetros financeiros Despesa'!F7)*('Parâmetros financeiros Despesa'!F83))</f>
        <v>654.19890000000009</v>
      </c>
      <c r="M600" s="799">
        <f>L600/L$618</f>
        <v>8.9420080621090755E-4</v>
      </c>
      <c r="N600" s="894"/>
      <c r="O600" s="796"/>
      <c r="P600" s="399"/>
    </row>
    <row r="601" spans="1:16" s="647" customFormat="1" ht="15" customHeight="1" x14ac:dyDescent="0.25">
      <c r="A601" s="397"/>
      <c r="B601" s="599">
        <f>B600+1</f>
        <v>20701</v>
      </c>
      <c r="C601" s="600" t="s">
        <v>6062</v>
      </c>
      <c r="D601" s="528" t="str">
        <f>B600</f>
        <v>20700</v>
      </c>
      <c r="E601" s="417">
        <v>333904718000000</v>
      </c>
      <c r="F601" s="418" t="s">
        <v>5904</v>
      </c>
      <c r="G601" s="603">
        <v>1</v>
      </c>
      <c r="H601" s="603">
        <v>0</v>
      </c>
      <c r="I601" s="601">
        <v>372110400000000</v>
      </c>
      <c r="J601" s="602" t="s">
        <v>6131</v>
      </c>
      <c r="K601" s="891">
        <v>0</v>
      </c>
      <c r="L601" s="891">
        <v>0</v>
      </c>
      <c r="M601" s="996">
        <f t="shared" ref="M601:M602" si="135">L601/L$618</f>
        <v>0</v>
      </c>
      <c r="N601" s="796"/>
      <c r="P601" s="399"/>
    </row>
    <row r="602" spans="1:16" s="647" customFormat="1" ht="15" customHeight="1" x14ac:dyDescent="0.25">
      <c r="A602" s="397"/>
      <c r="B602" s="599" t="s">
        <v>7121</v>
      </c>
      <c r="C602" s="600" t="s">
        <v>6062</v>
      </c>
      <c r="D602" s="528">
        <v>20700</v>
      </c>
      <c r="E602" s="417">
        <v>333904720000000</v>
      </c>
      <c r="F602" s="418" t="s">
        <v>5905</v>
      </c>
      <c r="G602" s="603">
        <v>1</v>
      </c>
      <c r="H602" s="603">
        <v>0</v>
      </c>
      <c r="I602" s="601">
        <v>372110500000000</v>
      </c>
      <c r="J602" s="602" t="s">
        <v>6160</v>
      </c>
      <c r="K602" s="891">
        <v>0</v>
      </c>
      <c r="L602" s="891">
        <v>0</v>
      </c>
      <c r="M602" s="996">
        <f t="shared" si="135"/>
        <v>0</v>
      </c>
      <c r="N602" s="796"/>
      <c r="P602" s="399"/>
    </row>
    <row r="603" spans="1:16" s="457" customFormat="1" ht="15" customHeight="1" x14ac:dyDescent="0.25">
      <c r="A603" s="396"/>
      <c r="B603" s="1398" t="s">
        <v>7118</v>
      </c>
      <c r="C603" s="1398"/>
      <c r="D603" s="1398"/>
      <c r="E603" s="854">
        <v>344905200000000</v>
      </c>
      <c r="F603" s="855" t="s">
        <v>7180</v>
      </c>
      <c r="G603" s="468">
        <v>1</v>
      </c>
      <c r="H603" s="468">
        <v>0</v>
      </c>
      <c r="I603" s="751"/>
      <c r="J603" s="878" t="s">
        <v>7186</v>
      </c>
      <c r="K603" s="789">
        <f>'Parâmetros financeiros Despesa'!E270</f>
        <v>0</v>
      </c>
      <c r="L603" s="789">
        <f>('Parâmetros financeiros Despesa'!F270)*(1+'Parâmetros financeiros Despesa'!F$4)*(1+'Parâmetros financeiros Despesa'!F$7)</f>
        <v>3816.1602500000004</v>
      </c>
      <c r="M603" s="799">
        <f t="shared" ref="M603:M608" si="136">L603/L$618</f>
        <v>5.2161713695636266E-3</v>
      </c>
      <c r="N603" s="894"/>
      <c r="O603" s="796"/>
      <c r="P603" s="734"/>
    </row>
    <row r="604" spans="1:16" s="660" customFormat="1" ht="15" customHeight="1" x14ac:dyDescent="0.25">
      <c r="A604" s="397"/>
      <c r="B604" s="1385" t="s">
        <v>5951</v>
      </c>
      <c r="C604" s="1385"/>
      <c r="D604" s="1385"/>
      <c r="E604" s="1385"/>
      <c r="F604" s="1385"/>
      <c r="G604" s="401"/>
      <c r="H604" s="401"/>
      <c r="I604" s="426"/>
      <c r="J604" s="411"/>
      <c r="K604" s="402">
        <f t="shared" ref="K604:L606" si="137">K605</f>
        <v>0</v>
      </c>
      <c r="L604" s="402">
        <f t="shared" si="137"/>
        <v>19516.923850000003</v>
      </c>
      <c r="M604" s="451">
        <f t="shared" si="136"/>
        <v>2.6676977049987227E-2</v>
      </c>
      <c r="N604" s="796"/>
      <c r="P604" s="399"/>
    </row>
    <row r="605" spans="1:16" s="660" customFormat="1" ht="15" customHeight="1" x14ac:dyDescent="0.25">
      <c r="A605" s="397"/>
      <c r="B605" s="1386" t="s">
        <v>7088</v>
      </c>
      <c r="C605" s="1386"/>
      <c r="D605" s="1386"/>
      <c r="E605" s="1386"/>
      <c r="F605" s="1386"/>
      <c r="G605" s="403"/>
      <c r="H605" s="403"/>
      <c r="I605" s="427"/>
      <c r="J605" s="412"/>
      <c r="K605" s="404">
        <f t="shared" si="137"/>
        <v>0</v>
      </c>
      <c r="L605" s="404">
        <f t="shared" si="137"/>
        <v>19516.923850000003</v>
      </c>
      <c r="M605" s="452">
        <f t="shared" si="136"/>
        <v>2.6676977049987227E-2</v>
      </c>
      <c r="N605" s="796"/>
      <c r="P605" s="399"/>
    </row>
    <row r="606" spans="1:16" s="660" customFormat="1" ht="15" customHeight="1" x14ac:dyDescent="0.25">
      <c r="A606" s="397"/>
      <c r="B606" s="1382" t="s">
        <v>2286</v>
      </c>
      <c r="C606" s="1382"/>
      <c r="D606" s="1382"/>
      <c r="E606" s="1382"/>
      <c r="F606" s="1382"/>
      <c r="G606" s="405"/>
      <c r="H606" s="405"/>
      <c r="I606" s="428"/>
      <c r="J606" s="413"/>
      <c r="K606" s="406">
        <f t="shared" si="137"/>
        <v>0</v>
      </c>
      <c r="L606" s="406">
        <f t="shared" si="137"/>
        <v>19516.923850000003</v>
      </c>
      <c r="M606" s="453">
        <f t="shared" si="136"/>
        <v>2.6676977049987227E-2</v>
      </c>
      <c r="N606" s="796"/>
      <c r="P606" s="399"/>
    </row>
    <row r="607" spans="1:16" s="660" customFormat="1" ht="15" customHeight="1" x14ac:dyDescent="0.25">
      <c r="A607" s="397"/>
      <c r="B607" s="1383" t="s">
        <v>7013</v>
      </c>
      <c r="C607" s="1383"/>
      <c r="D607" s="1383"/>
      <c r="E607" s="1383"/>
      <c r="F607" s="1383"/>
      <c r="G607" s="407"/>
      <c r="H607" s="407"/>
      <c r="I607" s="429"/>
      <c r="J607" s="414"/>
      <c r="K607" s="408">
        <f>SUM(K608:K614)</f>
        <v>0</v>
      </c>
      <c r="L607" s="408">
        <f>SUM(L608:L614)-0.01</f>
        <v>19516.923850000003</v>
      </c>
      <c r="M607" s="454">
        <f t="shared" si="136"/>
        <v>2.6676977049987227E-2</v>
      </c>
      <c r="N607" s="796"/>
      <c r="P607" s="399"/>
    </row>
    <row r="608" spans="1:16" s="115" customFormat="1" ht="15" customHeight="1" x14ac:dyDescent="0.25">
      <c r="A608" s="396"/>
      <c r="B608" s="1396">
        <v>21000</v>
      </c>
      <c r="C608" s="1396"/>
      <c r="D608" s="1396"/>
      <c r="E608" s="854">
        <v>333903000000000</v>
      </c>
      <c r="F608" s="855" t="s">
        <v>7168</v>
      </c>
      <c r="G608" s="468">
        <v>1</v>
      </c>
      <c r="H608" s="468">
        <v>0</v>
      </c>
      <c r="I608" s="751"/>
      <c r="J608" s="878" t="s">
        <v>7169</v>
      </c>
      <c r="K608" s="789">
        <f>('Parâmetros financeiros Despesa'!E272+'Parâmetros financeiros Despesa'!E273)</f>
        <v>0</v>
      </c>
      <c r="L608" s="789">
        <f>('Parâmetros financeiros Despesa'!F272+'Parâmetros financeiros Despesa'!F273)*(1+'Parâmetros financeiros Despesa'!F$4)*(1+'Parâmetros financeiros Despesa'!F$7)</f>
        <v>2725.8287500000001</v>
      </c>
      <c r="M608" s="799">
        <f t="shared" si="136"/>
        <v>3.7258366925454478E-3</v>
      </c>
      <c r="N608" s="894"/>
      <c r="O608" s="796"/>
      <c r="P608" s="733"/>
    </row>
    <row r="609" spans="1:16" s="115" customFormat="1" ht="15" customHeight="1" x14ac:dyDescent="0.25">
      <c r="A609" s="396"/>
      <c r="B609" s="1396">
        <v>21100</v>
      </c>
      <c r="C609" s="1396"/>
      <c r="D609" s="1396"/>
      <c r="E609" s="854">
        <v>333903100000000</v>
      </c>
      <c r="F609" s="855" t="s">
        <v>7170</v>
      </c>
      <c r="G609" s="468">
        <v>1</v>
      </c>
      <c r="H609" s="468">
        <v>0</v>
      </c>
      <c r="I609" s="751"/>
      <c r="J609" s="878" t="s">
        <v>7169</v>
      </c>
      <c r="K609" s="789">
        <f>'Parâmetros financeiros Despesa'!E274</f>
        <v>0</v>
      </c>
      <c r="L609" s="789">
        <f>('Parâmetros financeiros Despesa'!F274)*(1+'Parâmetros financeiros Despesa'!F$4)*(1+'Parâmetros financeiros Despesa'!F$7)</f>
        <v>8722.652</v>
      </c>
      <c r="M609" s="799">
        <f t="shared" ref="M609:M614" si="138">L609/L$618</f>
        <v>1.1922677416145432E-2</v>
      </c>
      <c r="N609" s="894"/>
      <c r="O609" s="796"/>
      <c r="P609" s="733"/>
    </row>
    <row r="610" spans="1:16" s="115" customFormat="1" ht="15" customHeight="1" x14ac:dyDescent="0.25">
      <c r="A610" s="396"/>
      <c r="B610" s="994"/>
      <c r="C610" s="994"/>
      <c r="D610" s="994" t="s">
        <v>7119</v>
      </c>
      <c r="E610" s="854">
        <v>333903200000000</v>
      </c>
      <c r="F610" s="855" t="s">
        <v>7171</v>
      </c>
      <c r="G610" s="468">
        <v>1</v>
      </c>
      <c r="H610" s="468">
        <v>0</v>
      </c>
      <c r="I610" s="751"/>
      <c r="J610" s="878" t="s">
        <v>7169</v>
      </c>
      <c r="K610" s="789">
        <f>'Parâmetros financeiros Despesa'!E275</f>
        <v>0</v>
      </c>
      <c r="L610" s="789">
        <f>('Parâmetros financeiros Despesa'!F275)*(1+'Parâmetros financeiros Despesa'!F$4)*(1+'Parâmetros financeiros Despesa'!F$7)</f>
        <v>1090.3315</v>
      </c>
      <c r="M610" s="799">
        <f t="shared" si="138"/>
        <v>1.490334677018179E-3</v>
      </c>
      <c r="N610" s="894"/>
      <c r="O610" s="796"/>
      <c r="P610" s="733"/>
    </row>
    <row r="611" spans="1:16" s="115" customFormat="1" ht="15" customHeight="1" x14ac:dyDescent="0.25">
      <c r="A611" s="396"/>
      <c r="B611" s="1398" t="s">
        <v>7120</v>
      </c>
      <c r="C611" s="1398"/>
      <c r="D611" s="1398"/>
      <c r="E611" s="854">
        <v>333903600000000</v>
      </c>
      <c r="F611" s="855" t="s">
        <v>7172</v>
      </c>
      <c r="G611" s="468">
        <v>1</v>
      </c>
      <c r="H611" s="468">
        <v>0</v>
      </c>
      <c r="I611" s="751"/>
      <c r="J611" s="878" t="s">
        <v>7169</v>
      </c>
      <c r="K611" s="789">
        <f>'Parâmetros financeiros Despesa'!E276</f>
        <v>0</v>
      </c>
      <c r="L611" s="789">
        <f>('Parâmetros financeiros Despesa'!F276)*(1+'Parâmetros financeiros Despesa'!F$4)*(1+'Parâmetros financeiros Despesa'!F$7)</f>
        <v>1090.3315</v>
      </c>
      <c r="M611" s="799">
        <f t="shared" si="138"/>
        <v>1.490334677018179E-3</v>
      </c>
      <c r="N611" s="894"/>
      <c r="O611" s="796"/>
      <c r="P611" s="733"/>
    </row>
    <row r="612" spans="1:16" s="115" customFormat="1" ht="15" customHeight="1" x14ac:dyDescent="0.25">
      <c r="A612" s="396"/>
      <c r="B612" s="1398" t="s">
        <v>7122</v>
      </c>
      <c r="C612" s="1398"/>
      <c r="D612" s="1398"/>
      <c r="E612" s="854">
        <v>333903900000000</v>
      </c>
      <c r="F612" s="855" t="s">
        <v>7174</v>
      </c>
      <c r="G612" s="468">
        <v>1</v>
      </c>
      <c r="H612" s="468">
        <v>0</v>
      </c>
      <c r="I612" s="751"/>
      <c r="J612" s="878" t="s">
        <v>7169</v>
      </c>
      <c r="K612" s="789">
        <f>'Parâmetros financeiros Despesa'!E277+'Parâmetros financeiros Despesa'!E278</f>
        <v>0</v>
      </c>
      <c r="L612" s="789">
        <f>('Parâmetros financeiros Despesa'!F277+'Parâmetros financeiros Despesa'!F278)*(1+'Parâmetros financeiros Despesa'!F$4)*(1+'Parâmetros financeiros Despesa'!F$7)</f>
        <v>3270.9945000000002</v>
      </c>
      <c r="M612" s="799">
        <f t="shared" si="138"/>
        <v>4.4710040310545372E-3</v>
      </c>
      <c r="N612" s="894"/>
      <c r="O612" s="796"/>
      <c r="P612" s="733"/>
    </row>
    <row r="613" spans="1:16" s="115" customFormat="1" ht="15" customHeight="1" x14ac:dyDescent="0.25">
      <c r="A613" s="396"/>
      <c r="B613" s="1398" t="s">
        <v>7183</v>
      </c>
      <c r="C613" s="1398"/>
      <c r="D613" s="1398"/>
      <c r="E613" s="854">
        <v>333904700000000</v>
      </c>
      <c r="F613" s="855" t="s">
        <v>7175</v>
      </c>
      <c r="G613" s="468">
        <v>1</v>
      </c>
      <c r="H613" s="468">
        <v>0</v>
      </c>
      <c r="I613" s="751"/>
      <c r="J613" s="878" t="s">
        <v>7169</v>
      </c>
      <c r="K613" s="789">
        <f>'Parâmetros financeiros Despesa'!E276+'Parâmetros financeiros Despesa'!E278</f>
        <v>0</v>
      </c>
      <c r="L613" s="789">
        <f>('Parâmetros financeiros Despesa'!F276+'Parâmetros financeiros Despesa'!F278)*((1+'Parâmetros financeiros Despesa'!F4)*(1+'Parâmetros financeiros Despesa'!F7))*('Parâmetros financeiros Despesa'!F83)</f>
        <v>436.13260000000002</v>
      </c>
      <c r="M613" s="799">
        <f t="shared" si="138"/>
        <v>5.9613387080727166E-4</v>
      </c>
      <c r="N613" s="894"/>
      <c r="O613" s="796"/>
      <c r="P613" s="733"/>
    </row>
    <row r="614" spans="1:16" s="115" customFormat="1" ht="15" customHeight="1" x14ac:dyDescent="0.25">
      <c r="A614" s="396"/>
      <c r="B614" s="1398" t="s">
        <v>7187</v>
      </c>
      <c r="C614" s="1398"/>
      <c r="D614" s="1398"/>
      <c r="E614" s="854">
        <v>344905200000000</v>
      </c>
      <c r="F614" s="855" t="s">
        <v>7173</v>
      </c>
      <c r="G614" s="468">
        <v>1</v>
      </c>
      <c r="H614" s="468">
        <v>0</v>
      </c>
      <c r="I614" s="751"/>
      <c r="J614" s="878" t="s">
        <v>7169</v>
      </c>
      <c r="K614" s="789">
        <f>'Parâmetros financeiros Despesa'!E279</f>
        <v>0</v>
      </c>
      <c r="L614" s="789">
        <f>('Parâmetros financeiros Despesa'!F279)*((1+'Parâmetros financeiros Despesa'!F4)*(1+'Parâmetros financeiros Despesa'!F7))</f>
        <v>2180.663</v>
      </c>
      <c r="M614" s="799">
        <f t="shared" si="138"/>
        <v>2.980669354036358E-3</v>
      </c>
      <c r="N614" s="894"/>
      <c r="O614" s="796"/>
      <c r="P614" s="733"/>
    </row>
    <row r="615" spans="1:16" s="820" customFormat="1" ht="15" customHeight="1" x14ac:dyDescent="0.25">
      <c r="B615" s="864" t="s">
        <v>22</v>
      </c>
      <c r="C615" s="864"/>
      <c r="D615" s="864"/>
      <c r="E615" s="864"/>
      <c r="F615" s="864"/>
      <c r="G615" s="864"/>
      <c r="H615" s="864"/>
      <c r="I615" s="864"/>
      <c r="J615" s="864"/>
      <c r="K615" s="863">
        <f>K605+K585+K481+K472+K439+0.01</f>
        <v>565634.37499999988</v>
      </c>
      <c r="L615" s="863">
        <f>L605+L585+L481+L472+L439</f>
        <v>731601.7783210316</v>
      </c>
      <c r="M615" s="452">
        <f>L615/L$618</f>
        <v>1</v>
      </c>
      <c r="N615" s="796"/>
      <c r="P615" s="399"/>
    </row>
    <row r="616" spans="1:16" s="820" customFormat="1" ht="15" customHeight="1" x14ac:dyDescent="0.25">
      <c r="B616" s="864" t="s">
        <v>11469</v>
      </c>
      <c r="C616" s="864"/>
      <c r="D616" s="864"/>
      <c r="E616" s="864"/>
      <c r="F616" s="864"/>
      <c r="G616" s="864"/>
      <c r="H616" s="864"/>
      <c r="I616" s="864"/>
      <c r="J616" s="864"/>
      <c r="K616" s="863"/>
      <c r="L616" s="863"/>
      <c r="M616" s="452"/>
      <c r="N616" s="796"/>
      <c r="P616" s="399"/>
    </row>
    <row r="617" spans="1:16" s="31" customFormat="1" ht="15" customHeight="1" x14ac:dyDescent="0.25">
      <c r="B617" s="869" t="s">
        <v>745</v>
      </c>
      <c r="C617" s="869"/>
      <c r="D617" s="869"/>
      <c r="E617" s="869"/>
      <c r="F617" s="869"/>
      <c r="G617" s="869"/>
      <c r="H617" s="869"/>
      <c r="I617" s="869"/>
      <c r="J617" s="869"/>
      <c r="K617" s="870">
        <f>K615</f>
        <v>565634.37499999988</v>
      </c>
      <c r="L617" s="870">
        <f>L615</f>
        <v>731601.7783210316</v>
      </c>
      <c r="M617" s="871">
        <f>L617/L$618</f>
        <v>1</v>
      </c>
      <c r="N617" s="897"/>
      <c r="P617" s="736"/>
    </row>
    <row r="618" spans="1:16" s="115" customFormat="1" ht="15" customHeight="1" x14ac:dyDescent="0.25">
      <c r="B618" s="864" t="s">
        <v>2172</v>
      </c>
      <c r="C618" s="864"/>
      <c r="D618" s="864"/>
      <c r="E618" s="864"/>
      <c r="F618" s="864"/>
      <c r="G618" s="864"/>
      <c r="H618" s="864"/>
      <c r="I618" s="864"/>
      <c r="J618" s="864"/>
      <c r="K618" s="863">
        <f>SUM(K617:K617)</f>
        <v>565634.37499999988</v>
      </c>
      <c r="L618" s="863">
        <f>SUM(L617:L617)</f>
        <v>731601.7783210316</v>
      </c>
      <c r="M618" s="452">
        <f>L618/L$618</f>
        <v>1</v>
      </c>
      <c r="N618" s="894"/>
      <c r="O618" s="796"/>
      <c r="P618" s="733"/>
    </row>
    <row r="620" spans="1:16" s="435" customFormat="1" ht="15" customHeight="1" x14ac:dyDescent="0.25">
      <c r="B620" s="646" t="s">
        <v>989</v>
      </c>
      <c r="C620" s="646"/>
      <c r="D620" s="481"/>
      <c r="E620" s="1371" t="s">
        <v>6887</v>
      </c>
      <c r="F620" s="1371"/>
      <c r="G620" s="1371"/>
      <c r="H620" s="1371"/>
      <c r="I620" s="1371"/>
      <c r="J620" s="437"/>
      <c r="K620" s="940"/>
      <c r="L620" s="438"/>
      <c r="M620" s="449"/>
      <c r="N620" s="892"/>
      <c r="P620" s="732"/>
    </row>
    <row r="621" spans="1:16" s="435" customFormat="1" ht="15" customHeight="1" x14ac:dyDescent="0.25">
      <c r="B621" s="646" t="s">
        <v>458</v>
      </c>
      <c r="C621" s="646"/>
      <c r="D621" s="481"/>
      <c r="E621" s="1371" t="s">
        <v>7025</v>
      </c>
      <c r="F621" s="1371"/>
      <c r="G621" s="1371"/>
      <c r="H621" s="1371"/>
      <c r="I621" s="1371"/>
      <c r="J621" s="437"/>
      <c r="K621" s="940"/>
      <c r="L621" s="438"/>
      <c r="M621" s="449"/>
      <c r="N621" s="892"/>
      <c r="P621" s="732"/>
    </row>
    <row r="622" spans="1:16" s="435" customFormat="1" ht="15" customHeight="1" x14ac:dyDescent="0.25">
      <c r="B622" s="439" t="s">
        <v>5764</v>
      </c>
      <c r="C622" s="439"/>
      <c r="D622" s="439"/>
      <c r="E622" s="1371" t="s">
        <v>749</v>
      </c>
      <c r="F622" s="1371"/>
      <c r="G622" s="1371"/>
      <c r="H622" s="1371"/>
      <c r="I622" s="1371"/>
      <c r="J622" s="440"/>
      <c r="K622" s="941"/>
      <c r="L622" s="438"/>
      <c r="M622" s="449"/>
      <c r="N622" s="892"/>
      <c r="P622" s="732"/>
    </row>
    <row r="623" spans="1:16" s="851" customFormat="1" ht="113.25" customHeight="1" x14ac:dyDescent="0.25">
      <c r="A623" s="396"/>
      <c r="B623" s="1400" t="s">
        <v>2296</v>
      </c>
      <c r="C623" s="1400"/>
      <c r="D623" s="1400"/>
      <c r="E623" s="1384" t="s">
        <v>2297</v>
      </c>
      <c r="F623" s="1384"/>
      <c r="G623" s="443" t="s">
        <v>444</v>
      </c>
      <c r="H623" s="443" t="s">
        <v>2245</v>
      </c>
      <c r="I623" s="444" t="s">
        <v>5725</v>
      </c>
      <c r="J623" s="849" t="s">
        <v>2275</v>
      </c>
      <c r="K623" s="893" t="s">
        <v>11644</v>
      </c>
      <c r="L623" s="890" t="s">
        <v>11522</v>
      </c>
      <c r="M623" s="450" t="s">
        <v>235</v>
      </c>
      <c r="N623" s="796"/>
      <c r="P623" s="399"/>
    </row>
    <row r="624" spans="1:16" s="115" customFormat="1" ht="15" customHeight="1" x14ac:dyDescent="0.25">
      <c r="A624" s="396"/>
      <c r="B624" s="1385" t="s">
        <v>5951</v>
      </c>
      <c r="C624" s="1385"/>
      <c r="D624" s="1385"/>
      <c r="E624" s="1385"/>
      <c r="F624" s="1385"/>
      <c r="G624" s="401"/>
      <c r="H624" s="401"/>
      <c r="I624" s="426"/>
      <c r="J624" s="411"/>
      <c r="K624" s="402">
        <f t="shared" ref="K624:L626" si="139">K625</f>
        <v>4797</v>
      </c>
      <c r="L624" s="402">
        <f t="shared" si="139"/>
        <v>13644.844523599999</v>
      </c>
      <c r="M624" s="451">
        <f t="shared" ref="M624:M687" si="140">L624/L$979</f>
        <v>7.3915314336087858E-3</v>
      </c>
      <c r="N624" s="894"/>
      <c r="P624" s="733"/>
    </row>
    <row r="625" spans="1:16" s="647" customFormat="1" ht="15" customHeight="1" x14ac:dyDescent="0.25">
      <c r="A625" s="396"/>
      <c r="B625" s="1386" t="s">
        <v>5950</v>
      </c>
      <c r="C625" s="1386"/>
      <c r="D625" s="1386"/>
      <c r="E625" s="1386"/>
      <c r="F625" s="1386"/>
      <c r="G625" s="403"/>
      <c r="H625" s="403"/>
      <c r="I625" s="427"/>
      <c r="J625" s="412"/>
      <c r="K625" s="404">
        <f t="shared" si="139"/>
        <v>4797</v>
      </c>
      <c r="L625" s="404">
        <f t="shared" si="139"/>
        <v>13644.844523599999</v>
      </c>
      <c r="M625" s="452">
        <f t="shared" si="140"/>
        <v>7.3915314336087858E-3</v>
      </c>
      <c r="N625" s="796"/>
      <c r="P625" s="399"/>
    </row>
    <row r="626" spans="1:16" s="647" customFormat="1" ht="15" customHeight="1" x14ac:dyDescent="0.25">
      <c r="A626" s="396"/>
      <c r="B626" s="1382" t="s">
        <v>2286</v>
      </c>
      <c r="C626" s="1382"/>
      <c r="D626" s="1382"/>
      <c r="E626" s="1382"/>
      <c r="F626" s="1382"/>
      <c r="G626" s="405"/>
      <c r="H626" s="405"/>
      <c r="I626" s="428"/>
      <c r="J626" s="413"/>
      <c r="K626" s="406">
        <f t="shared" si="139"/>
        <v>4797</v>
      </c>
      <c r="L626" s="406">
        <f t="shared" si="139"/>
        <v>13644.844523599999</v>
      </c>
      <c r="M626" s="453">
        <f t="shared" si="140"/>
        <v>7.3915314336087858E-3</v>
      </c>
      <c r="N626" s="796"/>
      <c r="P626" s="399"/>
    </row>
    <row r="627" spans="1:16" s="647" customFormat="1" ht="15" customHeight="1" x14ac:dyDescent="0.25">
      <c r="A627" s="396"/>
      <c r="B627" s="1383" t="s">
        <v>2290</v>
      </c>
      <c r="C627" s="1383"/>
      <c r="D627" s="1383"/>
      <c r="E627" s="1383"/>
      <c r="F627" s="1383"/>
      <c r="G627" s="407"/>
      <c r="H627" s="407"/>
      <c r="I627" s="429"/>
      <c r="J627" s="414"/>
      <c r="K627" s="408">
        <f>K628+K637+K642+K647+K652</f>
        <v>4797</v>
      </c>
      <c r="L627" s="408">
        <f>L628+L637+L642+L647+L652</f>
        <v>13644.844523599999</v>
      </c>
      <c r="M627" s="454">
        <f t="shared" si="140"/>
        <v>7.3915314336087858E-3</v>
      </c>
      <c r="N627" s="796"/>
      <c r="P627" s="399"/>
    </row>
    <row r="628" spans="1:16" s="647" customFormat="1" ht="15" customHeight="1" x14ac:dyDescent="0.25">
      <c r="A628" s="396"/>
      <c r="B628" s="1396">
        <v>22000</v>
      </c>
      <c r="C628" s="1396"/>
      <c r="D628" s="1396"/>
      <c r="E628" s="417">
        <v>333904700000000</v>
      </c>
      <c r="F628" s="600" t="s">
        <v>7089</v>
      </c>
      <c r="G628" s="468">
        <v>1</v>
      </c>
      <c r="H628" s="468">
        <v>0</v>
      </c>
      <c r="I628" s="751"/>
      <c r="J628" s="878" t="s">
        <v>7188</v>
      </c>
      <c r="K628" s="789">
        <f>((('Parâmetros financeiros Despesa'!E285+'Parâmetros financeiros Despesa'!E286+'Parâmetros financeiros Despesa'!E288)))*'Parâmetros financeiros Despesa'!D83</f>
        <v>0</v>
      </c>
      <c r="L628" s="789">
        <f>((('Parâmetros financeiros Despesa'!F285+'Parâmetros financeiros Despesa'!F286+'Parâmetros financeiros Despesa'!F288))*((1+'Parâmetros financeiros Despesa'!F$4)*(1+'Parâmetros financeiros Despesa'!F$7))*(1+'Parâmetros financeiros Despesa'!F$83))</f>
        <v>3925.1934000000001</v>
      </c>
      <c r="M628" s="799">
        <f t="shared" si="140"/>
        <v>2.126311541982966E-3</v>
      </c>
      <c r="N628" s="894"/>
      <c r="O628" s="796"/>
      <c r="P628" s="399"/>
    </row>
    <row r="629" spans="1:16" s="647" customFormat="1" ht="15" customHeight="1" x14ac:dyDescent="0.25">
      <c r="A629" s="397"/>
      <c r="B629" s="478">
        <f>B628+1</f>
        <v>22001</v>
      </c>
      <c r="C629" s="600" t="s">
        <v>6062</v>
      </c>
      <c r="D629" s="528">
        <f>B628</f>
        <v>22000</v>
      </c>
      <c r="E629" s="417">
        <v>333904718000000</v>
      </c>
      <c r="F629" s="418" t="s">
        <v>7090</v>
      </c>
      <c r="G629" s="603">
        <v>1</v>
      </c>
      <c r="H629" s="603">
        <v>0</v>
      </c>
      <c r="I629" s="601">
        <v>17</v>
      </c>
      <c r="J629" s="602" t="s">
        <v>6976</v>
      </c>
      <c r="K629" s="891">
        <v>0</v>
      </c>
      <c r="L629" s="891">
        <v>0</v>
      </c>
      <c r="M629" s="996">
        <f t="shared" si="140"/>
        <v>0</v>
      </c>
      <c r="N629" s="796"/>
      <c r="P629" s="399"/>
    </row>
    <row r="630" spans="1:16" s="647" customFormat="1" ht="15" customHeight="1" x14ac:dyDescent="0.25">
      <c r="A630" s="397"/>
      <c r="B630" s="478">
        <f>B629+1</f>
        <v>22002</v>
      </c>
      <c r="C630" s="600" t="s">
        <v>6062</v>
      </c>
      <c r="D630" s="528">
        <f>D629</f>
        <v>22000</v>
      </c>
      <c r="E630" s="417">
        <v>333904718000000</v>
      </c>
      <c r="F630" s="418" t="s">
        <v>7091</v>
      </c>
      <c r="G630" s="603">
        <v>1</v>
      </c>
      <c r="H630" s="603">
        <v>0</v>
      </c>
      <c r="I630" s="601">
        <v>97</v>
      </c>
      <c r="J630" s="602" t="s">
        <v>6977</v>
      </c>
      <c r="K630" s="891">
        <v>0</v>
      </c>
      <c r="L630" s="891">
        <v>0</v>
      </c>
      <c r="M630" s="996">
        <f t="shared" si="140"/>
        <v>0</v>
      </c>
      <c r="N630" s="796"/>
      <c r="P630" s="399"/>
    </row>
    <row r="631" spans="1:16" s="647" customFormat="1" ht="15" customHeight="1" x14ac:dyDescent="0.25">
      <c r="A631" s="397"/>
      <c r="B631" s="478">
        <f t="shared" ref="B631:B636" si="141">B630+1</f>
        <v>22003</v>
      </c>
      <c r="C631" s="600" t="s">
        <v>6062</v>
      </c>
      <c r="D631" s="528">
        <f t="shared" ref="D631:D636" si="142">D630</f>
        <v>22000</v>
      </c>
      <c r="E631" s="417">
        <v>333904718000000</v>
      </c>
      <c r="F631" s="418" t="s">
        <v>7092</v>
      </c>
      <c r="G631" s="603">
        <v>1</v>
      </c>
      <c r="H631" s="603">
        <v>0</v>
      </c>
      <c r="I631" s="601">
        <v>1335</v>
      </c>
      <c r="J631" s="602" t="s">
        <v>6978</v>
      </c>
      <c r="K631" s="891">
        <v>0</v>
      </c>
      <c r="L631" s="891">
        <v>0</v>
      </c>
      <c r="M631" s="996">
        <f t="shared" si="140"/>
        <v>0</v>
      </c>
      <c r="N631" s="796"/>
      <c r="P631" s="399"/>
    </row>
    <row r="632" spans="1:16" s="647" customFormat="1" ht="15" customHeight="1" x14ac:dyDescent="0.25">
      <c r="A632" s="397"/>
      <c r="B632" s="478">
        <f t="shared" si="141"/>
        <v>22004</v>
      </c>
      <c r="C632" s="600" t="s">
        <v>6062</v>
      </c>
      <c r="D632" s="528">
        <f t="shared" si="142"/>
        <v>22000</v>
      </c>
      <c r="E632" s="417">
        <v>333904718000000</v>
      </c>
      <c r="F632" s="418" t="s">
        <v>7093</v>
      </c>
      <c r="G632" s="603">
        <v>1</v>
      </c>
      <c r="H632" s="603">
        <v>0</v>
      </c>
      <c r="I632" s="601">
        <v>1393</v>
      </c>
      <c r="J632" s="602" t="s">
        <v>6979</v>
      </c>
      <c r="K632" s="891">
        <v>0</v>
      </c>
      <c r="L632" s="891">
        <v>0</v>
      </c>
      <c r="M632" s="996">
        <f t="shared" si="140"/>
        <v>0</v>
      </c>
      <c r="N632" s="796"/>
      <c r="P632" s="399"/>
    </row>
    <row r="633" spans="1:16" s="647" customFormat="1" ht="15" customHeight="1" x14ac:dyDescent="0.25">
      <c r="A633" s="397"/>
      <c r="B633" s="478">
        <f t="shared" si="141"/>
        <v>22005</v>
      </c>
      <c r="C633" s="600" t="s">
        <v>6062</v>
      </c>
      <c r="D633" s="528">
        <f t="shared" si="142"/>
        <v>22000</v>
      </c>
      <c r="E633" s="417">
        <v>333904720000000</v>
      </c>
      <c r="F633" s="418" t="s">
        <v>7094</v>
      </c>
      <c r="G633" s="603">
        <v>1</v>
      </c>
      <c r="H633" s="603">
        <v>0</v>
      </c>
      <c r="I633" s="601">
        <v>17</v>
      </c>
      <c r="J633" s="602" t="s">
        <v>6976</v>
      </c>
      <c r="K633" s="891">
        <v>0</v>
      </c>
      <c r="L633" s="891">
        <v>0</v>
      </c>
      <c r="M633" s="996">
        <f t="shared" si="140"/>
        <v>0</v>
      </c>
      <c r="N633" s="796"/>
      <c r="P633" s="399"/>
    </row>
    <row r="634" spans="1:16" s="647" customFormat="1" ht="15" customHeight="1" x14ac:dyDescent="0.25">
      <c r="A634" s="397"/>
      <c r="B634" s="478">
        <f t="shared" si="141"/>
        <v>22006</v>
      </c>
      <c r="C634" s="600" t="s">
        <v>6062</v>
      </c>
      <c r="D634" s="528">
        <f t="shared" si="142"/>
        <v>22000</v>
      </c>
      <c r="E634" s="417">
        <v>333904720000000</v>
      </c>
      <c r="F634" s="418" t="s">
        <v>7095</v>
      </c>
      <c r="G634" s="603">
        <v>1</v>
      </c>
      <c r="H634" s="603">
        <v>0</v>
      </c>
      <c r="I634" s="601">
        <v>97</v>
      </c>
      <c r="J634" s="602" t="s">
        <v>6977</v>
      </c>
      <c r="K634" s="891">
        <v>0</v>
      </c>
      <c r="L634" s="891">
        <v>0</v>
      </c>
      <c r="M634" s="996">
        <f t="shared" si="140"/>
        <v>0</v>
      </c>
      <c r="N634" s="796"/>
      <c r="P634" s="399"/>
    </row>
    <row r="635" spans="1:16" s="647" customFormat="1" ht="15" customHeight="1" x14ac:dyDescent="0.25">
      <c r="A635" s="397"/>
      <c r="B635" s="478">
        <f t="shared" si="141"/>
        <v>22007</v>
      </c>
      <c r="C635" s="600" t="s">
        <v>6062</v>
      </c>
      <c r="D635" s="528">
        <f t="shared" si="142"/>
        <v>22000</v>
      </c>
      <c r="E635" s="417">
        <v>333904720000000</v>
      </c>
      <c r="F635" s="418" t="s">
        <v>7096</v>
      </c>
      <c r="G635" s="603">
        <v>1</v>
      </c>
      <c r="H635" s="603">
        <v>0</v>
      </c>
      <c r="I635" s="601">
        <v>1335</v>
      </c>
      <c r="J635" s="602" t="s">
        <v>6978</v>
      </c>
      <c r="K635" s="891">
        <v>0</v>
      </c>
      <c r="L635" s="891">
        <v>0</v>
      </c>
      <c r="M635" s="996">
        <f t="shared" si="140"/>
        <v>0</v>
      </c>
      <c r="N635" s="796"/>
      <c r="P635" s="399"/>
    </row>
    <row r="636" spans="1:16" s="647" customFormat="1" ht="15" customHeight="1" x14ac:dyDescent="0.25">
      <c r="A636" s="397"/>
      <c r="B636" s="478">
        <f t="shared" si="141"/>
        <v>22008</v>
      </c>
      <c r="C636" s="600" t="s">
        <v>6062</v>
      </c>
      <c r="D636" s="528">
        <f t="shared" si="142"/>
        <v>22000</v>
      </c>
      <c r="E636" s="417">
        <v>333904720000000</v>
      </c>
      <c r="F636" s="418" t="s">
        <v>7097</v>
      </c>
      <c r="G636" s="603">
        <v>1</v>
      </c>
      <c r="H636" s="603">
        <v>0</v>
      </c>
      <c r="I636" s="601">
        <v>1393</v>
      </c>
      <c r="J636" s="602" t="s">
        <v>6979</v>
      </c>
      <c r="K636" s="891">
        <v>0</v>
      </c>
      <c r="L636" s="891">
        <v>0</v>
      </c>
      <c r="M636" s="996">
        <f t="shared" si="140"/>
        <v>0</v>
      </c>
      <c r="N636" s="796"/>
      <c r="P636" s="399"/>
    </row>
    <row r="637" spans="1:16" s="115" customFormat="1" ht="15" customHeight="1" x14ac:dyDescent="0.25">
      <c r="A637" s="396"/>
      <c r="B637" s="1396">
        <v>22100</v>
      </c>
      <c r="C637" s="1396"/>
      <c r="D637" s="1396"/>
      <c r="E637" s="854">
        <v>344903000000000</v>
      </c>
      <c r="F637" s="855" t="s">
        <v>7156</v>
      </c>
      <c r="G637" s="468">
        <v>1</v>
      </c>
      <c r="H637" s="468">
        <v>0</v>
      </c>
      <c r="I637" s="751"/>
      <c r="J637" s="878" t="s">
        <v>7188</v>
      </c>
      <c r="K637" s="789">
        <f>'Parâmetros financeiros Despesa'!E284+'Parâmetros financeiros Despesa'!E285</f>
        <v>0</v>
      </c>
      <c r="L637" s="789">
        <f>('Parâmetros financeiros Despesa'!F284+'Parâmetros financeiros Despesa'!F285)*((1+'Parâmetros financeiros Despesa'!F$4)*(1+'Parâmetros financeiros Despesa'!F$5)*(1+'Parâmetros financeiros Despesa'!F$7)*(1+'Parâmetros financeiros Despesa'!F$83))</f>
        <v>2650.8139427999995</v>
      </c>
      <c r="M637" s="799">
        <f t="shared" si="140"/>
        <v>1.4359690613524963E-3</v>
      </c>
      <c r="N637" s="894"/>
      <c r="O637" s="796"/>
      <c r="P637" s="733"/>
    </row>
    <row r="638" spans="1:16" s="115" customFormat="1" ht="15" customHeight="1" x14ac:dyDescent="0.25">
      <c r="A638" s="396"/>
      <c r="B638" s="599">
        <f>B637+1</f>
        <v>22101</v>
      </c>
      <c r="C638" s="600" t="s">
        <v>6062</v>
      </c>
      <c r="D638" s="528">
        <f>B637</f>
        <v>22100</v>
      </c>
      <c r="E638" s="417">
        <v>344903099050000</v>
      </c>
      <c r="F638" s="418" t="s">
        <v>7098</v>
      </c>
      <c r="G638" s="603">
        <v>1</v>
      </c>
      <c r="H638" s="603">
        <v>0</v>
      </c>
      <c r="I638" s="601">
        <v>17</v>
      </c>
      <c r="J638" s="602" t="s">
        <v>6976</v>
      </c>
      <c r="K638" s="891">
        <v>0</v>
      </c>
      <c r="L638" s="891">
        <v>0</v>
      </c>
      <c r="M638" s="996">
        <f t="shared" si="140"/>
        <v>0</v>
      </c>
      <c r="N638" s="894"/>
      <c r="P638" s="733"/>
    </row>
    <row r="639" spans="1:16" s="115" customFormat="1" ht="15" customHeight="1" x14ac:dyDescent="0.25">
      <c r="A639" s="396"/>
      <c r="B639" s="478">
        <f>B638+1</f>
        <v>22102</v>
      </c>
      <c r="C639" s="600" t="s">
        <v>6062</v>
      </c>
      <c r="D639" s="528">
        <f>D638</f>
        <v>22100</v>
      </c>
      <c r="E639" s="417">
        <v>344903099050000</v>
      </c>
      <c r="F639" s="418" t="s">
        <v>7099</v>
      </c>
      <c r="G639" s="603">
        <v>1</v>
      </c>
      <c r="H639" s="603">
        <v>0</v>
      </c>
      <c r="I639" s="601">
        <v>97</v>
      </c>
      <c r="J639" s="602" t="s">
        <v>6977</v>
      </c>
      <c r="K639" s="891">
        <v>0</v>
      </c>
      <c r="L639" s="891">
        <v>0</v>
      </c>
      <c r="M639" s="996">
        <f t="shared" si="140"/>
        <v>0</v>
      </c>
      <c r="N639" s="894"/>
      <c r="P639" s="733"/>
    </row>
    <row r="640" spans="1:16" s="115" customFormat="1" ht="15" customHeight="1" x14ac:dyDescent="0.25">
      <c r="A640" s="396"/>
      <c r="B640" s="478">
        <f>B639+1</f>
        <v>22103</v>
      </c>
      <c r="C640" s="600" t="s">
        <v>6062</v>
      </c>
      <c r="D640" s="528">
        <f>D639</f>
        <v>22100</v>
      </c>
      <c r="E640" s="417">
        <v>344903099050000</v>
      </c>
      <c r="F640" s="418" t="s">
        <v>7100</v>
      </c>
      <c r="G640" s="603">
        <v>1</v>
      </c>
      <c r="H640" s="603">
        <v>0</v>
      </c>
      <c r="I640" s="601">
        <v>1335</v>
      </c>
      <c r="J640" s="602" t="s">
        <v>6978</v>
      </c>
      <c r="K640" s="891">
        <v>0</v>
      </c>
      <c r="L640" s="891">
        <v>0</v>
      </c>
      <c r="M640" s="996">
        <f t="shared" si="140"/>
        <v>0</v>
      </c>
      <c r="N640" s="894"/>
      <c r="P640" s="733"/>
    </row>
    <row r="641" spans="1:16" s="115" customFormat="1" ht="15" customHeight="1" x14ac:dyDescent="0.25">
      <c r="A641" s="396"/>
      <c r="B641" s="478">
        <f>B640+1</f>
        <v>22104</v>
      </c>
      <c r="C641" s="600" t="s">
        <v>6062</v>
      </c>
      <c r="D641" s="528">
        <f>D640</f>
        <v>22100</v>
      </c>
      <c r="E641" s="417">
        <v>344903099050000</v>
      </c>
      <c r="F641" s="418" t="s">
        <v>7101</v>
      </c>
      <c r="G641" s="603">
        <v>1</v>
      </c>
      <c r="H641" s="603">
        <v>0</v>
      </c>
      <c r="I641" s="601">
        <v>1393</v>
      </c>
      <c r="J641" s="602" t="s">
        <v>6979</v>
      </c>
      <c r="K641" s="891">
        <v>0</v>
      </c>
      <c r="L641" s="891">
        <v>0</v>
      </c>
      <c r="M641" s="996">
        <f t="shared" si="140"/>
        <v>0</v>
      </c>
      <c r="N641" s="894"/>
      <c r="P641" s="733"/>
    </row>
    <row r="642" spans="1:16" s="457" customFormat="1" ht="15" customHeight="1" x14ac:dyDescent="0.25">
      <c r="A642" s="396"/>
      <c r="B642" s="1398" t="s">
        <v>7123</v>
      </c>
      <c r="C642" s="1398"/>
      <c r="D642" s="1398"/>
      <c r="E642" s="854">
        <v>344903600000000</v>
      </c>
      <c r="F642" s="855" t="s">
        <v>7158</v>
      </c>
      <c r="G642" s="468">
        <v>1</v>
      </c>
      <c r="H642" s="468">
        <v>0</v>
      </c>
      <c r="I642" s="751"/>
      <c r="J642" s="878" t="s">
        <v>7188</v>
      </c>
      <c r="K642" s="789">
        <f>'Parâmetros financeiros Despesa'!E286</f>
        <v>0</v>
      </c>
      <c r="L642" s="789">
        <f>('Parâmetros financeiros Despesa'!F286)*((1+'Parâmetros financeiros Despesa'!F$4)*(1+'Parâmetros financeiros Despesa'!F$5)*(1+'Parâmetros financeiros Despesa'!F$7))</f>
        <v>1104.5058094999999</v>
      </c>
      <c r="M642" s="799">
        <f t="shared" si="140"/>
        <v>5.9832044223020683E-4</v>
      </c>
      <c r="N642" s="894"/>
      <c r="O642" s="796"/>
      <c r="P642" s="734"/>
    </row>
    <row r="643" spans="1:16" s="457" customFormat="1" ht="15" customHeight="1" x14ac:dyDescent="0.25">
      <c r="A643" s="396"/>
      <c r="B643" s="599">
        <f>B642+1</f>
        <v>22201</v>
      </c>
      <c r="C643" s="600" t="s">
        <v>6062</v>
      </c>
      <c r="D643" s="600" t="str">
        <f>B642</f>
        <v>22200</v>
      </c>
      <c r="E643" s="417">
        <v>344903699010000</v>
      </c>
      <c r="F643" s="418" t="s">
        <v>7098</v>
      </c>
      <c r="G643" s="603">
        <v>1</v>
      </c>
      <c r="H643" s="603">
        <v>0</v>
      </c>
      <c r="I643" s="601">
        <v>17</v>
      </c>
      <c r="J643" s="602" t="s">
        <v>6976</v>
      </c>
      <c r="K643" s="891">
        <v>0</v>
      </c>
      <c r="L643" s="891">
        <v>0</v>
      </c>
      <c r="M643" s="996">
        <f t="shared" si="140"/>
        <v>0</v>
      </c>
      <c r="N643" s="895"/>
      <c r="P643" s="734"/>
    </row>
    <row r="644" spans="1:16" s="457" customFormat="1" ht="15" customHeight="1" x14ac:dyDescent="0.25">
      <c r="A644" s="396"/>
      <c r="B644" s="478">
        <f>B643+1</f>
        <v>22202</v>
      </c>
      <c r="C644" s="600" t="s">
        <v>6062</v>
      </c>
      <c r="D644" s="528" t="str">
        <f>D643</f>
        <v>22200</v>
      </c>
      <c r="E644" s="417">
        <v>344903699010000</v>
      </c>
      <c r="F644" s="418" t="s">
        <v>7099</v>
      </c>
      <c r="G644" s="603">
        <v>1</v>
      </c>
      <c r="H644" s="603">
        <v>0</v>
      </c>
      <c r="I644" s="601">
        <v>97</v>
      </c>
      <c r="J644" s="602" t="s">
        <v>6977</v>
      </c>
      <c r="K644" s="891">
        <v>0</v>
      </c>
      <c r="L644" s="891">
        <v>0</v>
      </c>
      <c r="M644" s="996">
        <f t="shared" si="140"/>
        <v>0</v>
      </c>
      <c r="N644" s="895"/>
      <c r="P644" s="734"/>
    </row>
    <row r="645" spans="1:16" s="457" customFormat="1" ht="15" customHeight="1" x14ac:dyDescent="0.25">
      <c r="A645" s="396"/>
      <c r="B645" s="478">
        <f>B644+1</f>
        <v>22203</v>
      </c>
      <c r="C645" s="600" t="s">
        <v>6062</v>
      </c>
      <c r="D645" s="528" t="str">
        <f>D644</f>
        <v>22200</v>
      </c>
      <c r="E645" s="417">
        <v>344903699010000</v>
      </c>
      <c r="F645" s="418" t="s">
        <v>7100</v>
      </c>
      <c r="G645" s="603">
        <v>1</v>
      </c>
      <c r="H645" s="603">
        <v>0</v>
      </c>
      <c r="I645" s="601">
        <v>1393</v>
      </c>
      <c r="J645" s="602" t="s">
        <v>6978</v>
      </c>
      <c r="K645" s="891">
        <v>0</v>
      </c>
      <c r="L645" s="891">
        <v>0</v>
      </c>
      <c r="M645" s="996">
        <f t="shared" si="140"/>
        <v>0</v>
      </c>
      <c r="N645" s="895"/>
      <c r="P645" s="734"/>
    </row>
    <row r="646" spans="1:16" s="458" customFormat="1" ht="15" customHeight="1" x14ac:dyDescent="0.25">
      <c r="A646" s="397"/>
      <c r="B646" s="478">
        <f>B645+1</f>
        <v>22204</v>
      </c>
      <c r="C646" s="600" t="s">
        <v>6062</v>
      </c>
      <c r="D646" s="528" t="str">
        <f>D645</f>
        <v>22200</v>
      </c>
      <c r="E646" s="417">
        <v>344903699010000</v>
      </c>
      <c r="F646" s="418" t="s">
        <v>7101</v>
      </c>
      <c r="G646" s="603">
        <v>1</v>
      </c>
      <c r="H646" s="603">
        <v>0</v>
      </c>
      <c r="I646" s="601">
        <v>97</v>
      </c>
      <c r="J646" s="602" t="s">
        <v>6979</v>
      </c>
      <c r="K646" s="891">
        <v>0</v>
      </c>
      <c r="L646" s="891">
        <v>0</v>
      </c>
      <c r="M646" s="996">
        <f t="shared" si="140"/>
        <v>0</v>
      </c>
      <c r="N646" s="896"/>
      <c r="P646" s="735"/>
    </row>
    <row r="647" spans="1:16" s="457" customFormat="1" ht="15" customHeight="1" x14ac:dyDescent="0.25">
      <c r="A647" s="396"/>
      <c r="B647" s="1398" t="s">
        <v>7124</v>
      </c>
      <c r="C647" s="1398"/>
      <c r="D647" s="1398"/>
      <c r="E647" s="854">
        <v>344903900000000</v>
      </c>
      <c r="F647" s="855" t="s">
        <v>7159</v>
      </c>
      <c r="G647" s="468">
        <v>1</v>
      </c>
      <c r="H647" s="468">
        <v>0</v>
      </c>
      <c r="I647" s="751"/>
      <c r="J647" s="878" t="s">
        <v>7188</v>
      </c>
      <c r="K647" s="789">
        <f>'Parâmetros financeiros Despesa'!E287+'Parâmetros financeiros Despesa'!E288</f>
        <v>0</v>
      </c>
      <c r="L647" s="789">
        <f>('Parâmetros financeiros Despesa'!F287+'Parâmetros financeiros Despesa'!F288)*((1+'Parâmetros financeiros Despesa'!F$4)*(1+'Parâmetros financeiros Despesa'!F$5)*(1+'Parâmetros financeiros Despesa'!F$7)*(1+'Parâmetros financeiros Despesa'!F$83))</f>
        <v>2650.8139427999995</v>
      </c>
      <c r="M647" s="799">
        <f t="shared" si="140"/>
        <v>1.4359690613524963E-3</v>
      </c>
      <c r="N647" s="894"/>
      <c r="O647" s="796"/>
      <c r="P647" s="734"/>
    </row>
    <row r="648" spans="1:16" s="458" customFormat="1" ht="15" customHeight="1" x14ac:dyDescent="0.25">
      <c r="A648" s="397"/>
      <c r="B648" s="599">
        <f>B647+1</f>
        <v>22301</v>
      </c>
      <c r="C648" s="600" t="s">
        <v>6062</v>
      </c>
      <c r="D648" s="600" t="str">
        <f>B647</f>
        <v>22300</v>
      </c>
      <c r="E648" s="417">
        <v>344903999050000</v>
      </c>
      <c r="F648" s="418" t="s">
        <v>7098</v>
      </c>
      <c r="G648" s="603">
        <v>1</v>
      </c>
      <c r="H648" s="603">
        <v>0</v>
      </c>
      <c r="I648" s="601">
        <v>17</v>
      </c>
      <c r="J648" s="602" t="s">
        <v>6976</v>
      </c>
      <c r="K648" s="891">
        <v>0</v>
      </c>
      <c r="L648" s="891">
        <v>0</v>
      </c>
      <c r="M648" s="996">
        <f t="shared" si="140"/>
        <v>0</v>
      </c>
      <c r="N648" s="896"/>
      <c r="P648" s="735"/>
    </row>
    <row r="649" spans="1:16" s="458" customFormat="1" ht="15" customHeight="1" x14ac:dyDescent="0.25">
      <c r="A649" s="397"/>
      <c r="B649" s="478">
        <f>B648+1</f>
        <v>22302</v>
      </c>
      <c r="C649" s="600" t="s">
        <v>6062</v>
      </c>
      <c r="D649" s="528" t="str">
        <f>D648</f>
        <v>22300</v>
      </c>
      <c r="E649" s="417">
        <v>344903999050000</v>
      </c>
      <c r="F649" s="418" t="s">
        <v>7099</v>
      </c>
      <c r="G649" s="603">
        <v>1</v>
      </c>
      <c r="H649" s="603">
        <v>0</v>
      </c>
      <c r="I649" s="601">
        <v>97</v>
      </c>
      <c r="J649" s="602" t="s">
        <v>6977</v>
      </c>
      <c r="K649" s="891">
        <v>0</v>
      </c>
      <c r="L649" s="891">
        <v>0</v>
      </c>
      <c r="M649" s="996">
        <f t="shared" si="140"/>
        <v>0</v>
      </c>
      <c r="N649" s="896"/>
      <c r="P649" s="735"/>
    </row>
    <row r="650" spans="1:16" s="458" customFormat="1" ht="15" customHeight="1" x14ac:dyDescent="0.25">
      <c r="A650" s="397"/>
      <c r="B650" s="478">
        <f>B649+1</f>
        <v>22303</v>
      </c>
      <c r="C650" s="600" t="s">
        <v>6062</v>
      </c>
      <c r="D650" s="528" t="str">
        <f>D649</f>
        <v>22300</v>
      </c>
      <c r="E650" s="417">
        <v>344903999050000</v>
      </c>
      <c r="F650" s="418" t="s">
        <v>7100</v>
      </c>
      <c r="G650" s="603">
        <v>1</v>
      </c>
      <c r="H650" s="603">
        <v>0</v>
      </c>
      <c r="I650" s="601">
        <v>1393</v>
      </c>
      <c r="J650" s="602" t="s">
        <v>6978</v>
      </c>
      <c r="K650" s="891">
        <v>0</v>
      </c>
      <c r="L650" s="891">
        <v>0</v>
      </c>
      <c r="M650" s="996">
        <f t="shared" si="140"/>
        <v>0</v>
      </c>
      <c r="N650" s="896"/>
      <c r="P650" s="735"/>
    </row>
    <row r="651" spans="1:16" s="458" customFormat="1" ht="15" customHeight="1" x14ac:dyDescent="0.25">
      <c r="A651" s="397"/>
      <c r="B651" s="478">
        <f>B650+1</f>
        <v>22304</v>
      </c>
      <c r="C651" s="600" t="s">
        <v>6062</v>
      </c>
      <c r="D651" s="528" t="str">
        <f>D650</f>
        <v>22300</v>
      </c>
      <c r="E651" s="417">
        <v>344903999050000</v>
      </c>
      <c r="F651" s="418" t="s">
        <v>7101</v>
      </c>
      <c r="G651" s="603">
        <v>1</v>
      </c>
      <c r="H651" s="603">
        <v>0</v>
      </c>
      <c r="I651" s="601">
        <v>97</v>
      </c>
      <c r="J651" s="602" t="s">
        <v>6979</v>
      </c>
      <c r="K651" s="891">
        <v>0</v>
      </c>
      <c r="L651" s="891">
        <v>0</v>
      </c>
      <c r="M651" s="996">
        <f t="shared" si="140"/>
        <v>0</v>
      </c>
      <c r="N651" s="896"/>
      <c r="P651" s="735"/>
    </row>
    <row r="652" spans="1:16" s="457" customFormat="1" ht="15" customHeight="1" x14ac:dyDescent="0.25">
      <c r="A652" s="396"/>
      <c r="B652" s="1398" t="s">
        <v>7125</v>
      </c>
      <c r="C652" s="1398"/>
      <c r="D652" s="1398"/>
      <c r="E652" s="854">
        <v>344905200000000</v>
      </c>
      <c r="F652" s="855" t="s">
        <v>7041</v>
      </c>
      <c r="G652" s="468">
        <v>1</v>
      </c>
      <c r="H652" s="468">
        <v>0</v>
      </c>
      <c r="I652" s="751"/>
      <c r="J652" s="878" t="s">
        <v>7188</v>
      </c>
      <c r="K652" s="789">
        <f>'Parâmetros financeiros Despesa'!E289</f>
        <v>4797</v>
      </c>
      <c r="L652" s="789">
        <f>('Parâmetros financeiros Despesa'!F289)*((1+'Parâmetros financeiros Despesa'!F$4)*(1+'Parâmetros financeiros Despesa'!F$5)*(1+'Parâmetros financeiros Despesa'!F$7))</f>
        <v>3313.5174284999998</v>
      </c>
      <c r="M652" s="799">
        <f t="shared" si="140"/>
        <v>1.7949613266906204E-3</v>
      </c>
      <c r="N652" s="894"/>
      <c r="O652" s="796"/>
      <c r="P652" s="734"/>
    </row>
    <row r="653" spans="1:16" s="647" customFormat="1" ht="15" customHeight="1" x14ac:dyDescent="0.25">
      <c r="A653" s="397"/>
      <c r="B653" s="599">
        <f>B652+1</f>
        <v>22401</v>
      </c>
      <c r="C653" s="600" t="s">
        <v>6062</v>
      </c>
      <c r="D653" s="600" t="str">
        <f>B652</f>
        <v>22400</v>
      </c>
      <c r="E653" s="417">
        <v>344905212000000</v>
      </c>
      <c r="F653" s="418" t="s">
        <v>6071</v>
      </c>
      <c r="G653" s="603">
        <v>1</v>
      </c>
      <c r="H653" s="603">
        <v>0</v>
      </c>
      <c r="I653" s="601">
        <v>17</v>
      </c>
      <c r="J653" s="602" t="s">
        <v>6976</v>
      </c>
      <c r="K653" s="891">
        <v>0</v>
      </c>
      <c r="L653" s="891">
        <v>0</v>
      </c>
      <c r="M653" s="996">
        <f t="shared" si="140"/>
        <v>0</v>
      </c>
      <c r="N653" s="796"/>
      <c r="P653" s="399"/>
    </row>
    <row r="654" spans="1:16" s="647" customFormat="1" ht="15" customHeight="1" x14ac:dyDescent="0.25">
      <c r="A654" s="397"/>
      <c r="B654" s="478">
        <f>B653+1</f>
        <v>22402</v>
      </c>
      <c r="C654" s="600" t="s">
        <v>6062</v>
      </c>
      <c r="D654" s="528" t="str">
        <f>D653</f>
        <v>22400</v>
      </c>
      <c r="E654" s="417">
        <v>344905235000000</v>
      </c>
      <c r="F654" s="418" t="s">
        <v>6073</v>
      </c>
      <c r="G654" s="603">
        <v>1</v>
      </c>
      <c r="H654" s="603">
        <v>0</v>
      </c>
      <c r="I654" s="601">
        <v>97</v>
      </c>
      <c r="J654" s="602" t="s">
        <v>6977</v>
      </c>
      <c r="K654" s="891">
        <v>0</v>
      </c>
      <c r="L654" s="891">
        <v>0</v>
      </c>
      <c r="M654" s="996">
        <f t="shared" si="140"/>
        <v>0</v>
      </c>
      <c r="N654" s="796"/>
      <c r="P654" s="399"/>
    </row>
    <row r="655" spans="1:16" s="647" customFormat="1" ht="15" customHeight="1" x14ac:dyDescent="0.25">
      <c r="A655" s="397"/>
      <c r="B655" s="478">
        <f>B654+1</f>
        <v>22403</v>
      </c>
      <c r="C655" s="600" t="s">
        <v>6062</v>
      </c>
      <c r="D655" s="528" t="str">
        <f>D654</f>
        <v>22400</v>
      </c>
      <c r="E655" s="417">
        <v>344905242000000</v>
      </c>
      <c r="F655" s="418" t="s">
        <v>6072</v>
      </c>
      <c r="G655" s="603">
        <v>1</v>
      </c>
      <c r="H655" s="603">
        <v>0</v>
      </c>
      <c r="I655" s="601">
        <v>1335</v>
      </c>
      <c r="J655" s="602" t="s">
        <v>6978</v>
      </c>
      <c r="K655" s="891">
        <v>0</v>
      </c>
      <c r="L655" s="891">
        <v>0</v>
      </c>
      <c r="M655" s="996">
        <f t="shared" si="140"/>
        <v>0</v>
      </c>
      <c r="N655" s="796"/>
      <c r="P655" s="399"/>
    </row>
    <row r="656" spans="1:16" s="647" customFormat="1" ht="15" customHeight="1" x14ac:dyDescent="0.25">
      <c r="A656" s="397"/>
      <c r="B656" s="478">
        <f>B655+1</f>
        <v>22404</v>
      </c>
      <c r="C656" s="600" t="s">
        <v>6062</v>
      </c>
      <c r="D656" s="528" t="str">
        <f>D655</f>
        <v>22400</v>
      </c>
      <c r="E656" s="417">
        <v>344905299000000</v>
      </c>
      <c r="F656" s="418" t="s">
        <v>6074</v>
      </c>
      <c r="G656" s="603">
        <v>1</v>
      </c>
      <c r="H656" s="603">
        <v>0</v>
      </c>
      <c r="I656" s="601">
        <v>1393</v>
      </c>
      <c r="J656" s="602" t="s">
        <v>6979</v>
      </c>
      <c r="K656" s="891">
        <v>0</v>
      </c>
      <c r="L656" s="891">
        <v>0</v>
      </c>
      <c r="M656" s="996">
        <f t="shared" si="140"/>
        <v>0</v>
      </c>
      <c r="N656" s="796"/>
      <c r="P656" s="399"/>
    </row>
    <row r="657" spans="1:16" s="115" customFormat="1" ht="15" customHeight="1" x14ac:dyDescent="0.25">
      <c r="A657" s="396"/>
      <c r="B657" s="1385" t="s">
        <v>5951</v>
      </c>
      <c r="C657" s="1385"/>
      <c r="D657" s="1385"/>
      <c r="E657" s="1385"/>
      <c r="F657" s="1385"/>
      <c r="G657" s="401"/>
      <c r="H657" s="401"/>
      <c r="I657" s="426"/>
      <c r="J657" s="411"/>
      <c r="K657" s="402">
        <f t="shared" ref="K657:L659" si="143">K658</f>
        <v>0</v>
      </c>
      <c r="L657" s="402">
        <f t="shared" si="143"/>
        <v>42512.3281135</v>
      </c>
      <c r="M657" s="451">
        <f t="shared" si="140"/>
        <v>2.3029299382879322E-2</v>
      </c>
      <c r="N657" s="894"/>
      <c r="P657" s="733"/>
    </row>
    <row r="658" spans="1:16" s="647" customFormat="1" ht="15" customHeight="1" x14ac:dyDescent="0.25">
      <c r="A658" s="396"/>
      <c r="B658" s="1386" t="s">
        <v>6900</v>
      </c>
      <c r="C658" s="1386"/>
      <c r="D658" s="1386"/>
      <c r="E658" s="1386"/>
      <c r="F658" s="1386"/>
      <c r="G658" s="403"/>
      <c r="H658" s="403"/>
      <c r="I658" s="427"/>
      <c r="J658" s="412"/>
      <c r="K658" s="404">
        <f t="shared" si="143"/>
        <v>0</v>
      </c>
      <c r="L658" s="404">
        <f t="shared" si="143"/>
        <v>42512.3281135</v>
      </c>
      <c r="M658" s="452">
        <f t="shared" si="140"/>
        <v>2.3029299382879322E-2</v>
      </c>
      <c r="N658" s="796"/>
      <c r="P658" s="399"/>
    </row>
    <row r="659" spans="1:16" s="647" customFormat="1" ht="15" customHeight="1" x14ac:dyDescent="0.25">
      <c r="A659" s="396"/>
      <c r="B659" s="1382" t="s">
        <v>2286</v>
      </c>
      <c r="C659" s="1382"/>
      <c r="D659" s="1382"/>
      <c r="E659" s="1382"/>
      <c r="F659" s="1382"/>
      <c r="G659" s="405"/>
      <c r="H659" s="405"/>
      <c r="I659" s="428"/>
      <c r="J659" s="413"/>
      <c r="K659" s="406">
        <f t="shared" si="143"/>
        <v>0</v>
      </c>
      <c r="L659" s="406">
        <f t="shared" si="143"/>
        <v>42512.3281135</v>
      </c>
      <c r="M659" s="453">
        <f t="shared" si="140"/>
        <v>2.3029299382879322E-2</v>
      </c>
      <c r="N659" s="796"/>
      <c r="P659" s="399"/>
    </row>
    <row r="660" spans="1:16" s="647" customFormat="1" ht="15" customHeight="1" x14ac:dyDescent="0.25">
      <c r="A660" s="396"/>
      <c r="B660" s="1383" t="s">
        <v>2290</v>
      </c>
      <c r="C660" s="1383"/>
      <c r="D660" s="1383"/>
      <c r="E660" s="1383"/>
      <c r="F660" s="1383"/>
      <c r="G660" s="407"/>
      <c r="H660" s="407"/>
      <c r="I660" s="429"/>
      <c r="J660" s="414"/>
      <c r="K660" s="408">
        <f>K661+K664+K666+K668+K670</f>
        <v>0</v>
      </c>
      <c r="L660" s="408">
        <f>L661+L664+L666+L668+L670</f>
        <v>42512.3281135</v>
      </c>
      <c r="M660" s="454">
        <f t="shared" si="140"/>
        <v>2.3029299382879322E-2</v>
      </c>
      <c r="N660" s="796"/>
      <c r="P660" s="399"/>
    </row>
    <row r="661" spans="1:16" s="647" customFormat="1" ht="15" customHeight="1" x14ac:dyDescent="0.25">
      <c r="A661" s="396"/>
      <c r="B661" s="1396">
        <v>22500</v>
      </c>
      <c r="C661" s="1396"/>
      <c r="D661" s="1396"/>
      <c r="E661" s="417">
        <v>333904700000000</v>
      </c>
      <c r="F661" s="600" t="s">
        <v>6889</v>
      </c>
      <c r="G661" s="468">
        <v>1</v>
      </c>
      <c r="H661" s="468">
        <v>0</v>
      </c>
      <c r="I661" s="751"/>
      <c r="J661" s="878" t="s">
        <v>7188</v>
      </c>
      <c r="K661" s="789">
        <f>((('Parâmetros financeiros Despesa'!E292+'Parâmetros financeiros Despesa'!E293+'Parâmetros financeiros Despesa'!E295))*'Parâmetros financeiros Despesa'!F83)</f>
        <v>0</v>
      </c>
      <c r="L661" s="789">
        <f>((('Parâmetros financeiros Despesa'!F292+'Parâmetros financeiros Despesa'!F293+'Parâmetros financeiros Despesa'!F295))*((1+'Parâmetros financeiros Despesa'!F$4)*(1+'Parâmetros financeiros Despesa'!F$7)))*(1+'Parâmetros financeiros Despesa'!F$83)</f>
        <v>3925.1934000000001</v>
      </c>
      <c r="M661" s="799">
        <f t="shared" si="140"/>
        <v>2.126311541982966E-3</v>
      </c>
      <c r="N661" s="894"/>
      <c r="O661" s="796"/>
      <c r="P661" s="399"/>
    </row>
    <row r="662" spans="1:16" s="647" customFormat="1" ht="15" customHeight="1" x14ac:dyDescent="0.25">
      <c r="A662" s="397"/>
      <c r="B662" s="478">
        <f>B661+1</f>
        <v>22501</v>
      </c>
      <c r="C662" s="600" t="s">
        <v>6062</v>
      </c>
      <c r="D662" s="528">
        <f>B661</f>
        <v>22500</v>
      </c>
      <c r="E662" s="417">
        <v>333904718000000</v>
      </c>
      <c r="F662" s="418" t="s">
        <v>6893</v>
      </c>
      <c r="G662" s="603">
        <v>1</v>
      </c>
      <c r="H662" s="603">
        <v>0</v>
      </c>
      <c r="I662" s="601">
        <v>17</v>
      </c>
      <c r="J662" s="602" t="s">
        <v>6899</v>
      </c>
      <c r="K662" s="891"/>
      <c r="L662" s="891">
        <v>0</v>
      </c>
      <c r="M662" s="996">
        <f t="shared" si="140"/>
        <v>0</v>
      </c>
      <c r="N662" s="796"/>
      <c r="P662" s="399"/>
    </row>
    <row r="663" spans="1:16" s="647" customFormat="1" ht="15" customHeight="1" x14ac:dyDescent="0.25">
      <c r="A663" s="397"/>
      <c r="B663" s="478">
        <f>B662+1</f>
        <v>22502</v>
      </c>
      <c r="C663" s="600" t="s">
        <v>6062</v>
      </c>
      <c r="D663" s="528">
        <f>D662</f>
        <v>22500</v>
      </c>
      <c r="E663" s="417">
        <v>333904720000000</v>
      </c>
      <c r="F663" s="418" t="s">
        <v>6894</v>
      </c>
      <c r="G663" s="603">
        <v>1</v>
      </c>
      <c r="H663" s="603">
        <v>0</v>
      </c>
      <c r="I663" s="601">
        <v>1393</v>
      </c>
      <c r="J663" s="602" t="s">
        <v>6899</v>
      </c>
      <c r="K663" s="891"/>
      <c r="L663" s="891">
        <v>0</v>
      </c>
      <c r="M663" s="996">
        <f t="shared" si="140"/>
        <v>0</v>
      </c>
      <c r="N663" s="796"/>
      <c r="P663" s="399"/>
    </row>
    <row r="664" spans="1:16" s="115" customFormat="1" ht="15" customHeight="1" x14ac:dyDescent="0.25">
      <c r="A664" s="396"/>
      <c r="B664" s="1396">
        <v>22600</v>
      </c>
      <c r="C664" s="1396"/>
      <c r="D664" s="1396"/>
      <c r="E664" s="854">
        <v>344903000000000</v>
      </c>
      <c r="F664" s="855" t="s">
        <v>6890</v>
      </c>
      <c r="G664" s="468">
        <v>1</v>
      </c>
      <c r="H664" s="468">
        <v>0</v>
      </c>
      <c r="I664" s="751"/>
      <c r="J664" s="878" t="s">
        <v>7188</v>
      </c>
      <c r="K664" s="789">
        <f>'Parâmetros financeiros Despesa'!E291+'Parâmetros financeiros Despesa'!E292</f>
        <v>0</v>
      </c>
      <c r="L664" s="789">
        <f>('Parâmetros financeiros Despesa'!F291+'Parâmetros financeiros Despesa'!F292)*((1+'Parâmetros financeiros Despesa'!F$4)*(1+'Parâmetros financeiros Despesa'!F$5))</f>
        <v>2138.4430000000002</v>
      </c>
      <c r="M664" s="799">
        <f t="shared" si="140"/>
        <v>1.1584132472995294E-3</v>
      </c>
      <c r="N664" s="894"/>
      <c r="O664" s="796"/>
      <c r="P664" s="733"/>
    </row>
    <row r="665" spans="1:16" s="115" customFormat="1" ht="15" customHeight="1" x14ac:dyDescent="0.25">
      <c r="A665" s="396"/>
      <c r="B665" s="599">
        <f>B664+1</f>
        <v>22601</v>
      </c>
      <c r="C665" s="600" t="s">
        <v>6062</v>
      </c>
      <c r="D665" s="528">
        <f>B664</f>
        <v>22600</v>
      </c>
      <c r="E665" s="417">
        <v>344903099050000</v>
      </c>
      <c r="F665" s="418" t="s">
        <v>6895</v>
      </c>
      <c r="G665" s="603">
        <v>1</v>
      </c>
      <c r="H665" s="603">
        <v>0</v>
      </c>
      <c r="I665" s="601">
        <v>17</v>
      </c>
      <c r="J665" s="602" t="s">
        <v>5957</v>
      </c>
      <c r="K665" s="891"/>
      <c r="L665" s="891">
        <v>0</v>
      </c>
      <c r="M665" s="996">
        <f t="shared" si="140"/>
        <v>0</v>
      </c>
      <c r="N665" s="894"/>
      <c r="P665" s="733"/>
    </row>
    <row r="666" spans="1:16" s="457" customFormat="1" ht="15" customHeight="1" x14ac:dyDescent="0.25">
      <c r="A666" s="396"/>
      <c r="B666" s="1398" t="s">
        <v>7126</v>
      </c>
      <c r="C666" s="1398"/>
      <c r="D666" s="1398"/>
      <c r="E666" s="854">
        <v>344903600000000</v>
      </c>
      <c r="F666" s="855" t="s">
        <v>6891</v>
      </c>
      <c r="G666" s="468">
        <v>1</v>
      </c>
      <c r="H666" s="468">
        <v>0</v>
      </c>
      <c r="I666" s="751"/>
      <c r="J666" s="878" t="s">
        <v>7188</v>
      </c>
      <c r="K666" s="789">
        <f>'Parâmetros financeiros Despesa'!E293</f>
        <v>0</v>
      </c>
      <c r="L666" s="789">
        <f>('Parâmetros financeiros Despesa'!F293)*((1+'Parâmetros financeiros Despesa'!F$4)*(1+'Parâmetros financeiros Despesa'!F$5)*(1+'Parâmetros financeiros Despesa'!F$7))</f>
        <v>1104.5058094999999</v>
      </c>
      <c r="M666" s="799">
        <f t="shared" si="140"/>
        <v>5.9832044223020683E-4</v>
      </c>
      <c r="N666" s="894"/>
      <c r="O666" s="796"/>
      <c r="P666" s="734"/>
    </row>
    <row r="667" spans="1:16" s="458" customFormat="1" ht="15" customHeight="1" x14ac:dyDescent="0.25">
      <c r="A667" s="397"/>
      <c r="B667" s="478">
        <v>22701</v>
      </c>
      <c r="C667" s="600" t="s">
        <v>6062</v>
      </c>
      <c r="D667" s="528">
        <v>22700</v>
      </c>
      <c r="E667" s="417">
        <v>344903699010000</v>
      </c>
      <c r="F667" s="418" t="s">
        <v>6896</v>
      </c>
      <c r="G667" s="603">
        <v>1</v>
      </c>
      <c r="H667" s="603">
        <v>0</v>
      </c>
      <c r="I667" s="601">
        <v>97</v>
      </c>
      <c r="J667" s="602" t="s">
        <v>6899</v>
      </c>
      <c r="K667" s="891"/>
      <c r="L667" s="891">
        <v>0</v>
      </c>
      <c r="M667" s="996">
        <f t="shared" si="140"/>
        <v>0</v>
      </c>
      <c r="N667" s="896"/>
      <c r="P667" s="735"/>
    </row>
    <row r="668" spans="1:16" s="457" customFormat="1" ht="15" customHeight="1" x14ac:dyDescent="0.25">
      <c r="A668" s="396"/>
      <c r="B668" s="1398" t="s">
        <v>7127</v>
      </c>
      <c r="C668" s="1398"/>
      <c r="D668" s="1398"/>
      <c r="E668" s="854">
        <v>344903900000000</v>
      </c>
      <c r="F668" s="855" t="s">
        <v>6892</v>
      </c>
      <c r="G668" s="468">
        <v>1</v>
      </c>
      <c r="H668" s="468">
        <v>0</v>
      </c>
      <c r="I668" s="751"/>
      <c r="J668" s="878" t="s">
        <v>7188</v>
      </c>
      <c r="K668" s="789">
        <f>'Parâmetros financeiros Despesa'!E294+'Parâmetros financeiros Despesa'!E295</f>
        <v>0</v>
      </c>
      <c r="L668" s="789">
        <f>('Parâmetros financeiros Despesa'!F294+'Parâmetros financeiros Despesa'!F295)*((1+'Parâmetros financeiros Despesa'!F$4)*(1+'Parâmetros financeiros Despesa'!F$5)*(1+'Parâmetros financeiros Despesa'!F$7))</f>
        <v>2209.0116189999999</v>
      </c>
      <c r="M668" s="799">
        <f t="shared" si="140"/>
        <v>1.1966408844604137E-3</v>
      </c>
      <c r="N668" s="894"/>
      <c r="O668" s="796"/>
      <c r="P668" s="734"/>
    </row>
    <row r="669" spans="1:16" s="458" customFormat="1" ht="15" customHeight="1" x14ac:dyDescent="0.25">
      <c r="A669" s="397"/>
      <c r="B669" s="478">
        <v>22801</v>
      </c>
      <c r="C669" s="600" t="s">
        <v>6062</v>
      </c>
      <c r="D669" s="528">
        <v>22800</v>
      </c>
      <c r="E669" s="417">
        <v>344903999050000</v>
      </c>
      <c r="F669" s="418" t="s">
        <v>6897</v>
      </c>
      <c r="G669" s="603">
        <v>1</v>
      </c>
      <c r="H669" s="603">
        <v>0</v>
      </c>
      <c r="I669" s="601">
        <v>97</v>
      </c>
      <c r="J669" s="602" t="s">
        <v>6899</v>
      </c>
      <c r="K669" s="891"/>
      <c r="L669" s="891">
        <v>0</v>
      </c>
      <c r="M669" s="996">
        <f t="shared" si="140"/>
        <v>0</v>
      </c>
      <c r="N669" s="896"/>
      <c r="P669" s="735"/>
    </row>
    <row r="670" spans="1:16" s="457" customFormat="1" ht="15" customHeight="1" x14ac:dyDescent="0.25">
      <c r="A670" s="396"/>
      <c r="B670" s="1398" t="s">
        <v>7128</v>
      </c>
      <c r="C670" s="1398"/>
      <c r="D670" s="1398"/>
      <c r="E670" s="854">
        <v>344905200000000</v>
      </c>
      <c r="F670" s="855" t="s">
        <v>7189</v>
      </c>
      <c r="G670" s="468">
        <v>1</v>
      </c>
      <c r="H670" s="468">
        <v>0</v>
      </c>
      <c r="I670" s="751"/>
      <c r="J670" s="878" t="s">
        <v>7188</v>
      </c>
      <c r="K670" s="789">
        <f>'Parâmetros financeiros Despesa'!E296</f>
        <v>0</v>
      </c>
      <c r="L670" s="789">
        <f>('Parâmetros financeiros Despesa'!F296)*((1+'Parâmetros financeiros Despesa'!F$4)*(1+'Parâmetros financeiros Despesa'!F$5)*(1+'Parâmetros financeiros Despesa'!F$7))</f>
        <v>33135.174285000001</v>
      </c>
      <c r="M670" s="799">
        <f t="shared" si="140"/>
        <v>1.7949613266906205E-2</v>
      </c>
      <c r="N670" s="894"/>
      <c r="O670" s="796"/>
      <c r="P670" s="734"/>
    </row>
    <row r="671" spans="1:16" s="647" customFormat="1" ht="15" customHeight="1" x14ac:dyDescent="0.25">
      <c r="A671" s="397"/>
      <c r="B671" s="478">
        <v>22901</v>
      </c>
      <c r="C671" s="600" t="s">
        <v>6062</v>
      </c>
      <c r="D671" s="528">
        <v>22900</v>
      </c>
      <c r="E671" s="417">
        <v>344905299000000</v>
      </c>
      <c r="F671" s="418" t="s">
        <v>6897</v>
      </c>
      <c r="G671" s="603">
        <v>1</v>
      </c>
      <c r="H671" s="603">
        <v>0</v>
      </c>
      <c r="I671" s="601">
        <v>1393</v>
      </c>
      <c r="J671" s="602" t="s">
        <v>6899</v>
      </c>
      <c r="K671" s="891"/>
      <c r="L671" s="891">
        <v>0</v>
      </c>
      <c r="M671" s="996">
        <f t="shared" si="140"/>
        <v>0</v>
      </c>
      <c r="N671" s="796"/>
      <c r="P671" s="399"/>
    </row>
    <row r="672" spans="1:16" s="115" customFormat="1" ht="15" customHeight="1" x14ac:dyDescent="0.25">
      <c r="A672" s="396"/>
      <c r="B672" s="1385" t="s">
        <v>5951</v>
      </c>
      <c r="C672" s="1385"/>
      <c r="D672" s="1385"/>
      <c r="E672" s="1385"/>
      <c r="F672" s="1385"/>
      <c r="G672" s="401"/>
      <c r="H672" s="401"/>
      <c r="I672" s="426"/>
      <c r="J672" s="411"/>
      <c r="K672" s="402">
        <f t="shared" ref="K672:L674" si="144">K673</f>
        <v>0</v>
      </c>
      <c r="L672" s="402">
        <f t="shared" si="144"/>
        <v>12584.808328499999</v>
      </c>
      <c r="M672" s="451">
        <f t="shared" si="140"/>
        <v>6.8173005698350829E-3</v>
      </c>
      <c r="N672" s="894"/>
      <c r="P672" s="733"/>
    </row>
    <row r="673" spans="1:16" s="662" customFormat="1" ht="15" customHeight="1" x14ac:dyDescent="0.25">
      <c r="A673" s="396"/>
      <c r="B673" s="1386" t="s">
        <v>6982</v>
      </c>
      <c r="C673" s="1386"/>
      <c r="D673" s="1386"/>
      <c r="E673" s="1386"/>
      <c r="F673" s="1386"/>
      <c r="G673" s="403"/>
      <c r="H673" s="403"/>
      <c r="I673" s="427"/>
      <c r="J673" s="412"/>
      <c r="K673" s="404">
        <f t="shared" si="144"/>
        <v>0</v>
      </c>
      <c r="L673" s="404">
        <f t="shared" si="144"/>
        <v>12584.808328499999</v>
      </c>
      <c r="M673" s="452">
        <f t="shared" si="140"/>
        <v>6.8173005698350829E-3</v>
      </c>
      <c r="N673" s="796"/>
      <c r="P673" s="399"/>
    </row>
    <row r="674" spans="1:16" s="662" customFormat="1" ht="15" customHeight="1" x14ac:dyDescent="0.25">
      <c r="A674" s="396"/>
      <c r="B674" s="1382" t="s">
        <v>2286</v>
      </c>
      <c r="C674" s="1382"/>
      <c r="D674" s="1382"/>
      <c r="E674" s="1382"/>
      <c r="F674" s="1382"/>
      <c r="G674" s="405"/>
      <c r="H674" s="405"/>
      <c r="I674" s="428"/>
      <c r="J674" s="413"/>
      <c r="K674" s="406">
        <f t="shared" si="144"/>
        <v>0</v>
      </c>
      <c r="L674" s="406">
        <f t="shared" si="144"/>
        <v>12584.808328499999</v>
      </c>
      <c r="M674" s="453">
        <f t="shared" si="140"/>
        <v>6.8173005698350829E-3</v>
      </c>
      <c r="N674" s="796"/>
      <c r="P674" s="399"/>
    </row>
    <row r="675" spans="1:16" s="662" customFormat="1" ht="15" customHeight="1" x14ac:dyDescent="0.25">
      <c r="A675" s="396"/>
      <c r="B675" s="1383" t="s">
        <v>2290</v>
      </c>
      <c r="C675" s="1383"/>
      <c r="D675" s="1383"/>
      <c r="E675" s="1383"/>
      <c r="F675" s="1383"/>
      <c r="G675" s="407"/>
      <c r="H675" s="407"/>
      <c r="I675" s="429"/>
      <c r="J675" s="414"/>
      <c r="K675" s="408">
        <f>SUM(K676:K680)</f>
        <v>0</v>
      </c>
      <c r="L675" s="408">
        <f>SUM(L676:L680)-0.01</f>
        <v>12584.808328499999</v>
      </c>
      <c r="M675" s="454">
        <f t="shared" si="140"/>
        <v>6.8173005698350829E-3</v>
      </c>
      <c r="N675" s="796"/>
      <c r="P675" s="399"/>
    </row>
    <row r="676" spans="1:16" s="662" customFormat="1" ht="15" customHeight="1" x14ac:dyDescent="0.25">
      <c r="A676" s="396"/>
      <c r="B676" s="1396">
        <v>23000</v>
      </c>
      <c r="C676" s="1396"/>
      <c r="D676" s="1396"/>
      <c r="E676" s="417">
        <v>333904700000000</v>
      </c>
      <c r="F676" s="600" t="s">
        <v>7191</v>
      </c>
      <c r="G676" s="468">
        <v>1</v>
      </c>
      <c r="H676" s="468">
        <v>0</v>
      </c>
      <c r="I676" s="751"/>
      <c r="J676" s="878" t="s">
        <v>7188</v>
      </c>
      <c r="K676" s="789">
        <f>((('Parâmetros financeiros Despesa'!E299+'Parâmetros financeiros Despesa'!E300+'Parâmetros financeiros Despesa'!E302))*'Parâmetros financeiros Despesa'!F83)</f>
        <v>0</v>
      </c>
      <c r="L676" s="789">
        <f>((('Parâmetros financeiros Despesa'!F299+'Parâmetros financeiros Despesa'!F300+'Parâmetros financeiros Despesa'!F302))*((1+'Parâmetros financeiros Despesa'!F$4)*(1+'Parâmetros financeiros Despesa'!F$7))*(1+'Parâmetros financeiros Despesa'!F$83))</f>
        <v>3925.1934000000001</v>
      </c>
      <c r="M676" s="799">
        <f t="shared" si="140"/>
        <v>2.126311541982966E-3</v>
      </c>
      <c r="N676" s="894"/>
      <c r="O676" s="796"/>
      <c r="P676" s="399"/>
    </row>
    <row r="677" spans="1:16" s="115" customFormat="1" ht="15" customHeight="1" x14ac:dyDescent="0.25">
      <c r="A677" s="396"/>
      <c r="B677" s="1396">
        <v>23100</v>
      </c>
      <c r="C677" s="1396"/>
      <c r="D677" s="1396"/>
      <c r="E677" s="854">
        <v>344903000000000</v>
      </c>
      <c r="F677" s="855" t="s">
        <v>7190</v>
      </c>
      <c r="G677" s="468">
        <v>1</v>
      </c>
      <c r="H677" s="468">
        <v>0</v>
      </c>
      <c r="I677" s="751"/>
      <c r="J677" s="878" t="s">
        <v>7188</v>
      </c>
      <c r="K677" s="789">
        <f>('Parâmetros financeiros Despesa'!E298+'Parâmetros financeiros Despesa'!E299)</f>
        <v>0</v>
      </c>
      <c r="L677" s="789">
        <f>('Parâmetros financeiros Despesa'!F298+'Parâmetros financeiros Despesa'!F299)*((1+'Parâmetros financeiros Despesa'!F$4)*(1+'Parâmetros financeiros Despesa'!F$5)*(1+'Parâmetros financeiros Despesa'!F$7))</f>
        <v>2209.0116189999999</v>
      </c>
      <c r="M677" s="799">
        <f t="shared" si="140"/>
        <v>1.1966408844604137E-3</v>
      </c>
      <c r="N677" s="894"/>
      <c r="O677" s="796"/>
      <c r="P677" s="733"/>
    </row>
    <row r="678" spans="1:16" s="457" customFormat="1" ht="15" customHeight="1" x14ac:dyDescent="0.25">
      <c r="A678" s="396"/>
      <c r="B678" s="1398" t="s">
        <v>7129</v>
      </c>
      <c r="C678" s="1398"/>
      <c r="D678" s="1398"/>
      <c r="E678" s="854">
        <v>344903600000000</v>
      </c>
      <c r="F678" s="855" t="s">
        <v>7192</v>
      </c>
      <c r="G678" s="468">
        <v>1</v>
      </c>
      <c r="H678" s="468">
        <v>0</v>
      </c>
      <c r="I678" s="751"/>
      <c r="J678" s="878" t="s">
        <v>7188</v>
      </c>
      <c r="K678" s="789">
        <f>'Parâmetros financeiros Despesa'!E300</f>
        <v>0</v>
      </c>
      <c r="L678" s="789">
        <f>('Parâmetros financeiros Despesa'!F300)*((1+'Parâmetros financeiros Despesa'!F$4)*(1+'Parâmetros financeiros Despesa'!F$5)*(1+'Parâmetros financeiros Despesa'!F$7))</f>
        <v>1104.5058094999999</v>
      </c>
      <c r="M678" s="799">
        <f t="shared" si="140"/>
        <v>5.9832044223020683E-4</v>
      </c>
      <c r="N678" s="894"/>
      <c r="O678" s="796"/>
      <c r="P678" s="734"/>
    </row>
    <row r="679" spans="1:16" s="457" customFormat="1" ht="15" customHeight="1" x14ac:dyDescent="0.25">
      <c r="A679" s="396"/>
      <c r="B679" s="1398" t="s">
        <v>7130</v>
      </c>
      <c r="C679" s="1398"/>
      <c r="D679" s="1398"/>
      <c r="E679" s="854">
        <v>344903900000000</v>
      </c>
      <c r="F679" s="855" t="s">
        <v>7193</v>
      </c>
      <c r="G679" s="468">
        <v>1</v>
      </c>
      <c r="H679" s="468">
        <v>0</v>
      </c>
      <c r="I679" s="751"/>
      <c r="J679" s="878" t="s">
        <v>7188</v>
      </c>
      <c r="K679" s="789">
        <f>'Parâmetros financeiros Despesa'!E301+'Parâmetros financeiros Despesa'!E302</f>
        <v>0</v>
      </c>
      <c r="L679" s="789">
        <f>('Parâmetros financeiros Despesa'!F301+'Parâmetros financeiros Despesa'!F302)*((1+'Parâmetros financeiros Despesa'!F$4)*(1+'Parâmetros financeiros Despesa'!F$5))</f>
        <v>2138.4430000000002</v>
      </c>
      <c r="M679" s="799">
        <f t="shared" si="140"/>
        <v>1.1584132472995294E-3</v>
      </c>
      <c r="N679" s="894"/>
      <c r="O679" s="796"/>
      <c r="P679" s="734"/>
    </row>
    <row r="680" spans="1:16" s="457" customFormat="1" ht="15" customHeight="1" x14ac:dyDescent="0.25">
      <c r="A680" s="396"/>
      <c r="B680" s="1398" t="s">
        <v>7131</v>
      </c>
      <c r="C680" s="1398"/>
      <c r="D680" s="1398"/>
      <c r="E680" s="854">
        <v>344905200000000</v>
      </c>
      <c r="F680" s="855" t="s">
        <v>7041</v>
      </c>
      <c r="G680" s="468">
        <v>1</v>
      </c>
      <c r="H680" s="468">
        <v>0</v>
      </c>
      <c r="I680" s="751"/>
      <c r="J680" s="878" t="s">
        <v>7188</v>
      </c>
      <c r="K680" s="789">
        <f>'Parâmetros financeiros Despesa'!E303</f>
        <v>0</v>
      </c>
      <c r="L680" s="789">
        <f>('Parâmetros financeiros Despesa'!F303)*((1+'Parâmetros financeiros Despesa'!F$4)*(1+'Parâmetros financeiros Despesa'!F$5))</f>
        <v>3207.6645000000003</v>
      </c>
      <c r="M680" s="799">
        <f t="shared" si="140"/>
        <v>1.7376198709492939E-3</v>
      </c>
      <c r="N680" s="894"/>
      <c r="O680" s="796"/>
      <c r="P680" s="734"/>
    </row>
    <row r="681" spans="1:16" s="647" customFormat="1" ht="15" customHeight="1" x14ac:dyDescent="0.25">
      <c r="A681" s="397"/>
      <c r="B681" s="1385" t="s">
        <v>5951</v>
      </c>
      <c r="C681" s="1385"/>
      <c r="D681" s="1385"/>
      <c r="E681" s="1385"/>
      <c r="F681" s="1385"/>
      <c r="G681" s="401"/>
      <c r="H681" s="401"/>
      <c r="I681" s="426"/>
      <c r="J681" s="411"/>
      <c r="K681" s="402">
        <f t="shared" ref="K681:L683" si="145">K682</f>
        <v>689904.57671250019</v>
      </c>
      <c r="L681" s="402">
        <f t="shared" si="145"/>
        <v>863410.20390673587</v>
      </c>
      <c r="M681" s="451">
        <f t="shared" si="140"/>
        <v>0.46771684728522134</v>
      </c>
      <c r="N681" s="796"/>
      <c r="P681" s="399"/>
    </row>
    <row r="682" spans="1:16" s="647" customFormat="1" ht="15" customHeight="1" x14ac:dyDescent="0.25">
      <c r="A682" s="397"/>
      <c r="B682" s="1386" t="s">
        <v>5965</v>
      </c>
      <c r="C682" s="1386"/>
      <c r="D682" s="1386"/>
      <c r="E682" s="1386"/>
      <c r="F682" s="1386"/>
      <c r="G682" s="403"/>
      <c r="H682" s="403"/>
      <c r="I682" s="427"/>
      <c r="J682" s="412"/>
      <c r="K682" s="404">
        <f t="shared" si="145"/>
        <v>689904.57671250019</v>
      </c>
      <c r="L682" s="404">
        <f t="shared" si="145"/>
        <v>863410.20390673587</v>
      </c>
      <c r="M682" s="452">
        <f t="shared" si="140"/>
        <v>0.46771684728522134</v>
      </c>
      <c r="N682" s="796"/>
      <c r="P682" s="399"/>
    </row>
    <row r="683" spans="1:16" s="647" customFormat="1" ht="15" customHeight="1" x14ac:dyDescent="0.25">
      <c r="A683" s="397"/>
      <c r="B683" s="1382" t="s">
        <v>2286</v>
      </c>
      <c r="C683" s="1382"/>
      <c r="D683" s="1382"/>
      <c r="E683" s="1382"/>
      <c r="F683" s="1382"/>
      <c r="G683" s="405"/>
      <c r="H683" s="405"/>
      <c r="I683" s="428"/>
      <c r="J683" s="413"/>
      <c r="K683" s="406">
        <f t="shared" si="145"/>
        <v>689904.57671250019</v>
      </c>
      <c r="L683" s="406">
        <f t="shared" si="145"/>
        <v>863410.20390673587</v>
      </c>
      <c r="M683" s="453">
        <f t="shared" si="140"/>
        <v>0.46771684728522134</v>
      </c>
      <c r="N683" s="796"/>
      <c r="P683" s="399"/>
    </row>
    <row r="684" spans="1:16" s="647" customFormat="1" ht="15" customHeight="1" x14ac:dyDescent="0.25">
      <c r="A684" s="397"/>
      <c r="B684" s="1383" t="s">
        <v>2290</v>
      </c>
      <c r="C684" s="1383"/>
      <c r="D684" s="1383"/>
      <c r="E684" s="1383"/>
      <c r="F684" s="1383"/>
      <c r="G684" s="407"/>
      <c r="H684" s="407"/>
      <c r="I684" s="429"/>
      <c r="J684" s="414"/>
      <c r="K684" s="408">
        <f>K685+K691+K708+K712+K715+K720+K749+K751+K758+K764+K787+K790+K792+K794</f>
        <v>689904.57671250019</v>
      </c>
      <c r="L684" s="408">
        <f>L685+L691+L708+L712+L715+L720+L749+L751+L758+L764+L787+L790+L792+L794-0.02</f>
        <v>863410.20390673587</v>
      </c>
      <c r="M684" s="454">
        <f t="shared" si="140"/>
        <v>0.46771684728522134</v>
      </c>
      <c r="N684" s="796"/>
      <c r="P684" s="399"/>
    </row>
    <row r="685" spans="1:16" s="115" customFormat="1" ht="15" customHeight="1" x14ac:dyDescent="0.25">
      <c r="A685" s="396"/>
      <c r="B685" s="1398" t="s">
        <v>7147</v>
      </c>
      <c r="C685" s="1398"/>
      <c r="D685" s="1398"/>
      <c r="E685" s="854">
        <v>331900400000000</v>
      </c>
      <c r="F685" s="855" t="s">
        <v>5851</v>
      </c>
      <c r="G685" s="468">
        <v>1</v>
      </c>
      <c r="H685" s="468">
        <v>0</v>
      </c>
      <c r="I685" s="751"/>
      <c r="J685" s="878" t="s">
        <v>7194</v>
      </c>
      <c r="K685" s="789">
        <f>'Parâmetros financeiros Despesa'!E305</f>
        <v>79843.517462499993</v>
      </c>
      <c r="L685" s="789">
        <f>(('Parâmetros financeiros Despesa'!F305)*2.05+(('Parâmetros financeiros Despesa'!F305)*11.28)*(1+'Parâmetros financeiros Despesa'!F$4)*(1+'Parâmetros financeiros Despesa'!F$8))*(1+'Parâmetros financeiros Despesa'!F$80)</f>
        <v>114965.55022088945</v>
      </c>
      <c r="M685" s="799">
        <f t="shared" si="140"/>
        <v>6.227784250455011E-2</v>
      </c>
      <c r="N685" s="894"/>
      <c r="P685" s="733"/>
    </row>
    <row r="686" spans="1:16" s="115" customFormat="1" ht="15" customHeight="1" x14ac:dyDescent="0.25">
      <c r="A686" s="396"/>
      <c r="B686" s="599">
        <f>B685+1</f>
        <v>25001</v>
      </c>
      <c r="C686" s="600" t="s">
        <v>6062</v>
      </c>
      <c r="D686" s="600" t="str">
        <f>B685</f>
        <v>25000</v>
      </c>
      <c r="E686" s="417">
        <v>331900415000000</v>
      </c>
      <c r="F686" s="418" t="s">
        <v>7027</v>
      </c>
      <c r="G686" s="603">
        <v>1</v>
      </c>
      <c r="H686" s="603">
        <v>0</v>
      </c>
      <c r="I686" s="601">
        <v>311210499000000</v>
      </c>
      <c r="J686" s="602" t="s">
        <v>6023</v>
      </c>
      <c r="K686" s="891">
        <v>0</v>
      </c>
      <c r="L686" s="891">
        <v>0</v>
      </c>
      <c r="M686" s="996">
        <f t="shared" si="140"/>
        <v>0</v>
      </c>
      <c r="N686" s="894"/>
      <c r="P686" s="733"/>
    </row>
    <row r="687" spans="1:16" s="115" customFormat="1" ht="15" customHeight="1" x14ac:dyDescent="0.25">
      <c r="A687" s="396"/>
      <c r="B687" s="478">
        <f>B686+1</f>
        <v>25002</v>
      </c>
      <c r="C687" s="600" t="s">
        <v>6062</v>
      </c>
      <c r="D687" s="528" t="str">
        <f>D686</f>
        <v>25000</v>
      </c>
      <c r="E687" s="417">
        <v>331900499020000</v>
      </c>
      <c r="F687" s="418" t="s">
        <v>7028</v>
      </c>
      <c r="G687" s="603">
        <v>1</v>
      </c>
      <c r="H687" s="603">
        <v>0</v>
      </c>
      <c r="I687" s="601">
        <v>311210101000000</v>
      </c>
      <c r="J687" s="602" t="s">
        <v>6024</v>
      </c>
      <c r="K687" s="891">
        <v>0</v>
      </c>
      <c r="L687" s="891">
        <v>0</v>
      </c>
      <c r="M687" s="996">
        <f t="shared" si="140"/>
        <v>0</v>
      </c>
      <c r="N687" s="894"/>
      <c r="P687" s="733"/>
    </row>
    <row r="688" spans="1:16" s="115" customFormat="1" ht="15" customHeight="1" x14ac:dyDescent="0.25">
      <c r="A688" s="396"/>
      <c r="B688" s="599">
        <f>B687+1</f>
        <v>25003</v>
      </c>
      <c r="C688" s="600" t="s">
        <v>6062</v>
      </c>
      <c r="D688" s="600" t="s">
        <v>7147</v>
      </c>
      <c r="E688" s="417">
        <v>331900499020000</v>
      </c>
      <c r="F688" s="418" t="s">
        <v>7029</v>
      </c>
      <c r="G688" s="603">
        <v>1</v>
      </c>
      <c r="H688" s="603">
        <v>0</v>
      </c>
      <c r="I688" s="601">
        <v>837</v>
      </c>
      <c r="J688" s="602" t="s">
        <v>6023</v>
      </c>
      <c r="K688" s="891">
        <v>0</v>
      </c>
      <c r="L688" s="891">
        <v>0</v>
      </c>
      <c r="M688" s="996">
        <f t="shared" ref="M688:M751" si="146">L688/L$979</f>
        <v>0</v>
      </c>
      <c r="N688" s="894"/>
      <c r="P688" s="733"/>
    </row>
    <row r="689" spans="1:16" s="115" customFormat="1" ht="15" customHeight="1" x14ac:dyDescent="0.25">
      <c r="A689" s="396"/>
      <c r="B689" s="478">
        <f>B688+1</f>
        <v>25004</v>
      </c>
      <c r="C689" s="600" t="s">
        <v>6062</v>
      </c>
      <c r="D689" s="528" t="str">
        <f>D688</f>
        <v>25000</v>
      </c>
      <c r="E689" s="417">
        <v>331900499020000</v>
      </c>
      <c r="F689" s="418" t="s">
        <v>7030</v>
      </c>
      <c r="G689" s="603">
        <v>1</v>
      </c>
      <c r="H689" s="603">
        <v>0</v>
      </c>
      <c r="I689" s="601">
        <v>828</v>
      </c>
      <c r="J689" s="602" t="s">
        <v>6024</v>
      </c>
      <c r="K689" s="891">
        <v>0</v>
      </c>
      <c r="L689" s="891">
        <v>0</v>
      </c>
      <c r="M689" s="996">
        <f t="shared" si="146"/>
        <v>0</v>
      </c>
      <c r="N689" s="894"/>
      <c r="P689" s="733"/>
    </row>
    <row r="690" spans="1:16" s="115" customFormat="1" ht="15" customHeight="1" x14ac:dyDescent="0.25">
      <c r="A690" s="396"/>
      <c r="B690" s="478">
        <f>B689+1</f>
        <v>25005</v>
      </c>
      <c r="C690" s="600" t="s">
        <v>6062</v>
      </c>
      <c r="D690" s="528" t="str">
        <f>D689</f>
        <v>25000</v>
      </c>
      <c r="E690" s="417">
        <v>331900499020000</v>
      </c>
      <c r="F690" s="418" t="s">
        <v>7031</v>
      </c>
      <c r="G690" s="603">
        <v>1</v>
      </c>
      <c r="H690" s="603">
        <v>0</v>
      </c>
      <c r="I690" s="601">
        <v>311210499000000</v>
      </c>
      <c r="J690" s="602" t="s">
        <v>6024</v>
      </c>
      <c r="K690" s="891">
        <v>0</v>
      </c>
      <c r="L690" s="891">
        <v>0</v>
      </c>
      <c r="M690" s="996">
        <f t="shared" si="146"/>
        <v>0</v>
      </c>
      <c r="N690" s="894"/>
      <c r="P690" s="733"/>
    </row>
    <row r="691" spans="1:16" s="115" customFormat="1" ht="15" customHeight="1" x14ac:dyDescent="0.25">
      <c r="A691" s="396"/>
      <c r="B691" s="1398" t="s">
        <v>7148</v>
      </c>
      <c r="C691" s="1398"/>
      <c r="D691" s="1398"/>
      <c r="E691" s="854">
        <v>331901100000000</v>
      </c>
      <c r="F691" s="855" t="s">
        <v>5732</v>
      </c>
      <c r="G691" s="468">
        <v>1</v>
      </c>
      <c r="H691" s="468">
        <v>0</v>
      </c>
      <c r="I691" s="751"/>
      <c r="J691" s="878" t="s">
        <v>7194</v>
      </c>
      <c r="K691" s="789">
        <f>'Parâmetros financeiros Despesa'!E306</f>
        <v>408070.29249999998</v>
      </c>
      <c r="L691" s="789">
        <f>('Parâmetros financeiros Despesa'!F306)*2.05+(('Parâmetros financeiros Despesa'!F306)*11.28)*(1+'Parâmetros financeiros Despesa'!F$4)*(1+'Parâmetros financeiros Despesa'!F$8)</f>
        <v>474579.9882325778</v>
      </c>
      <c r="M691" s="799">
        <f t="shared" si="146"/>
        <v>0.25708412394993591</v>
      </c>
      <c r="N691" s="894"/>
      <c r="P691" s="733"/>
    </row>
    <row r="692" spans="1:16" s="647" customFormat="1" ht="15" customHeight="1" x14ac:dyDescent="0.25">
      <c r="A692" s="397"/>
      <c r="B692" s="599">
        <f>B691+1</f>
        <v>25101</v>
      </c>
      <c r="C692" s="600" t="s">
        <v>6062</v>
      </c>
      <c r="D692" s="600" t="str">
        <f>B691</f>
        <v>25100</v>
      </c>
      <c r="E692" s="417">
        <v>331901101010000</v>
      </c>
      <c r="F692" s="418" t="s">
        <v>6904</v>
      </c>
      <c r="G692" s="603">
        <v>1</v>
      </c>
      <c r="H692" s="603">
        <v>0</v>
      </c>
      <c r="I692" s="601">
        <v>311210101000000</v>
      </c>
      <c r="J692" s="602" t="s">
        <v>6023</v>
      </c>
      <c r="K692" s="891">
        <v>0</v>
      </c>
      <c r="L692" s="891">
        <v>0</v>
      </c>
      <c r="M692" s="996">
        <f t="shared" si="146"/>
        <v>0</v>
      </c>
      <c r="N692" s="796"/>
      <c r="P692" s="399"/>
    </row>
    <row r="693" spans="1:16" s="647" customFormat="1" ht="15" customHeight="1" x14ac:dyDescent="0.25">
      <c r="A693" s="397"/>
      <c r="B693" s="599">
        <f t="shared" ref="B693:B707" si="147">B692+1</f>
        <v>25102</v>
      </c>
      <c r="C693" s="600" t="s">
        <v>6062</v>
      </c>
      <c r="D693" s="528" t="str">
        <f>D692</f>
        <v>25100</v>
      </c>
      <c r="E693" s="417">
        <v>331901101040000</v>
      </c>
      <c r="F693" s="418" t="s">
        <v>2256</v>
      </c>
      <c r="G693" s="603">
        <v>1</v>
      </c>
      <c r="H693" s="603">
        <v>0</v>
      </c>
      <c r="I693" s="601">
        <v>311210101000000</v>
      </c>
      <c r="J693" s="602" t="s">
        <v>6024</v>
      </c>
      <c r="K693" s="891">
        <v>0</v>
      </c>
      <c r="L693" s="891">
        <v>0</v>
      </c>
      <c r="M693" s="996">
        <f t="shared" si="146"/>
        <v>0</v>
      </c>
      <c r="N693" s="796"/>
      <c r="P693" s="399"/>
    </row>
    <row r="694" spans="1:16" s="647" customFormat="1" ht="15" customHeight="1" x14ac:dyDescent="0.25">
      <c r="A694" s="397"/>
      <c r="B694" s="599">
        <f t="shared" si="147"/>
        <v>25103</v>
      </c>
      <c r="C694" s="600" t="s">
        <v>6062</v>
      </c>
      <c r="D694" s="528" t="str">
        <f t="shared" ref="D694:D707" si="148">D693</f>
        <v>25100</v>
      </c>
      <c r="E694" s="417">
        <v>331901104000000</v>
      </c>
      <c r="F694" s="418" t="s">
        <v>1008</v>
      </c>
      <c r="G694" s="603">
        <v>1</v>
      </c>
      <c r="H694" s="603">
        <v>0</v>
      </c>
      <c r="I694" s="601">
        <v>311210102000000</v>
      </c>
      <c r="J694" s="602" t="s">
        <v>6025</v>
      </c>
      <c r="K694" s="891">
        <v>0</v>
      </c>
      <c r="L694" s="891">
        <v>0</v>
      </c>
      <c r="M694" s="996">
        <f t="shared" si="146"/>
        <v>0</v>
      </c>
      <c r="N694" s="796"/>
      <c r="P694" s="399"/>
    </row>
    <row r="695" spans="1:16" s="647" customFormat="1" ht="15" customHeight="1" x14ac:dyDescent="0.25">
      <c r="A695" s="397"/>
      <c r="B695" s="599">
        <f t="shared" si="147"/>
        <v>25104</v>
      </c>
      <c r="C695" s="600" t="s">
        <v>6062</v>
      </c>
      <c r="D695" s="528" t="str">
        <f t="shared" si="148"/>
        <v>25100</v>
      </c>
      <c r="E695" s="417">
        <v>331901133000000</v>
      </c>
      <c r="F695" s="418" t="s">
        <v>7014</v>
      </c>
      <c r="G695" s="603">
        <v>1</v>
      </c>
      <c r="H695" s="603">
        <v>0</v>
      </c>
      <c r="I695" s="601">
        <v>311210116000000</v>
      </c>
      <c r="J695" s="602" t="s">
        <v>6033</v>
      </c>
      <c r="K695" s="891">
        <v>0</v>
      </c>
      <c r="L695" s="891">
        <v>0</v>
      </c>
      <c r="M695" s="996">
        <f t="shared" si="146"/>
        <v>0</v>
      </c>
      <c r="N695" s="796"/>
      <c r="P695" s="399"/>
    </row>
    <row r="696" spans="1:16" s="647" customFormat="1" ht="15" customHeight="1" x14ac:dyDescent="0.25">
      <c r="A696" s="397"/>
      <c r="B696" s="599">
        <f t="shared" si="147"/>
        <v>25105</v>
      </c>
      <c r="C696" s="600" t="s">
        <v>6062</v>
      </c>
      <c r="D696" s="528" t="str">
        <f t="shared" si="148"/>
        <v>25100</v>
      </c>
      <c r="E696" s="417">
        <v>331901133000000</v>
      </c>
      <c r="F696" s="418" t="s">
        <v>2226</v>
      </c>
      <c r="G696" s="603">
        <v>1</v>
      </c>
      <c r="H696" s="603">
        <v>0</v>
      </c>
      <c r="I696" s="601">
        <v>311210116000000</v>
      </c>
      <c r="J696" s="602" t="s">
        <v>6033</v>
      </c>
      <c r="K696" s="891">
        <v>0</v>
      </c>
      <c r="L696" s="891">
        <v>0</v>
      </c>
      <c r="M696" s="996">
        <f t="shared" si="146"/>
        <v>0</v>
      </c>
      <c r="N696" s="796"/>
      <c r="P696" s="399"/>
    </row>
    <row r="697" spans="1:16" s="647" customFormat="1" ht="15" customHeight="1" x14ac:dyDescent="0.25">
      <c r="A697" s="397"/>
      <c r="B697" s="599">
        <f t="shared" si="147"/>
        <v>25106</v>
      </c>
      <c r="C697" s="600" t="s">
        <v>6062</v>
      </c>
      <c r="D697" s="528" t="str">
        <f t="shared" si="148"/>
        <v>25100</v>
      </c>
      <c r="E697" s="417">
        <v>331901137000000</v>
      </c>
      <c r="F697" s="418" t="s">
        <v>5929</v>
      </c>
      <c r="G697" s="603">
        <v>1</v>
      </c>
      <c r="H697" s="603">
        <v>0</v>
      </c>
      <c r="I697" s="601">
        <v>311110118000000</v>
      </c>
      <c r="J697" s="602" t="s">
        <v>6026</v>
      </c>
      <c r="K697" s="891">
        <v>0</v>
      </c>
      <c r="L697" s="891">
        <v>0</v>
      </c>
      <c r="M697" s="996">
        <f t="shared" si="146"/>
        <v>0</v>
      </c>
      <c r="N697" s="796"/>
      <c r="P697" s="399"/>
    </row>
    <row r="698" spans="1:16" s="647" customFormat="1" ht="15" customHeight="1" x14ac:dyDescent="0.25">
      <c r="A698" s="397"/>
      <c r="B698" s="599">
        <f t="shared" si="147"/>
        <v>25107</v>
      </c>
      <c r="C698" s="600" t="s">
        <v>6062</v>
      </c>
      <c r="D698" s="528" t="str">
        <f t="shared" si="148"/>
        <v>25100</v>
      </c>
      <c r="E698" s="417">
        <v>331901142000000</v>
      </c>
      <c r="F698" s="418" t="s">
        <v>6075</v>
      </c>
      <c r="G698" s="603">
        <v>1</v>
      </c>
      <c r="H698" s="603">
        <v>0</v>
      </c>
      <c r="I698" s="601">
        <v>837</v>
      </c>
      <c r="J698" s="602" t="s">
        <v>6027</v>
      </c>
      <c r="K698" s="891">
        <v>0</v>
      </c>
      <c r="L698" s="891">
        <v>0</v>
      </c>
      <c r="M698" s="996">
        <f t="shared" si="146"/>
        <v>0</v>
      </c>
      <c r="N698" s="796"/>
      <c r="P698" s="399"/>
    </row>
    <row r="699" spans="1:16" s="647" customFormat="1" ht="15" customHeight="1" x14ac:dyDescent="0.25">
      <c r="A699" s="397"/>
      <c r="B699" s="599">
        <f t="shared" si="147"/>
        <v>25108</v>
      </c>
      <c r="C699" s="600" t="s">
        <v>6062</v>
      </c>
      <c r="D699" s="528" t="str">
        <f t="shared" si="148"/>
        <v>25100</v>
      </c>
      <c r="E699" s="417">
        <v>331901142000000</v>
      </c>
      <c r="F699" s="418" t="s">
        <v>6076</v>
      </c>
      <c r="G699" s="603">
        <v>1</v>
      </c>
      <c r="H699" s="603">
        <v>0</v>
      </c>
      <c r="I699" s="601">
        <v>837</v>
      </c>
      <c r="J699" s="602" t="s">
        <v>6028</v>
      </c>
      <c r="K699" s="891">
        <v>0</v>
      </c>
      <c r="L699" s="891">
        <v>0</v>
      </c>
      <c r="M699" s="996">
        <f t="shared" si="146"/>
        <v>0</v>
      </c>
      <c r="N699" s="796"/>
      <c r="P699" s="399"/>
    </row>
    <row r="700" spans="1:16" s="647" customFormat="1" ht="15" customHeight="1" x14ac:dyDescent="0.25">
      <c r="A700" s="397"/>
      <c r="B700" s="599">
        <f t="shared" si="147"/>
        <v>25109</v>
      </c>
      <c r="C700" s="600" t="s">
        <v>6062</v>
      </c>
      <c r="D700" s="528" t="str">
        <f t="shared" si="148"/>
        <v>25100</v>
      </c>
      <c r="E700" s="417">
        <v>331901142000000</v>
      </c>
      <c r="F700" s="418" t="s">
        <v>7132</v>
      </c>
      <c r="G700" s="603">
        <v>1</v>
      </c>
      <c r="H700" s="603">
        <v>0</v>
      </c>
      <c r="I700" s="601">
        <v>837</v>
      </c>
      <c r="J700" s="602" t="s">
        <v>6029</v>
      </c>
      <c r="K700" s="891">
        <v>0</v>
      </c>
      <c r="L700" s="891">
        <v>0</v>
      </c>
      <c r="M700" s="996">
        <f t="shared" si="146"/>
        <v>0</v>
      </c>
      <c r="N700" s="796"/>
      <c r="P700" s="399"/>
    </row>
    <row r="701" spans="1:16" s="647" customFormat="1" ht="15" customHeight="1" x14ac:dyDescent="0.25">
      <c r="A701" s="397"/>
      <c r="B701" s="599">
        <f t="shared" si="147"/>
        <v>25110</v>
      </c>
      <c r="C701" s="600" t="s">
        <v>6062</v>
      </c>
      <c r="D701" s="528" t="str">
        <f t="shared" si="148"/>
        <v>25100</v>
      </c>
      <c r="E701" s="417">
        <v>331901143000000</v>
      </c>
      <c r="F701" s="418" t="s">
        <v>6077</v>
      </c>
      <c r="G701" s="603">
        <v>1</v>
      </c>
      <c r="H701" s="603">
        <v>0</v>
      </c>
      <c r="I701" s="601">
        <v>828</v>
      </c>
      <c r="J701" s="602" t="s">
        <v>6030</v>
      </c>
      <c r="K701" s="891">
        <v>0</v>
      </c>
      <c r="L701" s="891">
        <v>0</v>
      </c>
      <c r="M701" s="996">
        <f t="shared" si="146"/>
        <v>0</v>
      </c>
      <c r="N701" s="796"/>
      <c r="P701" s="399"/>
    </row>
    <row r="702" spans="1:16" s="647" customFormat="1" ht="15" customHeight="1" x14ac:dyDescent="0.25">
      <c r="A702" s="397"/>
      <c r="B702" s="599">
        <f t="shared" si="147"/>
        <v>25111</v>
      </c>
      <c r="C702" s="600" t="s">
        <v>6062</v>
      </c>
      <c r="D702" s="528" t="str">
        <f t="shared" si="148"/>
        <v>25100</v>
      </c>
      <c r="E702" s="417">
        <v>331901143000000</v>
      </c>
      <c r="F702" s="418" t="s">
        <v>6078</v>
      </c>
      <c r="G702" s="603">
        <v>1</v>
      </c>
      <c r="H702" s="603">
        <v>0</v>
      </c>
      <c r="I702" s="601">
        <v>828</v>
      </c>
      <c r="J702" s="602" t="s">
        <v>6031</v>
      </c>
      <c r="K702" s="891">
        <v>0</v>
      </c>
      <c r="L702" s="891">
        <v>0</v>
      </c>
      <c r="M702" s="996">
        <f t="shared" si="146"/>
        <v>0</v>
      </c>
      <c r="N702" s="796"/>
      <c r="P702" s="399"/>
    </row>
    <row r="703" spans="1:16" s="647" customFormat="1" ht="15" customHeight="1" x14ac:dyDescent="0.25">
      <c r="A703" s="397"/>
      <c r="B703" s="599">
        <f t="shared" si="147"/>
        <v>25112</v>
      </c>
      <c r="C703" s="600" t="s">
        <v>6062</v>
      </c>
      <c r="D703" s="528" t="str">
        <f t="shared" si="148"/>
        <v>25100</v>
      </c>
      <c r="E703" s="417">
        <v>331901143000000</v>
      </c>
      <c r="F703" s="418" t="s">
        <v>7133</v>
      </c>
      <c r="G703" s="603">
        <v>1</v>
      </c>
      <c r="H703" s="603">
        <v>0</v>
      </c>
      <c r="I703" s="601">
        <v>828</v>
      </c>
      <c r="J703" s="602" t="s">
        <v>6032</v>
      </c>
      <c r="K703" s="891">
        <v>0</v>
      </c>
      <c r="L703" s="891">
        <v>0</v>
      </c>
      <c r="M703" s="996">
        <f t="shared" si="146"/>
        <v>0</v>
      </c>
      <c r="N703" s="796"/>
      <c r="P703" s="399"/>
    </row>
    <row r="704" spans="1:16" s="647" customFormat="1" ht="15" customHeight="1" x14ac:dyDescent="0.25">
      <c r="A704" s="397"/>
      <c r="B704" s="599">
        <f t="shared" si="147"/>
        <v>25113</v>
      </c>
      <c r="C704" s="600" t="s">
        <v>6062</v>
      </c>
      <c r="D704" s="528" t="str">
        <f t="shared" si="148"/>
        <v>25100</v>
      </c>
      <c r="E704" s="417">
        <v>331901145000000</v>
      </c>
      <c r="F704" s="418" t="s">
        <v>6079</v>
      </c>
      <c r="G704" s="603">
        <v>1</v>
      </c>
      <c r="H704" s="603">
        <v>0</v>
      </c>
      <c r="I704" s="601">
        <v>837</v>
      </c>
      <c r="J704" s="602" t="s">
        <v>6027</v>
      </c>
      <c r="K704" s="891">
        <v>0</v>
      </c>
      <c r="L704" s="891">
        <v>0</v>
      </c>
      <c r="M704" s="996">
        <f t="shared" si="146"/>
        <v>0</v>
      </c>
      <c r="N704" s="796"/>
      <c r="P704" s="399"/>
    </row>
    <row r="705" spans="1:16" s="647" customFormat="1" ht="15" customHeight="1" x14ac:dyDescent="0.25">
      <c r="A705" s="397"/>
      <c r="B705" s="599">
        <f t="shared" si="147"/>
        <v>25114</v>
      </c>
      <c r="C705" s="600" t="s">
        <v>6062</v>
      </c>
      <c r="D705" s="528" t="str">
        <f t="shared" si="148"/>
        <v>25100</v>
      </c>
      <c r="E705" s="417">
        <v>331901145000000</v>
      </c>
      <c r="F705" s="418" t="s">
        <v>6080</v>
      </c>
      <c r="G705" s="603">
        <v>1</v>
      </c>
      <c r="H705" s="603">
        <v>0</v>
      </c>
      <c r="I705" s="601">
        <v>837</v>
      </c>
      <c r="J705" s="602" t="s">
        <v>6028</v>
      </c>
      <c r="K705" s="891">
        <v>0</v>
      </c>
      <c r="L705" s="891">
        <v>0</v>
      </c>
      <c r="M705" s="996">
        <f t="shared" si="146"/>
        <v>0</v>
      </c>
      <c r="N705" s="796"/>
      <c r="P705" s="399"/>
    </row>
    <row r="706" spans="1:16" s="647" customFormat="1" ht="15" customHeight="1" x14ac:dyDescent="0.25">
      <c r="A706" s="397"/>
      <c r="B706" s="599">
        <f t="shared" si="147"/>
        <v>25115</v>
      </c>
      <c r="C706" s="600" t="s">
        <v>6062</v>
      </c>
      <c r="D706" s="528" t="str">
        <f t="shared" si="148"/>
        <v>25100</v>
      </c>
      <c r="E706" s="417">
        <v>331901145000000</v>
      </c>
      <c r="F706" s="418" t="s">
        <v>7134</v>
      </c>
      <c r="G706" s="603">
        <v>1</v>
      </c>
      <c r="H706" s="603">
        <v>0</v>
      </c>
      <c r="I706" s="601">
        <v>837</v>
      </c>
      <c r="J706" s="602" t="s">
        <v>6029</v>
      </c>
      <c r="K706" s="891">
        <v>0</v>
      </c>
      <c r="L706" s="891">
        <v>0</v>
      </c>
      <c r="M706" s="996">
        <f t="shared" si="146"/>
        <v>0</v>
      </c>
      <c r="N706" s="796"/>
      <c r="P706" s="399"/>
    </row>
    <row r="707" spans="1:16" s="647" customFormat="1" ht="15" customHeight="1" x14ac:dyDescent="0.25">
      <c r="A707" s="397"/>
      <c r="B707" s="599">
        <f t="shared" si="147"/>
        <v>25116</v>
      </c>
      <c r="C707" s="600" t="s">
        <v>6062</v>
      </c>
      <c r="D707" s="528" t="str">
        <f t="shared" si="148"/>
        <v>25100</v>
      </c>
      <c r="E707" s="417">
        <v>331901174000000</v>
      </c>
      <c r="F707" s="418" t="s">
        <v>7135</v>
      </c>
      <c r="G707" s="603">
        <v>1</v>
      </c>
      <c r="H707" s="603">
        <v>0</v>
      </c>
      <c r="I707" s="601">
        <v>311210131000000</v>
      </c>
      <c r="J707" s="602" t="s">
        <v>6035</v>
      </c>
      <c r="K707" s="891">
        <v>0</v>
      </c>
      <c r="L707" s="891">
        <v>0</v>
      </c>
      <c r="M707" s="996">
        <f t="shared" si="146"/>
        <v>0</v>
      </c>
      <c r="N707" s="796"/>
      <c r="P707" s="399"/>
    </row>
    <row r="708" spans="1:16" s="115" customFormat="1" ht="15" customHeight="1" x14ac:dyDescent="0.25">
      <c r="A708" s="396"/>
      <c r="B708" s="1398" t="s">
        <v>7149</v>
      </c>
      <c r="C708" s="1398"/>
      <c r="D708" s="1398"/>
      <c r="E708" s="854">
        <v>331901300000000</v>
      </c>
      <c r="F708" s="855" t="s">
        <v>5735</v>
      </c>
      <c r="G708" s="468">
        <v>1</v>
      </c>
      <c r="H708" s="468">
        <v>0</v>
      </c>
      <c r="I708" s="751"/>
      <c r="J708" s="878" t="s">
        <v>7194</v>
      </c>
      <c r="K708" s="789">
        <f>'Parâmetros financeiros Despesa'!E307</f>
        <v>82161.868750000009</v>
      </c>
      <c r="L708" s="789">
        <f>(L712+L691)*'Parâmetros financeiros Despesa'!F80</f>
        <v>120886.34642357923</v>
      </c>
      <c r="M708" s="799">
        <f t="shared" si="146"/>
        <v>6.5485189511581207E-2</v>
      </c>
      <c r="N708" s="894"/>
      <c r="P708" s="733"/>
    </row>
    <row r="709" spans="1:16" s="647" customFormat="1" ht="15" customHeight="1" x14ac:dyDescent="0.25">
      <c r="A709" s="397"/>
      <c r="B709" s="599">
        <f>B708+1</f>
        <v>25201</v>
      </c>
      <c r="C709" s="600" t="s">
        <v>6062</v>
      </c>
      <c r="D709" s="528" t="str">
        <f>B708</f>
        <v>25200</v>
      </c>
      <c r="E709" s="417">
        <v>331901302010000</v>
      </c>
      <c r="F709" s="418" t="s">
        <v>7019</v>
      </c>
      <c r="G709" s="603">
        <v>1</v>
      </c>
      <c r="H709" s="603">
        <v>0</v>
      </c>
      <c r="I709" s="601">
        <v>312219900000000</v>
      </c>
      <c r="J709" s="602" t="s">
        <v>6036</v>
      </c>
      <c r="K709" s="891">
        <v>0</v>
      </c>
      <c r="L709" s="891">
        <v>0</v>
      </c>
      <c r="M709" s="996">
        <f t="shared" si="146"/>
        <v>0</v>
      </c>
      <c r="N709" s="796"/>
      <c r="P709" s="399"/>
    </row>
    <row r="710" spans="1:16" s="647" customFormat="1" ht="15" customHeight="1" x14ac:dyDescent="0.25">
      <c r="A710" s="397"/>
      <c r="B710" s="599">
        <f>B709+1</f>
        <v>25202</v>
      </c>
      <c r="C710" s="600" t="s">
        <v>6062</v>
      </c>
      <c r="D710" s="528" t="str">
        <f>D709</f>
        <v>25200</v>
      </c>
      <c r="E710" s="417">
        <v>331901302010000</v>
      </c>
      <c r="F710" s="418" t="s">
        <v>7020</v>
      </c>
      <c r="G710" s="603">
        <v>1</v>
      </c>
      <c r="H710" s="603">
        <v>0</v>
      </c>
      <c r="I710" s="601">
        <v>312219900000000</v>
      </c>
      <c r="J710" s="602" t="s">
        <v>6037</v>
      </c>
      <c r="K710" s="891">
        <v>0</v>
      </c>
      <c r="L710" s="891">
        <v>0</v>
      </c>
      <c r="M710" s="996">
        <f t="shared" si="146"/>
        <v>0</v>
      </c>
      <c r="N710" s="796"/>
      <c r="P710" s="399"/>
    </row>
    <row r="711" spans="1:16" s="647" customFormat="1" ht="15" customHeight="1" x14ac:dyDescent="0.25">
      <c r="A711" s="397"/>
      <c r="B711" s="599">
        <f>B710+1</f>
        <v>25203</v>
      </c>
      <c r="C711" s="600" t="s">
        <v>6062</v>
      </c>
      <c r="D711" s="528" t="str">
        <f>D710</f>
        <v>25200</v>
      </c>
      <c r="E711" s="417">
        <v>331901302010000</v>
      </c>
      <c r="F711" s="418" t="s">
        <v>7136</v>
      </c>
      <c r="G711" s="603">
        <v>1</v>
      </c>
      <c r="H711" s="603">
        <v>0</v>
      </c>
      <c r="I711" s="601">
        <v>312219900000000</v>
      </c>
      <c r="J711" s="602" t="s">
        <v>6038</v>
      </c>
      <c r="K711" s="891">
        <v>0</v>
      </c>
      <c r="L711" s="891">
        <v>0</v>
      </c>
      <c r="M711" s="996">
        <f t="shared" si="146"/>
        <v>0</v>
      </c>
      <c r="N711" s="796"/>
      <c r="P711" s="399"/>
    </row>
    <row r="712" spans="1:16" s="115" customFormat="1" ht="15" customHeight="1" x14ac:dyDescent="0.25">
      <c r="A712" s="396"/>
      <c r="B712" s="1398" t="s">
        <v>7150</v>
      </c>
      <c r="C712" s="1398"/>
      <c r="D712" s="1398"/>
      <c r="E712" s="854">
        <v>331901600000000</v>
      </c>
      <c r="F712" s="855" t="s">
        <v>5736</v>
      </c>
      <c r="G712" s="468">
        <v>1</v>
      </c>
      <c r="H712" s="468">
        <v>0</v>
      </c>
      <c r="I712" s="751"/>
      <c r="J712" s="878" t="s">
        <v>7194</v>
      </c>
      <c r="K712" s="789">
        <f>'Parâmetros financeiros Despesa'!E308</f>
        <v>28500.18</v>
      </c>
      <c r="L712" s="789">
        <f>('Parâmetros financeiros Despesa'!F308)*2.05+(('Parâmetros financeiros Despesa'!F308)*11.28)*(1+'Parâmetros financeiros Despesa'!F$4)*(1+'Parâmetros financeiros Despesa'!F$8)</f>
        <v>33145.30691798975</v>
      </c>
      <c r="M712" s="799">
        <f t="shared" si="146"/>
        <v>1.7955102202681136E-2</v>
      </c>
      <c r="N712" s="894"/>
      <c r="P712" s="733"/>
    </row>
    <row r="713" spans="1:16" s="662" customFormat="1" ht="15" customHeight="1" x14ac:dyDescent="0.25">
      <c r="A713" s="397"/>
      <c r="B713" s="599" t="s">
        <v>7195</v>
      </c>
      <c r="C713" s="600" t="s">
        <v>6062</v>
      </c>
      <c r="D713" s="528">
        <v>25300</v>
      </c>
      <c r="E713" s="417">
        <v>331901644000000</v>
      </c>
      <c r="F713" s="418" t="s">
        <v>4925</v>
      </c>
      <c r="G713" s="603">
        <v>1</v>
      </c>
      <c r="H713" s="603">
        <v>0</v>
      </c>
      <c r="I713" s="601">
        <v>311210203000000</v>
      </c>
      <c r="J713" s="602" t="s">
        <v>6039</v>
      </c>
      <c r="K713" s="891">
        <v>0</v>
      </c>
      <c r="L713" s="891">
        <v>0</v>
      </c>
      <c r="M713" s="996">
        <f t="shared" si="146"/>
        <v>0</v>
      </c>
      <c r="N713" s="796"/>
      <c r="P713" s="399"/>
    </row>
    <row r="714" spans="1:16" s="647" customFormat="1" ht="15" customHeight="1" x14ac:dyDescent="0.25">
      <c r="A714" s="397"/>
      <c r="B714" s="599" t="s">
        <v>7196</v>
      </c>
      <c r="C714" s="600" t="s">
        <v>6062</v>
      </c>
      <c r="D714" s="528">
        <v>25300</v>
      </c>
      <c r="E714" s="417">
        <v>331901644000000</v>
      </c>
      <c r="F714" s="418" t="s">
        <v>2155</v>
      </c>
      <c r="G714" s="603">
        <v>1</v>
      </c>
      <c r="H714" s="603">
        <v>0</v>
      </c>
      <c r="I714" s="601">
        <v>311210203000000</v>
      </c>
      <c r="J714" s="602" t="s">
        <v>6039</v>
      </c>
      <c r="K714" s="891">
        <v>0</v>
      </c>
      <c r="L714" s="891">
        <v>0</v>
      </c>
      <c r="M714" s="996">
        <f t="shared" si="146"/>
        <v>0</v>
      </c>
      <c r="N714" s="796"/>
      <c r="P714" s="399"/>
    </row>
    <row r="715" spans="1:16" s="115" customFormat="1" ht="15" customHeight="1" x14ac:dyDescent="0.25">
      <c r="A715" s="396"/>
      <c r="B715" s="1398" t="s">
        <v>7197</v>
      </c>
      <c r="C715" s="1398"/>
      <c r="D715" s="1398"/>
      <c r="E715" s="854">
        <v>333901400000000</v>
      </c>
      <c r="F715" s="855" t="s">
        <v>6568</v>
      </c>
      <c r="G715" s="468">
        <v>1</v>
      </c>
      <c r="H715" s="468">
        <v>0</v>
      </c>
      <c r="I715" s="751"/>
      <c r="J715" s="878" t="s">
        <v>7188</v>
      </c>
      <c r="K715" s="789">
        <f>'Parâmetros financeiros Despesa'!E309</f>
        <v>10432.184999999999</v>
      </c>
      <c r="L715" s="789">
        <f>('Parâmetros financeiros Despesa'!F309)*2.05+(('Parâmetros financeiros Despesa'!F309)*11.28)*(1+'Parâmetros financeiros Despesa'!F$4)*(1+'Parâmetros financeiros Despesa'!F$8)</f>
        <v>12132.483852742296</v>
      </c>
      <c r="M715" s="799">
        <f t="shared" si="146"/>
        <v>6.5722724513416104E-3</v>
      </c>
      <c r="N715" s="894"/>
      <c r="O715" s="796"/>
      <c r="P715" s="733"/>
    </row>
    <row r="716" spans="1:16" s="647" customFormat="1" ht="15" customHeight="1" x14ac:dyDescent="0.25">
      <c r="A716" s="397"/>
      <c r="B716" s="599">
        <f>B715+1</f>
        <v>25401</v>
      </c>
      <c r="C716" s="600" t="s">
        <v>6062</v>
      </c>
      <c r="D716" s="528" t="str">
        <f>B715</f>
        <v>25400</v>
      </c>
      <c r="E716" s="417">
        <v>333901414010000</v>
      </c>
      <c r="F716" s="418" t="s">
        <v>2156</v>
      </c>
      <c r="G716" s="603">
        <v>1</v>
      </c>
      <c r="H716" s="603">
        <v>0</v>
      </c>
      <c r="I716" s="601">
        <v>332110100000000</v>
      </c>
      <c r="J716" s="602" t="s">
        <v>6090</v>
      </c>
      <c r="K716" s="891">
        <v>0</v>
      </c>
      <c r="L716" s="891">
        <v>0</v>
      </c>
      <c r="M716" s="996">
        <f t="shared" si="146"/>
        <v>0</v>
      </c>
      <c r="N716" s="796"/>
      <c r="P716" s="399"/>
    </row>
    <row r="717" spans="1:16" s="647" customFormat="1" ht="15" customHeight="1" x14ac:dyDescent="0.25">
      <c r="A717" s="397"/>
      <c r="B717" s="599">
        <f>B716+1</f>
        <v>25402</v>
      </c>
      <c r="C717" s="600" t="s">
        <v>6062</v>
      </c>
      <c r="D717" s="528">
        <v>25400</v>
      </c>
      <c r="E717" s="417">
        <v>333901414030000</v>
      </c>
      <c r="F717" s="418" t="s">
        <v>2157</v>
      </c>
      <c r="G717" s="603">
        <v>1</v>
      </c>
      <c r="H717" s="603">
        <v>0</v>
      </c>
      <c r="I717" s="601">
        <v>332110100000000</v>
      </c>
      <c r="J717" s="602" t="s">
        <v>6088</v>
      </c>
      <c r="K717" s="891">
        <v>0</v>
      </c>
      <c r="L717" s="891">
        <v>0</v>
      </c>
      <c r="M717" s="996">
        <f t="shared" si="146"/>
        <v>0</v>
      </c>
      <c r="N717" s="796"/>
      <c r="P717" s="399"/>
    </row>
    <row r="718" spans="1:16" s="647" customFormat="1" ht="15" customHeight="1" x14ac:dyDescent="0.25">
      <c r="A718" s="397"/>
      <c r="B718" s="599">
        <f>B717+1</f>
        <v>25403</v>
      </c>
      <c r="C718" s="600" t="s">
        <v>6062</v>
      </c>
      <c r="D718" s="528">
        <f>D717</f>
        <v>25400</v>
      </c>
      <c r="E718" s="417">
        <v>333901414040000</v>
      </c>
      <c r="F718" s="418" t="s">
        <v>7137</v>
      </c>
      <c r="G718" s="603">
        <v>1</v>
      </c>
      <c r="H718" s="603">
        <v>0</v>
      </c>
      <c r="I718" s="601">
        <v>332110100000000</v>
      </c>
      <c r="J718" s="602" t="s">
        <v>6086</v>
      </c>
      <c r="K718" s="891">
        <v>0</v>
      </c>
      <c r="L718" s="891">
        <v>0</v>
      </c>
      <c r="M718" s="996">
        <f t="shared" si="146"/>
        <v>0</v>
      </c>
      <c r="N718" s="796"/>
      <c r="P718" s="399"/>
    </row>
    <row r="719" spans="1:16" s="662" customFormat="1" ht="15" customHeight="1" x14ac:dyDescent="0.25">
      <c r="A719" s="397"/>
      <c r="B719" s="599">
        <f>B718+1</f>
        <v>25404</v>
      </c>
      <c r="C719" s="600" t="s">
        <v>6062</v>
      </c>
      <c r="D719" s="528">
        <f>D718</f>
        <v>25400</v>
      </c>
      <c r="E719" s="417">
        <v>333901414070000</v>
      </c>
      <c r="F719" s="418" t="s">
        <v>2788</v>
      </c>
      <c r="G719" s="603">
        <v>1</v>
      </c>
      <c r="H719" s="603">
        <v>0</v>
      </c>
      <c r="I719" s="601">
        <v>332110100000000</v>
      </c>
      <c r="J719" s="602" t="s">
        <v>6086</v>
      </c>
      <c r="K719" s="891">
        <v>0</v>
      </c>
      <c r="L719" s="891">
        <v>0</v>
      </c>
      <c r="M719" s="996">
        <f t="shared" si="146"/>
        <v>0</v>
      </c>
      <c r="N719" s="796"/>
      <c r="P719" s="399"/>
    </row>
    <row r="720" spans="1:16" s="115" customFormat="1" ht="15" customHeight="1" x14ac:dyDescent="0.25">
      <c r="A720" s="396"/>
      <c r="B720" s="1396">
        <v>25500</v>
      </c>
      <c r="C720" s="1396"/>
      <c r="D720" s="1396"/>
      <c r="E720" s="854">
        <v>333903000000000</v>
      </c>
      <c r="F720" s="855" t="s">
        <v>7198</v>
      </c>
      <c r="G720" s="468">
        <v>1</v>
      </c>
      <c r="H720" s="468">
        <v>0</v>
      </c>
      <c r="I720" s="751"/>
      <c r="J720" s="878" t="s">
        <v>7188</v>
      </c>
      <c r="K720" s="789">
        <f>('Parâmetros financeiros Despesa'!E310+'Parâmetros financeiros Despesa'!E311)</f>
        <v>21450.329999999998</v>
      </c>
      <c r="L720" s="789">
        <f>('Parâmetros financeiros Despesa'!F310+'Parâmetros financeiros Despesa'!F311)*(1+'Parâmetros financeiros Despesa'!F$4)*(1+'Parâmetros financeiros Despesa'!F$7)</f>
        <v>28839.627984395</v>
      </c>
      <c r="M720" s="799">
        <f t="shared" si="146"/>
        <v>1.5622678324516196E-2</v>
      </c>
      <c r="N720" s="894"/>
      <c r="O720" s="796"/>
      <c r="P720" s="733"/>
    </row>
    <row r="721" spans="1:16" s="662" customFormat="1" ht="15" customHeight="1" x14ac:dyDescent="0.25">
      <c r="A721" s="397"/>
      <c r="B721" s="478">
        <f>B720+1</f>
        <v>25501</v>
      </c>
      <c r="C721" s="528" t="s">
        <v>6062</v>
      </c>
      <c r="D721" s="528">
        <v>25500</v>
      </c>
      <c r="E721" s="417">
        <v>333903001010300</v>
      </c>
      <c r="F721" s="418" t="s">
        <v>7138</v>
      </c>
      <c r="G721" s="603">
        <v>1</v>
      </c>
      <c r="H721" s="603">
        <v>0</v>
      </c>
      <c r="I721" s="601"/>
      <c r="J721" s="602" t="s">
        <v>6095</v>
      </c>
      <c r="K721" s="891">
        <v>0</v>
      </c>
      <c r="L721" s="891">
        <v>0</v>
      </c>
      <c r="M721" s="996">
        <f t="shared" si="146"/>
        <v>0</v>
      </c>
      <c r="N721" s="796"/>
      <c r="P721" s="399"/>
    </row>
    <row r="722" spans="1:16" s="662" customFormat="1" ht="15" customHeight="1" x14ac:dyDescent="0.25">
      <c r="A722" s="397"/>
      <c r="B722" s="478">
        <f>B721+1</f>
        <v>25502</v>
      </c>
      <c r="C722" s="528" t="s">
        <v>6062</v>
      </c>
      <c r="D722" s="528">
        <v>25500</v>
      </c>
      <c r="E722" s="417">
        <v>333903001012200</v>
      </c>
      <c r="F722" s="418" t="s">
        <v>7139</v>
      </c>
      <c r="G722" s="603">
        <v>1</v>
      </c>
      <c r="H722" s="603">
        <v>0</v>
      </c>
      <c r="I722" s="601"/>
      <c r="J722" s="602" t="s">
        <v>6095</v>
      </c>
      <c r="K722" s="891">
        <v>0</v>
      </c>
      <c r="L722" s="891">
        <v>0</v>
      </c>
      <c r="M722" s="996">
        <f t="shared" si="146"/>
        <v>0</v>
      </c>
      <c r="N722" s="796"/>
      <c r="P722" s="399"/>
    </row>
    <row r="723" spans="1:16" s="662" customFormat="1" ht="15" customHeight="1" x14ac:dyDescent="0.25">
      <c r="A723" s="397"/>
      <c r="B723" s="478">
        <f>B722+1</f>
        <v>25503</v>
      </c>
      <c r="C723" s="528" t="s">
        <v>6062</v>
      </c>
      <c r="D723" s="528">
        <v>25500</v>
      </c>
      <c r="E723" s="417">
        <v>333903001012600</v>
      </c>
      <c r="F723" s="418" t="s">
        <v>7140</v>
      </c>
      <c r="G723" s="603">
        <v>1</v>
      </c>
      <c r="H723" s="603">
        <v>0</v>
      </c>
      <c r="I723" s="601"/>
      <c r="J723" s="602" t="s">
        <v>6095</v>
      </c>
      <c r="K723" s="891">
        <v>0</v>
      </c>
      <c r="L723" s="891">
        <v>0</v>
      </c>
      <c r="M723" s="996">
        <f t="shared" si="146"/>
        <v>0</v>
      </c>
      <c r="N723" s="796"/>
      <c r="P723" s="399"/>
    </row>
    <row r="724" spans="1:16" s="662" customFormat="1" ht="15" customHeight="1" x14ac:dyDescent="0.25">
      <c r="A724" s="397"/>
      <c r="B724" s="478">
        <f>B723+1</f>
        <v>25504</v>
      </c>
      <c r="C724" s="528" t="s">
        <v>6062</v>
      </c>
      <c r="D724" s="528">
        <v>25500</v>
      </c>
      <c r="E724" s="417">
        <v>333903001034300</v>
      </c>
      <c r="F724" s="418" t="s">
        <v>7141</v>
      </c>
      <c r="G724" s="603">
        <v>1</v>
      </c>
      <c r="H724" s="603">
        <v>0</v>
      </c>
      <c r="I724" s="601"/>
      <c r="J724" s="602" t="s">
        <v>6095</v>
      </c>
      <c r="K724" s="891">
        <v>0</v>
      </c>
      <c r="L724" s="891">
        <v>0</v>
      </c>
      <c r="M724" s="996">
        <f t="shared" si="146"/>
        <v>0</v>
      </c>
      <c r="N724" s="796"/>
      <c r="P724" s="399"/>
    </row>
    <row r="725" spans="1:16" s="647" customFormat="1" ht="15" customHeight="1" x14ac:dyDescent="0.25">
      <c r="A725" s="397"/>
      <c r="B725" s="478">
        <v>24001</v>
      </c>
      <c r="C725" s="528" t="s">
        <v>6062</v>
      </c>
      <c r="D725" s="528">
        <v>25500</v>
      </c>
      <c r="E725" s="417">
        <v>333903004000000</v>
      </c>
      <c r="F725" s="418" t="s">
        <v>2164</v>
      </c>
      <c r="G725" s="603">
        <v>1</v>
      </c>
      <c r="H725" s="603">
        <v>0</v>
      </c>
      <c r="I725" s="601">
        <v>331110300000000</v>
      </c>
      <c r="J725" s="602" t="s">
        <v>6095</v>
      </c>
      <c r="K725" s="891">
        <v>0</v>
      </c>
      <c r="L725" s="891">
        <v>0</v>
      </c>
      <c r="M725" s="996">
        <f t="shared" si="146"/>
        <v>0</v>
      </c>
      <c r="N725" s="796"/>
      <c r="P725" s="399"/>
    </row>
    <row r="726" spans="1:16" s="647" customFormat="1" ht="15" customHeight="1" x14ac:dyDescent="0.25">
      <c r="A726" s="397"/>
      <c r="B726" s="478">
        <f t="shared" ref="B726:B748" si="149">B725+1</f>
        <v>24002</v>
      </c>
      <c r="C726" s="528" t="s">
        <v>6062</v>
      </c>
      <c r="D726" s="528">
        <v>25500</v>
      </c>
      <c r="E726" s="417">
        <v>333903004000000</v>
      </c>
      <c r="F726" s="418" t="s">
        <v>5747</v>
      </c>
      <c r="G726" s="603">
        <v>1</v>
      </c>
      <c r="H726" s="603">
        <v>0</v>
      </c>
      <c r="I726" s="601">
        <v>1322</v>
      </c>
      <c r="J726" s="602" t="s">
        <v>6095</v>
      </c>
      <c r="K726" s="891">
        <v>0</v>
      </c>
      <c r="L726" s="891">
        <v>0</v>
      </c>
      <c r="M726" s="996">
        <f t="shared" si="146"/>
        <v>0</v>
      </c>
      <c r="N726" s="796"/>
      <c r="P726" s="399"/>
    </row>
    <row r="727" spans="1:16" s="647" customFormat="1" ht="15" customHeight="1" x14ac:dyDescent="0.25">
      <c r="A727" s="397"/>
      <c r="B727" s="478">
        <f t="shared" si="149"/>
        <v>24003</v>
      </c>
      <c r="C727" s="528" t="s">
        <v>6062</v>
      </c>
      <c r="D727" s="528">
        <v>25500</v>
      </c>
      <c r="E727" s="417">
        <v>333903007000000</v>
      </c>
      <c r="F727" s="418" t="s">
        <v>2267</v>
      </c>
      <c r="G727" s="603">
        <v>1</v>
      </c>
      <c r="H727" s="603">
        <v>0</v>
      </c>
      <c r="I727" s="601">
        <v>331110600000000</v>
      </c>
      <c r="J727" s="602" t="s">
        <v>6096</v>
      </c>
      <c r="K727" s="891">
        <v>0</v>
      </c>
      <c r="L727" s="891">
        <v>0</v>
      </c>
      <c r="M727" s="996">
        <f t="shared" si="146"/>
        <v>0</v>
      </c>
      <c r="N727" s="796"/>
      <c r="P727" s="399"/>
    </row>
    <row r="728" spans="1:16" s="647" customFormat="1" ht="15" customHeight="1" x14ac:dyDescent="0.25">
      <c r="A728" s="397"/>
      <c r="B728" s="478">
        <f>B727+1</f>
        <v>24004</v>
      </c>
      <c r="C728" s="528" t="s">
        <v>6062</v>
      </c>
      <c r="D728" s="528">
        <v>25500</v>
      </c>
      <c r="E728" s="417">
        <v>333903007000000</v>
      </c>
      <c r="F728" s="418" t="s">
        <v>5749</v>
      </c>
      <c r="G728" s="603">
        <v>1</v>
      </c>
      <c r="H728" s="603">
        <v>0</v>
      </c>
      <c r="I728" s="601">
        <v>30</v>
      </c>
      <c r="J728" s="602" t="s">
        <v>6096</v>
      </c>
      <c r="K728" s="891">
        <v>0</v>
      </c>
      <c r="L728" s="891">
        <v>0</v>
      </c>
      <c r="M728" s="996">
        <f t="shared" si="146"/>
        <v>0</v>
      </c>
      <c r="N728" s="796"/>
      <c r="P728" s="399"/>
    </row>
    <row r="729" spans="1:16" s="647" customFormat="1" ht="15" customHeight="1" x14ac:dyDescent="0.25">
      <c r="A729" s="397"/>
      <c r="B729" s="478">
        <f>B728+1</f>
        <v>24005</v>
      </c>
      <c r="C729" s="528" t="s">
        <v>6062</v>
      </c>
      <c r="D729" s="528">
        <v>25500</v>
      </c>
      <c r="E729" s="417">
        <v>333903007000000</v>
      </c>
      <c r="F729" s="418" t="s">
        <v>6923</v>
      </c>
      <c r="G729" s="603">
        <v>1</v>
      </c>
      <c r="H729" s="603">
        <v>0</v>
      </c>
      <c r="I729" s="601">
        <v>331110600000000</v>
      </c>
      <c r="J729" s="602" t="s">
        <v>6096</v>
      </c>
      <c r="K729" s="891">
        <v>0</v>
      </c>
      <c r="L729" s="891">
        <v>0</v>
      </c>
      <c r="M729" s="996">
        <f t="shared" si="146"/>
        <v>0</v>
      </c>
      <c r="N729" s="796"/>
      <c r="P729" s="399"/>
    </row>
    <row r="730" spans="1:16" s="647" customFormat="1" ht="15" customHeight="1" x14ac:dyDescent="0.25">
      <c r="A730" s="397"/>
      <c r="B730" s="478">
        <f>B729+1</f>
        <v>24006</v>
      </c>
      <c r="C730" s="528" t="s">
        <v>6062</v>
      </c>
      <c r="D730" s="528">
        <v>25500</v>
      </c>
      <c r="E730" s="417">
        <v>333903007000000</v>
      </c>
      <c r="F730" s="418" t="s">
        <v>6924</v>
      </c>
      <c r="G730" s="603">
        <v>1</v>
      </c>
      <c r="H730" s="603">
        <v>0</v>
      </c>
      <c r="I730" s="601">
        <v>30</v>
      </c>
      <c r="J730" s="602" t="s">
        <v>6096</v>
      </c>
      <c r="K730" s="891">
        <v>0</v>
      </c>
      <c r="L730" s="891">
        <v>0</v>
      </c>
      <c r="M730" s="996">
        <f t="shared" si="146"/>
        <v>0</v>
      </c>
      <c r="N730" s="796"/>
      <c r="P730" s="399"/>
    </row>
    <row r="731" spans="1:16" s="647" customFormat="1" ht="15" customHeight="1" x14ac:dyDescent="0.25">
      <c r="A731" s="397"/>
      <c r="B731" s="478">
        <f>B730+1</f>
        <v>24007</v>
      </c>
      <c r="C731" s="528" t="s">
        <v>6062</v>
      </c>
      <c r="D731" s="528">
        <v>25500</v>
      </c>
      <c r="E731" s="417">
        <v>333903016000000</v>
      </c>
      <c r="F731" s="418" t="s">
        <v>2264</v>
      </c>
      <c r="G731" s="603">
        <v>1</v>
      </c>
      <c r="H731" s="603">
        <v>0</v>
      </c>
      <c r="I731" s="601">
        <v>331111600000000</v>
      </c>
      <c r="J731" s="602" t="s">
        <v>6097</v>
      </c>
      <c r="K731" s="891">
        <v>0</v>
      </c>
      <c r="L731" s="891">
        <v>0</v>
      </c>
      <c r="M731" s="996">
        <f t="shared" si="146"/>
        <v>0</v>
      </c>
      <c r="N731" s="796"/>
      <c r="P731" s="399"/>
    </row>
    <row r="732" spans="1:16" s="647" customFormat="1" ht="15" customHeight="1" x14ac:dyDescent="0.25">
      <c r="A732" s="397"/>
      <c r="B732" s="478">
        <f t="shared" si="149"/>
        <v>24008</v>
      </c>
      <c r="C732" s="528" t="s">
        <v>6062</v>
      </c>
      <c r="D732" s="528">
        <v>25500</v>
      </c>
      <c r="E732" s="417">
        <v>333903016000000</v>
      </c>
      <c r="F732" s="418" t="s">
        <v>5751</v>
      </c>
      <c r="G732" s="603">
        <v>1</v>
      </c>
      <c r="H732" s="603">
        <v>0</v>
      </c>
      <c r="I732" s="601">
        <v>35</v>
      </c>
      <c r="J732" s="602" t="s">
        <v>6097</v>
      </c>
      <c r="K732" s="891">
        <v>0</v>
      </c>
      <c r="L732" s="891">
        <v>0</v>
      </c>
      <c r="M732" s="996">
        <f t="shared" si="146"/>
        <v>0</v>
      </c>
      <c r="N732" s="796"/>
      <c r="P732" s="399"/>
    </row>
    <row r="733" spans="1:16" s="647" customFormat="1" ht="15" customHeight="1" x14ac:dyDescent="0.25">
      <c r="A733" s="397"/>
      <c r="B733" s="478">
        <f t="shared" si="149"/>
        <v>24009</v>
      </c>
      <c r="C733" s="528" t="s">
        <v>6062</v>
      </c>
      <c r="D733" s="528">
        <v>25500</v>
      </c>
      <c r="E733" s="417">
        <v>333903017000000</v>
      </c>
      <c r="F733" s="418" t="s">
        <v>5753</v>
      </c>
      <c r="G733" s="603">
        <v>1</v>
      </c>
      <c r="H733" s="603">
        <v>0</v>
      </c>
      <c r="I733" s="601">
        <v>331111700000000</v>
      </c>
      <c r="J733" s="602" t="s">
        <v>6098</v>
      </c>
      <c r="K733" s="891">
        <v>0</v>
      </c>
      <c r="L733" s="891">
        <v>0</v>
      </c>
      <c r="M733" s="996">
        <f t="shared" si="146"/>
        <v>0</v>
      </c>
      <c r="N733" s="796"/>
      <c r="P733" s="399"/>
    </row>
    <row r="734" spans="1:16" s="647" customFormat="1" ht="15" customHeight="1" x14ac:dyDescent="0.25">
      <c r="A734" s="397"/>
      <c r="B734" s="478">
        <f t="shared" si="149"/>
        <v>24010</v>
      </c>
      <c r="C734" s="528" t="s">
        <v>6062</v>
      </c>
      <c r="D734" s="528">
        <v>25500</v>
      </c>
      <c r="E734" s="417">
        <v>333903017000000</v>
      </c>
      <c r="F734" s="418" t="s">
        <v>5754</v>
      </c>
      <c r="G734" s="603">
        <v>1</v>
      </c>
      <c r="H734" s="603">
        <v>0</v>
      </c>
      <c r="I734" s="601">
        <v>617</v>
      </c>
      <c r="J734" s="602" t="s">
        <v>6098</v>
      </c>
      <c r="K734" s="891">
        <v>0</v>
      </c>
      <c r="L734" s="891">
        <v>0</v>
      </c>
      <c r="M734" s="996">
        <f t="shared" si="146"/>
        <v>0</v>
      </c>
      <c r="N734" s="796"/>
      <c r="P734" s="399"/>
    </row>
    <row r="735" spans="1:16" s="647" customFormat="1" ht="15" customHeight="1" x14ac:dyDescent="0.25">
      <c r="A735" s="397"/>
      <c r="B735" s="478">
        <f t="shared" si="149"/>
        <v>24011</v>
      </c>
      <c r="C735" s="528" t="s">
        <v>6062</v>
      </c>
      <c r="D735" s="528">
        <v>25500</v>
      </c>
      <c r="E735" s="417">
        <v>333903021000000</v>
      </c>
      <c r="F735" s="418" t="s">
        <v>5868</v>
      </c>
      <c r="G735" s="603">
        <v>1</v>
      </c>
      <c r="H735" s="603">
        <v>0</v>
      </c>
      <c r="I735" s="601">
        <v>331112100000000</v>
      </c>
      <c r="J735" s="602" t="s">
        <v>6099</v>
      </c>
      <c r="K735" s="891">
        <v>0</v>
      </c>
      <c r="L735" s="891">
        <v>0</v>
      </c>
      <c r="M735" s="996">
        <f t="shared" si="146"/>
        <v>0</v>
      </c>
      <c r="N735" s="796"/>
      <c r="P735" s="399"/>
    </row>
    <row r="736" spans="1:16" s="647" customFormat="1" ht="15" customHeight="1" x14ac:dyDescent="0.25">
      <c r="A736" s="397"/>
      <c r="B736" s="478">
        <f t="shared" si="149"/>
        <v>24012</v>
      </c>
      <c r="C736" s="528" t="s">
        <v>6062</v>
      </c>
      <c r="D736" s="528">
        <v>25500</v>
      </c>
      <c r="E736" s="417">
        <v>333903021000000</v>
      </c>
      <c r="F736" s="418" t="s">
        <v>5869</v>
      </c>
      <c r="G736" s="603">
        <v>1</v>
      </c>
      <c r="H736" s="603">
        <v>0</v>
      </c>
      <c r="I736" s="601">
        <v>28</v>
      </c>
      <c r="J736" s="602" t="s">
        <v>6099</v>
      </c>
      <c r="K736" s="891">
        <v>0</v>
      </c>
      <c r="L736" s="891">
        <v>0</v>
      </c>
      <c r="M736" s="996">
        <f t="shared" si="146"/>
        <v>0</v>
      </c>
      <c r="N736" s="796"/>
      <c r="P736" s="399"/>
    </row>
    <row r="737" spans="1:16" s="647" customFormat="1" ht="15" customHeight="1" x14ac:dyDescent="0.25">
      <c r="A737" s="397"/>
      <c r="B737" s="478">
        <f t="shared" si="149"/>
        <v>24013</v>
      </c>
      <c r="C737" s="528" t="s">
        <v>6062</v>
      </c>
      <c r="D737" s="528">
        <v>25500</v>
      </c>
      <c r="E737" s="417">
        <v>333903022000000</v>
      </c>
      <c r="F737" s="418" t="s">
        <v>5757</v>
      </c>
      <c r="G737" s="603">
        <v>1</v>
      </c>
      <c r="H737" s="603">
        <v>0</v>
      </c>
      <c r="I737" s="601">
        <v>331112200000000</v>
      </c>
      <c r="J737" s="602" t="s">
        <v>6100</v>
      </c>
      <c r="K737" s="891">
        <v>0</v>
      </c>
      <c r="L737" s="891">
        <v>0</v>
      </c>
      <c r="M737" s="996">
        <f t="shared" si="146"/>
        <v>0</v>
      </c>
      <c r="N737" s="796"/>
      <c r="P737" s="399"/>
    </row>
    <row r="738" spans="1:16" s="647" customFormat="1" ht="15" customHeight="1" x14ac:dyDescent="0.25">
      <c r="A738" s="397"/>
      <c r="B738" s="478">
        <f t="shared" si="149"/>
        <v>24014</v>
      </c>
      <c r="C738" s="528" t="s">
        <v>6062</v>
      </c>
      <c r="D738" s="528">
        <v>25500</v>
      </c>
      <c r="E738" s="417">
        <v>333903022000000</v>
      </c>
      <c r="F738" s="418" t="s">
        <v>5758</v>
      </c>
      <c r="G738" s="603">
        <v>1</v>
      </c>
      <c r="H738" s="603">
        <v>0</v>
      </c>
      <c r="I738" s="601">
        <v>28</v>
      </c>
      <c r="J738" s="602" t="s">
        <v>6100</v>
      </c>
      <c r="K738" s="891">
        <v>0</v>
      </c>
      <c r="L738" s="891">
        <v>0</v>
      </c>
      <c r="M738" s="996">
        <f t="shared" si="146"/>
        <v>0</v>
      </c>
      <c r="N738" s="796"/>
      <c r="P738" s="399"/>
    </row>
    <row r="739" spans="1:16" s="647" customFormat="1" ht="15" customHeight="1" x14ac:dyDescent="0.25">
      <c r="A739" s="397"/>
      <c r="B739" s="478">
        <f t="shared" si="149"/>
        <v>24015</v>
      </c>
      <c r="C739" s="528" t="s">
        <v>6062</v>
      </c>
      <c r="D739" s="528">
        <v>25500</v>
      </c>
      <c r="E739" s="417">
        <v>333903024000000</v>
      </c>
      <c r="F739" s="418" t="s">
        <v>5760</v>
      </c>
      <c r="G739" s="603">
        <v>1</v>
      </c>
      <c r="H739" s="603">
        <v>0</v>
      </c>
      <c r="I739" s="601">
        <v>331112400000000</v>
      </c>
      <c r="J739" s="602" t="s">
        <v>6101</v>
      </c>
      <c r="K739" s="891">
        <v>0</v>
      </c>
      <c r="L739" s="891">
        <v>0</v>
      </c>
      <c r="M739" s="996">
        <f t="shared" si="146"/>
        <v>0</v>
      </c>
      <c r="N739" s="796"/>
      <c r="P739" s="399"/>
    </row>
    <row r="740" spans="1:16" s="647" customFormat="1" ht="15" customHeight="1" x14ac:dyDescent="0.25">
      <c r="A740" s="397"/>
      <c r="B740" s="478">
        <f t="shared" si="149"/>
        <v>24016</v>
      </c>
      <c r="C740" s="528" t="s">
        <v>6062</v>
      </c>
      <c r="D740" s="528">
        <v>25500</v>
      </c>
      <c r="E740" s="417">
        <v>333903024000000</v>
      </c>
      <c r="F740" s="418" t="s">
        <v>5759</v>
      </c>
      <c r="G740" s="603">
        <v>1</v>
      </c>
      <c r="H740" s="603">
        <v>0</v>
      </c>
      <c r="I740" s="601">
        <v>28</v>
      </c>
      <c r="J740" s="602" t="s">
        <v>6101</v>
      </c>
      <c r="K740" s="891">
        <v>0</v>
      </c>
      <c r="L740" s="891">
        <v>0</v>
      </c>
      <c r="M740" s="996">
        <f t="shared" si="146"/>
        <v>0</v>
      </c>
      <c r="N740" s="796"/>
      <c r="P740" s="399"/>
    </row>
    <row r="741" spans="1:16" s="647" customFormat="1" ht="15" customHeight="1" x14ac:dyDescent="0.25">
      <c r="A741" s="397"/>
      <c r="B741" s="478">
        <f t="shared" si="149"/>
        <v>24017</v>
      </c>
      <c r="C741" s="528" t="s">
        <v>6062</v>
      </c>
      <c r="D741" s="528">
        <v>25500</v>
      </c>
      <c r="E741" s="417">
        <v>333903026000000</v>
      </c>
      <c r="F741" s="418" t="s">
        <v>5933</v>
      </c>
      <c r="G741" s="603">
        <v>1</v>
      </c>
      <c r="H741" s="603">
        <v>0</v>
      </c>
      <c r="I741" s="601">
        <v>331110300000000</v>
      </c>
      <c r="J741" s="602" t="s">
        <v>6104</v>
      </c>
      <c r="K741" s="891">
        <v>0</v>
      </c>
      <c r="L741" s="891">
        <v>0</v>
      </c>
      <c r="M741" s="996">
        <f t="shared" si="146"/>
        <v>0</v>
      </c>
      <c r="N741" s="796"/>
      <c r="P741" s="399"/>
    </row>
    <row r="742" spans="1:16" s="647" customFormat="1" ht="15" customHeight="1" x14ac:dyDescent="0.25">
      <c r="A742" s="397"/>
      <c r="B742" s="478">
        <f t="shared" si="149"/>
        <v>24018</v>
      </c>
      <c r="C742" s="528" t="s">
        <v>6062</v>
      </c>
      <c r="D742" s="528">
        <v>25500</v>
      </c>
      <c r="E742" s="417">
        <v>333903026000000</v>
      </c>
      <c r="F742" s="418" t="s">
        <v>6040</v>
      </c>
      <c r="G742" s="603">
        <v>1</v>
      </c>
      <c r="H742" s="603">
        <v>0</v>
      </c>
      <c r="I742" s="601">
        <v>28</v>
      </c>
      <c r="J742" s="602" t="s">
        <v>6104</v>
      </c>
      <c r="K742" s="891">
        <v>0</v>
      </c>
      <c r="L742" s="891">
        <v>0</v>
      </c>
      <c r="M742" s="996">
        <f t="shared" si="146"/>
        <v>0</v>
      </c>
      <c r="N742" s="796"/>
      <c r="P742" s="399"/>
    </row>
    <row r="743" spans="1:16" s="647" customFormat="1" ht="15" customHeight="1" x14ac:dyDescent="0.25">
      <c r="A743" s="397"/>
      <c r="B743" s="478">
        <f t="shared" si="149"/>
        <v>24019</v>
      </c>
      <c r="C743" s="528" t="s">
        <v>6062</v>
      </c>
      <c r="D743" s="528">
        <v>25500</v>
      </c>
      <c r="E743" s="417">
        <v>333903028000000</v>
      </c>
      <c r="F743" s="418" t="s">
        <v>5934</v>
      </c>
      <c r="G743" s="603">
        <v>1</v>
      </c>
      <c r="H743" s="603">
        <v>0</v>
      </c>
      <c r="I743" s="601">
        <v>331110300000000</v>
      </c>
      <c r="J743" s="602" t="s">
        <v>6111</v>
      </c>
      <c r="K743" s="891">
        <v>0</v>
      </c>
      <c r="L743" s="891">
        <v>0</v>
      </c>
      <c r="M743" s="996">
        <f t="shared" si="146"/>
        <v>0</v>
      </c>
      <c r="N743" s="796"/>
      <c r="P743" s="399"/>
    </row>
    <row r="744" spans="1:16" s="647" customFormat="1" ht="15" customHeight="1" x14ac:dyDescent="0.25">
      <c r="A744" s="397"/>
      <c r="B744" s="478">
        <f t="shared" si="149"/>
        <v>24020</v>
      </c>
      <c r="C744" s="528" t="s">
        <v>6062</v>
      </c>
      <c r="D744" s="528">
        <v>25500</v>
      </c>
      <c r="E744" s="417">
        <v>333903028000000</v>
      </c>
      <c r="F744" s="418" t="s">
        <v>6041</v>
      </c>
      <c r="G744" s="603">
        <v>1</v>
      </c>
      <c r="H744" s="603">
        <v>0</v>
      </c>
      <c r="I744" s="601">
        <v>28</v>
      </c>
      <c r="J744" s="602" t="s">
        <v>6111</v>
      </c>
      <c r="K744" s="891">
        <v>0</v>
      </c>
      <c r="L744" s="891">
        <v>0</v>
      </c>
      <c r="M744" s="996">
        <f t="shared" si="146"/>
        <v>0</v>
      </c>
      <c r="N744" s="796"/>
      <c r="P744" s="399"/>
    </row>
    <row r="745" spans="1:16" s="647" customFormat="1" ht="15" customHeight="1" x14ac:dyDescent="0.25">
      <c r="A745" s="397"/>
      <c r="B745" s="478">
        <f t="shared" si="149"/>
        <v>24021</v>
      </c>
      <c r="C745" s="528" t="s">
        <v>6062</v>
      </c>
      <c r="D745" s="528">
        <v>25500</v>
      </c>
      <c r="E745" s="417">
        <v>333903039010000</v>
      </c>
      <c r="F745" s="418" t="s">
        <v>6909</v>
      </c>
      <c r="G745" s="603">
        <v>1</v>
      </c>
      <c r="H745" s="603">
        <v>0</v>
      </c>
      <c r="I745" s="601">
        <v>331110390000000</v>
      </c>
      <c r="J745" s="602" t="s">
        <v>6105</v>
      </c>
      <c r="K745" s="891">
        <v>0</v>
      </c>
      <c r="L745" s="891">
        <v>0</v>
      </c>
      <c r="M745" s="996">
        <f t="shared" si="146"/>
        <v>0</v>
      </c>
      <c r="N745" s="796"/>
      <c r="P745" s="399"/>
    </row>
    <row r="746" spans="1:16" s="647" customFormat="1" ht="15" customHeight="1" x14ac:dyDescent="0.25">
      <c r="A746" s="397"/>
      <c r="B746" s="478">
        <f t="shared" si="149"/>
        <v>24022</v>
      </c>
      <c r="C746" s="528" t="s">
        <v>6062</v>
      </c>
      <c r="D746" s="528">
        <v>25500</v>
      </c>
      <c r="E746" s="417">
        <v>333903039010000</v>
      </c>
      <c r="F746" s="418" t="s">
        <v>6910</v>
      </c>
      <c r="G746" s="603">
        <v>1</v>
      </c>
      <c r="H746" s="603">
        <v>0</v>
      </c>
      <c r="I746" s="601">
        <v>32</v>
      </c>
      <c r="J746" s="602" t="s">
        <v>6105</v>
      </c>
      <c r="K746" s="891">
        <v>0</v>
      </c>
      <c r="L746" s="891">
        <v>0</v>
      </c>
      <c r="M746" s="996">
        <f t="shared" si="146"/>
        <v>0</v>
      </c>
      <c r="N746" s="796"/>
      <c r="P746" s="399"/>
    </row>
    <row r="747" spans="1:16" s="647" customFormat="1" ht="15" customHeight="1" x14ac:dyDescent="0.25">
      <c r="A747" s="397"/>
      <c r="B747" s="478">
        <f t="shared" si="149"/>
        <v>24023</v>
      </c>
      <c r="C747" s="528" t="s">
        <v>6062</v>
      </c>
      <c r="D747" s="528">
        <v>25500</v>
      </c>
      <c r="E747" s="417">
        <v>333903099000000</v>
      </c>
      <c r="F747" s="418" t="s">
        <v>5762</v>
      </c>
      <c r="G747" s="603">
        <v>1</v>
      </c>
      <c r="H747" s="603">
        <v>0</v>
      </c>
      <c r="I747" s="601">
        <v>331119900000000</v>
      </c>
      <c r="J747" s="602" t="s">
        <v>6106</v>
      </c>
      <c r="K747" s="891">
        <v>0</v>
      </c>
      <c r="L747" s="891">
        <v>0</v>
      </c>
      <c r="M747" s="996">
        <f t="shared" si="146"/>
        <v>0</v>
      </c>
      <c r="N747" s="796"/>
      <c r="P747" s="399"/>
    </row>
    <row r="748" spans="1:16" s="647" customFormat="1" ht="15" customHeight="1" x14ac:dyDescent="0.25">
      <c r="A748" s="397"/>
      <c r="B748" s="478">
        <f t="shared" si="149"/>
        <v>24024</v>
      </c>
      <c r="C748" s="528" t="s">
        <v>6062</v>
      </c>
      <c r="D748" s="528">
        <v>25500</v>
      </c>
      <c r="E748" s="417">
        <v>333903099000000</v>
      </c>
      <c r="F748" s="418" t="s">
        <v>5763</v>
      </c>
      <c r="G748" s="603">
        <v>1</v>
      </c>
      <c r="H748" s="603">
        <v>0</v>
      </c>
      <c r="I748" s="601">
        <v>28</v>
      </c>
      <c r="J748" s="602" t="s">
        <v>6106</v>
      </c>
      <c r="K748" s="891">
        <v>0</v>
      </c>
      <c r="L748" s="891">
        <v>0</v>
      </c>
      <c r="M748" s="996">
        <f t="shared" si="146"/>
        <v>0</v>
      </c>
      <c r="N748" s="796"/>
      <c r="P748" s="399"/>
    </row>
    <row r="749" spans="1:16" s="115" customFormat="1" ht="15" customHeight="1" x14ac:dyDescent="0.25">
      <c r="A749" s="396"/>
      <c r="B749" s="1396">
        <v>25600</v>
      </c>
      <c r="C749" s="1396"/>
      <c r="D749" s="1396"/>
      <c r="E749" s="854">
        <v>333903200000000</v>
      </c>
      <c r="F749" s="855" t="s">
        <v>1021</v>
      </c>
      <c r="G749" s="468">
        <v>1</v>
      </c>
      <c r="H749" s="468">
        <v>0</v>
      </c>
      <c r="I749" s="751"/>
      <c r="J749" s="878" t="s">
        <v>7188</v>
      </c>
      <c r="K749" s="789">
        <f>('Parâmetros financeiros Despesa'!E312)</f>
        <v>0</v>
      </c>
      <c r="L749" s="789">
        <f>('Parâmetros financeiros Despesa'!F312)*(1+'Parâmetros financeiros Despesa'!F$4)*(1+'Parâmetros financeiros Despesa'!F$7)</f>
        <v>2180.663</v>
      </c>
      <c r="M749" s="799">
        <f t="shared" si="146"/>
        <v>1.1812841899905367E-3</v>
      </c>
      <c r="N749" s="894"/>
      <c r="O749" s="796"/>
      <c r="P749" s="733"/>
    </row>
    <row r="750" spans="1:16" s="647" customFormat="1" ht="15" customHeight="1" x14ac:dyDescent="0.25">
      <c r="A750" s="397"/>
      <c r="B750" s="478">
        <f>B749+1</f>
        <v>25601</v>
      </c>
      <c r="C750" s="528" t="s">
        <v>6062</v>
      </c>
      <c r="D750" s="528">
        <f>B749</f>
        <v>25600</v>
      </c>
      <c r="E750" s="417">
        <v>333903209000000</v>
      </c>
      <c r="F750" s="418" t="s">
        <v>2203</v>
      </c>
      <c r="G750" s="603">
        <v>1</v>
      </c>
      <c r="H750" s="603">
        <v>0</v>
      </c>
      <c r="I750" s="601">
        <v>331210600000000</v>
      </c>
      <c r="J750" s="602" t="s">
        <v>6112</v>
      </c>
      <c r="K750" s="891">
        <v>0</v>
      </c>
      <c r="L750" s="891">
        <v>0</v>
      </c>
      <c r="M750" s="996">
        <f t="shared" si="146"/>
        <v>0</v>
      </c>
      <c r="N750" s="796"/>
      <c r="P750" s="399"/>
    </row>
    <row r="751" spans="1:16" s="115" customFormat="1" ht="15" customHeight="1" x14ac:dyDescent="0.25">
      <c r="A751" s="396"/>
      <c r="B751" s="1396">
        <v>25700</v>
      </c>
      <c r="C751" s="1396"/>
      <c r="D751" s="1396"/>
      <c r="E751" s="854">
        <v>333903300000000</v>
      </c>
      <c r="F751" s="855" t="s">
        <v>3469</v>
      </c>
      <c r="G751" s="468">
        <v>1</v>
      </c>
      <c r="H751" s="468">
        <v>0</v>
      </c>
      <c r="I751" s="751"/>
      <c r="J751" s="878" t="s">
        <v>7188</v>
      </c>
      <c r="K751" s="789">
        <f>('Parâmetros financeiros Despesa'!E313)</f>
        <v>0</v>
      </c>
      <c r="L751" s="789">
        <f>('Parâmetros financeiros Despesa'!F313)*(1+'Parâmetros financeiros Despesa'!F$4)*(1+'Parâmetros financeiros Despesa'!F$7)</f>
        <v>2180.663</v>
      </c>
      <c r="M751" s="799">
        <f t="shared" si="146"/>
        <v>1.1812841899905367E-3</v>
      </c>
      <c r="N751" s="894"/>
      <c r="O751" s="796"/>
      <c r="P751" s="733"/>
    </row>
    <row r="752" spans="1:16" s="647" customFormat="1" ht="15" customHeight="1" x14ac:dyDescent="0.25">
      <c r="A752" s="397"/>
      <c r="B752" s="530">
        <f t="shared" ref="B752:B757" si="150">B751+1</f>
        <v>25701</v>
      </c>
      <c r="C752" s="531" t="s">
        <v>6062</v>
      </c>
      <c r="D752" s="532">
        <f>B751</f>
        <v>25700</v>
      </c>
      <c r="E752" s="417">
        <v>333903301000000</v>
      </c>
      <c r="F752" s="418" t="s">
        <v>6517</v>
      </c>
      <c r="G752" s="603">
        <v>1</v>
      </c>
      <c r="H752" s="603">
        <v>0</v>
      </c>
      <c r="I752" s="601">
        <v>332315600000000</v>
      </c>
      <c r="J752" s="602" t="s">
        <v>6121</v>
      </c>
      <c r="K752" s="891">
        <v>0</v>
      </c>
      <c r="L752" s="891">
        <v>0</v>
      </c>
      <c r="M752" s="996">
        <f t="shared" ref="M752:M815" si="151">L752/L$979</f>
        <v>0</v>
      </c>
      <c r="N752" s="796"/>
      <c r="P752" s="399"/>
    </row>
    <row r="753" spans="1:16" s="647" customFormat="1" ht="15" customHeight="1" x14ac:dyDescent="0.25">
      <c r="A753" s="397"/>
      <c r="B753" s="530">
        <f t="shared" si="150"/>
        <v>25702</v>
      </c>
      <c r="C753" s="531" t="s">
        <v>6062</v>
      </c>
      <c r="D753" s="532">
        <v>25700</v>
      </c>
      <c r="E753" s="417">
        <v>333903301000000</v>
      </c>
      <c r="F753" s="418" t="s">
        <v>6518</v>
      </c>
      <c r="G753" s="603">
        <v>1</v>
      </c>
      <c r="H753" s="603">
        <v>0</v>
      </c>
      <c r="I753" s="601">
        <v>332315600000000</v>
      </c>
      <c r="J753" s="602" t="s">
        <v>6122</v>
      </c>
      <c r="K753" s="891">
        <v>0</v>
      </c>
      <c r="L753" s="891">
        <v>0</v>
      </c>
      <c r="M753" s="996">
        <f t="shared" si="151"/>
        <v>0</v>
      </c>
      <c r="N753" s="796"/>
      <c r="P753" s="399"/>
    </row>
    <row r="754" spans="1:16" s="647" customFormat="1" ht="15" customHeight="1" x14ac:dyDescent="0.25">
      <c r="A754" s="397"/>
      <c r="B754" s="530">
        <f t="shared" si="150"/>
        <v>25703</v>
      </c>
      <c r="C754" s="531" t="s">
        <v>6062</v>
      </c>
      <c r="D754" s="532">
        <v>25700</v>
      </c>
      <c r="E754" s="417">
        <v>333903301000000</v>
      </c>
      <c r="F754" s="418" t="s">
        <v>6519</v>
      </c>
      <c r="G754" s="603">
        <v>1</v>
      </c>
      <c r="H754" s="603">
        <v>0</v>
      </c>
      <c r="I754" s="601">
        <v>332315600000000</v>
      </c>
      <c r="J754" s="602" t="s">
        <v>6123</v>
      </c>
      <c r="K754" s="891">
        <v>0</v>
      </c>
      <c r="L754" s="891">
        <v>0</v>
      </c>
      <c r="M754" s="996">
        <f t="shared" si="151"/>
        <v>0</v>
      </c>
      <c r="N754" s="796"/>
      <c r="P754" s="399"/>
    </row>
    <row r="755" spans="1:16" s="647" customFormat="1" ht="15" customHeight="1" x14ac:dyDescent="0.25">
      <c r="A755" s="397"/>
      <c r="B755" s="530">
        <f t="shared" si="150"/>
        <v>25704</v>
      </c>
      <c r="C755" s="531" t="s">
        <v>6062</v>
      </c>
      <c r="D755" s="532">
        <v>25700</v>
      </c>
      <c r="E755" s="417">
        <v>333903305000000</v>
      </c>
      <c r="F755" s="418" t="s">
        <v>6520</v>
      </c>
      <c r="G755" s="603">
        <v>1</v>
      </c>
      <c r="H755" s="603">
        <v>0</v>
      </c>
      <c r="I755" s="601">
        <v>332315600000000</v>
      </c>
      <c r="J755" s="602" t="s">
        <v>6121</v>
      </c>
      <c r="K755" s="891">
        <v>0</v>
      </c>
      <c r="L755" s="891">
        <v>0</v>
      </c>
      <c r="M755" s="996">
        <f t="shared" si="151"/>
        <v>0</v>
      </c>
      <c r="N755" s="796"/>
      <c r="P755" s="399"/>
    </row>
    <row r="756" spans="1:16" s="647" customFormat="1" ht="15" customHeight="1" x14ac:dyDescent="0.25">
      <c r="A756" s="397"/>
      <c r="B756" s="530">
        <f t="shared" si="150"/>
        <v>25705</v>
      </c>
      <c r="C756" s="531" t="s">
        <v>6062</v>
      </c>
      <c r="D756" s="532">
        <v>25700</v>
      </c>
      <c r="E756" s="417">
        <v>333903305000000</v>
      </c>
      <c r="F756" s="418" t="s">
        <v>6521</v>
      </c>
      <c r="G756" s="603">
        <v>1</v>
      </c>
      <c r="H756" s="603">
        <v>0</v>
      </c>
      <c r="I756" s="601">
        <v>332315600000000</v>
      </c>
      <c r="J756" s="602" t="s">
        <v>6122</v>
      </c>
      <c r="K756" s="891">
        <v>0</v>
      </c>
      <c r="L756" s="891">
        <v>0</v>
      </c>
      <c r="M756" s="996">
        <f t="shared" si="151"/>
        <v>0</v>
      </c>
      <c r="N756" s="796"/>
      <c r="P756" s="399"/>
    </row>
    <row r="757" spans="1:16" s="647" customFormat="1" ht="15.75" customHeight="1" x14ac:dyDescent="0.25">
      <c r="A757" s="397"/>
      <c r="B757" s="530">
        <f t="shared" si="150"/>
        <v>25706</v>
      </c>
      <c r="C757" s="531" t="s">
        <v>6062</v>
      </c>
      <c r="D757" s="532">
        <v>25700</v>
      </c>
      <c r="E757" s="417">
        <v>333903305000000</v>
      </c>
      <c r="F757" s="418" t="s">
        <v>6522</v>
      </c>
      <c r="G757" s="603">
        <v>1</v>
      </c>
      <c r="H757" s="603">
        <v>0</v>
      </c>
      <c r="I757" s="601">
        <v>332315600000000</v>
      </c>
      <c r="J757" s="602" t="s">
        <v>6123</v>
      </c>
      <c r="K757" s="891">
        <v>0</v>
      </c>
      <c r="L757" s="891">
        <v>0</v>
      </c>
      <c r="M757" s="996">
        <f t="shared" si="151"/>
        <v>0</v>
      </c>
      <c r="N757" s="796"/>
      <c r="P757" s="399"/>
    </row>
    <row r="758" spans="1:16" s="115" customFormat="1" ht="15" customHeight="1" x14ac:dyDescent="0.25">
      <c r="A758" s="396"/>
      <c r="B758" s="1398" t="s">
        <v>7199</v>
      </c>
      <c r="C758" s="1398"/>
      <c r="D758" s="1398"/>
      <c r="E758" s="854">
        <v>333903600000000</v>
      </c>
      <c r="F758" s="855" t="s">
        <v>993</v>
      </c>
      <c r="G758" s="468">
        <v>1</v>
      </c>
      <c r="H758" s="468">
        <v>0</v>
      </c>
      <c r="I758" s="751"/>
      <c r="J758" s="878" t="s">
        <v>7188</v>
      </c>
      <c r="K758" s="789">
        <f>('Parâmetros financeiros Despesa'!F314+'Parâmetros financeiros Despesa'!F315)</f>
        <v>28110.510000000002</v>
      </c>
      <c r="L758" s="789">
        <f>('Parâmetros financeiros Despesa'!F314+'Parâmetros financeiros Despesa'!F315)*(1+'Parâmetros financeiros Despesa'!F$4)*(1+'Parâmetros financeiros Despesa'!F$7)</f>
        <v>30649.774534065004</v>
      </c>
      <c r="M758" s="799">
        <f t="shared" si="151"/>
        <v>1.6603250517785443E-2</v>
      </c>
      <c r="N758" s="894"/>
      <c r="O758" s="796"/>
      <c r="P758" s="733"/>
    </row>
    <row r="759" spans="1:16" s="647" customFormat="1" ht="15" customHeight="1" x14ac:dyDescent="0.25">
      <c r="A759" s="397"/>
      <c r="B759" s="599">
        <f>B758+1</f>
        <v>25801</v>
      </c>
      <c r="C759" s="600" t="s">
        <v>6062</v>
      </c>
      <c r="D759" s="528" t="str">
        <f>B758</f>
        <v>25800</v>
      </c>
      <c r="E759" s="417">
        <v>333903606000000</v>
      </c>
      <c r="F759" s="418" t="s">
        <v>1151</v>
      </c>
      <c r="G759" s="603">
        <v>1</v>
      </c>
      <c r="H759" s="603">
        <v>0</v>
      </c>
      <c r="I759" s="601">
        <v>332211500000000</v>
      </c>
      <c r="J759" s="602" t="s">
        <v>6131</v>
      </c>
      <c r="K759" s="891">
        <v>0</v>
      </c>
      <c r="L759" s="891">
        <v>0</v>
      </c>
      <c r="M759" s="996">
        <f t="shared" si="151"/>
        <v>0</v>
      </c>
      <c r="N759" s="796"/>
      <c r="P759" s="399"/>
    </row>
    <row r="760" spans="1:16" s="647" customFormat="1" ht="15" customHeight="1" x14ac:dyDescent="0.25">
      <c r="A760" s="397"/>
      <c r="B760" s="599">
        <f>B759+1</f>
        <v>25802</v>
      </c>
      <c r="C760" s="600" t="s">
        <v>6062</v>
      </c>
      <c r="D760" s="528">
        <v>25800</v>
      </c>
      <c r="E760" s="417">
        <v>333903615000000</v>
      </c>
      <c r="F760" s="418" t="s">
        <v>2227</v>
      </c>
      <c r="G760" s="603"/>
      <c r="H760" s="603"/>
      <c r="I760" s="601">
        <v>332212100000000</v>
      </c>
      <c r="J760" s="602"/>
      <c r="K760" s="891">
        <v>0</v>
      </c>
      <c r="L760" s="891">
        <v>0</v>
      </c>
      <c r="M760" s="996">
        <f t="shared" si="151"/>
        <v>0</v>
      </c>
      <c r="N760" s="796"/>
      <c r="P760" s="399"/>
    </row>
    <row r="761" spans="1:16" s="647" customFormat="1" ht="15" customHeight="1" x14ac:dyDescent="0.25">
      <c r="A761" s="397"/>
      <c r="B761" s="599">
        <f>B760+1</f>
        <v>25803</v>
      </c>
      <c r="C761" s="600" t="s">
        <v>6062</v>
      </c>
      <c r="D761" s="528">
        <v>25800</v>
      </c>
      <c r="E761" s="417">
        <v>333903625000000</v>
      </c>
      <c r="F761" s="418" t="s">
        <v>5880</v>
      </c>
      <c r="G761" s="603">
        <v>1</v>
      </c>
      <c r="H761" s="603">
        <v>0</v>
      </c>
      <c r="I761" s="601">
        <v>332210800000000</v>
      </c>
      <c r="J761" s="602" t="s">
        <v>6131</v>
      </c>
      <c r="K761" s="891">
        <v>0</v>
      </c>
      <c r="L761" s="891">
        <v>0</v>
      </c>
      <c r="M761" s="996">
        <f t="shared" si="151"/>
        <v>0</v>
      </c>
      <c r="N761" s="796"/>
      <c r="P761" s="399"/>
    </row>
    <row r="762" spans="1:16" s="647" customFormat="1" ht="15" customHeight="1" x14ac:dyDescent="0.25">
      <c r="A762" s="397"/>
      <c r="B762" s="599">
        <f>B761+1</f>
        <v>25804</v>
      </c>
      <c r="C762" s="600" t="s">
        <v>6062</v>
      </c>
      <c r="D762" s="528">
        <v>25800</v>
      </c>
      <c r="E762" s="417">
        <v>333903628000000</v>
      </c>
      <c r="F762" s="418" t="s">
        <v>1042</v>
      </c>
      <c r="G762" s="603"/>
      <c r="H762" s="603"/>
      <c r="I762" s="601"/>
      <c r="J762" s="602"/>
      <c r="K762" s="891">
        <v>0</v>
      </c>
      <c r="L762" s="891">
        <v>0</v>
      </c>
      <c r="M762" s="996">
        <f t="shared" si="151"/>
        <v>0</v>
      </c>
      <c r="N762" s="796"/>
      <c r="P762" s="399"/>
    </row>
    <row r="763" spans="1:16" s="647" customFormat="1" ht="15" customHeight="1" x14ac:dyDescent="0.25">
      <c r="A763" s="397"/>
      <c r="B763" s="599">
        <f>B762+1</f>
        <v>25805</v>
      </c>
      <c r="C763" s="600" t="s">
        <v>6062</v>
      </c>
      <c r="D763" s="528">
        <v>25800</v>
      </c>
      <c r="E763" s="417">
        <v>333903699000000</v>
      </c>
      <c r="F763" s="418" t="s">
        <v>2193</v>
      </c>
      <c r="G763" s="603">
        <v>1</v>
      </c>
      <c r="H763" s="603">
        <v>0</v>
      </c>
      <c r="I763" s="601">
        <v>332219900000000</v>
      </c>
      <c r="J763" s="602" t="s">
        <v>6131</v>
      </c>
      <c r="K763" s="891">
        <v>0</v>
      </c>
      <c r="L763" s="891">
        <v>0</v>
      </c>
      <c r="M763" s="996">
        <f t="shared" si="151"/>
        <v>0</v>
      </c>
      <c r="N763" s="796"/>
      <c r="P763" s="399"/>
    </row>
    <row r="764" spans="1:16" s="115" customFormat="1" ht="15" customHeight="1" x14ac:dyDescent="0.25">
      <c r="A764" s="396"/>
      <c r="B764" s="1398" t="s">
        <v>7200</v>
      </c>
      <c r="C764" s="1398"/>
      <c r="D764" s="1398"/>
      <c r="E764" s="854">
        <v>333903900000000</v>
      </c>
      <c r="F764" s="855" t="s">
        <v>2268</v>
      </c>
      <c r="G764" s="468">
        <v>1</v>
      </c>
      <c r="H764" s="468">
        <v>0</v>
      </c>
      <c r="I764" s="751"/>
      <c r="J764" s="878" t="s">
        <v>7188</v>
      </c>
      <c r="K764" s="789">
        <f>('Parâmetros financeiros Despesa'!E316+'Parâmetros financeiros Despesa'!E17)</f>
        <v>19924.785</v>
      </c>
      <c r="L764" s="789">
        <f>('Parâmetros financeiros Despesa'!F316+'Parâmetros financeiros Despesa'!F317)*(1+'Parâmetros financeiros Despesa'!F$4)*(1+'Parâmetros financeiros Despesa'!F$7)</f>
        <v>24995.615216227503</v>
      </c>
      <c r="M764" s="799">
        <f t="shared" si="151"/>
        <v>1.3540343039716105E-2</v>
      </c>
      <c r="N764" s="894"/>
      <c r="O764" s="796"/>
      <c r="P764" s="733"/>
    </row>
    <row r="765" spans="1:16" s="647" customFormat="1" ht="15" customHeight="1" x14ac:dyDescent="0.25">
      <c r="A765" s="397"/>
      <c r="B765" s="599">
        <f>B764+1</f>
        <v>25901</v>
      </c>
      <c r="C765" s="600" t="s">
        <v>6062</v>
      </c>
      <c r="D765" s="528">
        <v>25900</v>
      </c>
      <c r="E765" s="417">
        <v>333903901000000</v>
      </c>
      <c r="F765" s="418" t="s">
        <v>2269</v>
      </c>
      <c r="G765" s="603">
        <v>1</v>
      </c>
      <c r="H765" s="603">
        <v>0</v>
      </c>
      <c r="I765" s="601">
        <v>332311400000000</v>
      </c>
      <c r="J765" s="602" t="s">
        <v>6133</v>
      </c>
      <c r="K765" s="891">
        <v>0</v>
      </c>
      <c r="L765" s="891">
        <v>0</v>
      </c>
      <c r="M765" s="996">
        <f t="shared" si="151"/>
        <v>0</v>
      </c>
      <c r="N765" s="796"/>
      <c r="P765" s="399"/>
    </row>
    <row r="766" spans="1:16" s="647" customFormat="1" ht="15" customHeight="1" x14ac:dyDescent="0.25">
      <c r="A766" s="397"/>
      <c r="B766" s="599">
        <f t="shared" ref="B766:B786" si="152">B765+1</f>
        <v>25902</v>
      </c>
      <c r="C766" s="600" t="s">
        <v>6062</v>
      </c>
      <c r="D766" s="528">
        <v>25900</v>
      </c>
      <c r="E766" s="417">
        <v>333903905000000</v>
      </c>
      <c r="F766" s="418" t="s">
        <v>1151</v>
      </c>
      <c r="G766" s="603">
        <v>1</v>
      </c>
      <c r="H766" s="603">
        <v>0</v>
      </c>
      <c r="I766" s="601">
        <v>332315100000000</v>
      </c>
      <c r="J766" s="602" t="s">
        <v>6127</v>
      </c>
      <c r="K766" s="891">
        <v>0</v>
      </c>
      <c r="L766" s="891">
        <v>0</v>
      </c>
      <c r="M766" s="996">
        <f t="shared" si="151"/>
        <v>0</v>
      </c>
      <c r="N766" s="796"/>
      <c r="P766" s="399"/>
    </row>
    <row r="767" spans="1:16" s="647" customFormat="1" ht="15" customHeight="1" x14ac:dyDescent="0.25">
      <c r="A767" s="397"/>
      <c r="B767" s="599">
        <f t="shared" si="152"/>
        <v>25903</v>
      </c>
      <c r="C767" s="600" t="s">
        <v>6062</v>
      </c>
      <c r="D767" s="528">
        <v>25900</v>
      </c>
      <c r="E767" s="417">
        <v>333903916000000</v>
      </c>
      <c r="F767" s="418" t="s">
        <v>2270</v>
      </c>
      <c r="G767" s="603">
        <v>1</v>
      </c>
      <c r="H767" s="603">
        <v>0</v>
      </c>
      <c r="I767" s="601">
        <v>332310600000000</v>
      </c>
      <c r="J767" s="602" t="s">
        <v>6101</v>
      </c>
      <c r="K767" s="891">
        <v>0</v>
      </c>
      <c r="L767" s="891">
        <v>0</v>
      </c>
      <c r="M767" s="996">
        <f t="shared" si="151"/>
        <v>0</v>
      </c>
      <c r="N767" s="796"/>
      <c r="P767" s="399"/>
    </row>
    <row r="768" spans="1:16" s="662" customFormat="1" ht="15" customHeight="1" x14ac:dyDescent="0.25">
      <c r="A768" s="397"/>
      <c r="B768" s="599">
        <f t="shared" si="152"/>
        <v>25904</v>
      </c>
      <c r="C768" s="600" t="s">
        <v>6062</v>
      </c>
      <c r="D768" s="528">
        <v>25900</v>
      </c>
      <c r="E768" s="417">
        <v>333903919080000</v>
      </c>
      <c r="F768" s="418" t="s">
        <v>7142</v>
      </c>
      <c r="G768" s="603">
        <v>1</v>
      </c>
      <c r="H768" s="603">
        <v>0</v>
      </c>
      <c r="I768" s="601">
        <v>332310600000000</v>
      </c>
      <c r="J768" s="602" t="s">
        <v>6101</v>
      </c>
      <c r="K768" s="891">
        <v>0</v>
      </c>
      <c r="L768" s="891">
        <v>0</v>
      </c>
      <c r="M768" s="996">
        <f t="shared" si="151"/>
        <v>0</v>
      </c>
      <c r="N768" s="796"/>
      <c r="P768" s="399"/>
    </row>
    <row r="769" spans="1:16" s="647" customFormat="1" ht="15" customHeight="1" x14ac:dyDescent="0.25">
      <c r="A769" s="397"/>
      <c r="B769" s="599">
        <f t="shared" si="152"/>
        <v>25905</v>
      </c>
      <c r="C769" s="600" t="s">
        <v>6062</v>
      </c>
      <c r="D769" s="528">
        <v>25900</v>
      </c>
      <c r="E769" s="417">
        <v>333903920000000</v>
      </c>
      <c r="F769" s="418" t="s">
        <v>2352</v>
      </c>
      <c r="G769" s="603">
        <v>1</v>
      </c>
      <c r="H769" s="603">
        <v>0</v>
      </c>
      <c r="I769" s="601">
        <v>332310600000000</v>
      </c>
      <c r="J769" s="602" t="s">
        <v>6135</v>
      </c>
      <c r="K769" s="891">
        <v>0</v>
      </c>
      <c r="L769" s="891">
        <v>0</v>
      </c>
      <c r="M769" s="996">
        <f t="shared" si="151"/>
        <v>0</v>
      </c>
      <c r="N769" s="796"/>
      <c r="P769" s="399"/>
    </row>
    <row r="770" spans="1:16" s="647" customFormat="1" ht="15" customHeight="1" x14ac:dyDescent="0.25">
      <c r="A770" s="397"/>
      <c r="B770" s="599">
        <f t="shared" si="152"/>
        <v>25906</v>
      </c>
      <c r="C770" s="600" t="s">
        <v>6062</v>
      </c>
      <c r="D770" s="528">
        <v>25900</v>
      </c>
      <c r="E770" s="417">
        <v>333903943000000</v>
      </c>
      <c r="F770" s="418" t="s">
        <v>7143</v>
      </c>
      <c r="G770" s="603">
        <v>1</v>
      </c>
      <c r="H770" s="603">
        <v>0</v>
      </c>
      <c r="I770" s="601">
        <v>332310800000000</v>
      </c>
      <c r="J770" s="602"/>
      <c r="K770" s="891">
        <v>0</v>
      </c>
      <c r="L770" s="891">
        <v>0</v>
      </c>
      <c r="M770" s="996">
        <f t="shared" si="151"/>
        <v>0</v>
      </c>
      <c r="N770" s="796"/>
      <c r="P770" s="399"/>
    </row>
    <row r="771" spans="1:16" s="647" customFormat="1" ht="15" customHeight="1" x14ac:dyDescent="0.25">
      <c r="A771" s="397"/>
      <c r="B771" s="599">
        <f t="shared" si="152"/>
        <v>25907</v>
      </c>
      <c r="C771" s="600" t="s">
        <v>6062</v>
      </c>
      <c r="D771" s="528">
        <v>25900</v>
      </c>
      <c r="E771" s="417">
        <v>333903944000000</v>
      </c>
      <c r="F771" s="418" t="s">
        <v>7144</v>
      </c>
      <c r="G771" s="603">
        <v>1</v>
      </c>
      <c r="H771" s="603">
        <v>0</v>
      </c>
      <c r="I771" s="601">
        <v>332310800000000</v>
      </c>
      <c r="J771" s="602"/>
      <c r="K771" s="891">
        <v>0</v>
      </c>
      <c r="L771" s="891">
        <v>0</v>
      </c>
      <c r="M771" s="996">
        <f t="shared" si="151"/>
        <v>0</v>
      </c>
      <c r="N771" s="796"/>
      <c r="P771" s="399"/>
    </row>
    <row r="772" spans="1:16" s="647" customFormat="1" ht="15" customHeight="1" x14ac:dyDescent="0.25">
      <c r="A772" s="397"/>
      <c r="B772" s="599">
        <f t="shared" si="152"/>
        <v>25908</v>
      </c>
      <c r="C772" s="600" t="s">
        <v>6062</v>
      </c>
      <c r="D772" s="528">
        <v>25900</v>
      </c>
      <c r="E772" s="417">
        <v>333903947000000</v>
      </c>
      <c r="F772" s="418" t="s">
        <v>7001</v>
      </c>
      <c r="G772" s="603">
        <v>1</v>
      </c>
      <c r="H772" s="603">
        <v>0</v>
      </c>
      <c r="I772" s="601">
        <v>332310400000000</v>
      </c>
      <c r="J772" s="602"/>
      <c r="K772" s="891">
        <v>0</v>
      </c>
      <c r="L772" s="891">
        <v>0</v>
      </c>
      <c r="M772" s="996">
        <f t="shared" si="151"/>
        <v>0</v>
      </c>
      <c r="N772" s="796"/>
      <c r="P772" s="399"/>
    </row>
    <row r="773" spans="1:16" s="647" customFormat="1" ht="15" customHeight="1" x14ac:dyDescent="0.25">
      <c r="A773" s="397"/>
      <c r="B773" s="599">
        <f t="shared" si="152"/>
        <v>25909</v>
      </c>
      <c r="C773" s="600" t="s">
        <v>6062</v>
      </c>
      <c r="D773" s="528">
        <v>25900</v>
      </c>
      <c r="E773" s="417">
        <v>333903948000000</v>
      </c>
      <c r="F773" s="418" t="s">
        <v>6911</v>
      </c>
      <c r="G773" s="603">
        <v>1</v>
      </c>
      <c r="H773" s="603">
        <v>0</v>
      </c>
      <c r="I773" s="601">
        <v>332313000000000</v>
      </c>
      <c r="J773" s="602" t="s">
        <v>6149</v>
      </c>
      <c r="K773" s="891">
        <v>0</v>
      </c>
      <c r="L773" s="891">
        <v>0</v>
      </c>
      <c r="M773" s="996">
        <f t="shared" si="151"/>
        <v>0</v>
      </c>
      <c r="N773" s="796"/>
      <c r="P773" s="399"/>
    </row>
    <row r="774" spans="1:16" s="647" customFormat="1" ht="15" customHeight="1" x14ac:dyDescent="0.25">
      <c r="A774" s="397"/>
      <c r="B774" s="599">
        <f t="shared" si="152"/>
        <v>25910</v>
      </c>
      <c r="C774" s="600" t="s">
        <v>6062</v>
      </c>
      <c r="D774" s="528">
        <v>25900</v>
      </c>
      <c r="E774" s="417">
        <v>333903948000000</v>
      </c>
      <c r="F774" s="418" t="s">
        <v>6912</v>
      </c>
      <c r="G774" s="603">
        <v>1</v>
      </c>
      <c r="H774" s="603">
        <v>0</v>
      </c>
      <c r="I774" s="601">
        <v>332313000000000</v>
      </c>
      <c r="J774" s="602" t="s">
        <v>6150</v>
      </c>
      <c r="K774" s="891">
        <v>0</v>
      </c>
      <c r="L774" s="891">
        <v>0</v>
      </c>
      <c r="M774" s="996">
        <f t="shared" si="151"/>
        <v>0</v>
      </c>
      <c r="N774" s="796"/>
      <c r="P774" s="399"/>
    </row>
    <row r="775" spans="1:16" s="647" customFormat="1" ht="15" customHeight="1" x14ac:dyDescent="0.25">
      <c r="A775" s="397"/>
      <c r="B775" s="599">
        <f t="shared" si="152"/>
        <v>25911</v>
      </c>
      <c r="C775" s="600" t="s">
        <v>6062</v>
      </c>
      <c r="D775" s="528">
        <v>25900</v>
      </c>
      <c r="E775" s="417">
        <v>333903948000000</v>
      </c>
      <c r="F775" s="418" t="s">
        <v>7145</v>
      </c>
      <c r="G775" s="603">
        <v>1</v>
      </c>
      <c r="H775" s="603">
        <v>0</v>
      </c>
      <c r="I775" s="601">
        <v>332313000000000</v>
      </c>
      <c r="J775" s="602" t="s">
        <v>6151</v>
      </c>
      <c r="K775" s="891">
        <v>0</v>
      </c>
      <c r="L775" s="891">
        <v>0</v>
      </c>
      <c r="M775" s="996">
        <f t="shared" si="151"/>
        <v>0</v>
      </c>
      <c r="N775" s="796"/>
      <c r="P775" s="399"/>
    </row>
    <row r="776" spans="1:16" s="647" customFormat="1" ht="15" customHeight="1" x14ac:dyDescent="0.25">
      <c r="A776" s="397"/>
      <c r="B776" s="599">
        <f t="shared" si="152"/>
        <v>25912</v>
      </c>
      <c r="C776" s="600" t="s">
        <v>6062</v>
      </c>
      <c r="D776" s="528">
        <v>25900</v>
      </c>
      <c r="E776" s="417">
        <v>333903958010000</v>
      </c>
      <c r="F776" s="418" t="s">
        <v>7146</v>
      </c>
      <c r="G776" s="603">
        <v>1</v>
      </c>
      <c r="H776" s="603">
        <v>0</v>
      </c>
      <c r="I776" s="601">
        <v>332310400000000</v>
      </c>
      <c r="J776" s="602" t="s">
        <v>6136</v>
      </c>
      <c r="K776" s="891">
        <v>0</v>
      </c>
      <c r="L776" s="891">
        <v>0</v>
      </c>
      <c r="M776" s="996">
        <f t="shared" si="151"/>
        <v>0</v>
      </c>
      <c r="N776" s="796"/>
      <c r="P776" s="399"/>
    </row>
    <row r="777" spans="1:16" s="647" customFormat="1" ht="15" customHeight="1" x14ac:dyDescent="0.25">
      <c r="A777" s="397"/>
      <c r="B777" s="599">
        <f t="shared" si="152"/>
        <v>25913</v>
      </c>
      <c r="C777" s="600" t="s">
        <v>6062</v>
      </c>
      <c r="D777" s="528">
        <v>25900</v>
      </c>
      <c r="E777" s="417">
        <v>333903958020000</v>
      </c>
      <c r="F777" s="418" t="s">
        <v>1150</v>
      </c>
      <c r="G777" s="603">
        <v>1</v>
      </c>
      <c r="H777" s="603">
        <v>0</v>
      </c>
      <c r="I777" s="601">
        <v>332310400000000</v>
      </c>
      <c r="J777" s="602" t="s">
        <v>6137</v>
      </c>
      <c r="K777" s="891">
        <v>0</v>
      </c>
      <c r="L777" s="891">
        <v>0</v>
      </c>
      <c r="M777" s="996">
        <f t="shared" si="151"/>
        <v>0</v>
      </c>
      <c r="N777" s="796"/>
      <c r="P777" s="399"/>
    </row>
    <row r="778" spans="1:16" s="647" customFormat="1" ht="15" customHeight="1" x14ac:dyDescent="0.25">
      <c r="A778" s="397"/>
      <c r="B778" s="599">
        <f t="shared" si="152"/>
        <v>25914</v>
      </c>
      <c r="C778" s="600" t="s">
        <v>6062</v>
      </c>
      <c r="D778" s="528">
        <v>25900</v>
      </c>
      <c r="E778" s="417">
        <v>333903963000000</v>
      </c>
      <c r="F778" s="418" t="s">
        <v>5895</v>
      </c>
      <c r="G778" s="603">
        <v>1</v>
      </c>
      <c r="H778" s="603">
        <v>0</v>
      </c>
      <c r="I778" s="601">
        <v>332314600000000</v>
      </c>
      <c r="J778" s="602" t="s">
        <v>6139</v>
      </c>
      <c r="K778" s="891">
        <v>0</v>
      </c>
      <c r="L778" s="891">
        <v>0</v>
      </c>
      <c r="M778" s="996">
        <f t="shared" si="151"/>
        <v>0</v>
      </c>
      <c r="N778" s="796"/>
      <c r="P778" s="399"/>
    </row>
    <row r="779" spans="1:16" s="647" customFormat="1" ht="15" customHeight="1" x14ac:dyDescent="0.25">
      <c r="A779" s="397"/>
      <c r="B779" s="599">
        <f t="shared" si="152"/>
        <v>25915</v>
      </c>
      <c r="C779" s="600" t="s">
        <v>6062</v>
      </c>
      <c r="D779" s="528">
        <v>25900</v>
      </c>
      <c r="E779" s="417">
        <v>333903978000000</v>
      </c>
      <c r="F779" s="418" t="s">
        <v>5897</v>
      </c>
      <c r="G779" s="603">
        <v>1</v>
      </c>
      <c r="H779" s="603">
        <v>0</v>
      </c>
      <c r="I779" s="601">
        <v>332310600000000</v>
      </c>
      <c r="J779" s="602" t="s">
        <v>6101</v>
      </c>
      <c r="K779" s="891">
        <v>0</v>
      </c>
      <c r="L779" s="891">
        <v>0</v>
      </c>
      <c r="M779" s="996">
        <f t="shared" si="151"/>
        <v>0</v>
      </c>
      <c r="N779" s="796"/>
      <c r="P779" s="399"/>
    </row>
    <row r="780" spans="1:16" s="647" customFormat="1" ht="15" customHeight="1" x14ac:dyDescent="0.25">
      <c r="A780" s="397"/>
      <c r="B780" s="599">
        <f t="shared" si="152"/>
        <v>25916</v>
      </c>
      <c r="C780" s="600" t="s">
        <v>6062</v>
      </c>
      <c r="D780" s="528">
        <v>25900</v>
      </c>
      <c r="E780" s="417">
        <v>333903983000000</v>
      </c>
      <c r="F780" s="418" t="s">
        <v>7004</v>
      </c>
      <c r="G780" s="603">
        <v>1</v>
      </c>
      <c r="H780" s="603">
        <v>0</v>
      </c>
      <c r="I780" s="601">
        <v>332319900000000</v>
      </c>
      <c r="J780" s="602"/>
      <c r="K780" s="891">
        <v>0</v>
      </c>
      <c r="L780" s="891">
        <v>0</v>
      </c>
      <c r="M780" s="996">
        <f t="shared" si="151"/>
        <v>0</v>
      </c>
      <c r="N780" s="796"/>
      <c r="P780" s="399"/>
    </row>
    <row r="781" spans="1:16" s="647" customFormat="1" ht="15" customHeight="1" x14ac:dyDescent="0.25">
      <c r="A781" s="397"/>
      <c r="B781" s="599">
        <f t="shared" si="152"/>
        <v>25917</v>
      </c>
      <c r="C781" s="600" t="s">
        <v>6062</v>
      </c>
      <c r="D781" s="528">
        <v>25900</v>
      </c>
      <c r="E781" s="417">
        <v>333903990000000</v>
      </c>
      <c r="F781" s="418" t="s">
        <v>1098</v>
      </c>
      <c r="G781" s="603">
        <v>1</v>
      </c>
      <c r="H781" s="603">
        <v>0</v>
      </c>
      <c r="I781" s="601">
        <v>332310500000000</v>
      </c>
      <c r="J781" s="602" t="s">
        <v>6153</v>
      </c>
      <c r="K781" s="891">
        <v>0</v>
      </c>
      <c r="L781" s="891">
        <v>0</v>
      </c>
      <c r="M781" s="996">
        <f t="shared" si="151"/>
        <v>0</v>
      </c>
      <c r="N781" s="796"/>
      <c r="P781" s="399"/>
    </row>
    <row r="782" spans="1:16" s="647" customFormat="1" ht="15" customHeight="1" x14ac:dyDescent="0.25">
      <c r="A782" s="397"/>
      <c r="B782" s="599">
        <f t="shared" si="152"/>
        <v>25918</v>
      </c>
      <c r="C782" s="600" t="s">
        <v>6062</v>
      </c>
      <c r="D782" s="528">
        <v>25900</v>
      </c>
      <c r="E782" s="417">
        <v>333903992000000</v>
      </c>
      <c r="F782" s="418" t="s">
        <v>1097</v>
      </c>
      <c r="G782" s="603">
        <v>1</v>
      </c>
      <c r="H782" s="603">
        <v>0</v>
      </c>
      <c r="I782" s="601">
        <v>332310500000000</v>
      </c>
      <c r="J782" s="602" t="s">
        <v>6152</v>
      </c>
      <c r="K782" s="891">
        <v>0</v>
      </c>
      <c r="L782" s="891">
        <v>0</v>
      </c>
      <c r="M782" s="996">
        <f t="shared" si="151"/>
        <v>0</v>
      </c>
      <c r="N782" s="796"/>
      <c r="P782" s="399"/>
    </row>
    <row r="783" spans="1:16" s="647" customFormat="1" ht="15" customHeight="1" x14ac:dyDescent="0.25">
      <c r="A783" s="397"/>
      <c r="B783" s="599">
        <f t="shared" si="152"/>
        <v>25919</v>
      </c>
      <c r="C783" s="600" t="s">
        <v>6062</v>
      </c>
      <c r="D783" s="528">
        <v>25900</v>
      </c>
      <c r="E783" s="417">
        <v>333903993000000</v>
      </c>
      <c r="F783" s="418" t="s">
        <v>2189</v>
      </c>
      <c r="G783" s="603">
        <v>1</v>
      </c>
      <c r="H783" s="603">
        <v>0</v>
      </c>
      <c r="I783" s="601">
        <v>332310500000000</v>
      </c>
      <c r="J783" s="602" t="s">
        <v>6154</v>
      </c>
      <c r="K783" s="891">
        <v>0</v>
      </c>
      <c r="L783" s="891">
        <v>0</v>
      </c>
      <c r="M783" s="996">
        <f t="shared" si="151"/>
        <v>0</v>
      </c>
      <c r="N783" s="796"/>
      <c r="P783" s="399"/>
    </row>
    <row r="784" spans="1:16" s="647" customFormat="1" ht="15" customHeight="1" x14ac:dyDescent="0.25">
      <c r="A784" s="397"/>
      <c r="B784" s="599">
        <f t="shared" si="152"/>
        <v>25920</v>
      </c>
      <c r="C784" s="600" t="s">
        <v>6062</v>
      </c>
      <c r="D784" s="528">
        <v>25900</v>
      </c>
      <c r="E784" s="417">
        <v>333903995000000</v>
      </c>
      <c r="F784" s="418" t="s">
        <v>3164</v>
      </c>
      <c r="G784" s="603">
        <v>1</v>
      </c>
      <c r="H784" s="603">
        <v>0</v>
      </c>
      <c r="I784" s="601">
        <v>332311100000000</v>
      </c>
      <c r="J784" s="602" t="s">
        <v>6155</v>
      </c>
      <c r="K784" s="891">
        <v>0</v>
      </c>
      <c r="L784" s="891">
        <v>0</v>
      </c>
      <c r="M784" s="996">
        <f t="shared" si="151"/>
        <v>0</v>
      </c>
      <c r="N784" s="796"/>
      <c r="P784" s="399"/>
    </row>
    <row r="785" spans="1:16" s="647" customFormat="1" ht="15" customHeight="1" x14ac:dyDescent="0.25">
      <c r="A785" s="397"/>
      <c r="B785" s="599">
        <f t="shared" si="152"/>
        <v>25921</v>
      </c>
      <c r="C785" s="600" t="s">
        <v>6062</v>
      </c>
      <c r="D785" s="528">
        <v>25900</v>
      </c>
      <c r="E785" s="417">
        <v>333903999010000</v>
      </c>
      <c r="F785" s="418" t="s">
        <v>2449</v>
      </c>
      <c r="G785" s="603">
        <v>1</v>
      </c>
      <c r="H785" s="603">
        <v>0</v>
      </c>
      <c r="I785" s="601">
        <v>332310700000000</v>
      </c>
      <c r="J785" s="602" t="s">
        <v>6156</v>
      </c>
      <c r="K785" s="891">
        <v>0</v>
      </c>
      <c r="L785" s="891">
        <v>0</v>
      </c>
      <c r="M785" s="996">
        <f t="shared" si="151"/>
        <v>0</v>
      </c>
      <c r="N785" s="796"/>
      <c r="P785" s="399"/>
    </row>
    <row r="786" spans="1:16" s="647" customFormat="1" ht="15" customHeight="1" x14ac:dyDescent="0.25">
      <c r="A786" s="397"/>
      <c r="B786" s="599">
        <f t="shared" si="152"/>
        <v>25922</v>
      </c>
      <c r="C786" s="600" t="s">
        <v>6062</v>
      </c>
      <c r="D786" s="528">
        <v>25900</v>
      </c>
      <c r="E786" s="417">
        <v>333903999040000</v>
      </c>
      <c r="F786" s="418" t="s">
        <v>5812</v>
      </c>
      <c r="G786" s="603">
        <v>1</v>
      </c>
      <c r="H786" s="603">
        <v>0</v>
      </c>
      <c r="I786" s="601">
        <v>332319900000000</v>
      </c>
      <c r="J786" s="602" t="s">
        <v>6160</v>
      </c>
      <c r="K786" s="891">
        <v>0</v>
      </c>
      <c r="L786" s="891">
        <v>0</v>
      </c>
      <c r="M786" s="996">
        <f t="shared" si="151"/>
        <v>0</v>
      </c>
      <c r="N786" s="796"/>
      <c r="P786" s="399"/>
    </row>
    <row r="787" spans="1:16" s="647" customFormat="1" ht="15" customHeight="1" x14ac:dyDescent="0.25">
      <c r="A787" s="397"/>
      <c r="B787" s="1398" t="s">
        <v>7201</v>
      </c>
      <c r="C787" s="1398"/>
      <c r="D787" s="1398"/>
      <c r="E787" s="854">
        <v>333904700000000</v>
      </c>
      <c r="F787" s="855" t="s">
        <v>990</v>
      </c>
      <c r="G787" s="468">
        <v>1</v>
      </c>
      <c r="H787" s="468">
        <v>0</v>
      </c>
      <c r="I787" s="751"/>
      <c r="J787" s="878" t="s">
        <v>7188</v>
      </c>
      <c r="K787" s="789">
        <f>('Parâmetros financeiros Despesa'!E311+'Parâmetros financeiros Despesa'!E317+'Parâmetros financeiros Despesa'!E314)*'Parâmetros financeiros Despesa'!F83</f>
        <v>2559.4830000000002</v>
      </c>
      <c r="L787" s="789">
        <f>('Parâmetros financeiros Despesa'!F311+'Parâmetros financeiros Despesa'!F317+'Parâmetros financeiros Despesa'!F314)*((1+'Parâmetros financeiros Despesa'!F4)*(1+'Parâmetros financeiros Despesa'!F7))*('Parâmetros financeiros Despesa'!F83)</f>
        <v>4535.2153386145001</v>
      </c>
      <c r="M787" s="799">
        <f t="shared" si="151"/>
        <v>2.456765753217204E-3</v>
      </c>
      <c r="N787" s="894"/>
      <c r="O787" s="796"/>
      <c r="P787" s="399"/>
    </row>
    <row r="788" spans="1:16" s="647" customFormat="1" ht="15" customHeight="1" x14ac:dyDescent="0.25">
      <c r="A788" s="397"/>
      <c r="B788" s="599">
        <f>B787+1</f>
        <v>26001</v>
      </c>
      <c r="C788" s="600" t="s">
        <v>6062</v>
      </c>
      <c r="D788" s="528" t="str">
        <f>B787</f>
        <v>26000</v>
      </c>
      <c r="E788" s="417">
        <v>333904718000000</v>
      </c>
      <c r="F788" s="418" t="s">
        <v>5904</v>
      </c>
      <c r="G788" s="603">
        <v>1</v>
      </c>
      <c r="H788" s="603">
        <v>0</v>
      </c>
      <c r="I788" s="601">
        <v>372110400000000</v>
      </c>
      <c r="J788" s="602" t="s">
        <v>6131</v>
      </c>
      <c r="K788" s="891">
        <v>0</v>
      </c>
      <c r="L788" s="891">
        <v>0</v>
      </c>
      <c r="M788" s="996">
        <f t="shared" si="151"/>
        <v>0</v>
      </c>
      <c r="N788" s="796"/>
      <c r="P788" s="399"/>
    </row>
    <row r="789" spans="1:16" s="647" customFormat="1" ht="15" customHeight="1" x14ac:dyDescent="0.25">
      <c r="A789" s="397"/>
      <c r="B789" s="599">
        <f>B788+1</f>
        <v>26002</v>
      </c>
      <c r="C789" s="600" t="s">
        <v>6062</v>
      </c>
      <c r="D789" s="528">
        <v>26000</v>
      </c>
      <c r="E789" s="417">
        <v>333904720000000</v>
      </c>
      <c r="F789" s="418" t="s">
        <v>5905</v>
      </c>
      <c r="G789" s="603">
        <v>1</v>
      </c>
      <c r="H789" s="603">
        <v>0</v>
      </c>
      <c r="I789" s="601">
        <v>372110500000000</v>
      </c>
      <c r="J789" s="602" t="s">
        <v>6160</v>
      </c>
      <c r="K789" s="891">
        <v>0</v>
      </c>
      <c r="L789" s="891">
        <v>0</v>
      </c>
      <c r="M789" s="996">
        <f t="shared" si="151"/>
        <v>0</v>
      </c>
      <c r="N789" s="796"/>
      <c r="P789" s="399"/>
    </row>
    <row r="790" spans="1:16" s="647" customFormat="1" ht="15" customHeight="1" x14ac:dyDescent="0.25">
      <c r="A790" s="397"/>
      <c r="B790" s="1398" t="s">
        <v>7202</v>
      </c>
      <c r="C790" s="1398"/>
      <c r="D790" s="1398"/>
      <c r="E790" s="854">
        <v>333904900000000</v>
      </c>
      <c r="F790" s="855" t="s">
        <v>7167</v>
      </c>
      <c r="G790" s="468">
        <v>1</v>
      </c>
      <c r="H790" s="468">
        <v>0</v>
      </c>
      <c r="I790" s="751"/>
      <c r="J790" s="878" t="s">
        <v>7188</v>
      </c>
      <c r="K790" s="789">
        <f>'Parâmetros financeiros Despesa'!E318</f>
        <v>8329.6649999999991</v>
      </c>
      <c r="L790" s="789">
        <f>('Parâmetros financeiros Despesa'!F318)*2.05+(('Parâmetros financeiros Despesa'!F318)*11.28)*(1+'Parâmetros financeiros Despesa'!F$4)*(1+'Parâmetros financeiros Despesa'!F$8)</f>
        <v>9687.2827802854972</v>
      </c>
      <c r="M790" s="799">
        <f t="shared" si="151"/>
        <v>5.2476856773920723E-3</v>
      </c>
      <c r="N790" s="894"/>
      <c r="O790" s="796"/>
      <c r="P790" s="399"/>
    </row>
    <row r="791" spans="1:16" s="647" customFormat="1" ht="15" customHeight="1" x14ac:dyDescent="0.25">
      <c r="A791" s="397"/>
      <c r="B791" s="599">
        <f>B790+1</f>
        <v>26101</v>
      </c>
      <c r="C791" s="600" t="s">
        <v>6062</v>
      </c>
      <c r="D791" s="528" t="str">
        <f>B790</f>
        <v>26100</v>
      </c>
      <c r="E791" s="417">
        <v>333904901000000</v>
      </c>
      <c r="F791" s="418" t="s">
        <v>6042</v>
      </c>
      <c r="G791" s="603">
        <v>1</v>
      </c>
      <c r="H791" s="603">
        <v>0</v>
      </c>
      <c r="I791" s="601">
        <v>313110200000000</v>
      </c>
      <c r="J791" s="602" t="s">
        <v>6163</v>
      </c>
      <c r="K791" s="891">
        <v>0</v>
      </c>
      <c r="L791" s="891">
        <v>0</v>
      </c>
      <c r="M791" s="996">
        <f t="shared" si="151"/>
        <v>0</v>
      </c>
      <c r="N791" s="796"/>
      <c r="P791" s="399"/>
    </row>
    <row r="792" spans="1:16" s="647" customFormat="1" ht="15" customHeight="1" x14ac:dyDescent="0.25">
      <c r="A792" s="397"/>
      <c r="B792" s="1398" t="s">
        <v>7203</v>
      </c>
      <c r="C792" s="1398"/>
      <c r="D792" s="1398"/>
      <c r="E792" s="854">
        <v>333909300000000</v>
      </c>
      <c r="F792" s="855" t="s">
        <v>5818</v>
      </c>
      <c r="G792" s="468">
        <v>1</v>
      </c>
      <c r="H792" s="468">
        <v>0</v>
      </c>
      <c r="I792" s="751"/>
      <c r="J792" s="878" t="s">
        <v>7188</v>
      </c>
      <c r="K792" s="789">
        <f>'Parâmetros financeiros Despesa'!E319</f>
        <v>270</v>
      </c>
      <c r="L792" s="789">
        <f>('Parâmetros financeiros Despesa'!F320)*((1+'Parâmetros financeiros Despesa'!F4)*(1+'Parâmetros financeiros Despesa'!F7))</f>
        <v>1146.76705844</v>
      </c>
      <c r="M792" s="799">
        <f t="shared" si="151"/>
        <v>6.2121372983222343E-4</v>
      </c>
      <c r="N792" s="894"/>
      <c r="O792" s="796"/>
      <c r="P792" s="399"/>
    </row>
    <row r="793" spans="1:16" s="647" customFormat="1" ht="15" customHeight="1" x14ac:dyDescent="0.25">
      <c r="A793" s="397"/>
      <c r="B793" s="599">
        <f>B792+1</f>
        <v>26201</v>
      </c>
      <c r="C793" s="600" t="s">
        <v>6062</v>
      </c>
      <c r="D793" s="528" t="str">
        <f>B792</f>
        <v>26200</v>
      </c>
      <c r="E793" s="417">
        <v>333909399000000</v>
      </c>
      <c r="F793" s="418" t="s">
        <v>1038</v>
      </c>
      <c r="G793" s="603">
        <v>1</v>
      </c>
      <c r="H793" s="603">
        <v>0</v>
      </c>
      <c r="I793" s="601">
        <v>399910300000000</v>
      </c>
      <c r="J793" s="602" t="s">
        <v>6164</v>
      </c>
      <c r="K793" s="891">
        <v>0</v>
      </c>
      <c r="L793" s="891">
        <v>0</v>
      </c>
      <c r="M793" s="996">
        <f t="shared" si="151"/>
        <v>0</v>
      </c>
      <c r="N793" s="796"/>
      <c r="P793" s="399"/>
    </row>
    <row r="794" spans="1:16" s="647" customFormat="1" ht="15" customHeight="1" x14ac:dyDescent="0.25">
      <c r="A794" s="397"/>
      <c r="B794" s="1398" t="s">
        <v>7204</v>
      </c>
      <c r="C794" s="1398"/>
      <c r="D794" s="1398"/>
      <c r="E794" s="854">
        <v>333933000000000</v>
      </c>
      <c r="F794" s="855" t="s">
        <v>7205</v>
      </c>
      <c r="G794" s="468">
        <v>1</v>
      </c>
      <c r="H794" s="468">
        <v>0</v>
      </c>
      <c r="I794" s="751"/>
      <c r="J794" s="878" t="s">
        <v>6197</v>
      </c>
      <c r="K794" s="789">
        <f>'Parâmetros financeiros Despesa'!E320</f>
        <v>251.76</v>
      </c>
      <c r="L794" s="789">
        <f>('Parâmetros financeiros Despesa'!F321)*((1+'Parâmetros financeiros Despesa'!F4)*(1+'Parâmetros financeiros Despesa'!F7))</f>
        <v>3484.9393469300003</v>
      </c>
      <c r="M794" s="799">
        <f t="shared" si="151"/>
        <v>1.8878220768657767E-3</v>
      </c>
      <c r="N794" s="894"/>
      <c r="O794" s="796"/>
      <c r="P794" s="399"/>
    </row>
    <row r="795" spans="1:16" s="647" customFormat="1" ht="15" customHeight="1" x14ac:dyDescent="0.25">
      <c r="A795" s="397"/>
      <c r="B795" s="599">
        <f>B794+1</f>
        <v>26301</v>
      </c>
      <c r="C795" s="600" t="s">
        <v>6062</v>
      </c>
      <c r="D795" s="528" t="str">
        <f>B794</f>
        <v>26300</v>
      </c>
      <c r="E795" s="417">
        <v>333933002000000</v>
      </c>
      <c r="F795" s="418" t="s">
        <v>6199</v>
      </c>
      <c r="G795" s="603">
        <v>1</v>
      </c>
      <c r="H795" s="603">
        <v>0</v>
      </c>
      <c r="I795" s="601">
        <v>35</v>
      </c>
      <c r="J795" s="602" t="s">
        <v>6198</v>
      </c>
      <c r="K795" s="891"/>
      <c r="L795" s="891">
        <v>0</v>
      </c>
      <c r="M795" s="996">
        <f t="shared" si="151"/>
        <v>0</v>
      </c>
      <c r="N795" s="796"/>
      <c r="P795" s="399"/>
    </row>
    <row r="796" spans="1:16" s="647" customFormat="1" ht="15" customHeight="1" x14ac:dyDescent="0.25">
      <c r="A796" s="397"/>
      <c r="B796" s="1385" t="s">
        <v>5951</v>
      </c>
      <c r="C796" s="1385"/>
      <c r="D796" s="1385"/>
      <c r="E796" s="1385"/>
      <c r="F796" s="1385"/>
      <c r="G796" s="401"/>
      <c r="H796" s="401"/>
      <c r="I796" s="426"/>
      <c r="J796" s="411"/>
      <c r="K796" s="402">
        <f t="shared" ref="K796:L798" si="153">K797</f>
        <v>0</v>
      </c>
      <c r="L796" s="402">
        <f t="shared" si="153"/>
        <v>10685.2487</v>
      </c>
      <c r="M796" s="451">
        <f t="shared" si="151"/>
        <v>5.7882925309536296E-3</v>
      </c>
      <c r="N796" s="796"/>
      <c r="P796" s="399"/>
    </row>
    <row r="797" spans="1:16" s="647" customFormat="1" ht="15" customHeight="1" x14ac:dyDescent="0.25">
      <c r="A797" s="397"/>
      <c r="B797" s="1386" t="s">
        <v>7008</v>
      </c>
      <c r="C797" s="1386"/>
      <c r="D797" s="1386"/>
      <c r="E797" s="1386"/>
      <c r="F797" s="1386"/>
      <c r="G797" s="403"/>
      <c r="H797" s="403"/>
      <c r="I797" s="427"/>
      <c r="J797" s="412"/>
      <c r="K797" s="404">
        <f t="shared" si="153"/>
        <v>0</v>
      </c>
      <c r="L797" s="404">
        <f t="shared" si="153"/>
        <v>10685.2487</v>
      </c>
      <c r="M797" s="452">
        <f t="shared" si="151"/>
        <v>5.7882925309536296E-3</v>
      </c>
      <c r="N797" s="796"/>
      <c r="P797" s="399"/>
    </row>
    <row r="798" spans="1:16" s="647" customFormat="1" ht="15" customHeight="1" x14ac:dyDescent="0.25">
      <c r="A798" s="397"/>
      <c r="B798" s="1382" t="s">
        <v>2286</v>
      </c>
      <c r="C798" s="1382"/>
      <c r="D798" s="1382"/>
      <c r="E798" s="1382"/>
      <c r="F798" s="1382"/>
      <c r="G798" s="405"/>
      <c r="H798" s="405"/>
      <c r="I798" s="428"/>
      <c r="J798" s="413"/>
      <c r="K798" s="406">
        <f t="shared" si="153"/>
        <v>0</v>
      </c>
      <c r="L798" s="406">
        <f t="shared" si="153"/>
        <v>10685.2487</v>
      </c>
      <c r="M798" s="453">
        <f t="shared" si="151"/>
        <v>5.7882925309536296E-3</v>
      </c>
      <c r="N798" s="796"/>
      <c r="P798" s="399"/>
    </row>
    <row r="799" spans="1:16" s="647" customFormat="1" ht="15" customHeight="1" x14ac:dyDescent="0.25">
      <c r="A799" s="397"/>
      <c r="B799" s="1383" t="s">
        <v>2287</v>
      </c>
      <c r="C799" s="1383"/>
      <c r="D799" s="1383"/>
      <c r="E799" s="1383"/>
      <c r="F799" s="1383"/>
      <c r="G799" s="407"/>
      <c r="H799" s="407"/>
      <c r="I799" s="429"/>
      <c r="J799" s="414"/>
      <c r="K799" s="408">
        <f>K800+K803+K805+K812+K815</f>
        <v>0</v>
      </c>
      <c r="L799" s="408">
        <f>L800+L803+L805+L812+L815</f>
        <v>10685.2487</v>
      </c>
      <c r="M799" s="454">
        <f t="shared" si="151"/>
        <v>5.7882925309536296E-3</v>
      </c>
      <c r="N799" s="796"/>
      <c r="P799" s="399"/>
    </row>
    <row r="800" spans="1:16" s="115" customFormat="1" ht="15" customHeight="1" x14ac:dyDescent="0.25">
      <c r="A800" s="396"/>
      <c r="B800" s="1405">
        <v>27000</v>
      </c>
      <c r="C800" s="1405"/>
      <c r="D800" s="1405"/>
      <c r="E800" s="1013">
        <v>333903000000000</v>
      </c>
      <c r="F800" s="1014" t="s">
        <v>7176</v>
      </c>
      <c r="G800" s="1008">
        <v>1</v>
      </c>
      <c r="H800" s="1008">
        <v>0</v>
      </c>
      <c r="I800" s="1009"/>
      <c r="J800" s="1010" t="s">
        <v>7186</v>
      </c>
      <c r="K800" s="1011">
        <f>('Parâmetros financeiros Despesa'!E323+'Parâmetros financeiros Despesa'!E324)</f>
        <v>0</v>
      </c>
      <c r="L800" s="1011">
        <f>('Parâmetros financeiros Despesa'!F323+'Parâmetros financeiros Despesa'!F324)*(1+'Parâmetros financeiros Despesa'!F$4)*(1+'Parâmetros financeiros Despesa'!F$7)</f>
        <v>2180.663</v>
      </c>
      <c r="M800" s="1012">
        <f t="shared" si="151"/>
        <v>1.1812841899905367E-3</v>
      </c>
      <c r="N800" s="894"/>
      <c r="O800" s="894"/>
      <c r="P800" s="733"/>
    </row>
    <row r="801" spans="1:16" s="663" customFormat="1" ht="15" customHeight="1" x14ac:dyDescent="0.25">
      <c r="A801" s="397"/>
      <c r="B801" s="478">
        <f>B800+1</f>
        <v>27001</v>
      </c>
      <c r="C801" s="528" t="s">
        <v>6062</v>
      </c>
      <c r="D801" s="528">
        <v>27000</v>
      </c>
      <c r="E801" s="417">
        <v>333903017000000</v>
      </c>
      <c r="F801" s="418" t="s">
        <v>5753</v>
      </c>
      <c r="G801" s="603">
        <v>1</v>
      </c>
      <c r="H801" s="603">
        <v>0</v>
      </c>
      <c r="I801" s="601">
        <v>331111700000000</v>
      </c>
      <c r="J801" s="602" t="s">
        <v>6098</v>
      </c>
      <c r="K801" s="891"/>
      <c r="L801" s="891">
        <v>0</v>
      </c>
      <c r="M801" s="996">
        <f t="shared" si="151"/>
        <v>0</v>
      </c>
      <c r="N801" s="796"/>
      <c r="P801" s="399"/>
    </row>
    <row r="802" spans="1:16" s="663" customFormat="1" ht="15" customHeight="1" x14ac:dyDescent="0.25">
      <c r="A802" s="397"/>
      <c r="B802" s="478">
        <f>B801+1</f>
        <v>27002</v>
      </c>
      <c r="C802" s="528" t="s">
        <v>6062</v>
      </c>
      <c r="D802" s="528">
        <v>27000</v>
      </c>
      <c r="E802" s="417">
        <v>333903017000000</v>
      </c>
      <c r="F802" s="418" t="s">
        <v>5754</v>
      </c>
      <c r="G802" s="603">
        <v>1</v>
      </c>
      <c r="H802" s="603">
        <v>0</v>
      </c>
      <c r="I802" s="601">
        <v>617</v>
      </c>
      <c r="J802" s="602" t="s">
        <v>6098</v>
      </c>
      <c r="K802" s="891"/>
      <c r="L802" s="891">
        <v>0</v>
      </c>
      <c r="M802" s="996">
        <f t="shared" si="151"/>
        <v>0</v>
      </c>
      <c r="N802" s="796"/>
      <c r="P802" s="399"/>
    </row>
    <row r="803" spans="1:16" s="115" customFormat="1" ht="15" customHeight="1" x14ac:dyDescent="0.25">
      <c r="A803" s="396"/>
      <c r="B803" s="1015"/>
      <c r="C803" s="1015"/>
      <c r="D803" s="1015" t="s">
        <v>7206</v>
      </c>
      <c r="E803" s="1013">
        <v>333903600000000</v>
      </c>
      <c r="F803" s="1014" t="s">
        <v>7177</v>
      </c>
      <c r="G803" s="1008">
        <v>1</v>
      </c>
      <c r="H803" s="1008">
        <v>0</v>
      </c>
      <c r="I803" s="1009"/>
      <c r="J803" s="1010" t="s">
        <v>7186</v>
      </c>
      <c r="K803" s="1011">
        <f>('Parâmetros financeiros Despesa'!E325)</f>
        <v>0</v>
      </c>
      <c r="L803" s="1011">
        <f>('Parâmetros financeiros Despesa'!F325)*(1+'Parâmetros financeiros Despesa'!F$4)*(1+'Parâmetros financeiros Despesa'!F$7)</f>
        <v>1090.3315</v>
      </c>
      <c r="M803" s="1012">
        <f t="shared" si="151"/>
        <v>5.9064209499526833E-4</v>
      </c>
      <c r="N803" s="894"/>
      <c r="O803" s="894"/>
      <c r="P803" s="733"/>
    </row>
    <row r="804" spans="1:16" s="663" customFormat="1" ht="15" customHeight="1" x14ac:dyDescent="0.25">
      <c r="A804" s="397"/>
      <c r="B804" s="599" t="s">
        <v>7207</v>
      </c>
      <c r="C804" s="600" t="s">
        <v>6062</v>
      </c>
      <c r="D804" s="528">
        <v>27100</v>
      </c>
      <c r="E804" s="417">
        <v>333903606000000</v>
      </c>
      <c r="F804" s="418" t="s">
        <v>1151</v>
      </c>
      <c r="G804" s="603">
        <v>1</v>
      </c>
      <c r="H804" s="603">
        <v>0</v>
      </c>
      <c r="I804" s="601">
        <v>332211500000000</v>
      </c>
      <c r="J804" s="602" t="s">
        <v>6131</v>
      </c>
      <c r="K804" s="891"/>
      <c r="L804" s="891">
        <v>0</v>
      </c>
      <c r="M804" s="996">
        <f t="shared" si="151"/>
        <v>0</v>
      </c>
      <c r="N804" s="796"/>
      <c r="P804" s="399"/>
    </row>
    <row r="805" spans="1:16" s="115" customFormat="1" ht="15" customHeight="1" x14ac:dyDescent="0.25">
      <c r="A805" s="396"/>
      <c r="B805" s="1404" t="s">
        <v>7208</v>
      </c>
      <c r="C805" s="1404"/>
      <c r="D805" s="1404"/>
      <c r="E805" s="1013">
        <v>333903900000000</v>
      </c>
      <c r="F805" s="1014" t="s">
        <v>7178</v>
      </c>
      <c r="G805" s="1008">
        <v>1</v>
      </c>
      <c r="H805" s="1008">
        <v>0</v>
      </c>
      <c r="I805" s="1009"/>
      <c r="J805" s="1010" t="s">
        <v>7186</v>
      </c>
      <c r="K805" s="1011">
        <f>('Parâmetros financeiros Despesa'!E326+'Parâmetros financeiros Despesa'!E327)</f>
        <v>0</v>
      </c>
      <c r="L805" s="1011">
        <f>('Parâmetros financeiros Despesa'!F326+'Parâmetros financeiros Despesa'!F327)*(1+'Parâmetros financeiros Despesa'!F$4)*(1+'Parâmetros financeiros Despesa'!F$7)</f>
        <v>3270.9945000000002</v>
      </c>
      <c r="M805" s="1012">
        <f t="shared" si="151"/>
        <v>1.7719262849858052E-3</v>
      </c>
      <c r="N805" s="894"/>
      <c r="O805" s="894"/>
      <c r="P805" s="733"/>
    </row>
    <row r="806" spans="1:16" s="663" customFormat="1" ht="15" customHeight="1" x14ac:dyDescent="0.25">
      <c r="A806" s="397"/>
      <c r="B806" s="599">
        <f t="shared" ref="B806:B811" si="154">B805+1</f>
        <v>27201</v>
      </c>
      <c r="C806" s="600" t="s">
        <v>6062</v>
      </c>
      <c r="D806" s="528">
        <v>27200</v>
      </c>
      <c r="E806" s="417">
        <v>333903905000000</v>
      </c>
      <c r="F806" s="418" t="s">
        <v>1151</v>
      </c>
      <c r="G806" s="603">
        <v>1</v>
      </c>
      <c r="H806" s="603">
        <v>0</v>
      </c>
      <c r="I806" s="601">
        <v>332315100000000</v>
      </c>
      <c r="J806" s="602" t="s">
        <v>6127</v>
      </c>
      <c r="K806" s="891"/>
      <c r="L806" s="891">
        <v>0</v>
      </c>
      <c r="M806" s="996">
        <f t="shared" si="151"/>
        <v>0</v>
      </c>
      <c r="N806" s="796"/>
      <c r="P806" s="399"/>
    </row>
    <row r="807" spans="1:16" s="663" customFormat="1" ht="15" customHeight="1" x14ac:dyDescent="0.25">
      <c r="A807" s="397"/>
      <c r="B807" s="599">
        <f t="shared" si="154"/>
        <v>27202</v>
      </c>
      <c r="C807" s="600" t="s">
        <v>6062</v>
      </c>
      <c r="D807" s="528">
        <v>27200</v>
      </c>
      <c r="E807" s="417">
        <v>333903908000000</v>
      </c>
      <c r="F807" s="418" t="s">
        <v>7010</v>
      </c>
      <c r="G807" s="603">
        <v>1</v>
      </c>
      <c r="H807" s="603">
        <v>0</v>
      </c>
      <c r="I807" s="601">
        <v>332315100000000</v>
      </c>
      <c r="J807" s="602" t="s">
        <v>6127</v>
      </c>
      <c r="K807" s="891"/>
      <c r="L807" s="891">
        <v>0</v>
      </c>
      <c r="M807" s="996">
        <f t="shared" si="151"/>
        <v>0</v>
      </c>
      <c r="N807" s="796"/>
      <c r="P807" s="399"/>
    </row>
    <row r="808" spans="1:16" s="663" customFormat="1" ht="15" customHeight="1" x14ac:dyDescent="0.25">
      <c r="A808" s="397"/>
      <c r="B808" s="599">
        <f t="shared" si="154"/>
        <v>27203</v>
      </c>
      <c r="C808" s="600" t="s">
        <v>6062</v>
      </c>
      <c r="D808" s="528">
        <v>27200</v>
      </c>
      <c r="E808" s="417">
        <v>333903911000000</v>
      </c>
      <c r="F808" s="418" t="s">
        <v>2623</v>
      </c>
      <c r="G808" s="603">
        <v>1</v>
      </c>
      <c r="H808" s="603">
        <v>0</v>
      </c>
      <c r="I808" s="601">
        <v>332315100000000</v>
      </c>
      <c r="J808" s="602" t="s">
        <v>6127</v>
      </c>
      <c r="K808" s="891"/>
      <c r="L808" s="891">
        <v>0</v>
      </c>
      <c r="M808" s="996">
        <f t="shared" si="151"/>
        <v>0</v>
      </c>
      <c r="N808" s="796"/>
      <c r="P808" s="399"/>
    </row>
    <row r="809" spans="1:16" s="663" customFormat="1" ht="15" customHeight="1" x14ac:dyDescent="0.25">
      <c r="A809" s="397"/>
      <c r="B809" s="599">
        <f t="shared" si="154"/>
        <v>27204</v>
      </c>
      <c r="C809" s="600" t="s">
        <v>6062</v>
      </c>
      <c r="D809" s="528">
        <v>27200</v>
      </c>
      <c r="E809" s="417">
        <v>333903948000000</v>
      </c>
      <c r="F809" s="418" t="s">
        <v>2158</v>
      </c>
      <c r="G809" s="603">
        <v>1</v>
      </c>
      <c r="H809" s="603">
        <v>0</v>
      </c>
      <c r="I809" s="601">
        <v>332315100000000</v>
      </c>
      <c r="J809" s="602" t="s">
        <v>6127</v>
      </c>
      <c r="K809" s="891"/>
      <c r="L809" s="891">
        <v>0</v>
      </c>
      <c r="M809" s="996">
        <f t="shared" si="151"/>
        <v>0</v>
      </c>
      <c r="N809" s="796"/>
      <c r="P809" s="399"/>
    </row>
    <row r="810" spans="1:16" s="663" customFormat="1" ht="15" customHeight="1" x14ac:dyDescent="0.25">
      <c r="A810" s="397"/>
      <c r="B810" s="599">
        <f t="shared" si="154"/>
        <v>27205</v>
      </c>
      <c r="C810" s="600" t="s">
        <v>6062</v>
      </c>
      <c r="D810" s="528">
        <v>27200</v>
      </c>
      <c r="E810" s="417">
        <v>333903958030000</v>
      </c>
      <c r="F810" s="418" t="s">
        <v>7011</v>
      </c>
      <c r="G810" s="603">
        <v>1</v>
      </c>
      <c r="H810" s="603">
        <v>0</v>
      </c>
      <c r="I810" s="601">
        <v>332315100000000</v>
      </c>
      <c r="J810" s="602" t="s">
        <v>6127</v>
      </c>
      <c r="K810" s="891"/>
      <c r="L810" s="891">
        <v>0</v>
      </c>
      <c r="M810" s="996">
        <f t="shared" si="151"/>
        <v>0</v>
      </c>
      <c r="N810" s="796"/>
      <c r="P810" s="399"/>
    </row>
    <row r="811" spans="1:16" s="663" customFormat="1" ht="15" customHeight="1" x14ac:dyDescent="0.25">
      <c r="A811" s="397"/>
      <c r="B811" s="599">
        <f t="shared" si="154"/>
        <v>27206</v>
      </c>
      <c r="C811" s="600" t="s">
        <v>6062</v>
      </c>
      <c r="D811" s="528">
        <v>27200</v>
      </c>
      <c r="E811" s="417">
        <v>333903999040000</v>
      </c>
      <c r="F811" s="418" t="s">
        <v>5812</v>
      </c>
      <c r="G811" s="603">
        <v>1</v>
      </c>
      <c r="H811" s="603">
        <v>0</v>
      </c>
      <c r="I811" s="601">
        <v>332319900000000</v>
      </c>
      <c r="J811" s="602" t="s">
        <v>6160</v>
      </c>
      <c r="K811" s="891"/>
      <c r="L811" s="891">
        <v>0</v>
      </c>
      <c r="M811" s="996">
        <f t="shared" si="151"/>
        <v>0</v>
      </c>
      <c r="N811" s="796"/>
      <c r="P811" s="399"/>
    </row>
    <row r="812" spans="1:16" s="115" customFormat="1" ht="15" customHeight="1" x14ac:dyDescent="0.25">
      <c r="A812" s="396"/>
      <c r="B812" s="1404" t="s">
        <v>7209</v>
      </c>
      <c r="C812" s="1404"/>
      <c r="D812" s="1404"/>
      <c r="E812" s="1013">
        <v>333904700000000</v>
      </c>
      <c r="F812" s="1014" t="s">
        <v>7179</v>
      </c>
      <c r="G812" s="1008">
        <v>1</v>
      </c>
      <c r="H812" s="1008">
        <v>0</v>
      </c>
      <c r="I812" s="1009"/>
      <c r="J812" s="1010" t="s">
        <v>7186</v>
      </c>
      <c r="K812" s="1011">
        <f>('Parâmetros financeiros Despesa'!E324+'Parâmetros financeiros Despesa'!E326+'Parâmetros financeiros Despesa'!E327)</f>
        <v>0</v>
      </c>
      <c r="L812" s="1011">
        <f>('Parâmetros financeiros Despesa'!F324+'Parâmetros financeiros Despesa'!F326+'Parâmetros financeiros Despesa'!F327)*((1+'Parâmetros financeiros Despesa'!F$4)*(1+'Parâmetros financeiros Despesa'!F$7))*('Parâmetros financeiros Despesa'!F$83)</f>
        <v>872.26520000000005</v>
      </c>
      <c r="M812" s="1012">
        <f t="shared" si="151"/>
        <v>4.7251367599621471E-4</v>
      </c>
      <c r="N812" s="894"/>
      <c r="O812" s="894"/>
      <c r="P812" s="733"/>
    </row>
    <row r="813" spans="1:16" s="663" customFormat="1" ht="15" customHeight="1" x14ac:dyDescent="0.25">
      <c r="A813" s="397"/>
      <c r="B813" s="599">
        <f>B812+1</f>
        <v>27301</v>
      </c>
      <c r="C813" s="600" t="s">
        <v>6062</v>
      </c>
      <c r="D813" s="528" t="str">
        <f>B812</f>
        <v>27300</v>
      </c>
      <c r="E813" s="417">
        <v>333904718000000</v>
      </c>
      <c r="F813" s="418" t="s">
        <v>5904</v>
      </c>
      <c r="G813" s="603">
        <v>1</v>
      </c>
      <c r="H813" s="603">
        <v>0</v>
      </c>
      <c r="I813" s="601">
        <v>372110400000000</v>
      </c>
      <c r="J813" s="602" t="s">
        <v>6131</v>
      </c>
      <c r="K813" s="891"/>
      <c r="L813" s="891">
        <v>0</v>
      </c>
      <c r="M813" s="996">
        <f t="shared" si="151"/>
        <v>0</v>
      </c>
      <c r="N813" s="796"/>
      <c r="P813" s="399"/>
    </row>
    <row r="814" spans="1:16" s="663" customFormat="1" ht="15" customHeight="1" x14ac:dyDescent="0.25">
      <c r="A814" s="397"/>
      <c r="B814" s="599" t="s">
        <v>7121</v>
      </c>
      <c r="C814" s="600" t="s">
        <v>6062</v>
      </c>
      <c r="D814" s="528">
        <v>27300</v>
      </c>
      <c r="E814" s="417">
        <v>333904720000000</v>
      </c>
      <c r="F814" s="418" t="s">
        <v>5905</v>
      </c>
      <c r="G814" s="603">
        <v>1</v>
      </c>
      <c r="H814" s="603">
        <v>0</v>
      </c>
      <c r="I814" s="601">
        <v>372110500000000</v>
      </c>
      <c r="J814" s="602" t="s">
        <v>6160</v>
      </c>
      <c r="K814" s="891"/>
      <c r="L814" s="891">
        <v>0</v>
      </c>
      <c r="M814" s="996">
        <f t="shared" si="151"/>
        <v>0</v>
      </c>
      <c r="N814" s="796"/>
      <c r="P814" s="399"/>
    </row>
    <row r="815" spans="1:16" s="457" customFormat="1" ht="15" customHeight="1" x14ac:dyDescent="0.25">
      <c r="A815" s="396"/>
      <c r="B815" s="1404" t="s">
        <v>7210</v>
      </c>
      <c r="C815" s="1404"/>
      <c r="D815" s="1404"/>
      <c r="E815" s="1013">
        <v>344905200000000</v>
      </c>
      <c r="F815" s="1014" t="s">
        <v>7180</v>
      </c>
      <c r="G815" s="1008">
        <v>1</v>
      </c>
      <c r="H815" s="1008">
        <v>0</v>
      </c>
      <c r="I815" s="1009"/>
      <c r="J815" s="1010" t="s">
        <v>7186</v>
      </c>
      <c r="K815" s="1011">
        <f>('Parâmetros financeiros Despesa'!E328)</f>
        <v>0</v>
      </c>
      <c r="L815" s="1011">
        <f>('Parâmetros financeiros Despesa'!F328)*((1+'Parâmetros financeiros Despesa'!F$4)*(1+'Parâmetros financeiros Despesa'!F$7))</f>
        <v>3270.9945000000002</v>
      </c>
      <c r="M815" s="1012">
        <f t="shared" si="151"/>
        <v>1.7719262849858052E-3</v>
      </c>
      <c r="N815" s="894"/>
      <c r="O815" s="796"/>
      <c r="P815" s="734"/>
    </row>
    <row r="816" spans="1:16" s="662" customFormat="1" ht="15" customHeight="1" x14ac:dyDescent="0.25">
      <c r="A816" s="397"/>
      <c r="B816" s="1385" t="s">
        <v>7153</v>
      </c>
      <c r="C816" s="1385"/>
      <c r="D816" s="1385"/>
      <c r="E816" s="1385"/>
      <c r="F816" s="1385"/>
      <c r="G816" s="401"/>
      <c r="H816" s="401"/>
      <c r="I816" s="426"/>
      <c r="J816" s="411"/>
      <c r="K816" s="402">
        <f t="shared" ref="K816:L818" si="155">K817</f>
        <v>9780.5999999999985</v>
      </c>
      <c r="L816" s="402">
        <f t="shared" si="155"/>
        <v>14916.389118899999</v>
      </c>
      <c r="M816" s="451">
        <f t="shared" ref="M816:M879" si="156">L816/L$979</f>
        <v>8.0803382447922675E-3</v>
      </c>
      <c r="N816" s="796"/>
      <c r="P816" s="399"/>
    </row>
    <row r="817" spans="1:16" s="662" customFormat="1" ht="15" customHeight="1" x14ac:dyDescent="0.25">
      <c r="A817" s="397"/>
      <c r="B817" s="1386" t="s">
        <v>7211</v>
      </c>
      <c r="C817" s="1386"/>
      <c r="D817" s="1386"/>
      <c r="E817" s="1386"/>
      <c r="F817" s="1386"/>
      <c r="G817" s="403"/>
      <c r="H817" s="403"/>
      <c r="I817" s="427"/>
      <c r="J817" s="412"/>
      <c r="K817" s="404">
        <f t="shared" si="155"/>
        <v>9780.5999999999985</v>
      </c>
      <c r="L817" s="404">
        <f t="shared" si="155"/>
        <v>14916.389118899999</v>
      </c>
      <c r="M817" s="452">
        <f t="shared" si="156"/>
        <v>8.0803382447922675E-3</v>
      </c>
      <c r="N817" s="796"/>
      <c r="P817" s="399"/>
    </row>
    <row r="818" spans="1:16" s="662" customFormat="1" ht="15" customHeight="1" x14ac:dyDescent="0.25">
      <c r="A818" s="397"/>
      <c r="B818" s="1382" t="s">
        <v>7213</v>
      </c>
      <c r="C818" s="1382"/>
      <c r="D818" s="1382"/>
      <c r="E818" s="1382"/>
      <c r="F818" s="1382"/>
      <c r="G818" s="405"/>
      <c r="H818" s="405"/>
      <c r="I818" s="428"/>
      <c r="J818" s="413"/>
      <c r="K818" s="406">
        <f t="shared" si="155"/>
        <v>9780.5999999999985</v>
      </c>
      <c r="L818" s="406">
        <f t="shared" si="155"/>
        <v>14916.389118899999</v>
      </c>
      <c r="M818" s="453">
        <f t="shared" si="156"/>
        <v>8.0803382447922675E-3</v>
      </c>
      <c r="N818" s="796"/>
      <c r="P818" s="399"/>
    </row>
    <row r="819" spans="1:16" s="662" customFormat="1" ht="15" customHeight="1" x14ac:dyDescent="0.25">
      <c r="A819" s="397"/>
      <c r="B819" s="1383" t="s">
        <v>7214</v>
      </c>
      <c r="C819" s="1383"/>
      <c r="D819" s="1383"/>
      <c r="E819" s="1383"/>
      <c r="F819" s="1383"/>
      <c r="G819" s="407"/>
      <c r="H819" s="407"/>
      <c r="I819" s="429"/>
      <c r="J819" s="414"/>
      <c r="K819" s="408">
        <f>SUM(K820:K824)</f>
        <v>9780.5999999999985</v>
      </c>
      <c r="L819" s="408">
        <f>SUM(L820:L824)</f>
        <v>14916.389118899999</v>
      </c>
      <c r="M819" s="454">
        <f t="shared" si="156"/>
        <v>8.0803382447922675E-3</v>
      </c>
      <c r="N819" s="796"/>
      <c r="P819" s="399"/>
    </row>
    <row r="820" spans="1:16" s="115" customFormat="1" ht="15" customHeight="1" x14ac:dyDescent="0.25">
      <c r="A820" s="396"/>
      <c r="B820" s="1398" t="s">
        <v>7220</v>
      </c>
      <c r="C820" s="1398"/>
      <c r="D820" s="1398"/>
      <c r="E820" s="854">
        <v>333904700000000</v>
      </c>
      <c r="F820" s="855" t="s">
        <v>7215</v>
      </c>
      <c r="G820" s="468">
        <v>1</v>
      </c>
      <c r="H820" s="468">
        <v>0</v>
      </c>
      <c r="I820" s="751"/>
      <c r="J820" s="878" t="s">
        <v>7219</v>
      </c>
      <c r="K820" s="789">
        <f>('Parâmetros financeiros Despesa'!E331+'Parâmetros financeiros Despesa'!E332+'Parâmetros financeiros Despesa'!E334)</f>
        <v>0</v>
      </c>
      <c r="L820" s="789">
        <f>('Parâmetros financeiros Despesa'!F331+'Parâmetros financeiros Despesa'!F332+'Parâmetros financeiros Despesa'!F334)*((1+'Parâmetros financeiros Despesa'!F$4)*(1+'Parâmetros financeiros Despesa'!F$7))*('Parâmetros financeiros Despesa'!F$83)</f>
        <v>436.13260000000002</v>
      </c>
      <c r="M820" s="799">
        <f t="shared" si="156"/>
        <v>2.3625683799810736E-4</v>
      </c>
      <c r="N820" s="894"/>
      <c r="O820" s="796"/>
      <c r="P820" s="733"/>
    </row>
    <row r="821" spans="1:16" s="115" customFormat="1" ht="15" customHeight="1" x14ac:dyDescent="0.25">
      <c r="A821" s="396"/>
      <c r="B821" s="1396">
        <v>28100</v>
      </c>
      <c r="C821" s="1396"/>
      <c r="D821" s="1396"/>
      <c r="E821" s="854">
        <v>333903000000000</v>
      </c>
      <c r="F821" s="855" t="s">
        <v>7216</v>
      </c>
      <c r="G821" s="468">
        <v>1</v>
      </c>
      <c r="H821" s="468">
        <v>0</v>
      </c>
      <c r="I821" s="751"/>
      <c r="J821" s="878" t="s">
        <v>7219</v>
      </c>
      <c r="K821" s="789">
        <f>('Parâmetros financeiros Despesa'!E330+'Parâmetros financeiros Despesa'!E331)</f>
        <v>0</v>
      </c>
      <c r="L821" s="789">
        <f>('Parâmetros financeiros Despesa'!F330+'Parâmetros financeiros Despesa'!F331)*((1+'Parâmetros financeiros Despesa'!F$4)*(1+'Parâmetros financeiros Despesa'!F$7))</f>
        <v>1090.3315</v>
      </c>
      <c r="M821" s="799">
        <f t="shared" si="156"/>
        <v>5.9064209499526833E-4</v>
      </c>
      <c r="N821" s="894"/>
      <c r="O821" s="796"/>
      <c r="P821" s="733"/>
    </row>
    <row r="822" spans="1:16" s="115" customFormat="1" ht="15" customHeight="1" x14ac:dyDescent="0.25">
      <c r="A822" s="396"/>
      <c r="B822" s="994"/>
      <c r="C822" s="994"/>
      <c r="D822" s="994" t="s">
        <v>7221</v>
      </c>
      <c r="E822" s="854">
        <v>333903600000000</v>
      </c>
      <c r="F822" s="855" t="s">
        <v>7217</v>
      </c>
      <c r="G822" s="468">
        <v>1</v>
      </c>
      <c r="H822" s="468">
        <v>0</v>
      </c>
      <c r="I822" s="751"/>
      <c r="J822" s="878" t="s">
        <v>7219</v>
      </c>
      <c r="K822" s="789">
        <f>('Parâmetros financeiros Despesa'!E332)</f>
        <v>0</v>
      </c>
      <c r="L822" s="789">
        <f>('Parâmetros financeiros Despesa'!F332)*((1+'Parâmetros financeiros Despesa'!F$4)*(1+'Parâmetros financeiros Despesa'!F$7))</f>
        <v>1090.3315</v>
      </c>
      <c r="M822" s="799">
        <f t="shared" si="156"/>
        <v>5.9064209499526833E-4</v>
      </c>
      <c r="N822" s="894"/>
      <c r="O822" s="796"/>
      <c r="P822" s="733"/>
    </row>
    <row r="823" spans="1:16" s="115" customFormat="1" ht="15" customHeight="1" x14ac:dyDescent="0.25">
      <c r="A823" s="396"/>
      <c r="B823" s="1398" t="s">
        <v>7222</v>
      </c>
      <c r="C823" s="1398"/>
      <c r="D823" s="1398"/>
      <c r="E823" s="854">
        <v>333903900000000</v>
      </c>
      <c r="F823" s="855" t="s">
        <v>7218</v>
      </c>
      <c r="G823" s="468">
        <v>1</v>
      </c>
      <c r="H823" s="468">
        <v>0</v>
      </c>
      <c r="I823" s="751"/>
      <c r="J823" s="878" t="s">
        <v>7219</v>
      </c>
      <c r="K823" s="789">
        <f>('Parâmetros financeiros Despesa'!E333+'Parâmetros financeiros Despesa'!E334)</f>
        <v>0</v>
      </c>
      <c r="L823" s="789">
        <f>('Parâmetros financeiros Despesa'!F333+'Parâmetros financeiros Despesa'!F334)*((1+'Parâmetros financeiros Despesa'!F$4)*(1+'Parâmetros financeiros Despesa'!F$7))</f>
        <v>1635.4972500000001</v>
      </c>
      <c r="M823" s="799">
        <f t="shared" si="156"/>
        <v>8.859631424929026E-4</v>
      </c>
      <c r="N823" s="894"/>
      <c r="O823" s="796"/>
      <c r="P823" s="733"/>
    </row>
    <row r="824" spans="1:16" s="457" customFormat="1" ht="15" customHeight="1" x14ac:dyDescent="0.25">
      <c r="A824" s="396"/>
      <c r="B824" s="1398" t="s">
        <v>7223</v>
      </c>
      <c r="C824" s="1398"/>
      <c r="D824" s="1398"/>
      <c r="E824" s="854">
        <v>344905100000000</v>
      </c>
      <c r="F824" s="855" t="s">
        <v>7224</v>
      </c>
      <c r="G824" s="468">
        <v>1</v>
      </c>
      <c r="H824" s="468">
        <v>0</v>
      </c>
      <c r="I824" s="751"/>
      <c r="J824" s="878" t="s">
        <v>7219</v>
      </c>
      <c r="K824" s="789">
        <f>('Parâmetros financeiros Despesa'!E335)</f>
        <v>9780.5999999999985</v>
      </c>
      <c r="L824" s="789">
        <f>('Parâmetros financeiros Despesa'!F335)*((1+'Parâmetros financeiros Despesa'!F$4)*(1+'Parâmetros financeiros Despesa'!F$7))</f>
        <v>10664.096268899999</v>
      </c>
      <c r="M824" s="799">
        <f t="shared" si="156"/>
        <v>5.7768340743107214E-3</v>
      </c>
      <c r="N824" s="894"/>
      <c r="O824" s="796"/>
      <c r="P824" s="734"/>
    </row>
    <row r="825" spans="1:16" s="668" customFormat="1" ht="15" customHeight="1" x14ac:dyDescent="0.25">
      <c r="A825" s="397"/>
      <c r="B825" s="1385" t="s">
        <v>7153</v>
      </c>
      <c r="C825" s="1385"/>
      <c r="D825" s="1385"/>
      <c r="E825" s="1385"/>
      <c r="F825" s="1385"/>
      <c r="G825" s="401">
        <v>1087</v>
      </c>
      <c r="H825" s="401">
        <v>0</v>
      </c>
      <c r="I825" s="426"/>
      <c r="J825" s="411">
        <v>0</v>
      </c>
      <c r="K825" s="402">
        <f t="shared" ref="K825:L828" si="157">K826</f>
        <v>0</v>
      </c>
      <c r="L825" s="402">
        <f t="shared" si="157"/>
        <v>30000</v>
      </c>
      <c r="M825" s="451">
        <f t="shared" si="156"/>
        <v>1.6251261978451555E-2</v>
      </c>
      <c r="N825" s="796"/>
      <c r="P825" s="399"/>
    </row>
    <row r="826" spans="1:16" s="668" customFormat="1" ht="15" customHeight="1" x14ac:dyDescent="0.25">
      <c r="A826" s="397"/>
      <c r="B826" s="1386" t="s">
        <v>7325</v>
      </c>
      <c r="C826" s="1386"/>
      <c r="D826" s="1386"/>
      <c r="E826" s="1386"/>
      <c r="F826" s="1386"/>
      <c r="G826" s="403">
        <v>1087</v>
      </c>
      <c r="H826" s="403">
        <v>0</v>
      </c>
      <c r="I826" s="427"/>
      <c r="J826" s="412">
        <v>0</v>
      </c>
      <c r="K826" s="404">
        <f t="shared" si="157"/>
        <v>0</v>
      </c>
      <c r="L826" s="404">
        <f t="shared" si="157"/>
        <v>30000</v>
      </c>
      <c r="M826" s="452">
        <f t="shared" si="156"/>
        <v>1.6251261978451555E-2</v>
      </c>
      <c r="N826" s="796"/>
      <c r="P826" s="399"/>
    </row>
    <row r="827" spans="1:16" s="668" customFormat="1" ht="15" customHeight="1" x14ac:dyDescent="0.25">
      <c r="A827" s="397"/>
      <c r="B827" s="1382" t="s">
        <v>7213</v>
      </c>
      <c r="C827" s="1382"/>
      <c r="D827" s="1382"/>
      <c r="E827" s="1382"/>
      <c r="F827" s="1382"/>
      <c r="G827" s="405">
        <v>1087</v>
      </c>
      <c r="H827" s="405">
        <v>0</v>
      </c>
      <c r="I827" s="428"/>
      <c r="J827" s="413">
        <v>0</v>
      </c>
      <c r="K827" s="406">
        <f t="shared" si="157"/>
        <v>0</v>
      </c>
      <c r="L827" s="406">
        <f t="shared" si="157"/>
        <v>30000</v>
      </c>
      <c r="M827" s="453">
        <f t="shared" si="156"/>
        <v>1.6251261978451555E-2</v>
      </c>
      <c r="N827" s="796"/>
      <c r="P827" s="399"/>
    </row>
    <row r="828" spans="1:16" s="668" customFormat="1" ht="15" customHeight="1" x14ac:dyDescent="0.25">
      <c r="A828" s="397"/>
      <c r="B828" s="1383" t="s">
        <v>7214</v>
      </c>
      <c r="C828" s="1383"/>
      <c r="D828" s="1383"/>
      <c r="E828" s="1383"/>
      <c r="F828" s="1383"/>
      <c r="G828" s="407">
        <v>1087</v>
      </c>
      <c r="H828" s="407">
        <v>0</v>
      </c>
      <c r="I828" s="429"/>
      <c r="J828" s="414">
        <v>0</v>
      </c>
      <c r="K828" s="408">
        <f t="shared" si="157"/>
        <v>0</v>
      </c>
      <c r="L828" s="408">
        <f t="shared" si="157"/>
        <v>30000</v>
      </c>
      <c r="M828" s="454">
        <f t="shared" si="156"/>
        <v>1.6251261978451555E-2</v>
      </c>
      <c r="N828" s="796"/>
      <c r="P828" s="399"/>
    </row>
    <row r="829" spans="1:16" s="115" customFormat="1" ht="15" customHeight="1" x14ac:dyDescent="0.25">
      <c r="A829" s="396"/>
      <c r="B829" s="1398" t="s">
        <v>7408</v>
      </c>
      <c r="C829" s="1398"/>
      <c r="D829" s="1398"/>
      <c r="E829" s="854">
        <v>333903900000000</v>
      </c>
      <c r="F829" s="855" t="s">
        <v>7245</v>
      </c>
      <c r="G829" s="468">
        <v>1087</v>
      </c>
      <c r="H829" s="468">
        <v>0</v>
      </c>
      <c r="I829" s="751"/>
      <c r="J829" s="878" t="s">
        <v>7372</v>
      </c>
      <c r="K829" s="789">
        <f>('Parâmetros financeiros Despesa'!E337)</f>
        <v>0</v>
      </c>
      <c r="L829" s="789">
        <f>('Parâmetros financeiros Despesa'!F337)</f>
        <v>30000</v>
      </c>
      <c r="M829" s="799">
        <f t="shared" si="156"/>
        <v>1.6251261978451555E-2</v>
      </c>
      <c r="N829" s="894"/>
      <c r="P829" s="733"/>
    </row>
    <row r="830" spans="1:16" s="664" customFormat="1" ht="15" customHeight="1" x14ac:dyDescent="0.25">
      <c r="A830" s="397"/>
      <c r="B830" s="1385" t="s">
        <v>7153</v>
      </c>
      <c r="C830" s="1385"/>
      <c r="D830" s="1385"/>
      <c r="E830" s="1385"/>
      <c r="F830" s="1385"/>
      <c r="G830" s="401"/>
      <c r="H830" s="401"/>
      <c r="I830" s="426"/>
      <c r="J830" s="411"/>
      <c r="K830" s="402">
        <f t="shared" ref="K830:L832" si="158">K831</f>
        <v>1654.8600000000001</v>
      </c>
      <c r="L830" s="402">
        <f t="shared" si="158"/>
        <v>7801.1692360900015</v>
      </c>
      <c r="M830" s="451">
        <f t="shared" si="156"/>
        <v>4.2259614997978466E-3</v>
      </c>
      <c r="N830" s="796"/>
      <c r="P830" s="399"/>
    </row>
    <row r="831" spans="1:16" s="664" customFormat="1" ht="15" customHeight="1" x14ac:dyDescent="0.25">
      <c r="A831" s="397"/>
      <c r="B831" s="1386" t="s">
        <v>7212</v>
      </c>
      <c r="C831" s="1386"/>
      <c r="D831" s="1386"/>
      <c r="E831" s="1386"/>
      <c r="F831" s="1386"/>
      <c r="G831" s="403"/>
      <c r="H831" s="403"/>
      <c r="I831" s="427"/>
      <c r="J831" s="412"/>
      <c r="K831" s="404">
        <f t="shared" si="158"/>
        <v>1654.8600000000001</v>
      </c>
      <c r="L831" s="404">
        <f t="shared" si="158"/>
        <v>7801.1692360900015</v>
      </c>
      <c r="M831" s="452">
        <f t="shared" si="156"/>
        <v>4.2259614997978466E-3</v>
      </c>
      <c r="N831" s="796"/>
      <c r="P831" s="399"/>
    </row>
    <row r="832" spans="1:16" s="664" customFormat="1" ht="15" customHeight="1" x14ac:dyDescent="0.25">
      <c r="A832" s="397"/>
      <c r="B832" s="1382" t="s">
        <v>7213</v>
      </c>
      <c r="C832" s="1382"/>
      <c r="D832" s="1382"/>
      <c r="E832" s="1382"/>
      <c r="F832" s="1382"/>
      <c r="G832" s="405"/>
      <c r="H832" s="405"/>
      <c r="I832" s="428"/>
      <c r="J832" s="413"/>
      <c r="K832" s="406">
        <f t="shared" si="158"/>
        <v>1654.8600000000001</v>
      </c>
      <c r="L832" s="406">
        <f t="shared" si="158"/>
        <v>7801.1692360900015</v>
      </c>
      <c r="M832" s="453">
        <f t="shared" si="156"/>
        <v>4.2259614997978466E-3</v>
      </c>
      <c r="N832" s="796"/>
      <c r="P832" s="399"/>
    </row>
    <row r="833" spans="1:16" s="664" customFormat="1" ht="15" customHeight="1" x14ac:dyDescent="0.25">
      <c r="A833" s="397"/>
      <c r="B833" s="1383" t="s">
        <v>7214</v>
      </c>
      <c r="C833" s="1383"/>
      <c r="D833" s="1383"/>
      <c r="E833" s="1383"/>
      <c r="F833" s="1383"/>
      <c r="G833" s="407"/>
      <c r="H833" s="407"/>
      <c r="I833" s="429"/>
      <c r="J833" s="414"/>
      <c r="K833" s="408">
        <f>SUM(K834:K839)</f>
        <v>1654.8600000000001</v>
      </c>
      <c r="L833" s="408">
        <f>SUM(L834:L839)</f>
        <v>7801.1692360900015</v>
      </c>
      <c r="M833" s="454">
        <f t="shared" si="156"/>
        <v>4.2259614997978466E-3</v>
      </c>
      <c r="N833" s="796"/>
      <c r="P833" s="399"/>
    </row>
    <row r="834" spans="1:16" s="115" customFormat="1" ht="15" customHeight="1" x14ac:dyDescent="0.25">
      <c r="A834" s="396"/>
      <c r="B834" s="1398" t="s">
        <v>7225</v>
      </c>
      <c r="C834" s="1398"/>
      <c r="D834" s="1398"/>
      <c r="E834" s="854">
        <v>333903000000000</v>
      </c>
      <c r="F834" s="855" t="s">
        <v>7229</v>
      </c>
      <c r="G834" s="468">
        <v>1</v>
      </c>
      <c r="H834" s="468">
        <v>0</v>
      </c>
      <c r="I834" s="751"/>
      <c r="J834" s="878" t="s">
        <v>7232</v>
      </c>
      <c r="K834" s="789">
        <f>('Parâmetros financeiros Despesa'!E340+'Parâmetros financeiros Despesa'!E341)</f>
        <v>0</v>
      </c>
      <c r="L834" s="789">
        <f>('Parâmetros financeiros Despesa'!F340+'Parâmetros financeiros Despesa'!F341)*((1+'Parâmetros financeiros Despesa'!F$4)*(1+'Parâmetros financeiros Despesa'!F$7))</f>
        <v>1090.3315</v>
      </c>
      <c r="M834" s="799">
        <f t="shared" si="156"/>
        <v>5.9064209499526833E-4</v>
      </c>
      <c r="N834" s="894"/>
      <c r="O834" s="796"/>
      <c r="P834" s="733"/>
    </row>
    <row r="835" spans="1:16" s="115" customFormat="1" ht="15" customHeight="1" x14ac:dyDescent="0.25">
      <c r="A835" s="396"/>
      <c r="B835" s="1396">
        <v>29100</v>
      </c>
      <c r="C835" s="1396"/>
      <c r="D835" s="1396"/>
      <c r="E835" s="854">
        <v>333903600000000</v>
      </c>
      <c r="F835" s="855" t="s">
        <v>7231</v>
      </c>
      <c r="G835" s="468">
        <v>1</v>
      </c>
      <c r="H835" s="468">
        <v>0</v>
      </c>
      <c r="I835" s="751"/>
      <c r="J835" s="878" t="s">
        <v>7232</v>
      </c>
      <c r="K835" s="789">
        <f>('Parâmetros financeiros Despesa'!E342)</f>
        <v>0</v>
      </c>
      <c r="L835" s="789">
        <f>('Parâmetros financeiros Despesa'!F342)*((1+'Parâmetros financeiros Despesa'!F$4)*(1+'Parâmetros financeiros Despesa'!F$7))</f>
        <v>1635.4972500000001</v>
      </c>
      <c r="M835" s="799">
        <f t="shared" si="156"/>
        <v>8.859631424929026E-4</v>
      </c>
      <c r="N835" s="894"/>
      <c r="O835" s="796"/>
      <c r="P835" s="733"/>
    </row>
    <row r="836" spans="1:16" s="115" customFormat="1" ht="15" customHeight="1" x14ac:dyDescent="0.25">
      <c r="A836" s="396"/>
      <c r="B836" s="1398" t="s">
        <v>7226</v>
      </c>
      <c r="C836" s="1398"/>
      <c r="D836" s="1398"/>
      <c r="E836" s="854">
        <v>333903900000000</v>
      </c>
      <c r="F836" s="855" t="s">
        <v>7233</v>
      </c>
      <c r="G836" s="468">
        <v>1</v>
      </c>
      <c r="H836" s="468">
        <v>0</v>
      </c>
      <c r="I836" s="751"/>
      <c r="J836" s="878" t="s">
        <v>7232</v>
      </c>
      <c r="K836" s="789">
        <f>('Parâmetros financeiros Despesa'!E343+'Parâmetros financeiros Despesa'!E344)</f>
        <v>1654.8600000000001</v>
      </c>
      <c r="L836" s="789">
        <f>('Parâmetros financeiros Despesa'!F343+'Parâmetros financeiros Despesa'!F344)*((1+'Parâmetros financeiros Despesa'!F$4)*(1+'Parâmetros financeiros Despesa'!F$7))</f>
        <v>2349.5117360900003</v>
      </c>
      <c r="M836" s="799">
        <f t="shared" si="156"/>
        <v>1.2727510248215041E-3</v>
      </c>
      <c r="N836" s="894"/>
      <c r="O836" s="796"/>
      <c r="P836" s="733"/>
    </row>
    <row r="837" spans="1:16" s="115" customFormat="1" ht="15" customHeight="1" x14ac:dyDescent="0.25">
      <c r="A837" s="396"/>
      <c r="B837" s="1398" t="s">
        <v>7227</v>
      </c>
      <c r="C837" s="1398"/>
      <c r="D837" s="1398"/>
      <c r="E837" s="854">
        <v>333904700000000</v>
      </c>
      <c r="F837" s="855" t="s">
        <v>7234</v>
      </c>
      <c r="G837" s="468">
        <v>1</v>
      </c>
      <c r="H837" s="468">
        <v>0</v>
      </c>
      <c r="I837" s="751"/>
      <c r="J837" s="878" t="s">
        <v>7232</v>
      </c>
      <c r="K837" s="789">
        <f>('Parâmetros financeiros Despesa'!E341+'Parâmetros financeiros Despesa'!E342+'Parâmetros financeiros Despesa'!E344)</f>
        <v>0</v>
      </c>
      <c r="L837" s="789">
        <f>('Parâmetros financeiros Despesa'!F341+'Parâmetros financeiros Despesa'!F342+'Parâmetros financeiros Despesa'!F344)*((1+'Parâmetros financeiros Despesa'!F$4)*(1+'Parâmetros financeiros Despesa'!F$7))*('Parâmetros financeiros Despesa'!F$83)</f>
        <v>545.16575</v>
      </c>
      <c r="M837" s="799">
        <f t="shared" si="156"/>
        <v>2.9532104749763416E-4</v>
      </c>
      <c r="N837" s="894"/>
      <c r="O837" s="796"/>
      <c r="P837" s="733"/>
    </row>
    <row r="838" spans="1:16" s="457" customFormat="1" ht="15" customHeight="1" x14ac:dyDescent="0.25">
      <c r="A838" s="396"/>
      <c r="B838" s="1398" t="s">
        <v>7228</v>
      </c>
      <c r="C838" s="1398"/>
      <c r="D838" s="1398"/>
      <c r="E838" s="854">
        <v>344905100000000</v>
      </c>
      <c r="F838" s="855" t="s">
        <v>7236</v>
      </c>
      <c r="G838" s="468">
        <v>1</v>
      </c>
      <c r="H838" s="468">
        <v>0</v>
      </c>
      <c r="I838" s="751"/>
      <c r="J838" s="878" t="s">
        <v>7232</v>
      </c>
      <c r="K838" s="789">
        <f>('Parâmetros financeiros Despesa'!E345)</f>
        <v>0</v>
      </c>
      <c r="L838" s="789">
        <f>('Parâmetros financeiros Despesa'!F345)*((1+'Parâmetros financeiros Despesa'!F$4)*(1+'Parâmetros financeiros Despesa'!F$7))</f>
        <v>1090.3315</v>
      </c>
      <c r="M838" s="799">
        <f t="shared" si="156"/>
        <v>5.9064209499526833E-4</v>
      </c>
      <c r="N838" s="894"/>
      <c r="O838" s="796"/>
      <c r="P838" s="734"/>
    </row>
    <row r="839" spans="1:16" s="457" customFormat="1" ht="15" customHeight="1" x14ac:dyDescent="0.25">
      <c r="A839" s="396"/>
      <c r="B839" s="1398" t="s">
        <v>7230</v>
      </c>
      <c r="C839" s="1398"/>
      <c r="D839" s="1398"/>
      <c r="E839" s="854">
        <v>344905200000000</v>
      </c>
      <c r="F839" s="855" t="s">
        <v>7235</v>
      </c>
      <c r="G839" s="468">
        <v>1</v>
      </c>
      <c r="H839" s="468">
        <v>0</v>
      </c>
      <c r="I839" s="751"/>
      <c r="J839" s="878" t="s">
        <v>7232</v>
      </c>
      <c r="K839" s="789">
        <f>('Parâmetros financeiros Despesa'!E346)</f>
        <v>0</v>
      </c>
      <c r="L839" s="789">
        <f>('Parâmetros financeiros Despesa'!F346)*((1+'Parâmetros financeiros Despesa'!F$4)*(1+'Parâmetros financeiros Despesa'!F$7))</f>
        <v>1090.3315</v>
      </c>
      <c r="M839" s="799">
        <f t="shared" si="156"/>
        <v>5.9064209499526833E-4</v>
      </c>
      <c r="N839" s="894"/>
      <c r="O839" s="796"/>
      <c r="P839" s="734"/>
    </row>
    <row r="840" spans="1:16" s="664" customFormat="1" ht="15" customHeight="1" x14ac:dyDescent="0.25">
      <c r="A840" s="397"/>
      <c r="B840" s="1385" t="s">
        <v>7153</v>
      </c>
      <c r="C840" s="1385"/>
      <c r="D840" s="1385"/>
      <c r="E840" s="1385"/>
      <c r="F840" s="1385"/>
      <c r="G840" s="401"/>
      <c r="H840" s="401"/>
      <c r="I840" s="426"/>
      <c r="J840" s="411"/>
      <c r="K840" s="402">
        <f t="shared" ref="K840:L842" si="159">K841</f>
        <v>81777.525000000009</v>
      </c>
      <c r="L840" s="402">
        <f t="shared" si="159"/>
        <v>78261.296499537508</v>
      </c>
      <c r="M840" s="451">
        <f t="shared" si="156"/>
        <v>4.2394827739575251E-2</v>
      </c>
      <c r="N840" s="796"/>
      <c r="P840" s="399"/>
    </row>
    <row r="841" spans="1:16" s="664" customFormat="1" ht="15" customHeight="1" x14ac:dyDescent="0.25">
      <c r="A841" s="397"/>
      <c r="B841" s="1386" t="s">
        <v>7242</v>
      </c>
      <c r="C841" s="1386"/>
      <c r="D841" s="1386"/>
      <c r="E841" s="1386"/>
      <c r="F841" s="1386"/>
      <c r="G841" s="403"/>
      <c r="H841" s="403"/>
      <c r="I841" s="427"/>
      <c r="J841" s="412"/>
      <c r="K841" s="404">
        <f t="shared" si="159"/>
        <v>81777.525000000009</v>
      </c>
      <c r="L841" s="404">
        <f t="shared" si="159"/>
        <v>78261.296499537508</v>
      </c>
      <c r="M841" s="452">
        <f t="shared" si="156"/>
        <v>4.2394827739575251E-2</v>
      </c>
      <c r="N841" s="796"/>
      <c r="P841" s="399"/>
    </row>
    <row r="842" spans="1:16" s="664" customFormat="1" ht="15" customHeight="1" x14ac:dyDescent="0.25">
      <c r="A842" s="397"/>
      <c r="B842" s="1382" t="s">
        <v>7213</v>
      </c>
      <c r="C842" s="1382"/>
      <c r="D842" s="1382"/>
      <c r="E842" s="1382"/>
      <c r="F842" s="1382"/>
      <c r="G842" s="405"/>
      <c r="H842" s="405"/>
      <c r="I842" s="428"/>
      <c r="J842" s="413"/>
      <c r="K842" s="406">
        <f t="shared" si="159"/>
        <v>81777.525000000009</v>
      </c>
      <c r="L842" s="406">
        <f t="shared" si="159"/>
        <v>78261.296499537508</v>
      </c>
      <c r="M842" s="453">
        <f t="shared" si="156"/>
        <v>4.2394827739575251E-2</v>
      </c>
      <c r="N842" s="796"/>
      <c r="P842" s="399"/>
    </row>
    <row r="843" spans="1:16" s="664" customFormat="1" ht="15" customHeight="1" x14ac:dyDescent="0.25">
      <c r="A843" s="397"/>
      <c r="B843" s="1383" t="s">
        <v>7214</v>
      </c>
      <c r="C843" s="1383"/>
      <c r="D843" s="1383"/>
      <c r="E843" s="1383"/>
      <c r="F843" s="1383"/>
      <c r="G843" s="407"/>
      <c r="H843" s="407"/>
      <c r="I843" s="429"/>
      <c r="J843" s="414"/>
      <c r="K843" s="408">
        <f>SUM(K844:K849)</f>
        <v>81777.525000000009</v>
      </c>
      <c r="L843" s="408">
        <f>SUM(L844:L849)</f>
        <v>78261.296499537508</v>
      </c>
      <c r="M843" s="454">
        <f t="shared" si="156"/>
        <v>4.2394827739575251E-2</v>
      </c>
      <c r="N843" s="796"/>
      <c r="P843" s="399"/>
    </row>
    <row r="844" spans="1:16" s="115" customFormat="1" ht="15" customHeight="1" x14ac:dyDescent="0.25">
      <c r="A844" s="396"/>
      <c r="B844" s="1398" t="s">
        <v>7237</v>
      </c>
      <c r="C844" s="1398"/>
      <c r="D844" s="1398"/>
      <c r="E844" s="854">
        <v>333903000000000</v>
      </c>
      <c r="F844" s="855" t="s">
        <v>7243</v>
      </c>
      <c r="G844" s="468">
        <v>1</v>
      </c>
      <c r="H844" s="468">
        <v>0</v>
      </c>
      <c r="I844" s="751"/>
      <c r="J844" s="878" t="s">
        <v>7249</v>
      </c>
      <c r="K844" s="789">
        <f>('Parâmetros financeiros Despesa'!E348+'Parâmetros financeiros Despesa'!E349)</f>
        <v>13820.115</v>
      </c>
      <c r="L844" s="789">
        <f>('Parâmetros financeiros Despesa'!F348+'Parâmetros financeiros Despesa'!F349)*((1+'Parâmetros financeiros Despesa'!F$4)*(1+'Parâmetros financeiros Despesa'!F$7))</f>
        <v>15613.672468122501</v>
      </c>
      <c r="M844" s="799">
        <f t="shared" si="156"/>
        <v>8.4580627241731682E-3</v>
      </c>
      <c r="N844" s="894"/>
      <c r="P844" s="733"/>
    </row>
    <row r="845" spans="1:16" s="115" customFormat="1" ht="15" customHeight="1" x14ac:dyDescent="0.25">
      <c r="A845" s="396"/>
      <c r="B845" s="1396">
        <v>30100</v>
      </c>
      <c r="C845" s="1396"/>
      <c r="D845" s="1396"/>
      <c r="E845" s="854">
        <v>333903600000000</v>
      </c>
      <c r="F845" s="855" t="s">
        <v>7244</v>
      </c>
      <c r="G845" s="468">
        <v>1</v>
      </c>
      <c r="H845" s="468">
        <v>0</v>
      </c>
      <c r="I845" s="751"/>
      <c r="J845" s="878" t="s">
        <v>7249</v>
      </c>
      <c r="K845" s="789">
        <f>('Parâmetros financeiros Despesa'!E350)</f>
        <v>0</v>
      </c>
      <c r="L845" s="789">
        <f>('Parâmetros financeiros Despesa'!F350)*((1+'Parâmetros financeiros Despesa'!F$4)*(1+'Parâmetros financeiros Despesa'!F$7))</f>
        <v>1635.4972500000001</v>
      </c>
      <c r="M845" s="799">
        <f t="shared" si="156"/>
        <v>8.859631424929026E-4</v>
      </c>
      <c r="N845" s="894"/>
      <c r="O845" s="796"/>
      <c r="P845" s="733"/>
    </row>
    <row r="846" spans="1:16" s="115" customFormat="1" ht="15" customHeight="1" x14ac:dyDescent="0.25">
      <c r="A846" s="396"/>
      <c r="B846" s="1398" t="s">
        <v>7238</v>
      </c>
      <c r="C846" s="1398"/>
      <c r="D846" s="1398"/>
      <c r="E846" s="854">
        <v>333903900000000</v>
      </c>
      <c r="F846" s="855" t="s">
        <v>7245</v>
      </c>
      <c r="G846" s="468">
        <v>1</v>
      </c>
      <c r="H846" s="468">
        <v>0</v>
      </c>
      <c r="I846" s="751"/>
      <c r="J846" s="878" t="s">
        <v>7249</v>
      </c>
      <c r="K846" s="789">
        <f>('Parâmetros financeiros Despesa'!E351+'Parâmetros financeiros Despesa'!E352)</f>
        <v>67957.41</v>
      </c>
      <c r="L846" s="789">
        <f>('Parâmetros financeiros Despesa'!F351+'Parâmetros financeiros Despesa'!F352)*((1+'Parâmetros financeiros Despesa'!F$4)*(1+'Parâmetros financeiros Despesa'!F$7))</f>
        <v>58286.298031415005</v>
      </c>
      <c r="M846" s="799">
        <f t="shared" si="156"/>
        <v>3.1574196635421013E-2</v>
      </c>
      <c r="N846" s="894"/>
      <c r="O846" s="796"/>
      <c r="P846" s="733"/>
    </row>
    <row r="847" spans="1:16" s="115" customFormat="1" ht="15" customHeight="1" x14ac:dyDescent="0.25">
      <c r="A847" s="396"/>
      <c r="B847" s="1398" t="s">
        <v>7239</v>
      </c>
      <c r="C847" s="1398"/>
      <c r="D847" s="1398"/>
      <c r="E847" s="854">
        <v>333904700000000</v>
      </c>
      <c r="F847" s="855" t="s">
        <v>7246</v>
      </c>
      <c r="G847" s="468">
        <v>1</v>
      </c>
      <c r="H847" s="468">
        <v>0</v>
      </c>
      <c r="I847" s="751"/>
      <c r="J847" s="878" t="s">
        <v>7249</v>
      </c>
      <c r="K847" s="789">
        <f>('Parâmetros financeiros Despesa'!E349+'Parâmetros financeiros Despesa'!E350+'Parâmetros financeiros Despesa'!E352)</f>
        <v>0</v>
      </c>
      <c r="L847" s="789">
        <f>('Parâmetros financeiros Despesa'!F349+'Parâmetros financeiros Despesa'!F350+'Parâmetros financeiros Despesa'!F352)*((1+'Parâmetros financeiros Despesa'!F$4)*(1+'Parâmetros financeiros Despesa'!F$7))*('Parâmetros financeiros Despesa'!F$83)</f>
        <v>545.16575</v>
      </c>
      <c r="M847" s="799">
        <f t="shared" si="156"/>
        <v>2.9532104749763416E-4</v>
      </c>
      <c r="N847" s="894"/>
      <c r="O847" s="796"/>
      <c r="P847" s="733"/>
    </row>
    <row r="848" spans="1:16" s="457" customFormat="1" ht="15" customHeight="1" x14ac:dyDescent="0.25">
      <c r="A848" s="396"/>
      <c r="B848" s="1398" t="s">
        <v>7240</v>
      </c>
      <c r="C848" s="1398"/>
      <c r="D848" s="1398"/>
      <c r="E848" s="854">
        <v>344905100000000</v>
      </c>
      <c r="F848" s="855" t="s">
        <v>7247</v>
      </c>
      <c r="G848" s="468">
        <v>1</v>
      </c>
      <c r="H848" s="468">
        <v>0</v>
      </c>
      <c r="I848" s="751"/>
      <c r="J848" s="878" t="s">
        <v>7249</v>
      </c>
      <c r="K848" s="789">
        <f>('Parâmetros financeiros Despesa'!E353)</f>
        <v>0</v>
      </c>
      <c r="L848" s="789">
        <f>('Parâmetros financeiros Despesa'!F353)*((1+'Parâmetros financeiros Despesa'!F$4)*(1+'Parâmetros financeiros Despesa'!F$7))</f>
        <v>1090.3315</v>
      </c>
      <c r="M848" s="799">
        <f t="shared" si="156"/>
        <v>5.9064209499526833E-4</v>
      </c>
      <c r="N848" s="894"/>
      <c r="O848" s="796"/>
      <c r="P848" s="734"/>
    </row>
    <row r="849" spans="1:16" s="457" customFormat="1" ht="15" customHeight="1" x14ac:dyDescent="0.25">
      <c r="A849" s="396"/>
      <c r="B849" s="1398" t="s">
        <v>7241</v>
      </c>
      <c r="C849" s="1398"/>
      <c r="D849" s="1398"/>
      <c r="E849" s="854">
        <v>344905200000000</v>
      </c>
      <c r="F849" s="855" t="s">
        <v>7248</v>
      </c>
      <c r="G849" s="468">
        <v>1</v>
      </c>
      <c r="H849" s="468">
        <v>0</v>
      </c>
      <c r="I849" s="751"/>
      <c r="J849" s="878" t="s">
        <v>7249</v>
      </c>
      <c r="K849" s="789">
        <f>('Parâmetros financeiros Despesa'!E354)</f>
        <v>0</v>
      </c>
      <c r="L849" s="789">
        <f>('Parâmetros financeiros Despesa'!F354)*((1+'Parâmetros financeiros Despesa'!F$4)*(1+'Parâmetros financeiros Despesa'!F$7))</f>
        <v>1090.3315</v>
      </c>
      <c r="M849" s="799">
        <f t="shared" si="156"/>
        <v>5.9064209499526833E-4</v>
      </c>
      <c r="N849" s="894"/>
      <c r="O849" s="796"/>
      <c r="P849" s="734"/>
    </row>
    <row r="850" spans="1:16" s="664" customFormat="1" ht="15" customHeight="1" x14ac:dyDescent="0.25">
      <c r="A850" s="397"/>
      <c r="B850" s="1385" t="s">
        <v>7153</v>
      </c>
      <c r="C850" s="1385"/>
      <c r="D850" s="1385"/>
      <c r="E850" s="1385"/>
      <c r="F850" s="1385"/>
      <c r="G850" s="401"/>
      <c r="H850" s="401"/>
      <c r="I850" s="426"/>
      <c r="J850" s="411"/>
      <c r="K850" s="402">
        <f t="shared" ref="K850:L852" si="160">K851</f>
        <v>3529.4849999999997</v>
      </c>
      <c r="L850" s="402">
        <f t="shared" si="160"/>
        <v>10390.297674277501</v>
      </c>
      <c r="M850" s="451">
        <f t="shared" si="156"/>
        <v>5.6285149846259852E-3</v>
      </c>
      <c r="N850" s="796"/>
      <c r="P850" s="399"/>
    </row>
    <row r="851" spans="1:16" s="664" customFormat="1" ht="15" customHeight="1" x14ac:dyDescent="0.25">
      <c r="A851" s="397"/>
      <c r="B851" s="1386" t="s">
        <v>7250</v>
      </c>
      <c r="C851" s="1386"/>
      <c r="D851" s="1386"/>
      <c r="E851" s="1386"/>
      <c r="F851" s="1386"/>
      <c r="G851" s="403"/>
      <c r="H851" s="403"/>
      <c r="I851" s="427"/>
      <c r="J851" s="412"/>
      <c r="K851" s="404">
        <f t="shared" si="160"/>
        <v>3529.4849999999997</v>
      </c>
      <c r="L851" s="404">
        <f t="shared" si="160"/>
        <v>10390.297674277501</v>
      </c>
      <c r="M851" s="452">
        <f t="shared" si="156"/>
        <v>5.6285149846259852E-3</v>
      </c>
      <c r="N851" s="796"/>
      <c r="P851" s="399"/>
    </row>
    <row r="852" spans="1:16" s="664" customFormat="1" ht="15" customHeight="1" x14ac:dyDescent="0.25">
      <c r="A852" s="397"/>
      <c r="B852" s="1382" t="s">
        <v>7213</v>
      </c>
      <c r="C852" s="1382"/>
      <c r="D852" s="1382"/>
      <c r="E852" s="1382"/>
      <c r="F852" s="1382"/>
      <c r="G852" s="405"/>
      <c r="H852" s="405"/>
      <c r="I852" s="428"/>
      <c r="J852" s="413"/>
      <c r="K852" s="406">
        <f t="shared" si="160"/>
        <v>3529.4849999999997</v>
      </c>
      <c r="L852" s="406">
        <f t="shared" si="160"/>
        <v>10390.297674277501</v>
      </c>
      <c r="M852" s="453">
        <f t="shared" si="156"/>
        <v>5.6285149846259852E-3</v>
      </c>
      <c r="N852" s="796"/>
      <c r="P852" s="399"/>
    </row>
    <row r="853" spans="1:16" s="664" customFormat="1" ht="15" customHeight="1" x14ac:dyDescent="0.25">
      <c r="A853" s="397"/>
      <c r="B853" s="1383" t="s">
        <v>7214</v>
      </c>
      <c r="C853" s="1383"/>
      <c r="D853" s="1383"/>
      <c r="E853" s="1383"/>
      <c r="F853" s="1383"/>
      <c r="G853" s="407"/>
      <c r="H853" s="407"/>
      <c r="I853" s="429"/>
      <c r="J853" s="414"/>
      <c r="K853" s="408">
        <f>SUM(K854:K859)</f>
        <v>3529.4849999999997</v>
      </c>
      <c r="L853" s="408">
        <f>SUM(L854:L859)</f>
        <v>10390.297674277501</v>
      </c>
      <c r="M853" s="454">
        <f t="shared" si="156"/>
        <v>5.6285149846259852E-3</v>
      </c>
      <c r="N853" s="796"/>
      <c r="P853" s="399"/>
    </row>
    <row r="854" spans="1:16" s="115" customFormat="1" ht="15" customHeight="1" x14ac:dyDescent="0.25">
      <c r="A854" s="396"/>
      <c r="B854" s="1398" t="s">
        <v>7257</v>
      </c>
      <c r="C854" s="1398"/>
      <c r="D854" s="1398"/>
      <c r="E854" s="854">
        <v>333903000000000</v>
      </c>
      <c r="F854" s="855" t="s">
        <v>7251</v>
      </c>
      <c r="G854" s="468">
        <v>1</v>
      </c>
      <c r="H854" s="468">
        <v>0</v>
      </c>
      <c r="I854" s="751"/>
      <c r="J854" s="878" t="s">
        <v>7262</v>
      </c>
      <c r="K854" s="789">
        <f>('Parâmetros financeiros Despesa'!E356+'Parâmetros financeiros Despesa'!E357)</f>
        <v>0</v>
      </c>
      <c r="L854" s="789">
        <f>('Parâmetros financeiros Despesa'!F356+'Parâmetros financeiros Despesa'!F357)*((1+'Parâmetros financeiros Despesa'!F$4)*(1+'Parâmetros financeiros Despesa'!F$7))</f>
        <v>1635.4972500000001</v>
      </c>
      <c r="M854" s="799">
        <f t="shared" si="156"/>
        <v>8.859631424929026E-4</v>
      </c>
      <c r="N854" s="894"/>
      <c r="O854" s="796"/>
      <c r="P854" s="733"/>
    </row>
    <row r="855" spans="1:16" s="115" customFormat="1" ht="15" customHeight="1" x14ac:dyDescent="0.25">
      <c r="A855" s="396"/>
      <c r="B855" s="1396">
        <v>31100</v>
      </c>
      <c r="C855" s="1396"/>
      <c r="D855" s="1396"/>
      <c r="E855" s="854">
        <v>333903600000000</v>
      </c>
      <c r="F855" s="855" t="s">
        <v>7252</v>
      </c>
      <c r="G855" s="468">
        <v>1</v>
      </c>
      <c r="H855" s="468">
        <v>0</v>
      </c>
      <c r="I855" s="751"/>
      <c r="J855" s="878" t="s">
        <v>7262</v>
      </c>
      <c r="K855" s="789">
        <f>('Parâmetros financeiros Despesa'!E358)</f>
        <v>0</v>
      </c>
      <c r="L855" s="789">
        <f>('Parâmetros financeiros Despesa'!F358)*((1+'Parâmetros financeiros Despesa'!F$4)*(1+'Parâmetros financeiros Despesa'!F$7))</f>
        <v>1635.4972500000001</v>
      </c>
      <c r="M855" s="799">
        <f t="shared" si="156"/>
        <v>8.859631424929026E-4</v>
      </c>
      <c r="N855" s="894"/>
      <c r="O855" s="796"/>
      <c r="P855" s="733"/>
    </row>
    <row r="856" spans="1:16" s="115" customFormat="1" ht="15" customHeight="1" x14ac:dyDescent="0.25">
      <c r="A856" s="396"/>
      <c r="B856" s="1398" t="s">
        <v>7258</v>
      </c>
      <c r="C856" s="1398"/>
      <c r="D856" s="1398"/>
      <c r="E856" s="854">
        <v>333903900000000</v>
      </c>
      <c r="F856" s="855" t="s">
        <v>7253</v>
      </c>
      <c r="G856" s="468">
        <v>1</v>
      </c>
      <c r="H856" s="468">
        <v>0</v>
      </c>
      <c r="I856" s="751"/>
      <c r="J856" s="878" t="s">
        <v>7262</v>
      </c>
      <c r="K856" s="789">
        <f>('Parâmetros financeiros Despesa'!E359+'Parâmetros financeiros Despesa'!E360)</f>
        <v>3529.4849999999997</v>
      </c>
      <c r="L856" s="789">
        <f>('Parâmetros financeiros Despesa'!F359+'Parâmetros financeiros Despesa'!F360)*((1+'Parâmetros financeiros Despesa'!F$4)*(1+'Parâmetros financeiros Despesa'!F$7))</f>
        <v>4393.4744242774996</v>
      </c>
      <c r="M856" s="799">
        <f t="shared" si="156"/>
        <v>2.3799834621520085E-3</v>
      </c>
      <c r="N856" s="894"/>
      <c r="O856" s="796"/>
      <c r="P856" s="733"/>
    </row>
    <row r="857" spans="1:16" s="115" customFormat="1" ht="15" customHeight="1" x14ac:dyDescent="0.25">
      <c r="A857" s="396"/>
      <c r="B857" s="1398" t="s">
        <v>7259</v>
      </c>
      <c r="C857" s="1398"/>
      <c r="D857" s="1398"/>
      <c r="E857" s="854">
        <v>333904700000000</v>
      </c>
      <c r="F857" s="855" t="s">
        <v>7254</v>
      </c>
      <c r="G857" s="468">
        <v>1</v>
      </c>
      <c r="H857" s="468">
        <v>0</v>
      </c>
      <c r="I857" s="751"/>
      <c r="J857" s="878" t="s">
        <v>7262</v>
      </c>
      <c r="K857" s="789">
        <f>('Parâmetros financeiros Despesa'!E357+'Parâmetros financeiros Despesa'!E358+'Parâmetros financeiros Despesa'!E360)</f>
        <v>0</v>
      </c>
      <c r="L857" s="789">
        <f>('Parâmetros financeiros Despesa'!F357+'Parâmetros financeiros Despesa'!F358+'Parâmetros financeiros Despesa'!F360)*((1+'Parâmetros financeiros Despesa'!F$4)*(1+'Parâmetros financeiros Despesa'!F$7))*('Parâmetros financeiros Despesa'!F$83)</f>
        <v>545.16575</v>
      </c>
      <c r="M857" s="799">
        <f t="shared" si="156"/>
        <v>2.9532104749763416E-4</v>
      </c>
      <c r="N857" s="894"/>
      <c r="O857" s="796"/>
      <c r="P857" s="733"/>
    </row>
    <row r="858" spans="1:16" s="457" customFormat="1" ht="15" customHeight="1" x14ac:dyDescent="0.25">
      <c r="A858" s="396"/>
      <c r="B858" s="1398" t="s">
        <v>7260</v>
      </c>
      <c r="C858" s="1398"/>
      <c r="D858" s="1398"/>
      <c r="E858" s="854">
        <v>344905100000000</v>
      </c>
      <c r="F858" s="855" t="s">
        <v>7255</v>
      </c>
      <c r="G858" s="468">
        <v>1</v>
      </c>
      <c r="H858" s="468">
        <v>0</v>
      </c>
      <c r="I858" s="751"/>
      <c r="J858" s="878" t="s">
        <v>7262</v>
      </c>
      <c r="K858" s="789">
        <f>('Parâmetros financeiros Despesa'!E361)</f>
        <v>0</v>
      </c>
      <c r="L858" s="789">
        <f>('Parâmetros financeiros Despesa'!F361)*((1+'Parâmetros financeiros Despesa'!F$4)*(1+'Parâmetros financeiros Despesa'!F$7))</f>
        <v>1090.3315</v>
      </c>
      <c r="M858" s="799">
        <f t="shared" si="156"/>
        <v>5.9064209499526833E-4</v>
      </c>
      <c r="N858" s="894"/>
      <c r="O858" s="796"/>
      <c r="P858" s="734"/>
    </row>
    <row r="859" spans="1:16" s="457" customFormat="1" ht="15" customHeight="1" x14ac:dyDescent="0.25">
      <c r="A859" s="396"/>
      <c r="B859" s="1398" t="s">
        <v>7261</v>
      </c>
      <c r="C859" s="1398"/>
      <c r="D859" s="1398"/>
      <c r="E859" s="854">
        <v>344905200000000</v>
      </c>
      <c r="F859" s="855" t="s">
        <v>7256</v>
      </c>
      <c r="G859" s="468">
        <v>1</v>
      </c>
      <c r="H859" s="468">
        <v>0</v>
      </c>
      <c r="I859" s="751"/>
      <c r="J859" s="878" t="s">
        <v>7262</v>
      </c>
      <c r="K859" s="789">
        <f>('Parâmetros financeiros Despesa'!E362)</f>
        <v>0</v>
      </c>
      <c r="L859" s="789">
        <f>('Parâmetros financeiros Despesa'!F362)*((1+'Parâmetros financeiros Despesa'!F$4)*(1+'Parâmetros financeiros Despesa'!F$7))</f>
        <v>1090.3315</v>
      </c>
      <c r="M859" s="799">
        <f t="shared" si="156"/>
        <v>5.9064209499526833E-4</v>
      </c>
      <c r="N859" s="894"/>
      <c r="O859" s="796"/>
      <c r="P859" s="734"/>
    </row>
    <row r="860" spans="1:16" s="664" customFormat="1" ht="15" customHeight="1" x14ac:dyDescent="0.25">
      <c r="A860" s="397"/>
      <c r="B860" s="1385" t="s">
        <v>7154</v>
      </c>
      <c r="C860" s="1385"/>
      <c r="D860" s="1385"/>
      <c r="E860" s="1385"/>
      <c r="F860" s="1385"/>
      <c r="G860" s="401"/>
      <c r="H860" s="401"/>
      <c r="I860" s="426"/>
      <c r="J860" s="411"/>
      <c r="K860" s="402">
        <f t="shared" ref="K860:L862" si="161">K861</f>
        <v>27330.165000000001</v>
      </c>
      <c r="L860" s="402">
        <f t="shared" si="161"/>
        <v>38340.617823339802</v>
      </c>
      <c r="M860" s="451">
        <f t="shared" si="156"/>
        <v>2.076944748875947E-2</v>
      </c>
      <c r="N860" s="796"/>
      <c r="P860" s="399"/>
    </row>
    <row r="861" spans="1:16" s="664" customFormat="1" ht="15" customHeight="1" x14ac:dyDescent="0.25">
      <c r="A861" s="397"/>
      <c r="B861" s="1386" t="s">
        <v>7268</v>
      </c>
      <c r="C861" s="1386"/>
      <c r="D861" s="1386"/>
      <c r="E861" s="1386"/>
      <c r="F861" s="1386"/>
      <c r="G861" s="403"/>
      <c r="H861" s="403"/>
      <c r="I861" s="427"/>
      <c r="J861" s="412"/>
      <c r="K861" s="404">
        <f t="shared" si="161"/>
        <v>27330.165000000001</v>
      </c>
      <c r="L861" s="404">
        <f t="shared" si="161"/>
        <v>38340.617823339802</v>
      </c>
      <c r="M861" s="452">
        <f t="shared" si="156"/>
        <v>2.076944748875947E-2</v>
      </c>
      <c r="N861" s="796"/>
      <c r="P861" s="399"/>
    </row>
    <row r="862" spans="1:16" s="664" customFormat="1" ht="15" customHeight="1" x14ac:dyDescent="0.25">
      <c r="A862" s="397"/>
      <c r="B862" s="1382" t="s">
        <v>7213</v>
      </c>
      <c r="C862" s="1382"/>
      <c r="D862" s="1382"/>
      <c r="E862" s="1382"/>
      <c r="F862" s="1382"/>
      <c r="G862" s="405"/>
      <c r="H862" s="405"/>
      <c r="I862" s="428"/>
      <c r="J862" s="413"/>
      <c r="K862" s="406">
        <f t="shared" si="161"/>
        <v>27330.165000000001</v>
      </c>
      <c r="L862" s="406">
        <f t="shared" si="161"/>
        <v>38340.617823339802</v>
      </c>
      <c r="M862" s="453">
        <f t="shared" si="156"/>
        <v>2.076944748875947E-2</v>
      </c>
      <c r="N862" s="796"/>
      <c r="P862" s="399"/>
    </row>
    <row r="863" spans="1:16" s="664" customFormat="1" ht="15" customHeight="1" x14ac:dyDescent="0.25">
      <c r="A863" s="397"/>
      <c r="B863" s="1383" t="s">
        <v>7275</v>
      </c>
      <c r="C863" s="1383"/>
      <c r="D863" s="1383"/>
      <c r="E863" s="1383"/>
      <c r="F863" s="1383"/>
      <c r="G863" s="407"/>
      <c r="H863" s="407"/>
      <c r="I863" s="429"/>
      <c r="J863" s="414"/>
      <c r="K863" s="408">
        <f>SUM(K864:K871)</f>
        <v>27330.165000000001</v>
      </c>
      <c r="L863" s="408">
        <f>SUM(L864:L871)</f>
        <v>38340.617823339802</v>
      </c>
      <c r="M863" s="454">
        <f t="shared" si="156"/>
        <v>2.076944748875947E-2</v>
      </c>
      <c r="N863" s="796"/>
      <c r="P863" s="399"/>
    </row>
    <row r="864" spans="1:16" s="115" customFormat="1" ht="15" customHeight="1" x14ac:dyDescent="0.25">
      <c r="A864" s="396"/>
      <c r="B864" s="1398" t="s">
        <v>10092</v>
      </c>
      <c r="C864" s="1398"/>
      <c r="D864" s="1398"/>
      <c r="E864" s="854">
        <v>333901400000000</v>
      </c>
      <c r="F864" s="855" t="s">
        <v>10093</v>
      </c>
      <c r="G864" s="468">
        <v>1</v>
      </c>
      <c r="H864" s="468">
        <v>0</v>
      </c>
      <c r="I864" s="751"/>
      <c r="J864" s="878" t="s">
        <v>7276</v>
      </c>
      <c r="K864" s="789">
        <f>('Parâmetros financeiros Despesa'!E364)</f>
        <v>4104</v>
      </c>
      <c r="L864" s="789">
        <f>('Parâmetros financeiros Despesa'!F364)*2+(('Parâmetros financeiros Despesa'!F364)*10)*(1+'Parâmetros financeiros Despesa'!F$4)*(1+'Parâmetros financeiros Despesa'!F$8)</f>
        <v>4293.7464996423005</v>
      </c>
      <c r="M864" s="799">
        <f t="shared" si="156"/>
        <v>2.3259599744915455E-3</v>
      </c>
      <c r="N864" s="894"/>
      <c r="O864" s="796"/>
      <c r="P864" s="733"/>
    </row>
    <row r="865" spans="1:16" s="115" customFormat="1" ht="15" customHeight="1" x14ac:dyDescent="0.25">
      <c r="A865" s="396"/>
      <c r="B865" s="1398" t="s">
        <v>7263</v>
      </c>
      <c r="C865" s="1398"/>
      <c r="D865" s="1398"/>
      <c r="E865" s="854">
        <v>333903000000000</v>
      </c>
      <c r="F865" s="855" t="s">
        <v>7269</v>
      </c>
      <c r="G865" s="468">
        <v>1</v>
      </c>
      <c r="H865" s="468">
        <v>0</v>
      </c>
      <c r="I865" s="751"/>
      <c r="J865" s="878" t="s">
        <v>7276</v>
      </c>
      <c r="K865" s="789">
        <f>('Parâmetros financeiros Despesa'!E365+'Parâmetros financeiros Despesa'!E366)</f>
        <v>17518.514999999999</v>
      </c>
      <c r="L865" s="789">
        <f>('Parâmetros financeiros Despesa'!F365+'Parâmetros financeiros Despesa'!F366)*((1+'Parâmetros financeiros Despesa'!F$4)*(1+'Parâmetros financeiros Despesa'!F$7))</f>
        <v>19646.154487722499</v>
      </c>
      <c r="M865" s="799">
        <f t="shared" si="156"/>
        <v>1.0642493448303668E-2</v>
      </c>
      <c r="N865" s="894"/>
      <c r="O865" s="796"/>
      <c r="P865" s="733"/>
    </row>
    <row r="866" spans="1:16" s="115" customFormat="1" ht="15" customHeight="1" x14ac:dyDescent="0.25">
      <c r="A866" s="396"/>
      <c r="B866" s="1396">
        <v>32100</v>
      </c>
      <c r="C866" s="1396"/>
      <c r="D866" s="1396"/>
      <c r="E866" s="854">
        <v>333903600000000</v>
      </c>
      <c r="F866" s="855" t="s">
        <v>7270</v>
      </c>
      <c r="G866" s="468">
        <v>1</v>
      </c>
      <c r="H866" s="468">
        <v>0</v>
      </c>
      <c r="I866" s="751"/>
      <c r="J866" s="878" t="s">
        <v>7276</v>
      </c>
      <c r="K866" s="789">
        <f>('Parâmetros financeiros Despesa'!E367)</f>
        <v>0</v>
      </c>
      <c r="L866" s="789">
        <f>('Parâmetros financeiros Despesa'!F367)*((1+'Parâmetros financeiros Despesa'!F$4)*(1+'Parâmetros financeiros Despesa'!F$7))</f>
        <v>1635.4972500000001</v>
      </c>
      <c r="M866" s="799">
        <f t="shared" si="156"/>
        <v>8.859631424929026E-4</v>
      </c>
      <c r="N866" s="894"/>
      <c r="O866" s="796"/>
      <c r="P866" s="733"/>
    </row>
    <row r="867" spans="1:16" s="115" customFormat="1" ht="15" customHeight="1" x14ac:dyDescent="0.25">
      <c r="A867" s="396"/>
      <c r="B867" s="1398" t="s">
        <v>7264</v>
      </c>
      <c r="C867" s="1398"/>
      <c r="D867" s="1398"/>
      <c r="E867" s="854">
        <v>333903900000000</v>
      </c>
      <c r="F867" s="855" t="s">
        <v>7271</v>
      </c>
      <c r="G867" s="468">
        <v>1</v>
      </c>
      <c r="H867" s="468">
        <v>0</v>
      </c>
      <c r="I867" s="751"/>
      <c r="J867" s="878" t="s">
        <v>7276</v>
      </c>
      <c r="K867" s="789">
        <f>('Parâmetros financeiros Despesa'!E368+'Parâmetros financeiros Despesa'!E369)</f>
        <v>5707.65</v>
      </c>
      <c r="L867" s="789">
        <f>('Parâmetros financeiros Despesa'!F368+'Parâmetros financeiros Despesa'!F369)*((1+'Parâmetros financeiros Despesa'!F$4)*(1+'Parâmetros financeiros Despesa'!F$7))</f>
        <v>6768.3963359749996</v>
      </c>
      <c r="M867" s="799">
        <f t="shared" si="156"/>
        <v>3.6664994009973774E-3</v>
      </c>
      <c r="N867" s="894"/>
      <c r="O867" s="796"/>
      <c r="P867" s="733"/>
    </row>
    <row r="868" spans="1:16" s="115" customFormat="1" ht="15" customHeight="1" x14ac:dyDescent="0.25">
      <c r="A868" s="396"/>
      <c r="B868" s="1398" t="s">
        <v>7265</v>
      </c>
      <c r="C868" s="1398"/>
      <c r="D868" s="1398"/>
      <c r="E868" s="854">
        <v>333904700000000</v>
      </c>
      <c r="F868" s="855" t="s">
        <v>7272</v>
      </c>
      <c r="G868" s="468">
        <v>1</v>
      </c>
      <c r="H868" s="468">
        <v>0</v>
      </c>
      <c r="I868" s="751"/>
      <c r="J868" s="878" t="s">
        <v>7276</v>
      </c>
      <c r="K868" s="789">
        <f>('Parâmetros financeiros Despesa'!E366+'Parâmetros financeiros Despesa'!E367+'Parâmetros financeiros Despesa'!E369)</f>
        <v>0</v>
      </c>
      <c r="L868" s="789">
        <f>('Parâmetros financeiros Despesa'!F366+'Parâmetros financeiros Despesa'!F367+'Parâmetros financeiros Despesa'!F369)*((1+'Parâmetros financeiros Despesa'!F$4)*(1+'Parâmetros financeiros Despesa'!F$7))*('Parâmetros financeiros Despesa'!F$83)</f>
        <v>545.16575</v>
      </c>
      <c r="M868" s="799">
        <f t="shared" si="156"/>
        <v>2.9532104749763416E-4</v>
      </c>
      <c r="N868" s="894"/>
      <c r="O868" s="796"/>
      <c r="P868" s="733"/>
    </row>
    <row r="869" spans="1:16" s="115" customFormat="1" ht="15" customHeight="1" x14ac:dyDescent="0.25">
      <c r="A869" s="396"/>
      <c r="B869" s="1398" t="s">
        <v>10094</v>
      </c>
      <c r="C869" s="1398"/>
      <c r="D869" s="1398"/>
      <c r="E869" s="854">
        <v>333909300000000</v>
      </c>
      <c r="F869" s="855" t="s">
        <v>10095</v>
      </c>
      <c r="G869" s="468">
        <v>1</v>
      </c>
      <c r="H869" s="468">
        <v>0</v>
      </c>
      <c r="I869" s="751"/>
      <c r="J869" s="878" t="s">
        <v>7276</v>
      </c>
      <c r="K869" s="789">
        <f>('Parâmetros financeiros Despesa'!E370)</f>
        <v>0</v>
      </c>
      <c r="L869" s="789">
        <f>('Parâmetros financeiros Despesa'!F370)*((1+'Parâmetros financeiros Despesa'!F$4)*(1+'Parâmetros financeiros Despesa'!F$7))</f>
        <v>1090.3315</v>
      </c>
      <c r="M869" s="799">
        <f t="shared" si="156"/>
        <v>5.9064209499526833E-4</v>
      </c>
      <c r="N869" s="894"/>
      <c r="O869" s="796"/>
      <c r="P869" s="733"/>
    </row>
    <row r="870" spans="1:16" s="457" customFormat="1" ht="15" customHeight="1" x14ac:dyDescent="0.25">
      <c r="A870" s="396"/>
      <c r="B870" s="1398" t="s">
        <v>7266</v>
      </c>
      <c r="C870" s="1398"/>
      <c r="D870" s="1398"/>
      <c r="E870" s="854">
        <v>344905100000000</v>
      </c>
      <c r="F870" s="855" t="s">
        <v>7273</v>
      </c>
      <c r="G870" s="468">
        <v>1</v>
      </c>
      <c r="H870" s="468">
        <v>0</v>
      </c>
      <c r="I870" s="751"/>
      <c r="J870" s="878" t="s">
        <v>7276</v>
      </c>
      <c r="K870" s="789">
        <f>('Parâmetros financeiros Despesa'!E371)</f>
        <v>0</v>
      </c>
      <c r="L870" s="789">
        <f>('Parâmetros financeiros Despesa'!F371)*((1+'Parâmetros financeiros Despesa'!F$4)*(1+'Parâmetros financeiros Despesa'!F$7))</f>
        <v>2180.663</v>
      </c>
      <c r="M870" s="799">
        <f t="shared" si="156"/>
        <v>1.1812841899905367E-3</v>
      </c>
      <c r="N870" s="894"/>
      <c r="O870" s="796"/>
      <c r="P870" s="734"/>
    </row>
    <row r="871" spans="1:16" s="457" customFormat="1" ht="15" customHeight="1" x14ac:dyDescent="0.25">
      <c r="A871" s="396"/>
      <c r="B871" s="1398" t="s">
        <v>7267</v>
      </c>
      <c r="C871" s="1398"/>
      <c r="D871" s="1398"/>
      <c r="E871" s="854">
        <v>344905200000000</v>
      </c>
      <c r="F871" s="855" t="s">
        <v>7274</v>
      </c>
      <c r="G871" s="468">
        <v>1</v>
      </c>
      <c r="H871" s="468">
        <v>0</v>
      </c>
      <c r="I871" s="751"/>
      <c r="J871" s="878" t="s">
        <v>7276</v>
      </c>
      <c r="K871" s="789">
        <f>('Parâmetros financeiros Despesa'!E372)</f>
        <v>0</v>
      </c>
      <c r="L871" s="789">
        <f>('Parâmetros financeiros Despesa'!F372)*((1+'Parâmetros financeiros Despesa'!F$4)*(1+'Parâmetros financeiros Despesa'!F$7))</f>
        <v>2180.663</v>
      </c>
      <c r="M871" s="799">
        <f t="shared" si="156"/>
        <v>1.1812841899905367E-3</v>
      </c>
      <c r="N871" s="894"/>
      <c r="O871" s="796"/>
      <c r="P871" s="734"/>
    </row>
    <row r="872" spans="1:16" s="664" customFormat="1" ht="15" customHeight="1" x14ac:dyDescent="0.25">
      <c r="A872" s="397"/>
      <c r="B872" s="1385" t="s">
        <v>7155</v>
      </c>
      <c r="C872" s="1385"/>
      <c r="D872" s="1385"/>
      <c r="E872" s="1385"/>
      <c r="F872" s="1385"/>
      <c r="G872" s="401"/>
      <c r="H872" s="401"/>
      <c r="I872" s="426"/>
      <c r="J872" s="411"/>
      <c r="K872" s="402">
        <f t="shared" ref="K872:L874" si="162">K873</f>
        <v>0</v>
      </c>
      <c r="L872" s="402">
        <f t="shared" si="162"/>
        <v>13629.143750000001</v>
      </c>
      <c r="M872" s="451">
        <f t="shared" si="156"/>
        <v>7.3830261874408554E-3</v>
      </c>
      <c r="N872" s="796"/>
      <c r="P872" s="399"/>
    </row>
    <row r="873" spans="1:16" s="664" customFormat="1" ht="15" customHeight="1" x14ac:dyDescent="0.25">
      <c r="A873" s="397"/>
      <c r="B873" s="1386" t="s">
        <v>7282</v>
      </c>
      <c r="C873" s="1386"/>
      <c r="D873" s="1386"/>
      <c r="E873" s="1386"/>
      <c r="F873" s="1386"/>
      <c r="G873" s="403"/>
      <c r="H873" s="403"/>
      <c r="I873" s="427"/>
      <c r="J873" s="412"/>
      <c r="K873" s="404">
        <f t="shared" si="162"/>
        <v>0</v>
      </c>
      <c r="L873" s="404">
        <f t="shared" si="162"/>
        <v>13629.143750000001</v>
      </c>
      <c r="M873" s="452">
        <f t="shared" si="156"/>
        <v>7.3830261874408554E-3</v>
      </c>
      <c r="N873" s="796"/>
      <c r="P873" s="399"/>
    </row>
    <row r="874" spans="1:16" s="664" customFormat="1" ht="15" customHeight="1" x14ac:dyDescent="0.25">
      <c r="A874" s="397"/>
      <c r="B874" s="1382" t="s">
        <v>7283</v>
      </c>
      <c r="C874" s="1382"/>
      <c r="D874" s="1382"/>
      <c r="E874" s="1382"/>
      <c r="F874" s="1382"/>
      <c r="G874" s="405"/>
      <c r="H874" s="405"/>
      <c r="I874" s="428"/>
      <c r="J874" s="413"/>
      <c r="K874" s="406">
        <f t="shared" si="162"/>
        <v>0</v>
      </c>
      <c r="L874" s="406">
        <f t="shared" si="162"/>
        <v>13629.143750000001</v>
      </c>
      <c r="M874" s="453">
        <f t="shared" si="156"/>
        <v>7.3830261874408554E-3</v>
      </c>
      <c r="N874" s="796"/>
      <c r="P874" s="399"/>
    </row>
    <row r="875" spans="1:16" s="664" customFormat="1" ht="15" customHeight="1" x14ac:dyDescent="0.25">
      <c r="A875" s="397"/>
      <c r="B875" s="1383" t="s">
        <v>7284</v>
      </c>
      <c r="C875" s="1383"/>
      <c r="D875" s="1383"/>
      <c r="E875" s="1383"/>
      <c r="F875" s="1383"/>
      <c r="G875" s="407"/>
      <c r="H875" s="407"/>
      <c r="I875" s="429"/>
      <c r="J875" s="414"/>
      <c r="K875" s="408">
        <f>SUM(K876:K881)</f>
        <v>0</v>
      </c>
      <c r="L875" s="408">
        <f>SUM(L876:L881)</f>
        <v>13629.143750000001</v>
      </c>
      <c r="M875" s="454">
        <f t="shared" si="156"/>
        <v>7.3830261874408554E-3</v>
      </c>
      <c r="N875" s="796"/>
      <c r="P875" s="399"/>
    </row>
    <row r="876" spans="1:16" s="115" customFormat="1" ht="15" customHeight="1" x14ac:dyDescent="0.25">
      <c r="A876" s="396"/>
      <c r="B876" s="1398" t="s">
        <v>7277</v>
      </c>
      <c r="C876" s="1398"/>
      <c r="D876" s="1398"/>
      <c r="E876" s="854">
        <v>333903000000000</v>
      </c>
      <c r="F876" s="855" t="s">
        <v>7285</v>
      </c>
      <c r="G876" s="468">
        <v>1</v>
      </c>
      <c r="H876" s="468">
        <v>0</v>
      </c>
      <c r="I876" s="751"/>
      <c r="J876" s="878" t="s">
        <v>7249</v>
      </c>
      <c r="K876" s="789">
        <f>('Parâmetros financeiros Despesa'!E374+'Parâmetros financeiros Despesa'!E375)</f>
        <v>0</v>
      </c>
      <c r="L876" s="789">
        <f>('Parâmetros financeiros Despesa'!F374+'Parâmetros financeiros Despesa'!F375)*((1+'Parâmetros financeiros Despesa'!F$4)*(1+'Parâmetros financeiros Despesa'!F$7))</f>
        <v>1090.3315</v>
      </c>
      <c r="M876" s="799">
        <f t="shared" si="156"/>
        <v>5.9064209499526833E-4</v>
      </c>
      <c r="N876" s="894"/>
      <c r="O876" s="796"/>
      <c r="P876" s="733"/>
    </row>
    <row r="877" spans="1:16" s="115" customFormat="1" ht="15" customHeight="1" x14ac:dyDescent="0.25">
      <c r="A877" s="396"/>
      <c r="B877" s="1396">
        <v>33100</v>
      </c>
      <c r="C877" s="1396"/>
      <c r="D877" s="1396"/>
      <c r="E877" s="854">
        <v>333903600000000</v>
      </c>
      <c r="F877" s="855" t="s">
        <v>7286</v>
      </c>
      <c r="G877" s="468">
        <v>1</v>
      </c>
      <c r="H877" s="468">
        <v>0</v>
      </c>
      <c r="I877" s="751"/>
      <c r="J877" s="878" t="s">
        <v>7249</v>
      </c>
      <c r="K877" s="789">
        <f>('Parâmetros financeiros Despesa'!E376)</f>
        <v>0</v>
      </c>
      <c r="L877" s="789">
        <f>('Parâmetros financeiros Despesa'!F376)*((1+'Parâmetros financeiros Despesa'!F$4)*(1+'Parâmetros financeiros Despesa'!F$7))</f>
        <v>1635.4972500000001</v>
      </c>
      <c r="M877" s="799">
        <f t="shared" si="156"/>
        <v>8.859631424929026E-4</v>
      </c>
      <c r="N877" s="894"/>
      <c r="O877" s="796"/>
      <c r="P877" s="733"/>
    </row>
    <row r="878" spans="1:16" s="115" customFormat="1" ht="15" customHeight="1" x14ac:dyDescent="0.25">
      <c r="A878" s="396"/>
      <c r="B878" s="1398" t="s">
        <v>7278</v>
      </c>
      <c r="C878" s="1398"/>
      <c r="D878" s="1398"/>
      <c r="E878" s="854">
        <v>333903900000000</v>
      </c>
      <c r="F878" s="855" t="s">
        <v>7287</v>
      </c>
      <c r="G878" s="468">
        <v>1</v>
      </c>
      <c r="H878" s="468">
        <v>0</v>
      </c>
      <c r="I878" s="751"/>
      <c r="J878" s="878" t="s">
        <v>7249</v>
      </c>
      <c r="K878" s="789">
        <f>('Parâmetros financeiros Despesa'!E377+'Parâmetros financeiros Despesa'!E378)</f>
        <v>0</v>
      </c>
      <c r="L878" s="789">
        <f>('Parâmetros financeiros Despesa'!F377+'Parâmetros financeiros Despesa'!F378)*((1+'Parâmetros financeiros Despesa'!F$4)*(1+'Parâmetros financeiros Despesa'!F$7))</f>
        <v>5996.8232500000004</v>
      </c>
      <c r="M878" s="799">
        <f t="shared" si="156"/>
        <v>3.2485315224739762E-3</v>
      </c>
      <c r="N878" s="894"/>
      <c r="O878" s="796"/>
      <c r="P878" s="733"/>
    </row>
    <row r="879" spans="1:16" s="115" customFormat="1" ht="15" customHeight="1" x14ac:dyDescent="0.25">
      <c r="A879" s="396"/>
      <c r="B879" s="1398" t="s">
        <v>7279</v>
      </c>
      <c r="C879" s="1398"/>
      <c r="D879" s="1398"/>
      <c r="E879" s="854">
        <v>333904700000000</v>
      </c>
      <c r="F879" s="855" t="s">
        <v>7288</v>
      </c>
      <c r="G879" s="468">
        <v>1</v>
      </c>
      <c r="H879" s="468">
        <v>0</v>
      </c>
      <c r="I879" s="751"/>
      <c r="J879" s="878" t="s">
        <v>7249</v>
      </c>
      <c r="K879" s="789">
        <v>0</v>
      </c>
      <c r="L879" s="789">
        <f>('Parâmetros financeiros Despesa'!F375+'Parâmetros financeiros Despesa'!F376+'Parâmetros financeiros Despesa'!F378)*((1+'Parâmetros financeiros Despesa'!F$4)*(1+'Parâmetros financeiros Despesa'!F$7))*('Parâmetros financeiros Despesa'!F$83)</f>
        <v>545.16575</v>
      </c>
      <c r="M879" s="799">
        <f t="shared" si="156"/>
        <v>2.9532104749763416E-4</v>
      </c>
      <c r="N879" s="894"/>
      <c r="O879" s="796"/>
      <c r="P879" s="733"/>
    </row>
    <row r="880" spans="1:16" s="457" customFormat="1" ht="15" customHeight="1" x14ac:dyDescent="0.25">
      <c r="A880" s="396"/>
      <c r="B880" s="1398" t="s">
        <v>7280</v>
      </c>
      <c r="C880" s="1398"/>
      <c r="D880" s="1398"/>
      <c r="E880" s="854">
        <v>344905100000000</v>
      </c>
      <c r="F880" s="855" t="s">
        <v>7289</v>
      </c>
      <c r="G880" s="468">
        <v>1</v>
      </c>
      <c r="H880" s="468">
        <v>0</v>
      </c>
      <c r="I880" s="751"/>
      <c r="J880" s="878" t="s">
        <v>7249</v>
      </c>
      <c r="K880" s="789">
        <f>('Parâmetros financeiros Despesa'!E379)</f>
        <v>0</v>
      </c>
      <c r="L880" s="789">
        <f>('Parâmetros financeiros Despesa'!F379)*((1+'Parâmetros financeiros Despesa'!F$4)*(1+'Parâmetros financeiros Despesa'!F$7))</f>
        <v>2180.663</v>
      </c>
      <c r="M880" s="799">
        <f t="shared" ref="M880:M943" si="163">L880/L$979</f>
        <v>1.1812841899905367E-3</v>
      </c>
      <c r="N880" s="894"/>
      <c r="O880" s="796"/>
      <c r="P880" s="734"/>
    </row>
    <row r="881" spans="1:16" s="457" customFormat="1" ht="15" customHeight="1" x14ac:dyDescent="0.25">
      <c r="A881" s="396"/>
      <c r="B881" s="1398" t="s">
        <v>7281</v>
      </c>
      <c r="C881" s="1398"/>
      <c r="D881" s="1398"/>
      <c r="E881" s="854">
        <v>344905200000000</v>
      </c>
      <c r="F881" s="855" t="s">
        <v>7290</v>
      </c>
      <c r="G881" s="468">
        <v>1</v>
      </c>
      <c r="H881" s="468">
        <v>0</v>
      </c>
      <c r="I881" s="751"/>
      <c r="J881" s="878" t="s">
        <v>7249</v>
      </c>
      <c r="K881" s="789">
        <f>('Parâmetros financeiros Despesa'!E380)</f>
        <v>0</v>
      </c>
      <c r="L881" s="789">
        <f>('Parâmetros financeiros Despesa'!F380)*((1+'Parâmetros financeiros Despesa'!F$4)*(1+'Parâmetros financeiros Despesa'!F$7))</f>
        <v>2180.663</v>
      </c>
      <c r="M881" s="799">
        <f t="shared" si="163"/>
        <v>1.1812841899905367E-3</v>
      </c>
      <c r="N881" s="894"/>
      <c r="O881" s="796"/>
      <c r="P881" s="734"/>
    </row>
    <row r="882" spans="1:16" s="668" customFormat="1" ht="15" customHeight="1" x14ac:dyDescent="0.25">
      <c r="A882" s="397"/>
      <c r="B882" s="1385" t="s">
        <v>7155</v>
      </c>
      <c r="C882" s="1385"/>
      <c r="D882" s="1385"/>
      <c r="E882" s="1385"/>
      <c r="F882" s="1385"/>
      <c r="G882" s="401"/>
      <c r="H882" s="401"/>
      <c r="I882" s="426"/>
      <c r="J882" s="411"/>
      <c r="K882" s="402">
        <f t="shared" ref="K882:L885" si="164">K883</f>
        <v>0</v>
      </c>
      <c r="L882" s="402">
        <f t="shared" si="164"/>
        <v>16354.9725</v>
      </c>
      <c r="M882" s="451">
        <f t="shared" si="163"/>
        <v>8.8596314249290258E-3</v>
      </c>
      <c r="N882" s="796"/>
      <c r="P882" s="399"/>
    </row>
    <row r="883" spans="1:16" s="668" customFormat="1" ht="15" customHeight="1" x14ac:dyDescent="0.25">
      <c r="A883" s="397"/>
      <c r="B883" s="1386" t="s">
        <v>7325</v>
      </c>
      <c r="C883" s="1386"/>
      <c r="D883" s="1386"/>
      <c r="E883" s="1386"/>
      <c r="F883" s="1386"/>
      <c r="G883" s="403"/>
      <c r="H883" s="403"/>
      <c r="I883" s="427"/>
      <c r="J883" s="412"/>
      <c r="K883" s="404">
        <f t="shared" si="164"/>
        <v>0</v>
      </c>
      <c r="L883" s="404">
        <f t="shared" si="164"/>
        <v>16354.9725</v>
      </c>
      <c r="M883" s="452">
        <f t="shared" si="163"/>
        <v>8.8596314249290258E-3</v>
      </c>
      <c r="N883" s="796"/>
      <c r="P883" s="399"/>
    </row>
    <row r="884" spans="1:16" s="668" customFormat="1" ht="15" customHeight="1" x14ac:dyDescent="0.25">
      <c r="A884" s="397"/>
      <c r="B884" s="1382" t="s">
        <v>7283</v>
      </c>
      <c r="C884" s="1382"/>
      <c r="D884" s="1382"/>
      <c r="E884" s="1382"/>
      <c r="F884" s="1382"/>
      <c r="G884" s="405"/>
      <c r="H884" s="405"/>
      <c r="I884" s="428"/>
      <c r="J884" s="413"/>
      <c r="K884" s="406">
        <f t="shared" si="164"/>
        <v>0</v>
      </c>
      <c r="L884" s="406">
        <f t="shared" si="164"/>
        <v>16354.9725</v>
      </c>
      <c r="M884" s="453">
        <f t="shared" si="163"/>
        <v>8.8596314249290258E-3</v>
      </c>
      <c r="N884" s="796"/>
      <c r="P884" s="399"/>
    </row>
    <row r="885" spans="1:16" s="668" customFormat="1" ht="15" customHeight="1" x14ac:dyDescent="0.25">
      <c r="A885" s="397"/>
      <c r="B885" s="1383" t="s">
        <v>7284</v>
      </c>
      <c r="C885" s="1383"/>
      <c r="D885" s="1383"/>
      <c r="E885" s="1383"/>
      <c r="F885" s="1383"/>
      <c r="G885" s="407"/>
      <c r="H885" s="407"/>
      <c r="I885" s="429"/>
      <c r="J885" s="414"/>
      <c r="K885" s="408">
        <f t="shared" si="164"/>
        <v>0</v>
      </c>
      <c r="L885" s="408">
        <f t="shared" si="164"/>
        <v>16354.9725</v>
      </c>
      <c r="M885" s="454">
        <f t="shared" si="163"/>
        <v>8.8596314249290258E-3</v>
      </c>
      <c r="N885" s="796"/>
      <c r="P885" s="399"/>
    </row>
    <row r="886" spans="1:16" s="115" customFormat="1" ht="15" customHeight="1" x14ac:dyDescent="0.25">
      <c r="A886" s="396"/>
      <c r="B886" s="1398" t="s">
        <v>7407</v>
      </c>
      <c r="C886" s="1398"/>
      <c r="D886" s="1398"/>
      <c r="E886" s="854">
        <v>333903900000000</v>
      </c>
      <c r="F886" s="855" t="s">
        <v>7287</v>
      </c>
      <c r="G886" s="468">
        <v>1087</v>
      </c>
      <c r="H886" s="468">
        <v>0</v>
      </c>
      <c r="I886" s="751"/>
      <c r="J886" s="878" t="s">
        <v>7372</v>
      </c>
      <c r="K886" s="789">
        <f>('Parâmetros financeiros Despesa'!E382)</f>
        <v>0</v>
      </c>
      <c r="L886" s="789">
        <f>('Parâmetros financeiros Despesa'!F382)*((1+'Parâmetros financeiros Despesa'!F$4)*(1+'Parâmetros financeiros Despesa'!F$7))</f>
        <v>16354.9725</v>
      </c>
      <c r="M886" s="799">
        <f t="shared" si="163"/>
        <v>8.8596314249290258E-3</v>
      </c>
      <c r="N886" s="894"/>
      <c r="P886" s="733"/>
    </row>
    <row r="887" spans="1:16" s="664" customFormat="1" ht="15" customHeight="1" x14ac:dyDescent="0.25">
      <c r="A887" s="397"/>
      <c r="B887" s="1385" t="s">
        <v>7151</v>
      </c>
      <c r="C887" s="1385"/>
      <c r="D887" s="1385"/>
      <c r="E887" s="1385"/>
      <c r="F887" s="1385"/>
      <c r="G887" s="401"/>
      <c r="H887" s="401"/>
      <c r="I887" s="426"/>
      <c r="J887" s="411"/>
      <c r="K887" s="402">
        <f t="shared" ref="K887:L889" si="165">K888</f>
        <v>0</v>
      </c>
      <c r="L887" s="402">
        <f t="shared" si="165"/>
        <v>8286.5094000000008</v>
      </c>
      <c r="M887" s="451">
        <f t="shared" si="163"/>
        <v>4.4888745048767137E-3</v>
      </c>
      <c r="N887" s="796"/>
      <c r="P887" s="399"/>
    </row>
    <row r="888" spans="1:16" s="664" customFormat="1" ht="15" customHeight="1" x14ac:dyDescent="0.25">
      <c r="A888" s="397"/>
      <c r="B888" s="1386" t="s">
        <v>7295</v>
      </c>
      <c r="C888" s="1386"/>
      <c r="D888" s="1386"/>
      <c r="E888" s="1386"/>
      <c r="F888" s="1386"/>
      <c r="G888" s="403"/>
      <c r="H888" s="403"/>
      <c r="I888" s="427"/>
      <c r="J888" s="412"/>
      <c r="K888" s="404">
        <f t="shared" si="165"/>
        <v>0</v>
      </c>
      <c r="L888" s="404">
        <f t="shared" si="165"/>
        <v>8286.5094000000008</v>
      </c>
      <c r="M888" s="452">
        <f t="shared" si="163"/>
        <v>4.4888745048767137E-3</v>
      </c>
      <c r="N888" s="796"/>
      <c r="P888" s="399"/>
    </row>
    <row r="889" spans="1:16" s="664" customFormat="1" ht="15" customHeight="1" x14ac:dyDescent="0.25">
      <c r="A889" s="397"/>
      <c r="B889" s="1382" t="s">
        <v>7297</v>
      </c>
      <c r="C889" s="1382"/>
      <c r="D889" s="1382"/>
      <c r="E889" s="1382"/>
      <c r="F889" s="1382"/>
      <c r="G889" s="405"/>
      <c r="H889" s="405"/>
      <c r="I889" s="428"/>
      <c r="J889" s="413"/>
      <c r="K889" s="406">
        <f t="shared" si="165"/>
        <v>0</v>
      </c>
      <c r="L889" s="406">
        <f t="shared" si="165"/>
        <v>8286.5094000000008</v>
      </c>
      <c r="M889" s="453">
        <f t="shared" si="163"/>
        <v>4.4888745048767137E-3</v>
      </c>
      <c r="N889" s="796"/>
      <c r="P889" s="399"/>
    </row>
    <row r="890" spans="1:16" s="664" customFormat="1" ht="15" customHeight="1" x14ac:dyDescent="0.25">
      <c r="A890" s="397"/>
      <c r="B890" s="1383" t="s">
        <v>7298</v>
      </c>
      <c r="C890" s="1383"/>
      <c r="D890" s="1383"/>
      <c r="E890" s="1383"/>
      <c r="F890" s="1383"/>
      <c r="G890" s="407"/>
      <c r="H890" s="407"/>
      <c r="I890" s="429"/>
      <c r="J890" s="414"/>
      <c r="K890" s="408">
        <f>SUM(K891:K895)</f>
        <v>0</v>
      </c>
      <c r="L890" s="408">
        <f>SUM(L891:L895)-0.01</f>
        <v>8286.5094000000008</v>
      </c>
      <c r="M890" s="454">
        <f t="shared" si="163"/>
        <v>4.4888745048767137E-3</v>
      </c>
      <c r="N890" s="796"/>
      <c r="P890" s="399"/>
    </row>
    <row r="891" spans="1:16" s="115" customFormat="1" ht="15" customHeight="1" x14ac:dyDescent="0.25">
      <c r="A891" s="396"/>
      <c r="B891" s="1398" t="s">
        <v>7291</v>
      </c>
      <c r="C891" s="1398"/>
      <c r="D891" s="1398"/>
      <c r="E891" s="854">
        <v>333904700000000</v>
      </c>
      <c r="F891" s="855" t="s">
        <v>7301</v>
      </c>
      <c r="G891" s="468">
        <v>1</v>
      </c>
      <c r="H891" s="468">
        <v>0</v>
      </c>
      <c r="I891" s="751"/>
      <c r="J891" s="878" t="s">
        <v>7304</v>
      </c>
      <c r="K891" s="789">
        <v>0</v>
      </c>
      <c r="L891" s="789">
        <f>('Parâmetros financeiros Despesa'!F385+'Parâmetros financeiros Despesa'!F386+'Parâmetros financeiros Despesa'!F388)*((1+'Parâmetros financeiros Despesa'!F$4)*(1+'Parâmetros financeiros Despesa'!F$7))*('Parâmetros financeiros Despesa'!F$83)</f>
        <v>654.19890000000009</v>
      </c>
      <c r="M891" s="799">
        <f t="shared" si="163"/>
        <v>3.5438525699716105E-4</v>
      </c>
      <c r="N891" s="894"/>
      <c r="O891" s="796"/>
      <c r="P891" s="733"/>
    </row>
    <row r="892" spans="1:16" s="115" customFormat="1" ht="15" customHeight="1" x14ac:dyDescent="0.25">
      <c r="A892" s="396"/>
      <c r="B892" s="1396">
        <v>34100</v>
      </c>
      <c r="C892" s="1396"/>
      <c r="D892" s="1396"/>
      <c r="E892" s="854">
        <v>344903000000000</v>
      </c>
      <c r="F892" s="855" t="s">
        <v>7303</v>
      </c>
      <c r="G892" s="468">
        <v>1</v>
      </c>
      <c r="H892" s="468">
        <v>0</v>
      </c>
      <c r="I892" s="751"/>
      <c r="J892" s="878" t="s">
        <v>7304</v>
      </c>
      <c r="K892" s="789">
        <f>('Parâmetros financeiros Despesa'!E384+'Parâmetros financeiros Despesa'!E385)</f>
        <v>0</v>
      </c>
      <c r="L892" s="789">
        <f>('Parâmetros financeiros Despesa'!F384+'Parâmetros financeiros Despesa'!F385)*((1+'Parâmetros financeiros Despesa'!F$4)*(1+'Parâmetros financeiros Despesa'!F$7))</f>
        <v>2180.663</v>
      </c>
      <c r="M892" s="799">
        <f t="shared" si="163"/>
        <v>1.1812841899905367E-3</v>
      </c>
      <c r="N892" s="894"/>
      <c r="O892" s="796"/>
      <c r="P892" s="733"/>
    </row>
    <row r="893" spans="1:16" s="115" customFormat="1" ht="15" customHeight="1" x14ac:dyDescent="0.25">
      <c r="A893" s="396"/>
      <c r="B893" s="1398" t="s">
        <v>7292</v>
      </c>
      <c r="C893" s="1398"/>
      <c r="D893" s="1398"/>
      <c r="E893" s="854">
        <v>344903600000000</v>
      </c>
      <c r="F893" s="855" t="s">
        <v>7299</v>
      </c>
      <c r="G893" s="468">
        <v>1</v>
      </c>
      <c r="H893" s="468">
        <v>0</v>
      </c>
      <c r="I893" s="751"/>
      <c r="J893" s="878" t="s">
        <v>7304</v>
      </c>
      <c r="K893" s="789">
        <f>('Parâmetros financeiros Despesa'!E386)</f>
        <v>0</v>
      </c>
      <c r="L893" s="789">
        <f>('Parâmetros financeiros Despesa'!F386)*((1+'Parâmetros financeiros Despesa'!F$4)*(1+'Parâmetros financeiros Despesa'!F$7))</f>
        <v>1090.3315</v>
      </c>
      <c r="M893" s="799">
        <f t="shared" si="163"/>
        <v>5.9064209499526833E-4</v>
      </c>
      <c r="N893" s="894"/>
      <c r="O893" s="796"/>
      <c r="P893" s="733"/>
    </row>
    <row r="894" spans="1:16" s="115" customFormat="1" ht="15" customHeight="1" x14ac:dyDescent="0.25">
      <c r="A894" s="396"/>
      <c r="B894" s="1398" t="s">
        <v>7293</v>
      </c>
      <c r="C894" s="1398"/>
      <c r="D894" s="1398"/>
      <c r="E894" s="854">
        <v>344903900000000</v>
      </c>
      <c r="F894" s="855" t="s">
        <v>7300</v>
      </c>
      <c r="G894" s="468">
        <v>1</v>
      </c>
      <c r="H894" s="468">
        <v>0</v>
      </c>
      <c r="I894" s="751"/>
      <c r="J894" s="878" t="s">
        <v>7304</v>
      </c>
      <c r="K894" s="789">
        <f>('Parâmetros financeiros Despesa'!E387+'Parâmetros financeiros Despesa'!E388)</f>
        <v>0</v>
      </c>
      <c r="L894" s="789">
        <f>('Parâmetros financeiros Despesa'!F387+'Parâmetros financeiros Despesa'!F388)*((1+'Parâmetros financeiros Despesa'!F$4)*(1+'Parâmetros financeiros Despesa'!F$7))</f>
        <v>2180.663</v>
      </c>
      <c r="M894" s="799">
        <f t="shared" si="163"/>
        <v>1.1812841899905367E-3</v>
      </c>
      <c r="N894" s="894"/>
      <c r="O894" s="796"/>
      <c r="P894" s="733"/>
    </row>
    <row r="895" spans="1:16" s="457" customFormat="1" ht="15" customHeight="1" x14ac:dyDescent="0.25">
      <c r="A895" s="396"/>
      <c r="B895" s="1398" t="s">
        <v>7294</v>
      </c>
      <c r="C895" s="1398"/>
      <c r="D895" s="1398"/>
      <c r="E895" s="854">
        <v>344905200000000</v>
      </c>
      <c r="F895" s="855" t="s">
        <v>7302</v>
      </c>
      <c r="G895" s="468">
        <v>1</v>
      </c>
      <c r="H895" s="468">
        <v>0</v>
      </c>
      <c r="I895" s="751"/>
      <c r="J895" s="878" t="s">
        <v>7304</v>
      </c>
      <c r="K895" s="789">
        <f>('Parâmetros financeiros Despesa'!E389)</f>
        <v>0</v>
      </c>
      <c r="L895" s="789">
        <f>('Parâmetros financeiros Despesa'!F389)*((1+'Parâmetros financeiros Despesa'!F$4)*(1+'Parâmetros financeiros Despesa'!F$7))</f>
        <v>2180.663</v>
      </c>
      <c r="M895" s="799">
        <f t="shared" si="163"/>
        <v>1.1812841899905367E-3</v>
      </c>
      <c r="N895" s="894"/>
      <c r="O895" s="796"/>
      <c r="P895" s="734"/>
    </row>
    <row r="896" spans="1:16" s="664" customFormat="1" ht="15" customHeight="1" x14ac:dyDescent="0.25">
      <c r="A896" s="397"/>
      <c r="B896" s="1385" t="s">
        <v>7151</v>
      </c>
      <c r="C896" s="1385"/>
      <c r="D896" s="1385"/>
      <c r="E896" s="1385"/>
      <c r="F896" s="1385"/>
      <c r="G896" s="401"/>
      <c r="H896" s="401"/>
      <c r="I896" s="426"/>
      <c r="J896" s="411"/>
      <c r="K896" s="402">
        <f t="shared" ref="K896:L898" si="166">K897</f>
        <v>29187.02</v>
      </c>
      <c r="L896" s="402">
        <f t="shared" si="166"/>
        <v>107928.6641905</v>
      </c>
      <c r="M896" s="451">
        <f t="shared" si="163"/>
        <v>5.846589989147128E-2</v>
      </c>
      <c r="N896" s="796"/>
      <c r="P896" s="399"/>
    </row>
    <row r="897" spans="1:16" s="664" customFormat="1" ht="15" customHeight="1" x14ac:dyDescent="0.25">
      <c r="A897" s="397"/>
      <c r="B897" s="1386" t="s">
        <v>7296</v>
      </c>
      <c r="C897" s="1386"/>
      <c r="D897" s="1386"/>
      <c r="E897" s="1386"/>
      <c r="F897" s="1386"/>
      <c r="G897" s="403"/>
      <c r="H897" s="403"/>
      <c r="I897" s="427"/>
      <c r="J897" s="412"/>
      <c r="K897" s="404">
        <f t="shared" si="166"/>
        <v>29187.02</v>
      </c>
      <c r="L897" s="404">
        <f t="shared" si="166"/>
        <v>107928.6641905</v>
      </c>
      <c r="M897" s="452">
        <f t="shared" si="163"/>
        <v>5.846589989147128E-2</v>
      </c>
      <c r="N897" s="796"/>
      <c r="P897" s="399"/>
    </row>
    <row r="898" spans="1:16" s="664" customFormat="1" ht="15" customHeight="1" x14ac:dyDescent="0.25">
      <c r="A898" s="397"/>
      <c r="B898" s="1382" t="s">
        <v>7297</v>
      </c>
      <c r="C898" s="1382"/>
      <c r="D898" s="1382"/>
      <c r="E898" s="1382"/>
      <c r="F898" s="1382"/>
      <c r="G898" s="405"/>
      <c r="H898" s="405"/>
      <c r="I898" s="428"/>
      <c r="J898" s="413"/>
      <c r="K898" s="406">
        <f t="shared" si="166"/>
        <v>29187.02</v>
      </c>
      <c r="L898" s="406">
        <f t="shared" si="166"/>
        <v>107928.6641905</v>
      </c>
      <c r="M898" s="453">
        <f t="shared" si="163"/>
        <v>5.846589989147128E-2</v>
      </c>
      <c r="N898" s="796"/>
      <c r="P898" s="399"/>
    </row>
    <row r="899" spans="1:16" s="664" customFormat="1" ht="15" customHeight="1" x14ac:dyDescent="0.25">
      <c r="A899" s="397"/>
      <c r="B899" s="1383" t="s">
        <v>7298</v>
      </c>
      <c r="C899" s="1383"/>
      <c r="D899" s="1383"/>
      <c r="E899" s="1383"/>
      <c r="F899" s="1383"/>
      <c r="G899" s="407"/>
      <c r="H899" s="407"/>
      <c r="I899" s="429"/>
      <c r="J899" s="414"/>
      <c r="K899" s="408">
        <f>SUM(K900:K905)+0.02</f>
        <v>29187.02</v>
      </c>
      <c r="L899" s="408">
        <f>SUM(L900:L905)+0.02</f>
        <v>107928.6641905</v>
      </c>
      <c r="M899" s="454">
        <f t="shared" si="163"/>
        <v>5.846589989147128E-2</v>
      </c>
      <c r="N899" s="796"/>
      <c r="P899" s="399"/>
    </row>
    <row r="900" spans="1:16" s="115" customFormat="1" ht="15" customHeight="1" x14ac:dyDescent="0.25">
      <c r="A900" s="396"/>
      <c r="B900" s="1398" t="s">
        <v>7305</v>
      </c>
      <c r="C900" s="1398"/>
      <c r="D900" s="1398"/>
      <c r="E900" s="854">
        <v>333904700000000</v>
      </c>
      <c r="F900" s="855" t="s">
        <v>7312</v>
      </c>
      <c r="G900" s="468">
        <v>1</v>
      </c>
      <c r="H900" s="468">
        <v>0</v>
      </c>
      <c r="I900" s="751"/>
      <c r="J900" s="878" t="s">
        <v>7333</v>
      </c>
      <c r="K900" s="789">
        <v>0</v>
      </c>
      <c r="L900" s="789">
        <f>('Parâmetros financeiros Despesa'!F392+'Parâmetros financeiros Despesa'!F393+'Parâmetros financeiros Despesa'!F395)*((1+'Parâmetros financeiros Despesa'!F$4)*(1+'Parâmetros financeiros Despesa'!F$7))*('Parâmetros financeiros Despesa'!F$83)</f>
        <v>3052.9282000000003</v>
      </c>
      <c r="M900" s="799">
        <f t="shared" si="163"/>
        <v>1.6537978659867515E-3</v>
      </c>
      <c r="N900" s="894"/>
      <c r="O900" s="796"/>
      <c r="P900" s="733"/>
    </row>
    <row r="901" spans="1:16" s="115" customFormat="1" ht="15" customHeight="1" x14ac:dyDescent="0.25">
      <c r="A901" s="396"/>
      <c r="B901" s="1396">
        <v>35100</v>
      </c>
      <c r="C901" s="1396"/>
      <c r="D901" s="1396"/>
      <c r="E901" s="854">
        <v>344903000000000</v>
      </c>
      <c r="F901" s="855" t="s">
        <v>7310</v>
      </c>
      <c r="G901" s="468">
        <v>1</v>
      </c>
      <c r="H901" s="468">
        <v>0</v>
      </c>
      <c r="I901" s="751"/>
      <c r="J901" s="878" t="s">
        <v>7333</v>
      </c>
      <c r="K901" s="789">
        <f>('Parâmetros financeiros Despesa'!E391+'Parâmetros financeiros Despesa'!E392)</f>
        <v>29187</v>
      </c>
      <c r="L901" s="789">
        <f>('Parâmetros financeiros Despesa'!F391+'Parâmetros financeiros Despesa'!F392)*((1+'Parâmetros financeiros Despesa'!F$4)*(1+'Parâmetros financeiros Despesa'!F$7))</f>
        <v>34004.1684905</v>
      </c>
      <c r="M901" s="799">
        <f t="shared" si="163"/>
        <v>1.8420355016617436E-2</v>
      </c>
      <c r="N901" s="894"/>
      <c r="O901" s="796"/>
      <c r="P901" s="733"/>
    </row>
    <row r="902" spans="1:16" s="115" customFormat="1" ht="15" customHeight="1" x14ac:dyDescent="0.25">
      <c r="A902" s="396"/>
      <c r="B902" s="1398" t="s">
        <v>7306</v>
      </c>
      <c r="C902" s="1398"/>
      <c r="D902" s="1398"/>
      <c r="E902" s="854">
        <v>344903600000000</v>
      </c>
      <c r="F902" s="855" t="s">
        <v>7313</v>
      </c>
      <c r="G902" s="468">
        <v>1</v>
      </c>
      <c r="H902" s="468">
        <v>0</v>
      </c>
      <c r="I902" s="751"/>
      <c r="J902" s="878" t="s">
        <v>7333</v>
      </c>
      <c r="K902" s="789">
        <f>('Parâmetros financeiros Despesa'!E393)</f>
        <v>0</v>
      </c>
      <c r="L902" s="789">
        <f>('Parâmetros financeiros Despesa'!F393)*((1+'Parâmetros financeiros Despesa'!F$4)*(1+'Parâmetros financeiros Despesa'!F$7))</f>
        <v>10903.315000000001</v>
      </c>
      <c r="M902" s="799">
        <f t="shared" si="163"/>
        <v>5.9064209499526841E-3</v>
      </c>
      <c r="N902" s="894"/>
      <c r="O902" s="796"/>
      <c r="P902" s="733"/>
    </row>
    <row r="903" spans="1:16" s="115" customFormat="1" ht="15" customHeight="1" x14ac:dyDescent="0.25">
      <c r="A903" s="396"/>
      <c r="B903" s="1398" t="s">
        <v>7307</v>
      </c>
      <c r="C903" s="1398"/>
      <c r="D903" s="1398"/>
      <c r="E903" s="854">
        <v>344903900000000</v>
      </c>
      <c r="F903" s="855" t="s">
        <v>7314</v>
      </c>
      <c r="G903" s="468">
        <v>1</v>
      </c>
      <c r="H903" s="468">
        <v>0</v>
      </c>
      <c r="I903" s="751"/>
      <c r="J903" s="878" t="s">
        <v>7333</v>
      </c>
      <c r="K903" s="789">
        <f>('Parâmetros financeiros Despesa'!E394+'Parâmetros financeiros Despesa'!E395)</f>
        <v>0</v>
      </c>
      <c r="L903" s="789">
        <f>('Parâmetros financeiros Despesa'!F394+'Parâmetros financeiros Despesa'!F395)*((1+'Parâmetros financeiros Despesa'!F$4)*(1+'Parâmetros financeiros Despesa'!F$7))</f>
        <v>23987.293000000001</v>
      </c>
      <c r="M903" s="799">
        <f t="shared" si="163"/>
        <v>1.2994126089895905E-2</v>
      </c>
      <c r="N903" s="894"/>
      <c r="O903" s="796"/>
      <c r="P903" s="733"/>
    </row>
    <row r="904" spans="1:16" s="457" customFormat="1" ht="15" customHeight="1" x14ac:dyDescent="0.25">
      <c r="A904" s="396"/>
      <c r="B904" s="1398" t="s">
        <v>7308</v>
      </c>
      <c r="C904" s="1398"/>
      <c r="D904" s="1398"/>
      <c r="E904" s="854">
        <v>344905100000000</v>
      </c>
      <c r="F904" s="855" t="s">
        <v>7311</v>
      </c>
      <c r="G904" s="468">
        <v>1</v>
      </c>
      <c r="H904" s="468">
        <v>0</v>
      </c>
      <c r="I904" s="751"/>
      <c r="J904" s="878" t="s">
        <v>7333</v>
      </c>
      <c r="K904" s="789">
        <f>('Parâmetros financeiros Despesa'!E396)</f>
        <v>0</v>
      </c>
      <c r="L904" s="789">
        <f>('Parâmetros financeiros Despesa'!F396)*((1+'Parâmetros financeiros Despesa'!F$4)*(1+'Parâmetros financeiros Despesa'!F$7))</f>
        <v>30529.281999999999</v>
      </c>
      <c r="M904" s="799">
        <f t="shared" si="163"/>
        <v>1.6537978659867513E-2</v>
      </c>
      <c r="N904" s="894"/>
      <c r="O904" s="796"/>
      <c r="P904" s="734"/>
    </row>
    <row r="905" spans="1:16" s="457" customFormat="1" ht="15" customHeight="1" x14ac:dyDescent="0.25">
      <c r="A905" s="396"/>
      <c r="B905" s="1398" t="s">
        <v>7309</v>
      </c>
      <c r="C905" s="1398"/>
      <c r="D905" s="1398"/>
      <c r="E905" s="854">
        <v>344905200000000</v>
      </c>
      <c r="F905" s="855" t="s">
        <v>7315</v>
      </c>
      <c r="G905" s="468">
        <v>1</v>
      </c>
      <c r="H905" s="468">
        <v>0</v>
      </c>
      <c r="I905" s="751"/>
      <c r="J905" s="878" t="s">
        <v>7333</v>
      </c>
      <c r="K905" s="789">
        <f>('Parâmetros financeiros Despesa'!E397)</f>
        <v>0</v>
      </c>
      <c r="L905" s="789">
        <f>('Parâmetros financeiros Despesa'!F397)*((1+'Parâmetros financeiros Despesa'!F$4)*(1+'Parâmetros financeiros Despesa'!F$7))</f>
        <v>5451.6575000000003</v>
      </c>
      <c r="M905" s="799">
        <f t="shared" si="163"/>
        <v>2.9532104749763421E-3</v>
      </c>
      <c r="N905" s="894"/>
      <c r="O905" s="796"/>
      <c r="P905" s="734"/>
    </row>
    <row r="906" spans="1:16" s="664" customFormat="1" ht="15" customHeight="1" x14ac:dyDescent="0.25">
      <c r="A906" s="397"/>
      <c r="B906" s="1385" t="s">
        <v>7151</v>
      </c>
      <c r="C906" s="1385"/>
      <c r="D906" s="1385"/>
      <c r="E906" s="1385"/>
      <c r="F906" s="1385"/>
      <c r="G906" s="401"/>
      <c r="H906" s="401"/>
      <c r="I906" s="426"/>
      <c r="J906" s="411"/>
      <c r="K906" s="402">
        <f t="shared" ref="K906:L908" si="167">K907</f>
        <v>11636.25</v>
      </c>
      <c r="L906" s="402">
        <f t="shared" si="167"/>
        <v>49104.45201687501</v>
      </c>
      <c r="M906" s="451">
        <f t="shared" si="163"/>
        <v>2.6600310467817984E-2</v>
      </c>
      <c r="N906" s="796"/>
      <c r="P906" s="399"/>
    </row>
    <row r="907" spans="1:16" s="664" customFormat="1" ht="15" customHeight="1" x14ac:dyDescent="0.25">
      <c r="A907" s="397"/>
      <c r="B907" s="1386" t="s">
        <v>7321</v>
      </c>
      <c r="C907" s="1386"/>
      <c r="D907" s="1386"/>
      <c r="E907" s="1386"/>
      <c r="F907" s="1386"/>
      <c r="G907" s="403"/>
      <c r="H907" s="403"/>
      <c r="I907" s="427"/>
      <c r="J907" s="412"/>
      <c r="K907" s="404">
        <f t="shared" si="167"/>
        <v>11636.25</v>
      </c>
      <c r="L907" s="404">
        <f t="shared" si="167"/>
        <v>49104.45201687501</v>
      </c>
      <c r="M907" s="452">
        <f t="shared" si="163"/>
        <v>2.6600310467817984E-2</v>
      </c>
      <c r="N907" s="796"/>
      <c r="P907" s="399"/>
    </row>
    <row r="908" spans="1:16" s="664" customFormat="1" ht="15" customHeight="1" x14ac:dyDescent="0.25">
      <c r="A908" s="397"/>
      <c r="B908" s="1382" t="s">
        <v>7297</v>
      </c>
      <c r="C908" s="1382"/>
      <c r="D908" s="1382"/>
      <c r="E908" s="1382"/>
      <c r="F908" s="1382"/>
      <c r="G908" s="405"/>
      <c r="H908" s="405"/>
      <c r="I908" s="428"/>
      <c r="J908" s="413"/>
      <c r="K908" s="406">
        <f t="shared" si="167"/>
        <v>11636.25</v>
      </c>
      <c r="L908" s="406">
        <f t="shared" si="167"/>
        <v>49104.45201687501</v>
      </c>
      <c r="M908" s="453">
        <f t="shared" si="163"/>
        <v>2.6600310467817984E-2</v>
      </c>
      <c r="N908" s="796"/>
      <c r="P908" s="399"/>
    </row>
    <row r="909" spans="1:16" s="664" customFormat="1" ht="15" customHeight="1" x14ac:dyDescent="0.25">
      <c r="A909" s="397"/>
      <c r="B909" s="1383" t="s">
        <v>7298</v>
      </c>
      <c r="C909" s="1383"/>
      <c r="D909" s="1383"/>
      <c r="E909" s="1383"/>
      <c r="F909" s="1383"/>
      <c r="G909" s="407"/>
      <c r="H909" s="407"/>
      <c r="I909" s="429"/>
      <c r="J909" s="414"/>
      <c r="K909" s="408">
        <f>SUM(K910:K915)</f>
        <v>11636.25</v>
      </c>
      <c r="L909" s="408">
        <f>SUM(L910:L915)+0.01</f>
        <v>49104.45201687501</v>
      </c>
      <c r="M909" s="454">
        <f t="shared" si="163"/>
        <v>2.6600310467817984E-2</v>
      </c>
      <c r="N909" s="796"/>
      <c r="P909" s="399"/>
    </row>
    <row r="910" spans="1:16" s="115" customFormat="1" ht="15" customHeight="1" x14ac:dyDescent="0.25">
      <c r="A910" s="396"/>
      <c r="B910" s="1398" t="s">
        <v>7316</v>
      </c>
      <c r="C910" s="1398"/>
      <c r="D910" s="1398"/>
      <c r="E910" s="854">
        <v>333903000000000</v>
      </c>
      <c r="F910" s="855" t="s">
        <v>7327</v>
      </c>
      <c r="G910" s="468">
        <v>1</v>
      </c>
      <c r="H910" s="468">
        <v>0</v>
      </c>
      <c r="I910" s="751"/>
      <c r="J910" s="878" t="s">
        <v>7334</v>
      </c>
      <c r="K910" s="789">
        <f>('Parâmetros financeiros Despesa'!E399+'Parâmetros financeiros Despesa'!E400)</f>
        <v>7586.25</v>
      </c>
      <c r="L910" s="789">
        <f>('Parâmetros financeiros Despesa'!F399+'Parâmetros financeiros Despesa'!F400)*((1+'Parâmetros financeiros Despesa'!F$4)*(1+'Parâmetros financeiros Despesa'!F$7))</f>
        <v>10452.190341875001</v>
      </c>
      <c r="M910" s="799">
        <f t="shared" si="163"/>
        <v>5.6620427831483916E-3</v>
      </c>
      <c r="N910" s="894"/>
      <c r="O910" s="796"/>
      <c r="P910" s="733"/>
    </row>
    <row r="911" spans="1:16" s="115" customFormat="1" ht="15" customHeight="1" x14ac:dyDescent="0.25">
      <c r="A911" s="396"/>
      <c r="B911" s="1396">
        <v>36100</v>
      </c>
      <c r="C911" s="1396"/>
      <c r="D911" s="1396"/>
      <c r="E911" s="854">
        <v>333903600000000</v>
      </c>
      <c r="F911" s="855" t="s">
        <v>7328</v>
      </c>
      <c r="G911" s="468">
        <v>1</v>
      </c>
      <c r="H911" s="468">
        <v>0</v>
      </c>
      <c r="I911" s="751"/>
      <c r="J911" s="878" t="s">
        <v>7334</v>
      </c>
      <c r="K911" s="789">
        <f>('Parâmetros financeiros Despesa'!E401)</f>
        <v>3375</v>
      </c>
      <c r="L911" s="789">
        <f>('Parâmetros financeiros Despesa'!F401)*((1+'Parâmetros financeiros Despesa'!F$4)*(1+'Parâmetros financeiros Despesa'!F$7))</f>
        <v>3679.8688124999999</v>
      </c>
      <c r="M911" s="799">
        <f t="shared" si="163"/>
        <v>1.9934170706090307E-3</v>
      </c>
      <c r="N911" s="894"/>
      <c r="O911" s="796"/>
      <c r="P911" s="733"/>
    </row>
    <row r="912" spans="1:16" s="115" customFormat="1" ht="15" customHeight="1" x14ac:dyDescent="0.25">
      <c r="A912" s="396"/>
      <c r="B912" s="1398" t="s">
        <v>7317</v>
      </c>
      <c r="C912" s="1398"/>
      <c r="D912" s="1398"/>
      <c r="E912" s="854">
        <v>333903900000000</v>
      </c>
      <c r="F912" s="855" t="s">
        <v>7329</v>
      </c>
      <c r="G912" s="468">
        <v>1</v>
      </c>
      <c r="H912" s="468">
        <v>0</v>
      </c>
      <c r="I912" s="751"/>
      <c r="J912" s="878" t="s">
        <v>7334</v>
      </c>
      <c r="K912" s="789">
        <f>('Parâmetros financeiros Despesa'!E402+'Parâmetros financeiros Despesa'!E403)</f>
        <v>0</v>
      </c>
      <c r="L912" s="789">
        <f>('Parâmetros financeiros Despesa'!F402+'Parâmetros financeiros Despesa'!F403)*((1+'Parâmetros financeiros Despesa'!F$4)*(1+'Parâmetros financeiros Despesa'!F$7))</f>
        <v>21806.63</v>
      </c>
      <c r="M912" s="799">
        <f t="shared" si="163"/>
        <v>1.1812841899905368E-2</v>
      </c>
      <c r="N912" s="894"/>
      <c r="O912" s="796"/>
      <c r="P912" s="733"/>
    </row>
    <row r="913" spans="1:16" s="115" customFormat="1" ht="15" customHeight="1" x14ac:dyDescent="0.25">
      <c r="A913" s="396"/>
      <c r="B913" s="1398" t="s">
        <v>7318</v>
      </c>
      <c r="C913" s="1398"/>
      <c r="D913" s="1398"/>
      <c r="E913" s="854">
        <v>333904700000000</v>
      </c>
      <c r="F913" s="855" t="s">
        <v>7330</v>
      </c>
      <c r="G913" s="468">
        <v>1</v>
      </c>
      <c r="H913" s="468">
        <v>0</v>
      </c>
      <c r="I913" s="751"/>
      <c r="J913" s="878" t="s">
        <v>7334</v>
      </c>
      <c r="K913" s="789">
        <f>'Parâmetros financeiros Despesa'!E406</f>
        <v>675</v>
      </c>
      <c r="L913" s="789">
        <f>('Parâmetros financeiros Despesa'!F400+'Parâmetros financeiros Despesa'!F403+'Parâmetros financeiros Despesa'!F401)*((1+'Parâmetros financeiros Despesa'!F$4)*(1+'Parâmetros financeiros Despesa'!F$7))*('Parâmetros financeiros Despesa'!F$83)</f>
        <v>2262.4378625000004</v>
      </c>
      <c r="M913" s="799">
        <f t="shared" si="163"/>
        <v>1.2255823471151821E-3</v>
      </c>
      <c r="N913" s="894"/>
      <c r="O913" s="796"/>
      <c r="P913" s="733"/>
    </row>
    <row r="914" spans="1:16" s="457" customFormat="1" ht="15" customHeight="1" x14ac:dyDescent="0.25">
      <c r="A914" s="396"/>
      <c r="B914" s="1398" t="s">
        <v>7319</v>
      </c>
      <c r="C914" s="1398"/>
      <c r="D914" s="1398"/>
      <c r="E914" s="854">
        <v>344905100000000</v>
      </c>
      <c r="F914" s="855" t="s">
        <v>7331</v>
      </c>
      <c r="G914" s="468">
        <v>1</v>
      </c>
      <c r="H914" s="468">
        <v>0</v>
      </c>
      <c r="I914" s="751"/>
      <c r="J914" s="878" t="s">
        <v>7334</v>
      </c>
      <c r="K914" s="789">
        <f>('Parâmetros financeiros Despesa'!E404)</f>
        <v>0</v>
      </c>
      <c r="L914" s="789">
        <f>('Parâmetros financeiros Despesa'!F404)*((1+'Parâmetros financeiros Despesa'!F$4)*(1+'Parâmetros financeiros Despesa'!F$7))</f>
        <v>5451.6575000000003</v>
      </c>
      <c r="M914" s="799">
        <f t="shared" si="163"/>
        <v>2.9532104749763421E-3</v>
      </c>
      <c r="N914" s="894"/>
      <c r="O914" s="796"/>
      <c r="P914" s="734"/>
    </row>
    <row r="915" spans="1:16" s="457" customFormat="1" ht="15" customHeight="1" x14ac:dyDescent="0.25">
      <c r="A915" s="396"/>
      <c r="B915" s="1398" t="s">
        <v>7320</v>
      </c>
      <c r="C915" s="1398"/>
      <c r="D915" s="1398"/>
      <c r="E915" s="854">
        <v>344905200000000</v>
      </c>
      <c r="F915" s="855" t="s">
        <v>7332</v>
      </c>
      <c r="G915" s="468">
        <v>1</v>
      </c>
      <c r="H915" s="468">
        <v>0</v>
      </c>
      <c r="I915" s="751"/>
      <c r="J915" s="878" t="s">
        <v>7334</v>
      </c>
      <c r="K915" s="789">
        <f>('Parâmetros financeiros Despesa'!E405)</f>
        <v>0</v>
      </c>
      <c r="L915" s="789">
        <f>('Parâmetros financeiros Despesa'!F405)*((1+'Parâmetros financeiros Despesa'!F$4)*(1+'Parâmetros financeiros Despesa'!F$7))</f>
        <v>5451.6575000000003</v>
      </c>
      <c r="M915" s="799">
        <f t="shared" si="163"/>
        <v>2.9532104749763421E-3</v>
      </c>
      <c r="N915" s="894"/>
      <c r="O915" s="796"/>
      <c r="P915" s="734"/>
    </row>
    <row r="916" spans="1:16" s="664" customFormat="1" ht="15" customHeight="1" x14ac:dyDescent="0.25">
      <c r="A916" s="397"/>
      <c r="B916" s="1385" t="s">
        <v>7151</v>
      </c>
      <c r="C916" s="1385"/>
      <c r="D916" s="1385"/>
      <c r="E916" s="1385"/>
      <c r="F916" s="1385"/>
      <c r="G916" s="401"/>
      <c r="H916" s="401"/>
      <c r="I916" s="426"/>
      <c r="J916" s="411"/>
      <c r="K916" s="402">
        <f t="shared" ref="K916:L918" si="168">K917</f>
        <v>333771.33999999997</v>
      </c>
      <c r="L916" s="402">
        <f t="shared" si="168"/>
        <v>357475.86116872751</v>
      </c>
      <c r="M916" s="451">
        <f t="shared" si="163"/>
        <v>0.19364779569418558</v>
      </c>
      <c r="N916" s="796"/>
      <c r="P916" s="399"/>
    </row>
    <row r="917" spans="1:16" s="664" customFormat="1" ht="15" customHeight="1" x14ac:dyDescent="0.25">
      <c r="A917" s="397"/>
      <c r="B917" s="1386" t="s">
        <v>7322</v>
      </c>
      <c r="C917" s="1386"/>
      <c r="D917" s="1386"/>
      <c r="E917" s="1386"/>
      <c r="F917" s="1386"/>
      <c r="G917" s="403"/>
      <c r="H917" s="403"/>
      <c r="I917" s="427"/>
      <c r="J917" s="412"/>
      <c r="K917" s="404">
        <f t="shared" si="168"/>
        <v>333771.33999999997</v>
      </c>
      <c r="L917" s="404">
        <f t="shared" si="168"/>
        <v>357475.86116872751</v>
      </c>
      <c r="M917" s="452">
        <f t="shared" si="163"/>
        <v>0.19364779569418558</v>
      </c>
      <c r="N917" s="796"/>
      <c r="P917" s="399"/>
    </row>
    <row r="918" spans="1:16" s="664" customFormat="1" ht="15" customHeight="1" x14ac:dyDescent="0.25">
      <c r="A918" s="397"/>
      <c r="B918" s="1382" t="s">
        <v>7297</v>
      </c>
      <c r="C918" s="1382"/>
      <c r="D918" s="1382"/>
      <c r="E918" s="1382"/>
      <c r="F918" s="1382"/>
      <c r="G918" s="405"/>
      <c r="H918" s="405"/>
      <c r="I918" s="428"/>
      <c r="J918" s="413"/>
      <c r="K918" s="406">
        <f t="shared" si="168"/>
        <v>333771.33999999997</v>
      </c>
      <c r="L918" s="406">
        <f t="shared" si="168"/>
        <v>357475.86116872751</v>
      </c>
      <c r="M918" s="453">
        <f t="shared" si="163"/>
        <v>0.19364779569418558</v>
      </c>
      <c r="N918" s="796"/>
      <c r="P918" s="399"/>
    </row>
    <row r="919" spans="1:16" s="664" customFormat="1" ht="15" customHeight="1" x14ac:dyDescent="0.25">
      <c r="A919" s="397"/>
      <c r="B919" s="1383" t="s">
        <v>7298</v>
      </c>
      <c r="C919" s="1383"/>
      <c r="D919" s="1383"/>
      <c r="E919" s="1383"/>
      <c r="F919" s="1383"/>
      <c r="G919" s="407"/>
      <c r="H919" s="407"/>
      <c r="I919" s="429"/>
      <c r="J919" s="414"/>
      <c r="K919" s="408">
        <f>SUM(K920:K924)+0.01</f>
        <v>333771.33999999997</v>
      </c>
      <c r="L919" s="408">
        <f>SUM(L920:L924)+0.01</f>
        <v>357475.86116872751</v>
      </c>
      <c r="M919" s="454">
        <f t="shared" si="163"/>
        <v>0.19364779569418558</v>
      </c>
      <c r="N919" s="796"/>
      <c r="P919" s="399"/>
    </row>
    <row r="920" spans="1:16" s="115" customFormat="1" ht="15" customHeight="1" x14ac:dyDescent="0.25">
      <c r="A920" s="396"/>
      <c r="B920" s="1398" t="s">
        <v>7335</v>
      </c>
      <c r="C920" s="1398"/>
      <c r="D920" s="1398"/>
      <c r="E920" s="854">
        <v>333903000000000</v>
      </c>
      <c r="F920" s="855" t="s">
        <v>7339</v>
      </c>
      <c r="G920" s="468">
        <v>1</v>
      </c>
      <c r="H920" s="468">
        <v>0</v>
      </c>
      <c r="I920" s="751"/>
      <c r="J920" s="878" t="s">
        <v>7304</v>
      </c>
      <c r="K920" s="789">
        <f>('Parâmetros financeiros Despesa'!E408)</f>
        <v>234277.54499999998</v>
      </c>
      <c r="L920" s="789">
        <f>('Parâmetros financeiros Despesa'!F408)*((1+'Parâmetros financeiros Despesa'!F$4)*(1+'Parâmetros financeiros Despesa'!F$7))</f>
        <v>239872.93</v>
      </c>
      <c r="M920" s="799">
        <f t="shared" si="163"/>
        <v>0.12994126089895902</v>
      </c>
      <c r="N920" s="894"/>
      <c r="O920" s="796"/>
      <c r="P920" s="733"/>
    </row>
    <row r="921" spans="1:16" s="115" customFormat="1" ht="15" customHeight="1" x14ac:dyDescent="0.25">
      <c r="A921" s="396"/>
      <c r="B921" s="1396">
        <v>37100</v>
      </c>
      <c r="C921" s="1396"/>
      <c r="D921" s="1396"/>
      <c r="E921" s="854">
        <v>333903600000000</v>
      </c>
      <c r="F921" s="855" t="s">
        <v>7340</v>
      </c>
      <c r="G921" s="468">
        <v>1</v>
      </c>
      <c r="H921" s="468">
        <v>0</v>
      </c>
      <c r="I921" s="751"/>
      <c r="J921" s="878" t="s">
        <v>7304</v>
      </c>
      <c r="K921" s="789">
        <f>('Parâmetros financeiros Despesa'!E410)</f>
        <v>285</v>
      </c>
      <c r="L921" s="789">
        <f>('Parâmetros financeiros Despesa'!F410)*((1+'Parâmetros financeiros Despesa'!F$4)*(1+'Parâmetros financeiros Despesa'!F$7))</f>
        <v>3270.9945000000002</v>
      </c>
      <c r="M921" s="799">
        <f t="shared" si="163"/>
        <v>1.7719262849858052E-3</v>
      </c>
      <c r="N921" s="894"/>
      <c r="O921" s="796"/>
      <c r="P921" s="733"/>
    </row>
    <row r="922" spans="1:16" s="115" customFormat="1" ht="15" customHeight="1" x14ac:dyDescent="0.25">
      <c r="A922" s="396"/>
      <c r="B922" s="1398" t="s">
        <v>7336</v>
      </c>
      <c r="C922" s="1398"/>
      <c r="D922" s="1398"/>
      <c r="E922" s="854">
        <v>333903900000000</v>
      </c>
      <c r="F922" s="855" t="s">
        <v>7341</v>
      </c>
      <c r="G922" s="468">
        <v>1</v>
      </c>
      <c r="H922" s="468">
        <v>0</v>
      </c>
      <c r="I922" s="751"/>
      <c r="J922" s="878" t="s">
        <v>7304</v>
      </c>
      <c r="K922" s="789">
        <f>('Parâmetros financeiros Despesa'!E411+'Parâmetros financeiros Despesa'!E412)</f>
        <v>98059.785000000003</v>
      </c>
      <c r="L922" s="789">
        <f>('Parâmetros financeiros Despesa'!F411+'Parâmetros financeiros Despesa'!F412)*((1+'Parâmetros financeiros Despesa'!F$4)*(1+'Parâmetros financeiros Despesa'!F$7))</f>
        <v>110188.6669687275</v>
      </c>
      <c r="M922" s="799">
        <f t="shared" si="163"/>
        <v>5.9690163132171396E-2</v>
      </c>
      <c r="N922" s="894"/>
      <c r="O922" s="796"/>
      <c r="P922" s="733"/>
    </row>
    <row r="923" spans="1:16" s="115" customFormat="1" ht="15" customHeight="1" x14ac:dyDescent="0.25">
      <c r="A923" s="396"/>
      <c r="B923" s="1398" t="s">
        <v>7337</v>
      </c>
      <c r="C923" s="1398"/>
      <c r="D923" s="1398"/>
      <c r="E923" s="854">
        <v>333904700000000</v>
      </c>
      <c r="F923" s="855" t="s">
        <v>7342</v>
      </c>
      <c r="G923" s="468">
        <v>1</v>
      </c>
      <c r="H923" s="468">
        <v>0</v>
      </c>
      <c r="I923" s="751"/>
      <c r="J923" s="878" t="s">
        <v>7304</v>
      </c>
      <c r="K923" s="789">
        <f>'Parâmetros financeiros Despesa'!E414</f>
        <v>1149</v>
      </c>
      <c r="L923" s="789">
        <f>('Parâmetros financeiros Despesa'!F409+'Parâmetros financeiros Despesa'!F410+'Parâmetros financeiros Despesa'!F412)*((1+'Parâmetros financeiros Despesa'!F$4)*(1+'Parâmetros financeiros Despesa'!F$7))*('Parâmetros financeiros Despesa'!F$83)</f>
        <v>1962.5967000000001</v>
      </c>
      <c r="M923" s="799">
        <f t="shared" si="163"/>
        <v>1.063155770991483E-3</v>
      </c>
      <c r="N923" s="894"/>
      <c r="O923" s="796"/>
      <c r="P923" s="733"/>
    </row>
    <row r="924" spans="1:16" s="457" customFormat="1" ht="15" customHeight="1" x14ac:dyDescent="0.25">
      <c r="A924" s="396"/>
      <c r="B924" s="1398" t="s">
        <v>7338</v>
      </c>
      <c r="C924" s="1398"/>
      <c r="D924" s="1398"/>
      <c r="E924" s="854">
        <v>344905200000000</v>
      </c>
      <c r="F924" s="855" t="s">
        <v>7343</v>
      </c>
      <c r="G924" s="468">
        <v>1</v>
      </c>
      <c r="H924" s="468">
        <v>0</v>
      </c>
      <c r="I924" s="751"/>
      <c r="J924" s="878" t="s">
        <v>7304</v>
      </c>
      <c r="K924" s="789">
        <f>('Parâmetros financeiros Despesa'!E413)</f>
        <v>0</v>
      </c>
      <c r="L924" s="789">
        <f>('Parâmetros financeiros Despesa'!F413)*((1+'Parâmetros financeiros Despesa'!F$4)*(1+'Parâmetros financeiros Despesa'!F$7))</f>
        <v>2180.663</v>
      </c>
      <c r="M924" s="799">
        <f t="shared" si="163"/>
        <v>1.1812841899905367E-3</v>
      </c>
      <c r="N924" s="894"/>
      <c r="O924" s="796"/>
      <c r="P924" s="734"/>
    </row>
    <row r="925" spans="1:16" s="664" customFormat="1" ht="15" customHeight="1" x14ac:dyDescent="0.25">
      <c r="A925" s="397"/>
      <c r="B925" s="1385" t="s">
        <v>7151</v>
      </c>
      <c r="C925" s="1385"/>
      <c r="D925" s="1385"/>
      <c r="E925" s="1385"/>
      <c r="F925" s="1385"/>
      <c r="G925" s="401"/>
      <c r="H925" s="401"/>
      <c r="I925" s="426"/>
      <c r="J925" s="411"/>
      <c r="K925" s="402">
        <f t="shared" ref="K925:L927" si="169">K926</f>
        <v>4188.4399999999996</v>
      </c>
      <c r="L925" s="402">
        <f t="shared" si="169"/>
        <v>45357.780399999996</v>
      </c>
      <c r="M925" s="451">
        <f t="shared" si="163"/>
        <v>2.4570705734715835E-2</v>
      </c>
      <c r="N925" s="796"/>
      <c r="P925" s="399"/>
    </row>
    <row r="926" spans="1:16" s="664" customFormat="1" ht="15" customHeight="1" x14ac:dyDescent="0.25">
      <c r="A926" s="397"/>
      <c r="B926" s="1386" t="s">
        <v>7323</v>
      </c>
      <c r="C926" s="1386"/>
      <c r="D926" s="1386"/>
      <c r="E926" s="1386"/>
      <c r="F926" s="1386"/>
      <c r="G926" s="403"/>
      <c r="H926" s="403"/>
      <c r="I926" s="427"/>
      <c r="J926" s="412"/>
      <c r="K926" s="404">
        <f t="shared" si="169"/>
        <v>4188.4399999999996</v>
      </c>
      <c r="L926" s="404">
        <f t="shared" si="169"/>
        <v>45357.780399999996</v>
      </c>
      <c r="M926" s="452">
        <f t="shared" si="163"/>
        <v>2.4570705734715835E-2</v>
      </c>
      <c r="N926" s="796"/>
      <c r="P926" s="399"/>
    </row>
    <row r="927" spans="1:16" s="664" customFormat="1" ht="15" customHeight="1" x14ac:dyDescent="0.25">
      <c r="A927" s="397"/>
      <c r="B927" s="1382" t="s">
        <v>7297</v>
      </c>
      <c r="C927" s="1382"/>
      <c r="D927" s="1382"/>
      <c r="E927" s="1382"/>
      <c r="F927" s="1382"/>
      <c r="G927" s="405"/>
      <c r="H927" s="405"/>
      <c r="I927" s="428"/>
      <c r="J927" s="413"/>
      <c r="K927" s="406">
        <f t="shared" si="169"/>
        <v>4188.4399999999996</v>
      </c>
      <c r="L927" s="406">
        <f t="shared" si="169"/>
        <v>45357.780399999996</v>
      </c>
      <c r="M927" s="453">
        <f t="shared" si="163"/>
        <v>2.4570705734715835E-2</v>
      </c>
      <c r="N927" s="796"/>
      <c r="P927" s="399"/>
    </row>
    <row r="928" spans="1:16" s="664" customFormat="1" ht="15" customHeight="1" x14ac:dyDescent="0.25">
      <c r="A928" s="397"/>
      <c r="B928" s="1383" t="s">
        <v>7298</v>
      </c>
      <c r="C928" s="1383"/>
      <c r="D928" s="1383"/>
      <c r="E928" s="1383"/>
      <c r="F928" s="1383"/>
      <c r="G928" s="407"/>
      <c r="H928" s="407"/>
      <c r="I928" s="429"/>
      <c r="J928" s="414"/>
      <c r="K928" s="408">
        <f>SUM(K929:K934)-0.01</f>
        <v>4188.4399999999996</v>
      </c>
      <c r="L928" s="408">
        <f>SUM(L929:L934)-0.01</f>
        <v>45357.780399999996</v>
      </c>
      <c r="M928" s="454">
        <f t="shared" si="163"/>
        <v>2.4570705734715835E-2</v>
      </c>
      <c r="N928" s="796"/>
      <c r="P928" s="399"/>
    </row>
    <row r="929" spans="1:16" s="115" customFormat="1" ht="15" customHeight="1" x14ac:dyDescent="0.25">
      <c r="A929" s="396"/>
      <c r="B929" s="1398" t="s">
        <v>7350</v>
      </c>
      <c r="C929" s="1398"/>
      <c r="D929" s="1398"/>
      <c r="E929" s="854">
        <v>333903000000000</v>
      </c>
      <c r="F929" s="855" t="s">
        <v>7344</v>
      </c>
      <c r="G929" s="468">
        <v>1</v>
      </c>
      <c r="H929" s="468">
        <v>0</v>
      </c>
      <c r="I929" s="751"/>
      <c r="J929" s="878" t="s">
        <v>7397</v>
      </c>
      <c r="K929" s="789">
        <f>('Parâmetros financeiros Despesa'!E417+'Parâmetros financeiros Despesa'!E418)</f>
        <v>0</v>
      </c>
      <c r="L929" s="789">
        <f>('Parâmetros financeiros Despesa'!F417+'Parâmetros financeiros Despesa'!F418)*((1+'Parâmetros financeiros Despesa'!F$4)*(1+'Parâmetros financeiros Despesa'!F$7))</f>
        <v>2180.663</v>
      </c>
      <c r="M929" s="799">
        <f t="shared" si="163"/>
        <v>1.1812841899905367E-3</v>
      </c>
      <c r="N929" s="894"/>
      <c r="O929" s="796"/>
      <c r="P929" s="733"/>
    </row>
    <row r="930" spans="1:16" s="115" customFormat="1" ht="15" customHeight="1" x14ac:dyDescent="0.25">
      <c r="A930" s="396"/>
      <c r="B930" s="1396">
        <v>38100</v>
      </c>
      <c r="C930" s="1396"/>
      <c r="D930" s="1396"/>
      <c r="E930" s="854">
        <v>333903600000000</v>
      </c>
      <c r="F930" s="855" t="s">
        <v>7345</v>
      </c>
      <c r="G930" s="468">
        <v>1</v>
      </c>
      <c r="H930" s="468">
        <v>0</v>
      </c>
      <c r="I930" s="751"/>
      <c r="J930" s="878" t="s">
        <v>7397</v>
      </c>
      <c r="K930" s="789">
        <f>('Parâmetros financeiros Despesa'!E419)</f>
        <v>0</v>
      </c>
      <c r="L930" s="789">
        <f>('Parâmetros financeiros Despesa'!F419)*((1+'Parâmetros financeiros Despesa'!F$4)*(1+'Parâmetros financeiros Despesa'!F$7))</f>
        <v>1090.3315</v>
      </c>
      <c r="M930" s="799">
        <f t="shared" si="163"/>
        <v>5.9064209499526833E-4</v>
      </c>
      <c r="N930" s="894"/>
      <c r="O930" s="796"/>
      <c r="P930" s="733"/>
    </row>
    <row r="931" spans="1:16" s="115" customFormat="1" ht="15" customHeight="1" x14ac:dyDescent="0.25">
      <c r="A931" s="396"/>
      <c r="B931" s="1398" t="s">
        <v>7351</v>
      </c>
      <c r="C931" s="1398"/>
      <c r="D931" s="1398"/>
      <c r="E931" s="854">
        <v>333903900000000</v>
      </c>
      <c r="F931" s="855" t="s">
        <v>7346</v>
      </c>
      <c r="G931" s="468">
        <v>1</v>
      </c>
      <c r="H931" s="468">
        <v>0</v>
      </c>
      <c r="I931" s="751"/>
      <c r="J931" s="878" t="s">
        <v>7397</v>
      </c>
      <c r="K931" s="789">
        <f>('Parâmetros financeiros Despesa'!E420+'Parâmetros financeiros Despesa'!E421)</f>
        <v>0</v>
      </c>
      <c r="L931" s="789">
        <f>('Parâmetros financeiros Despesa'!F420+'Parâmetros financeiros Despesa'!F421)*((1+'Parâmetros financeiros Despesa'!F$4)*(1+'Parâmetros financeiros Despesa'!F$7))</f>
        <v>2180.663</v>
      </c>
      <c r="M931" s="799">
        <f t="shared" si="163"/>
        <v>1.1812841899905367E-3</v>
      </c>
      <c r="N931" s="894"/>
      <c r="O931" s="796"/>
      <c r="P931" s="733"/>
    </row>
    <row r="932" spans="1:16" s="115" customFormat="1" ht="15" customHeight="1" x14ac:dyDescent="0.25">
      <c r="A932" s="396"/>
      <c r="B932" s="1398" t="s">
        <v>7352</v>
      </c>
      <c r="C932" s="1398"/>
      <c r="D932" s="1398"/>
      <c r="E932" s="854">
        <v>333904700000000</v>
      </c>
      <c r="F932" s="855" t="s">
        <v>7347</v>
      </c>
      <c r="G932" s="468">
        <v>1</v>
      </c>
      <c r="H932" s="468">
        <v>0</v>
      </c>
      <c r="I932" s="751"/>
      <c r="J932" s="878" t="s">
        <v>7397</v>
      </c>
      <c r="K932" s="789">
        <f>'Parâmetros financeiros Despesa'!E416</f>
        <v>1788</v>
      </c>
      <c r="L932" s="789">
        <f>('Parâmetros financeiros Despesa'!F418+'Parâmetros financeiros Despesa'!F421+'Parâmetros financeiros Despesa'!F419)*((1+'Parâmetros financeiros Despesa'!F$4)*(1+'Parâmetros financeiros Despesa'!F$7))*('Parâmetros financeiros Despesa'!F$83)</f>
        <v>654.19890000000009</v>
      </c>
      <c r="M932" s="799">
        <f t="shared" si="163"/>
        <v>3.5438525699716105E-4</v>
      </c>
      <c r="N932" s="894"/>
      <c r="O932" s="796"/>
      <c r="P932" s="733"/>
    </row>
    <row r="933" spans="1:16" s="457" customFormat="1" ht="15" customHeight="1" x14ac:dyDescent="0.25">
      <c r="A933" s="396"/>
      <c r="B933" s="1398" t="s">
        <v>7353</v>
      </c>
      <c r="C933" s="1398"/>
      <c r="D933" s="1398"/>
      <c r="E933" s="854">
        <v>344905100000000</v>
      </c>
      <c r="F933" s="855" t="s">
        <v>7348</v>
      </c>
      <c r="G933" s="468">
        <v>1</v>
      </c>
      <c r="H933" s="468">
        <v>0</v>
      </c>
      <c r="I933" s="751"/>
      <c r="J933" s="878" t="s">
        <v>7397</v>
      </c>
      <c r="K933" s="789">
        <f>('Parâmetros financeiros Despesa'!E422)</f>
        <v>2400.4499999999998</v>
      </c>
      <c r="L933" s="789">
        <f>('Parâmetros financeiros Despesa'!F422)*((1+'Parâmetros financeiros Despesa'!F$4)*(1+'Parâmetros financeiros Despesa'!F$7))</f>
        <v>38161.602500000001</v>
      </c>
      <c r="M933" s="799">
        <f t="shared" si="163"/>
        <v>2.0672473324834392E-2</v>
      </c>
      <c r="N933" s="894"/>
      <c r="O933" s="796"/>
      <c r="P933" s="734"/>
    </row>
    <row r="934" spans="1:16" s="457" customFormat="1" ht="15" customHeight="1" x14ac:dyDescent="0.25">
      <c r="A934" s="396"/>
      <c r="B934" s="1398" t="s">
        <v>7354</v>
      </c>
      <c r="C934" s="1398"/>
      <c r="D934" s="1398"/>
      <c r="E934" s="854">
        <v>344905200000000</v>
      </c>
      <c r="F934" s="855" t="s">
        <v>7349</v>
      </c>
      <c r="G934" s="468">
        <v>1</v>
      </c>
      <c r="H934" s="468">
        <v>0</v>
      </c>
      <c r="I934" s="751"/>
      <c r="J934" s="878" t="s">
        <v>7397</v>
      </c>
      <c r="K934" s="789">
        <f>('Parâmetros financeiros Despesa'!E423)</f>
        <v>0</v>
      </c>
      <c r="L934" s="789">
        <f>('Parâmetros financeiros Despesa'!F423)*((1+'Parâmetros financeiros Despesa'!F$4)*(1+'Parâmetros financeiros Despesa'!F$7))</f>
        <v>1090.3315</v>
      </c>
      <c r="M934" s="799">
        <f t="shared" si="163"/>
        <v>5.9064209499526833E-4</v>
      </c>
      <c r="N934" s="894"/>
      <c r="O934" s="796"/>
      <c r="P934" s="734"/>
    </row>
    <row r="935" spans="1:16" s="664" customFormat="1" ht="15" customHeight="1" x14ac:dyDescent="0.25">
      <c r="A935" s="397"/>
      <c r="B935" s="1385" t="s">
        <v>7151</v>
      </c>
      <c r="C935" s="1385"/>
      <c r="D935" s="1385"/>
      <c r="E935" s="1385"/>
      <c r="F935" s="1385"/>
      <c r="G935" s="401"/>
      <c r="H935" s="401"/>
      <c r="I935" s="426"/>
      <c r="J935" s="411"/>
      <c r="K935" s="402">
        <f t="shared" ref="K935:L937" si="170">K936</f>
        <v>0</v>
      </c>
      <c r="L935" s="402">
        <f t="shared" si="170"/>
        <v>12647.8354</v>
      </c>
      <c r="M935" s="451">
        <f t="shared" si="163"/>
        <v>6.851442884857787E-3</v>
      </c>
      <c r="N935" s="796"/>
      <c r="P935" s="399"/>
    </row>
    <row r="936" spans="1:16" s="664" customFormat="1" ht="15" customHeight="1" x14ac:dyDescent="0.25">
      <c r="A936" s="397"/>
      <c r="B936" s="1386" t="s">
        <v>7324</v>
      </c>
      <c r="C936" s="1386"/>
      <c r="D936" s="1386"/>
      <c r="E936" s="1386"/>
      <c r="F936" s="1386"/>
      <c r="G936" s="403"/>
      <c r="H936" s="403"/>
      <c r="I936" s="427"/>
      <c r="J936" s="412"/>
      <c r="K936" s="404">
        <f t="shared" si="170"/>
        <v>0</v>
      </c>
      <c r="L936" s="404">
        <f t="shared" si="170"/>
        <v>12647.8354</v>
      </c>
      <c r="M936" s="452">
        <f t="shared" si="163"/>
        <v>6.851442884857787E-3</v>
      </c>
      <c r="N936" s="796"/>
      <c r="P936" s="399"/>
    </row>
    <row r="937" spans="1:16" s="664" customFormat="1" ht="15" customHeight="1" x14ac:dyDescent="0.25">
      <c r="A937" s="397"/>
      <c r="B937" s="1382" t="s">
        <v>7297</v>
      </c>
      <c r="C937" s="1382"/>
      <c r="D937" s="1382"/>
      <c r="E937" s="1382"/>
      <c r="F937" s="1382"/>
      <c r="G937" s="405"/>
      <c r="H937" s="405"/>
      <c r="I937" s="428"/>
      <c r="J937" s="413"/>
      <c r="K937" s="406">
        <f t="shared" si="170"/>
        <v>0</v>
      </c>
      <c r="L937" s="406">
        <f t="shared" si="170"/>
        <v>12647.8354</v>
      </c>
      <c r="M937" s="453">
        <f t="shared" si="163"/>
        <v>6.851442884857787E-3</v>
      </c>
      <c r="N937" s="796"/>
      <c r="P937" s="399"/>
    </row>
    <row r="938" spans="1:16" s="664" customFormat="1" ht="15" customHeight="1" x14ac:dyDescent="0.25">
      <c r="A938" s="397"/>
      <c r="B938" s="1383" t="s">
        <v>7298</v>
      </c>
      <c r="C938" s="1383"/>
      <c r="D938" s="1383"/>
      <c r="E938" s="1383"/>
      <c r="F938" s="1383"/>
      <c r="G938" s="407"/>
      <c r="H938" s="407"/>
      <c r="I938" s="429"/>
      <c r="J938" s="414"/>
      <c r="K938" s="408">
        <f>SUM(K939:K944)</f>
        <v>0</v>
      </c>
      <c r="L938" s="408">
        <f>SUM(L939:L944)-0.01</f>
        <v>12647.8354</v>
      </c>
      <c r="M938" s="454">
        <f t="shared" si="163"/>
        <v>6.851442884857787E-3</v>
      </c>
      <c r="N938" s="796"/>
      <c r="P938" s="399"/>
    </row>
    <row r="939" spans="1:16" s="115" customFormat="1" ht="15" customHeight="1" x14ac:dyDescent="0.25">
      <c r="A939" s="396"/>
      <c r="B939" s="1398" t="s">
        <v>7355</v>
      </c>
      <c r="C939" s="1398"/>
      <c r="D939" s="1398"/>
      <c r="E939" s="854">
        <v>333903000000000</v>
      </c>
      <c r="F939" s="855" t="s">
        <v>7401</v>
      </c>
      <c r="G939" s="468">
        <v>1</v>
      </c>
      <c r="H939" s="468">
        <v>0</v>
      </c>
      <c r="I939" s="751"/>
      <c r="J939" s="878" t="s">
        <v>7400</v>
      </c>
      <c r="K939" s="789">
        <f>('Parâmetros financeiros Despesa'!E425+'Parâmetros financeiros Despesa'!E426)</f>
        <v>0</v>
      </c>
      <c r="L939" s="789">
        <f>('Parâmetros financeiros Despesa'!F425+'Parâmetros financeiros Despesa'!F426)*((1+'Parâmetros financeiros Despesa'!F$4)*(1+'Parâmetros financeiros Despesa'!F$7))</f>
        <v>2180.663</v>
      </c>
      <c r="M939" s="799">
        <f t="shared" si="163"/>
        <v>1.1812841899905367E-3</v>
      </c>
      <c r="N939" s="894"/>
      <c r="P939" s="733"/>
    </row>
    <row r="940" spans="1:16" s="115" customFormat="1" ht="15" customHeight="1" x14ac:dyDescent="0.25">
      <c r="A940" s="396"/>
      <c r="B940" s="1396">
        <v>39100</v>
      </c>
      <c r="C940" s="1396"/>
      <c r="D940" s="1396"/>
      <c r="E940" s="854">
        <v>333903600000000</v>
      </c>
      <c r="F940" s="855" t="s">
        <v>7402</v>
      </c>
      <c r="G940" s="468">
        <v>1</v>
      </c>
      <c r="H940" s="468">
        <v>0</v>
      </c>
      <c r="I940" s="751"/>
      <c r="J940" s="878" t="s">
        <v>7400</v>
      </c>
      <c r="K940" s="789">
        <f>('Parâmetros financeiros Despesa'!E427)</f>
        <v>0</v>
      </c>
      <c r="L940" s="789">
        <f>('Parâmetros financeiros Despesa'!F427)*((1+'Parâmetros financeiros Despesa'!F$4)*(1+'Parâmetros financeiros Despesa'!F$7))</f>
        <v>1090.3315</v>
      </c>
      <c r="M940" s="799">
        <f t="shared" si="163"/>
        <v>5.9064209499526833E-4</v>
      </c>
      <c r="N940" s="894"/>
      <c r="P940" s="733"/>
    </row>
    <row r="941" spans="1:16" s="115" customFormat="1" ht="15" customHeight="1" x14ac:dyDescent="0.25">
      <c r="A941" s="396"/>
      <c r="B941" s="1398" t="s">
        <v>7356</v>
      </c>
      <c r="C941" s="1398"/>
      <c r="D941" s="1398"/>
      <c r="E941" s="854">
        <v>333903900000000</v>
      </c>
      <c r="F941" s="855" t="s">
        <v>7403</v>
      </c>
      <c r="G941" s="468">
        <v>1</v>
      </c>
      <c r="H941" s="468">
        <v>0</v>
      </c>
      <c r="I941" s="751"/>
      <c r="J941" s="878" t="s">
        <v>7400</v>
      </c>
      <c r="K941" s="789">
        <f>('Parâmetros financeiros Despesa'!E428+'Parâmetros financeiros Despesa'!E429)</f>
        <v>0</v>
      </c>
      <c r="L941" s="789">
        <f>('Parâmetros financeiros Despesa'!F428+'Parâmetros financeiros Despesa'!F429)*((1+'Parâmetros financeiros Despesa'!F$4)*(1+'Parâmetros financeiros Despesa'!F$7))</f>
        <v>2180.663</v>
      </c>
      <c r="M941" s="799">
        <f t="shared" si="163"/>
        <v>1.1812841899905367E-3</v>
      </c>
      <c r="N941" s="894"/>
      <c r="P941" s="733"/>
    </row>
    <row r="942" spans="1:16" s="115" customFormat="1" ht="15" customHeight="1" x14ac:dyDescent="0.25">
      <c r="A942" s="396"/>
      <c r="B942" s="1398" t="s">
        <v>7357</v>
      </c>
      <c r="C942" s="1398"/>
      <c r="D942" s="1398"/>
      <c r="E942" s="854">
        <v>333904700000000</v>
      </c>
      <c r="F942" s="855" t="s">
        <v>7404</v>
      </c>
      <c r="G942" s="468">
        <v>1</v>
      </c>
      <c r="H942" s="468">
        <v>0</v>
      </c>
      <c r="I942" s="751"/>
      <c r="J942" s="878" t="s">
        <v>7400</v>
      </c>
      <c r="K942" s="789">
        <f>('Parâmetros financeiros Despesa'!E426+'Parâmetros financeiros Despesa'!E427+'Parâmetros financeiros Despesa'!E429)</f>
        <v>0</v>
      </c>
      <c r="L942" s="789">
        <f>('Parâmetros financeiros Despesa'!F426+'Parâmetros financeiros Despesa'!F427+'Parâmetros financeiros Despesa'!F429)*((1+'Parâmetros financeiros Despesa'!F$4)*(1+'Parâmetros financeiros Despesa'!F$7))*('Parâmetros financeiros Despesa'!F$83)</f>
        <v>654.19890000000009</v>
      </c>
      <c r="M942" s="799">
        <f t="shared" si="163"/>
        <v>3.5438525699716105E-4</v>
      </c>
      <c r="N942" s="894"/>
      <c r="P942" s="733"/>
    </row>
    <row r="943" spans="1:16" s="457" customFormat="1" ht="15" customHeight="1" x14ac:dyDescent="0.25">
      <c r="A943" s="396"/>
      <c r="B943" s="1398" t="s">
        <v>7358</v>
      </c>
      <c r="C943" s="1398"/>
      <c r="D943" s="1398"/>
      <c r="E943" s="854">
        <v>344905100000000</v>
      </c>
      <c r="F943" s="855" t="s">
        <v>7405</v>
      </c>
      <c r="G943" s="468">
        <v>1</v>
      </c>
      <c r="H943" s="468">
        <v>0</v>
      </c>
      <c r="I943" s="751"/>
      <c r="J943" s="878" t="s">
        <v>7400</v>
      </c>
      <c r="K943" s="789">
        <f>('Parâmetros financeiros Despesa'!E430)</f>
        <v>0</v>
      </c>
      <c r="L943" s="789">
        <f>('Parâmetros financeiros Despesa'!F430)*((1+'Parâmetros financeiros Despesa'!F$4)*(1+'Parâmetros financeiros Despesa'!F$7))</f>
        <v>5451.6575000000003</v>
      </c>
      <c r="M943" s="799">
        <f t="shared" si="163"/>
        <v>2.9532104749763421E-3</v>
      </c>
      <c r="N943" s="894"/>
      <c r="P943" s="734"/>
    </row>
    <row r="944" spans="1:16" s="457" customFormat="1" ht="15" customHeight="1" x14ac:dyDescent="0.25">
      <c r="A944" s="396"/>
      <c r="B944" s="1398" t="s">
        <v>7359</v>
      </c>
      <c r="C944" s="1398"/>
      <c r="D944" s="1398"/>
      <c r="E944" s="854">
        <v>344905200000000</v>
      </c>
      <c r="F944" s="855" t="s">
        <v>7406</v>
      </c>
      <c r="G944" s="468">
        <v>1</v>
      </c>
      <c r="H944" s="468">
        <v>0</v>
      </c>
      <c r="I944" s="751"/>
      <c r="J944" s="878" t="s">
        <v>7400</v>
      </c>
      <c r="K944" s="789">
        <f>('Parâmetros financeiros Despesa'!E431)</f>
        <v>0</v>
      </c>
      <c r="L944" s="789">
        <f>('Parâmetros financeiros Despesa'!F431)*((1+'Parâmetros financeiros Despesa'!F$4)*(1+'Parâmetros financeiros Despesa'!F$7))</f>
        <v>1090.3315</v>
      </c>
      <c r="M944" s="799">
        <f t="shared" ref="M944:M973" si="171">L944/L$979</f>
        <v>5.9064209499526833E-4</v>
      </c>
      <c r="N944" s="894"/>
      <c r="P944" s="734"/>
    </row>
    <row r="945" spans="1:16" s="664" customFormat="1" ht="15" customHeight="1" x14ac:dyDescent="0.25">
      <c r="A945" s="397"/>
      <c r="B945" s="1385" t="s">
        <v>7151</v>
      </c>
      <c r="C945" s="1385"/>
      <c r="D945" s="1385"/>
      <c r="E945" s="1385"/>
      <c r="F945" s="1385"/>
      <c r="G945" s="401"/>
      <c r="H945" s="401"/>
      <c r="I945" s="426"/>
      <c r="J945" s="411"/>
      <c r="K945" s="402">
        <f t="shared" ref="K945:L947" si="172">K946</f>
        <v>0</v>
      </c>
      <c r="L945" s="402">
        <f t="shared" si="172"/>
        <v>25094.181840758691</v>
      </c>
      <c r="M945" s="451">
        <f t="shared" si="171"/>
        <v>1.3593737440969039E-2</v>
      </c>
      <c r="N945" s="796"/>
      <c r="P945" s="399"/>
    </row>
    <row r="946" spans="1:16" s="664" customFormat="1" ht="15" customHeight="1" x14ac:dyDescent="0.25">
      <c r="A946" s="397"/>
      <c r="B946" s="1386" t="s">
        <v>7152</v>
      </c>
      <c r="C946" s="1386"/>
      <c r="D946" s="1386"/>
      <c r="E946" s="1386"/>
      <c r="F946" s="1386"/>
      <c r="G946" s="403"/>
      <c r="H946" s="403"/>
      <c r="I946" s="427"/>
      <c r="J946" s="412"/>
      <c r="K946" s="404">
        <f t="shared" si="172"/>
        <v>0</v>
      </c>
      <c r="L946" s="404">
        <f t="shared" si="172"/>
        <v>25094.181840758691</v>
      </c>
      <c r="M946" s="452">
        <f t="shared" si="171"/>
        <v>1.3593737440969039E-2</v>
      </c>
      <c r="N946" s="796"/>
      <c r="P946" s="399"/>
    </row>
    <row r="947" spans="1:16" s="664" customFormat="1" ht="15" customHeight="1" x14ac:dyDescent="0.25">
      <c r="A947" s="397"/>
      <c r="B947" s="1382" t="s">
        <v>7297</v>
      </c>
      <c r="C947" s="1382"/>
      <c r="D947" s="1382"/>
      <c r="E947" s="1382"/>
      <c r="F947" s="1382"/>
      <c r="G947" s="405"/>
      <c r="H947" s="405"/>
      <c r="I947" s="428"/>
      <c r="J947" s="413"/>
      <c r="K947" s="406">
        <f t="shared" si="172"/>
        <v>0</v>
      </c>
      <c r="L947" s="406">
        <f t="shared" si="172"/>
        <v>25094.181840758691</v>
      </c>
      <c r="M947" s="453">
        <f t="shared" si="171"/>
        <v>1.3593737440969039E-2</v>
      </c>
      <c r="N947" s="796"/>
      <c r="P947" s="399"/>
    </row>
    <row r="948" spans="1:16" s="664" customFormat="1" ht="15" customHeight="1" x14ac:dyDescent="0.25">
      <c r="A948" s="397"/>
      <c r="B948" s="1383" t="s">
        <v>7298</v>
      </c>
      <c r="C948" s="1383"/>
      <c r="D948" s="1383"/>
      <c r="E948" s="1383"/>
      <c r="F948" s="1383"/>
      <c r="G948" s="407"/>
      <c r="H948" s="407"/>
      <c r="I948" s="429"/>
      <c r="J948" s="414"/>
      <c r="K948" s="408">
        <f>SUM(K949:K954)</f>
        <v>0</v>
      </c>
      <c r="L948" s="408">
        <f>SUM(L949:L954)</f>
        <v>25094.181840758691</v>
      </c>
      <c r="M948" s="454">
        <f t="shared" si="171"/>
        <v>1.3593737440969039E-2</v>
      </c>
      <c r="N948" s="796"/>
      <c r="P948" s="399"/>
    </row>
    <row r="949" spans="1:16" s="115" customFormat="1" ht="15" customHeight="1" x14ac:dyDescent="0.25">
      <c r="A949" s="396"/>
      <c r="B949" s="1398" t="s">
        <v>7367</v>
      </c>
      <c r="C949" s="1398"/>
      <c r="D949" s="1398"/>
      <c r="E949" s="854">
        <v>333903000000000</v>
      </c>
      <c r="F949" s="855" t="s">
        <v>7360</v>
      </c>
      <c r="G949" s="468">
        <v>1048</v>
      </c>
      <c r="H949" s="468">
        <v>0</v>
      </c>
      <c r="I949" s="751"/>
      <c r="J949" s="878" t="s">
        <v>7366</v>
      </c>
      <c r="K949" s="789">
        <f>'Parâmetros financeiros Despesa'!E433+'Parâmetros financeiros Despesa'!E434</f>
        <v>0</v>
      </c>
      <c r="L949" s="789">
        <f>'Parâmetros financeiros Despesa'!F433+'Parâmetros financeiros Despesa'!F434</f>
        <v>5000</v>
      </c>
      <c r="M949" s="799">
        <f t="shared" si="171"/>
        <v>2.7085436630752591E-3</v>
      </c>
      <c r="N949" s="894"/>
      <c r="P949" s="733"/>
    </row>
    <row r="950" spans="1:16" s="115" customFormat="1" ht="15" customHeight="1" x14ac:dyDescent="0.25">
      <c r="A950" s="396"/>
      <c r="B950" s="1396">
        <v>40100</v>
      </c>
      <c r="C950" s="1396"/>
      <c r="D950" s="1396"/>
      <c r="E950" s="854">
        <v>333903600000000</v>
      </c>
      <c r="F950" s="855" t="s">
        <v>7361</v>
      </c>
      <c r="G950" s="468">
        <v>1048</v>
      </c>
      <c r="H950" s="468">
        <v>0</v>
      </c>
      <c r="I950" s="751"/>
      <c r="J950" s="878" t="s">
        <v>7366</v>
      </c>
      <c r="K950" s="789">
        <f>'Parâmetros financeiros Despesa'!E435</f>
        <v>0</v>
      </c>
      <c r="L950" s="789">
        <f>'Parâmetros financeiros Despesa'!F435</f>
        <v>3000</v>
      </c>
      <c r="M950" s="799">
        <f t="shared" si="171"/>
        <v>1.6251261978451554E-3</v>
      </c>
      <c r="N950" s="894"/>
      <c r="P950" s="733"/>
    </row>
    <row r="951" spans="1:16" s="115" customFormat="1" ht="15" customHeight="1" x14ac:dyDescent="0.25">
      <c r="A951" s="396"/>
      <c r="B951" s="1398" t="s">
        <v>7368</v>
      </c>
      <c r="C951" s="1398"/>
      <c r="D951" s="1398"/>
      <c r="E951" s="854">
        <v>333903900000000</v>
      </c>
      <c r="F951" s="855" t="s">
        <v>7362</v>
      </c>
      <c r="G951" s="468">
        <v>1048</v>
      </c>
      <c r="H951" s="468">
        <v>0</v>
      </c>
      <c r="I951" s="751"/>
      <c r="J951" s="878" t="s">
        <v>7366</v>
      </c>
      <c r="K951" s="789">
        <f>'Parâmetros financeiros Despesa'!E436+'Parâmetros financeiros Despesa'!E437</f>
        <v>0</v>
      </c>
      <c r="L951" s="789">
        <f>'Parâmetros financeiros Despesa'!F436+'Parâmetros financeiros Despesa'!F437</f>
        <v>4094.18</v>
      </c>
      <c r="M951" s="799">
        <f t="shared" si="171"/>
        <v>2.2178530588978927E-3</v>
      </c>
      <c r="N951" s="894"/>
      <c r="P951" s="733"/>
    </row>
    <row r="952" spans="1:16" s="115" customFormat="1" ht="15" customHeight="1" x14ac:dyDescent="0.25">
      <c r="A952" s="396"/>
      <c r="B952" s="1398" t="s">
        <v>7369</v>
      </c>
      <c r="C952" s="1398"/>
      <c r="D952" s="1398"/>
      <c r="E952" s="854">
        <v>333904700000000</v>
      </c>
      <c r="F952" s="855" t="s">
        <v>7363</v>
      </c>
      <c r="G952" s="468">
        <v>1048</v>
      </c>
      <c r="H952" s="468">
        <v>0</v>
      </c>
      <c r="I952" s="751"/>
      <c r="J952" s="878" t="s">
        <v>7366</v>
      </c>
      <c r="K952" s="789">
        <f>'Parâmetros financeiros Despesa'!E438+'Parâmetros financeiros Despesa'!E439</f>
        <v>0</v>
      </c>
      <c r="L952" s="789">
        <f>'Parâmetros financeiros Despesa'!F438+'Parâmetros financeiros Despesa'!F439</f>
        <v>1250.0818407586889</v>
      </c>
      <c r="M952" s="799">
        <f t="shared" si="171"/>
        <v>6.7718024962248045E-4</v>
      </c>
      <c r="N952" s="894"/>
      <c r="P952" s="733"/>
    </row>
    <row r="953" spans="1:16" s="457" customFormat="1" ht="15" customHeight="1" x14ac:dyDescent="0.25">
      <c r="A953" s="396"/>
      <c r="B953" s="1398" t="s">
        <v>7370</v>
      </c>
      <c r="C953" s="1398"/>
      <c r="D953" s="1398"/>
      <c r="E953" s="854">
        <v>344905100000000</v>
      </c>
      <c r="F953" s="855" t="s">
        <v>7364</v>
      </c>
      <c r="G953" s="468">
        <v>1048</v>
      </c>
      <c r="H953" s="468">
        <v>0</v>
      </c>
      <c r="I953" s="751"/>
      <c r="J953" s="878" t="s">
        <v>7366</v>
      </c>
      <c r="K953" s="789">
        <f>'Parâmetros financeiros Despesa'!E440</f>
        <v>0</v>
      </c>
      <c r="L953" s="789">
        <f>'Parâmetros financeiros Despesa'!F440</f>
        <v>9749.92</v>
      </c>
      <c r="M953" s="799">
        <f t="shared" si="171"/>
        <v>5.2816168062981457E-3</v>
      </c>
      <c r="N953" s="895"/>
      <c r="P953" s="734"/>
    </row>
    <row r="954" spans="1:16" s="457" customFormat="1" ht="15" customHeight="1" x14ac:dyDescent="0.25">
      <c r="A954" s="396"/>
      <c r="B954" s="1398" t="s">
        <v>7371</v>
      </c>
      <c r="C954" s="1398"/>
      <c r="D954" s="1398"/>
      <c r="E954" s="854">
        <v>344905200000000</v>
      </c>
      <c r="F954" s="855" t="s">
        <v>7365</v>
      </c>
      <c r="G954" s="468">
        <v>1048</v>
      </c>
      <c r="H954" s="468">
        <v>0</v>
      </c>
      <c r="I954" s="751"/>
      <c r="J954" s="878" t="s">
        <v>7366</v>
      </c>
      <c r="K954" s="789">
        <f>'Parâmetros financeiros Despesa'!E441</f>
        <v>0</v>
      </c>
      <c r="L954" s="789">
        <f>'Parâmetros financeiros Despesa'!F441</f>
        <v>2000</v>
      </c>
      <c r="M954" s="799">
        <f t="shared" si="171"/>
        <v>1.0834174652301035E-3</v>
      </c>
      <c r="N954" s="895"/>
      <c r="P954" s="734"/>
    </row>
    <row r="955" spans="1:16" s="664" customFormat="1" ht="15" customHeight="1" x14ac:dyDescent="0.25">
      <c r="A955" s="397"/>
      <c r="B955" s="1385" t="s">
        <v>7151</v>
      </c>
      <c r="C955" s="1385"/>
      <c r="D955" s="1385"/>
      <c r="E955" s="1385"/>
      <c r="F955" s="1385"/>
      <c r="G955" s="401"/>
      <c r="H955" s="401"/>
      <c r="I955" s="426"/>
      <c r="J955" s="411"/>
      <c r="K955" s="402">
        <f t="shared" ref="K955:L957" si="173">K956</f>
        <v>0</v>
      </c>
      <c r="L955" s="402">
        <f t="shared" si="173"/>
        <v>54304.399996172346</v>
      </c>
      <c r="M955" s="451">
        <f t="shared" si="171"/>
        <v>2.9417167697347344E-2</v>
      </c>
      <c r="N955" s="796"/>
      <c r="P955" s="399"/>
    </row>
    <row r="956" spans="1:16" s="664" customFormat="1" ht="15" customHeight="1" x14ac:dyDescent="0.25">
      <c r="A956" s="397"/>
      <c r="B956" s="1386" t="s">
        <v>7325</v>
      </c>
      <c r="C956" s="1386"/>
      <c r="D956" s="1386"/>
      <c r="E956" s="1386"/>
      <c r="F956" s="1386"/>
      <c r="G956" s="403"/>
      <c r="H956" s="403"/>
      <c r="I956" s="427"/>
      <c r="J956" s="412"/>
      <c r="K956" s="404">
        <f t="shared" si="173"/>
        <v>0</v>
      </c>
      <c r="L956" s="404">
        <f t="shared" si="173"/>
        <v>54304.399996172346</v>
      </c>
      <c r="M956" s="452">
        <f t="shared" si="171"/>
        <v>2.9417167697347344E-2</v>
      </c>
      <c r="N956" s="796"/>
      <c r="P956" s="399"/>
    </row>
    <row r="957" spans="1:16" s="664" customFormat="1" ht="15" customHeight="1" x14ac:dyDescent="0.25">
      <c r="A957" s="397"/>
      <c r="B957" s="1382" t="s">
        <v>7297</v>
      </c>
      <c r="C957" s="1382"/>
      <c r="D957" s="1382"/>
      <c r="E957" s="1382"/>
      <c r="F957" s="1382"/>
      <c r="G957" s="405"/>
      <c r="H957" s="405"/>
      <c r="I957" s="428"/>
      <c r="J957" s="413"/>
      <c r="K957" s="406">
        <f t="shared" si="173"/>
        <v>0</v>
      </c>
      <c r="L957" s="406">
        <f t="shared" si="173"/>
        <v>54304.399996172346</v>
      </c>
      <c r="M957" s="453">
        <f t="shared" si="171"/>
        <v>2.9417167697347344E-2</v>
      </c>
      <c r="N957" s="796"/>
      <c r="P957" s="399"/>
    </row>
    <row r="958" spans="1:16" s="664" customFormat="1" ht="15" customHeight="1" x14ac:dyDescent="0.25">
      <c r="A958" s="397"/>
      <c r="B958" s="1383" t="s">
        <v>7298</v>
      </c>
      <c r="C958" s="1383"/>
      <c r="D958" s="1383"/>
      <c r="E958" s="1383"/>
      <c r="F958" s="1383"/>
      <c r="G958" s="407"/>
      <c r="H958" s="407"/>
      <c r="I958" s="429"/>
      <c r="J958" s="414"/>
      <c r="K958" s="408">
        <f>SUM(K959:K964)</f>
        <v>0</v>
      </c>
      <c r="L958" s="408">
        <f>SUM(L959:L964)</f>
        <v>54304.399996172346</v>
      </c>
      <c r="M958" s="454">
        <f t="shared" si="171"/>
        <v>2.9417167697347344E-2</v>
      </c>
      <c r="N958" s="796"/>
      <c r="P958" s="399"/>
    </row>
    <row r="959" spans="1:16" s="115" customFormat="1" ht="15" customHeight="1" x14ac:dyDescent="0.25">
      <c r="A959" s="396"/>
      <c r="B959" s="1398" t="s">
        <v>7384</v>
      </c>
      <c r="C959" s="1398"/>
      <c r="D959" s="1398"/>
      <c r="E959" s="854">
        <v>333903000000000</v>
      </c>
      <c r="F959" s="855" t="s">
        <v>7373</v>
      </c>
      <c r="G959" s="468">
        <v>1087</v>
      </c>
      <c r="H959" s="468">
        <v>0</v>
      </c>
      <c r="I959" s="751"/>
      <c r="J959" s="878" t="s">
        <v>7372</v>
      </c>
      <c r="K959" s="789">
        <f>'Parâmetros financeiros Despesa'!E443+'Parâmetros financeiros Despesa'!E444</f>
        <v>0</v>
      </c>
      <c r="L959" s="789">
        <f>'Parâmetros financeiros Despesa'!F443+'Parâmetros financeiros Despesa'!F444</f>
        <v>14000</v>
      </c>
      <c r="M959" s="799">
        <f t="shared" si="171"/>
        <v>7.5839222566107256E-3</v>
      </c>
      <c r="N959" s="894"/>
      <c r="P959" s="733"/>
    </row>
    <row r="960" spans="1:16" s="115" customFormat="1" ht="15" customHeight="1" x14ac:dyDescent="0.25">
      <c r="A960" s="396"/>
      <c r="B960" s="1396">
        <v>41100</v>
      </c>
      <c r="C960" s="1396"/>
      <c r="D960" s="1396"/>
      <c r="E960" s="854">
        <v>333903600000000</v>
      </c>
      <c r="F960" s="855" t="s">
        <v>7374</v>
      </c>
      <c r="G960" s="468">
        <v>1087</v>
      </c>
      <c r="H960" s="468">
        <v>0</v>
      </c>
      <c r="I960" s="751"/>
      <c r="J960" s="878" t="s">
        <v>7372</v>
      </c>
      <c r="K960" s="789">
        <f>'Parâmetros financeiros Despesa'!E445</f>
        <v>0</v>
      </c>
      <c r="L960" s="789">
        <f>'Parâmetros financeiros Despesa'!F445</f>
        <v>3000</v>
      </c>
      <c r="M960" s="799">
        <f t="shared" si="171"/>
        <v>1.6251261978451554E-3</v>
      </c>
      <c r="N960" s="894"/>
      <c r="P960" s="733"/>
    </row>
    <row r="961" spans="1:16" s="115" customFormat="1" ht="15" customHeight="1" x14ac:dyDescent="0.25">
      <c r="A961" s="396"/>
      <c r="B961" s="1398" t="s">
        <v>7385</v>
      </c>
      <c r="C961" s="1398"/>
      <c r="D961" s="1398"/>
      <c r="E961" s="854">
        <v>333903900000000</v>
      </c>
      <c r="F961" s="855" t="s">
        <v>7375</v>
      </c>
      <c r="G961" s="468">
        <v>1087</v>
      </c>
      <c r="H961" s="468">
        <v>0</v>
      </c>
      <c r="I961" s="751"/>
      <c r="J961" s="878" t="s">
        <v>7372</v>
      </c>
      <c r="K961" s="789">
        <f>'Parâmetros financeiros Despesa'!E446+'Parâmetros financeiros Despesa'!E447</f>
        <v>0</v>
      </c>
      <c r="L961" s="789">
        <f>'Parâmetros financeiros Despesa'!F446+'Parâmetros financeiros Despesa'!F447</f>
        <v>13304.4</v>
      </c>
      <c r="M961" s="799">
        <f t="shared" si="171"/>
        <v>7.2071096622036953E-3</v>
      </c>
      <c r="N961" s="894"/>
      <c r="P961" s="733"/>
    </row>
    <row r="962" spans="1:16" s="115" customFormat="1" ht="15" customHeight="1" x14ac:dyDescent="0.25">
      <c r="A962" s="396"/>
      <c r="B962" s="1398" t="s">
        <v>7386</v>
      </c>
      <c r="C962" s="1398"/>
      <c r="D962" s="1398"/>
      <c r="E962" s="854">
        <v>333904700000000</v>
      </c>
      <c r="F962" s="855" t="s">
        <v>7376</v>
      </c>
      <c r="G962" s="468">
        <v>1087</v>
      </c>
      <c r="H962" s="468">
        <v>0</v>
      </c>
      <c r="I962" s="751"/>
      <c r="J962" s="878" t="s">
        <v>7372</v>
      </c>
      <c r="K962" s="789">
        <f>'Parâmetros financeiros Despesa'!E448+'Parâmetros financeiros Despesa'!E449</f>
        <v>0</v>
      </c>
      <c r="L962" s="789">
        <f>'Parâmetros financeiros Despesa'!F448+'Parâmetros financeiros Despesa'!F449</f>
        <v>1987.5999961723428</v>
      </c>
      <c r="M962" s="799">
        <f t="shared" si="171"/>
        <v>1.0767002748722017E-3</v>
      </c>
      <c r="N962" s="894"/>
      <c r="P962" s="733"/>
    </row>
    <row r="963" spans="1:16" s="457" customFormat="1" ht="15" customHeight="1" x14ac:dyDescent="0.25">
      <c r="A963" s="396"/>
      <c r="B963" s="1398" t="s">
        <v>7387</v>
      </c>
      <c r="C963" s="1398"/>
      <c r="D963" s="1398"/>
      <c r="E963" s="854">
        <v>344905100000000</v>
      </c>
      <c r="F963" s="855" t="s">
        <v>7377</v>
      </c>
      <c r="G963" s="468">
        <v>1087</v>
      </c>
      <c r="H963" s="468">
        <v>0</v>
      </c>
      <c r="I963" s="751"/>
      <c r="J963" s="878" t="s">
        <v>7372</v>
      </c>
      <c r="K963" s="789">
        <f>'Parâmetros financeiros Despesa'!E450</f>
        <v>0</v>
      </c>
      <c r="L963" s="789">
        <f>'Parâmetros financeiros Despesa'!F450</f>
        <v>19012.400000000001</v>
      </c>
      <c r="M963" s="799">
        <f t="shared" si="171"/>
        <v>1.0299183107970412E-2</v>
      </c>
      <c r="N963" s="895"/>
      <c r="P963" s="734"/>
    </row>
    <row r="964" spans="1:16" s="457" customFormat="1" ht="15" customHeight="1" x14ac:dyDescent="0.25">
      <c r="A964" s="396"/>
      <c r="B964" s="1398" t="s">
        <v>7388</v>
      </c>
      <c r="C964" s="1398"/>
      <c r="D964" s="1398"/>
      <c r="E964" s="854">
        <v>344905200000000</v>
      </c>
      <c r="F964" s="855" t="s">
        <v>7378</v>
      </c>
      <c r="G964" s="468">
        <v>1087</v>
      </c>
      <c r="H964" s="468">
        <v>0</v>
      </c>
      <c r="I964" s="751"/>
      <c r="J964" s="878" t="s">
        <v>7372</v>
      </c>
      <c r="K964" s="789">
        <f>'Parâmetros financeiros Despesa'!E451</f>
        <v>0</v>
      </c>
      <c r="L964" s="789">
        <f>'Parâmetros financeiros Despesa'!F451</f>
        <v>3000</v>
      </c>
      <c r="M964" s="799">
        <f t="shared" si="171"/>
        <v>1.6251261978451554E-3</v>
      </c>
      <c r="N964" s="895"/>
      <c r="P964" s="734"/>
    </row>
    <row r="965" spans="1:16" s="664" customFormat="1" ht="15" customHeight="1" x14ac:dyDescent="0.25">
      <c r="A965" s="397"/>
      <c r="B965" s="1385" t="s">
        <v>7151</v>
      </c>
      <c r="C965" s="1385"/>
      <c r="D965" s="1385"/>
      <c r="E965" s="1385"/>
      <c r="F965" s="1385"/>
      <c r="G965" s="401"/>
      <c r="H965" s="401"/>
      <c r="I965" s="426"/>
      <c r="J965" s="411"/>
      <c r="K965" s="402">
        <f t="shared" ref="K965:L967" si="174">K966</f>
        <v>0</v>
      </c>
      <c r="L965" s="402">
        <f t="shared" si="174"/>
        <v>33279.49</v>
      </c>
      <c r="M965" s="451">
        <f t="shared" si="171"/>
        <v>1.802779034997529E-2</v>
      </c>
      <c r="N965" s="796"/>
      <c r="P965" s="399"/>
    </row>
    <row r="966" spans="1:16" s="664" customFormat="1" ht="15" customHeight="1" x14ac:dyDescent="0.25">
      <c r="A966" s="397"/>
      <c r="B966" s="1386" t="s">
        <v>7326</v>
      </c>
      <c r="C966" s="1386"/>
      <c r="D966" s="1386"/>
      <c r="E966" s="1386"/>
      <c r="F966" s="1386"/>
      <c r="G966" s="403"/>
      <c r="H966" s="403"/>
      <c r="I966" s="427"/>
      <c r="J966" s="412"/>
      <c r="K966" s="404">
        <f t="shared" si="174"/>
        <v>0</v>
      </c>
      <c r="L966" s="404">
        <f t="shared" si="174"/>
        <v>33279.49</v>
      </c>
      <c r="M966" s="452">
        <f t="shared" si="171"/>
        <v>1.802779034997529E-2</v>
      </c>
      <c r="N966" s="796"/>
      <c r="P966" s="399"/>
    </row>
    <row r="967" spans="1:16" s="664" customFormat="1" ht="15" customHeight="1" x14ac:dyDescent="0.25">
      <c r="A967" s="397"/>
      <c r="B967" s="1382" t="s">
        <v>7297</v>
      </c>
      <c r="C967" s="1382"/>
      <c r="D967" s="1382"/>
      <c r="E967" s="1382"/>
      <c r="F967" s="1382"/>
      <c r="G967" s="405"/>
      <c r="H967" s="405"/>
      <c r="I967" s="428"/>
      <c r="J967" s="413"/>
      <c r="K967" s="406">
        <f t="shared" si="174"/>
        <v>0</v>
      </c>
      <c r="L967" s="406">
        <f t="shared" si="174"/>
        <v>33279.49</v>
      </c>
      <c r="M967" s="453">
        <f t="shared" si="171"/>
        <v>1.802779034997529E-2</v>
      </c>
      <c r="N967" s="796"/>
      <c r="P967" s="399"/>
    </row>
    <row r="968" spans="1:16" s="664" customFormat="1" ht="15" customHeight="1" x14ac:dyDescent="0.25">
      <c r="A968" s="397"/>
      <c r="B968" s="1383" t="s">
        <v>7298</v>
      </c>
      <c r="C968" s="1383"/>
      <c r="D968" s="1383"/>
      <c r="E968" s="1383"/>
      <c r="F968" s="1383"/>
      <c r="G968" s="407"/>
      <c r="H968" s="407"/>
      <c r="I968" s="429"/>
      <c r="J968" s="414"/>
      <c r="K968" s="408">
        <f>SUM(K969:K973)</f>
        <v>0</v>
      </c>
      <c r="L968" s="408">
        <f>SUM(L969:L973)</f>
        <v>33279.49</v>
      </c>
      <c r="M968" s="454">
        <f t="shared" si="171"/>
        <v>1.802779034997529E-2</v>
      </c>
      <c r="N968" s="796"/>
      <c r="P968" s="399"/>
    </row>
    <row r="969" spans="1:16" s="115" customFormat="1" ht="15" customHeight="1" x14ac:dyDescent="0.25">
      <c r="A969" s="396"/>
      <c r="B969" s="1398" t="s">
        <v>7389</v>
      </c>
      <c r="C969" s="1398"/>
      <c r="D969" s="1398"/>
      <c r="E969" s="854">
        <v>333903000000000</v>
      </c>
      <c r="F969" s="855" t="s">
        <v>7379</v>
      </c>
      <c r="G969" s="468">
        <v>1</v>
      </c>
      <c r="H969" s="468">
        <v>0</v>
      </c>
      <c r="I969" s="751"/>
      <c r="J969" s="878" t="s">
        <v>7393</v>
      </c>
      <c r="K969" s="789">
        <f>'Parâmetros financeiros Despesa'!E453+'Parâmetros financeiros Despesa'!E454</f>
        <v>0</v>
      </c>
      <c r="L969" s="789">
        <f>'Parâmetros financeiros Despesa'!F453+'Parâmetros financeiros Despesa'!F454</f>
        <v>11279.49</v>
      </c>
      <c r="M969" s="799">
        <f t="shared" si="171"/>
        <v>6.1101982324441506E-3</v>
      </c>
      <c r="N969" s="894"/>
      <c r="O969" s="796"/>
      <c r="P969" s="733"/>
    </row>
    <row r="970" spans="1:16" s="115" customFormat="1" ht="15" customHeight="1" x14ac:dyDescent="0.25">
      <c r="A970" s="396"/>
      <c r="B970" s="1396">
        <v>42100</v>
      </c>
      <c r="C970" s="1396"/>
      <c r="D970" s="1396"/>
      <c r="E970" s="854">
        <v>333903600000000</v>
      </c>
      <c r="F970" s="855" t="s">
        <v>7380</v>
      </c>
      <c r="G970" s="468">
        <v>1</v>
      </c>
      <c r="H970" s="468">
        <v>0</v>
      </c>
      <c r="I970" s="751"/>
      <c r="J970" s="878" t="s">
        <v>7393</v>
      </c>
      <c r="K970" s="789">
        <f>'Parâmetros financeiros Despesa'!E455</f>
        <v>0</v>
      </c>
      <c r="L970" s="789">
        <f>'Parâmetros financeiros Despesa'!F455</f>
        <v>3000</v>
      </c>
      <c r="M970" s="799">
        <f t="shared" si="171"/>
        <v>1.6251261978451554E-3</v>
      </c>
      <c r="N970" s="894"/>
      <c r="O970" s="796"/>
      <c r="P970" s="733"/>
    </row>
    <row r="971" spans="1:16" s="115" customFormat="1" ht="15" customHeight="1" x14ac:dyDescent="0.25">
      <c r="A971" s="396"/>
      <c r="B971" s="1398" t="s">
        <v>7390</v>
      </c>
      <c r="C971" s="1398"/>
      <c r="D971" s="1398"/>
      <c r="E971" s="854">
        <v>333903900000000</v>
      </c>
      <c r="F971" s="855" t="s">
        <v>7381</v>
      </c>
      <c r="G971" s="468">
        <v>1</v>
      </c>
      <c r="H971" s="468">
        <v>0</v>
      </c>
      <c r="I971" s="751"/>
      <c r="J971" s="878" t="s">
        <v>7393</v>
      </c>
      <c r="K971" s="789">
        <f>'Parâmetros financeiros Despesa'!E456+'Parâmetros financeiros Despesa'!E457</f>
        <v>0</v>
      </c>
      <c r="L971" s="789">
        <f>'Parâmetros financeiros Despesa'!F456+'Parâmetros financeiros Despesa'!F457</f>
        <v>17000</v>
      </c>
      <c r="M971" s="799">
        <f t="shared" si="171"/>
        <v>9.2090484544558801E-3</v>
      </c>
      <c r="N971" s="894"/>
      <c r="O971" s="796"/>
      <c r="P971" s="733"/>
    </row>
    <row r="972" spans="1:16" s="115" customFormat="1" ht="15" customHeight="1" x14ac:dyDescent="0.25">
      <c r="A972" s="396"/>
      <c r="B972" s="1398" t="s">
        <v>7391</v>
      </c>
      <c r="C972" s="1398"/>
      <c r="D972" s="1398"/>
      <c r="E972" s="854">
        <v>333904700000000</v>
      </c>
      <c r="F972" s="855" t="s">
        <v>7382</v>
      </c>
      <c r="G972" s="468">
        <v>1</v>
      </c>
      <c r="H972" s="468">
        <v>0</v>
      </c>
      <c r="I972" s="751"/>
      <c r="J972" s="878" t="s">
        <v>7393</v>
      </c>
      <c r="K972" s="789">
        <f>'Parâmetros financeiros Despesa'!E458</f>
        <v>0</v>
      </c>
      <c r="L972" s="789">
        <f>'Parâmetros financeiros Despesa'!F458</f>
        <v>1000</v>
      </c>
      <c r="M972" s="799">
        <f t="shared" si="171"/>
        <v>5.4170873261505175E-4</v>
      </c>
      <c r="N972" s="894"/>
      <c r="O972" s="796"/>
      <c r="P972" s="733"/>
    </row>
    <row r="973" spans="1:16" s="457" customFormat="1" ht="15" customHeight="1" x14ac:dyDescent="0.25">
      <c r="A973" s="396"/>
      <c r="B973" s="1398" t="s">
        <v>7392</v>
      </c>
      <c r="C973" s="1398"/>
      <c r="D973" s="1398"/>
      <c r="E973" s="854">
        <v>344905200000000</v>
      </c>
      <c r="F973" s="855" t="s">
        <v>7383</v>
      </c>
      <c r="G973" s="468">
        <v>1</v>
      </c>
      <c r="H973" s="468">
        <v>0</v>
      </c>
      <c r="I973" s="751"/>
      <c r="J973" s="878" t="s">
        <v>7393</v>
      </c>
      <c r="K973" s="789">
        <f>'Parâmetros financeiros Despesa'!E459</f>
        <v>0</v>
      </c>
      <c r="L973" s="789">
        <f>'Parâmetros financeiros Despesa'!F459</f>
        <v>1000</v>
      </c>
      <c r="M973" s="799">
        <f t="shared" si="171"/>
        <v>5.4170873261505175E-4</v>
      </c>
      <c r="N973" s="894"/>
      <c r="O973" s="796"/>
      <c r="P973" s="734"/>
    </row>
    <row r="974" spans="1:16" s="820" customFormat="1" ht="15" customHeight="1" x14ac:dyDescent="0.25">
      <c r="B974" s="864" t="s">
        <v>22</v>
      </c>
      <c r="C974" s="864"/>
      <c r="D974" s="864"/>
      <c r="E974" s="864"/>
      <c r="F974" s="864"/>
      <c r="G974" s="864"/>
      <c r="H974" s="864"/>
      <c r="I974" s="864"/>
      <c r="J974" s="864"/>
      <c r="K974" s="863">
        <f>K966+K956+K946+K936+K926+K917+K907+K897+K888+K883+K873+K861+K851+K841+K831+K826+K817+K797+K682+K673+K658+K625-0.01</f>
        <v>1197557.2517125001</v>
      </c>
      <c r="L974" s="863">
        <f>L966+L956+L946+L936+L926+L917+L907+L897+L888+L883+L873+L861+L851+L841+L831+L826+L817+L797+L682+L673+L658+L625-0.01</f>
        <v>1846010.4845875143</v>
      </c>
      <c r="M974" s="452">
        <f>L974/L$979</f>
        <v>1</v>
      </c>
      <c r="N974" s="796"/>
      <c r="P974" s="399"/>
    </row>
    <row r="975" spans="1:16" s="820" customFormat="1" ht="15" customHeight="1" x14ac:dyDescent="0.25">
      <c r="B975" s="864" t="s">
        <v>11469</v>
      </c>
      <c r="C975" s="864"/>
      <c r="D975" s="864"/>
      <c r="E975" s="864"/>
      <c r="F975" s="864"/>
      <c r="G975" s="864"/>
      <c r="H975" s="864"/>
      <c r="I975" s="864"/>
      <c r="J975" s="864"/>
      <c r="K975" s="863"/>
      <c r="L975" s="863"/>
      <c r="M975" s="452"/>
      <c r="N975" s="796"/>
      <c r="P975" s="399"/>
    </row>
    <row r="976" spans="1:16" s="31" customFormat="1" ht="15" customHeight="1" x14ac:dyDescent="0.25">
      <c r="B976" s="869" t="s">
        <v>745</v>
      </c>
      <c r="C976" s="869"/>
      <c r="D976" s="869"/>
      <c r="E976" s="869"/>
      <c r="F976" s="869"/>
      <c r="G976" s="869"/>
      <c r="H976" s="869"/>
      <c r="I976" s="869"/>
      <c r="J976" s="869"/>
      <c r="K976" s="870">
        <f>K974</f>
        <v>1197557.2517125001</v>
      </c>
      <c r="L976" s="870">
        <f>L974-L978-L977</f>
        <v>1720256.9345875143</v>
      </c>
      <c r="M976" s="871">
        <f t="shared" ref="M976:M977" si="175">L976/L$979</f>
        <v>0.9318782038076564</v>
      </c>
      <c r="N976" s="897"/>
      <c r="P976" s="736"/>
    </row>
    <row r="977" spans="1:16" s="31" customFormat="1" ht="15" customHeight="1" x14ac:dyDescent="0.25">
      <c r="B977" s="869" t="s">
        <v>789</v>
      </c>
      <c r="C977" s="869"/>
      <c r="D977" s="869"/>
      <c r="E977" s="869"/>
      <c r="F977" s="869"/>
      <c r="G977" s="869"/>
      <c r="H977" s="869"/>
      <c r="I977" s="869"/>
      <c r="J977" s="869"/>
      <c r="K977" s="870">
        <v>0</v>
      </c>
      <c r="L977" s="870">
        <v>25094.18</v>
      </c>
      <c r="M977" s="871">
        <f t="shared" si="175"/>
        <v>1.3593736443813981E-2</v>
      </c>
      <c r="N977" s="897"/>
      <c r="P977" s="736"/>
    </row>
    <row r="978" spans="1:16" s="31" customFormat="1" ht="15" customHeight="1" x14ac:dyDescent="0.25">
      <c r="B978" s="869" t="s">
        <v>828</v>
      </c>
      <c r="C978" s="869"/>
      <c r="D978" s="869"/>
      <c r="E978" s="869"/>
      <c r="F978" s="869"/>
      <c r="G978" s="869"/>
      <c r="H978" s="869"/>
      <c r="I978" s="869"/>
      <c r="J978" s="869"/>
      <c r="K978" s="870">
        <v>0</v>
      </c>
      <c r="L978" s="870">
        <v>100659.37</v>
      </c>
      <c r="M978" s="871">
        <f>L978/L$979</f>
        <v>5.4528059748529562E-2</v>
      </c>
      <c r="N978" s="897"/>
      <c r="P978" s="736"/>
    </row>
    <row r="979" spans="1:16" s="115" customFormat="1" ht="15" customHeight="1" x14ac:dyDescent="0.25">
      <c r="B979" s="864" t="s">
        <v>2172</v>
      </c>
      <c r="C979" s="864"/>
      <c r="D979" s="864"/>
      <c r="E979" s="864"/>
      <c r="F979" s="864"/>
      <c r="G979" s="864"/>
      <c r="H979" s="864"/>
      <c r="I979" s="864"/>
      <c r="J979" s="864"/>
      <c r="K979" s="863">
        <f>SUM(K976:K978)</f>
        <v>1197557.2517125001</v>
      </c>
      <c r="L979" s="863">
        <f>SUM(L976:L978)</f>
        <v>1846010.4845875143</v>
      </c>
      <c r="M979" s="452">
        <f>L979/L$979</f>
        <v>1</v>
      </c>
      <c r="O979" s="796"/>
      <c r="P979" s="733"/>
    </row>
    <row r="980" spans="1:16" s="785" customFormat="1" ht="15" customHeight="1" x14ac:dyDescent="0.25">
      <c r="B980" s="997"/>
      <c r="C980" s="997"/>
      <c r="D980" s="997"/>
      <c r="E980" s="997"/>
      <c r="F980" s="997"/>
      <c r="G980" s="997"/>
      <c r="H980" s="997"/>
      <c r="I980" s="997"/>
      <c r="J980" s="997"/>
      <c r="K980" s="867"/>
      <c r="L980" s="883"/>
      <c r="M980" s="792"/>
      <c r="N980" s="796"/>
      <c r="P980" s="399"/>
    </row>
    <row r="981" spans="1:16" s="435" customFormat="1" ht="15" customHeight="1" x14ac:dyDescent="0.25">
      <c r="B981" s="667" t="s">
        <v>989</v>
      </c>
      <c r="C981" s="667"/>
      <c r="D981" s="481"/>
      <c r="E981" s="1371" t="s">
        <v>6887</v>
      </c>
      <c r="F981" s="1371"/>
      <c r="G981" s="1371"/>
      <c r="H981" s="1371"/>
      <c r="I981" s="1371"/>
      <c r="J981" s="437"/>
      <c r="K981" s="940"/>
      <c r="L981" s="438"/>
      <c r="M981" s="449"/>
      <c r="N981" s="892"/>
      <c r="P981" s="732"/>
    </row>
    <row r="982" spans="1:16" s="435" customFormat="1" ht="15" customHeight="1" x14ac:dyDescent="0.25">
      <c r="B982" s="667" t="s">
        <v>458</v>
      </c>
      <c r="C982" s="667"/>
      <c r="D982" s="481"/>
      <c r="E982" s="1371" t="s">
        <v>7409</v>
      </c>
      <c r="F982" s="1371"/>
      <c r="G982" s="1371"/>
      <c r="H982" s="1371"/>
      <c r="I982" s="1371"/>
      <c r="J982" s="437"/>
      <c r="K982" s="940"/>
      <c r="L982" s="438"/>
      <c r="M982" s="449"/>
      <c r="N982" s="892"/>
      <c r="P982" s="732"/>
    </row>
    <row r="983" spans="1:16" s="435" customFormat="1" ht="15" customHeight="1" x14ac:dyDescent="0.25">
      <c r="B983" s="850" t="s">
        <v>5764</v>
      </c>
      <c r="C983" s="850"/>
      <c r="D983" s="850"/>
      <c r="E983" s="1371" t="s">
        <v>749</v>
      </c>
      <c r="F983" s="1371"/>
      <c r="G983" s="1371"/>
      <c r="H983" s="1371"/>
      <c r="I983" s="1371"/>
      <c r="J983" s="440"/>
      <c r="K983" s="941"/>
      <c r="L983" s="438"/>
      <c r="M983" s="449"/>
      <c r="N983" s="892"/>
      <c r="P983" s="732"/>
    </row>
    <row r="984" spans="1:16" s="851" customFormat="1" ht="113.25" customHeight="1" x14ac:dyDescent="0.25">
      <c r="A984" s="396"/>
      <c r="B984" s="1400" t="s">
        <v>2296</v>
      </c>
      <c r="C984" s="1400"/>
      <c r="D984" s="1400"/>
      <c r="E984" s="1384" t="s">
        <v>2297</v>
      </c>
      <c r="F984" s="1384"/>
      <c r="G984" s="443" t="s">
        <v>444</v>
      </c>
      <c r="H984" s="443" t="s">
        <v>2245</v>
      </c>
      <c r="I984" s="444" t="s">
        <v>5725</v>
      </c>
      <c r="J984" s="849" t="s">
        <v>2275</v>
      </c>
      <c r="K984" s="893" t="s">
        <v>11644</v>
      </c>
      <c r="L984" s="945" t="s">
        <v>11522</v>
      </c>
      <c r="M984" s="450" t="s">
        <v>235</v>
      </c>
      <c r="N984" s="796"/>
      <c r="P984" s="399"/>
    </row>
    <row r="985" spans="1:16" s="115" customFormat="1" ht="15" customHeight="1" x14ac:dyDescent="0.25">
      <c r="A985" s="396"/>
      <c r="B985" s="1385" t="s">
        <v>5951</v>
      </c>
      <c r="C985" s="1385"/>
      <c r="D985" s="1385"/>
      <c r="E985" s="1385"/>
      <c r="F985" s="1385"/>
      <c r="G985" s="401"/>
      <c r="H985" s="401"/>
      <c r="I985" s="426"/>
      <c r="J985" s="411"/>
      <c r="K985" s="402">
        <f t="shared" ref="K985:L987" si="176">K986</f>
        <v>2175</v>
      </c>
      <c r="L985" s="402">
        <f t="shared" si="176"/>
        <v>10140.08295</v>
      </c>
      <c r="M985" s="451">
        <f t="shared" ref="M985:M990" si="177">L985/L$1180</f>
        <v>2.7165770271657234E-2</v>
      </c>
      <c r="N985" s="894"/>
      <c r="P985" s="733"/>
    </row>
    <row r="986" spans="1:16" s="668" customFormat="1" ht="15" customHeight="1" x14ac:dyDescent="0.25">
      <c r="A986" s="396"/>
      <c r="B986" s="1386" t="s">
        <v>5950</v>
      </c>
      <c r="C986" s="1386"/>
      <c r="D986" s="1386"/>
      <c r="E986" s="1386"/>
      <c r="F986" s="1386"/>
      <c r="G986" s="403"/>
      <c r="H986" s="403"/>
      <c r="I986" s="427"/>
      <c r="J986" s="412"/>
      <c r="K986" s="404">
        <f t="shared" si="176"/>
        <v>2175</v>
      </c>
      <c r="L986" s="404">
        <f t="shared" si="176"/>
        <v>10140.08295</v>
      </c>
      <c r="M986" s="452">
        <f t="shared" si="177"/>
        <v>2.7165770271657234E-2</v>
      </c>
      <c r="N986" s="796"/>
      <c r="P986" s="399"/>
    </row>
    <row r="987" spans="1:16" s="668" customFormat="1" ht="15" customHeight="1" x14ac:dyDescent="0.25">
      <c r="A987" s="396"/>
      <c r="B987" s="1382" t="s">
        <v>7283</v>
      </c>
      <c r="C987" s="1382"/>
      <c r="D987" s="1382"/>
      <c r="E987" s="1382"/>
      <c r="F987" s="1382"/>
      <c r="G987" s="405"/>
      <c r="H987" s="405"/>
      <c r="I987" s="428"/>
      <c r="J987" s="413"/>
      <c r="K987" s="406">
        <f t="shared" si="176"/>
        <v>2175</v>
      </c>
      <c r="L987" s="406">
        <f t="shared" si="176"/>
        <v>10140.08295</v>
      </c>
      <c r="M987" s="453">
        <f t="shared" si="177"/>
        <v>2.7165770271657234E-2</v>
      </c>
      <c r="N987" s="796"/>
      <c r="P987" s="399"/>
    </row>
    <row r="988" spans="1:16" s="668" customFormat="1" ht="15" customHeight="1" x14ac:dyDescent="0.25">
      <c r="A988" s="396"/>
      <c r="B988" s="1383" t="s">
        <v>2290</v>
      </c>
      <c r="C988" s="1383"/>
      <c r="D988" s="1383"/>
      <c r="E988" s="1383"/>
      <c r="F988" s="1383"/>
      <c r="G988" s="407"/>
      <c r="H988" s="407"/>
      <c r="I988" s="429"/>
      <c r="J988" s="414"/>
      <c r="K988" s="408">
        <f>K989+K998+K1003+K1008+K1013</f>
        <v>2175</v>
      </c>
      <c r="L988" s="408">
        <f>L989+L998+L1003+L1008+L1013</f>
        <v>10140.08295</v>
      </c>
      <c r="M988" s="454">
        <f t="shared" si="177"/>
        <v>2.7165770271657234E-2</v>
      </c>
      <c r="N988" s="796"/>
      <c r="P988" s="399"/>
    </row>
    <row r="989" spans="1:16" s="668" customFormat="1" ht="15" customHeight="1" x14ac:dyDescent="0.25">
      <c r="A989" s="396"/>
      <c r="B989" s="1396">
        <v>43000</v>
      </c>
      <c r="C989" s="1396"/>
      <c r="D989" s="1396"/>
      <c r="E989" s="417">
        <v>333904700000000</v>
      </c>
      <c r="F989" s="600" t="s">
        <v>7089</v>
      </c>
      <c r="G989" s="468"/>
      <c r="H989" s="468"/>
      <c r="I989" s="751"/>
      <c r="J989" s="878" t="s">
        <v>7410</v>
      </c>
      <c r="K989" s="789">
        <f>'Parâmetros financeiros Despesa'!E472</f>
        <v>0</v>
      </c>
      <c r="L989" s="789">
        <f>((('Parâmetros financeiros Despesa'!F466+'Parâmetros financeiros Despesa'!F467+'Parâmetros financeiros Despesa'!F469))*((1+'Parâmetros financeiros Despesa'!F$4)*(1+'Parâmetros financeiros Despesa'!F$7))*(1+'Parâmetros financeiros Despesa'!F$83))</f>
        <v>1962.5967000000001</v>
      </c>
      <c r="M989" s="799">
        <f t="shared" si="177"/>
        <v>5.2578910203207553E-3</v>
      </c>
      <c r="N989" s="894"/>
      <c r="O989" s="796"/>
      <c r="P989" s="399"/>
    </row>
    <row r="990" spans="1:16" s="668" customFormat="1" ht="15" customHeight="1" x14ac:dyDescent="0.25">
      <c r="A990" s="397"/>
      <c r="B990" s="478">
        <f>B989+1</f>
        <v>43001</v>
      </c>
      <c r="C990" s="600" t="s">
        <v>6062</v>
      </c>
      <c r="D990" s="528">
        <f>B989</f>
        <v>43000</v>
      </c>
      <c r="E990" s="417">
        <v>333904718000000</v>
      </c>
      <c r="F990" s="418" t="s">
        <v>7090</v>
      </c>
      <c r="G990" s="603">
        <v>1</v>
      </c>
      <c r="H990" s="603">
        <v>0</v>
      </c>
      <c r="I990" s="601">
        <v>17</v>
      </c>
      <c r="J990" s="602"/>
      <c r="K990" s="891">
        <v>0</v>
      </c>
      <c r="L990" s="891">
        <v>0</v>
      </c>
      <c r="M990" s="996">
        <f t="shared" si="177"/>
        <v>0</v>
      </c>
      <c r="N990" s="796"/>
      <c r="P990" s="399"/>
    </row>
    <row r="991" spans="1:16" s="668" customFormat="1" ht="15" customHeight="1" x14ac:dyDescent="0.25">
      <c r="A991" s="397"/>
      <c r="B991" s="478">
        <f>B990+1</f>
        <v>43002</v>
      </c>
      <c r="C991" s="600" t="s">
        <v>6062</v>
      </c>
      <c r="D991" s="528">
        <f>D990</f>
        <v>43000</v>
      </c>
      <c r="E991" s="417">
        <v>333904718000000</v>
      </c>
      <c r="F991" s="418" t="s">
        <v>7411</v>
      </c>
      <c r="G991" s="603">
        <v>1</v>
      </c>
      <c r="H991" s="603">
        <v>0</v>
      </c>
      <c r="I991" s="601">
        <v>97</v>
      </c>
      <c r="J991" s="602"/>
      <c r="K991" s="891">
        <v>0</v>
      </c>
      <c r="L991" s="891">
        <v>0</v>
      </c>
      <c r="M991" s="996">
        <f t="shared" ref="M991:M997" si="178">L991/L$1180</f>
        <v>0</v>
      </c>
      <c r="N991" s="796"/>
      <c r="P991" s="399"/>
    </row>
    <row r="992" spans="1:16" s="668" customFormat="1" ht="15" customHeight="1" x14ac:dyDescent="0.25">
      <c r="A992" s="397"/>
      <c r="B992" s="478">
        <f t="shared" ref="B992:B997" si="179">B991+1</f>
        <v>43003</v>
      </c>
      <c r="C992" s="600" t="s">
        <v>6062</v>
      </c>
      <c r="D992" s="528">
        <f t="shared" ref="D992:D997" si="180">D991</f>
        <v>43000</v>
      </c>
      <c r="E992" s="417">
        <v>333904718000000</v>
      </c>
      <c r="F992" s="418" t="s">
        <v>7092</v>
      </c>
      <c r="G992" s="603">
        <v>1</v>
      </c>
      <c r="H992" s="603">
        <v>0</v>
      </c>
      <c r="I992" s="601">
        <v>1335</v>
      </c>
      <c r="J992" s="602"/>
      <c r="K992" s="891">
        <v>0</v>
      </c>
      <c r="L992" s="891">
        <v>0</v>
      </c>
      <c r="M992" s="996">
        <f t="shared" si="178"/>
        <v>0</v>
      </c>
      <c r="N992" s="796"/>
      <c r="P992" s="399"/>
    </row>
    <row r="993" spans="1:16" s="668" customFormat="1" ht="15" customHeight="1" x14ac:dyDescent="0.25">
      <c r="A993" s="397"/>
      <c r="B993" s="478">
        <f t="shared" si="179"/>
        <v>43004</v>
      </c>
      <c r="C993" s="600" t="s">
        <v>6062</v>
      </c>
      <c r="D993" s="528">
        <f t="shared" si="180"/>
        <v>43000</v>
      </c>
      <c r="E993" s="417">
        <v>333904718000000</v>
      </c>
      <c r="F993" s="418" t="s">
        <v>7093</v>
      </c>
      <c r="G993" s="603">
        <v>1</v>
      </c>
      <c r="H993" s="603">
        <v>0</v>
      </c>
      <c r="I993" s="601">
        <v>1393</v>
      </c>
      <c r="J993" s="602"/>
      <c r="K993" s="891">
        <v>0</v>
      </c>
      <c r="L993" s="891">
        <v>0</v>
      </c>
      <c r="M993" s="996">
        <f t="shared" si="178"/>
        <v>0</v>
      </c>
      <c r="N993" s="796"/>
      <c r="P993" s="399"/>
    </row>
    <row r="994" spans="1:16" s="668" customFormat="1" ht="15" customHeight="1" x14ac:dyDescent="0.25">
      <c r="A994" s="397"/>
      <c r="B994" s="478">
        <f t="shared" si="179"/>
        <v>43005</v>
      </c>
      <c r="C994" s="600" t="s">
        <v>6062</v>
      </c>
      <c r="D994" s="528">
        <f t="shared" si="180"/>
        <v>43000</v>
      </c>
      <c r="E994" s="417">
        <v>333904720000000</v>
      </c>
      <c r="F994" s="418" t="s">
        <v>7094</v>
      </c>
      <c r="G994" s="603">
        <v>1</v>
      </c>
      <c r="H994" s="603">
        <v>0</v>
      </c>
      <c r="I994" s="601">
        <v>17</v>
      </c>
      <c r="J994" s="602"/>
      <c r="K994" s="891">
        <v>0</v>
      </c>
      <c r="L994" s="891">
        <v>0</v>
      </c>
      <c r="M994" s="996">
        <f t="shared" si="178"/>
        <v>0</v>
      </c>
      <c r="N994" s="796"/>
      <c r="P994" s="399"/>
    </row>
    <row r="995" spans="1:16" s="668" customFormat="1" ht="15" customHeight="1" x14ac:dyDescent="0.25">
      <c r="A995" s="397"/>
      <c r="B995" s="478">
        <f t="shared" si="179"/>
        <v>43006</v>
      </c>
      <c r="C995" s="600" t="s">
        <v>6062</v>
      </c>
      <c r="D995" s="528">
        <f t="shared" si="180"/>
        <v>43000</v>
      </c>
      <c r="E995" s="417">
        <v>333904720000000</v>
      </c>
      <c r="F995" s="418" t="s">
        <v>7095</v>
      </c>
      <c r="G995" s="603">
        <v>1</v>
      </c>
      <c r="H995" s="603">
        <v>0</v>
      </c>
      <c r="I995" s="601">
        <v>97</v>
      </c>
      <c r="J995" s="602"/>
      <c r="K995" s="891">
        <v>0</v>
      </c>
      <c r="L995" s="891">
        <v>0</v>
      </c>
      <c r="M995" s="996">
        <f t="shared" si="178"/>
        <v>0</v>
      </c>
      <c r="N995" s="796"/>
      <c r="P995" s="399"/>
    </row>
    <row r="996" spans="1:16" s="668" customFormat="1" ht="15" customHeight="1" x14ac:dyDescent="0.25">
      <c r="A996" s="397"/>
      <c r="B996" s="478">
        <f t="shared" si="179"/>
        <v>43007</v>
      </c>
      <c r="C996" s="600" t="s">
        <v>6062</v>
      </c>
      <c r="D996" s="528">
        <f t="shared" si="180"/>
        <v>43000</v>
      </c>
      <c r="E996" s="417">
        <v>333904720000000</v>
      </c>
      <c r="F996" s="418" t="s">
        <v>7096</v>
      </c>
      <c r="G996" s="603">
        <v>1</v>
      </c>
      <c r="H996" s="603">
        <v>0</v>
      </c>
      <c r="I996" s="601">
        <v>1335</v>
      </c>
      <c r="J996" s="602"/>
      <c r="K996" s="891">
        <v>0</v>
      </c>
      <c r="L996" s="891">
        <v>0</v>
      </c>
      <c r="M996" s="996">
        <f t="shared" si="178"/>
        <v>0</v>
      </c>
      <c r="N996" s="796"/>
      <c r="P996" s="399"/>
    </row>
    <row r="997" spans="1:16" s="668" customFormat="1" ht="15" customHeight="1" x14ac:dyDescent="0.25">
      <c r="A997" s="397"/>
      <c r="B997" s="478">
        <f t="shared" si="179"/>
        <v>43008</v>
      </c>
      <c r="C997" s="600" t="s">
        <v>6062</v>
      </c>
      <c r="D997" s="528">
        <f t="shared" si="180"/>
        <v>43000</v>
      </c>
      <c r="E997" s="417">
        <v>333904720000000</v>
      </c>
      <c r="F997" s="418" t="s">
        <v>7097</v>
      </c>
      <c r="G997" s="603">
        <v>1</v>
      </c>
      <c r="H997" s="603">
        <v>0</v>
      </c>
      <c r="I997" s="601">
        <v>1393</v>
      </c>
      <c r="J997" s="602"/>
      <c r="K997" s="891">
        <v>0</v>
      </c>
      <c r="L997" s="891">
        <v>0</v>
      </c>
      <c r="M997" s="996">
        <f t="shared" si="178"/>
        <v>0</v>
      </c>
      <c r="N997" s="796"/>
      <c r="P997" s="399"/>
    </row>
    <row r="998" spans="1:16" s="115" customFormat="1" ht="15" customHeight="1" x14ac:dyDescent="0.25">
      <c r="A998" s="396"/>
      <c r="B998" s="1396">
        <v>43100</v>
      </c>
      <c r="C998" s="1396"/>
      <c r="D998" s="1396"/>
      <c r="E998" s="854">
        <v>344903000000000</v>
      </c>
      <c r="F998" s="855" t="s">
        <v>7156</v>
      </c>
      <c r="G998" s="468">
        <v>1</v>
      </c>
      <c r="H998" s="468">
        <v>0</v>
      </c>
      <c r="I998" s="751"/>
      <c r="J998" s="878" t="s">
        <v>7410</v>
      </c>
      <c r="K998" s="789">
        <f>('Parâmetros financeiros Despesa'!E465+'Parâmetros financeiros Despesa'!E466)</f>
        <v>0</v>
      </c>
      <c r="L998" s="789">
        <f>('Parâmetros financeiros Despesa'!F465+'Parâmetros financeiros Despesa'!F466)*((1+'Parâmetros financeiros Despesa'!F$4)*(1+'Parâmetros financeiros Despesa'!F$7))</f>
        <v>1090.3315</v>
      </c>
      <c r="M998" s="799">
        <f>L998/L$1180</f>
        <v>2.9210505668448637E-3</v>
      </c>
      <c r="N998" s="894"/>
      <c r="O998" s="796"/>
      <c r="P998" s="733"/>
    </row>
    <row r="999" spans="1:16" s="115" customFormat="1" ht="15" customHeight="1" x14ac:dyDescent="0.25">
      <c r="A999" s="396"/>
      <c r="B999" s="599">
        <f>B998+1</f>
        <v>43101</v>
      </c>
      <c r="C999" s="600" t="s">
        <v>6062</v>
      </c>
      <c r="D999" s="528">
        <f>B998</f>
        <v>43100</v>
      </c>
      <c r="E999" s="417">
        <v>344903099050000</v>
      </c>
      <c r="F999" s="418" t="s">
        <v>7098</v>
      </c>
      <c r="G999" s="603">
        <v>1</v>
      </c>
      <c r="H999" s="603">
        <v>0</v>
      </c>
      <c r="I999" s="601">
        <v>17</v>
      </c>
      <c r="J999" s="602"/>
      <c r="K999" s="891">
        <v>0</v>
      </c>
      <c r="L999" s="891">
        <v>0</v>
      </c>
      <c r="M999" s="996">
        <f>L999/L$1180</f>
        <v>0</v>
      </c>
      <c r="N999" s="894"/>
      <c r="P999" s="733"/>
    </row>
    <row r="1000" spans="1:16" s="115" customFormat="1" ht="15" customHeight="1" x14ac:dyDescent="0.25">
      <c r="A1000" s="396"/>
      <c r="B1000" s="478">
        <f>B999+1</f>
        <v>43102</v>
      </c>
      <c r="C1000" s="600" t="s">
        <v>6062</v>
      </c>
      <c r="D1000" s="528">
        <f>D999</f>
        <v>43100</v>
      </c>
      <c r="E1000" s="417">
        <v>344903099050000</v>
      </c>
      <c r="F1000" s="418" t="s">
        <v>7099</v>
      </c>
      <c r="G1000" s="603">
        <v>1</v>
      </c>
      <c r="H1000" s="603">
        <v>0</v>
      </c>
      <c r="I1000" s="601">
        <v>97</v>
      </c>
      <c r="J1000" s="602"/>
      <c r="K1000" s="891">
        <v>0</v>
      </c>
      <c r="L1000" s="891">
        <v>0</v>
      </c>
      <c r="M1000" s="996">
        <f t="shared" ref="M1000:M1002" si="181">L1000/L$1180</f>
        <v>0</v>
      </c>
      <c r="N1000" s="894"/>
      <c r="P1000" s="733"/>
    </row>
    <row r="1001" spans="1:16" s="115" customFormat="1" ht="15" customHeight="1" x14ac:dyDescent="0.25">
      <c r="A1001" s="396"/>
      <c r="B1001" s="478">
        <f>B1000+1</f>
        <v>43103</v>
      </c>
      <c r="C1001" s="600" t="s">
        <v>6062</v>
      </c>
      <c r="D1001" s="528">
        <f>D1000</f>
        <v>43100</v>
      </c>
      <c r="E1001" s="417">
        <v>344903099050000</v>
      </c>
      <c r="F1001" s="418" t="s">
        <v>7100</v>
      </c>
      <c r="G1001" s="603">
        <v>1</v>
      </c>
      <c r="H1001" s="603">
        <v>0</v>
      </c>
      <c r="I1001" s="601">
        <v>1335</v>
      </c>
      <c r="J1001" s="602"/>
      <c r="K1001" s="891">
        <v>0</v>
      </c>
      <c r="L1001" s="891">
        <v>0</v>
      </c>
      <c r="M1001" s="996">
        <f t="shared" si="181"/>
        <v>0</v>
      </c>
      <c r="N1001" s="894"/>
      <c r="P1001" s="733"/>
    </row>
    <row r="1002" spans="1:16" s="115" customFormat="1" ht="15" customHeight="1" x14ac:dyDescent="0.25">
      <c r="A1002" s="396"/>
      <c r="B1002" s="478">
        <f>B1001+1</f>
        <v>43104</v>
      </c>
      <c r="C1002" s="600" t="s">
        <v>6062</v>
      </c>
      <c r="D1002" s="528">
        <f>D1001</f>
        <v>43100</v>
      </c>
      <c r="E1002" s="417">
        <v>344903099050000</v>
      </c>
      <c r="F1002" s="418" t="s">
        <v>7101</v>
      </c>
      <c r="G1002" s="603">
        <v>1</v>
      </c>
      <c r="H1002" s="603">
        <v>0</v>
      </c>
      <c r="I1002" s="601">
        <v>1393</v>
      </c>
      <c r="J1002" s="602"/>
      <c r="K1002" s="891">
        <v>0</v>
      </c>
      <c r="L1002" s="891">
        <v>0</v>
      </c>
      <c r="M1002" s="996">
        <f t="shared" si="181"/>
        <v>0</v>
      </c>
      <c r="N1002" s="894"/>
      <c r="P1002" s="733"/>
    </row>
    <row r="1003" spans="1:16" s="457" customFormat="1" ht="15" customHeight="1" x14ac:dyDescent="0.25">
      <c r="A1003" s="396"/>
      <c r="B1003" s="1398" t="s">
        <v>7412</v>
      </c>
      <c r="C1003" s="1398"/>
      <c r="D1003" s="1398"/>
      <c r="E1003" s="854">
        <v>344903600000000</v>
      </c>
      <c r="F1003" s="855" t="s">
        <v>7158</v>
      </c>
      <c r="G1003" s="468">
        <v>1</v>
      </c>
      <c r="H1003" s="468">
        <v>0</v>
      </c>
      <c r="I1003" s="751"/>
      <c r="J1003" s="878" t="s">
        <v>7410</v>
      </c>
      <c r="K1003" s="789">
        <f>('Parâmetros financeiros Despesa'!E467)</f>
        <v>0</v>
      </c>
      <c r="L1003" s="789">
        <f>('Parâmetros financeiros Despesa'!F467)*((1+'Parâmetros financeiros Despesa'!F$4)*(1+'Parâmetros financeiros Despesa'!F$7))</f>
        <v>545.16575</v>
      </c>
      <c r="M1003" s="799">
        <f>L1003/L$1180</f>
        <v>1.4605252834224319E-3</v>
      </c>
      <c r="N1003" s="894"/>
      <c r="O1003" s="796"/>
      <c r="P1003" s="734"/>
    </row>
    <row r="1004" spans="1:16" s="457" customFormat="1" ht="15" customHeight="1" x14ac:dyDescent="0.25">
      <c r="A1004" s="396"/>
      <c r="B1004" s="599">
        <f>B1003+1</f>
        <v>43201</v>
      </c>
      <c r="C1004" s="600" t="s">
        <v>6062</v>
      </c>
      <c r="D1004" s="600" t="str">
        <f>B1003</f>
        <v>43200</v>
      </c>
      <c r="E1004" s="417">
        <v>344903699010000</v>
      </c>
      <c r="F1004" s="418" t="s">
        <v>7098</v>
      </c>
      <c r="G1004" s="603">
        <v>1</v>
      </c>
      <c r="H1004" s="603">
        <v>0</v>
      </c>
      <c r="I1004" s="601">
        <v>17</v>
      </c>
      <c r="J1004" s="602"/>
      <c r="K1004" s="891">
        <v>0</v>
      </c>
      <c r="L1004" s="891">
        <v>0</v>
      </c>
      <c r="M1004" s="996">
        <f>L1004/L$1180</f>
        <v>0</v>
      </c>
      <c r="N1004" s="895"/>
      <c r="P1004" s="734"/>
    </row>
    <row r="1005" spans="1:16" s="457" customFormat="1" ht="15" customHeight="1" x14ac:dyDescent="0.25">
      <c r="A1005" s="396"/>
      <c r="B1005" s="478">
        <f>B1004+1</f>
        <v>43202</v>
      </c>
      <c r="C1005" s="600" t="s">
        <v>6062</v>
      </c>
      <c r="D1005" s="528" t="str">
        <f>D1004</f>
        <v>43200</v>
      </c>
      <c r="E1005" s="417">
        <v>344903699010000</v>
      </c>
      <c r="F1005" s="418" t="s">
        <v>7099</v>
      </c>
      <c r="G1005" s="603">
        <v>1</v>
      </c>
      <c r="H1005" s="603">
        <v>0</v>
      </c>
      <c r="I1005" s="601">
        <v>97</v>
      </c>
      <c r="J1005" s="602"/>
      <c r="K1005" s="891">
        <v>0</v>
      </c>
      <c r="L1005" s="891">
        <v>0</v>
      </c>
      <c r="M1005" s="996">
        <f t="shared" ref="M1005:M1007" si="182">L1005/L$1180</f>
        <v>0</v>
      </c>
      <c r="N1005" s="895"/>
      <c r="P1005" s="734"/>
    </row>
    <row r="1006" spans="1:16" s="457" customFormat="1" ht="15" customHeight="1" x14ac:dyDescent="0.25">
      <c r="A1006" s="396"/>
      <c r="B1006" s="478">
        <f>B1005+1</f>
        <v>43203</v>
      </c>
      <c r="C1006" s="600" t="s">
        <v>6062</v>
      </c>
      <c r="D1006" s="528" t="str">
        <f>D1005</f>
        <v>43200</v>
      </c>
      <c r="E1006" s="417">
        <v>344903699010000</v>
      </c>
      <c r="F1006" s="418" t="s">
        <v>7100</v>
      </c>
      <c r="G1006" s="603">
        <v>1</v>
      </c>
      <c r="H1006" s="603">
        <v>0</v>
      </c>
      <c r="I1006" s="601">
        <v>1393</v>
      </c>
      <c r="J1006" s="602"/>
      <c r="K1006" s="891">
        <v>0</v>
      </c>
      <c r="L1006" s="891">
        <v>0</v>
      </c>
      <c r="M1006" s="996">
        <f t="shared" si="182"/>
        <v>0</v>
      </c>
      <c r="N1006" s="895"/>
      <c r="P1006" s="734"/>
    </row>
    <row r="1007" spans="1:16" s="458" customFormat="1" ht="15" customHeight="1" x14ac:dyDescent="0.25">
      <c r="A1007" s="397"/>
      <c r="B1007" s="478">
        <f>B1006+1</f>
        <v>43204</v>
      </c>
      <c r="C1007" s="600" t="s">
        <v>6062</v>
      </c>
      <c r="D1007" s="528" t="str">
        <f>D1006</f>
        <v>43200</v>
      </c>
      <c r="E1007" s="417">
        <v>344903699010000</v>
      </c>
      <c r="F1007" s="418" t="s">
        <v>7101</v>
      </c>
      <c r="G1007" s="603">
        <v>1</v>
      </c>
      <c r="H1007" s="603">
        <v>0</v>
      </c>
      <c r="I1007" s="601">
        <v>97</v>
      </c>
      <c r="J1007" s="602"/>
      <c r="K1007" s="891">
        <v>0</v>
      </c>
      <c r="L1007" s="891">
        <v>0</v>
      </c>
      <c r="M1007" s="996">
        <f t="shared" si="182"/>
        <v>0</v>
      </c>
      <c r="N1007" s="896"/>
      <c r="P1007" s="735"/>
    </row>
    <row r="1008" spans="1:16" s="457" customFormat="1" ht="15" customHeight="1" x14ac:dyDescent="0.25">
      <c r="A1008" s="396"/>
      <c r="B1008" s="1398" t="s">
        <v>7413</v>
      </c>
      <c r="C1008" s="1398"/>
      <c r="D1008" s="1398"/>
      <c r="E1008" s="854">
        <v>344903900000000</v>
      </c>
      <c r="F1008" s="855" t="s">
        <v>7159</v>
      </c>
      <c r="G1008" s="468">
        <v>1</v>
      </c>
      <c r="H1008" s="468">
        <v>0</v>
      </c>
      <c r="I1008" s="751"/>
      <c r="J1008" s="878" t="s">
        <v>7410</v>
      </c>
      <c r="K1008" s="789">
        <f>('Parâmetros financeiros Despesa'!E468+'Parâmetros financeiros Despesa'!E469)</f>
        <v>375</v>
      </c>
      <c r="L1008" s="789">
        <f>('Parâmetros financeiros Despesa'!F468+'Parâmetros financeiros Despesa'!F469)*((1+'Parâmetros financeiros Despesa'!F$4)*(1+'Parâmetros financeiros Despesa'!F$7))</f>
        <v>1090.3315</v>
      </c>
      <c r="M1008" s="799">
        <f>L1008/L$1180</f>
        <v>2.9210505668448637E-3</v>
      </c>
      <c r="N1008" s="894"/>
      <c r="O1008" s="796"/>
      <c r="P1008" s="734"/>
    </row>
    <row r="1009" spans="1:16" s="458" customFormat="1" ht="15" customHeight="1" x14ac:dyDescent="0.25">
      <c r="A1009" s="397"/>
      <c r="B1009" s="599">
        <f>B1008+1</f>
        <v>43301</v>
      </c>
      <c r="C1009" s="600" t="s">
        <v>6062</v>
      </c>
      <c r="D1009" s="600" t="str">
        <f>B1008</f>
        <v>43300</v>
      </c>
      <c r="E1009" s="417">
        <v>344903999050000</v>
      </c>
      <c r="F1009" s="418" t="s">
        <v>7098</v>
      </c>
      <c r="G1009" s="603">
        <v>1</v>
      </c>
      <c r="H1009" s="603">
        <v>0</v>
      </c>
      <c r="I1009" s="601">
        <v>17</v>
      </c>
      <c r="J1009" s="602"/>
      <c r="K1009" s="891">
        <v>0</v>
      </c>
      <c r="L1009" s="891">
        <v>0</v>
      </c>
      <c r="M1009" s="996">
        <f>L1009/L$1180</f>
        <v>0</v>
      </c>
      <c r="N1009" s="896"/>
      <c r="P1009" s="735"/>
    </row>
    <row r="1010" spans="1:16" s="458" customFormat="1" ht="15" customHeight="1" x14ac:dyDescent="0.25">
      <c r="A1010" s="397"/>
      <c r="B1010" s="478">
        <f>B1009+1</f>
        <v>43302</v>
      </c>
      <c r="C1010" s="600" t="s">
        <v>6062</v>
      </c>
      <c r="D1010" s="528" t="str">
        <f>D1009</f>
        <v>43300</v>
      </c>
      <c r="E1010" s="417">
        <v>344903999050000</v>
      </c>
      <c r="F1010" s="418" t="s">
        <v>7099</v>
      </c>
      <c r="G1010" s="603">
        <v>1</v>
      </c>
      <c r="H1010" s="603">
        <v>0</v>
      </c>
      <c r="I1010" s="601">
        <v>97</v>
      </c>
      <c r="J1010" s="602"/>
      <c r="K1010" s="891">
        <v>0</v>
      </c>
      <c r="L1010" s="891">
        <v>0</v>
      </c>
      <c r="M1010" s="996">
        <f t="shared" ref="M1010:M1012" si="183">L1010/L$1180</f>
        <v>0</v>
      </c>
      <c r="N1010" s="896"/>
      <c r="P1010" s="735"/>
    </row>
    <row r="1011" spans="1:16" s="458" customFormat="1" ht="15" customHeight="1" x14ac:dyDescent="0.25">
      <c r="A1011" s="397"/>
      <c r="B1011" s="478">
        <f>B1010+1</f>
        <v>43303</v>
      </c>
      <c r="C1011" s="600" t="s">
        <v>6062</v>
      </c>
      <c r="D1011" s="528" t="str">
        <f>D1010</f>
        <v>43300</v>
      </c>
      <c r="E1011" s="417">
        <v>344903999050000</v>
      </c>
      <c r="F1011" s="418" t="s">
        <v>7100</v>
      </c>
      <c r="G1011" s="603">
        <v>1</v>
      </c>
      <c r="H1011" s="603">
        <v>0</v>
      </c>
      <c r="I1011" s="601">
        <v>1393</v>
      </c>
      <c r="J1011" s="602"/>
      <c r="K1011" s="891">
        <v>0</v>
      </c>
      <c r="L1011" s="891">
        <v>0</v>
      </c>
      <c r="M1011" s="996">
        <f t="shared" si="183"/>
        <v>0</v>
      </c>
      <c r="N1011" s="896"/>
      <c r="P1011" s="735"/>
    </row>
    <row r="1012" spans="1:16" s="458" customFormat="1" ht="15" customHeight="1" x14ac:dyDescent="0.25">
      <c r="A1012" s="397"/>
      <c r="B1012" s="478">
        <f>B1011+1</f>
        <v>43304</v>
      </c>
      <c r="C1012" s="600" t="s">
        <v>6062</v>
      </c>
      <c r="D1012" s="528" t="str">
        <f>D1011</f>
        <v>43300</v>
      </c>
      <c r="E1012" s="417">
        <v>344903999050000</v>
      </c>
      <c r="F1012" s="418" t="s">
        <v>7101</v>
      </c>
      <c r="G1012" s="603">
        <v>1</v>
      </c>
      <c r="H1012" s="603">
        <v>0</v>
      </c>
      <c r="I1012" s="601">
        <v>97</v>
      </c>
      <c r="J1012" s="602"/>
      <c r="K1012" s="891">
        <v>0</v>
      </c>
      <c r="L1012" s="891">
        <v>0</v>
      </c>
      <c r="M1012" s="996">
        <f t="shared" si="183"/>
        <v>0</v>
      </c>
      <c r="N1012" s="896"/>
      <c r="P1012" s="735"/>
    </row>
    <row r="1013" spans="1:16" s="457" customFormat="1" ht="15" customHeight="1" x14ac:dyDescent="0.25">
      <c r="A1013" s="396"/>
      <c r="B1013" s="1398" t="s">
        <v>7414</v>
      </c>
      <c r="C1013" s="1398"/>
      <c r="D1013" s="1398"/>
      <c r="E1013" s="854">
        <v>344905200000000</v>
      </c>
      <c r="F1013" s="855" t="s">
        <v>7041</v>
      </c>
      <c r="G1013" s="468">
        <v>1</v>
      </c>
      <c r="H1013" s="468">
        <v>0</v>
      </c>
      <c r="I1013" s="751"/>
      <c r="J1013" s="878" t="s">
        <v>7410</v>
      </c>
      <c r="K1013" s="789">
        <f>('Parâmetros financeiros Despesa'!E470)</f>
        <v>1800</v>
      </c>
      <c r="L1013" s="789">
        <f>('Parâmetros financeiros Despesa'!F470)*((1+'Parâmetros financeiros Despesa'!F$4)*(1+'Parâmetros financeiros Despesa'!F$7))</f>
        <v>5451.6575000000003</v>
      </c>
      <c r="M1013" s="799">
        <f>L1013/L$1180</f>
        <v>1.4605252834224321E-2</v>
      </c>
      <c r="N1013" s="894"/>
      <c r="O1013" s="796"/>
      <c r="P1013" s="734"/>
    </row>
    <row r="1014" spans="1:16" s="668" customFormat="1" ht="15" customHeight="1" x14ac:dyDescent="0.25">
      <c r="A1014" s="397"/>
      <c r="B1014" s="599">
        <f>B1013+1</f>
        <v>43401</v>
      </c>
      <c r="C1014" s="600" t="s">
        <v>6062</v>
      </c>
      <c r="D1014" s="600" t="str">
        <f>B1013</f>
        <v>43400</v>
      </c>
      <c r="E1014" s="417">
        <v>344905212000000</v>
      </c>
      <c r="F1014" s="418" t="s">
        <v>6071</v>
      </c>
      <c r="G1014" s="603">
        <v>1</v>
      </c>
      <c r="H1014" s="603">
        <v>0</v>
      </c>
      <c r="I1014" s="601">
        <v>17</v>
      </c>
      <c r="J1014" s="602"/>
      <c r="K1014" s="891">
        <v>0</v>
      </c>
      <c r="L1014" s="891">
        <v>0</v>
      </c>
      <c r="M1014" s="996">
        <f>L1014/L$1180</f>
        <v>0</v>
      </c>
      <c r="N1014" s="796"/>
      <c r="P1014" s="399"/>
    </row>
    <row r="1015" spans="1:16" s="668" customFormat="1" ht="15" customHeight="1" x14ac:dyDescent="0.25">
      <c r="A1015" s="397"/>
      <c r="B1015" s="478">
        <f>B1014+1</f>
        <v>43402</v>
      </c>
      <c r="C1015" s="600" t="s">
        <v>6062</v>
      </c>
      <c r="D1015" s="528" t="str">
        <f>D1014</f>
        <v>43400</v>
      </c>
      <c r="E1015" s="417">
        <v>344905235000000</v>
      </c>
      <c r="F1015" s="418" t="s">
        <v>6073</v>
      </c>
      <c r="G1015" s="603">
        <v>1</v>
      </c>
      <c r="H1015" s="603">
        <v>0</v>
      </c>
      <c r="I1015" s="601">
        <v>97</v>
      </c>
      <c r="J1015" s="602"/>
      <c r="K1015" s="891">
        <v>0</v>
      </c>
      <c r="L1015" s="891">
        <v>0</v>
      </c>
      <c r="M1015" s="996">
        <f t="shared" ref="M1015:M1017" si="184">L1015/L$1180</f>
        <v>0</v>
      </c>
      <c r="N1015" s="796"/>
      <c r="P1015" s="399"/>
    </row>
    <row r="1016" spans="1:16" s="668" customFormat="1" ht="15" customHeight="1" x14ac:dyDescent="0.25">
      <c r="A1016" s="397"/>
      <c r="B1016" s="478">
        <f>B1015+1</f>
        <v>43403</v>
      </c>
      <c r="C1016" s="600" t="s">
        <v>6062</v>
      </c>
      <c r="D1016" s="528" t="str">
        <f>D1015</f>
        <v>43400</v>
      </c>
      <c r="E1016" s="417">
        <v>344905242000000</v>
      </c>
      <c r="F1016" s="418" t="s">
        <v>6072</v>
      </c>
      <c r="G1016" s="603">
        <v>1</v>
      </c>
      <c r="H1016" s="603">
        <v>0</v>
      </c>
      <c r="I1016" s="601">
        <v>1335</v>
      </c>
      <c r="J1016" s="602"/>
      <c r="K1016" s="891">
        <v>0</v>
      </c>
      <c r="L1016" s="891">
        <v>0</v>
      </c>
      <c r="M1016" s="996">
        <f t="shared" si="184"/>
        <v>0</v>
      </c>
      <c r="N1016" s="796"/>
      <c r="P1016" s="399"/>
    </row>
    <row r="1017" spans="1:16" s="668" customFormat="1" ht="15" customHeight="1" x14ac:dyDescent="0.25">
      <c r="A1017" s="397"/>
      <c r="B1017" s="478">
        <f>B1016+1</f>
        <v>43404</v>
      </c>
      <c r="C1017" s="600" t="s">
        <v>6062</v>
      </c>
      <c r="D1017" s="528" t="str">
        <f>D1016</f>
        <v>43400</v>
      </c>
      <c r="E1017" s="417">
        <v>344905299000000</v>
      </c>
      <c r="F1017" s="418" t="s">
        <v>6074</v>
      </c>
      <c r="G1017" s="603">
        <v>1</v>
      </c>
      <c r="H1017" s="603">
        <v>0</v>
      </c>
      <c r="I1017" s="601">
        <v>1393</v>
      </c>
      <c r="J1017" s="602"/>
      <c r="K1017" s="891">
        <v>0</v>
      </c>
      <c r="L1017" s="891">
        <v>0</v>
      </c>
      <c r="M1017" s="996">
        <f t="shared" si="184"/>
        <v>0</v>
      </c>
      <c r="N1017" s="796"/>
      <c r="P1017" s="399"/>
    </row>
    <row r="1018" spans="1:16" s="115" customFormat="1" ht="15" customHeight="1" x14ac:dyDescent="0.25">
      <c r="A1018" s="396"/>
      <c r="B1018" s="1385" t="s">
        <v>5951</v>
      </c>
      <c r="C1018" s="1385"/>
      <c r="D1018" s="1385"/>
      <c r="E1018" s="1385"/>
      <c r="F1018" s="1385"/>
      <c r="G1018" s="401"/>
      <c r="H1018" s="401"/>
      <c r="I1018" s="426"/>
      <c r="J1018" s="411"/>
      <c r="K1018" s="402">
        <f t="shared" ref="K1018:L1020" si="185">K1019</f>
        <v>0</v>
      </c>
      <c r="L1018" s="402">
        <f t="shared" si="185"/>
        <v>74796.73090000001</v>
      </c>
      <c r="M1018" s="451">
        <f t="shared" ref="M1018:M1037" si="186">L1018/L$1180</f>
        <v>0.20038404209507638</v>
      </c>
      <c r="N1018" s="894"/>
      <c r="P1018" s="733"/>
    </row>
    <row r="1019" spans="1:16" s="668" customFormat="1" ht="15" customHeight="1" x14ac:dyDescent="0.25">
      <c r="A1019" s="396"/>
      <c r="B1019" s="1386" t="s">
        <v>6900</v>
      </c>
      <c r="C1019" s="1386"/>
      <c r="D1019" s="1386"/>
      <c r="E1019" s="1386"/>
      <c r="F1019" s="1386"/>
      <c r="G1019" s="403"/>
      <c r="H1019" s="403"/>
      <c r="I1019" s="427"/>
      <c r="J1019" s="412"/>
      <c r="K1019" s="404">
        <f t="shared" si="185"/>
        <v>0</v>
      </c>
      <c r="L1019" s="404">
        <f t="shared" si="185"/>
        <v>74796.73090000001</v>
      </c>
      <c r="M1019" s="452">
        <f t="shared" si="186"/>
        <v>0.20038404209507638</v>
      </c>
      <c r="N1019" s="796"/>
      <c r="P1019" s="399"/>
    </row>
    <row r="1020" spans="1:16" s="668" customFormat="1" ht="15" customHeight="1" x14ac:dyDescent="0.25">
      <c r="A1020" s="396"/>
      <c r="B1020" s="1382" t="s">
        <v>7283</v>
      </c>
      <c r="C1020" s="1382"/>
      <c r="D1020" s="1382"/>
      <c r="E1020" s="1382"/>
      <c r="F1020" s="1382"/>
      <c r="G1020" s="405"/>
      <c r="H1020" s="405"/>
      <c r="I1020" s="428"/>
      <c r="J1020" s="413"/>
      <c r="K1020" s="406">
        <f t="shared" si="185"/>
        <v>0</v>
      </c>
      <c r="L1020" s="406">
        <f t="shared" si="185"/>
        <v>74796.73090000001</v>
      </c>
      <c r="M1020" s="453">
        <f t="shared" si="186"/>
        <v>0.20038404209507638</v>
      </c>
      <c r="N1020" s="796"/>
      <c r="P1020" s="399"/>
    </row>
    <row r="1021" spans="1:16" s="668" customFormat="1" ht="15" customHeight="1" x14ac:dyDescent="0.25">
      <c r="A1021" s="396"/>
      <c r="B1021" s="1383" t="s">
        <v>2290</v>
      </c>
      <c r="C1021" s="1383"/>
      <c r="D1021" s="1383"/>
      <c r="E1021" s="1383"/>
      <c r="F1021" s="1383"/>
      <c r="G1021" s="407"/>
      <c r="H1021" s="407"/>
      <c r="I1021" s="429"/>
      <c r="J1021" s="414"/>
      <c r="K1021" s="408">
        <f>K1022+K1025+K1027+K1029+K1031</f>
        <v>0</v>
      </c>
      <c r="L1021" s="408">
        <f>L1022+L1025+L1027+L1029+L1031-0.01</f>
        <v>74796.73090000001</v>
      </c>
      <c r="M1021" s="454">
        <f t="shared" si="186"/>
        <v>0.20038404209507638</v>
      </c>
      <c r="N1021" s="796"/>
      <c r="P1021" s="399"/>
    </row>
    <row r="1022" spans="1:16" s="668" customFormat="1" ht="15" customHeight="1" x14ac:dyDescent="0.25">
      <c r="A1022" s="396"/>
      <c r="B1022" s="1396">
        <v>44000</v>
      </c>
      <c r="C1022" s="1396"/>
      <c r="D1022" s="1396"/>
      <c r="E1022" s="417">
        <v>333904700000000</v>
      </c>
      <c r="F1022" s="600" t="s">
        <v>6889</v>
      </c>
      <c r="G1022" s="468">
        <v>1</v>
      </c>
      <c r="H1022" s="468">
        <v>0</v>
      </c>
      <c r="I1022" s="751"/>
      <c r="J1022" s="878" t="s">
        <v>7418</v>
      </c>
      <c r="K1022" s="789">
        <f>'Parâmetros financeiros Despesa'!E472</f>
        <v>0</v>
      </c>
      <c r="L1022" s="789">
        <f>((('Parâmetros financeiros Despesa'!F474+'Parâmetros financeiros Despesa'!F475+'Parâmetros financeiros Despesa'!F477))*((1+'Parâmetros financeiros Despesa'!F$4)*(1+'Parâmetros financeiros Despesa'!F$7))*(1+'Parâmetros financeiros Despesa'!F$83))</f>
        <v>3925.1934000000001</v>
      </c>
      <c r="M1022" s="799">
        <f t="shared" si="186"/>
        <v>1.0515782040641511E-2</v>
      </c>
      <c r="N1022" s="894"/>
      <c r="O1022" s="796"/>
      <c r="P1022" s="399"/>
    </row>
    <row r="1023" spans="1:16" s="668" customFormat="1" ht="15" customHeight="1" x14ac:dyDescent="0.25">
      <c r="A1023" s="397"/>
      <c r="B1023" s="478">
        <f>B1022+1</f>
        <v>44001</v>
      </c>
      <c r="C1023" s="600" t="s">
        <v>6062</v>
      </c>
      <c r="D1023" s="528">
        <f>B1022</f>
        <v>44000</v>
      </c>
      <c r="E1023" s="417">
        <v>333904718000000</v>
      </c>
      <c r="F1023" s="418" t="s">
        <v>6893</v>
      </c>
      <c r="G1023" s="603">
        <v>1</v>
      </c>
      <c r="H1023" s="603">
        <v>0</v>
      </c>
      <c r="I1023" s="601">
        <v>17</v>
      </c>
      <c r="J1023" s="602"/>
      <c r="K1023" s="891">
        <v>0</v>
      </c>
      <c r="L1023" s="891">
        <v>0</v>
      </c>
      <c r="M1023" s="996">
        <f t="shared" si="186"/>
        <v>0</v>
      </c>
      <c r="N1023" s="796"/>
      <c r="P1023" s="399"/>
    </row>
    <row r="1024" spans="1:16" s="668" customFormat="1" ht="15" customHeight="1" x14ac:dyDescent="0.25">
      <c r="A1024" s="397"/>
      <c r="B1024" s="478">
        <f>B1023+1</f>
        <v>44002</v>
      </c>
      <c r="C1024" s="600" t="s">
        <v>6062</v>
      </c>
      <c r="D1024" s="528">
        <f>D1023</f>
        <v>44000</v>
      </c>
      <c r="E1024" s="417">
        <v>333904720000000</v>
      </c>
      <c r="F1024" s="418" t="s">
        <v>6894</v>
      </c>
      <c r="G1024" s="603">
        <v>1</v>
      </c>
      <c r="H1024" s="603">
        <v>0</v>
      </c>
      <c r="I1024" s="601">
        <v>1393</v>
      </c>
      <c r="J1024" s="602"/>
      <c r="K1024" s="891">
        <v>0</v>
      </c>
      <c r="L1024" s="891">
        <v>0</v>
      </c>
      <c r="M1024" s="996">
        <f t="shared" si="186"/>
        <v>0</v>
      </c>
      <c r="N1024" s="796"/>
      <c r="P1024" s="399"/>
    </row>
    <row r="1025" spans="1:16" s="115" customFormat="1" ht="15" customHeight="1" x14ac:dyDescent="0.25">
      <c r="A1025" s="396"/>
      <c r="B1025" s="1396">
        <v>44100</v>
      </c>
      <c r="C1025" s="1396"/>
      <c r="D1025" s="1396"/>
      <c r="E1025" s="854">
        <v>344903000000000</v>
      </c>
      <c r="F1025" s="855" t="s">
        <v>6890</v>
      </c>
      <c r="G1025" s="468">
        <v>1</v>
      </c>
      <c r="H1025" s="468">
        <v>0</v>
      </c>
      <c r="I1025" s="751"/>
      <c r="J1025" s="878" t="s">
        <v>7418</v>
      </c>
      <c r="K1025" s="789">
        <f>('Parâmetros financeiros Despesa'!E473+'Parâmetros financeiros Despesa'!E474)</f>
        <v>0</v>
      </c>
      <c r="L1025" s="789">
        <f>('Parâmetros financeiros Despesa'!F473+'Parâmetros financeiros Despesa'!F474)*((1+'Parâmetros financeiros Despesa'!F$4)*(1+'Parâmetros financeiros Despesa'!F$7))</f>
        <v>2180.663</v>
      </c>
      <c r="M1025" s="799">
        <f t="shared" si="186"/>
        <v>5.8421011336897274E-3</v>
      </c>
      <c r="N1025" s="894"/>
      <c r="O1025" s="796"/>
      <c r="P1025" s="733"/>
    </row>
    <row r="1026" spans="1:16" s="115" customFormat="1" ht="15" customHeight="1" x14ac:dyDescent="0.25">
      <c r="A1026" s="396"/>
      <c r="B1026" s="599">
        <f>B1025+1</f>
        <v>44101</v>
      </c>
      <c r="C1026" s="600" t="s">
        <v>6062</v>
      </c>
      <c r="D1026" s="528">
        <f>B1025</f>
        <v>44100</v>
      </c>
      <c r="E1026" s="417">
        <v>344903099050000</v>
      </c>
      <c r="F1026" s="418" t="s">
        <v>6895</v>
      </c>
      <c r="G1026" s="603">
        <v>1</v>
      </c>
      <c r="H1026" s="603">
        <v>0</v>
      </c>
      <c r="I1026" s="601">
        <v>17</v>
      </c>
      <c r="J1026" s="602"/>
      <c r="K1026" s="891">
        <v>0</v>
      </c>
      <c r="L1026" s="891">
        <v>0</v>
      </c>
      <c r="M1026" s="996">
        <f t="shared" si="186"/>
        <v>0</v>
      </c>
      <c r="N1026" s="894"/>
      <c r="P1026" s="733"/>
    </row>
    <row r="1027" spans="1:16" s="457" customFormat="1" ht="15" customHeight="1" x14ac:dyDescent="0.25">
      <c r="A1027" s="396"/>
      <c r="B1027" s="1398" t="s">
        <v>7415</v>
      </c>
      <c r="C1027" s="1398"/>
      <c r="D1027" s="1398"/>
      <c r="E1027" s="854">
        <v>344903600000000</v>
      </c>
      <c r="F1027" s="855" t="s">
        <v>6891</v>
      </c>
      <c r="G1027" s="468">
        <v>1</v>
      </c>
      <c r="H1027" s="468">
        <v>0</v>
      </c>
      <c r="I1027" s="751"/>
      <c r="J1027" s="878" t="s">
        <v>7418</v>
      </c>
      <c r="K1027" s="789">
        <f>('Parâmetros financeiros Despesa'!E475)</f>
        <v>0</v>
      </c>
      <c r="L1027" s="789">
        <f>('Parâmetros financeiros Despesa'!F475)*((1+'Parâmetros financeiros Despesa'!F$4)*(1+'Parâmetros financeiros Despesa'!F$7))</f>
        <v>1090.3315</v>
      </c>
      <c r="M1027" s="799">
        <f t="shared" si="186"/>
        <v>2.9210505668448637E-3</v>
      </c>
      <c r="N1027" s="894"/>
      <c r="O1027" s="796"/>
      <c r="P1027" s="734"/>
    </row>
    <row r="1028" spans="1:16" s="458" customFormat="1" ht="15" customHeight="1" x14ac:dyDescent="0.25">
      <c r="A1028" s="397"/>
      <c r="B1028" s="478">
        <v>44201</v>
      </c>
      <c r="C1028" s="600" t="s">
        <v>6062</v>
      </c>
      <c r="D1028" s="528">
        <v>44200</v>
      </c>
      <c r="E1028" s="417">
        <v>344903699010000</v>
      </c>
      <c r="F1028" s="418" t="s">
        <v>6896</v>
      </c>
      <c r="G1028" s="603">
        <v>1</v>
      </c>
      <c r="H1028" s="603">
        <v>0</v>
      </c>
      <c r="I1028" s="601">
        <v>97</v>
      </c>
      <c r="J1028" s="602"/>
      <c r="K1028" s="891">
        <v>0</v>
      </c>
      <c r="L1028" s="891">
        <v>0</v>
      </c>
      <c r="M1028" s="996">
        <f t="shared" si="186"/>
        <v>0</v>
      </c>
      <c r="N1028" s="896"/>
      <c r="P1028" s="735"/>
    </row>
    <row r="1029" spans="1:16" s="457" customFormat="1" ht="15" customHeight="1" x14ac:dyDescent="0.25">
      <c r="A1029" s="396"/>
      <c r="B1029" s="1398" t="s">
        <v>7416</v>
      </c>
      <c r="C1029" s="1398"/>
      <c r="D1029" s="1398"/>
      <c r="E1029" s="854">
        <v>344903900000000</v>
      </c>
      <c r="F1029" s="855" t="s">
        <v>6892</v>
      </c>
      <c r="G1029" s="468">
        <v>1</v>
      </c>
      <c r="H1029" s="468">
        <v>0</v>
      </c>
      <c r="I1029" s="751"/>
      <c r="J1029" s="878" t="s">
        <v>7418</v>
      </c>
      <c r="K1029" s="789">
        <f>('Parâmetros financeiros Despesa'!E476+'Parâmetros financeiros Despesa'!E477)</f>
        <v>0</v>
      </c>
      <c r="L1029" s="789">
        <f>('Parâmetros financeiros Despesa'!F476+'Parâmetros financeiros Despesa'!F477)*((1+'Parâmetros financeiros Despesa'!F$4)*(1+'Parâmetros financeiros Despesa'!F$7))</f>
        <v>2180.663</v>
      </c>
      <c r="M1029" s="799">
        <f t="shared" si="186"/>
        <v>5.8421011336897274E-3</v>
      </c>
      <c r="N1029" s="894"/>
      <c r="O1029" s="796"/>
      <c r="P1029" s="734"/>
    </row>
    <row r="1030" spans="1:16" s="458" customFormat="1" ht="15" customHeight="1" x14ac:dyDescent="0.25">
      <c r="A1030" s="397"/>
      <c r="B1030" s="478">
        <v>44301</v>
      </c>
      <c r="C1030" s="600" t="s">
        <v>6062</v>
      </c>
      <c r="D1030" s="528">
        <v>44300</v>
      </c>
      <c r="E1030" s="417">
        <v>344903999050000</v>
      </c>
      <c r="F1030" s="418" t="s">
        <v>6897</v>
      </c>
      <c r="G1030" s="603">
        <v>1</v>
      </c>
      <c r="H1030" s="603">
        <v>0</v>
      </c>
      <c r="I1030" s="601">
        <v>97</v>
      </c>
      <c r="J1030" s="602"/>
      <c r="K1030" s="891">
        <v>0</v>
      </c>
      <c r="L1030" s="891">
        <v>0</v>
      </c>
      <c r="M1030" s="996">
        <f t="shared" si="186"/>
        <v>0</v>
      </c>
      <c r="N1030" s="896"/>
      <c r="P1030" s="735"/>
    </row>
    <row r="1031" spans="1:16" s="457" customFormat="1" ht="15" customHeight="1" x14ac:dyDescent="0.25">
      <c r="A1031" s="396"/>
      <c r="B1031" s="1398" t="s">
        <v>7417</v>
      </c>
      <c r="C1031" s="1398"/>
      <c r="D1031" s="1398"/>
      <c r="E1031" s="854">
        <v>344905200000000</v>
      </c>
      <c r="F1031" s="855" t="s">
        <v>7189</v>
      </c>
      <c r="G1031" s="468">
        <v>1</v>
      </c>
      <c r="H1031" s="468">
        <v>0</v>
      </c>
      <c r="I1031" s="751"/>
      <c r="J1031" s="878" t="s">
        <v>7418</v>
      </c>
      <c r="K1031" s="789">
        <f>('Parâmetros financeiros Despesa'!E478)</f>
        <v>0</v>
      </c>
      <c r="L1031" s="789">
        <f>('Parâmetros financeiros Despesa'!F478)*((1+'Parâmetros financeiros Despesa'!F$4)*(1+'Parâmetros financeiros Despesa'!F$7))</f>
        <v>65419.89</v>
      </c>
      <c r="M1031" s="799">
        <f t="shared" si="186"/>
        <v>0.17526303401069182</v>
      </c>
      <c r="N1031" s="894"/>
      <c r="O1031" s="796"/>
      <c r="P1031" s="734"/>
    </row>
    <row r="1032" spans="1:16" s="668" customFormat="1" ht="15" customHeight="1" x14ac:dyDescent="0.25">
      <c r="A1032" s="397"/>
      <c r="B1032" s="478">
        <v>44401</v>
      </c>
      <c r="C1032" s="600" t="s">
        <v>6062</v>
      </c>
      <c r="D1032" s="528">
        <v>44400</v>
      </c>
      <c r="E1032" s="417">
        <v>344905299000000</v>
      </c>
      <c r="F1032" s="418" t="s">
        <v>6897</v>
      </c>
      <c r="G1032" s="603">
        <v>1</v>
      </c>
      <c r="H1032" s="603">
        <v>0</v>
      </c>
      <c r="I1032" s="601">
        <v>1393</v>
      </c>
      <c r="J1032" s="602"/>
      <c r="K1032" s="891">
        <v>0</v>
      </c>
      <c r="L1032" s="891">
        <v>0</v>
      </c>
      <c r="M1032" s="996">
        <f t="shared" si="186"/>
        <v>0</v>
      </c>
      <c r="N1032" s="796"/>
      <c r="P1032" s="399"/>
    </row>
    <row r="1033" spans="1:16" s="115" customFormat="1" ht="15" customHeight="1" x14ac:dyDescent="0.25">
      <c r="A1033" s="396"/>
      <c r="B1033" s="1385" t="s">
        <v>5951</v>
      </c>
      <c r="C1033" s="1385"/>
      <c r="D1033" s="1385"/>
      <c r="E1033" s="1385"/>
      <c r="F1033" s="1385"/>
      <c r="G1033" s="401">
        <v>1</v>
      </c>
      <c r="H1033" s="401"/>
      <c r="I1033" s="426"/>
      <c r="J1033" s="411"/>
      <c r="K1033" s="402">
        <f t="shared" ref="K1033:L1035" si="187">K1034</f>
        <v>0</v>
      </c>
      <c r="L1033" s="402">
        <f t="shared" si="187"/>
        <v>18099.492900000001</v>
      </c>
      <c r="M1033" s="451">
        <f t="shared" si="186"/>
        <v>4.8489412619143434E-2</v>
      </c>
      <c r="N1033" s="894"/>
      <c r="P1033" s="733"/>
    </row>
    <row r="1034" spans="1:16" s="668" customFormat="1" ht="15" customHeight="1" x14ac:dyDescent="0.25">
      <c r="A1034" s="396"/>
      <c r="B1034" s="1386" t="s">
        <v>6982</v>
      </c>
      <c r="C1034" s="1386"/>
      <c r="D1034" s="1386"/>
      <c r="E1034" s="1386"/>
      <c r="F1034" s="1386"/>
      <c r="G1034" s="403">
        <v>1</v>
      </c>
      <c r="H1034" s="403"/>
      <c r="I1034" s="427"/>
      <c r="J1034" s="412"/>
      <c r="K1034" s="404">
        <f t="shared" si="187"/>
        <v>0</v>
      </c>
      <c r="L1034" s="404">
        <f t="shared" si="187"/>
        <v>18099.492900000001</v>
      </c>
      <c r="M1034" s="452">
        <f t="shared" si="186"/>
        <v>4.8489412619143434E-2</v>
      </c>
      <c r="N1034" s="796"/>
      <c r="P1034" s="399"/>
    </row>
    <row r="1035" spans="1:16" s="668" customFormat="1" ht="15" customHeight="1" x14ac:dyDescent="0.25">
      <c r="A1035" s="396"/>
      <c r="B1035" s="1382" t="s">
        <v>7283</v>
      </c>
      <c r="C1035" s="1382"/>
      <c r="D1035" s="1382"/>
      <c r="E1035" s="1382"/>
      <c r="F1035" s="1382"/>
      <c r="G1035" s="405">
        <v>1</v>
      </c>
      <c r="H1035" s="405"/>
      <c r="I1035" s="428"/>
      <c r="J1035" s="413"/>
      <c r="K1035" s="406">
        <f t="shared" si="187"/>
        <v>0</v>
      </c>
      <c r="L1035" s="406">
        <f t="shared" si="187"/>
        <v>18099.492900000001</v>
      </c>
      <c r="M1035" s="453">
        <f t="shared" si="186"/>
        <v>4.8489412619143434E-2</v>
      </c>
      <c r="N1035" s="796"/>
      <c r="P1035" s="399"/>
    </row>
    <row r="1036" spans="1:16" s="668" customFormat="1" ht="15" customHeight="1" x14ac:dyDescent="0.25">
      <c r="A1036" s="396"/>
      <c r="B1036" s="1383" t="s">
        <v>2290</v>
      </c>
      <c r="C1036" s="1383"/>
      <c r="D1036" s="1383"/>
      <c r="E1036" s="1383"/>
      <c r="F1036" s="1383"/>
      <c r="G1036" s="407">
        <v>1</v>
      </c>
      <c r="H1036" s="407"/>
      <c r="I1036" s="429"/>
      <c r="J1036" s="414"/>
      <c r="K1036" s="408">
        <f>SUM(K1037:K1041)</f>
        <v>0</v>
      </c>
      <c r="L1036" s="408">
        <f>SUM(L1037:L1041)-0.01</f>
        <v>18099.492900000001</v>
      </c>
      <c r="M1036" s="454">
        <f t="shared" si="186"/>
        <v>4.8489412619143434E-2</v>
      </c>
      <c r="N1036" s="796"/>
      <c r="P1036" s="399"/>
    </row>
    <row r="1037" spans="1:16" s="668" customFormat="1" ht="15" customHeight="1" x14ac:dyDescent="0.25">
      <c r="A1037" s="396"/>
      <c r="B1037" s="1396">
        <v>45000</v>
      </c>
      <c r="C1037" s="1396"/>
      <c r="D1037" s="1396"/>
      <c r="E1037" s="417">
        <v>333904700000000</v>
      </c>
      <c r="F1037" s="600" t="s">
        <v>7191</v>
      </c>
      <c r="G1037" s="468">
        <v>1</v>
      </c>
      <c r="H1037" s="468">
        <v>0</v>
      </c>
      <c r="I1037" s="751"/>
      <c r="J1037" s="878" t="s">
        <v>7423</v>
      </c>
      <c r="K1037" s="789">
        <f>'Parâmetros financeiros Despesa'!E480</f>
        <v>0</v>
      </c>
      <c r="L1037" s="789">
        <f>((('Parâmetros financeiros Despesa'!F482+'Parâmetros financeiros Despesa'!F483+'Parâmetros financeiros Despesa'!F485))*((1+'Parâmetros financeiros Despesa'!F$4)*(1+'Parâmetros financeiros Despesa'!F$7))*(1+'Parâmetros financeiros Despesa'!F$83))</f>
        <v>3925.1934000000001</v>
      </c>
      <c r="M1037" s="799">
        <f t="shared" si="186"/>
        <v>1.0515782040641511E-2</v>
      </c>
      <c r="N1037" s="894"/>
      <c r="O1037" s="796"/>
      <c r="P1037" s="399"/>
    </row>
    <row r="1038" spans="1:16" s="115" customFormat="1" ht="15" customHeight="1" x14ac:dyDescent="0.25">
      <c r="A1038" s="396"/>
      <c r="B1038" s="1396">
        <v>45100</v>
      </c>
      <c r="C1038" s="1396"/>
      <c r="D1038" s="1396"/>
      <c r="E1038" s="854">
        <v>344903000000000</v>
      </c>
      <c r="F1038" s="855" t="s">
        <v>7190</v>
      </c>
      <c r="G1038" s="468">
        <v>1</v>
      </c>
      <c r="H1038" s="468">
        <v>0</v>
      </c>
      <c r="I1038" s="751"/>
      <c r="J1038" s="878" t="s">
        <v>7423</v>
      </c>
      <c r="K1038" s="789">
        <f>('Parâmetros financeiros Despesa'!E481+'Parâmetros financeiros Despesa'!E482)</f>
        <v>0</v>
      </c>
      <c r="L1038" s="789">
        <f>('Parâmetros financeiros Despesa'!F481+'Parâmetros financeiros Despesa'!F482)*((1+'Parâmetros financeiros Despesa'!F$4)*(1+'Parâmetros financeiros Despesa'!F$7))</f>
        <v>2180.663</v>
      </c>
      <c r="M1038" s="799">
        <f t="shared" ref="M1038:M1041" si="188">L1038/L$1180</f>
        <v>5.8421011336897274E-3</v>
      </c>
      <c r="N1038" s="894"/>
      <c r="O1038" s="796"/>
      <c r="P1038" s="733"/>
    </row>
    <row r="1039" spans="1:16" s="457" customFormat="1" ht="15" customHeight="1" x14ac:dyDescent="0.25">
      <c r="A1039" s="396"/>
      <c r="B1039" s="1398" t="s">
        <v>7419</v>
      </c>
      <c r="C1039" s="1398"/>
      <c r="D1039" s="1398"/>
      <c r="E1039" s="854">
        <v>344903600000000</v>
      </c>
      <c r="F1039" s="855" t="s">
        <v>7192</v>
      </c>
      <c r="G1039" s="468">
        <v>1</v>
      </c>
      <c r="H1039" s="468">
        <v>0</v>
      </c>
      <c r="I1039" s="751"/>
      <c r="J1039" s="878" t="s">
        <v>7423</v>
      </c>
      <c r="K1039" s="789">
        <f>('Parâmetros financeiros Despesa'!E483)</f>
        <v>0</v>
      </c>
      <c r="L1039" s="789">
        <f>('Parâmetros financeiros Despesa'!F483)*((1+'Parâmetros financeiros Despesa'!F$4)*(1+'Parâmetros financeiros Despesa'!F$7))</f>
        <v>1090.3315</v>
      </c>
      <c r="M1039" s="799">
        <f t="shared" si="188"/>
        <v>2.9210505668448637E-3</v>
      </c>
      <c r="N1039" s="894"/>
      <c r="O1039" s="796"/>
      <c r="P1039" s="734"/>
    </row>
    <row r="1040" spans="1:16" s="457" customFormat="1" ht="15" customHeight="1" x14ac:dyDescent="0.25">
      <c r="A1040" s="396"/>
      <c r="B1040" s="1398" t="s">
        <v>7420</v>
      </c>
      <c r="C1040" s="1398"/>
      <c r="D1040" s="1398"/>
      <c r="E1040" s="854">
        <v>344903900000000</v>
      </c>
      <c r="F1040" s="855" t="s">
        <v>7193</v>
      </c>
      <c r="G1040" s="468">
        <v>1</v>
      </c>
      <c r="H1040" s="468">
        <v>0</v>
      </c>
      <c r="I1040" s="751"/>
      <c r="J1040" s="878" t="s">
        <v>7423</v>
      </c>
      <c r="K1040" s="789">
        <f>('Parâmetros financeiros Despesa'!E484+'Parâmetros financeiros Despesa'!E485)</f>
        <v>0</v>
      </c>
      <c r="L1040" s="789">
        <f>('Parâmetros financeiros Despesa'!F484+'Parâmetros financeiros Despesa'!F485)*((1+'Parâmetros financeiros Despesa'!F$4)*(1+'Parâmetros financeiros Despesa'!F$7))</f>
        <v>2180.663</v>
      </c>
      <c r="M1040" s="799">
        <f t="shared" si="188"/>
        <v>5.8421011336897274E-3</v>
      </c>
      <c r="N1040" s="894"/>
      <c r="O1040" s="796"/>
      <c r="P1040" s="734"/>
    </row>
    <row r="1041" spans="1:16" s="457" customFormat="1" ht="15" customHeight="1" x14ac:dyDescent="0.25">
      <c r="A1041" s="396"/>
      <c r="B1041" s="1398" t="s">
        <v>7421</v>
      </c>
      <c r="C1041" s="1398"/>
      <c r="D1041" s="1398"/>
      <c r="E1041" s="854">
        <v>344905200000000</v>
      </c>
      <c r="F1041" s="855" t="s">
        <v>7041</v>
      </c>
      <c r="G1041" s="468">
        <v>1</v>
      </c>
      <c r="H1041" s="468">
        <v>0</v>
      </c>
      <c r="I1041" s="751"/>
      <c r="J1041" s="878" t="s">
        <v>7423</v>
      </c>
      <c r="K1041" s="789">
        <f>('Parâmetros financeiros Despesa'!E486)</f>
        <v>0</v>
      </c>
      <c r="L1041" s="789">
        <f>('Parâmetros financeiros Despesa'!F486)*((1+'Parâmetros financeiros Despesa'!F$4)*(1+'Parâmetros financeiros Despesa'!F$7))</f>
        <v>8722.652</v>
      </c>
      <c r="M1041" s="799">
        <f t="shared" si="188"/>
        <v>2.336840453475891E-2</v>
      </c>
      <c r="N1041" s="894"/>
      <c r="O1041" s="796"/>
      <c r="P1041" s="734"/>
    </row>
    <row r="1042" spans="1:16" s="668" customFormat="1" ht="15" customHeight="1" x14ac:dyDescent="0.25">
      <c r="A1042" s="397"/>
      <c r="B1042" s="1385" t="s">
        <v>5951</v>
      </c>
      <c r="C1042" s="1385"/>
      <c r="D1042" s="1385"/>
      <c r="E1042" s="1385"/>
      <c r="F1042" s="1385"/>
      <c r="G1042" s="401">
        <v>1</v>
      </c>
      <c r="H1042" s="401">
        <v>0</v>
      </c>
      <c r="I1042" s="426"/>
      <c r="J1042" s="411">
        <v>0</v>
      </c>
      <c r="K1042" s="402">
        <f t="shared" ref="K1042:L1044" si="189">K1043</f>
        <v>263135.20480000001</v>
      </c>
      <c r="L1042" s="402">
        <f t="shared" si="189"/>
        <v>258236.94023182086</v>
      </c>
      <c r="M1042" s="451">
        <f>L1042/L$1180</f>
        <v>0.69182919198834814</v>
      </c>
      <c r="N1042" s="796"/>
      <c r="P1042" s="399"/>
    </row>
    <row r="1043" spans="1:16" s="668" customFormat="1" ht="15" customHeight="1" x14ac:dyDescent="0.25">
      <c r="A1043" s="397"/>
      <c r="B1043" s="1386" t="s">
        <v>5965</v>
      </c>
      <c r="C1043" s="1386"/>
      <c r="D1043" s="1386"/>
      <c r="E1043" s="1386"/>
      <c r="F1043" s="1386"/>
      <c r="G1043" s="403">
        <v>1</v>
      </c>
      <c r="H1043" s="403">
        <v>0</v>
      </c>
      <c r="I1043" s="427"/>
      <c r="J1043" s="412">
        <v>0</v>
      </c>
      <c r="K1043" s="404">
        <f t="shared" si="189"/>
        <v>263135.20480000001</v>
      </c>
      <c r="L1043" s="404">
        <f t="shared" si="189"/>
        <v>258236.94023182086</v>
      </c>
      <c r="M1043" s="452">
        <f>L1043/L$1180</f>
        <v>0.69182919198834814</v>
      </c>
      <c r="N1043" s="796"/>
      <c r="P1043" s="399"/>
    </row>
    <row r="1044" spans="1:16" s="668" customFormat="1" ht="15" customHeight="1" x14ac:dyDescent="0.25">
      <c r="A1044" s="397"/>
      <c r="B1044" s="1382" t="s">
        <v>7283</v>
      </c>
      <c r="C1044" s="1382"/>
      <c r="D1044" s="1382"/>
      <c r="E1044" s="1382"/>
      <c r="F1044" s="1382"/>
      <c r="G1044" s="405">
        <v>1</v>
      </c>
      <c r="H1044" s="405">
        <v>0</v>
      </c>
      <c r="I1044" s="428"/>
      <c r="J1044" s="413">
        <v>0</v>
      </c>
      <c r="K1044" s="406">
        <f t="shared" si="189"/>
        <v>263135.20480000001</v>
      </c>
      <c r="L1044" s="406">
        <f t="shared" si="189"/>
        <v>258236.94023182086</v>
      </c>
      <c r="M1044" s="453">
        <f>L1044/L$1180</f>
        <v>0.69182919198834814</v>
      </c>
      <c r="N1044" s="796"/>
      <c r="P1044" s="399"/>
    </row>
    <row r="1045" spans="1:16" s="668" customFormat="1" ht="15" customHeight="1" x14ac:dyDescent="0.25">
      <c r="A1045" s="397"/>
      <c r="B1045" s="1383" t="s">
        <v>2290</v>
      </c>
      <c r="C1045" s="1383"/>
      <c r="D1045" s="1383"/>
      <c r="E1045" s="1383"/>
      <c r="F1045" s="1383"/>
      <c r="G1045" s="407">
        <v>1</v>
      </c>
      <c r="H1045" s="407">
        <v>0</v>
      </c>
      <c r="I1045" s="429"/>
      <c r="J1045" s="414">
        <v>0</v>
      </c>
      <c r="K1045" s="408">
        <f>K1046+K1052+K1069+K1073+K1076+K1081+K1110+K1112+K1148+K1151+K1153+K1155+K1119+K1125</f>
        <v>263135.20480000001</v>
      </c>
      <c r="L1045" s="408">
        <f>L1046+L1052+L1069+L1073+L1076+L1081+L1110+L1112+L1148+L1151+L1153+L1155+L1119+L1125-0.01</f>
        <v>258236.94023182086</v>
      </c>
      <c r="M1045" s="454">
        <f>L1045/L$1180</f>
        <v>0.69182919198834814</v>
      </c>
      <c r="N1045" s="796"/>
      <c r="P1045" s="399"/>
    </row>
    <row r="1046" spans="1:16" s="115" customFormat="1" ht="15" customHeight="1" x14ac:dyDescent="0.25">
      <c r="A1046" s="396"/>
      <c r="B1046" s="1398" t="s">
        <v>7425</v>
      </c>
      <c r="C1046" s="1398"/>
      <c r="D1046" s="1398"/>
      <c r="E1046" s="854">
        <v>331900400000000</v>
      </c>
      <c r="F1046" s="855" t="s">
        <v>5851</v>
      </c>
      <c r="G1046" s="468">
        <v>1</v>
      </c>
      <c r="H1046" s="468">
        <v>0</v>
      </c>
      <c r="I1046" s="751"/>
      <c r="J1046" s="878" t="s">
        <v>7424</v>
      </c>
      <c r="K1046" s="789">
        <f>('Parâmetros financeiros Despesa'!E488)</f>
        <v>33418.759887500004</v>
      </c>
      <c r="L1046" s="789">
        <f>('Parâmetros financeiros Despesa'!F488)*2.05+(('Parâmetros financeiros Despesa'!F488)*11.28)*(1+'Parâmetros financeiros Despesa'!F$4)*(1+'Parâmetros financeiros Despesa'!F$8)*(1+'Parâmetros financeiros Despesa'!F$80)</f>
        <v>42189.393769832619</v>
      </c>
      <c r="M1046" s="799">
        <f>L1046/L$1180</f>
        <v>0.11302741651159372</v>
      </c>
      <c r="N1046" s="894"/>
      <c r="P1046" s="733"/>
    </row>
    <row r="1047" spans="1:16" s="115" customFormat="1" ht="15" customHeight="1" x14ac:dyDescent="0.25">
      <c r="A1047" s="396"/>
      <c r="B1047" s="599">
        <f>B1046+1</f>
        <v>46001</v>
      </c>
      <c r="C1047" s="600" t="s">
        <v>6062</v>
      </c>
      <c r="D1047" s="600" t="str">
        <f>B1046</f>
        <v>46000</v>
      </c>
      <c r="E1047" s="417">
        <v>331900415000000</v>
      </c>
      <c r="F1047" s="418" t="s">
        <v>10204</v>
      </c>
      <c r="G1047" s="603">
        <v>1</v>
      </c>
      <c r="H1047" s="603">
        <v>0</v>
      </c>
      <c r="I1047" s="601">
        <v>311210499000000</v>
      </c>
      <c r="J1047" s="602"/>
      <c r="K1047" s="891">
        <v>0</v>
      </c>
      <c r="L1047" s="891">
        <v>0</v>
      </c>
      <c r="M1047" s="477">
        <f t="shared" ref="M1047:M1051" si="190">L1047/L$1180</f>
        <v>0</v>
      </c>
      <c r="N1047" s="894"/>
      <c r="P1047" s="733"/>
    </row>
    <row r="1048" spans="1:16" s="115" customFormat="1" ht="15" customHeight="1" x14ac:dyDescent="0.25">
      <c r="A1048" s="396"/>
      <c r="B1048" s="478">
        <f>B1047+1</f>
        <v>46002</v>
      </c>
      <c r="C1048" s="600" t="s">
        <v>6062</v>
      </c>
      <c r="D1048" s="528" t="str">
        <f>D1047</f>
        <v>46000</v>
      </c>
      <c r="E1048" s="417">
        <v>331900499020000</v>
      </c>
      <c r="F1048" s="418" t="s">
        <v>10205</v>
      </c>
      <c r="G1048" s="603">
        <v>1</v>
      </c>
      <c r="H1048" s="603">
        <v>0</v>
      </c>
      <c r="I1048" s="601">
        <v>311210101000000</v>
      </c>
      <c r="J1048" s="602"/>
      <c r="K1048" s="891">
        <v>0</v>
      </c>
      <c r="L1048" s="891">
        <v>0</v>
      </c>
      <c r="M1048" s="477">
        <f t="shared" si="190"/>
        <v>0</v>
      </c>
      <c r="N1048" s="894"/>
      <c r="P1048" s="733"/>
    </row>
    <row r="1049" spans="1:16" s="115" customFormat="1" ht="15" customHeight="1" x14ac:dyDescent="0.25">
      <c r="A1049" s="396"/>
      <c r="B1049" s="599">
        <f>B1048+1</f>
        <v>46003</v>
      </c>
      <c r="C1049" s="600" t="s">
        <v>6062</v>
      </c>
      <c r="D1049" s="600" t="s">
        <v>7425</v>
      </c>
      <c r="E1049" s="417">
        <v>331900499020000</v>
      </c>
      <c r="F1049" s="418" t="s">
        <v>10206</v>
      </c>
      <c r="G1049" s="603">
        <v>1</v>
      </c>
      <c r="H1049" s="603">
        <v>0</v>
      </c>
      <c r="I1049" s="601">
        <v>837</v>
      </c>
      <c r="J1049" s="602"/>
      <c r="K1049" s="891">
        <v>0</v>
      </c>
      <c r="L1049" s="891">
        <v>0</v>
      </c>
      <c r="M1049" s="477">
        <f t="shared" si="190"/>
        <v>0</v>
      </c>
      <c r="N1049" s="894"/>
      <c r="P1049" s="733"/>
    </row>
    <row r="1050" spans="1:16" s="115" customFormat="1" ht="15" customHeight="1" x14ac:dyDescent="0.25">
      <c r="A1050" s="396"/>
      <c r="B1050" s="478">
        <f>B1049+1</f>
        <v>46004</v>
      </c>
      <c r="C1050" s="600" t="s">
        <v>6062</v>
      </c>
      <c r="D1050" s="528" t="str">
        <f>D1049</f>
        <v>46000</v>
      </c>
      <c r="E1050" s="417">
        <v>331900499020000</v>
      </c>
      <c r="F1050" s="418" t="s">
        <v>10207</v>
      </c>
      <c r="G1050" s="603">
        <v>1</v>
      </c>
      <c r="H1050" s="603">
        <v>0</v>
      </c>
      <c r="I1050" s="601">
        <v>828</v>
      </c>
      <c r="J1050" s="602"/>
      <c r="K1050" s="891">
        <v>0</v>
      </c>
      <c r="L1050" s="891">
        <v>0</v>
      </c>
      <c r="M1050" s="477">
        <f t="shared" si="190"/>
        <v>0</v>
      </c>
      <c r="N1050" s="894"/>
      <c r="P1050" s="733"/>
    </row>
    <row r="1051" spans="1:16" s="115" customFormat="1" ht="15" customHeight="1" x14ac:dyDescent="0.25">
      <c r="A1051" s="396"/>
      <c r="B1051" s="478">
        <f>B1050+1</f>
        <v>46005</v>
      </c>
      <c r="C1051" s="600" t="s">
        <v>6062</v>
      </c>
      <c r="D1051" s="528" t="str">
        <f>D1050</f>
        <v>46000</v>
      </c>
      <c r="E1051" s="417">
        <v>331900499020000</v>
      </c>
      <c r="F1051" s="418" t="s">
        <v>10208</v>
      </c>
      <c r="G1051" s="603">
        <v>1</v>
      </c>
      <c r="H1051" s="603">
        <v>0</v>
      </c>
      <c r="I1051" s="601">
        <v>311210499000000</v>
      </c>
      <c r="J1051" s="602"/>
      <c r="K1051" s="891">
        <v>0</v>
      </c>
      <c r="L1051" s="891">
        <v>0</v>
      </c>
      <c r="M1051" s="477">
        <f t="shared" si="190"/>
        <v>0</v>
      </c>
      <c r="N1051" s="894"/>
      <c r="P1051" s="733"/>
    </row>
    <row r="1052" spans="1:16" s="115" customFormat="1" ht="15" customHeight="1" x14ac:dyDescent="0.25">
      <c r="A1052" s="396"/>
      <c r="B1052" s="1398" t="s">
        <v>7426</v>
      </c>
      <c r="C1052" s="1398"/>
      <c r="D1052" s="1398"/>
      <c r="E1052" s="854">
        <v>331901100000000</v>
      </c>
      <c r="F1052" s="855" t="s">
        <v>7427</v>
      </c>
      <c r="G1052" s="468">
        <v>1</v>
      </c>
      <c r="H1052" s="468">
        <v>0</v>
      </c>
      <c r="I1052" s="751"/>
      <c r="J1052" s="878" t="s">
        <v>7424</v>
      </c>
      <c r="K1052" s="789">
        <f>('Parâmetros financeiros Despesa'!E489)</f>
        <v>110903.81711250001</v>
      </c>
      <c r="L1052" s="789">
        <f>('Parâmetros financeiros Despesa'!F489)*2.05+(('Parâmetros financeiros Despesa'!F489)*11.28)*(1+'Parâmetros financeiros Despesa'!F$4)*(1+'Parâmetros financeiros Despesa'!F$8)</f>
        <v>116110.64366872399</v>
      </c>
      <c r="M1052" s="799">
        <f>L1052/L$1180</f>
        <v>0.31106600286724562</v>
      </c>
      <c r="N1052" s="894"/>
      <c r="P1052" s="733"/>
    </row>
    <row r="1053" spans="1:16" s="668" customFormat="1" ht="15" customHeight="1" x14ac:dyDescent="0.25">
      <c r="A1053" s="397"/>
      <c r="B1053" s="599">
        <f>B1052+1</f>
        <v>46101</v>
      </c>
      <c r="C1053" s="600" t="s">
        <v>6062</v>
      </c>
      <c r="D1053" s="600" t="str">
        <f>B1052</f>
        <v>46100</v>
      </c>
      <c r="E1053" s="417">
        <v>331901101010000</v>
      </c>
      <c r="F1053" s="418" t="s">
        <v>6904</v>
      </c>
      <c r="G1053" s="603">
        <v>1</v>
      </c>
      <c r="H1053" s="603">
        <v>0</v>
      </c>
      <c r="I1053" s="601">
        <v>311210101000000</v>
      </c>
      <c r="J1053" s="602" t="s">
        <v>6023</v>
      </c>
      <c r="K1053" s="891">
        <v>0</v>
      </c>
      <c r="L1053" s="891">
        <v>0</v>
      </c>
      <c r="M1053" s="477">
        <f t="shared" ref="M1053:M1068" si="191">L1053/L$1180</f>
        <v>0</v>
      </c>
      <c r="N1053" s="796"/>
      <c r="P1053" s="399"/>
    </row>
    <row r="1054" spans="1:16" s="668" customFormat="1" ht="15" customHeight="1" x14ac:dyDescent="0.25">
      <c r="A1054" s="397"/>
      <c r="B1054" s="599">
        <f t="shared" ref="B1054:B1068" si="192">B1053+1</f>
        <v>46102</v>
      </c>
      <c r="C1054" s="600" t="s">
        <v>6062</v>
      </c>
      <c r="D1054" s="528" t="str">
        <f>D1053</f>
        <v>46100</v>
      </c>
      <c r="E1054" s="417">
        <v>331901101040000</v>
      </c>
      <c r="F1054" s="418" t="s">
        <v>2256</v>
      </c>
      <c r="G1054" s="603">
        <v>1</v>
      </c>
      <c r="H1054" s="603">
        <v>0</v>
      </c>
      <c r="I1054" s="601">
        <v>311210101000000</v>
      </c>
      <c r="J1054" s="602" t="s">
        <v>6024</v>
      </c>
      <c r="K1054" s="891">
        <v>0</v>
      </c>
      <c r="L1054" s="891">
        <v>0</v>
      </c>
      <c r="M1054" s="477">
        <f t="shared" si="191"/>
        <v>0</v>
      </c>
      <c r="N1054" s="796"/>
      <c r="P1054" s="399"/>
    </row>
    <row r="1055" spans="1:16" s="668" customFormat="1" ht="15" customHeight="1" x14ac:dyDescent="0.25">
      <c r="A1055" s="397"/>
      <c r="B1055" s="599">
        <f t="shared" si="192"/>
        <v>46103</v>
      </c>
      <c r="C1055" s="600" t="s">
        <v>6062</v>
      </c>
      <c r="D1055" s="528" t="str">
        <f t="shared" ref="D1055:D1068" si="193">D1054</f>
        <v>46100</v>
      </c>
      <c r="E1055" s="417">
        <v>331901104000000</v>
      </c>
      <c r="F1055" s="418" t="s">
        <v>1008</v>
      </c>
      <c r="G1055" s="603">
        <v>1</v>
      </c>
      <c r="H1055" s="603">
        <v>0</v>
      </c>
      <c r="I1055" s="601">
        <v>311210102000000</v>
      </c>
      <c r="J1055" s="602" t="s">
        <v>6025</v>
      </c>
      <c r="K1055" s="891">
        <v>0</v>
      </c>
      <c r="L1055" s="891">
        <v>0</v>
      </c>
      <c r="M1055" s="477">
        <f t="shared" si="191"/>
        <v>0</v>
      </c>
      <c r="N1055" s="796"/>
      <c r="P1055" s="399"/>
    </row>
    <row r="1056" spans="1:16" s="668" customFormat="1" ht="15" customHeight="1" x14ac:dyDescent="0.25">
      <c r="A1056" s="397"/>
      <c r="B1056" s="599">
        <f t="shared" si="192"/>
        <v>46104</v>
      </c>
      <c r="C1056" s="600" t="s">
        <v>6062</v>
      </c>
      <c r="D1056" s="528" t="str">
        <f t="shared" si="193"/>
        <v>46100</v>
      </c>
      <c r="E1056" s="417">
        <v>331901133000000</v>
      </c>
      <c r="F1056" s="418" t="s">
        <v>7014</v>
      </c>
      <c r="G1056" s="603">
        <v>1</v>
      </c>
      <c r="H1056" s="603">
        <v>0</v>
      </c>
      <c r="I1056" s="601">
        <v>311210116000000</v>
      </c>
      <c r="J1056" s="602" t="s">
        <v>6033</v>
      </c>
      <c r="K1056" s="891">
        <v>0</v>
      </c>
      <c r="L1056" s="891">
        <v>0</v>
      </c>
      <c r="M1056" s="477">
        <f t="shared" si="191"/>
        <v>0</v>
      </c>
      <c r="N1056" s="796"/>
      <c r="P1056" s="399"/>
    </row>
    <row r="1057" spans="1:16" s="668" customFormat="1" ht="15" customHeight="1" x14ac:dyDescent="0.25">
      <c r="A1057" s="397"/>
      <c r="B1057" s="599">
        <f t="shared" si="192"/>
        <v>46105</v>
      </c>
      <c r="C1057" s="600" t="s">
        <v>6062</v>
      </c>
      <c r="D1057" s="528" t="str">
        <f t="shared" si="193"/>
        <v>46100</v>
      </c>
      <c r="E1057" s="417">
        <v>331901133000000</v>
      </c>
      <c r="F1057" s="418" t="s">
        <v>2226</v>
      </c>
      <c r="G1057" s="603">
        <v>1</v>
      </c>
      <c r="H1057" s="603">
        <v>0</v>
      </c>
      <c r="I1057" s="601">
        <v>311210116000000</v>
      </c>
      <c r="J1057" s="602" t="s">
        <v>6033</v>
      </c>
      <c r="K1057" s="891">
        <v>0</v>
      </c>
      <c r="L1057" s="891">
        <v>0</v>
      </c>
      <c r="M1057" s="477">
        <f t="shared" si="191"/>
        <v>0</v>
      </c>
      <c r="N1057" s="796"/>
      <c r="P1057" s="399"/>
    </row>
    <row r="1058" spans="1:16" s="668" customFormat="1" ht="15" customHeight="1" x14ac:dyDescent="0.25">
      <c r="A1058" s="397"/>
      <c r="B1058" s="599">
        <f t="shared" si="192"/>
        <v>46106</v>
      </c>
      <c r="C1058" s="600" t="s">
        <v>6062</v>
      </c>
      <c r="D1058" s="528" t="str">
        <f t="shared" si="193"/>
        <v>46100</v>
      </c>
      <c r="E1058" s="417">
        <v>331901137000000</v>
      </c>
      <c r="F1058" s="418" t="s">
        <v>5929</v>
      </c>
      <c r="G1058" s="603">
        <v>1</v>
      </c>
      <c r="H1058" s="603">
        <v>0</v>
      </c>
      <c r="I1058" s="601">
        <v>311110118000000</v>
      </c>
      <c r="J1058" s="602" t="s">
        <v>6026</v>
      </c>
      <c r="K1058" s="891">
        <v>0</v>
      </c>
      <c r="L1058" s="891">
        <v>0</v>
      </c>
      <c r="M1058" s="477">
        <f t="shared" si="191"/>
        <v>0</v>
      </c>
      <c r="N1058" s="796"/>
      <c r="P1058" s="399"/>
    </row>
    <row r="1059" spans="1:16" s="668" customFormat="1" ht="15" customHeight="1" x14ac:dyDescent="0.25">
      <c r="A1059" s="397"/>
      <c r="B1059" s="599">
        <f t="shared" si="192"/>
        <v>46107</v>
      </c>
      <c r="C1059" s="600" t="s">
        <v>6062</v>
      </c>
      <c r="D1059" s="528" t="str">
        <f t="shared" si="193"/>
        <v>46100</v>
      </c>
      <c r="E1059" s="417">
        <v>331901142000000</v>
      </c>
      <c r="F1059" s="418" t="s">
        <v>6075</v>
      </c>
      <c r="G1059" s="603">
        <v>1</v>
      </c>
      <c r="H1059" s="603">
        <v>0</v>
      </c>
      <c r="I1059" s="601">
        <v>837</v>
      </c>
      <c r="J1059" s="602" t="s">
        <v>6027</v>
      </c>
      <c r="K1059" s="891">
        <v>0</v>
      </c>
      <c r="L1059" s="891">
        <v>0</v>
      </c>
      <c r="M1059" s="477">
        <f t="shared" si="191"/>
        <v>0</v>
      </c>
      <c r="N1059" s="796"/>
      <c r="P1059" s="399"/>
    </row>
    <row r="1060" spans="1:16" s="668" customFormat="1" ht="15" customHeight="1" x14ac:dyDescent="0.25">
      <c r="A1060" s="397"/>
      <c r="B1060" s="599">
        <f t="shared" si="192"/>
        <v>46108</v>
      </c>
      <c r="C1060" s="600" t="s">
        <v>6062</v>
      </c>
      <c r="D1060" s="528" t="str">
        <f t="shared" si="193"/>
        <v>46100</v>
      </c>
      <c r="E1060" s="417">
        <v>331901142000000</v>
      </c>
      <c r="F1060" s="418" t="s">
        <v>6076</v>
      </c>
      <c r="G1060" s="603">
        <v>1</v>
      </c>
      <c r="H1060" s="603">
        <v>0</v>
      </c>
      <c r="I1060" s="601">
        <v>837</v>
      </c>
      <c r="J1060" s="602" t="s">
        <v>6028</v>
      </c>
      <c r="K1060" s="891">
        <v>0</v>
      </c>
      <c r="L1060" s="891">
        <v>0</v>
      </c>
      <c r="M1060" s="477">
        <f t="shared" si="191"/>
        <v>0</v>
      </c>
      <c r="N1060" s="796"/>
      <c r="P1060" s="399"/>
    </row>
    <row r="1061" spans="1:16" s="668" customFormat="1" ht="15" customHeight="1" x14ac:dyDescent="0.25">
      <c r="A1061" s="397"/>
      <c r="B1061" s="599">
        <f t="shared" si="192"/>
        <v>46109</v>
      </c>
      <c r="C1061" s="600" t="s">
        <v>6062</v>
      </c>
      <c r="D1061" s="528" t="str">
        <f t="shared" si="193"/>
        <v>46100</v>
      </c>
      <c r="E1061" s="417">
        <v>331901142000000</v>
      </c>
      <c r="F1061" s="418" t="s">
        <v>10209</v>
      </c>
      <c r="G1061" s="603">
        <v>1</v>
      </c>
      <c r="H1061" s="603">
        <v>0</v>
      </c>
      <c r="I1061" s="601">
        <v>837</v>
      </c>
      <c r="J1061" s="602" t="s">
        <v>6029</v>
      </c>
      <c r="K1061" s="891">
        <v>0</v>
      </c>
      <c r="L1061" s="891">
        <v>0</v>
      </c>
      <c r="M1061" s="477">
        <f t="shared" si="191"/>
        <v>0</v>
      </c>
      <c r="N1061" s="796"/>
      <c r="P1061" s="399"/>
    </row>
    <row r="1062" spans="1:16" s="668" customFormat="1" ht="15" customHeight="1" x14ac:dyDescent="0.25">
      <c r="A1062" s="397"/>
      <c r="B1062" s="599">
        <f t="shared" si="192"/>
        <v>46110</v>
      </c>
      <c r="C1062" s="600" t="s">
        <v>6062</v>
      </c>
      <c r="D1062" s="528" t="str">
        <f t="shared" si="193"/>
        <v>46100</v>
      </c>
      <c r="E1062" s="417">
        <v>331901143000000</v>
      </c>
      <c r="F1062" s="418" t="s">
        <v>6077</v>
      </c>
      <c r="G1062" s="603">
        <v>1</v>
      </c>
      <c r="H1062" s="603">
        <v>0</v>
      </c>
      <c r="I1062" s="601">
        <v>828</v>
      </c>
      <c r="J1062" s="602" t="s">
        <v>6030</v>
      </c>
      <c r="K1062" s="891">
        <v>0</v>
      </c>
      <c r="L1062" s="891">
        <v>0</v>
      </c>
      <c r="M1062" s="477">
        <f t="shared" si="191"/>
        <v>0</v>
      </c>
      <c r="N1062" s="796"/>
      <c r="P1062" s="399"/>
    </row>
    <row r="1063" spans="1:16" s="668" customFormat="1" ht="15" customHeight="1" x14ac:dyDescent="0.25">
      <c r="A1063" s="397"/>
      <c r="B1063" s="599">
        <f t="shared" si="192"/>
        <v>46111</v>
      </c>
      <c r="C1063" s="600" t="s">
        <v>6062</v>
      </c>
      <c r="D1063" s="528" t="str">
        <f t="shared" si="193"/>
        <v>46100</v>
      </c>
      <c r="E1063" s="417">
        <v>331901143000000</v>
      </c>
      <c r="F1063" s="418" t="s">
        <v>6078</v>
      </c>
      <c r="G1063" s="603">
        <v>1</v>
      </c>
      <c r="H1063" s="603">
        <v>0</v>
      </c>
      <c r="I1063" s="601">
        <v>828</v>
      </c>
      <c r="J1063" s="602" t="s">
        <v>6031</v>
      </c>
      <c r="K1063" s="891">
        <v>0</v>
      </c>
      <c r="L1063" s="891">
        <v>0</v>
      </c>
      <c r="M1063" s="477">
        <f t="shared" si="191"/>
        <v>0</v>
      </c>
      <c r="N1063" s="796"/>
      <c r="P1063" s="399"/>
    </row>
    <row r="1064" spans="1:16" s="668" customFormat="1" ht="15" customHeight="1" x14ac:dyDescent="0.25">
      <c r="A1064" s="397"/>
      <c r="B1064" s="599">
        <f t="shared" si="192"/>
        <v>46112</v>
      </c>
      <c r="C1064" s="600" t="s">
        <v>6062</v>
      </c>
      <c r="D1064" s="528" t="str">
        <f t="shared" si="193"/>
        <v>46100</v>
      </c>
      <c r="E1064" s="417">
        <v>331901143000000</v>
      </c>
      <c r="F1064" s="418" t="s">
        <v>10210</v>
      </c>
      <c r="G1064" s="603">
        <v>1</v>
      </c>
      <c r="H1064" s="603">
        <v>0</v>
      </c>
      <c r="I1064" s="601">
        <v>828</v>
      </c>
      <c r="J1064" s="602" t="s">
        <v>6032</v>
      </c>
      <c r="K1064" s="891">
        <v>0</v>
      </c>
      <c r="L1064" s="891">
        <v>0</v>
      </c>
      <c r="M1064" s="477">
        <f t="shared" si="191"/>
        <v>0</v>
      </c>
      <c r="N1064" s="796"/>
      <c r="P1064" s="399"/>
    </row>
    <row r="1065" spans="1:16" s="668" customFormat="1" ht="15" customHeight="1" x14ac:dyDescent="0.25">
      <c r="A1065" s="397"/>
      <c r="B1065" s="599">
        <f t="shared" si="192"/>
        <v>46113</v>
      </c>
      <c r="C1065" s="600" t="s">
        <v>6062</v>
      </c>
      <c r="D1065" s="528" t="str">
        <f t="shared" si="193"/>
        <v>46100</v>
      </c>
      <c r="E1065" s="417">
        <v>331901145000000</v>
      </c>
      <c r="F1065" s="418" t="s">
        <v>6079</v>
      </c>
      <c r="G1065" s="603">
        <v>1</v>
      </c>
      <c r="H1065" s="603">
        <v>0</v>
      </c>
      <c r="I1065" s="601">
        <v>837</v>
      </c>
      <c r="J1065" s="602" t="s">
        <v>6027</v>
      </c>
      <c r="K1065" s="891">
        <v>0</v>
      </c>
      <c r="L1065" s="891">
        <v>0</v>
      </c>
      <c r="M1065" s="477">
        <f t="shared" si="191"/>
        <v>0</v>
      </c>
      <c r="N1065" s="796"/>
      <c r="P1065" s="399"/>
    </row>
    <row r="1066" spans="1:16" s="668" customFormat="1" ht="15" customHeight="1" x14ac:dyDescent="0.25">
      <c r="A1066" s="397"/>
      <c r="B1066" s="599">
        <f t="shared" si="192"/>
        <v>46114</v>
      </c>
      <c r="C1066" s="600" t="s">
        <v>6062</v>
      </c>
      <c r="D1066" s="528" t="str">
        <f t="shared" si="193"/>
        <v>46100</v>
      </c>
      <c r="E1066" s="417">
        <v>331901145000000</v>
      </c>
      <c r="F1066" s="418" t="s">
        <v>6080</v>
      </c>
      <c r="G1066" s="603">
        <v>1</v>
      </c>
      <c r="H1066" s="603">
        <v>0</v>
      </c>
      <c r="I1066" s="601">
        <v>837</v>
      </c>
      <c r="J1066" s="602" t="s">
        <v>6028</v>
      </c>
      <c r="K1066" s="891">
        <v>0</v>
      </c>
      <c r="L1066" s="891">
        <v>0</v>
      </c>
      <c r="M1066" s="477">
        <f t="shared" si="191"/>
        <v>0</v>
      </c>
      <c r="N1066" s="796"/>
      <c r="P1066" s="399"/>
    </row>
    <row r="1067" spans="1:16" s="668" customFormat="1" ht="15" customHeight="1" x14ac:dyDescent="0.25">
      <c r="A1067" s="397"/>
      <c r="B1067" s="599">
        <f t="shared" si="192"/>
        <v>46115</v>
      </c>
      <c r="C1067" s="600" t="s">
        <v>6062</v>
      </c>
      <c r="D1067" s="528" t="str">
        <f t="shared" si="193"/>
        <v>46100</v>
      </c>
      <c r="E1067" s="417">
        <v>331901145000000</v>
      </c>
      <c r="F1067" s="418" t="s">
        <v>10211</v>
      </c>
      <c r="G1067" s="603">
        <v>1</v>
      </c>
      <c r="H1067" s="603">
        <v>0</v>
      </c>
      <c r="I1067" s="601">
        <v>837</v>
      </c>
      <c r="J1067" s="602" t="s">
        <v>6029</v>
      </c>
      <c r="K1067" s="891">
        <v>0</v>
      </c>
      <c r="L1067" s="891">
        <v>0</v>
      </c>
      <c r="M1067" s="477">
        <f t="shared" si="191"/>
        <v>0</v>
      </c>
      <c r="N1067" s="796"/>
      <c r="P1067" s="399"/>
    </row>
    <row r="1068" spans="1:16" s="668" customFormat="1" ht="15" customHeight="1" x14ac:dyDescent="0.25">
      <c r="A1068" s="397"/>
      <c r="B1068" s="599">
        <f t="shared" si="192"/>
        <v>46116</v>
      </c>
      <c r="C1068" s="600" t="s">
        <v>6062</v>
      </c>
      <c r="D1068" s="528" t="str">
        <f t="shared" si="193"/>
        <v>46100</v>
      </c>
      <c r="E1068" s="417">
        <v>331901174000000</v>
      </c>
      <c r="F1068" s="418" t="s">
        <v>10212</v>
      </c>
      <c r="G1068" s="603">
        <v>1</v>
      </c>
      <c r="H1068" s="603">
        <v>0</v>
      </c>
      <c r="I1068" s="601">
        <v>311210131000000</v>
      </c>
      <c r="J1068" s="602" t="s">
        <v>6035</v>
      </c>
      <c r="K1068" s="891">
        <v>0</v>
      </c>
      <c r="L1068" s="891">
        <v>0</v>
      </c>
      <c r="M1068" s="477">
        <f t="shared" si="191"/>
        <v>0</v>
      </c>
      <c r="N1068" s="796"/>
      <c r="P1068" s="399"/>
    </row>
    <row r="1069" spans="1:16" s="115" customFormat="1" ht="15" customHeight="1" x14ac:dyDescent="0.25">
      <c r="A1069" s="396"/>
      <c r="B1069" s="1398" t="s">
        <v>7428</v>
      </c>
      <c r="C1069" s="1398"/>
      <c r="D1069" s="1398"/>
      <c r="E1069" s="854">
        <v>331901300000000</v>
      </c>
      <c r="F1069" s="855" t="s">
        <v>5735</v>
      </c>
      <c r="G1069" s="468">
        <v>1</v>
      </c>
      <c r="H1069" s="468">
        <v>0</v>
      </c>
      <c r="I1069" s="751"/>
      <c r="J1069" s="878" t="s">
        <v>7424</v>
      </c>
      <c r="K1069" s="789">
        <f>'Parâmetros financeiros Despesa'!E491</f>
        <v>82161.868750000009</v>
      </c>
      <c r="L1069" s="789">
        <f>(L1073+L1052)*'Parâmetros financeiros Despesa'!F$80</f>
        <v>27648.570393182577</v>
      </c>
      <c r="M1069" s="799">
        <f>L1069/L$1180</f>
        <v>7.4071850826520277E-2</v>
      </c>
      <c r="N1069" s="894"/>
      <c r="O1069" s="796"/>
      <c r="P1069" s="733"/>
    </row>
    <row r="1070" spans="1:16" s="668" customFormat="1" ht="15" customHeight="1" x14ac:dyDescent="0.25">
      <c r="A1070" s="397"/>
      <c r="B1070" s="599">
        <f>B1069+1</f>
        <v>46201</v>
      </c>
      <c r="C1070" s="600" t="s">
        <v>6062</v>
      </c>
      <c r="D1070" s="528" t="str">
        <f>B1069</f>
        <v>46200</v>
      </c>
      <c r="E1070" s="417">
        <v>331901302010000</v>
      </c>
      <c r="F1070" s="418" t="s">
        <v>7019</v>
      </c>
      <c r="G1070" s="603">
        <v>1</v>
      </c>
      <c r="H1070" s="603">
        <v>0</v>
      </c>
      <c r="I1070" s="601">
        <v>312219900000000</v>
      </c>
      <c r="J1070" s="602" t="s">
        <v>6036</v>
      </c>
      <c r="K1070" s="891">
        <v>0</v>
      </c>
      <c r="L1070" s="891">
        <v>0</v>
      </c>
      <c r="M1070" s="477">
        <f t="shared" ref="M1070:M1072" si="194">L1070/L$1180</f>
        <v>0</v>
      </c>
      <c r="N1070" s="796"/>
      <c r="P1070" s="399"/>
    </row>
    <row r="1071" spans="1:16" s="668" customFormat="1" ht="15" customHeight="1" x14ac:dyDescent="0.25">
      <c r="A1071" s="397"/>
      <c r="B1071" s="599">
        <f>B1070+1</f>
        <v>46202</v>
      </c>
      <c r="C1071" s="600" t="s">
        <v>6062</v>
      </c>
      <c r="D1071" s="528" t="str">
        <f>D1070</f>
        <v>46200</v>
      </c>
      <c r="E1071" s="417">
        <v>331901302010000</v>
      </c>
      <c r="F1071" s="418" t="s">
        <v>7020</v>
      </c>
      <c r="G1071" s="603">
        <v>1</v>
      </c>
      <c r="H1071" s="603">
        <v>0</v>
      </c>
      <c r="I1071" s="601">
        <v>312219900000000</v>
      </c>
      <c r="J1071" s="602" t="s">
        <v>6037</v>
      </c>
      <c r="K1071" s="891">
        <v>0</v>
      </c>
      <c r="L1071" s="891">
        <v>0</v>
      </c>
      <c r="M1071" s="477">
        <f t="shared" si="194"/>
        <v>0</v>
      </c>
      <c r="N1071" s="796"/>
      <c r="P1071" s="399"/>
    </row>
    <row r="1072" spans="1:16" s="668" customFormat="1" ht="15" customHeight="1" x14ac:dyDescent="0.25">
      <c r="A1072" s="397"/>
      <c r="B1072" s="599">
        <f>B1071+1</f>
        <v>46203</v>
      </c>
      <c r="C1072" s="600" t="s">
        <v>6062</v>
      </c>
      <c r="D1072" s="528" t="str">
        <f>D1071</f>
        <v>46200</v>
      </c>
      <c r="E1072" s="417">
        <v>331901302010000</v>
      </c>
      <c r="F1072" s="418" t="s">
        <v>10213</v>
      </c>
      <c r="G1072" s="603">
        <v>1</v>
      </c>
      <c r="H1072" s="603">
        <v>0</v>
      </c>
      <c r="I1072" s="601">
        <v>312219900000000</v>
      </c>
      <c r="J1072" s="602" t="s">
        <v>6038</v>
      </c>
      <c r="K1072" s="891">
        <v>0</v>
      </c>
      <c r="L1072" s="891">
        <v>0</v>
      </c>
      <c r="M1072" s="477">
        <f t="shared" si="194"/>
        <v>0</v>
      </c>
      <c r="N1072" s="796"/>
      <c r="P1072" s="399"/>
    </row>
    <row r="1073" spans="1:16" s="115" customFormat="1" ht="15" customHeight="1" x14ac:dyDescent="0.25">
      <c r="A1073" s="396"/>
      <c r="B1073" s="1398" t="s">
        <v>7429</v>
      </c>
      <c r="C1073" s="1398"/>
      <c r="D1073" s="1398"/>
      <c r="E1073" s="854">
        <v>331901600000000</v>
      </c>
      <c r="F1073" s="855" t="s">
        <v>5736</v>
      </c>
      <c r="G1073" s="468">
        <v>1</v>
      </c>
      <c r="H1073" s="468">
        <v>0</v>
      </c>
      <c r="I1073" s="751"/>
      <c r="J1073" s="878" t="s">
        <v>7424</v>
      </c>
      <c r="K1073" s="789">
        <f>'Parâmetros financeiros Despesa'!E490</f>
        <v>0</v>
      </c>
      <c r="L1073" s="789">
        <f>('Parâmetros financeiros Despesa'!F490)*2.05+(('Parâmetros financeiros Despesa'!F490)*11.28)*(1+'Parâmetros financeiros Despesa'!F$4)*(1+'Parâmetros financeiros Despesa'!F$8)</f>
        <v>13.955830560223728</v>
      </c>
      <c r="M1073" s="799">
        <f>L1073/L$1180</f>
        <v>3.7388341773793012E-5</v>
      </c>
      <c r="N1073" s="894"/>
      <c r="O1073" s="796"/>
      <c r="P1073" s="733"/>
    </row>
    <row r="1074" spans="1:16" s="668" customFormat="1" ht="15" customHeight="1" x14ac:dyDescent="0.25">
      <c r="A1074" s="397"/>
      <c r="B1074" s="599" t="s">
        <v>7195</v>
      </c>
      <c r="C1074" s="600" t="s">
        <v>6062</v>
      </c>
      <c r="D1074" s="528">
        <v>25300</v>
      </c>
      <c r="E1074" s="417">
        <v>331901644000000</v>
      </c>
      <c r="F1074" s="418" t="s">
        <v>4925</v>
      </c>
      <c r="G1074" s="603">
        <v>1</v>
      </c>
      <c r="H1074" s="603">
        <v>0</v>
      </c>
      <c r="I1074" s="601">
        <v>311210203000000</v>
      </c>
      <c r="J1074" s="602" t="s">
        <v>6039</v>
      </c>
      <c r="K1074" s="891">
        <v>0</v>
      </c>
      <c r="L1074" s="891">
        <v>0</v>
      </c>
      <c r="M1074" s="477">
        <f t="shared" ref="M1074:M1075" si="195">L1074/L$1180</f>
        <v>0</v>
      </c>
      <c r="N1074" s="796"/>
      <c r="P1074" s="399"/>
    </row>
    <row r="1075" spans="1:16" s="668" customFormat="1" ht="15" customHeight="1" x14ac:dyDescent="0.25">
      <c r="A1075" s="397"/>
      <c r="B1075" s="599" t="s">
        <v>7196</v>
      </c>
      <c r="C1075" s="600" t="s">
        <v>6062</v>
      </c>
      <c r="D1075" s="528">
        <v>25300</v>
      </c>
      <c r="E1075" s="417">
        <v>331901644000000</v>
      </c>
      <c r="F1075" s="418" t="s">
        <v>2155</v>
      </c>
      <c r="G1075" s="603">
        <v>1</v>
      </c>
      <c r="H1075" s="603">
        <v>0</v>
      </c>
      <c r="I1075" s="601">
        <v>311210203000000</v>
      </c>
      <c r="J1075" s="602" t="s">
        <v>6039</v>
      </c>
      <c r="K1075" s="891">
        <v>0</v>
      </c>
      <c r="L1075" s="891">
        <v>0</v>
      </c>
      <c r="M1075" s="477">
        <f t="shared" si="195"/>
        <v>0</v>
      </c>
      <c r="N1075" s="796"/>
      <c r="P1075" s="399"/>
    </row>
    <row r="1076" spans="1:16" s="115" customFormat="1" ht="15" customHeight="1" x14ac:dyDescent="0.25">
      <c r="A1076" s="396"/>
      <c r="B1076" s="1398" t="s">
        <v>7430</v>
      </c>
      <c r="C1076" s="1398"/>
      <c r="D1076" s="1398"/>
      <c r="E1076" s="854">
        <v>333901400000000</v>
      </c>
      <c r="F1076" s="855" t="s">
        <v>6568</v>
      </c>
      <c r="G1076" s="468">
        <v>1</v>
      </c>
      <c r="H1076" s="468">
        <v>0</v>
      </c>
      <c r="I1076" s="751"/>
      <c r="J1076" s="878" t="s">
        <v>7432</v>
      </c>
      <c r="K1076" s="789">
        <f>'Parâmetros financeiros Despesa'!E492</f>
        <v>726</v>
      </c>
      <c r="L1076" s="789">
        <f>('Parâmetros financeiros Despesa'!F492)*2+(('Parâmetros financeiros Despesa'!F492)*10)*(1+'Parâmetros financeiros Despesa'!F$4)*(1+'Parâmetros financeiros Despesa'!F$8)</f>
        <v>6277.4071632197383</v>
      </c>
      <c r="M1076" s="799">
        <f>L1076/L$1180</f>
        <v>1.6817475925843678E-2</v>
      </c>
      <c r="N1076" s="894"/>
      <c r="O1076" s="796"/>
      <c r="P1076" s="733"/>
    </row>
    <row r="1077" spans="1:16" s="668" customFormat="1" ht="15" customHeight="1" x14ac:dyDescent="0.25">
      <c r="A1077" s="397"/>
      <c r="B1077" s="599">
        <f>B1076+1</f>
        <v>46401</v>
      </c>
      <c r="C1077" s="600" t="s">
        <v>6062</v>
      </c>
      <c r="D1077" s="528" t="str">
        <f>B1076</f>
        <v>46400</v>
      </c>
      <c r="E1077" s="417">
        <v>333901414010000</v>
      </c>
      <c r="F1077" s="418" t="s">
        <v>2156</v>
      </c>
      <c r="G1077" s="603">
        <v>1</v>
      </c>
      <c r="H1077" s="603">
        <v>0</v>
      </c>
      <c r="I1077" s="601">
        <v>332110100000000</v>
      </c>
      <c r="J1077" s="602" t="s">
        <v>6090</v>
      </c>
      <c r="K1077" s="891">
        <v>0</v>
      </c>
      <c r="L1077" s="891">
        <v>0</v>
      </c>
      <c r="M1077" s="477">
        <f t="shared" ref="M1077:M1080" si="196">L1077/L$1180</f>
        <v>0</v>
      </c>
      <c r="N1077" s="796"/>
      <c r="P1077" s="399"/>
    </row>
    <row r="1078" spans="1:16" s="668" customFormat="1" ht="15" customHeight="1" x14ac:dyDescent="0.25">
      <c r="A1078" s="397"/>
      <c r="B1078" s="599">
        <f>B1077+1</f>
        <v>46402</v>
      </c>
      <c r="C1078" s="600" t="s">
        <v>6062</v>
      </c>
      <c r="D1078" s="528">
        <v>46400</v>
      </c>
      <c r="E1078" s="417">
        <v>333901414030000</v>
      </c>
      <c r="F1078" s="418" t="s">
        <v>2157</v>
      </c>
      <c r="G1078" s="603">
        <v>1</v>
      </c>
      <c r="H1078" s="603">
        <v>0</v>
      </c>
      <c r="I1078" s="601">
        <v>332110100000000</v>
      </c>
      <c r="J1078" s="602" t="s">
        <v>6088</v>
      </c>
      <c r="K1078" s="891">
        <v>0</v>
      </c>
      <c r="L1078" s="891">
        <v>0</v>
      </c>
      <c r="M1078" s="477">
        <f t="shared" si="196"/>
        <v>0</v>
      </c>
      <c r="N1078" s="796"/>
      <c r="P1078" s="399"/>
    </row>
    <row r="1079" spans="1:16" s="668" customFormat="1" ht="15" customHeight="1" x14ac:dyDescent="0.25">
      <c r="A1079" s="397"/>
      <c r="B1079" s="599">
        <f>B1078+1</f>
        <v>46403</v>
      </c>
      <c r="C1079" s="600" t="s">
        <v>6062</v>
      </c>
      <c r="D1079" s="528">
        <f>D1078</f>
        <v>46400</v>
      </c>
      <c r="E1079" s="417">
        <v>333901414040000</v>
      </c>
      <c r="F1079" s="418" t="s">
        <v>10214</v>
      </c>
      <c r="G1079" s="603">
        <v>1</v>
      </c>
      <c r="H1079" s="603">
        <v>0</v>
      </c>
      <c r="I1079" s="601">
        <v>332110100000000</v>
      </c>
      <c r="J1079" s="602" t="s">
        <v>6086</v>
      </c>
      <c r="K1079" s="891">
        <v>0</v>
      </c>
      <c r="L1079" s="891">
        <v>0</v>
      </c>
      <c r="M1079" s="477">
        <f t="shared" si="196"/>
        <v>0</v>
      </c>
      <c r="N1079" s="796"/>
      <c r="P1079" s="399"/>
    </row>
    <row r="1080" spans="1:16" s="668" customFormat="1" ht="15" customHeight="1" x14ac:dyDescent="0.25">
      <c r="A1080" s="397"/>
      <c r="B1080" s="599">
        <f>B1079+1</f>
        <v>46404</v>
      </c>
      <c r="C1080" s="600" t="s">
        <v>6062</v>
      </c>
      <c r="D1080" s="528">
        <f>D1079</f>
        <v>46400</v>
      </c>
      <c r="E1080" s="417">
        <v>333901414070000</v>
      </c>
      <c r="F1080" s="418" t="s">
        <v>2788</v>
      </c>
      <c r="G1080" s="603">
        <v>1</v>
      </c>
      <c r="H1080" s="603">
        <v>0</v>
      </c>
      <c r="I1080" s="601">
        <v>332110100000000</v>
      </c>
      <c r="J1080" s="602" t="s">
        <v>6086</v>
      </c>
      <c r="K1080" s="891">
        <v>0</v>
      </c>
      <c r="L1080" s="891">
        <v>0</v>
      </c>
      <c r="M1080" s="477">
        <f t="shared" si="196"/>
        <v>0</v>
      </c>
      <c r="N1080" s="796"/>
      <c r="P1080" s="399"/>
    </row>
    <row r="1081" spans="1:16" s="115" customFormat="1" ht="15" customHeight="1" x14ac:dyDescent="0.25">
      <c r="A1081" s="396"/>
      <c r="B1081" s="1396">
        <v>46500</v>
      </c>
      <c r="C1081" s="1396"/>
      <c r="D1081" s="1396"/>
      <c r="E1081" s="854">
        <v>333903000000000</v>
      </c>
      <c r="F1081" s="855" t="s">
        <v>7431</v>
      </c>
      <c r="G1081" s="468">
        <v>1</v>
      </c>
      <c r="H1081" s="468">
        <v>0</v>
      </c>
      <c r="I1081" s="751"/>
      <c r="J1081" s="878" t="s">
        <v>7432</v>
      </c>
      <c r="K1081" s="789">
        <f>('Parâmetros financeiros Despesa'!E493+'Parâmetros financeiros Despesa'!E494)</f>
        <v>9154.8440499999997</v>
      </c>
      <c r="L1081" s="789">
        <f>('Parâmetros financeiros Despesa'!F493+'Parâmetros financeiros Despesa'!F494)*(1+'Parâmetros financeiros Despesa'!F$4)*(1+'Parâmetros financeiros Despesa'!F$7)</f>
        <v>12162.477845302576</v>
      </c>
      <c r="M1081" s="799">
        <f>L1081/L$1180</f>
        <v>3.2583863535318558E-2</v>
      </c>
      <c r="N1081" s="894"/>
      <c r="O1081" s="796"/>
      <c r="P1081" s="733"/>
    </row>
    <row r="1082" spans="1:16" s="668" customFormat="1" ht="15" customHeight="1" x14ac:dyDescent="0.25">
      <c r="A1082" s="397"/>
      <c r="B1082" s="478">
        <f>B1081+1</f>
        <v>46501</v>
      </c>
      <c r="C1082" s="528" t="s">
        <v>6062</v>
      </c>
      <c r="D1082" s="528">
        <v>46500</v>
      </c>
      <c r="E1082" s="417">
        <v>333903001010300</v>
      </c>
      <c r="F1082" s="418" t="s">
        <v>7138</v>
      </c>
      <c r="G1082" s="603">
        <v>1</v>
      </c>
      <c r="H1082" s="603">
        <v>0</v>
      </c>
      <c r="I1082" s="601"/>
      <c r="J1082" s="602" t="s">
        <v>6095</v>
      </c>
      <c r="K1082" s="891">
        <v>0</v>
      </c>
      <c r="L1082" s="891">
        <v>0</v>
      </c>
      <c r="M1082" s="477">
        <f t="shared" ref="M1082:M1109" si="197">L1082/L$1180</f>
        <v>0</v>
      </c>
      <c r="N1082" s="796"/>
      <c r="P1082" s="399"/>
    </row>
    <row r="1083" spans="1:16" s="668" customFormat="1" ht="15" customHeight="1" x14ac:dyDescent="0.25">
      <c r="A1083" s="397"/>
      <c r="B1083" s="478">
        <f>B1082+1</f>
        <v>46502</v>
      </c>
      <c r="C1083" s="528" t="s">
        <v>6062</v>
      </c>
      <c r="D1083" s="528">
        <v>46500</v>
      </c>
      <c r="E1083" s="417">
        <v>333903001012200</v>
      </c>
      <c r="F1083" s="418" t="s">
        <v>7139</v>
      </c>
      <c r="G1083" s="603">
        <v>1</v>
      </c>
      <c r="H1083" s="603">
        <v>0</v>
      </c>
      <c r="I1083" s="601"/>
      <c r="J1083" s="602" t="s">
        <v>6095</v>
      </c>
      <c r="K1083" s="891">
        <v>0</v>
      </c>
      <c r="L1083" s="891">
        <v>0</v>
      </c>
      <c r="M1083" s="477">
        <f t="shared" si="197"/>
        <v>0</v>
      </c>
      <c r="N1083" s="796"/>
      <c r="P1083" s="399"/>
    </row>
    <row r="1084" spans="1:16" s="668" customFormat="1" ht="15" customHeight="1" x14ac:dyDescent="0.25">
      <c r="A1084" s="397"/>
      <c r="B1084" s="478">
        <f>B1083+1</f>
        <v>46503</v>
      </c>
      <c r="C1084" s="528" t="s">
        <v>6062</v>
      </c>
      <c r="D1084" s="528">
        <v>46500</v>
      </c>
      <c r="E1084" s="417">
        <v>333903001012600</v>
      </c>
      <c r="F1084" s="418" t="s">
        <v>7140</v>
      </c>
      <c r="G1084" s="603">
        <v>1</v>
      </c>
      <c r="H1084" s="603">
        <v>0</v>
      </c>
      <c r="I1084" s="601"/>
      <c r="J1084" s="602" t="s">
        <v>6095</v>
      </c>
      <c r="K1084" s="891">
        <v>0</v>
      </c>
      <c r="L1084" s="891">
        <v>0</v>
      </c>
      <c r="M1084" s="477">
        <f t="shared" si="197"/>
        <v>0</v>
      </c>
      <c r="N1084" s="796"/>
      <c r="P1084" s="399"/>
    </row>
    <row r="1085" spans="1:16" s="668" customFormat="1" ht="15" customHeight="1" x14ac:dyDescent="0.25">
      <c r="A1085" s="397"/>
      <c r="B1085" s="478">
        <f>B1084+1</f>
        <v>46504</v>
      </c>
      <c r="C1085" s="528" t="s">
        <v>6062</v>
      </c>
      <c r="D1085" s="528">
        <v>46500</v>
      </c>
      <c r="E1085" s="417">
        <v>333903001034300</v>
      </c>
      <c r="F1085" s="418" t="s">
        <v>7141</v>
      </c>
      <c r="G1085" s="603">
        <v>1</v>
      </c>
      <c r="H1085" s="603">
        <v>0</v>
      </c>
      <c r="I1085" s="601"/>
      <c r="J1085" s="602" t="s">
        <v>6095</v>
      </c>
      <c r="K1085" s="891">
        <v>0</v>
      </c>
      <c r="L1085" s="891">
        <v>0</v>
      </c>
      <c r="M1085" s="477">
        <f t="shared" si="197"/>
        <v>0</v>
      </c>
      <c r="N1085" s="796"/>
      <c r="P1085" s="399"/>
    </row>
    <row r="1086" spans="1:16" s="668" customFormat="1" ht="15" customHeight="1" x14ac:dyDescent="0.25">
      <c r="A1086" s="397"/>
      <c r="B1086" s="478">
        <v>24001</v>
      </c>
      <c r="C1086" s="528" t="s">
        <v>6062</v>
      </c>
      <c r="D1086" s="528">
        <v>46500</v>
      </c>
      <c r="E1086" s="417">
        <v>333903004000000</v>
      </c>
      <c r="F1086" s="418" t="s">
        <v>2164</v>
      </c>
      <c r="G1086" s="603">
        <v>1</v>
      </c>
      <c r="H1086" s="603">
        <v>0</v>
      </c>
      <c r="I1086" s="601">
        <v>331110300000000</v>
      </c>
      <c r="J1086" s="602" t="s">
        <v>6095</v>
      </c>
      <c r="K1086" s="891">
        <v>0</v>
      </c>
      <c r="L1086" s="891">
        <v>0</v>
      </c>
      <c r="M1086" s="477">
        <f t="shared" si="197"/>
        <v>0</v>
      </c>
      <c r="N1086" s="796"/>
      <c r="P1086" s="399"/>
    </row>
    <row r="1087" spans="1:16" s="668" customFormat="1" ht="15" customHeight="1" x14ac:dyDescent="0.25">
      <c r="A1087" s="397"/>
      <c r="B1087" s="478">
        <f t="shared" ref="B1087:B1109" si="198">B1086+1</f>
        <v>24002</v>
      </c>
      <c r="C1087" s="528" t="s">
        <v>6062</v>
      </c>
      <c r="D1087" s="528">
        <v>46500</v>
      </c>
      <c r="E1087" s="417">
        <v>333903004000000</v>
      </c>
      <c r="F1087" s="418" t="s">
        <v>5747</v>
      </c>
      <c r="G1087" s="603">
        <v>1</v>
      </c>
      <c r="H1087" s="603">
        <v>0</v>
      </c>
      <c r="I1087" s="601">
        <v>1322</v>
      </c>
      <c r="J1087" s="602" t="s">
        <v>6095</v>
      </c>
      <c r="K1087" s="891">
        <v>0</v>
      </c>
      <c r="L1087" s="891">
        <v>0</v>
      </c>
      <c r="M1087" s="477">
        <f t="shared" si="197"/>
        <v>0</v>
      </c>
      <c r="N1087" s="796"/>
      <c r="P1087" s="399"/>
    </row>
    <row r="1088" spans="1:16" s="668" customFormat="1" ht="15" customHeight="1" x14ac:dyDescent="0.25">
      <c r="A1088" s="397"/>
      <c r="B1088" s="478">
        <f t="shared" si="198"/>
        <v>24003</v>
      </c>
      <c r="C1088" s="528" t="s">
        <v>6062</v>
      </c>
      <c r="D1088" s="528">
        <v>46500</v>
      </c>
      <c r="E1088" s="417">
        <v>333903007000000</v>
      </c>
      <c r="F1088" s="418" t="s">
        <v>2267</v>
      </c>
      <c r="G1088" s="603">
        <v>1</v>
      </c>
      <c r="H1088" s="603">
        <v>0</v>
      </c>
      <c r="I1088" s="601">
        <v>331110600000000</v>
      </c>
      <c r="J1088" s="602" t="s">
        <v>6096</v>
      </c>
      <c r="K1088" s="891">
        <v>0</v>
      </c>
      <c r="L1088" s="891">
        <v>0</v>
      </c>
      <c r="M1088" s="477">
        <f t="shared" si="197"/>
        <v>0</v>
      </c>
      <c r="N1088" s="796"/>
      <c r="P1088" s="399"/>
    </row>
    <row r="1089" spans="1:16" s="668" customFormat="1" ht="15" customHeight="1" x14ac:dyDescent="0.25">
      <c r="A1089" s="397"/>
      <c r="B1089" s="478">
        <f>B1088+1</f>
        <v>24004</v>
      </c>
      <c r="C1089" s="528" t="s">
        <v>6062</v>
      </c>
      <c r="D1089" s="528">
        <v>46500</v>
      </c>
      <c r="E1089" s="417">
        <v>333903007000000</v>
      </c>
      <c r="F1089" s="418" t="s">
        <v>5749</v>
      </c>
      <c r="G1089" s="603">
        <v>1</v>
      </c>
      <c r="H1089" s="603">
        <v>0</v>
      </c>
      <c r="I1089" s="601">
        <v>30</v>
      </c>
      <c r="J1089" s="602" t="s">
        <v>6096</v>
      </c>
      <c r="K1089" s="891">
        <v>0</v>
      </c>
      <c r="L1089" s="891">
        <v>0</v>
      </c>
      <c r="M1089" s="477">
        <f t="shared" si="197"/>
        <v>0</v>
      </c>
      <c r="N1089" s="796"/>
      <c r="P1089" s="399"/>
    </row>
    <row r="1090" spans="1:16" s="668" customFormat="1" ht="15" customHeight="1" x14ac:dyDescent="0.25">
      <c r="A1090" s="397"/>
      <c r="B1090" s="478">
        <f>B1089+1</f>
        <v>24005</v>
      </c>
      <c r="C1090" s="528" t="s">
        <v>6062</v>
      </c>
      <c r="D1090" s="528">
        <v>46500</v>
      </c>
      <c r="E1090" s="417">
        <v>333903007000000</v>
      </c>
      <c r="F1090" s="418" t="s">
        <v>6923</v>
      </c>
      <c r="G1090" s="603">
        <v>1</v>
      </c>
      <c r="H1090" s="603">
        <v>0</v>
      </c>
      <c r="I1090" s="601">
        <v>331110600000000</v>
      </c>
      <c r="J1090" s="602" t="s">
        <v>6096</v>
      </c>
      <c r="K1090" s="891">
        <v>0</v>
      </c>
      <c r="L1090" s="891">
        <v>0</v>
      </c>
      <c r="M1090" s="477">
        <f t="shared" si="197"/>
        <v>0</v>
      </c>
      <c r="N1090" s="796"/>
      <c r="P1090" s="399"/>
    </row>
    <row r="1091" spans="1:16" s="668" customFormat="1" ht="15" customHeight="1" x14ac:dyDescent="0.25">
      <c r="A1091" s="397"/>
      <c r="B1091" s="478">
        <f>B1090+1</f>
        <v>24006</v>
      </c>
      <c r="C1091" s="528" t="s">
        <v>6062</v>
      </c>
      <c r="D1091" s="528">
        <v>46500</v>
      </c>
      <c r="E1091" s="417">
        <v>333903007000000</v>
      </c>
      <c r="F1091" s="418" t="s">
        <v>6924</v>
      </c>
      <c r="G1091" s="603">
        <v>1</v>
      </c>
      <c r="H1091" s="603">
        <v>0</v>
      </c>
      <c r="I1091" s="601">
        <v>30</v>
      </c>
      <c r="J1091" s="602" t="s">
        <v>6096</v>
      </c>
      <c r="K1091" s="891">
        <v>0</v>
      </c>
      <c r="L1091" s="891">
        <v>0</v>
      </c>
      <c r="M1091" s="477">
        <f t="shared" si="197"/>
        <v>0</v>
      </c>
      <c r="N1091" s="796"/>
      <c r="P1091" s="399"/>
    </row>
    <row r="1092" spans="1:16" s="668" customFormat="1" ht="15" customHeight="1" x14ac:dyDescent="0.25">
      <c r="A1092" s="397"/>
      <c r="B1092" s="478">
        <f>B1091+1</f>
        <v>24007</v>
      </c>
      <c r="C1092" s="528" t="s">
        <v>6062</v>
      </c>
      <c r="D1092" s="528">
        <v>46500</v>
      </c>
      <c r="E1092" s="417">
        <v>333903016000000</v>
      </c>
      <c r="F1092" s="418" t="s">
        <v>2264</v>
      </c>
      <c r="G1092" s="603">
        <v>1</v>
      </c>
      <c r="H1092" s="603">
        <v>0</v>
      </c>
      <c r="I1092" s="601">
        <v>331111600000000</v>
      </c>
      <c r="J1092" s="602" t="s">
        <v>6097</v>
      </c>
      <c r="K1092" s="891">
        <v>0</v>
      </c>
      <c r="L1092" s="891">
        <v>0</v>
      </c>
      <c r="M1092" s="477">
        <f t="shared" si="197"/>
        <v>0</v>
      </c>
      <c r="N1092" s="796"/>
      <c r="P1092" s="399"/>
    </row>
    <row r="1093" spans="1:16" s="668" customFormat="1" ht="15" customHeight="1" x14ac:dyDescent="0.25">
      <c r="A1093" s="397"/>
      <c r="B1093" s="478">
        <f t="shared" si="198"/>
        <v>24008</v>
      </c>
      <c r="C1093" s="528" t="s">
        <v>6062</v>
      </c>
      <c r="D1093" s="528">
        <v>46500</v>
      </c>
      <c r="E1093" s="417">
        <v>333903016000000</v>
      </c>
      <c r="F1093" s="418" t="s">
        <v>5751</v>
      </c>
      <c r="G1093" s="603">
        <v>1</v>
      </c>
      <c r="H1093" s="603">
        <v>0</v>
      </c>
      <c r="I1093" s="601">
        <v>35</v>
      </c>
      <c r="J1093" s="602" t="s">
        <v>6097</v>
      </c>
      <c r="K1093" s="891">
        <v>0</v>
      </c>
      <c r="L1093" s="891">
        <v>0</v>
      </c>
      <c r="M1093" s="477">
        <f t="shared" si="197"/>
        <v>0</v>
      </c>
      <c r="N1093" s="796"/>
      <c r="P1093" s="399"/>
    </row>
    <row r="1094" spans="1:16" s="668" customFormat="1" ht="15" customHeight="1" x14ac:dyDescent="0.25">
      <c r="A1094" s="397"/>
      <c r="B1094" s="478">
        <f t="shared" si="198"/>
        <v>24009</v>
      </c>
      <c r="C1094" s="528" t="s">
        <v>6062</v>
      </c>
      <c r="D1094" s="528">
        <v>46500</v>
      </c>
      <c r="E1094" s="417">
        <v>333903017000000</v>
      </c>
      <c r="F1094" s="418" t="s">
        <v>5753</v>
      </c>
      <c r="G1094" s="603">
        <v>1</v>
      </c>
      <c r="H1094" s="603">
        <v>0</v>
      </c>
      <c r="I1094" s="601">
        <v>331111700000000</v>
      </c>
      <c r="J1094" s="602" t="s">
        <v>6098</v>
      </c>
      <c r="K1094" s="891">
        <v>0</v>
      </c>
      <c r="L1094" s="891">
        <v>0</v>
      </c>
      <c r="M1094" s="477">
        <f t="shared" si="197"/>
        <v>0</v>
      </c>
      <c r="N1094" s="796"/>
      <c r="P1094" s="399"/>
    </row>
    <row r="1095" spans="1:16" s="668" customFormat="1" ht="15" customHeight="1" x14ac:dyDescent="0.25">
      <c r="A1095" s="397"/>
      <c r="B1095" s="478">
        <f t="shared" si="198"/>
        <v>24010</v>
      </c>
      <c r="C1095" s="528" t="s">
        <v>6062</v>
      </c>
      <c r="D1095" s="528">
        <v>46500</v>
      </c>
      <c r="E1095" s="417">
        <v>333903017000000</v>
      </c>
      <c r="F1095" s="418" t="s">
        <v>5754</v>
      </c>
      <c r="G1095" s="603">
        <v>1</v>
      </c>
      <c r="H1095" s="603">
        <v>0</v>
      </c>
      <c r="I1095" s="601">
        <v>617</v>
      </c>
      <c r="J1095" s="602" t="s">
        <v>6098</v>
      </c>
      <c r="K1095" s="891">
        <v>0</v>
      </c>
      <c r="L1095" s="891">
        <v>0</v>
      </c>
      <c r="M1095" s="477">
        <f t="shared" si="197"/>
        <v>0</v>
      </c>
      <c r="N1095" s="796"/>
      <c r="P1095" s="399"/>
    </row>
    <row r="1096" spans="1:16" s="668" customFormat="1" ht="15" customHeight="1" x14ac:dyDescent="0.25">
      <c r="A1096" s="397"/>
      <c r="B1096" s="478">
        <f t="shared" si="198"/>
        <v>24011</v>
      </c>
      <c r="C1096" s="528" t="s">
        <v>6062</v>
      </c>
      <c r="D1096" s="528">
        <v>46500</v>
      </c>
      <c r="E1096" s="417">
        <v>333903021000000</v>
      </c>
      <c r="F1096" s="418" t="s">
        <v>5868</v>
      </c>
      <c r="G1096" s="603">
        <v>1</v>
      </c>
      <c r="H1096" s="603">
        <v>0</v>
      </c>
      <c r="I1096" s="601">
        <v>331112100000000</v>
      </c>
      <c r="J1096" s="602" t="s">
        <v>6099</v>
      </c>
      <c r="K1096" s="891">
        <v>0</v>
      </c>
      <c r="L1096" s="891">
        <v>0</v>
      </c>
      <c r="M1096" s="477">
        <f t="shared" si="197"/>
        <v>0</v>
      </c>
      <c r="N1096" s="796"/>
      <c r="P1096" s="399"/>
    </row>
    <row r="1097" spans="1:16" s="668" customFormat="1" ht="15" customHeight="1" x14ac:dyDescent="0.25">
      <c r="A1097" s="397"/>
      <c r="B1097" s="478">
        <f t="shared" si="198"/>
        <v>24012</v>
      </c>
      <c r="C1097" s="528" t="s">
        <v>6062</v>
      </c>
      <c r="D1097" s="528">
        <v>46500</v>
      </c>
      <c r="E1097" s="417">
        <v>333903021000000</v>
      </c>
      <c r="F1097" s="418" t="s">
        <v>5869</v>
      </c>
      <c r="G1097" s="603">
        <v>1</v>
      </c>
      <c r="H1097" s="603">
        <v>0</v>
      </c>
      <c r="I1097" s="601">
        <v>28</v>
      </c>
      <c r="J1097" s="602" t="s">
        <v>6099</v>
      </c>
      <c r="K1097" s="891">
        <v>0</v>
      </c>
      <c r="L1097" s="891">
        <v>0</v>
      </c>
      <c r="M1097" s="477">
        <f t="shared" si="197"/>
        <v>0</v>
      </c>
      <c r="N1097" s="796"/>
      <c r="P1097" s="399"/>
    </row>
    <row r="1098" spans="1:16" s="668" customFormat="1" ht="15" customHeight="1" x14ac:dyDescent="0.25">
      <c r="A1098" s="397"/>
      <c r="B1098" s="478">
        <f t="shared" si="198"/>
        <v>24013</v>
      </c>
      <c r="C1098" s="528" t="s">
        <v>6062</v>
      </c>
      <c r="D1098" s="528">
        <v>46500</v>
      </c>
      <c r="E1098" s="417">
        <v>333903022000000</v>
      </c>
      <c r="F1098" s="418" t="s">
        <v>5757</v>
      </c>
      <c r="G1098" s="603">
        <v>1</v>
      </c>
      <c r="H1098" s="603">
        <v>0</v>
      </c>
      <c r="I1098" s="601">
        <v>331112200000000</v>
      </c>
      <c r="J1098" s="602" t="s">
        <v>6100</v>
      </c>
      <c r="K1098" s="891">
        <v>0</v>
      </c>
      <c r="L1098" s="891">
        <v>0</v>
      </c>
      <c r="M1098" s="477">
        <f t="shared" si="197"/>
        <v>0</v>
      </c>
      <c r="N1098" s="796"/>
      <c r="P1098" s="399"/>
    </row>
    <row r="1099" spans="1:16" s="668" customFormat="1" ht="15" customHeight="1" x14ac:dyDescent="0.25">
      <c r="A1099" s="397"/>
      <c r="B1099" s="478">
        <f t="shared" si="198"/>
        <v>24014</v>
      </c>
      <c r="C1099" s="528" t="s">
        <v>6062</v>
      </c>
      <c r="D1099" s="528">
        <v>46500</v>
      </c>
      <c r="E1099" s="417">
        <v>333903022000000</v>
      </c>
      <c r="F1099" s="418" t="s">
        <v>5758</v>
      </c>
      <c r="G1099" s="603">
        <v>1</v>
      </c>
      <c r="H1099" s="603">
        <v>0</v>
      </c>
      <c r="I1099" s="601">
        <v>28</v>
      </c>
      <c r="J1099" s="602" t="s">
        <v>6100</v>
      </c>
      <c r="K1099" s="891">
        <v>0</v>
      </c>
      <c r="L1099" s="891">
        <v>0</v>
      </c>
      <c r="M1099" s="477">
        <f t="shared" si="197"/>
        <v>0</v>
      </c>
      <c r="N1099" s="796"/>
      <c r="P1099" s="399"/>
    </row>
    <row r="1100" spans="1:16" s="668" customFormat="1" ht="15" customHeight="1" x14ac:dyDescent="0.25">
      <c r="A1100" s="397"/>
      <c r="B1100" s="478">
        <f t="shared" si="198"/>
        <v>24015</v>
      </c>
      <c r="C1100" s="528" t="s">
        <v>6062</v>
      </c>
      <c r="D1100" s="528">
        <v>46500</v>
      </c>
      <c r="E1100" s="417">
        <v>333903024000000</v>
      </c>
      <c r="F1100" s="418" t="s">
        <v>5760</v>
      </c>
      <c r="G1100" s="603">
        <v>1</v>
      </c>
      <c r="H1100" s="603">
        <v>0</v>
      </c>
      <c r="I1100" s="601">
        <v>331112400000000</v>
      </c>
      <c r="J1100" s="602" t="s">
        <v>6101</v>
      </c>
      <c r="K1100" s="891">
        <v>0</v>
      </c>
      <c r="L1100" s="891">
        <v>0</v>
      </c>
      <c r="M1100" s="477">
        <f t="shared" si="197"/>
        <v>0</v>
      </c>
      <c r="N1100" s="796"/>
      <c r="P1100" s="399"/>
    </row>
    <row r="1101" spans="1:16" s="668" customFormat="1" ht="15" customHeight="1" x14ac:dyDescent="0.25">
      <c r="A1101" s="397"/>
      <c r="B1101" s="478">
        <f t="shared" si="198"/>
        <v>24016</v>
      </c>
      <c r="C1101" s="528" t="s">
        <v>6062</v>
      </c>
      <c r="D1101" s="528">
        <v>46500</v>
      </c>
      <c r="E1101" s="417">
        <v>333903024000000</v>
      </c>
      <c r="F1101" s="418" t="s">
        <v>5759</v>
      </c>
      <c r="G1101" s="603">
        <v>1</v>
      </c>
      <c r="H1101" s="603">
        <v>0</v>
      </c>
      <c r="I1101" s="601">
        <v>28</v>
      </c>
      <c r="J1101" s="602" t="s">
        <v>6101</v>
      </c>
      <c r="K1101" s="891">
        <v>0</v>
      </c>
      <c r="L1101" s="891">
        <v>0</v>
      </c>
      <c r="M1101" s="477">
        <f t="shared" si="197"/>
        <v>0</v>
      </c>
      <c r="N1101" s="796"/>
      <c r="P1101" s="399"/>
    </row>
    <row r="1102" spans="1:16" s="668" customFormat="1" ht="15" customHeight="1" x14ac:dyDescent="0.25">
      <c r="A1102" s="397"/>
      <c r="B1102" s="478">
        <f t="shared" si="198"/>
        <v>24017</v>
      </c>
      <c r="C1102" s="528" t="s">
        <v>6062</v>
      </c>
      <c r="D1102" s="528">
        <v>46500</v>
      </c>
      <c r="E1102" s="417">
        <v>333903026000000</v>
      </c>
      <c r="F1102" s="418" t="s">
        <v>5933</v>
      </c>
      <c r="G1102" s="603">
        <v>1</v>
      </c>
      <c r="H1102" s="603">
        <v>0</v>
      </c>
      <c r="I1102" s="601">
        <v>331110300000000</v>
      </c>
      <c r="J1102" s="602" t="s">
        <v>6104</v>
      </c>
      <c r="K1102" s="891">
        <v>0</v>
      </c>
      <c r="L1102" s="891">
        <v>0</v>
      </c>
      <c r="M1102" s="477">
        <f t="shared" si="197"/>
        <v>0</v>
      </c>
      <c r="N1102" s="796"/>
      <c r="P1102" s="399"/>
    </row>
    <row r="1103" spans="1:16" s="668" customFormat="1" ht="15" customHeight="1" x14ac:dyDescent="0.25">
      <c r="A1103" s="397"/>
      <c r="B1103" s="478">
        <f t="shared" si="198"/>
        <v>24018</v>
      </c>
      <c r="C1103" s="528" t="s">
        <v>6062</v>
      </c>
      <c r="D1103" s="528">
        <v>46500</v>
      </c>
      <c r="E1103" s="417">
        <v>333903026000000</v>
      </c>
      <c r="F1103" s="418" t="s">
        <v>6040</v>
      </c>
      <c r="G1103" s="603">
        <v>1</v>
      </c>
      <c r="H1103" s="603">
        <v>0</v>
      </c>
      <c r="I1103" s="601">
        <v>28</v>
      </c>
      <c r="J1103" s="602" t="s">
        <v>6104</v>
      </c>
      <c r="K1103" s="891">
        <v>0</v>
      </c>
      <c r="L1103" s="891">
        <v>0</v>
      </c>
      <c r="M1103" s="477">
        <f t="shared" si="197"/>
        <v>0</v>
      </c>
      <c r="N1103" s="796"/>
      <c r="P1103" s="399"/>
    </row>
    <row r="1104" spans="1:16" s="668" customFormat="1" ht="15" customHeight="1" x14ac:dyDescent="0.25">
      <c r="A1104" s="397"/>
      <c r="B1104" s="478">
        <f t="shared" si="198"/>
        <v>24019</v>
      </c>
      <c r="C1104" s="528" t="s">
        <v>6062</v>
      </c>
      <c r="D1104" s="528">
        <v>46500</v>
      </c>
      <c r="E1104" s="417">
        <v>333903028000000</v>
      </c>
      <c r="F1104" s="418" t="s">
        <v>5934</v>
      </c>
      <c r="G1104" s="603">
        <v>1</v>
      </c>
      <c r="H1104" s="603">
        <v>0</v>
      </c>
      <c r="I1104" s="601">
        <v>331110300000000</v>
      </c>
      <c r="J1104" s="602" t="s">
        <v>6111</v>
      </c>
      <c r="K1104" s="891">
        <v>0</v>
      </c>
      <c r="L1104" s="891">
        <v>0</v>
      </c>
      <c r="M1104" s="477">
        <f t="shared" si="197"/>
        <v>0</v>
      </c>
      <c r="N1104" s="796"/>
      <c r="P1104" s="399"/>
    </row>
    <row r="1105" spans="1:16" s="668" customFormat="1" ht="15" customHeight="1" x14ac:dyDescent="0.25">
      <c r="A1105" s="397"/>
      <c r="B1105" s="478">
        <f t="shared" si="198"/>
        <v>24020</v>
      </c>
      <c r="C1105" s="528" t="s">
        <v>6062</v>
      </c>
      <c r="D1105" s="528">
        <v>46500</v>
      </c>
      <c r="E1105" s="417">
        <v>333903028000000</v>
      </c>
      <c r="F1105" s="418" t="s">
        <v>6041</v>
      </c>
      <c r="G1105" s="603">
        <v>1</v>
      </c>
      <c r="H1105" s="603">
        <v>0</v>
      </c>
      <c r="I1105" s="601">
        <v>28</v>
      </c>
      <c r="J1105" s="602" t="s">
        <v>6111</v>
      </c>
      <c r="K1105" s="891">
        <v>0</v>
      </c>
      <c r="L1105" s="891">
        <v>0</v>
      </c>
      <c r="M1105" s="477">
        <f t="shared" si="197"/>
        <v>0</v>
      </c>
      <c r="N1105" s="796"/>
      <c r="P1105" s="399"/>
    </row>
    <row r="1106" spans="1:16" s="668" customFormat="1" ht="15" customHeight="1" x14ac:dyDescent="0.25">
      <c r="A1106" s="397"/>
      <c r="B1106" s="478">
        <f t="shared" si="198"/>
        <v>24021</v>
      </c>
      <c r="C1106" s="528" t="s">
        <v>6062</v>
      </c>
      <c r="D1106" s="528">
        <v>46500</v>
      </c>
      <c r="E1106" s="417">
        <v>333903039010000</v>
      </c>
      <c r="F1106" s="418" t="s">
        <v>6909</v>
      </c>
      <c r="G1106" s="603">
        <v>1</v>
      </c>
      <c r="H1106" s="603">
        <v>0</v>
      </c>
      <c r="I1106" s="601">
        <v>331110390000000</v>
      </c>
      <c r="J1106" s="602" t="s">
        <v>6105</v>
      </c>
      <c r="K1106" s="891">
        <v>0</v>
      </c>
      <c r="L1106" s="891">
        <v>0</v>
      </c>
      <c r="M1106" s="477">
        <f t="shared" si="197"/>
        <v>0</v>
      </c>
      <c r="N1106" s="796"/>
      <c r="P1106" s="399"/>
    </row>
    <row r="1107" spans="1:16" s="668" customFormat="1" ht="15" customHeight="1" x14ac:dyDescent="0.25">
      <c r="A1107" s="397"/>
      <c r="B1107" s="478">
        <f t="shared" si="198"/>
        <v>24022</v>
      </c>
      <c r="C1107" s="528" t="s">
        <v>6062</v>
      </c>
      <c r="D1107" s="528">
        <v>46500</v>
      </c>
      <c r="E1107" s="417">
        <v>333903039010000</v>
      </c>
      <c r="F1107" s="418" t="s">
        <v>6910</v>
      </c>
      <c r="G1107" s="603">
        <v>1</v>
      </c>
      <c r="H1107" s="603">
        <v>0</v>
      </c>
      <c r="I1107" s="601">
        <v>32</v>
      </c>
      <c r="J1107" s="602" t="s">
        <v>6105</v>
      </c>
      <c r="K1107" s="891">
        <v>0</v>
      </c>
      <c r="L1107" s="891">
        <v>0</v>
      </c>
      <c r="M1107" s="477">
        <f t="shared" si="197"/>
        <v>0</v>
      </c>
      <c r="N1107" s="796"/>
      <c r="P1107" s="399"/>
    </row>
    <row r="1108" spans="1:16" s="668" customFormat="1" ht="15" customHeight="1" x14ac:dyDescent="0.25">
      <c r="A1108" s="397"/>
      <c r="B1108" s="478">
        <f t="shared" si="198"/>
        <v>24023</v>
      </c>
      <c r="C1108" s="528" t="s">
        <v>6062</v>
      </c>
      <c r="D1108" s="528">
        <v>46500</v>
      </c>
      <c r="E1108" s="417">
        <v>333903099000000</v>
      </c>
      <c r="F1108" s="418" t="s">
        <v>5762</v>
      </c>
      <c r="G1108" s="603">
        <v>1</v>
      </c>
      <c r="H1108" s="603">
        <v>0</v>
      </c>
      <c r="I1108" s="601">
        <v>331119900000000</v>
      </c>
      <c r="J1108" s="602" t="s">
        <v>6106</v>
      </c>
      <c r="K1108" s="891">
        <v>0</v>
      </c>
      <c r="L1108" s="891">
        <v>0</v>
      </c>
      <c r="M1108" s="477">
        <f t="shared" si="197"/>
        <v>0</v>
      </c>
      <c r="N1108" s="796"/>
      <c r="P1108" s="399"/>
    </row>
    <row r="1109" spans="1:16" s="668" customFormat="1" ht="15" customHeight="1" x14ac:dyDescent="0.25">
      <c r="A1109" s="397"/>
      <c r="B1109" s="478">
        <f t="shared" si="198"/>
        <v>24024</v>
      </c>
      <c r="C1109" s="528" t="s">
        <v>6062</v>
      </c>
      <c r="D1109" s="528">
        <v>46500</v>
      </c>
      <c r="E1109" s="417">
        <v>333903099000000</v>
      </c>
      <c r="F1109" s="418" t="s">
        <v>5763</v>
      </c>
      <c r="G1109" s="603">
        <v>1</v>
      </c>
      <c r="H1109" s="603">
        <v>0</v>
      </c>
      <c r="I1109" s="601">
        <v>28</v>
      </c>
      <c r="J1109" s="602" t="s">
        <v>6106</v>
      </c>
      <c r="K1109" s="891">
        <v>0</v>
      </c>
      <c r="L1109" s="891">
        <v>0</v>
      </c>
      <c r="M1109" s="477">
        <f t="shared" si="197"/>
        <v>0</v>
      </c>
      <c r="N1109" s="796"/>
      <c r="P1109" s="399"/>
    </row>
    <row r="1110" spans="1:16" s="115" customFormat="1" ht="15" customHeight="1" x14ac:dyDescent="0.25">
      <c r="A1110" s="396"/>
      <c r="B1110" s="1396">
        <v>46600</v>
      </c>
      <c r="C1110" s="1396"/>
      <c r="D1110" s="1396"/>
      <c r="E1110" s="854">
        <v>333903200000000</v>
      </c>
      <c r="F1110" s="855" t="s">
        <v>1021</v>
      </c>
      <c r="G1110" s="468">
        <v>1</v>
      </c>
      <c r="H1110" s="468">
        <v>0</v>
      </c>
      <c r="I1110" s="751"/>
      <c r="J1110" s="878" t="s">
        <v>7432</v>
      </c>
      <c r="K1110" s="789">
        <f>('Parâmetros financeiros Despesa'!E495)</f>
        <v>0</v>
      </c>
      <c r="L1110" s="789">
        <f>('Parâmetros financeiros Despesa'!F495)*(1+'Parâmetros financeiros Despesa'!F$4)*(1+'Parâmetros financeiros Despesa'!F$7)</f>
        <v>2180.663</v>
      </c>
      <c r="M1110" s="799">
        <f>L1110/L$1180</f>
        <v>5.8421011336897274E-3</v>
      </c>
      <c r="N1110" s="894"/>
      <c r="O1110" s="796"/>
      <c r="P1110" s="733"/>
    </row>
    <row r="1111" spans="1:16" s="668" customFormat="1" ht="15" customHeight="1" x14ac:dyDescent="0.25">
      <c r="A1111" s="397"/>
      <c r="B1111" s="478">
        <f>B1110+1</f>
        <v>46601</v>
      </c>
      <c r="C1111" s="528" t="s">
        <v>6062</v>
      </c>
      <c r="D1111" s="528">
        <f>B1110</f>
        <v>46600</v>
      </c>
      <c r="E1111" s="417">
        <v>333903209000000</v>
      </c>
      <c r="F1111" s="418" t="s">
        <v>2203</v>
      </c>
      <c r="G1111" s="603">
        <v>1</v>
      </c>
      <c r="H1111" s="603">
        <v>0</v>
      </c>
      <c r="I1111" s="601">
        <v>331210600000000</v>
      </c>
      <c r="J1111" s="602" t="s">
        <v>6112</v>
      </c>
      <c r="K1111" s="891">
        <v>0</v>
      </c>
      <c r="L1111" s="891">
        <v>0</v>
      </c>
      <c r="M1111" s="477">
        <f t="shared" ref="M1111" si="199">L1111/L$1180</f>
        <v>0</v>
      </c>
      <c r="N1111" s="796"/>
      <c r="P1111" s="399"/>
    </row>
    <row r="1112" spans="1:16" s="115" customFormat="1" ht="15" customHeight="1" x14ac:dyDescent="0.25">
      <c r="A1112" s="396"/>
      <c r="B1112" s="1396">
        <v>46700</v>
      </c>
      <c r="C1112" s="1396"/>
      <c r="D1112" s="1396"/>
      <c r="E1112" s="854">
        <v>333903300000000</v>
      </c>
      <c r="F1112" s="855" t="s">
        <v>3469</v>
      </c>
      <c r="G1112" s="468">
        <v>1</v>
      </c>
      <c r="H1112" s="468">
        <v>0</v>
      </c>
      <c r="I1112" s="751"/>
      <c r="J1112" s="878" t="s">
        <v>7432</v>
      </c>
      <c r="K1112" s="789">
        <f>('Parâmetros financeiros Despesa'!E496)</f>
        <v>0</v>
      </c>
      <c r="L1112" s="789">
        <f>('Parâmetros financeiros Despesa'!F496*(1+'Parâmetros financeiros Despesa'!F$4)*(1+'Parâmetros financeiros Despesa'!F$7))</f>
        <v>2180.663</v>
      </c>
      <c r="M1112" s="799">
        <f>L1112/L$1180</f>
        <v>5.8421011336897274E-3</v>
      </c>
      <c r="N1112" s="894"/>
      <c r="O1112" s="796"/>
      <c r="P1112" s="733"/>
    </row>
    <row r="1113" spans="1:16" s="668" customFormat="1" ht="15" customHeight="1" x14ac:dyDescent="0.25">
      <c r="A1113" s="397"/>
      <c r="B1113" s="530">
        <f t="shared" ref="B1113:B1118" si="200">B1112+1</f>
        <v>46701</v>
      </c>
      <c r="C1113" s="531" t="s">
        <v>6062</v>
      </c>
      <c r="D1113" s="532">
        <f>B$1112</f>
        <v>46700</v>
      </c>
      <c r="E1113" s="417">
        <v>333903301000000</v>
      </c>
      <c r="F1113" s="418" t="s">
        <v>6517</v>
      </c>
      <c r="G1113" s="603">
        <v>1</v>
      </c>
      <c r="H1113" s="603">
        <v>0</v>
      </c>
      <c r="I1113" s="601">
        <v>332315600000000</v>
      </c>
      <c r="J1113" s="602" t="s">
        <v>6121</v>
      </c>
      <c r="K1113" s="891">
        <v>0</v>
      </c>
      <c r="L1113" s="891">
        <v>0</v>
      </c>
      <c r="M1113" s="477">
        <f t="shared" ref="M1113:M1118" si="201">L1113/L$1180</f>
        <v>0</v>
      </c>
      <c r="N1113" s="796"/>
      <c r="P1113" s="399"/>
    </row>
    <row r="1114" spans="1:16" s="668" customFormat="1" ht="15" customHeight="1" x14ac:dyDescent="0.25">
      <c r="A1114" s="397"/>
      <c r="B1114" s="530">
        <f t="shared" si="200"/>
        <v>46702</v>
      </c>
      <c r="C1114" s="531" t="s">
        <v>6062</v>
      </c>
      <c r="D1114" s="532">
        <f t="shared" ref="D1114:D1118" si="202">B$1112</f>
        <v>46700</v>
      </c>
      <c r="E1114" s="417">
        <v>333903301000000</v>
      </c>
      <c r="F1114" s="418" t="s">
        <v>6518</v>
      </c>
      <c r="G1114" s="603">
        <v>1</v>
      </c>
      <c r="H1114" s="603">
        <v>0</v>
      </c>
      <c r="I1114" s="601">
        <v>332315600000000</v>
      </c>
      <c r="J1114" s="602" t="s">
        <v>6122</v>
      </c>
      <c r="K1114" s="891">
        <v>0</v>
      </c>
      <c r="L1114" s="891">
        <v>0</v>
      </c>
      <c r="M1114" s="477">
        <f t="shared" si="201"/>
        <v>0</v>
      </c>
      <c r="N1114" s="796"/>
      <c r="P1114" s="399"/>
    </row>
    <row r="1115" spans="1:16" s="668" customFormat="1" ht="15" customHeight="1" x14ac:dyDescent="0.25">
      <c r="A1115" s="397"/>
      <c r="B1115" s="530">
        <f t="shared" si="200"/>
        <v>46703</v>
      </c>
      <c r="C1115" s="531" t="s">
        <v>6062</v>
      </c>
      <c r="D1115" s="532">
        <f t="shared" si="202"/>
        <v>46700</v>
      </c>
      <c r="E1115" s="417">
        <v>333903301000000</v>
      </c>
      <c r="F1115" s="418" t="s">
        <v>6519</v>
      </c>
      <c r="G1115" s="603">
        <v>1</v>
      </c>
      <c r="H1115" s="603">
        <v>0</v>
      </c>
      <c r="I1115" s="601">
        <v>332315600000000</v>
      </c>
      <c r="J1115" s="602" t="s">
        <v>6123</v>
      </c>
      <c r="K1115" s="891">
        <v>0</v>
      </c>
      <c r="L1115" s="891">
        <v>0</v>
      </c>
      <c r="M1115" s="477">
        <f t="shared" si="201"/>
        <v>0</v>
      </c>
      <c r="N1115" s="796"/>
      <c r="P1115" s="399"/>
    </row>
    <row r="1116" spans="1:16" s="668" customFormat="1" ht="15" customHeight="1" x14ac:dyDescent="0.25">
      <c r="A1116" s="397"/>
      <c r="B1116" s="530">
        <f t="shared" si="200"/>
        <v>46704</v>
      </c>
      <c r="C1116" s="531" t="s">
        <v>6062</v>
      </c>
      <c r="D1116" s="532">
        <f t="shared" si="202"/>
        <v>46700</v>
      </c>
      <c r="E1116" s="417">
        <v>333903305000000</v>
      </c>
      <c r="F1116" s="418" t="s">
        <v>6520</v>
      </c>
      <c r="G1116" s="603">
        <v>1</v>
      </c>
      <c r="H1116" s="603">
        <v>0</v>
      </c>
      <c r="I1116" s="601">
        <v>332315600000000</v>
      </c>
      <c r="J1116" s="602" t="s">
        <v>6121</v>
      </c>
      <c r="K1116" s="891">
        <v>0</v>
      </c>
      <c r="L1116" s="891">
        <v>0</v>
      </c>
      <c r="M1116" s="477">
        <f t="shared" si="201"/>
        <v>0</v>
      </c>
      <c r="N1116" s="796"/>
      <c r="P1116" s="399"/>
    </row>
    <row r="1117" spans="1:16" s="668" customFormat="1" ht="15" customHeight="1" x14ac:dyDescent="0.25">
      <c r="A1117" s="397"/>
      <c r="B1117" s="530">
        <f t="shared" si="200"/>
        <v>46705</v>
      </c>
      <c r="C1117" s="531" t="s">
        <v>6062</v>
      </c>
      <c r="D1117" s="532">
        <f t="shared" si="202"/>
        <v>46700</v>
      </c>
      <c r="E1117" s="417">
        <v>333903305000000</v>
      </c>
      <c r="F1117" s="418" t="s">
        <v>6521</v>
      </c>
      <c r="G1117" s="603">
        <v>1</v>
      </c>
      <c r="H1117" s="603">
        <v>0</v>
      </c>
      <c r="I1117" s="601">
        <v>332315600000000</v>
      </c>
      <c r="J1117" s="602" t="s">
        <v>6122</v>
      </c>
      <c r="K1117" s="891">
        <v>0</v>
      </c>
      <c r="L1117" s="891">
        <v>0</v>
      </c>
      <c r="M1117" s="477">
        <f t="shared" si="201"/>
        <v>0</v>
      </c>
      <c r="N1117" s="796"/>
      <c r="P1117" s="399"/>
    </row>
    <row r="1118" spans="1:16" s="668" customFormat="1" ht="15.75" customHeight="1" x14ac:dyDescent="0.25">
      <c r="A1118" s="397"/>
      <c r="B1118" s="530">
        <f t="shared" si="200"/>
        <v>46706</v>
      </c>
      <c r="C1118" s="531" t="s">
        <v>6062</v>
      </c>
      <c r="D1118" s="532">
        <f t="shared" si="202"/>
        <v>46700</v>
      </c>
      <c r="E1118" s="417">
        <v>333903305000000</v>
      </c>
      <c r="F1118" s="418" t="s">
        <v>6522</v>
      </c>
      <c r="G1118" s="603">
        <v>1</v>
      </c>
      <c r="H1118" s="603">
        <v>0</v>
      </c>
      <c r="I1118" s="601">
        <v>332315600000000</v>
      </c>
      <c r="J1118" s="602" t="s">
        <v>6123</v>
      </c>
      <c r="K1118" s="891">
        <v>0</v>
      </c>
      <c r="L1118" s="891">
        <v>0</v>
      </c>
      <c r="M1118" s="477">
        <f t="shared" si="201"/>
        <v>0</v>
      </c>
      <c r="N1118" s="796"/>
      <c r="P1118" s="399"/>
    </row>
    <row r="1119" spans="1:16" s="115" customFormat="1" ht="15" customHeight="1" x14ac:dyDescent="0.25">
      <c r="A1119" s="396"/>
      <c r="B1119" s="1398" t="s">
        <v>7433</v>
      </c>
      <c r="C1119" s="1398"/>
      <c r="D1119" s="1398"/>
      <c r="E1119" s="854">
        <v>333903600000000</v>
      </c>
      <c r="F1119" s="855" t="s">
        <v>993</v>
      </c>
      <c r="G1119" s="468">
        <v>1</v>
      </c>
      <c r="H1119" s="468">
        <v>0</v>
      </c>
      <c r="I1119" s="751"/>
      <c r="J1119" s="878" t="s">
        <v>7432</v>
      </c>
      <c r="K1119" s="789">
        <f>('Parâmetros financeiros Despesa'!E496+'Parâmetros financeiros Despesa'!E497+'Parâmetros financeiros Despesa'!E498)</f>
        <v>11187.33</v>
      </c>
      <c r="L1119" s="789">
        <f>('Parâmetros financeiros Despesa'!F496+'Parâmetros financeiros Despesa'!F497+'Parâmetros financeiros Despesa'!F498)*(1+'Parâmetros financeiros Despesa'!F$4)*(1+'Parâmetros financeiros Despesa'!F$7)</f>
        <v>19830.218799895003</v>
      </c>
      <c r="M1119" s="799">
        <f>L1119/L$1180</f>
        <v>5.3126110605894609E-2</v>
      </c>
      <c r="N1119" s="894"/>
      <c r="O1119" s="796"/>
      <c r="P1119" s="733"/>
    </row>
    <row r="1120" spans="1:16" s="668" customFormat="1" ht="15" customHeight="1" x14ac:dyDescent="0.25">
      <c r="A1120" s="397"/>
      <c r="B1120" s="599">
        <f>B1119+1</f>
        <v>46801</v>
      </c>
      <c r="C1120" s="600" t="s">
        <v>6062</v>
      </c>
      <c r="D1120" s="528" t="str">
        <f>B1119</f>
        <v>46800</v>
      </c>
      <c r="E1120" s="417">
        <v>333903606000000</v>
      </c>
      <c r="F1120" s="418" t="s">
        <v>1151</v>
      </c>
      <c r="G1120" s="603">
        <v>1</v>
      </c>
      <c r="H1120" s="603">
        <v>0</v>
      </c>
      <c r="I1120" s="601">
        <v>332211500000000</v>
      </c>
      <c r="J1120" s="602" t="s">
        <v>6131</v>
      </c>
      <c r="K1120" s="891">
        <v>0</v>
      </c>
      <c r="L1120" s="891">
        <v>0</v>
      </c>
      <c r="M1120" s="477">
        <f t="shared" ref="M1120:M1124" si="203">L1120/L$1180</f>
        <v>0</v>
      </c>
      <c r="N1120" s="796"/>
      <c r="P1120" s="399"/>
    </row>
    <row r="1121" spans="1:16" s="668" customFormat="1" ht="15" customHeight="1" x14ac:dyDescent="0.25">
      <c r="A1121" s="397"/>
      <c r="B1121" s="599">
        <f>B1120+1</f>
        <v>46802</v>
      </c>
      <c r="C1121" s="600" t="s">
        <v>6062</v>
      </c>
      <c r="D1121" s="528" t="str">
        <f>D1120</f>
        <v>46800</v>
      </c>
      <c r="E1121" s="417">
        <v>333903615000000</v>
      </c>
      <c r="F1121" s="418" t="s">
        <v>2227</v>
      </c>
      <c r="G1121" s="603"/>
      <c r="H1121" s="603"/>
      <c r="I1121" s="601">
        <v>332212100000000</v>
      </c>
      <c r="J1121" s="602"/>
      <c r="K1121" s="891">
        <v>0</v>
      </c>
      <c r="L1121" s="891">
        <v>0</v>
      </c>
      <c r="M1121" s="477">
        <f t="shared" si="203"/>
        <v>0</v>
      </c>
      <c r="N1121" s="796"/>
      <c r="P1121" s="399"/>
    </row>
    <row r="1122" spans="1:16" s="668" customFormat="1" ht="15" customHeight="1" x14ac:dyDescent="0.25">
      <c r="A1122" s="397"/>
      <c r="B1122" s="599">
        <f>B1121+1</f>
        <v>46803</v>
      </c>
      <c r="C1122" s="600" t="s">
        <v>6062</v>
      </c>
      <c r="D1122" s="528" t="str">
        <f>D1121</f>
        <v>46800</v>
      </c>
      <c r="E1122" s="417">
        <v>333903625000000</v>
      </c>
      <c r="F1122" s="418" t="s">
        <v>5880</v>
      </c>
      <c r="G1122" s="603">
        <v>1</v>
      </c>
      <c r="H1122" s="603">
        <v>0</v>
      </c>
      <c r="I1122" s="601">
        <v>332210800000000</v>
      </c>
      <c r="J1122" s="602" t="s">
        <v>6131</v>
      </c>
      <c r="K1122" s="891">
        <v>0</v>
      </c>
      <c r="L1122" s="891">
        <v>0</v>
      </c>
      <c r="M1122" s="477">
        <f t="shared" si="203"/>
        <v>0</v>
      </c>
      <c r="N1122" s="796"/>
      <c r="P1122" s="399"/>
    </row>
    <row r="1123" spans="1:16" s="668" customFormat="1" ht="15" customHeight="1" x14ac:dyDescent="0.25">
      <c r="A1123" s="397"/>
      <c r="B1123" s="599">
        <f>B1122+1</f>
        <v>46804</v>
      </c>
      <c r="C1123" s="600" t="s">
        <v>6062</v>
      </c>
      <c r="D1123" s="528" t="str">
        <f>D1122</f>
        <v>46800</v>
      </c>
      <c r="E1123" s="417">
        <v>333903628000000</v>
      </c>
      <c r="F1123" s="418" t="s">
        <v>1042</v>
      </c>
      <c r="G1123" s="603"/>
      <c r="H1123" s="603"/>
      <c r="I1123" s="601"/>
      <c r="J1123" s="602"/>
      <c r="K1123" s="891">
        <v>0</v>
      </c>
      <c r="L1123" s="891">
        <v>0</v>
      </c>
      <c r="M1123" s="477">
        <f t="shared" si="203"/>
        <v>0</v>
      </c>
      <c r="N1123" s="796"/>
      <c r="P1123" s="399"/>
    </row>
    <row r="1124" spans="1:16" s="668" customFormat="1" ht="15" customHeight="1" x14ac:dyDescent="0.25">
      <c r="A1124" s="397"/>
      <c r="B1124" s="599">
        <f>B1123+1</f>
        <v>46805</v>
      </c>
      <c r="C1124" s="600" t="s">
        <v>6062</v>
      </c>
      <c r="D1124" s="528" t="str">
        <f>D1123</f>
        <v>46800</v>
      </c>
      <c r="E1124" s="417">
        <v>333903699000000</v>
      </c>
      <c r="F1124" s="418" t="s">
        <v>2193</v>
      </c>
      <c r="G1124" s="603">
        <v>1</v>
      </c>
      <c r="H1124" s="603">
        <v>0</v>
      </c>
      <c r="I1124" s="601">
        <v>332219900000000</v>
      </c>
      <c r="J1124" s="602" t="s">
        <v>6131</v>
      </c>
      <c r="K1124" s="891">
        <v>0</v>
      </c>
      <c r="L1124" s="891">
        <v>0</v>
      </c>
      <c r="M1124" s="477">
        <f t="shared" si="203"/>
        <v>0</v>
      </c>
      <c r="N1124" s="796"/>
      <c r="P1124" s="399"/>
    </row>
    <row r="1125" spans="1:16" s="115" customFormat="1" ht="15" customHeight="1" x14ac:dyDescent="0.25">
      <c r="A1125" s="396"/>
      <c r="B1125" s="1398" t="s">
        <v>7434</v>
      </c>
      <c r="C1125" s="1398"/>
      <c r="D1125" s="1398"/>
      <c r="E1125" s="854">
        <v>333903900000000</v>
      </c>
      <c r="F1125" s="855" t="s">
        <v>2268</v>
      </c>
      <c r="G1125" s="468">
        <v>1</v>
      </c>
      <c r="H1125" s="468">
        <v>0</v>
      </c>
      <c r="I1125" s="751"/>
      <c r="J1125" s="878" t="s">
        <v>7432</v>
      </c>
      <c r="K1125" s="789">
        <f>('Parâmetros financeiros Despesa'!E499+'Parâmetros financeiros Despesa'!E500+'Parâmetros financeiros Despesa'!E501)</f>
        <v>10030.695</v>
      </c>
      <c r="L1125" s="789">
        <f>('Parâmetros financeiros Despesa'!F499+'Parâmetros financeiros Despesa'!F500+'Parâmetros financeiros Despesa'!F501)*(1+'Parâmetros financeiros Despesa'!F$4)*(1+'Parâmetros financeiros Despesa'!F$7)</f>
        <v>18336.726324455001</v>
      </c>
      <c r="M1125" s="799">
        <f>L1125/L$1180</f>
        <v>4.9124972381453177E-2</v>
      </c>
      <c r="N1125" s="894"/>
      <c r="O1125" s="796"/>
      <c r="P1125" s="733"/>
    </row>
    <row r="1126" spans="1:16" s="668" customFormat="1" ht="15" customHeight="1" x14ac:dyDescent="0.25">
      <c r="A1126" s="397"/>
      <c r="B1126" s="599">
        <f>B1125+1</f>
        <v>46901</v>
      </c>
      <c r="C1126" s="600" t="s">
        <v>6062</v>
      </c>
      <c r="D1126" s="600" t="str">
        <f>B1125</f>
        <v>46900</v>
      </c>
      <c r="E1126" s="417">
        <v>333903901000000</v>
      </c>
      <c r="F1126" s="418" t="s">
        <v>2269</v>
      </c>
      <c r="G1126" s="603">
        <v>1</v>
      </c>
      <c r="H1126" s="603">
        <v>0</v>
      </c>
      <c r="I1126" s="601">
        <v>332311400000000</v>
      </c>
      <c r="J1126" s="602" t="s">
        <v>6133</v>
      </c>
      <c r="K1126" s="891">
        <v>0</v>
      </c>
      <c r="L1126" s="891">
        <v>0</v>
      </c>
      <c r="M1126" s="477">
        <f t="shared" ref="M1126:M1147" si="204">L1126/L$1180</f>
        <v>0</v>
      </c>
      <c r="N1126" s="796"/>
      <c r="P1126" s="399"/>
    </row>
    <row r="1127" spans="1:16" s="668" customFormat="1" ht="15" customHeight="1" x14ac:dyDescent="0.25">
      <c r="A1127" s="397"/>
      <c r="B1127" s="599">
        <f t="shared" ref="B1127:B1147" si="205">B1126+1</f>
        <v>46902</v>
      </c>
      <c r="C1127" s="600" t="s">
        <v>6062</v>
      </c>
      <c r="D1127" s="600" t="str">
        <f>D1126</f>
        <v>46900</v>
      </c>
      <c r="E1127" s="417">
        <v>333903905000000</v>
      </c>
      <c r="F1127" s="418" t="s">
        <v>1151</v>
      </c>
      <c r="G1127" s="603">
        <v>1</v>
      </c>
      <c r="H1127" s="603">
        <v>0</v>
      </c>
      <c r="I1127" s="601">
        <v>332315100000000</v>
      </c>
      <c r="J1127" s="602" t="s">
        <v>6127</v>
      </c>
      <c r="K1127" s="891">
        <v>0</v>
      </c>
      <c r="L1127" s="891">
        <v>0</v>
      </c>
      <c r="M1127" s="477">
        <f t="shared" si="204"/>
        <v>0</v>
      </c>
      <c r="N1127" s="796"/>
      <c r="P1127" s="399"/>
    </row>
    <row r="1128" spans="1:16" s="668" customFormat="1" ht="15" customHeight="1" x14ac:dyDescent="0.25">
      <c r="A1128" s="397"/>
      <c r="B1128" s="599">
        <f t="shared" si="205"/>
        <v>46903</v>
      </c>
      <c r="C1128" s="600" t="s">
        <v>6062</v>
      </c>
      <c r="D1128" s="600" t="str">
        <f t="shared" ref="D1128:D1147" si="206">D1127</f>
        <v>46900</v>
      </c>
      <c r="E1128" s="417">
        <v>333903916000000</v>
      </c>
      <c r="F1128" s="418" t="s">
        <v>2270</v>
      </c>
      <c r="G1128" s="603">
        <v>1</v>
      </c>
      <c r="H1128" s="603">
        <v>0</v>
      </c>
      <c r="I1128" s="601">
        <v>332310600000000</v>
      </c>
      <c r="J1128" s="602" t="s">
        <v>6101</v>
      </c>
      <c r="K1128" s="891">
        <v>0</v>
      </c>
      <c r="L1128" s="891">
        <v>0</v>
      </c>
      <c r="M1128" s="477">
        <f t="shared" si="204"/>
        <v>0</v>
      </c>
      <c r="N1128" s="796"/>
      <c r="P1128" s="399"/>
    </row>
    <row r="1129" spans="1:16" s="668" customFormat="1" ht="15" customHeight="1" x14ac:dyDescent="0.25">
      <c r="A1129" s="397"/>
      <c r="B1129" s="599">
        <f t="shared" si="205"/>
        <v>46904</v>
      </c>
      <c r="C1129" s="600" t="s">
        <v>6062</v>
      </c>
      <c r="D1129" s="600" t="str">
        <f t="shared" si="206"/>
        <v>46900</v>
      </c>
      <c r="E1129" s="417">
        <v>333903919080000</v>
      </c>
      <c r="F1129" s="418" t="s">
        <v>7142</v>
      </c>
      <c r="G1129" s="603">
        <v>1</v>
      </c>
      <c r="H1129" s="603">
        <v>0</v>
      </c>
      <c r="I1129" s="601">
        <v>332310600000000</v>
      </c>
      <c r="J1129" s="602" t="s">
        <v>6101</v>
      </c>
      <c r="K1129" s="891">
        <v>0</v>
      </c>
      <c r="L1129" s="891">
        <v>0</v>
      </c>
      <c r="M1129" s="477">
        <f t="shared" si="204"/>
        <v>0</v>
      </c>
      <c r="N1129" s="796"/>
      <c r="P1129" s="399"/>
    </row>
    <row r="1130" spans="1:16" s="668" customFormat="1" ht="15" customHeight="1" x14ac:dyDescent="0.25">
      <c r="A1130" s="397"/>
      <c r="B1130" s="599">
        <f t="shared" si="205"/>
        <v>46905</v>
      </c>
      <c r="C1130" s="600" t="s">
        <v>6062</v>
      </c>
      <c r="D1130" s="600" t="str">
        <f t="shared" si="206"/>
        <v>46900</v>
      </c>
      <c r="E1130" s="417">
        <v>333903920000000</v>
      </c>
      <c r="F1130" s="418" t="s">
        <v>2352</v>
      </c>
      <c r="G1130" s="603">
        <v>1</v>
      </c>
      <c r="H1130" s="603">
        <v>0</v>
      </c>
      <c r="I1130" s="601">
        <v>332310600000000</v>
      </c>
      <c r="J1130" s="602" t="s">
        <v>6135</v>
      </c>
      <c r="K1130" s="891">
        <v>0</v>
      </c>
      <c r="L1130" s="891">
        <v>0</v>
      </c>
      <c r="M1130" s="477">
        <f t="shared" si="204"/>
        <v>0</v>
      </c>
      <c r="N1130" s="796"/>
      <c r="P1130" s="399"/>
    </row>
    <row r="1131" spans="1:16" s="668" customFormat="1" ht="15" customHeight="1" x14ac:dyDescent="0.25">
      <c r="A1131" s="397"/>
      <c r="B1131" s="599">
        <f t="shared" si="205"/>
        <v>46906</v>
      </c>
      <c r="C1131" s="600" t="s">
        <v>6062</v>
      </c>
      <c r="D1131" s="600" t="str">
        <f t="shared" si="206"/>
        <v>46900</v>
      </c>
      <c r="E1131" s="417">
        <v>333903943000000</v>
      </c>
      <c r="F1131" s="418" t="s">
        <v>10216</v>
      </c>
      <c r="G1131" s="603">
        <v>1</v>
      </c>
      <c r="H1131" s="603">
        <v>0</v>
      </c>
      <c r="I1131" s="601">
        <v>332310800000000</v>
      </c>
      <c r="J1131" s="602"/>
      <c r="K1131" s="891">
        <v>0</v>
      </c>
      <c r="L1131" s="891">
        <v>0</v>
      </c>
      <c r="M1131" s="477">
        <f t="shared" si="204"/>
        <v>0</v>
      </c>
      <c r="N1131" s="796"/>
      <c r="P1131" s="399"/>
    </row>
    <row r="1132" spans="1:16" s="668" customFormat="1" ht="15" customHeight="1" x14ac:dyDescent="0.25">
      <c r="A1132" s="397"/>
      <c r="B1132" s="599">
        <f t="shared" si="205"/>
        <v>46907</v>
      </c>
      <c r="C1132" s="600" t="s">
        <v>6062</v>
      </c>
      <c r="D1132" s="600" t="str">
        <f t="shared" si="206"/>
        <v>46900</v>
      </c>
      <c r="E1132" s="417">
        <v>333903944000000</v>
      </c>
      <c r="F1132" s="418" t="s">
        <v>10217</v>
      </c>
      <c r="G1132" s="603">
        <v>1</v>
      </c>
      <c r="H1132" s="603">
        <v>0</v>
      </c>
      <c r="I1132" s="601">
        <v>332310800000000</v>
      </c>
      <c r="J1132" s="602"/>
      <c r="K1132" s="891">
        <v>0</v>
      </c>
      <c r="L1132" s="891">
        <v>0</v>
      </c>
      <c r="M1132" s="477">
        <f t="shared" si="204"/>
        <v>0</v>
      </c>
      <c r="N1132" s="796"/>
      <c r="P1132" s="399"/>
    </row>
    <row r="1133" spans="1:16" s="668" customFormat="1" ht="15" customHeight="1" x14ac:dyDescent="0.25">
      <c r="A1133" s="397"/>
      <c r="B1133" s="599">
        <f t="shared" si="205"/>
        <v>46908</v>
      </c>
      <c r="C1133" s="600" t="s">
        <v>6062</v>
      </c>
      <c r="D1133" s="600" t="str">
        <f t="shared" si="206"/>
        <v>46900</v>
      </c>
      <c r="E1133" s="417">
        <v>333903947000000</v>
      </c>
      <c r="F1133" s="418" t="s">
        <v>7001</v>
      </c>
      <c r="G1133" s="603">
        <v>1</v>
      </c>
      <c r="H1133" s="603">
        <v>0</v>
      </c>
      <c r="I1133" s="601">
        <v>332310400000000</v>
      </c>
      <c r="J1133" s="602"/>
      <c r="K1133" s="891">
        <v>0</v>
      </c>
      <c r="L1133" s="891">
        <v>0</v>
      </c>
      <c r="M1133" s="477">
        <f t="shared" si="204"/>
        <v>0</v>
      </c>
      <c r="N1133" s="796"/>
      <c r="P1133" s="399"/>
    </row>
    <row r="1134" spans="1:16" s="668" customFormat="1" ht="15" customHeight="1" x14ac:dyDescent="0.25">
      <c r="A1134" s="397"/>
      <c r="B1134" s="599">
        <f t="shared" si="205"/>
        <v>46909</v>
      </c>
      <c r="C1134" s="600" t="s">
        <v>6062</v>
      </c>
      <c r="D1134" s="600" t="str">
        <f t="shared" si="206"/>
        <v>46900</v>
      </c>
      <c r="E1134" s="417">
        <v>333903948000000</v>
      </c>
      <c r="F1134" s="418" t="s">
        <v>6911</v>
      </c>
      <c r="G1134" s="603">
        <v>1</v>
      </c>
      <c r="H1134" s="603">
        <v>0</v>
      </c>
      <c r="I1134" s="601">
        <v>332313000000000</v>
      </c>
      <c r="J1134" s="602" t="s">
        <v>6149</v>
      </c>
      <c r="K1134" s="891">
        <v>0</v>
      </c>
      <c r="L1134" s="891">
        <v>0</v>
      </c>
      <c r="M1134" s="477">
        <f t="shared" si="204"/>
        <v>0</v>
      </c>
      <c r="N1134" s="796"/>
      <c r="P1134" s="399"/>
    </row>
    <row r="1135" spans="1:16" s="668" customFormat="1" ht="15" customHeight="1" x14ac:dyDescent="0.25">
      <c r="A1135" s="397"/>
      <c r="B1135" s="599">
        <f t="shared" si="205"/>
        <v>46910</v>
      </c>
      <c r="C1135" s="600" t="s">
        <v>6062</v>
      </c>
      <c r="D1135" s="600" t="str">
        <f t="shared" si="206"/>
        <v>46900</v>
      </c>
      <c r="E1135" s="417">
        <v>333903948000000</v>
      </c>
      <c r="F1135" s="418" t="s">
        <v>6912</v>
      </c>
      <c r="G1135" s="603">
        <v>1</v>
      </c>
      <c r="H1135" s="603">
        <v>0</v>
      </c>
      <c r="I1135" s="601">
        <v>332313000000000</v>
      </c>
      <c r="J1135" s="602" t="s">
        <v>6150</v>
      </c>
      <c r="K1135" s="891">
        <v>0</v>
      </c>
      <c r="L1135" s="891">
        <v>0</v>
      </c>
      <c r="M1135" s="477">
        <f t="shared" si="204"/>
        <v>0</v>
      </c>
      <c r="N1135" s="796"/>
      <c r="P1135" s="399"/>
    </row>
    <row r="1136" spans="1:16" s="668" customFormat="1" ht="15" customHeight="1" x14ac:dyDescent="0.25">
      <c r="A1136" s="397"/>
      <c r="B1136" s="599">
        <f t="shared" si="205"/>
        <v>46911</v>
      </c>
      <c r="C1136" s="600" t="s">
        <v>6062</v>
      </c>
      <c r="D1136" s="600" t="str">
        <f t="shared" si="206"/>
        <v>46900</v>
      </c>
      <c r="E1136" s="417">
        <v>333903948000000</v>
      </c>
      <c r="F1136" s="418" t="s">
        <v>10215</v>
      </c>
      <c r="G1136" s="603">
        <v>1</v>
      </c>
      <c r="H1136" s="603">
        <v>0</v>
      </c>
      <c r="I1136" s="601">
        <v>332313000000000</v>
      </c>
      <c r="J1136" s="602" t="s">
        <v>6151</v>
      </c>
      <c r="K1136" s="891">
        <v>0</v>
      </c>
      <c r="L1136" s="891">
        <v>0</v>
      </c>
      <c r="M1136" s="477">
        <f t="shared" si="204"/>
        <v>0</v>
      </c>
      <c r="N1136" s="796"/>
      <c r="P1136" s="399"/>
    </row>
    <row r="1137" spans="1:16" s="668" customFormat="1" ht="15" customHeight="1" x14ac:dyDescent="0.25">
      <c r="A1137" s="397"/>
      <c r="B1137" s="599">
        <f t="shared" si="205"/>
        <v>46912</v>
      </c>
      <c r="C1137" s="600" t="s">
        <v>6062</v>
      </c>
      <c r="D1137" s="600" t="str">
        <f t="shared" si="206"/>
        <v>46900</v>
      </c>
      <c r="E1137" s="417">
        <v>333903958010000</v>
      </c>
      <c r="F1137" s="418" t="s">
        <v>10219</v>
      </c>
      <c r="G1137" s="603">
        <v>1</v>
      </c>
      <c r="H1137" s="603">
        <v>0</v>
      </c>
      <c r="I1137" s="601">
        <v>332310400000000</v>
      </c>
      <c r="J1137" s="602" t="s">
        <v>6136</v>
      </c>
      <c r="K1137" s="891">
        <v>0</v>
      </c>
      <c r="L1137" s="891">
        <v>0</v>
      </c>
      <c r="M1137" s="477">
        <f t="shared" si="204"/>
        <v>0</v>
      </c>
      <c r="N1137" s="796"/>
      <c r="P1137" s="399"/>
    </row>
    <row r="1138" spans="1:16" s="668" customFormat="1" ht="15" customHeight="1" x14ac:dyDescent="0.25">
      <c r="A1138" s="397"/>
      <c r="B1138" s="599">
        <f t="shared" si="205"/>
        <v>46913</v>
      </c>
      <c r="C1138" s="600" t="s">
        <v>6062</v>
      </c>
      <c r="D1138" s="600" t="str">
        <f t="shared" si="206"/>
        <v>46900</v>
      </c>
      <c r="E1138" s="417">
        <v>333903958020000</v>
      </c>
      <c r="F1138" s="418" t="s">
        <v>1150</v>
      </c>
      <c r="G1138" s="603">
        <v>1</v>
      </c>
      <c r="H1138" s="603">
        <v>0</v>
      </c>
      <c r="I1138" s="601">
        <v>332310400000000</v>
      </c>
      <c r="J1138" s="602" t="s">
        <v>6137</v>
      </c>
      <c r="K1138" s="891">
        <v>0</v>
      </c>
      <c r="L1138" s="891">
        <v>0</v>
      </c>
      <c r="M1138" s="477">
        <f t="shared" si="204"/>
        <v>0</v>
      </c>
      <c r="N1138" s="796"/>
      <c r="P1138" s="399"/>
    </row>
    <row r="1139" spans="1:16" s="668" customFormat="1" ht="15" customHeight="1" x14ac:dyDescent="0.25">
      <c r="A1139" s="397"/>
      <c r="B1139" s="599">
        <f t="shared" si="205"/>
        <v>46914</v>
      </c>
      <c r="C1139" s="600" t="s">
        <v>6062</v>
      </c>
      <c r="D1139" s="600" t="str">
        <f t="shared" si="206"/>
        <v>46900</v>
      </c>
      <c r="E1139" s="417">
        <v>333903963000000</v>
      </c>
      <c r="F1139" s="418" t="s">
        <v>5895</v>
      </c>
      <c r="G1139" s="603">
        <v>1</v>
      </c>
      <c r="H1139" s="603">
        <v>0</v>
      </c>
      <c r="I1139" s="601">
        <v>332314600000000</v>
      </c>
      <c r="J1139" s="602" t="s">
        <v>6139</v>
      </c>
      <c r="K1139" s="891">
        <v>0</v>
      </c>
      <c r="L1139" s="891">
        <v>0</v>
      </c>
      <c r="M1139" s="477">
        <f t="shared" si="204"/>
        <v>0</v>
      </c>
      <c r="N1139" s="796"/>
      <c r="P1139" s="399"/>
    </row>
    <row r="1140" spans="1:16" s="668" customFormat="1" ht="15" customHeight="1" x14ac:dyDescent="0.25">
      <c r="A1140" s="397"/>
      <c r="B1140" s="599">
        <f t="shared" si="205"/>
        <v>46915</v>
      </c>
      <c r="C1140" s="600" t="s">
        <v>6062</v>
      </c>
      <c r="D1140" s="600" t="str">
        <f t="shared" si="206"/>
        <v>46900</v>
      </c>
      <c r="E1140" s="417">
        <v>333903978000000</v>
      </c>
      <c r="F1140" s="418" t="s">
        <v>5897</v>
      </c>
      <c r="G1140" s="603">
        <v>1</v>
      </c>
      <c r="H1140" s="603">
        <v>0</v>
      </c>
      <c r="I1140" s="601">
        <v>332310600000000</v>
      </c>
      <c r="J1140" s="602" t="s">
        <v>6101</v>
      </c>
      <c r="K1140" s="891">
        <v>0</v>
      </c>
      <c r="L1140" s="891">
        <v>0</v>
      </c>
      <c r="M1140" s="477">
        <f t="shared" si="204"/>
        <v>0</v>
      </c>
      <c r="N1140" s="796"/>
      <c r="P1140" s="399"/>
    </row>
    <row r="1141" spans="1:16" s="668" customFormat="1" ht="15" customHeight="1" x14ac:dyDescent="0.25">
      <c r="A1141" s="397"/>
      <c r="B1141" s="599">
        <f t="shared" si="205"/>
        <v>46916</v>
      </c>
      <c r="C1141" s="600" t="s">
        <v>6062</v>
      </c>
      <c r="D1141" s="600" t="str">
        <f t="shared" si="206"/>
        <v>46900</v>
      </c>
      <c r="E1141" s="417">
        <v>333903983000000</v>
      </c>
      <c r="F1141" s="418" t="s">
        <v>7004</v>
      </c>
      <c r="G1141" s="603">
        <v>1</v>
      </c>
      <c r="H1141" s="603">
        <v>0</v>
      </c>
      <c r="I1141" s="601">
        <v>332319900000000</v>
      </c>
      <c r="J1141" s="602"/>
      <c r="K1141" s="891">
        <v>0</v>
      </c>
      <c r="L1141" s="891">
        <v>0</v>
      </c>
      <c r="M1141" s="477">
        <f t="shared" si="204"/>
        <v>0</v>
      </c>
      <c r="N1141" s="796"/>
      <c r="P1141" s="399"/>
    </row>
    <row r="1142" spans="1:16" s="668" customFormat="1" ht="15" customHeight="1" x14ac:dyDescent="0.25">
      <c r="A1142" s="397"/>
      <c r="B1142" s="599">
        <f t="shared" si="205"/>
        <v>46917</v>
      </c>
      <c r="C1142" s="600" t="s">
        <v>6062</v>
      </c>
      <c r="D1142" s="600" t="str">
        <f t="shared" si="206"/>
        <v>46900</v>
      </c>
      <c r="E1142" s="417">
        <v>333903990000000</v>
      </c>
      <c r="F1142" s="418" t="s">
        <v>1098</v>
      </c>
      <c r="G1142" s="603">
        <v>1</v>
      </c>
      <c r="H1142" s="603">
        <v>0</v>
      </c>
      <c r="I1142" s="601">
        <v>332310500000000</v>
      </c>
      <c r="J1142" s="602" t="s">
        <v>6153</v>
      </c>
      <c r="K1142" s="891">
        <v>0</v>
      </c>
      <c r="L1142" s="891">
        <v>0</v>
      </c>
      <c r="M1142" s="477">
        <f t="shared" si="204"/>
        <v>0</v>
      </c>
      <c r="N1142" s="796"/>
      <c r="P1142" s="399"/>
    </row>
    <row r="1143" spans="1:16" s="668" customFormat="1" ht="15" customHeight="1" x14ac:dyDescent="0.25">
      <c r="A1143" s="397"/>
      <c r="B1143" s="599">
        <f t="shared" si="205"/>
        <v>46918</v>
      </c>
      <c r="C1143" s="600" t="s">
        <v>6062</v>
      </c>
      <c r="D1143" s="600" t="str">
        <f t="shared" si="206"/>
        <v>46900</v>
      </c>
      <c r="E1143" s="417">
        <v>333903992000000</v>
      </c>
      <c r="F1143" s="418" t="s">
        <v>1097</v>
      </c>
      <c r="G1143" s="603">
        <v>1</v>
      </c>
      <c r="H1143" s="603">
        <v>0</v>
      </c>
      <c r="I1143" s="601">
        <v>332310500000000</v>
      </c>
      <c r="J1143" s="602" t="s">
        <v>6152</v>
      </c>
      <c r="K1143" s="891">
        <v>0</v>
      </c>
      <c r="L1143" s="891">
        <v>0</v>
      </c>
      <c r="M1143" s="477">
        <f t="shared" si="204"/>
        <v>0</v>
      </c>
      <c r="N1143" s="796"/>
      <c r="P1143" s="399"/>
    </row>
    <row r="1144" spans="1:16" s="668" customFormat="1" ht="15" customHeight="1" x14ac:dyDescent="0.25">
      <c r="A1144" s="397"/>
      <c r="B1144" s="599">
        <f t="shared" si="205"/>
        <v>46919</v>
      </c>
      <c r="C1144" s="600" t="s">
        <v>6062</v>
      </c>
      <c r="D1144" s="600" t="str">
        <f t="shared" si="206"/>
        <v>46900</v>
      </c>
      <c r="E1144" s="417">
        <v>333903993000000</v>
      </c>
      <c r="F1144" s="418" t="s">
        <v>2189</v>
      </c>
      <c r="G1144" s="603">
        <v>1</v>
      </c>
      <c r="H1144" s="603">
        <v>0</v>
      </c>
      <c r="I1144" s="601">
        <v>332310500000000</v>
      </c>
      <c r="J1144" s="602" t="s">
        <v>6154</v>
      </c>
      <c r="K1144" s="891">
        <v>0</v>
      </c>
      <c r="L1144" s="891">
        <v>0</v>
      </c>
      <c r="M1144" s="477">
        <f t="shared" si="204"/>
        <v>0</v>
      </c>
      <c r="N1144" s="796"/>
      <c r="P1144" s="399"/>
    </row>
    <row r="1145" spans="1:16" s="668" customFormat="1" ht="15" customHeight="1" x14ac:dyDescent="0.25">
      <c r="A1145" s="397"/>
      <c r="B1145" s="599">
        <f t="shared" si="205"/>
        <v>46920</v>
      </c>
      <c r="C1145" s="600" t="s">
        <v>6062</v>
      </c>
      <c r="D1145" s="600" t="str">
        <f t="shared" si="206"/>
        <v>46900</v>
      </c>
      <c r="E1145" s="417">
        <v>333903995000000</v>
      </c>
      <c r="F1145" s="418" t="s">
        <v>3164</v>
      </c>
      <c r="G1145" s="603">
        <v>1</v>
      </c>
      <c r="H1145" s="603">
        <v>0</v>
      </c>
      <c r="I1145" s="601">
        <v>332311100000000</v>
      </c>
      <c r="J1145" s="602" t="s">
        <v>6155</v>
      </c>
      <c r="K1145" s="891">
        <v>0</v>
      </c>
      <c r="L1145" s="891">
        <v>0</v>
      </c>
      <c r="M1145" s="477">
        <f t="shared" si="204"/>
        <v>0</v>
      </c>
      <c r="N1145" s="796"/>
      <c r="P1145" s="399"/>
    </row>
    <row r="1146" spans="1:16" s="668" customFormat="1" ht="15" customHeight="1" x14ac:dyDescent="0.25">
      <c r="A1146" s="397"/>
      <c r="B1146" s="599">
        <f t="shared" si="205"/>
        <v>46921</v>
      </c>
      <c r="C1146" s="600" t="s">
        <v>6062</v>
      </c>
      <c r="D1146" s="600" t="str">
        <f t="shared" si="206"/>
        <v>46900</v>
      </c>
      <c r="E1146" s="417">
        <v>333903999010000</v>
      </c>
      <c r="F1146" s="418" t="s">
        <v>2449</v>
      </c>
      <c r="G1146" s="603">
        <v>1</v>
      </c>
      <c r="H1146" s="603">
        <v>0</v>
      </c>
      <c r="I1146" s="601">
        <v>332310700000000</v>
      </c>
      <c r="J1146" s="602" t="s">
        <v>6156</v>
      </c>
      <c r="K1146" s="891">
        <v>0</v>
      </c>
      <c r="L1146" s="891">
        <v>0</v>
      </c>
      <c r="M1146" s="477">
        <f t="shared" si="204"/>
        <v>0</v>
      </c>
      <c r="N1146" s="796"/>
      <c r="P1146" s="399"/>
    </row>
    <row r="1147" spans="1:16" s="668" customFormat="1" ht="15" customHeight="1" x14ac:dyDescent="0.25">
      <c r="A1147" s="397"/>
      <c r="B1147" s="599">
        <f t="shared" si="205"/>
        <v>46922</v>
      </c>
      <c r="C1147" s="600" t="s">
        <v>6062</v>
      </c>
      <c r="D1147" s="600" t="str">
        <f t="shared" si="206"/>
        <v>46900</v>
      </c>
      <c r="E1147" s="417">
        <v>333903999040000</v>
      </c>
      <c r="F1147" s="418" t="s">
        <v>5812</v>
      </c>
      <c r="G1147" s="603">
        <v>1</v>
      </c>
      <c r="H1147" s="603">
        <v>0</v>
      </c>
      <c r="I1147" s="601">
        <v>332319900000000</v>
      </c>
      <c r="J1147" s="602" t="s">
        <v>6160</v>
      </c>
      <c r="K1147" s="891">
        <v>0</v>
      </c>
      <c r="L1147" s="891">
        <v>0</v>
      </c>
      <c r="M1147" s="477">
        <f t="shared" si="204"/>
        <v>0</v>
      </c>
      <c r="N1147" s="796"/>
      <c r="P1147" s="399"/>
    </row>
    <row r="1148" spans="1:16" s="115" customFormat="1" ht="15" customHeight="1" x14ac:dyDescent="0.25">
      <c r="A1148" s="396"/>
      <c r="B1148" s="1398" t="s">
        <v>7435</v>
      </c>
      <c r="C1148" s="1398"/>
      <c r="D1148" s="1398"/>
      <c r="E1148" s="854">
        <v>333904700000000</v>
      </c>
      <c r="F1148" s="855" t="s">
        <v>990</v>
      </c>
      <c r="G1148" s="468">
        <v>1</v>
      </c>
      <c r="H1148" s="468">
        <v>0</v>
      </c>
      <c r="I1148" s="751"/>
      <c r="J1148" s="878" t="s">
        <v>7432</v>
      </c>
      <c r="K1148" s="789">
        <f>'Parâmetros financeiros Despesa'!E502</f>
        <v>14.100000000000001</v>
      </c>
      <c r="L1148" s="789">
        <f>('Parâmetros financeiros Despesa'!F494+'Parâmetros financeiros Despesa'!F497+'Parâmetros financeiros Despesa'!F500)*((1+'Parâmetros financeiros Despesa'!F4)*(1+'Parâmetros financeiros Despesa'!F7)*('Parâmetros financeiros Despesa'!F83))</f>
        <v>2180.663</v>
      </c>
      <c r="M1148" s="799">
        <f>L1148/L$1180</f>
        <v>5.8421011336897274E-3</v>
      </c>
      <c r="N1148" s="894"/>
      <c r="O1148" s="894"/>
      <c r="P1148" s="733"/>
    </row>
    <row r="1149" spans="1:16" s="668" customFormat="1" ht="15" customHeight="1" x14ac:dyDescent="0.25">
      <c r="A1149" s="397"/>
      <c r="B1149" s="599">
        <f>B1148+1</f>
        <v>47001</v>
      </c>
      <c r="C1149" s="600" t="s">
        <v>6062</v>
      </c>
      <c r="D1149" s="528" t="str">
        <f>B1148</f>
        <v>47000</v>
      </c>
      <c r="E1149" s="417">
        <v>333904718000000</v>
      </c>
      <c r="F1149" s="418" t="s">
        <v>5904</v>
      </c>
      <c r="G1149" s="603">
        <v>1</v>
      </c>
      <c r="H1149" s="603">
        <v>0</v>
      </c>
      <c r="I1149" s="601">
        <v>372110400000000</v>
      </c>
      <c r="J1149" s="602" t="s">
        <v>6131</v>
      </c>
      <c r="K1149" s="891">
        <v>0</v>
      </c>
      <c r="L1149" s="891">
        <v>0</v>
      </c>
      <c r="M1149" s="477">
        <f t="shared" ref="M1149:M1150" si="207">L1149/L$1180</f>
        <v>0</v>
      </c>
      <c r="N1149" s="796"/>
      <c r="P1149" s="399"/>
    </row>
    <row r="1150" spans="1:16" s="668" customFormat="1" ht="15" customHeight="1" x14ac:dyDescent="0.25">
      <c r="A1150" s="397"/>
      <c r="B1150" s="599">
        <f>B1149+1</f>
        <v>47002</v>
      </c>
      <c r="C1150" s="600" t="s">
        <v>6062</v>
      </c>
      <c r="D1150" s="528">
        <v>47000</v>
      </c>
      <c r="E1150" s="417">
        <v>333904720000000</v>
      </c>
      <c r="F1150" s="418" t="s">
        <v>5905</v>
      </c>
      <c r="G1150" s="603">
        <v>1</v>
      </c>
      <c r="H1150" s="603">
        <v>0</v>
      </c>
      <c r="I1150" s="601">
        <v>372110500000000</v>
      </c>
      <c r="J1150" s="602" t="s">
        <v>6160</v>
      </c>
      <c r="K1150" s="891">
        <v>0</v>
      </c>
      <c r="L1150" s="891">
        <v>0</v>
      </c>
      <c r="M1150" s="477">
        <f t="shared" si="207"/>
        <v>0</v>
      </c>
      <c r="N1150" s="796"/>
      <c r="P1150" s="399"/>
    </row>
    <row r="1151" spans="1:16" s="115" customFormat="1" ht="15" customHeight="1" x14ac:dyDescent="0.25">
      <c r="A1151" s="396"/>
      <c r="B1151" s="1398" t="s">
        <v>7436</v>
      </c>
      <c r="C1151" s="1398"/>
      <c r="D1151" s="1398"/>
      <c r="E1151" s="854">
        <v>333904900000000</v>
      </c>
      <c r="F1151" s="855" t="s">
        <v>7167</v>
      </c>
      <c r="G1151" s="468">
        <v>1</v>
      </c>
      <c r="H1151" s="468">
        <v>0</v>
      </c>
      <c r="I1151" s="751"/>
      <c r="J1151" s="878" t="s">
        <v>7424</v>
      </c>
      <c r="K1151" s="789">
        <f>'Parâmetros financeiros Despesa'!E503</f>
        <v>4096.5599999999995</v>
      </c>
      <c r="L1151" s="789">
        <f>('Parâmetros financeiros Despesa'!F503)*2.05+(('Parâmetros financeiros Despesa'!F503)*11.28)*(1+'Parâmetros financeiros Despesa'!F$4)*(1+'Parâmetros financeiros Despesa'!F$8)</f>
        <v>4764.2414366491748</v>
      </c>
      <c r="M1151" s="799">
        <f>L1151/L$1180</f>
        <v>1.2763632114737454E-2</v>
      </c>
      <c r="N1151" s="894"/>
      <c r="O1151" s="894"/>
      <c r="P1151" s="733"/>
    </row>
    <row r="1152" spans="1:16" s="668" customFormat="1" ht="15" customHeight="1" x14ac:dyDescent="0.25">
      <c r="A1152" s="397"/>
      <c r="B1152" s="599">
        <f>B1151+1</f>
        <v>47101</v>
      </c>
      <c r="C1152" s="600" t="s">
        <v>6062</v>
      </c>
      <c r="D1152" s="528" t="str">
        <f>B1151</f>
        <v>47100</v>
      </c>
      <c r="E1152" s="417">
        <v>333904901000000</v>
      </c>
      <c r="F1152" s="418" t="s">
        <v>6042</v>
      </c>
      <c r="G1152" s="603">
        <v>1</v>
      </c>
      <c r="H1152" s="603">
        <v>0</v>
      </c>
      <c r="I1152" s="601">
        <v>313110200000000</v>
      </c>
      <c r="J1152" s="602" t="s">
        <v>6163</v>
      </c>
      <c r="K1152" s="891">
        <v>0</v>
      </c>
      <c r="L1152" s="891">
        <v>0</v>
      </c>
      <c r="M1152" s="477">
        <f t="shared" ref="M1152" si="208">L1152/L$1180</f>
        <v>0</v>
      </c>
      <c r="N1152" s="796"/>
      <c r="P1152" s="399"/>
    </row>
    <row r="1153" spans="1:16" s="115" customFormat="1" ht="15" customHeight="1" x14ac:dyDescent="0.25">
      <c r="A1153" s="396"/>
      <c r="B1153" s="1398" t="s">
        <v>7437</v>
      </c>
      <c r="C1153" s="1398"/>
      <c r="D1153" s="1398"/>
      <c r="E1153" s="854">
        <v>333909300000000</v>
      </c>
      <c r="F1153" s="855" t="s">
        <v>5818</v>
      </c>
      <c r="G1153" s="468">
        <v>1</v>
      </c>
      <c r="H1153" s="468">
        <v>0</v>
      </c>
      <c r="I1153" s="751"/>
      <c r="J1153" s="878" t="s">
        <v>7432</v>
      </c>
      <c r="K1153" s="789">
        <f>'Parâmetros financeiros Despesa'!E504</f>
        <v>115.92</v>
      </c>
      <c r="L1153" s="789">
        <f>('Parâmetros financeiros Despesa'!F504)*(1+'Parâmetros financeiros Despesa'!F4)*(1+'Parâmetros financeiros Despesa'!F7)</f>
        <v>2180.663</v>
      </c>
      <c r="M1153" s="799">
        <f>L1153/L$1180</f>
        <v>5.8421011336897274E-3</v>
      </c>
      <c r="N1153" s="894"/>
      <c r="O1153" s="894"/>
      <c r="P1153" s="733"/>
    </row>
    <row r="1154" spans="1:16" s="668" customFormat="1" ht="15" customHeight="1" x14ac:dyDescent="0.25">
      <c r="A1154" s="397"/>
      <c r="B1154" s="599">
        <f>B1153+1</f>
        <v>47201</v>
      </c>
      <c r="C1154" s="600" t="s">
        <v>6062</v>
      </c>
      <c r="D1154" s="528" t="str">
        <f>B1153</f>
        <v>47200</v>
      </c>
      <c r="E1154" s="417">
        <v>333909399000000</v>
      </c>
      <c r="F1154" s="418" t="s">
        <v>1038</v>
      </c>
      <c r="G1154" s="603">
        <v>1</v>
      </c>
      <c r="H1154" s="603">
        <v>0</v>
      </c>
      <c r="I1154" s="601">
        <v>399910300000000</v>
      </c>
      <c r="J1154" s="602" t="s">
        <v>6164</v>
      </c>
      <c r="K1154" s="891">
        <v>0</v>
      </c>
      <c r="L1154" s="891">
        <v>0</v>
      </c>
      <c r="M1154" s="477">
        <f t="shared" ref="M1154" si="209">L1154/L$1180</f>
        <v>0</v>
      </c>
      <c r="N1154" s="796"/>
      <c r="P1154" s="399"/>
    </row>
    <row r="1155" spans="1:16" s="115" customFormat="1" ht="15" customHeight="1" x14ac:dyDescent="0.25">
      <c r="A1155" s="396"/>
      <c r="B1155" s="1398" t="s">
        <v>7438</v>
      </c>
      <c r="C1155" s="1398"/>
      <c r="D1155" s="1398"/>
      <c r="E1155" s="854">
        <v>333933000000000</v>
      </c>
      <c r="F1155" s="855" t="s">
        <v>7205</v>
      </c>
      <c r="G1155" s="468">
        <v>1</v>
      </c>
      <c r="H1155" s="468">
        <v>0</v>
      </c>
      <c r="I1155" s="751"/>
      <c r="J1155" s="878" t="s">
        <v>6197</v>
      </c>
      <c r="K1155" s="789">
        <f>'Parâmetros financeiros Despesa'!E505</f>
        <v>1325.31</v>
      </c>
      <c r="L1155" s="789">
        <f>('Parâmetros financeiros Despesa'!F505)*(1+'Parâmetros financeiros Despesa'!F4)*(1+'Parâmetros financeiros Despesa'!F7)</f>
        <v>2180.663</v>
      </c>
      <c r="M1155" s="799">
        <f>L1155/L$1180</f>
        <v>5.8421011336897274E-3</v>
      </c>
      <c r="N1155" s="894"/>
      <c r="O1155" s="894"/>
      <c r="P1155" s="733"/>
    </row>
    <row r="1156" spans="1:16" s="668" customFormat="1" ht="15" customHeight="1" x14ac:dyDescent="0.25">
      <c r="A1156" s="397"/>
      <c r="B1156" s="599">
        <f>B1155+1</f>
        <v>47301</v>
      </c>
      <c r="C1156" s="600" t="s">
        <v>6062</v>
      </c>
      <c r="D1156" s="528" t="str">
        <f>B1155</f>
        <v>47300</v>
      </c>
      <c r="E1156" s="417">
        <v>333933002000000</v>
      </c>
      <c r="F1156" s="418" t="s">
        <v>6199</v>
      </c>
      <c r="G1156" s="603">
        <v>1</v>
      </c>
      <c r="H1156" s="603">
        <v>0</v>
      </c>
      <c r="I1156" s="601">
        <v>35</v>
      </c>
      <c r="J1156" s="602" t="s">
        <v>6198</v>
      </c>
      <c r="K1156" s="891">
        <v>0</v>
      </c>
      <c r="L1156" s="891">
        <v>0</v>
      </c>
      <c r="M1156" s="477">
        <f t="shared" ref="M1156" si="210">L1156/L$1180</f>
        <v>0</v>
      </c>
      <c r="N1156" s="796"/>
      <c r="P1156" s="399"/>
    </row>
    <row r="1157" spans="1:16" s="668" customFormat="1" ht="15" customHeight="1" x14ac:dyDescent="0.25">
      <c r="A1157" s="397"/>
      <c r="B1157" s="1385" t="s">
        <v>5951</v>
      </c>
      <c r="C1157" s="1385"/>
      <c r="D1157" s="1385"/>
      <c r="E1157" s="1385"/>
      <c r="F1157" s="1385"/>
      <c r="G1157" s="401">
        <v>1</v>
      </c>
      <c r="H1157" s="401"/>
      <c r="I1157" s="426"/>
      <c r="J1157" s="411"/>
      <c r="K1157" s="402">
        <f t="shared" ref="K1157:L1159" si="211">K1158</f>
        <v>0</v>
      </c>
      <c r="L1157" s="402">
        <f t="shared" si="211"/>
        <v>11993.646499999999</v>
      </c>
      <c r="M1157" s="451">
        <f>L1157/L$1180</f>
        <v>3.2131556235293499E-2</v>
      </c>
      <c r="N1157" s="796"/>
      <c r="P1157" s="399"/>
    </row>
    <row r="1158" spans="1:16" s="668" customFormat="1" ht="15" customHeight="1" x14ac:dyDescent="0.25">
      <c r="A1158" s="397"/>
      <c r="B1158" s="1386" t="s">
        <v>7008</v>
      </c>
      <c r="C1158" s="1386"/>
      <c r="D1158" s="1386"/>
      <c r="E1158" s="1386"/>
      <c r="F1158" s="1386"/>
      <c r="G1158" s="403">
        <v>1</v>
      </c>
      <c r="H1158" s="403"/>
      <c r="I1158" s="427"/>
      <c r="J1158" s="412"/>
      <c r="K1158" s="404">
        <f t="shared" si="211"/>
        <v>0</v>
      </c>
      <c r="L1158" s="404">
        <f t="shared" si="211"/>
        <v>11993.646499999999</v>
      </c>
      <c r="M1158" s="452">
        <f>L1158/L$1180</f>
        <v>3.2131556235293499E-2</v>
      </c>
      <c r="N1158" s="796"/>
      <c r="P1158" s="399"/>
    </row>
    <row r="1159" spans="1:16" s="668" customFormat="1" ht="15" customHeight="1" x14ac:dyDescent="0.25">
      <c r="A1159" s="397"/>
      <c r="B1159" s="1382" t="s">
        <v>7283</v>
      </c>
      <c r="C1159" s="1382"/>
      <c r="D1159" s="1382"/>
      <c r="E1159" s="1382"/>
      <c r="F1159" s="1382"/>
      <c r="G1159" s="405">
        <v>1</v>
      </c>
      <c r="H1159" s="405"/>
      <c r="I1159" s="428"/>
      <c r="J1159" s="413"/>
      <c r="K1159" s="406">
        <f t="shared" si="211"/>
        <v>0</v>
      </c>
      <c r="L1159" s="406">
        <f t="shared" si="211"/>
        <v>11993.646499999999</v>
      </c>
      <c r="M1159" s="453">
        <f>L1159/L$1180</f>
        <v>3.2131556235293499E-2</v>
      </c>
      <c r="N1159" s="796"/>
      <c r="P1159" s="399"/>
    </row>
    <row r="1160" spans="1:16" s="668" customFormat="1" ht="15" customHeight="1" x14ac:dyDescent="0.25">
      <c r="A1160" s="397"/>
      <c r="B1160" s="1383" t="s">
        <v>2287</v>
      </c>
      <c r="C1160" s="1383"/>
      <c r="D1160" s="1383"/>
      <c r="E1160" s="1383"/>
      <c r="F1160" s="1383"/>
      <c r="G1160" s="407">
        <v>1</v>
      </c>
      <c r="H1160" s="407"/>
      <c r="I1160" s="429"/>
      <c r="J1160" s="414"/>
      <c r="K1160" s="408">
        <f>SUM(K1161:K1176)</f>
        <v>0</v>
      </c>
      <c r="L1160" s="408">
        <f>SUM(L1161:L1176)</f>
        <v>11993.646499999999</v>
      </c>
      <c r="M1160" s="454">
        <f>L1160/L$1180</f>
        <v>3.2131556235293499E-2</v>
      </c>
      <c r="N1160" s="796"/>
      <c r="P1160" s="399"/>
    </row>
    <row r="1161" spans="1:16" s="668" customFormat="1" ht="15" customHeight="1" x14ac:dyDescent="0.25">
      <c r="A1161" s="397"/>
      <c r="B1161" s="1396">
        <v>48000</v>
      </c>
      <c r="C1161" s="1396"/>
      <c r="D1161" s="1396"/>
      <c r="E1161" s="417">
        <v>333903000000000</v>
      </c>
      <c r="F1161" s="418" t="s">
        <v>7176</v>
      </c>
      <c r="G1161" s="468">
        <v>1</v>
      </c>
      <c r="H1161" s="468">
        <v>0</v>
      </c>
      <c r="I1161" s="751"/>
      <c r="J1161" s="878" t="s">
        <v>7423</v>
      </c>
      <c r="K1161" s="789">
        <f>'Parâmetros financeiros Despesa'!E508+'Parâmetros financeiros Despesa'!E509</f>
        <v>0</v>
      </c>
      <c r="L1161" s="789">
        <f>('Parâmetros financeiros Despesa'!F508+'Parâmetros financeiros Despesa'!F509)*(1+'Parâmetros financeiros Despesa'!F$4)*(1+'Parâmetros financeiros Despesa'!F$7)</f>
        <v>2180.663</v>
      </c>
      <c r="M1161" s="799">
        <f>L1161/L$1180</f>
        <v>5.8421011336897274E-3</v>
      </c>
      <c r="N1161" s="894"/>
      <c r="O1161" s="796"/>
      <c r="P1161" s="399"/>
    </row>
    <row r="1162" spans="1:16" s="668" customFormat="1" ht="15" customHeight="1" x14ac:dyDescent="0.25">
      <c r="A1162" s="397"/>
      <c r="B1162" s="478">
        <f>B1161+1</f>
        <v>48001</v>
      </c>
      <c r="C1162" s="528" t="s">
        <v>6062</v>
      </c>
      <c r="D1162" s="528">
        <v>48000</v>
      </c>
      <c r="E1162" s="417">
        <v>333903017000000</v>
      </c>
      <c r="F1162" s="418" t="s">
        <v>5753</v>
      </c>
      <c r="G1162" s="603">
        <v>1</v>
      </c>
      <c r="H1162" s="603">
        <v>0</v>
      </c>
      <c r="I1162" s="601">
        <v>331111700000000</v>
      </c>
      <c r="J1162" s="602" t="s">
        <v>6098</v>
      </c>
      <c r="K1162" s="891">
        <v>0</v>
      </c>
      <c r="L1162" s="891">
        <v>0</v>
      </c>
      <c r="M1162" s="477">
        <f t="shared" ref="M1162:M1163" si="212">L1162/L$1180</f>
        <v>0</v>
      </c>
      <c r="N1162" s="796"/>
      <c r="P1162" s="399"/>
    </row>
    <row r="1163" spans="1:16" s="668" customFormat="1" ht="15" customHeight="1" x14ac:dyDescent="0.25">
      <c r="A1163" s="397"/>
      <c r="B1163" s="478">
        <f>B1162+1</f>
        <v>48002</v>
      </c>
      <c r="C1163" s="528" t="s">
        <v>6062</v>
      </c>
      <c r="D1163" s="528">
        <v>48000</v>
      </c>
      <c r="E1163" s="417">
        <v>333903017000000</v>
      </c>
      <c r="F1163" s="418" t="s">
        <v>5754</v>
      </c>
      <c r="G1163" s="603">
        <v>1</v>
      </c>
      <c r="H1163" s="603">
        <v>0</v>
      </c>
      <c r="I1163" s="601">
        <v>617</v>
      </c>
      <c r="J1163" s="602" t="s">
        <v>6098</v>
      </c>
      <c r="K1163" s="891">
        <v>0</v>
      </c>
      <c r="L1163" s="891">
        <v>0</v>
      </c>
      <c r="M1163" s="477">
        <f t="shared" si="212"/>
        <v>0</v>
      </c>
      <c r="N1163" s="796"/>
      <c r="P1163" s="399"/>
    </row>
    <row r="1164" spans="1:16" s="668" customFormat="1" ht="15" customHeight="1" x14ac:dyDescent="0.25">
      <c r="A1164" s="397"/>
      <c r="B1164" s="994"/>
      <c r="C1164" s="994"/>
      <c r="D1164" s="994" t="s">
        <v>7439</v>
      </c>
      <c r="E1164" s="417">
        <v>333903600000000</v>
      </c>
      <c r="F1164" s="418" t="s">
        <v>7177</v>
      </c>
      <c r="G1164" s="468">
        <v>1</v>
      </c>
      <c r="H1164" s="468">
        <v>0</v>
      </c>
      <c r="I1164" s="751"/>
      <c r="J1164" s="878" t="s">
        <v>7423</v>
      </c>
      <c r="K1164" s="789">
        <f>'Parâmetros financeiros Despesa'!E510</f>
        <v>0</v>
      </c>
      <c r="L1164" s="789">
        <f>('Parâmetros financeiros Despesa'!F510)*(1+'Parâmetros financeiros Despesa'!F$4)*(1+'Parâmetros financeiros Despesa'!F$7)</f>
        <v>1090.3315</v>
      </c>
      <c r="M1164" s="799">
        <f>L1164/L$1180</f>
        <v>2.9210505668448637E-3</v>
      </c>
      <c r="N1164" s="894"/>
      <c r="O1164" s="796"/>
      <c r="P1164" s="399"/>
    </row>
    <row r="1165" spans="1:16" s="668" customFormat="1" ht="15" customHeight="1" x14ac:dyDescent="0.25">
      <c r="A1165" s="397"/>
      <c r="B1165" s="599" t="s">
        <v>7207</v>
      </c>
      <c r="C1165" s="600" t="s">
        <v>6062</v>
      </c>
      <c r="D1165" s="528">
        <v>48100</v>
      </c>
      <c r="E1165" s="417">
        <v>333903606000000</v>
      </c>
      <c r="F1165" s="418" t="s">
        <v>1151</v>
      </c>
      <c r="G1165" s="603">
        <v>1</v>
      </c>
      <c r="H1165" s="603">
        <v>0</v>
      </c>
      <c r="I1165" s="601">
        <v>332211500000000</v>
      </c>
      <c r="J1165" s="602" t="s">
        <v>6131</v>
      </c>
      <c r="K1165" s="891">
        <v>0</v>
      </c>
      <c r="L1165" s="891">
        <v>0</v>
      </c>
      <c r="M1165" s="477">
        <f>L1165/L$1180</f>
        <v>0</v>
      </c>
      <c r="N1165" s="796"/>
      <c r="P1165" s="399"/>
    </row>
    <row r="1166" spans="1:16" s="668" customFormat="1" ht="15" customHeight="1" x14ac:dyDescent="0.25">
      <c r="A1166" s="397"/>
      <c r="B1166" s="1398" t="s">
        <v>7440</v>
      </c>
      <c r="C1166" s="1398"/>
      <c r="D1166" s="1398"/>
      <c r="E1166" s="417">
        <v>333903900000000</v>
      </c>
      <c r="F1166" s="418" t="s">
        <v>7178</v>
      </c>
      <c r="G1166" s="468">
        <v>1</v>
      </c>
      <c r="H1166" s="468">
        <v>0</v>
      </c>
      <c r="I1166" s="751"/>
      <c r="J1166" s="878" t="s">
        <v>7423</v>
      </c>
      <c r="K1166" s="789">
        <f>('Parâmetros financeiros Despesa'!E511+'Parâmetros financeiros Despesa'!E512)</f>
        <v>0</v>
      </c>
      <c r="L1166" s="789">
        <f>('Parâmetros financeiros Despesa'!F511+'Parâmetros financeiros Despesa'!F512)*(1+'Parâmetros financeiros Despesa'!F$4)*(1+'Parâmetros financeiros Despesa'!F$7)</f>
        <v>4361.326</v>
      </c>
      <c r="M1166" s="799">
        <f>L1166/L$1180</f>
        <v>1.1684202267379455E-2</v>
      </c>
      <c r="N1166" s="894"/>
      <c r="O1166" s="796"/>
      <c r="P1166" s="399"/>
    </row>
    <row r="1167" spans="1:16" s="668" customFormat="1" ht="15" customHeight="1" x14ac:dyDescent="0.25">
      <c r="A1167" s="397"/>
      <c r="B1167" s="599">
        <f t="shared" ref="B1167:B1172" si="213">B1166+1</f>
        <v>48201</v>
      </c>
      <c r="C1167" s="600" t="s">
        <v>6062</v>
      </c>
      <c r="D1167" s="528">
        <v>48200</v>
      </c>
      <c r="E1167" s="417">
        <v>333903905000000</v>
      </c>
      <c r="F1167" s="418" t="s">
        <v>1151</v>
      </c>
      <c r="G1167" s="603">
        <v>1</v>
      </c>
      <c r="H1167" s="603">
        <v>0</v>
      </c>
      <c r="I1167" s="601">
        <v>332315100000000</v>
      </c>
      <c r="J1167" s="602" t="s">
        <v>6127</v>
      </c>
      <c r="K1167" s="891">
        <v>0</v>
      </c>
      <c r="L1167" s="891">
        <v>0</v>
      </c>
      <c r="M1167" s="477">
        <f t="shared" ref="M1167:M1172" si="214">L1167/L$1180</f>
        <v>0</v>
      </c>
      <c r="N1167" s="796"/>
      <c r="P1167" s="399"/>
    </row>
    <row r="1168" spans="1:16" s="668" customFormat="1" ht="15" customHeight="1" x14ac:dyDescent="0.25">
      <c r="A1168" s="397"/>
      <c r="B1168" s="599">
        <f t="shared" si="213"/>
        <v>48202</v>
      </c>
      <c r="C1168" s="600" t="s">
        <v>6062</v>
      </c>
      <c r="D1168" s="528">
        <f>D1167</f>
        <v>48200</v>
      </c>
      <c r="E1168" s="417">
        <v>333903908000000</v>
      </c>
      <c r="F1168" s="418" t="s">
        <v>7010</v>
      </c>
      <c r="G1168" s="603">
        <v>1</v>
      </c>
      <c r="H1168" s="603">
        <v>0</v>
      </c>
      <c r="I1168" s="601">
        <v>332315100000000</v>
      </c>
      <c r="J1168" s="602" t="s">
        <v>6127</v>
      </c>
      <c r="K1168" s="891">
        <v>0</v>
      </c>
      <c r="L1168" s="891">
        <v>0</v>
      </c>
      <c r="M1168" s="477">
        <f t="shared" si="214"/>
        <v>0</v>
      </c>
      <c r="N1168" s="796"/>
      <c r="P1168" s="399"/>
    </row>
    <row r="1169" spans="1:16" s="668" customFormat="1" ht="15" customHeight="1" x14ac:dyDescent="0.25">
      <c r="A1169" s="397"/>
      <c r="B1169" s="599">
        <f t="shared" si="213"/>
        <v>48203</v>
      </c>
      <c r="C1169" s="600" t="s">
        <v>6062</v>
      </c>
      <c r="D1169" s="528">
        <f>D1168</f>
        <v>48200</v>
      </c>
      <c r="E1169" s="417">
        <v>333903911000000</v>
      </c>
      <c r="F1169" s="418" t="s">
        <v>2623</v>
      </c>
      <c r="G1169" s="603">
        <v>1</v>
      </c>
      <c r="H1169" s="603">
        <v>0</v>
      </c>
      <c r="I1169" s="601">
        <v>332315100000000</v>
      </c>
      <c r="J1169" s="602" t="s">
        <v>6127</v>
      </c>
      <c r="K1169" s="891">
        <v>0</v>
      </c>
      <c r="L1169" s="891">
        <v>0</v>
      </c>
      <c r="M1169" s="477">
        <f t="shared" si="214"/>
        <v>0</v>
      </c>
      <c r="N1169" s="796"/>
      <c r="P1169" s="399"/>
    </row>
    <row r="1170" spans="1:16" s="668" customFormat="1" ht="15" customHeight="1" x14ac:dyDescent="0.25">
      <c r="A1170" s="397"/>
      <c r="B1170" s="599">
        <f t="shared" si="213"/>
        <v>48204</v>
      </c>
      <c r="C1170" s="600" t="s">
        <v>6062</v>
      </c>
      <c r="D1170" s="528">
        <f>D1169</f>
        <v>48200</v>
      </c>
      <c r="E1170" s="417">
        <v>333903948000000</v>
      </c>
      <c r="F1170" s="418" t="s">
        <v>2158</v>
      </c>
      <c r="G1170" s="603">
        <v>1</v>
      </c>
      <c r="H1170" s="603">
        <v>0</v>
      </c>
      <c r="I1170" s="601">
        <v>332315100000000</v>
      </c>
      <c r="J1170" s="602" t="s">
        <v>6127</v>
      </c>
      <c r="K1170" s="891">
        <v>0</v>
      </c>
      <c r="L1170" s="891">
        <v>0</v>
      </c>
      <c r="M1170" s="477">
        <f t="shared" si="214"/>
        <v>0</v>
      </c>
      <c r="N1170" s="796"/>
      <c r="P1170" s="399"/>
    </row>
    <row r="1171" spans="1:16" s="668" customFormat="1" ht="15" customHeight="1" x14ac:dyDescent="0.25">
      <c r="A1171" s="397"/>
      <c r="B1171" s="599">
        <f t="shared" si="213"/>
        <v>48205</v>
      </c>
      <c r="C1171" s="600" t="s">
        <v>6062</v>
      </c>
      <c r="D1171" s="528">
        <f>D1170</f>
        <v>48200</v>
      </c>
      <c r="E1171" s="417">
        <v>333903958030000</v>
      </c>
      <c r="F1171" s="418" t="s">
        <v>7011</v>
      </c>
      <c r="G1171" s="603">
        <v>1</v>
      </c>
      <c r="H1171" s="603">
        <v>0</v>
      </c>
      <c r="I1171" s="601">
        <v>332315100000000</v>
      </c>
      <c r="J1171" s="602" t="s">
        <v>6127</v>
      </c>
      <c r="K1171" s="891">
        <v>0</v>
      </c>
      <c r="L1171" s="891">
        <v>0</v>
      </c>
      <c r="M1171" s="477">
        <f t="shared" si="214"/>
        <v>0</v>
      </c>
      <c r="N1171" s="796"/>
      <c r="P1171" s="399"/>
    </row>
    <row r="1172" spans="1:16" s="668" customFormat="1" ht="15" customHeight="1" x14ac:dyDescent="0.25">
      <c r="A1172" s="397"/>
      <c r="B1172" s="599">
        <f t="shared" si="213"/>
        <v>48206</v>
      </c>
      <c r="C1172" s="600" t="s">
        <v>6062</v>
      </c>
      <c r="D1172" s="528">
        <f>D1171</f>
        <v>48200</v>
      </c>
      <c r="E1172" s="417">
        <v>333903999040000</v>
      </c>
      <c r="F1172" s="418" t="s">
        <v>5812</v>
      </c>
      <c r="G1172" s="603">
        <v>1</v>
      </c>
      <c r="H1172" s="603">
        <v>0</v>
      </c>
      <c r="I1172" s="601">
        <v>332319900000000</v>
      </c>
      <c r="J1172" s="602" t="s">
        <v>6160</v>
      </c>
      <c r="K1172" s="891">
        <v>0</v>
      </c>
      <c r="L1172" s="891">
        <v>0</v>
      </c>
      <c r="M1172" s="477">
        <f t="shared" si="214"/>
        <v>0</v>
      </c>
      <c r="N1172" s="796"/>
      <c r="P1172" s="399"/>
    </row>
    <row r="1173" spans="1:16" s="668" customFormat="1" ht="15" customHeight="1" x14ac:dyDescent="0.25">
      <c r="A1173" s="397"/>
      <c r="B1173" s="1398" t="s">
        <v>7441</v>
      </c>
      <c r="C1173" s="1398"/>
      <c r="D1173" s="1398"/>
      <c r="E1173" s="417">
        <v>333904700000000</v>
      </c>
      <c r="F1173" s="418" t="s">
        <v>7179</v>
      </c>
      <c r="G1173" s="468">
        <v>1</v>
      </c>
      <c r="H1173" s="468">
        <v>0</v>
      </c>
      <c r="I1173" s="751"/>
      <c r="J1173" s="878" t="s">
        <v>7423</v>
      </c>
      <c r="K1173" s="789">
        <f>'Parâmetros financeiros Despesa'!E507</f>
        <v>0</v>
      </c>
      <c r="L1173" s="789">
        <f>(('Parâmetros financeiros Despesa'!F509+'Parâmetros financeiros Despesa'!F510+'Parâmetros financeiros Despesa'!F512)*(1+'Parâmetros financeiros Despesa'!F$4)*(1+'Parâmetros financeiros Despesa'!F$7))*('Parâmetros financeiros Despesa'!F$83)</f>
        <v>654.19890000000009</v>
      </c>
      <c r="M1173" s="799">
        <f>L1173/L$1180</f>
        <v>1.7526303401069186E-3</v>
      </c>
      <c r="N1173" s="894"/>
      <c r="O1173" s="796"/>
      <c r="P1173" s="399"/>
    </row>
    <row r="1174" spans="1:16" s="668" customFormat="1" ht="15" customHeight="1" x14ac:dyDescent="0.25">
      <c r="A1174" s="397"/>
      <c r="B1174" s="599">
        <f>B1173+1</f>
        <v>48301</v>
      </c>
      <c r="C1174" s="600" t="s">
        <v>6062</v>
      </c>
      <c r="D1174" s="528" t="str">
        <f>B1173</f>
        <v>48300</v>
      </c>
      <c r="E1174" s="417">
        <v>333904718000000</v>
      </c>
      <c r="F1174" s="418" t="s">
        <v>5904</v>
      </c>
      <c r="G1174" s="603">
        <v>1</v>
      </c>
      <c r="H1174" s="603">
        <v>0</v>
      </c>
      <c r="I1174" s="601">
        <v>372110400000000</v>
      </c>
      <c r="J1174" s="602" t="s">
        <v>6131</v>
      </c>
      <c r="K1174" s="891">
        <v>0</v>
      </c>
      <c r="L1174" s="891">
        <v>0</v>
      </c>
      <c r="M1174" s="477">
        <f>L1174/L$1180</f>
        <v>0</v>
      </c>
      <c r="N1174" s="796"/>
      <c r="P1174" s="399"/>
    </row>
    <row r="1175" spans="1:16" s="668" customFormat="1" ht="15" customHeight="1" x14ac:dyDescent="0.25">
      <c r="A1175" s="397"/>
      <c r="B1175" s="599" t="s">
        <v>7121</v>
      </c>
      <c r="C1175" s="600" t="s">
        <v>6062</v>
      </c>
      <c r="D1175" s="528">
        <v>48300</v>
      </c>
      <c r="E1175" s="417">
        <v>333904720000000</v>
      </c>
      <c r="F1175" s="418" t="s">
        <v>5905</v>
      </c>
      <c r="G1175" s="603">
        <v>1</v>
      </c>
      <c r="H1175" s="603">
        <v>0</v>
      </c>
      <c r="I1175" s="601">
        <v>372110500000000</v>
      </c>
      <c r="J1175" s="602" t="s">
        <v>6160</v>
      </c>
      <c r="K1175" s="891">
        <v>0</v>
      </c>
      <c r="L1175" s="891">
        <v>0</v>
      </c>
      <c r="M1175" s="477">
        <f>L1175/L$1180</f>
        <v>0</v>
      </c>
      <c r="N1175" s="796"/>
      <c r="P1175" s="399"/>
    </row>
    <row r="1176" spans="1:16" s="457" customFormat="1" ht="15" customHeight="1" x14ac:dyDescent="0.25">
      <c r="A1176" s="396"/>
      <c r="B1176" s="1398" t="s">
        <v>7442</v>
      </c>
      <c r="C1176" s="1398"/>
      <c r="D1176" s="1398"/>
      <c r="E1176" s="854">
        <v>344905200000000</v>
      </c>
      <c r="F1176" s="855" t="s">
        <v>7180</v>
      </c>
      <c r="G1176" s="468">
        <v>1</v>
      </c>
      <c r="H1176" s="468">
        <v>0</v>
      </c>
      <c r="I1176" s="751"/>
      <c r="J1176" s="878" t="s">
        <v>7423</v>
      </c>
      <c r="K1176" s="789">
        <f>('Parâmetros financeiros Despesa'!E513)</f>
        <v>0</v>
      </c>
      <c r="L1176" s="789">
        <f>('Parâmetros financeiros Despesa'!F513)*(1+'Parâmetros financeiros Despesa'!F$4)*(1+'Parâmetros financeiros Despesa'!F$7)</f>
        <v>3707.1271000000002</v>
      </c>
      <c r="M1176" s="799">
        <f>L1176/L$1180</f>
        <v>9.9315719272725384E-3</v>
      </c>
      <c r="N1176" s="894"/>
      <c r="O1176" s="796"/>
      <c r="P1176" s="734"/>
    </row>
    <row r="1177" spans="1:16" s="820" customFormat="1" ht="15" customHeight="1" x14ac:dyDescent="0.25">
      <c r="B1177" s="864" t="s">
        <v>22</v>
      </c>
      <c r="C1177" s="864"/>
      <c r="D1177" s="864"/>
      <c r="E1177" s="864"/>
      <c r="F1177" s="864"/>
      <c r="G1177" s="864"/>
      <c r="H1177" s="864"/>
      <c r="I1177" s="864"/>
      <c r="J1177" s="864"/>
      <c r="K1177" s="863">
        <f>K1158+K1043+K1034+K1019+K986+0.01</f>
        <v>265310.21480000002</v>
      </c>
      <c r="L1177" s="863">
        <f>L1158+L1043+L1034+L1019+L986+0.01</f>
        <v>373266.90348182089</v>
      </c>
      <c r="M1177" s="452">
        <f>L1177/L$1180</f>
        <v>1</v>
      </c>
      <c r="N1177" s="796"/>
      <c r="P1177" s="399"/>
    </row>
    <row r="1178" spans="1:16" s="820" customFormat="1" ht="15" customHeight="1" x14ac:dyDescent="0.25">
      <c r="B1178" s="864" t="s">
        <v>11469</v>
      </c>
      <c r="C1178" s="864"/>
      <c r="D1178" s="864"/>
      <c r="E1178" s="864"/>
      <c r="F1178" s="864"/>
      <c r="G1178" s="864"/>
      <c r="H1178" s="864"/>
      <c r="I1178" s="864"/>
      <c r="J1178" s="864"/>
      <c r="K1178" s="863"/>
      <c r="L1178" s="863"/>
      <c r="M1178" s="452"/>
      <c r="N1178" s="796"/>
      <c r="P1178" s="399"/>
    </row>
    <row r="1179" spans="1:16" s="31" customFormat="1" ht="15" customHeight="1" x14ac:dyDescent="0.25">
      <c r="B1179" s="869" t="s">
        <v>745</v>
      </c>
      <c r="C1179" s="869"/>
      <c r="D1179" s="869"/>
      <c r="E1179" s="869"/>
      <c r="F1179" s="869"/>
      <c r="G1179" s="869"/>
      <c r="H1179" s="869"/>
      <c r="I1179" s="869"/>
      <c r="J1179" s="869"/>
      <c r="K1179" s="870">
        <f>K1177</f>
        <v>265310.21480000002</v>
      </c>
      <c r="L1179" s="870">
        <f>L1177</f>
        <v>373266.90348182089</v>
      </c>
      <c r="M1179" s="871">
        <f>L1179/L$1180</f>
        <v>1</v>
      </c>
      <c r="N1179" s="897"/>
      <c r="P1179" s="736"/>
    </row>
    <row r="1180" spans="1:16" s="115" customFormat="1" ht="15" customHeight="1" x14ac:dyDescent="0.25">
      <c r="B1180" s="864" t="s">
        <v>2172</v>
      </c>
      <c r="C1180" s="864"/>
      <c r="D1180" s="864"/>
      <c r="E1180" s="864"/>
      <c r="F1180" s="864"/>
      <c r="G1180" s="864"/>
      <c r="H1180" s="864"/>
      <c r="I1180" s="864"/>
      <c r="J1180" s="864"/>
      <c r="K1180" s="863">
        <f>SUM(K1179:K1179)</f>
        <v>265310.21480000002</v>
      </c>
      <c r="L1180" s="863">
        <f>SUM(L1179:L1179)</f>
        <v>373266.90348182089</v>
      </c>
      <c r="M1180" s="452">
        <f>L1180/L$1180</f>
        <v>1</v>
      </c>
      <c r="O1180" s="796"/>
      <c r="P1180" s="733"/>
    </row>
    <row r="1181" spans="1:16" s="788" customFormat="1" ht="15" customHeight="1" x14ac:dyDescent="0.25">
      <c r="B1181" s="787"/>
      <c r="C1181" s="787"/>
      <c r="D1181" s="787"/>
      <c r="E1181" s="787"/>
      <c r="F1181" s="787"/>
      <c r="G1181" s="787"/>
      <c r="H1181" s="787"/>
      <c r="I1181" s="787"/>
      <c r="J1181" s="787"/>
      <c r="K1181" s="791"/>
      <c r="L1181" s="791"/>
      <c r="M1181" s="792"/>
      <c r="N1181" s="796"/>
      <c r="P1181" s="399"/>
    </row>
    <row r="1182" spans="1:16" s="788" customFormat="1" ht="15" customHeight="1" x14ac:dyDescent="0.25">
      <c r="B1182" s="794" t="s">
        <v>989</v>
      </c>
      <c r="C1182" s="794"/>
      <c r="D1182" s="481"/>
      <c r="E1182" s="1371" t="s">
        <v>6887</v>
      </c>
      <c r="F1182" s="1371"/>
      <c r="G1182" s="1371"/>
      <c r="H1182" s="1371"/>
      <c r="I1182" s="1371"/>
      <c r="J1182" s="787"/>
      <c r="K1182" s="791"/>
      <c r="L1182" s="791"/>
      <c r="M1182" s="792"/>
      <c r="N1182" s="796"/>
      <c r="P1182" s="399"/>
    </row>
    <row r="1183" spans="1:16" s="435" customFormat="1" ht="15" customHeight="1" x14ac:dyDescent="0.25">
      <c r="B1183" s="1371" t="s">
        <v>458</v>
      </c>
      <c r="C1183" s="1371"/>
      <c r="D1183" s="1371"/>
      <c r="E1183" s="1371" t="s">
        <v>7443</v>
      </c>
      <c r="F1183" s="1371"/>
      <c r="G1183" s="1371"/>
      <c r="H1183" s="1371"/>
      <c r="I1183" s="1371"/>
      <c r="J1183" s="437"/>
      <c r="K1183" s="940"/>
      <c r="L1183" s="438"/>
      <c r="M1183" s="449"/>
      <c r="N1183" s="892"/>
      <c r="P1183" s="732"/>
    </row>
    <row r="1184" spans="1:16" s="435" customFormat="1" ht="15" customHeight="1" x14ac:dyDescent="0.25">
      <c r="B1184" s="1403" t="s">
        <v>5764</v>
      </c>
      <c r="C1184" s="1403"/>
      <c r="D1184" s="1403"/>
      <c r="E1184" s="1371" t="s">
        <v>749</v>
      </c>
      <c r="F1184" s="1371"/>
      <c r="G1184" s="1371"/>
      <c r="H1184" s="1371"/>
      <c r="I1184" s="1371"/>
      <c r="J1184" s="440"/>
      <c r="K1184" s="941"/>
      <c r="L1184" s="438"/>
      <c r="M1184" s="449"/>
      <c r="N1184" s="892"/>
      <c r="P1184" s="732"/>
    </row>
    <row r="1185" spans="1:16" s="851" customFormat="1" ht="113.25" customHeight="1" x14ac:dyDescent="0.25">
      <c r="A1185" s="396"/>
      <c r="B1185" s="1400" t="s">
        <v>2296</v>
      </c>
      <c r="C1185" s="1400"/>
      <c r="D1185" s="1400"/>
      <c r="E1185" s="1384" t="s">
        <v>2297</v>
      </c>
      <c r="F1185" s="1384"/>
      <c r="G1185" s="443" t="s">
        <v>444</v>
      </c>
      <c r="H1185" s="443" t="s">
        <v>2245</v>
      </c>
      <c r="I1185" s="444" t="s">
        <v>5725</v>
      </c>
      <c r="J1185" s="849" t="s">
        <v>2275</v>
      </c>
      <c r="K1185" s="893" t="s">
        <v>11644</v>
      </c>
      <c r="L1185" s="945" t="s">
        <v>11522</v>
      </c>
      <c r="M1185" s="450" t="s">
        <v>235</v>
      </c>
      <c r="N1185" s="796"/>
      <c r="P1185" s="399"/>
    </row>
    <row r="1186" spans="1:16" s="115" customFormat="1" ht="15" customHeight="1" x14ac:dyDescent="0.25">
      <c r="A1186" s="396"/>
      <c r="B1186" s="1385" t="s">
        <v>7444</v>
      </c>
      <c r="C1186" s="1385"/>
      <c r="D1186" s="1385"/>
      <c r="E1186" s="1385"/>
      <c r="F1186" s="1385"/>
      <c r="G1186" s="401"/>
      <c r="H1186" s="401"/>
      <c r="I1186" s="426"/>
      <c r="J1186" s="411"/>
      <c r="K1186" s="402">
        <f t="shared" ref="K1186:L1188" si="215">K1187</f>
        <v>0</v>
      </c>
      <c r="L1186" s="402">
        <f t="shared" si="215"/>
        <v>136703.20000000001</v>
      </c>
      <c r="M1186" s="451">
        <f>L1186/L$1396</f>
        <v>8.9839930464445647E-2</v>
      </c>
      <c r="N1186" s="894"/>
      <c r="P1186" s="733"/>
    </row>
    <row r="1187" spans="1:16" s="668" customFormat="1" ht="15" customHeight="1" x14ac:dyDescent="0.25">
      <c r="A1187" s="396"/>
      <c r="B1187" s="1386" t="s">
        <v>7448</v>
      </c>
      <c r="C1187" s="1386"/>
      <c r="D1187" s="1386"/>
      <c r="E1187" s="1386"/>
      <c r="F1187" s="1386"/>
      <c r="G1187" s="403"/>
      <c r="H1187" s="403"/>
      <c r="I1187" s="427"/>
      <c r="J1187" s="412"/>
      <c r="K1187" s="404">
        <f t="shared" si="215"/>
        <v>0</v>
      </c>
      <c r="L1187" s="404">
        <f t="shared" si="215"/>
        <v>136703.20000000001</v>
      </c>
      <c r="M1187" s="799">
        <f>L1187/L$1396</f>
        <v>8.9839930464445647E-2</v>
      </c>
      <c r="N1187" s="796"/>
    </row>
    <row r="1188" spans="1:16" s="668" customFormat="1" ht="15" customHeight="1" x14ac:dyDescent="0.25">
      <c r="A1188" s="396"/>
      <c r="B1188" s="1382" t="s">
        <v>7283</v>
      </c>
      <c r="C1188" s="1382"/>
      <c r="D1188" s="1382"/>
      <c r="E1188" s="1382"/>
      <c r="F1188" s="1382"/>
      <c r="G1188" s="405"/>
      <c r="H1188" s="405"/>
      <c r="I1188" s="428"/>
      <c r="J1188" s="413"/>
      <c r="K1188" s="406">
        <f t="shared" si="215"/>
        <v>0</v>
      </c>
      <c r="L1188" s="406">
        <f t="shared" si="215"/>
        <v>136703.20000000001</v>
      </c>
      <c r="M1188" s="453">
        <f>L1188/L$1396</f>
        <v>8.9839930464445647E-2</v>
      </c>
      <c r="N1188" s="796"/>
    </row>
    <row r="1189" spans="1:16" s="668" customFormat="1" ht="15" customHeight="1" x14ac:dyDescent="0.25">
      <c r="A1189" s="396"/>
      <c r="B1189" s="1383" t="s">
        <v>7452</v>
      </c>
      <c r="C1189" s="1383"/>
      <c r="D1189" s="1383"/>
      <c r="E1189" s="1383"/>
      <c r="F1189" s="1383"/>
      <c r="G1189" s="407"/>
      <c r="H1189" s="407"/>
      <c r="I1189" s="429"/>
      <c r="J1189" s="414"/>
      <c r="K1189" s="408">
        <f>SUM(K1190:K1195)</f>
        <v>0</v>
      </c>
      <c r="L1189" s="408">
        <f>SUM(L1190:L1195)</f>
        <v>136703.20000000001</v>
      </c>
      <c r="M1189" s="454">
        <f>L1189/L$1396</f>
        <v>8.9839930464445647E-2</v>
      </c>
      <c r="N1189" s="796"/>
      <c r="P1189" s="399"/>
    </row>
    <row r="1190" spans="1:16" s="668" customFormat="1" ht="15" customHeight="1" x14ac:dyDescent="0.25">
      <c r="A1190" s="396"/>
      <c r="B1190" s="1396">
        <v>50000</v>
      </c>
      <c r="C1190" s="1396"/>
      <c r="D1190" s="1396"/>
      <c r="E1190" s="854">
        <v>333904700000000</v>
      </c>
      <c r="F1190" s="600" t="s">
        <v>7457</v>
      </c>
      <c r="G1190" s="468">
        <v>1</v>
      </c>
      <c r="H1190" s="468">
        <v>0</v>
      </c>
      <c r="I1190" s="751"/>
      <c r="J1190" s="878" t="s">
        <v>7463</v>
      </c>
      <c r="K1190" s="789">
        <f>'Parâmetros financeiros Despesa'!E518</f>
        <v>0</v>
      </c>
      <c r="L1190" s="789">
        <f>'Parâmetros financeiros Despesa'!F518</f>
        <v>0.2</v>
      </c>
      <c r="M1190" s="799">
        <f>L1190/L$1396</f>
        <v>1.3143793336870773E-7</v>
      </c>
      <c r="N1190" s="796"/>
      <c r="P1190" s="399"/>
    </row>
    <row r="1191" spans="1:16" s="115" customFormat="1" ht="15" customHeight="1" x14ac:dyDescent="0.25">
      <c r="A1191" s="396"/>
      <c r="B1191" s="1396">
        <v>50100</v>
      </c>
      <c r="C1191" s="1396"/>
      <c r="D1191" s="1396"/>
      <c r="E1191" s="854">
        <v>344903000000000</v>
      </c>
      <c r="F1191" s="855" t="s">
        <v>7458</v>
      </c>
      <c r="G1191" s="468">
        <v>1</v>
      </c>
      <c r="H1191" s="468">
        <v>0</v>
      </c>
      <c r="I1191" s="751"/>
      <c r="J1191" s="878" t="s">
        <v>7463</v>
      </c>
      <c r="K1191" s="789">
        <f>'Parâmetros financeiros Despesa'!E519</f>
        <v>0</v>
      </c>
      <c r="L1191" s="789">
        <f>'Parâmetros financeiros Despesa'!F519</f>
        <v>1</v>
      </c>
      <c r="M1191" s="799">
        <f t="shared" ref="M1191:M1193" si="216">L1191/L$1396</f>
        <v>6.5718966684353865E-7</v>
      </c>
      <c r="N1191" s="894"/>
      <c r="P1191" s="733"/>
    </row>
    <row r="1192" spans="1:16" s="457" customFormat="1" ht="15" customHeight="1" x14ac:dyDescent="0.25">
      <c r="A1192" s="396"/>
      <c r="B1192" s="1398" t="s">
        <v>7453</v>
      </c>
      <c r="C1192" s="1398"/>
      <c r="D1192" s="1398"/>
      <c r="E1192" s="854">
        <v>344903600000000</v>
      </c>
      <c r="F1192" s="855" t="s">
        <v>7459</v>
      </c>
      <c r="G1192" s="468">
        <v>1</v>
      </c>
      <c r="H1192" s="468">
        <v>0</v>
      </c>
      <c r="I1192" s="751"/>
      <c r="J1192" s="878" t="s">
        <v>7463</v>
      </c>
      <c r="K1192" s="789">
        <f>'Parâmetros financeiros Despesa'!E520</f>
        <v>0</v>
      </c>
      <c r="L1192" s="789">
        <f>'Parâmetros financeiros Despesa'!F520</f>
        <v>1</v>
      </c>
      <c r="M1192" s="799">
        <f t="shared" si="216"/>
        <v>6.5718966684353865E-7</v>
      </c>
      <c r="N1192" s="895"/>
      <c r="P1192" s="734"/>
    </row>
    <row r="1193" spans="1:16" s="457" customFormat="1" ht="15" customHeight="1" x14ac:dyDescent="0.25">
      <c r="A1193" s="396"/>
      <c r="B1193" s="1398" t="s">
        <v>7454</v>
      </c>
      <c r="C1193" s="1398"/>
      <c r="D1193" s="1398"/>
      <c r="E1193" s="854">
        <v>344903900000000</v>
      </c>
      <c r="F1193" s="855" t="s">
        <v>7460</v>
      </c>
      <c r="G1193" s="468">
        <v>1</v>
      </c>
      <c r="H1193" s="468">
        <v>0</v>
      </c>
      <c r="I1193" s="751"/>
      <c r="J1193" s="878" t="s">
        <v>7463</v>
      </c>
      <c r="K1193" s="789">
        <f>'Parâmetros financeiros Despesa'!E521</f>
        <v>0</v>
      </c>
      <c r="L1193" s="789">
        <f>'Parâmetros financeiros Despesa'!F521</f>
        <v>100</v>
      </c>
      <c r="M1193" s="799">
        <f t="shared" si="216"/>
        <v>6.5718966684353872E-5</v>
      </c>
      <c r="N1193" s="895"/>
      <c r="P1193" s="734"/>
    </row>
    <row r="1194" spans="1:16" s="457" customFormat="1" ht="15" customHeight="1" x14ac:dyDescent="0.25">
      <c r="A1194" s="396"/>
      <c r="B1194" s="1398" t="s">
        <v>7455</v>
      </c>
      <c r="C1194" s="1398"/>
      <c r="D1194" s="1398"/>
      <c r="E1194" s="854">
        <v>344905200000000</v>
      </c>
      <c r="F1194" s="855" t="s">
        <v>7461</v>
      </c>
      <c r="G1194" s="468">
        <v>1</v>
      </c>
      <c r="H1194" s="468">
        <v>0</v>
      </c>
      <c r="I1194" s="751"/>
      <c r="J1194" s="878" t="s">
        <v>7463</v>
      </c>
      <c r="K1194" s="789">
        <f>'Parâmetros financeiros Despesa'!E522</f>
        <v>0</v>
      </c>
      <c r="L1194" s="789">
        <f>'Parâmetros financeiros Despesa'!F522</f>
        <v>1</v>
      </c>
      <c r="M1194" s="799">
        <f t="shared" ref="M1194:M1200" si="217">L1194/L$1396</f>
        <v>6.5718966684353865E-7</v>
      </c>
      <c r="N1194" s="895"/>
      <c r="P1194" s="734"/>
    </row>
    <row r="1195" spans="1:16" s="457" customFormat="1" ht="15" customHeight="1" x14ac:dyDescent="0.25">
      <c r="A1195" s="396"/>
      <c r="B1195" s="1398" t="s">
        <v>10348</v>
      </c>
      <c r="C1195" s="1398"/>
      <c r="D1195" s="1398"/>
      <c r="E1195" s="854">
        <v>344905200000000</v>
      </c>
      <c r="F1195" s="855" t="s">
        <v>7461</v>
      </c>
      <c r="G1195" s="468">
        <v>1156</v>
      </c>
      <c r="H1195" s="468">
        <v>0</v>
      </c>
      <c r="I1195" s="751"/>
      <c r="J1195" s="878" t="s">
        <v>7463</v>
      </c>
      <c r="K1195" s="789">
        <f>'Parâmetros financeiros Despesa'!E523</f>
        <v>0</v>
      </c>
      <c r="L1195" s="789">
        <f>'Parâmetros financeiros Despesa'!F523</f>
        <v>136600</v>
      </c>
      <c r="M1195" s="799">
        <f t="shared" si="217"/>
        <v>8.9772108490827382E-2</v>
      </c>
      <c r="N1195" s="895"/>
      <c r="P1195" s="734"/>
    </row>
    <row r="1196" spans="1:16" s="115" customFormat="1" ht="15" customHeight="1" x14ac:dyDescent="0.25">
      <c r="A1196" s="396"/>
      <c r="B1196" s="1385" t="s">
        <v>7444</v>
      </c>
      <c r="C1196" s="1385"/>
      <c r="D1196" s="1385"/>
      <c r="E1196" s="1385"/>
      <c r="F1196" s="1385"/>
      <c r="G1196" s="401"/>
      <c r="H1196" s="401"/>
      <c r="I1196" s="426"/>
      <c r="J1196" s="411"/>
      <c r="K1196" s="402">
        <f t="shared" ref="K1196:L1198" si="218">K1197</f>
        <v>0</v>
      </c>
      <c r="L1196" s="402">
        <f t="shared" si="218"/>
        <v>97703.2</v>
      </c>
      <c r="M1196" s="451">
        <f t="shared" si="217"/>
        <v>6.4209533457547624E-2</v>
      </c>
      <c r="N1196" s="894"/>
      <c r="P1196" s="733"/>
    </row>
    <row r="1197" spans="1:16" s="668" customFormat="1" ht="15" customHeight="1" x14ac:dyDescent="0.25">
      <c r="A1197" s="396"/>
      <c r="B1197" s="1386" t="s">
        <v>7449</v>
      </c>
      <c r="C1197" s="1386"/>
      <c r="D1197" s="1386"/>
      <c r="E1197" s="1386"/>
      <c r="F1197" s="1386"/>
      <c r="G1197" s="403"/>
      <c r="H1197" s="403"/>
      <c r="I1197" s="427"/>
      <c r="J1197" s="412"/>
      <c r="K1197" s="404">
        <f t="shared" si="218"/>
        <v>0</v>
      </c>
      <c r="L1197" s="404">
        <f t="shared" si="218"/>
        <v>97703.2</v>
      </c>
      <c r="M1197" s="799">
        <f t="shared" si="217"/>
        <v>6.4209533457547624E-2</v>
      </c>
      <c r="N1197" s="796"/>
    </row>
    <row r="1198" spans="1:16" s="668" customFormat="1" ht="15" customHeight="1" x14ac:dyDescent="0.25">
      <c r="A1198" s="396"/>
      <c r="B1198" s="1382" t="s">
        <v>7283</v>
      </c>
      <c r="C1198" s="1382"/>
      <c r="D1198" s="1382"/>
      <c r="E1198" s="1382"/>
      <c r="F1198" s="1382"/>
      <c r="G1198" s="405"/>
      <c r="H1198" s="405"/>
      <c r="I1198" s="428"/>
      <c r="J1198" s="413"/>
      <c r="K1198" s="406">
        <f t="shared" si="218"/>
        <v>0</v>
      </c>
      <c r="L1198" s="406">
        <f t="shared" si="218"/>
        <v>97703.2</v>
      </c>
      <c r="M1198" s="453">
        <f t="shared" si="217"/>
        <v>6.4209533457547624E-2</v>
      </c>
      <c r="N1198" s="796"/>
    </row>
    <row r="1199" spans="1:16" s="668" customFormat="1" ht="15" customHeight="1" x14ac:dyDescent="0.25">
      <c r="A1199" s="396"/>
      <c r="B1199" s="1383" t="s">
        <v>7452</v>
      </c>
      <c r="C1199" s="1383"/>
      <c r="D1199" s="1383"/>
      <c r="E1199" s="1383"/>
      <c r="F1199" s="1383"/>
      <c r="G1199" s="407"/>
      <c r="H1199" s="407"/>
      <c r="I1199" s="429"/>
      <c r="J1199" s="414"/>
      <c r="K1199" s="408">
        <f>SUM(K1200:K1205)</f>
        <v>0</v>
      </c>
      <c r="L1199" s="408">
        <f>SUM(L1200:L1205)</f>
        <v>97703.2</v>
      </c>
      <c r="M1199" s="454">
        <f t="shared" si="217"/>
        <v>6.4209533457547624E-2</v>
      </c>
      <c r="N1199" s="796"/>
    </row>
    <row r="1200" spans="1:16" s="668" customFormat="1" ht="15" customHeight="1" x14ac:dyDescent="0.25">
      <c r="A1200" s="396"/>
      <c r="B1200" s="1396">
        <v>51000</v>
      </c>
      <c r="C1200" s="1396"/>
      <c r="D1200" s="1396"/>
      <c r="E1200" s="854">
        <v>333904700000000</v>
      </c>
      <c r="F1200" s="600" t="s">
        <v>7464</v>
      </c>
      <c r="G1200" s="468">
        <v>1</v>
      </c>
      <c r="H1200" s="468">
        <v>0</v>
      </c>
      <c r="I1200" s="751"/>
      <c r="J1200" s="878" t="s">
        <v>7463</v>
      </c>
      <c r="K1200" s="789">
        <f>'Parâmetros financeiros Despesa'!E525</f>
        <v>0</v>
      </c>
      <c r="L1200" s="789">
        <f>'Parâmetros financeiros Despesa'!F525</f>
        <v>0.2</v>
      </c>
      <c r="M1200" s="799">
        <f t="shared" si="217"/>
        <v>1.3143793336870773E-7</v>
      </c>
      <c r="N1200" s="796"/>
    </row>
    <row r="1201" spans="1:16" s="115" customFormat="1" ht="15" customHeight="1" x14ac:dyDescent="0.25">
      <c r="A1201" s="396"/>
      <c r="B1201" s="1396">
        <v>51100</v>
      </c>
      <c r="C1201" s="1396"/>
      <c r="D1201" s="1396"/>
      <c r="E1201" s="854">
        <v>344903000000000</v>
      </c>
      <c r="F1201" s="855" t="s">
        <v>7465</v>
      </c>
      <c r="G1201" s="468">
        <v>1</v>
      </c>
      <c r="H1201" s="468">
        <v>0</v>
      </c>
      <c r="I1201" s="751"/>
      <c r="J1201" s="878" t="s">
        <v>7463</v>
      </c>
      <c r="K1201" s="789">
        <f>'Parâmetros financeiros Despesa'!E526</f>
        <v>0</v>
      </c>
      <c r="L1201" s="789">
        <f>'Parâmetros financeiros Despesa'!F526</f>
        <v>1</v>
      </c>
      <c r="M1201" s="799">
        <f t="shared" ref="M1201:M1205" si="219">L1201/L$1396</f>
        <v>6.5718966684353865E-7</v>
      </c>
      <c r="N1201" s="894"/>
    </row>
    <row r="1202" spans="1:16" s="457" customFormat="1" ht="15" customHeight="1" x14ac:dyDescent="0.25">
      <c r="A1202" s="396"/>
      <c r="B1202" s="1398" t="s">
        <v>7469</v>
      </c>
      <c r="C1202" s="1398"/>
      <c r="D1202" s="1398"/>
      <c r="E1202" s="854">
        <v>344903600000000</v>
      </c>
      <c r="F1202" s="855" t="s">
        <v>7466</v>
      </c>
      <c r="G1202" s="468">
        <v>1</v>
      </c>
      <c r="H1202" s="468">
        <v>0</v>
      </c>
      <c r="I1202" s="751"/>
      <c r="J1202" s="878" t="s">
        <v>7463</v>
      </c>
      <c r="K1202" s="789">
        <f>'Parâmetros financeiros Despesa'!E527</f>
        <v>0</v>
      </c>
      <c r="L1202" s="789">
        <f>'Parâmetros financeiros Despesa'!F527</f>
        <v>1</v>
      </c>
      <c r="M1202" s="799">
        <f t="shared" si="219"/>
        <v>6.5718966684353865E-7</v>
      </c>
      <c r="N1202" s="895"/>
    </row>
    <row r="1203" spans="1:16" s="457" customFormat="1" ht="15" customHeight="1" x14ac:dyDescent="0.25">
      <c r="A1203" s="396"/>
      <c r="B1203" s="1398" t="s">
        <v>7470</v>
      </c>
      <c r="C1203" s="1398"/>
      <c r="D1203" s="1398"/>
      <c r="E1203" s="854">
        <v>344903900000000</v>
      </c>
      <c r="F1203" s="855" t="s">
        <v>7467</v>
      </c>
      <c r="G1203" s="468">
        <v>1</v>
      </c>
      <c r="H1203" s="468">
        <v>0</v>
      </c>
      <c r="I1203" s="751"/>
      <c r="J1203" s="878" t="s">
        <v>7463</v>
      </c>
      <c r="K1203" s="789">
        <f>'Parâmetros financeiros Despesa'!E528</f>
        <v>0</v>
      </c>
      <c r="L1203" s="789">
        <f>'Parâmetros financeiros Despesa'!F528</f>
        <v>100</v>
      </c>
      <c r="M1203" s="799">
        <f t="shared" si="219"/>
        <v>6.5718966684353872E-5</v>
      </c>
      <c r="N1203" s="895"/>
    </row>
    <row r="1204" spans="1:16" s="457" customFormat="1" ht="15" customHeight="1" x14ac:dyDescent="0.25">
      <c r="A1204" s="396"/>
      <c r="B1204" s="1398" t="s">
        <v>7471</v>
      </c>
      <c r="C1204" s="1398"/>
      <c r="D1204" s="1398"/>
      <c r="E1204" s="854">
        <v>344905200000000</v>
      </c>
      <c r="F1204" s="855" t="s">
        <v>7468</v>
      </c>
      <c r="G1204" s="468">
        <v>1</v>
      </c>
      <c r="H1204" s="468">
        <v>0</v>
      </c>
      <c r="I1204" s="751"/>
      <c r="J1204" s="878" t="s">
        <v>7463</v>
      </c>
      <c r="K1204" s="789">
        <f>'Parâmetros financeiros Despesa'!E529</f>
        <v>0</v>
      </c>
      <c r="L1204" s="789">
        <f>'Parâmetros financeiros Despesa'!F529</f>
        <v>1</v>
      </c>
      <c r="M1204" s="799">
        <f t="shared" si="219"/>
        <v>6.5718966684353865E-7</v>
      </c>
      <c r="N1204" s="895"/>
    </row>
    <row r="1205" spans="1:16" s="457" customFormat="1" ht="15" customHeight="1" x14ac:dyDescent="0.25">
      <c r="A1205" s="396"/>
      <c r="B1205" s="1398" t="s">
        <v>7472</v>
      </c>
      <c r="C1205" s="1398"/>
      <c r="D1205" s="1398"/>
      <c r="E1205" s="854">
        <v>344905200000000</v>
      </c>
      <c r="F1205" s="855" t="s">
        <v>7468</v>
      </c>
      <c r="G1205" s="468">
        <v>1156</v>
      </c>
      <c r="H1205" s="468">
        <v>0</v>
      </c>
      <c r="I1205" s="751"/>
      <c r="J1205" s="878" t="s">
        <v>7463</v>
      </c>
      <c r="K1205" s="789">
        <f>'Parâmetros financeiros Despesa'!E530</f>
        <v>0</v>
      </c>
      <c r="L1205" s="789">
        <f>'Parâmetros financeiros Despesa'!F530</f>
        <v>97600</v>
      </c>
      <c r="M1205" s="799">
        <f t="shared" si="219"/>
        <v>6.4141711483929373E-2</v>
      </c>
      <c r="N1205" s="895"/>
      <c r="P1205" s="734"/>
    </row>
    <row r="1206" spans="1:16" s="115" customFormat="1" ht="15" customHeight="1" x14ac:dyDescent="0.25">
      <c r="A1206" s="396"/>
      <c r="B1206" s="1385" t="s">
        <v>7444</v>
      </c>
      <c r="C1206" s="1385"/>
      <c r="D1206" s="1385"/>
      <c r="E1206" s="1385"/>
      <c r="F1206" s="1385"/>
      <c r="G1206" s="401"/>
      <c r="H1206" s="401"/>
      <c r="I1206" s="426"/>
      <c r="J1206" s="411"/>
      <c r="K1206" s="402">
        <f t="shared" ref="K1206:L1208" si="220">K1207</f>
        <v>0</v>
      </c>
      <c r="L1206" s="402">
        <f t="shared" si="220"/>
        <v>19200</v>
      </c>
      <c r="M1206" s="451">
        <f>L1206/L$1396</f>
        <v>1.2618041603395943E-2</v>
      </c>
      <c r="N1206" s="894"/>
      <c r="P1206" s="733"/>
    </row>
    <row r="1207" spans="1:16" s="668" customFormat="1" ht="15" customHeight="1" x14ac:dyDescent="0.25">
      <c r="A1207" s="396"/>
      <c r="B1207" s="1386" t="s">
        <v>7476</v>
      </c>
      <c r="C1207" s="1386"/>
      <c r="D1207" s="1386"/>
      <c r="E1207" s="1386"/>
      <c r="F1207" s="1386"/>
      <c r="G1207" s="403"/>
      <c r="H1207" s="403"/>
      <c r="I1207" s="427"/>
      <c r="J1207" s="412"/>
      <c r="K1207" s="404">
        <f t="shared" si="220"/>
        <v>0</v>
      </c>
      <c r="L1207" s="404">
        <f t="shared" si="220"/>
        <v>19200</v>
      </c>
      <c r="M1207" s="799">
        <f>L1207/L$1396</f>
        <v>1.2618041603395943E-2</v>
      </c>
      <c r="N1207" s="796"/>
      <c r="P1207" s="399"/>
    </row>
    <row r="1208" spans="1:16" s="668" customFormat="1" ht="15" customHeight="1" x14ac:dyDescent="0.25">
      <c r="A1208" s="396"/>
      <c r="B1208" s="1382" t="s">
        <v>7283</v>
      </c>
      <c r="C1208" s="1382"/>
      <c r="D1208" s="1382"/>
      <c r="E1208" s="1382"/>
      <c r="F1208" s="1382"/>
      <c r="G1208" s="405"/>
      <c r="H1208" s="405"/>
      <c r="I1208" s="428"/>
      <c r="J1208" s="413"/>
      <c r="K1208" s="406">
        <f t="shared" si="220"/>
        <v>0</v>
      </c>
      <c r="L1208" s="406">
        <f t="shared" si="220"/>
        <v>19200</v>
      </c>
      <c r="M1208" s="453">
        <f>L1208/L$1396</f>
        <v>1.2618041603395943E-2</v>
      </c>
      <c r="N1208" s="796"/>
      <c r="P1208" s="399"/>
    </row>
    <row r="1209" spans="1:16" s="668" customFormat="1" ht="15" customHeight="1" x14ac:dyDescent="0.25">
      <c r="A1209" s="396"/>
      <c r="B1209" s="1383" t="s">
        <v>7452</v>
      </c>
      <c r="C1209" s="1383"/>
      <c r="D1209" s="1383"/>
      <c r="E1209" s="1383"/>
      <c r="F1209" s="1383"/>
      <c r="G1209" s="407"/>
      <c r="H1209" s="407"/>
      <c r="I1209" s="429"/>
      <c r="J1209" s="414"/>
      <c r="K1209" s="408">
        <f>SUM(K1210:K1214)</f>
        <v>0</v>
      </c>
      <c r="L1209" s="408">
        <f>SUM(L1210:L1214)</f>
        <v>19200</v>
      </c>
      <c r="M1209" s="454">
        <f>L1209/L$1396</f>
        <v>1.2618041603395943E-2</v>
      </c>
      <c r="N1209" s="796"/>
      <c r="P1209" s="399"/>
    </row>
    <row r="1210" spans="1:16" s="668" customFormat="1" ht="15" customHeight="1" x14ac:dyDescent="0.25">
      <c r="A1210" s="396"/>
      <c r="B1210" s="1396">
        <v>52000</v>
      </c>
      <c r="C1210" s="1396"/>
      <c r="D1210" s="1396"/>
      <c r="E1210" s="417">
        <v>333904700000000</v>
      </c>
      <c r="F1210" s="600" t="s">
        <v>7477</v>
      </c>
      <c r="G1210" s="468">
        <v>1</v>
      </c>
      <c r="H1210" s="468">
        <v>0</v>
      </c>
      <c r="I1210" s="751"/>
      <c r="J1210" s="878" t="s">
        <v>7463</v>
      </c>
      <c r="K1210" s="789">
        <f>'Parâmetros financeiros Despesa'!E532</f>
        <v>0</v>
      </c>
      <c r="L1210" s="789">
        <f>'Parâmetros financeiros Despesa'!F532</f>
        <v>200</v>
      </c>
      <c r="M1210" s="799">
        <f>L1210/L$1396</f>
        <v>1.3143793336870774E-4</v>
      </c>
      <c r="N1210" s="894"/>
      <c r="O1210" s="796"/>
      <c r="P1210" s="399"/>
    </row>
    <row r="1211" spans="1:16" s="115" customFormat="1" ht="15" customHeight="1" x14ac:dyDescent="0.25">
      <c r="A1211" s="396"/>
      <c r="B1211" s="1396">
        <v>52100</v>
      </c>
      <c r="C1211" s="1396"/>
      <c r="D1211" s="1396"/>
      <c r="E1211" s="854">
        <v>344903000000000</v>
      </c>
      <c r="F1211" s="855" t="s">
        <v>7478</v>
      </c>
      <c r="G1211" s="468">
        <v>1</v>
      </c>
      <c r="H1211" s="468">
        <v>0</v>
      </c>
      <c r="I1211" s="751"/>
      <c r="J1211" s="878" t="s">
        <v>7463</v>
      </c>
      <c r="K1211" s="789">
        <f>'Parâmetros financeiros Despesa'!E533</f>
        <v>0</v>
      </c>
      <c r="L1211" s="789">
        <f>'Parâmetros financeiros Despesa'!F533</f>
        <v>1000</v>
      </c>
      <c r="M1211" s="799">
        <f t="shared" ref="M1211:M1214" si="221">L1211/L$1396</f>
        <v>6.5718966684353869E-4</v>
      </c>
      <c r="N1211" s="894"/>
      <c r="O1211" s="796"/>
      <c r="P1211" s="733"/>
    </row>
    <row r="1212" spans="1:16" s="457" customFormat="1" ht="15" customHeight="1" x14ac:dyDescent="0.25">
      <c r="A1212" s="396"/>
      <c r="B1212" s="1398" t="s">
        <v>7473</v>
      </c>
      <c r="C1212" s="1398"/>
      <c r="D1212" s="1398"/>
      <c r="E1212" s="854">
        <v>344903600000000</v>
      </c>
      <c r="F1212" s="855" t="s">
        <v>7479</v>
      </c>
      <c r="G1212" s="468">
        <v>1</v>
      </c>
      <c r="H1212" s="468">
        <v>0</v>
      </c>
      <c r="I1212" s="751"/>
      <c r="J1212" s="878" t="s">
        <v>7463</v>
      </c>
      <c r="K1212" s="789">
        <f>'Parâmetros financeiros Despesa'!E534</f>
        <v>0</v>
      </c>
      <c r="L1212" s="789">
        <f>'Parâmetros financeiros Despesa'!F534</f>
        <v>1000</v>
      </c>
      <c r="M1212" s="799">
        <f t="shared" si="221"/>
        <v>6.5718966684353869E-4</v>
      </c>
      <c r="N1212" s="894"/>
      <c r="O1212" s="796"/>
      <c r="P1212" s="734"/>
    </row>
    <row r="1213" spans="1:16" s="457" customFormat="1" ht="15" customHeight="1" x14ac:dyDescent="0.25">
      <c r="A1213" s="396"/>
      <c r="B1213" s="1398" t="s">
        <v>7474</v>
      </c>
      <c r="C1213" s="1398"/>
      <c r="D1213" s="1398"/>
      <c r="E1213" s="854">
        <v>344903900000000</v>
      </c>
      <c r="F1213" s="855" t="s">
        <v>7480</v>
      </c>
      <c r="G1213" s="468">
        <v>1</v>
      </c>
      <c r="H1213" s="468">
        <v>0</v>
      </c>
      <c r="I1213" s="751"/>
      <c r="J1213" s="878" t="s">
        <v>7463</v>
      </c>
      <c r="K1213" s="789">
        <f>'Parâmetros financeiros Despesa'!E535</f>
        <v>0</v>
      </c>
      <c r="L1213" s="789">
        <f>'Parâmetros financeiros Despesa'!F535</f>
        <v>2000</v>
      </c>
      <c r="M1213" s="799">
        <f t="shared" si="221"/>
        <v>1.3143793336870774E-3</v>
      </c>
      <c r="N1213" s="894"/>
      <c r="O1213" s="796"/>
      <c r="P1213" s="734"/>
    </row>
    <row r="1214" spans="1:16" s="457" customFormat="1" ht="15" customHeight="1" x14ac:dyDescent="0.25">
      <c r="A1214" s="396"/>
      <c r="B1214" s="1398" t="s">
        <v>7475</v>
      </c>
      <c r="C1214" s="1398"/>
      <c r="D1214" s="1398"/>
      <c r="E1214" s="854">
        <v>344905200000000</v>
      </c>
      <c r="F1214" s="855" t="s">
        <v>7481</v>
      </c>
      <c r="G1214" s="468">
        <v>1</v>
      </c>
      <c r="H1214" s="468">
        <v>0</v>
      </c>
      <c r="I1214" s="751"/>
      <c r="J1214" s="878" t="s">
        <v>7463</v>
      </c>
      <c r="K1214" s="789">
        <f>'Parâmetros financeiros Despesa'!E536</f>
        <v>0</v>
      </c>
      <c r="L1214" s="789">
        <f>'Parâmetros financeiros Despesa'!F536</f>
        <v>15000</v>
      </c>
      <c r="M1214" s="799">
        <f t="shared" si="221"/>
        <v>9.8578450026530796E-3</v>
      </c>
      <c r="N1214" s="894"/>
      <c r="O1214" s="796"/>
      <c r="P1214" s="734"/>
    </row>
    <row r="1215" spans="1:16" s="115" customFormat="1" ht="15" customHeight="1" x14ac:dyDescent="0.25">
      <c r="A1215" s="396"/>
      <c r="B1215" s="1385" t="s">
        <v>7444</v>
      </c>
      <c r="C1215" s="1385"/>
      <c r="D1215" s="1385"/>
      <c r="E1215" s="1385"/>
      <c r="F1215" s="1385"/>
      <c r="G1215" s="401"/>
      <c r="H1215" s="401"/>
      <c r="I1215" s="426"/>
      <c r="J1215" s="411"/>
      <c r="K1215" s="402">
        <f t="shared" ref="K1215:L1217" si="222">K1216</f>
        <v>38293.919999999998</v>
      </c>
      <c r="L1215" s="402">
        <f t="shared" si="222"/>
        <v>65086.171334480001</v>
      </c>
      <c r="M1215" s="451">
        <f t="shared" ref="M1215:M1224" si="223">L1215/L$1396</f>
        <v>4.2773959255428387E-2</v>
      </c>
      <c r="N1215" s="894"/>
      <c r="P1215" s="733"/>
    </row>
    <row r="1216" spans="1:16" s="668" customFormat="1" ht="15" customHeight="1" x14ac:dyDescent="0.25">
      <c r="A1216" s="396"/>
      <c r="B1216" s="1386" t="s">
        <v>7482</v>
      </c>
      <c r="C1216" s="1386"/>
      <c r="D1216" s="1386"/>
      <c r="E1216" s="1386"/>
      <c r="F1216" s="1386"/>
      <c r="G1216" s="403"/>
      <c r="H1216" s="403"/>
      <c r="I1216" s="427"/>
      <c r="J1216" s="412"/>
      <c r="K1216" s="404">
        <f t="shared" si="222"/>
        <v>38293.919999999998</v>
      </c>
      <c r="L1216" s="404">
        <f t="shared" si="222"/>
        <v>65086.171334480001</v>
      </c>
      <c r="M1216" s="799">
        <f t="shared" si="223"/>
        <v>4.2773959255428387E-2</v>
      </c>
      <c r="N1216" s="796"/>
      <c r="P1216" s="399"/>
    </row>
    <row r="1217" spans="1:16" s="668" customFormat="1" ht="15" customHeight="1" x14ac:dyDescent="0.25">
      <c r="A1217" s="396"/>
      <c r="B1217" s="1382" t="s">
        <v>7283</v>
      </c>
      <c r="C1217" s="1382"/>
      <c r="D1217" s="1382"/>
      <c r="E1217" s="1382"/>
      <c r="F1217" s="1382"/>
      <c r="G1217" s="405"/>
      <c r="H1217" s="405"/>
      <c r="I1217" s="428"/>
      <c r="J1217" s="413"/>
      <c r="K1217" s="406">
        <f t="shared" si="222"/>
        <v>38293.919999999998</v>
      </c>
      <c r="L1217" s="406">
        <f t="shared" si="222"/>
        <v>65086.171334480001</v>
      </c>
      <c r="M1217" s="453">
        <f t="shared" si="223"/>
        <v>4.2773959255428387E-2</v>
      </c>
      <c r="N1217" s="796"/>
      <c r="P1217" s="399"/>
    </row>
    <row r="1218" spans="1:16" s="668" customFormat="1" ht="15" customHeight="1" x14ac:dyDescent="0.25">
      <c r="A1218" s="396"/>
      <c r="B1218" s="1383" t="s">
        <v>7452</v>
      </c>
      <c r="C1218" s="1383"/>
      <c r="D1218" s="1383"/>
      <c r="E1218" s="1383"/>
      <c r="F1218" s="1383"/>
      <c r="G1218" s="407"/>
      <c r="H1218" s="407"/>
      <c r="I1218" s="429"/>
      <c r="J1218" s="414"/>
      <c r="K1218" s="408">
        <f>K1219+K1220+K1222+K1224+K1227</f>
        <v>38293.919999999998</v>
      </c>
      <c r="L1218" s="408">
        <f>L1219+L1220+L1222+L1224+L1227+0.01</f>
        <v>65086.171334480001</v>
      </c>
      <c r="M1218" s="454">
        <f t="shared" si="223"/>
        <v>4.2773959255428387E-2</v>
      </c>
      <c r="N1218" s="796"/>
      <c r="P1218" s="399"/>
    </row>
    <row r="1219" spans="1:16" s="668" customFormat="1" ht="15" customHeight="1" x14ac:dyDescent="0.25">
      <c r="A1219" s="397"/>
      <c r="B1219" s="1396">
        <v>53000</v>
      </c>
      <c r="C1219" s="1396"/>
      <c r="D1219" s="1396"/>
      <c r="E1219" s="417">
        <v>333903000000000</v>
      </c>
      <c r="F1219" s="418" t="s">
        <v>7495</v>
      </c>
      <c r="G1219" s="468">
        <v>1</v>
      </c>
      <c r="H1219" s="468">
        <v>0</v>
      </c>
      <c r="I1219" s="751"/>
      <c r="J1219" s="878" t="s">
        <v>7501</v>
      </c>
      <c r="K1219" s="789">
        <f>('Parâmetros financeiros Despesa'!E538+'Parâmetros financeiros Despesa'!E539)</f>
        <v>0</v>
      </c>
      <c r="L1219" s="789">
        <f>('Parâmetros financeiros Despesa'!F538+'Parâmetros financeiros Despesa'!F539)*(1+'Parâmetros financeiros Despesa'!F$4)*(1+'Parâmetros financeiros Despesa'!F$7)</f>
        <v>4361.326</v>
      </c>
      <c r="M1219" s="799">
        <f t="shared" si="223"/>
        <v>2.8662183809360633E-3</v>
      </c>
      <c r="N1219" s="894"/>
      <c r="O1219" s="796"/>
      <c r="P1219" s="399"/>
    </row>
    <row r="1220" spans="1:16" s="668" customFormat="1" ht="15" customHeight="1" x14ac:dyDescent="0.25">
      <c r="A1220" s="397"/>
      <c r="B1220" s="994"/>
      <c r="C1220" s="994"/>
      <c r="D1220" s="994" t="s">
        <v>7487</v>
      </c>
      <c r="E1220" s="417">
        <v>333903600000000</v>
      </c>
      <c r="F1220" s="418" t="s">
        <v>7496</v>
      </c>
      <c r="G1220" s="468">
        <v>1</v>
      </c>
      <c r="H1220" s="468">
        <v>0</v>
      </c>
      <c r="I1220" s="751"/>
      <c r="J1220" s="878" t="s">
        <v>7501</v>
      </c>
      <c r="K1220" s="789">
        <f>('Parâmetros financeiros Despesa'!E540)</f>
        <v>0</v>
      </c>
      <c r="L1220" s="789">
        <f>('Parâmetros financeiros Despesa'!F540)*(1+'Parâmetros financeiros Despesa'!F$4)*(1+'Parâmetros financeiros Despesa'!F$7)</f>
        <v>5451.6575000000003</v>
      </c>
      <c r="M1220" s="799">
        <f t="shared" si="223"/>
        <v>3.5827729761700794E-3</v>
      </c>
      <c r="N1220" s="894"/>
      <c r="O1220" s="796"/>
      <c r="P1220" s="399"/>
    </row>
    <row r="1221" spans="1:16" s="668" customFormat="1" ht="15" customHeight="1" x14ac:dyDescent="0.25">
      <c r="A1221" s="397"/>
      <c r="B1221" s="599" t="s">
        <v>7488</v>
      </c>
      <c r="C1221" s="600" t="s">
        <v>6062</v>
      </c>
      <c r="D1221" s="528">
        <v>53100</v>
      </c>
      <c r="E1221" s="417">
        <v>333903606000000</v>
      </c>
      <c r="F1221" s="418" t="s">
        <v>1151</v>
      </c>
      <c r="G1221" s="603">
        <v>1</v>
      </c>
      <c r="H1221" s="603">
        <v>0</v>
      </c>
      <c r="I1221" s="601">
        <v>332211500000000</v>
      </c>
      <c r="J1221" s="602" t="s">
        <v>6131</v>
      </c>
      <c r="K1221" s="891">
        <v>0</v>
      </c>
      <c r="L1221" s="891">
        <v>0</v>
      </c>
      <c r="M1221" s="477">
        <f t="shared" si="223"/>
        <v>0</v>
      </c>
      <c r="N1221" s="796"/>
      <c r="P1221" s="399"/>
    </row>
    <row r="1222" spans="1:16" s="668" customFormat="1" ht="15" customHeight="1" x14ac:dyDescent="0.25">
      <c r="A1222" s="397"/>
      <c r="B1222" s="1398" t="s">
        <v>7489</v>
      </c>
      <c r="C1222" s="1398"/>
      <c r="D1222" s="1398"/>
      <c r="E1222" s="417">
        <v>333903900000000</v>
      </c>
      <c r="F1222" s="418" t="s">
        <v>7497</v>
      </c>
      <c r="G1222" s="468">
        <v>1</v>
      </c>
      <c r="H1222" s="468">
        <v>0</v>
      </c>
      <c r="I1222" s="751"/>
      <c r="J1222" s="878" t="s">
        <v>7501</v>
      </c>
      <c r="K1222" s="789">
        <f>('Parâmetros financeiros Despesa'!E541+'Parâmetros financeiros Despesa'!E542+'Parâmetros financeiros Despesa'!E543)</f>
        <v>38293.919999999998</v>
      </c>
      <c r="L1222" s="789">
        <f>('Parâmetros financeiros Despesa'!F541+'Parâmetros financeiros Despesa'!F542+'Parâmetros financeiros Despesa'!F543)*(1+'Parâmetros financeiros Despesa'!F$4)*(1+'Parâmetros financeiros Despesa'!F$7)</f>
        <v>48295.056234479998</v>
      </c>
      <c r="M1222" s="799">
        <f t="shared" si="223"/>
        <v>3.1739011916927878E-2</v>
      </c>
      <c r="N1222" s="894"/>
      <c r="O1222" s="796"/>
      <c r="P1222" s="399"/>
    </row>
    <row r="1223" spans="1:16" s="668" customFormat="1" ht="15" customHeight="1" x14ac:dyDescent="0.25">
      <c r="A1223" s="397"/>
      <c r="B1223" s="599">
        <f>B1222+1</f>
        <v>53201</v>
      </c>
      <c r="C1223" s="600" t="s">
        <v>6062</v>
      </c>
      <c r="D1223" s="528">
        <v>53200</v>
      </c>
      <c r="E1223" s="417">
        <v>333903905000000</v>
      </c>
      <c r="F1223" s="418" t="s">
        <v>7500</v>
      </c>
      <c r="G1223" s="603">
        <v>1</v>
      </c>
      <c r="H1223" s="603">
        <v>0</v>
      </c>
      <c r="I1223" s="601">
        <v>332315100000000</v>
      </c>
      <c r="J1223" s="602" t="s">
        <v>6127</v>
      </c>
      <c r="K1223" s="891">
        <v>0</v>
      </c>
      <c r="L1223" s="891">
        <v>0</v>
      </c>
      <c r="M1223" s="477">
        <f t="shared" si="223"/>
        <v>0</v>
      </c>
      <c r="N1223" s="796"/>
      <c r="P1223" s="399"/>
    </row>
    <row r="1224" spans="1:16" s="668" customFormat="1" ht="15" customHeight="1" x14ac:dyDescent="0.25">
      <c r="A1224" s="397"/>
      <c r="B1224" s="1398" t="s">
        <v>7490</v>
      </c>
      <c r="C1224" s="1398"/>
      <c r="D1224" s="1398"/>
      <c r="E1224" s="417">
        <v>333904700000000</v>
      </c>
      <c r="F1224" s="418" t="s">
        <v>7498</v>
      </c>
      <c r="G1224" s="468">
        <v>1</v>
      </c>
      <c r="H1224" s="468">
        <v>0</v>
      </c>
      <c r="I1224" s="751"/>
      <c r="J1224" s="878" t="s">
        <v>7501</v>
      </c>
      <c r="K1224" s="789">
        <f>(('Parâmetros financeiros Despesa'!E539+'Parâmetros financeiros Despesa'!E540+'Parâmetros financeiros Despesa'!E542))</f>
        <v>0</v>
      </c>
      <c r="L1224" s="789">
        <f>(('Parâmetros financeiros Despesa'!F539+'Parâmetros financeiros Despesa'!F540+'Parâmetros financeiros Despesa'!F542)*(1+'Parâmetros financeiros Despesa'!F$4)*(1+'Parâmetros financeiros Despesa'!F$7))*('Parâmetros financeiros Despesa'!F$83)</f>
        <v>1526.4641000000001</v>
      </c>
      <c r="M1224" s="799">
        <f t="shared" si="223"/>
        <v>1.0031764333276222E-3</v>
      </c>
      <c r="N1224" s="894"/>
      <c r="O1224" s="796"/>
    </row>
    <row r="1225" spans="1:16" s="668" customFormat="1" ht="15" customHeight="1" x14ac:dyDescent="0.25">
      <c r="A1225" s="397"/>
      <c r="B1225" s="599">
        <f>B1224+1</f>
        <v>53301</v>
      </c>
      <c r="C1225" s="600" t="s">
        <v>6062</v>
      </c>
      <c r="D1225" s="528" t="str">
        <f>B1224</f>
        <v>53300</v>
      </c>
      <c r="E1225" s="417">
        <v>333904718000000</v>
      </c>
      <c r="F1225" s="418" t="s">
        <v>5904</v>
      </c>
      <c r="G1225" s="603">
        <v>1</v>
      </c>
      <c r="H1225" s="603">
        <v>0</v>
      </c>
      <c r="I1225" s="601">
        <v>372110400000000</v>
      </c>
      <c r="J1225" s="602" t="s">
        <v>6131</v>
      </c>
      <c r="K1225" s="891">
        <v>0</v>
      </c>
      <c r="L1225" s="891">
        <v>0</v>
      </c>
      <c r="M1225" s="477">
        <f t="shared" ref="M1225:M1226" si="224">L1225/L$1396</f>
        <v>0</v>
      </c>
      <c r="N1225" s="796"/>
    </row>
    <row r="1226" spans="1:16" s="668" customFormat="1" ht="15" customHeight="1" x14ac:dyDescent="0.25">
      <c r="A1226" s="397"/>
      <c r="B1226" s="599" t="s">
        <v>7121</v>
      </c>
      <c r="C1226" s="600" t="s">
        <v>6062</v>
      </c>
      <c r="D1226" s="528">
        <v>53300</v>
      </c>
      <c r="E1226" s="417">
        <v>333904720000000</v>
      </c>
      <c r="F1226" s="418" t="s">
        <v>5905</v>
      </c>
      <c r="G1226" s="603">
        <v>1</v>
      </c>
      <c r="H1226" s="603">
        <v>0</v>
      </c>
      <c r="I1226" s="601">
        <v>372110500000000</v>
      </c>
      <c r="J1226" s="602" t="s">
        <v>6160</v>
      </c>
      <c r="K1226" s="891">
        <v>0</v>
      </c>
      <c r="L1226" s="891">
        <v>0</v>
      </c>
      <c r="M1226" s="477">
        <f t="shared" si="224"/>
        <v>0</v>
      </c>
      <c r="N1226" s="796"/>
    </row>
    <row r="1227" spans="1:16" s="457" customFormat="1" ht="15" customHeight="1" x14ac:dyDescent="0.25">
      <c r="A1227" s="396"/>
      <c r="B1227" s="1398" t="s">
        <v>7491</v>
      </c>
      <c r="C1227" s="1398"/>
      <c r="D1227" s="1398"/>
      <c r="E1227" s="854">
        <v>344905200000000</v>
      </c>
      <c r="F1227" s="855" t="s">
        <v>7499</v>
      </c>
      <c r="G1227" s="468">
        <v>1</v>
      </c>
      <c r="H1227" s="468">
        <v>0</v>
      </c>
      <c r="I1227" s="751"/>
      <c r="J1227" s="878" t="s">
        <v>7501</v>
      </c>
      <c r="K1227" s="789">
        <f>('Parâmetros financeiros Despesa'!E544)</f>
        <v>0</v>
      </c>
      <c r="L1227" s="789">
        <f>('Parâmetros financeiros Despesa'!F544)*((1+'Parâmetros financeiros Despesa'!F$4)*(1+'Parâmetros financeiros Despesa'!F$7))</f>
        <v>5451.6575000000003</v>
      </c>
      <c r="M1227" s="799">
        <f t="shared" ref="M1227:M1240" si="225">L1227/L$1396</f>
        <v>3.5827729761700794E-3</v>
      </c>
      <c r="N1227" s="894"/>
      <c r="O1227" s="796"/>
    </row>
    <row r="1228" spans="1:16" s="115" customFormat="1" ht="15" customHeight="1" x14ac:dyDescent="0.25">
      <c r="A1228" s="396"/>
      <c r="B1228" s="1385" t="s">
        <v>7444</v>
      </c>
      <c r="C1228" s="1385"/>
      <c r="D1228" s="1385"/>
      <c r="E1228" s="1385"/>
      <c r="F1228" s="1385"/>
      <c r="G1228" s="401"/>
      <c r="H1228" s="401"/>
      <c r="I1228" s="426"/>
      <c r="J1228" s="411"/>
      <c r="K1228" s="402">
        <f t="shared" ref="K1228:L1230" si="226">K1229</f>
        <v>0</v>
      </c>
      <c r="L1228" s="402">
        <f t="shared" si="226"/>
        <v>58005.635799999996</v>
      </c>
      <c r="M1228" s="451">
        <f t="shared" si="225"/>
        <v>3.8120704466449641E-2</v>
      </c>
      <c r="N1228" s="894"/>
    </row>
    <row r="1229" spans="1:16" s="668" customFormat="1" ht="15" customHeight="1" x14ac:dyDescent="0.25">
      <c r="A1229" s="396"/>
      <c r="B1229" s="1386" t="s">
        <v>7483</v>
      </c>
      <c r="C1229" s="1386"/>
      <c r="D1229" s="1386"/>
      <c r="E1229" s="1386"/>
      <c r="F1229" s="1386"/>
      <c r="G1229" s="403"/>
      <c r="H1229" s="403"/>
      <c r="I1229" s="427"/>
      <c r="J1229" s="412"/>
      <c r="K1229" s="404">
        <f t="shared" si="226"/>
        <v>0</v>
      </c>
      <c r="L1229" s="404">
        <f t="shared" si="226"/>
        <v>58005.635799999996</v>
      </c>
      <c r="M1229" s="799">
        <f t="shared" si="225"/>
        <v>3.8120704466449641E-2</v>
      </c>
      <c r="N1229" s="796"/>
    </row>
    <row r="1230" spans="1:16" s="668" customFormat="1" ht="15" customHeight="1" x14ac:dyDescent="0.25">
      <c r="A1230" s="396"/>
      <c r="B1230" s="1382" t="s">
        <v>7283</v>
      </c>
      <c r="C1230" s="1382"/>
      <c r="D1230" s="1382"/>
      <c r="E1230" s="1382"/>
      <c r="F1230" s="1382"/>
      <c r="G1230" s="405"/>
      <c r="H1230" s="405"/>
      <c r="I1230" s="428"/>
      <c r="J1230" s="413"/>
      <c r="K1230" s="406">
        <f t="shared" si="226"/>
        <v>0</v>
      </c>
      <c r="L1230" s="406">
        <f t="shared" si="226"/>
        <v>58005.635799999996</v>
      </c>
      <c r="M1230" s="453">
        <f t="shared" si="225"/>
        <v>3.8120704466449641E-2</v>
      </c>
      <c r="N1230" s="796"/>
    </row>
    <row r="1231" spans="1:16" s="668" customFormat="1" ht="15" customHeight="1" x14ac:dyDescent="0.25">
      <c r="A1231" s="396"/>
      <c r="B1231" s="1383" t="s">
        <v>7452</v>
      </c>
      <c r="C1231" s="1383"/>
      <c r="D1231" s="1383"/>
      <c r="E1231" s="1383"/>
      <c r="F1231" s="1383"/>
      <c r="G1231" s="407"/>
      <c r="H1231" s="407"/>
      <c r="I1231" s="429"/>
      <c r="J1231" s="414"/>
      <c r="K1231" s="408">
        <f>SUM(K1232:K1235)</f>
        <v>0</v>
      </c>
      <c r="L1231" s="408">
        <f>SUM(L1232:L1235)</f>
        <v>58005.635799999996</v>
      </c>
      <c r="M1231" s="454">
        <f t="shared" si="225"/>
        <v>3.8120704466449641E-2</v>
      </c>
      <c r="N1231" s="796"/>
    </row>
    <row r="1232" spans="1:16" s="668" customFormat="1" ht="15" customHeight="1" x14ac:dyDescent="0.25">
      <c r="A1232" s="397"/>
      <c r="B1232" s="1396">
        <v>54000</v>
      </c>
      <c r="C1232" s="1396"/>
      <c r="D1232" s="1396"/>
      <c r="E1232" s="854">
        <v>333903000000000</v>
      </c>
      <c r="F1232" s="855" t="s">
        <v>7502</v>
      </c>
      <c r="G1232" s="468">
        <v>1</v>
      </c>
      <c r="H1232" s="468">
        <v>0</v>
      </c>
      <c r="I1232" s="751"/>
      <c r="J1232" s="878" t="s">
        <v>7507</v>
      </c>
      <c r="K1232" s="789">
        <f>('Parâmetros financeiros Despesa'!E546+'Parâmetros financeiros Despesa'!E547)</f>
        <v>0</v>
      </c>
      <c r="L1232" s="789">
        <f>('Parâmetros financeiros Despesa'!F546+'Parâmetros financeiros Despesa'!F547)*(1+'Parâmetros financeiros Despesa'!F$4)*(1+'Parâmetros financeiros Despesa'!F$7)</f>
        <v>30529.282000000003</v>
      </c>
      <c r="M1232" s="799">
        <f t="shared" si="225"/>
        <v>2.0063528666552446E-2</v>
      </c>
      <c r="N1232" s="894"/>
      <c r="O1232" s="796"/>
    </row>
    <row r="1233" spans="1:16" s="668" customFormat="1" ht="15" customHeight="1" x14ac:dyDescent="0.25">
      <c r="A1233" s="397"/>
      <c r="B1233" s="994"/>
      <c r="C1233" s="994"/>
      <c r="D1233" s="994" t="s">
        <v>7492</v>
      </c>
      <c r="E1233" s="854">
        <v>333903600000000</v>
      </c>
      <c r="F1233" s="855" t="s">
        <v>7503</v>
      </c>
      <c r="G1233" s="468">
        <v>1</v>
      </c>
      <c r="H1233" s="468">
        <v>0</v>
      </c>
      <c r="I1233" s="751"/>
      <c r="J1233" s="878" t="s">
        <v>7507</v>
      </c>
      <c r="K1233" s="789">
        <f>('Parâmetros financeiros Despesa'!E548)</f>
        <v>0</v>
      </c>
      <c r="L1233" s="789">
        <f>('Parâmetros financeiros Despesa'!F548)*(1+'Parâmetros financeiros Despesa'!F$4)*(1+'Parâmetros financeiros Despesa'!F$7)</f>
        <v>5451.6575000000003</v>
      </c>
      <c r="M1233" s="799">
        <f t="shared" si="225"/>
        <v>3.5827729761700794E-3</v>
      </c>
      <c r="N1233" s="894"/>
      <c r="O1233" s="796"/>
    </row>
    <row r="1234" spans="1:16" s="668" customFormat="1" ht="15" customHeight="1" x14ac:dyDescent="0.25">
      <c r="A1234" s="397"/>
      <c r="B1234" s="1398" t="s">
        <v>7493</v>
      </c>
      <c r="C1234" s="1398"/>
      <c r="D1234" s="1398"/>
      <c r="E1234" s="854">
        <v>333903900000000</v>
      </c>
      <c r="F1234" s="855" t="s">
        <v>7508</v>
      </c>
      <c r="G1234" s="468">
        <v>1</v>
      </c>
      <c r="H1234" s="468">
        <v>0</v>
      </c>
      <c r="I1234" s="751"/>
      <c r="J1234" s="878" t="s">
        <v>7507</v>
      </c>
      <c r="K1234" s="789">
        <f>('Parâmetros financeiros Despesa'!E549+'Parâmetros financeiros Despesa'!E550)</f>
        <v>0</v>
      </c>
      <c r="L1234" s="789">
        <f>('Parâmetros financeiros Despesa'!F549+'Parâmetros financeiros Despesa'!F550)*(1+'Parâmetros financeiros Despesa'!F$4)*(1+'Parâmetros financeiros Despesa'!F$7)</f>
        <v>19625.967000000001</v>
      </c>
      <c r="M1234" s="799">
        <f t="shared" si="225"/>
        <v>1.2897982714212285E-2</v>
      </c>
      <c r="N1234" s="894"/>
      <c r="O1234" s="796"/>
    </row>
    <row r="1235" spans="1:16" s="668" customFormat="1" ht="15" customHeight="1" x14ac:dyDescent="0.25">
      <c r="A1235" s="397"/>
      <c r="B1235" s="1398" t="s">
        <v>7494</v>
      </c>
      <c r="C1235" s="1398"/>
      <c r="D1235" s="1398"/>
      <c r="E1235" s="854">
        <v>333904700000000</v>
      </c>
      <c r="F1235" s="855" t="s">
        <v>7504</v>
      </c>
      <c r="G1235" s="468">
        <v>1</v>
      </c>
      <c r="H1235" s="468">
        <v>0</v>
      </c>
      <c r="I1235" s="751"/>
      <c r="J1235" s="878" t="s">
        <v>7507</v>
      </c>
      <c r="K1235" s="789">
        <f>(('Parâmetros financeiros Despesa'!E547+'Parâmetros financeiros Despesa'!E548+'Parâmetros financeiros Despesa'!E550))</f>
        <v>0</v>
      </c>
      <c r="L1235" s="789">
        <f>(('Parâmetros financeiros Despesa'!F547+'Parâmetros financeiros Despesa'!F548+'Parâmetros financeiros Despesa'!F550)*(1+'Parâmetros financeiros Despesa'!F$4)*(1+'Parâmetros financeiros Despesa'!F$7))*('Parâmetros financeiros Despesa'!F$83)</f>
        <v>2398.7293000000004</v>
      </c>
      <c r="M1235" s="799">
        <f t="shared" si="225"/>
        <v>1.576420109514835E-3</v>
      </c>
      <c r="N1235" s="894"/>
      <c r="O1235" s="796"/>
    </row>
    <row r="1236" spans="1:16" s="115" customFormat="1" ht="15" customHeight="1" x14ac:dyDescent="0.25">
      <c r="A1236" s="396"/>
      <c r="B1236" s="1385" t="s">
        <v>7444</v>
      </c>
      <c r="C1236" s="1385"/>
      <c r="D1236" s="1385"/>
      <c r="E1236" s="1385"/>
      <c r="F1236" s="1385"/>
      <c r="G1236" s="401"/>
      <c r="H1236" s="401"/>
      <c r="I1236" s="426"/>
      <c r="J1236" s="411"/>
      <c r="K1236" s="402">
        <f t="shared" ref="K1236:L1238" si="227">K1237</f>
        <v>99133.395000000004</v>
      </c>
      <c r="L1236" s="402">
        <f t="shared" si="227"/>
        <v>128659.11700000001</v>
      </c>
      <c r="M1236" s="451">
        <f t="shared" si="225"/>
        <v>8.4553442237613879E-2</v>
      </c>
      <c r="N1236" s="894"/>
      <c r="P1236" s="733"/>
    </row>
    <row r="1237" spans="1:16" s="706" customFormat="1" ht="15" customHeight="1" x14ac:dyDescent="0.25">
      <c r="A1237" s="396"/>
      <c r="B1237" s="1386" t="s">
        <v>7551</v>
      </c>
      <c r="C1237" s="1386"/>
      <c r="D1237" s="1386"/>
      <c r="E1237" s="1386"/>
      <c r="F1237" s="1386"/>
      <c r="G1237" s="403"/>
      <c r="H1237" s="403"/>
      <c r="I1237" s="427"/>
      <c r="J1237" s="412"/>
      <c r="K1237" s="404">
        <f t="shared" si="227"/>
        <v>99133.395000000004</v>
      </c>
      <c r="L1237" s="404">
        <f t="shared" si="227"/>
        <v>128659.11700000001</v>
      </c>
      <c r="M1237" s="799">
        <f t="shared" si="225"/>
        <v>8.4553442237613879E-2</v>
      </c>
      <c r="N1237" s="796"/>
      <c r="P1237" s="399"/>
    </row>
    <row r="1238" spans="1:16" s="706" customFormat="1" ht="15" customHeight="1" x14ac:dyDescent="0.25">
      <c r="A1238" s="396"/>
      <c r="B1238" s="1382" t="s">
        <v>7283</v>
      </c>
      <c r="C1238" s="1382"/>
      <c r="D1238" s="1382"/>
      <c r="E1238" s="1382"/>
      <c r="F1238" s="1382"/>
      <c r="G1238" s="405"/>
      <c r="H1238" s="405"/>
      <c r="I1238" s="428"/>
      <c r="J1238" s="413"/>
      <c r="K1238" s="406">
        <f t="shared" si="227"/>
        <v>99133.395000000004</v>
      </c>
      <c r="L1238" s="406">
        <f t="shared" si="227"/>
        <v>128659.11700000001</v>
      </c>
      <c r="M1238" s="453">
        <f t="shared" si="225"/>
        <v>8.4553442237613879E-2</v>
      </c>
      <c r="N1238" s="796"/>
      <c r="P1238" s="399"/>
    </row>
    <row r="1239" spans="1:16" s="706" customFormat="1" ht="15" customHeight="1" x14ac:dyDescent="0.25">
      <c r="A1239" s="396"/>
      <c r="B1239" s="1383" t="s">
        <v>7452</v>
      </c>
      <c r="C1239" s="1383"/>
      <c r="D1239" s="1383"/>
      <c r="E1239" s="1383"/>
      <c r="F1239" s="1383"/>
      <c r="G1239" s="407"/>
      <c r="H1239" s="407"/>
      <c r="I1239" s="429"/>
      <c r="J1239" s="414"/>
      <c r="K1239" s="408">
        <f>SUM(K1240:K1245)</f>
        <v>99133.395000000004</v>
      </c>
      <c r="L1239" s="408">
        <f>SUM(L1240:L1245)</f>
        <v>128659.11700000001</v>
      </c>
      <c r="M1239" s="454">
        <f t="shared" si="225"/>
        <v>8.4553442237613879E-2</v>
      </c>
      <c r="N1239" s="796"/>
      <c r="P1239" s="399"/>
    </row>
    <row r="1240" spans="1:16" s="706" customFormat="1" ht="15" customHeight="1" x14ac:dyDescent="0.25">
      <c r="A1240" s="397"/>
      <c r="B1240" s="1396">
        <v>55000</v>
      </c>
      <c r="C1240" s="1396"/>
      <c r="D1240" s="1396"/>
      <c r="E1240" s="854">
        <v>333903000000000</v>
      </c>
      <c r="F1240" s="855" t="s">
        <v>7555</v>
      </c>
      <c r="G1240" s="468">
        <v>1</v>
      </c>
      <c r="H1240" s="468">
        <v>0</v>
      </c>
      <c r="I1240" s="751"/>
      <c r="J1240" s="878" t="s">
        <v>7561</v>
      </c>
      <c r="K1240" s="789">
        <f>('Parâmetros financeiros Despesa'!E552+'Parâmetros financeiros Despesa'!E553)</f>
        <v>86309.895000000004</v>
      </c>
      <c r="L1240" s="789">
        <f>('Parâmetros financeiros Despesa'!F552+'Parâmetros financeiros Despesa'!F553)*(1+'Parâmetros financeiros Despesa'!F$4)*(1+'Parâmetros financeiros Despesa'!F$7)</f>
        <v>87226.52</v>
      </c>
      <c r="M1240" s="799">
        <f t="shared" si="225"/>
        <v>5.732436761872127E-2</v>
      </c>
      <c r="N1240" s="894"/>
      <c r="O1240" s="796"/>
      <c r="P1240" s="399"/>
    </row>
    <row r="1241" spans="1:16" s="706" customFormat="1" ht="15" customHeight="1" x14ac:dyDescent="0.25">
      <c r="A1241" s="397"/>
      <c r="B1241" s="994"/>
      <c r="C1241" s="994"/>
      <c r="D1241" s="994" t="s">
        <v>7552</v>
      </c>
      <c r="E1241" s="854">
        <v>333903600000000</v>
      </c>
      <c r="F1241" s="855" t="s">
        <v>7556</v>
      </c>
      <c r="G1241" s="468">
        <v>1</v>
      </c>
      <c r="H1241" s="468">
        <v>0</v>
      </c>
      <c r="I1241" s="751"/>
      <c r="J1241" s="878" t="s">
        <v>7561</v>
      </c>
      <c r="K1241" s="789">
        <f>('Parâmetros financeiros Despesa'!E554)</f>
        <v>0</v>
      </c>
      <c r="L1241" s="789">
        <f>('Parâmetros financeiros Despesa'!F554)*(1+'Parâmetros financeiros Despesa'!F$4)*(1+'Parâmetros financeiros Despesa'!F$7)</f>
        <v>5451.6575000000003</v>
      </c>
      <c r="M1241" s="799">
        <f t="shared" ref="M1241:M1245" si="228">L1241/L$1396</f>
        <v>3.5827729761700794E-3</v>
      </c>
      <c r="N1241" s="894"/>
      <c r="O1241" s="796"/>
      <c r="P1241" s="399"/>
    </row>
    <row r="1242" spans="1:16" s="706" customFormat="1" ht="15" customHeight="1" x14ac:dyDescent="0.25">
      <c r="A1242" s="397"/>
      <c r="B1242" s="1398" t="s">
        <v>7553</v>
      </c>
      <c r="C1242" s="1398"/>
      <c r="D1242" s="1398"/>
      <c r="E1242" s="854">
        <v>333903900000000</v>
      </c>
      <c r="F1242" s="855" t="s">
        <v>7557</v>
      </c>
      <c r="G1242" s="468">
        <v>1</v>
      </c>
      <c r="H1242" s="468">
        <v>0</v>
      </c>
      <c r="I1242" s="751"/>
      <c r="J1242" s="878" t="s">
        <v>7561</v>
      </c>
      <c r="K1242" s="789">
        <f>('Parâmetros financeiros Despesa'!E555+'Parâmetros financeiros Despesa'!E556)</f>
        <v>12823.5</v>
      </c>
      <c r="L1242" s="789">
        <f>('Parâmetros financeiros Despesa'!F555+'Parâmetros financeiros Despesa'!F556)*(1+'Parâmetros financeiros Despesa'!F$4)*(1+'Parâmetros financeiros Despesa'!F$7)</f>
        <v>21806.63</v>
      </c>
      <c r="M1242" s="799">
        <f t="shared" si="228"/>
        <v>1.4331091904680317E-2</v>
      </c>
      <c r="N1242" s="894"/>
      <c r="O1242" s="796"/>
      <c r="P1242" s="399"/>
    </row>
    <row r="1243" spans="1:16" s="706" customFormat="1" ht="15" customHeight="1" x14ac:dyDescent="0.25">
      <c r="A1243" s="397"/>
      <c r="B1243" s="1398" t="s">
        <v>7554</v>
      </c>
      <c r="C1243" s="1398"/>
      <c r="D1243" s="1398"/>
      <c r="E1243" s="854">
        <v>333904700000000</v>
      </c>
      <c r="F1243" s="855" t="s">
        <v>7504</v>
      </c>
      <c r="G1243" s="468">
        <v>1</v>
      </c>
      <c r="H1243" s="468">
        <v>0</v>
      </c>
      <c r="I1243" s="751"/>
      <c r="J1243" s="878" t="s">
        <v>7561</v>
      </c>
      <c r="K1243" s="789">
        <v>0</v>
      </c>
      <c r="L1243" s="789">
        <f>(('Parâmetros financeiros Despesa'!F553+'Parâmetros financeiros Despesa'!F554+'Parâmetros financeiros Despesa'!F556)*(1+'Parâmetros financeiros Despesa'!F$4)*(1+'Parâmetros financeiros Despesa'!F$7))*('Parâmetros financeiros Despesa'!F$83)</f>
        <v>3270.9945000000002</v>
      </c>
      <c r="M1243" s="799">
        <f t="shared" si="228"/>
        <v>2.1496637857020477E-3</v>
      </c>
      <c r="N1243" s="894"/>
      <c r="O1243" s="796"/>
      <c r="P1243" s="399"/>
    </row>
    <row r="1244" spans="1:16" s="706" customFormat="1" ht="15" customHeight="1" x14ac:dyDescent="0.25">
      <c r="A1244" s="397"/>
      <c r="B1244" s="1398" t="s">
        <v>7558</v>
      </c>
      <c r="C1244" s="1398"/>
      <c r="D1244" s="1398"/>
      <c r="E1244" s="854">
        <v>333933000000000</v>
      </c>
      <c r="F1244" s="855" t="s">
        <v>7562</v>
      </c>
      <c r="G1244" s="468">
        <v>1</v>
      </c>
      <c r="H1244" s="468">
        <v>0</v>
      </c>
      <c r="I1244" s="751"/>
      <c r="J1244" s="878" t="s">
        <v>6197</v>
      </c>
      <c r="K1244" s="789">
        <f>('Parâmetros financeiros Despesa'!E557)</f>
        <v>0</v>
      </c>
      <c r="L1244" s="789">
        <f>('Parâmetros financeiros Despesa'!F557)*(1+'Parâmetros financeiros Despesa'!F$4)*(1+'Parâmetros financeiros Despesa'!F$7)</f>
        <v>5451.6575000000003</v>
      </c>
      <c r="M1244" s="799">
        <f t="shared" si="228"/>
        <v>3.5827729761700794E-3</v>
      </c>
      <c r="N1244" s="894"/>
      <c r="O1244" s="796"/>
      <c r="P1244" s="399"/>
    </row>
    <row r="1245" spans="1:16" s="706" customFormat="1" ht="15" customHeight="1" x14ac:dyDescent="0.25">
      <c r="A1245" s="397"/>
      <c r="B1245" s="1398" t="s">
        <v>7563</v>
      </c>
      <c r="C1245" s="1398"/>
      <c r="D1245" s="1398"/>
      <c r="E1245" s="854">
        <v>344905200000000</v>
      </c>
      <c r="F1245" s="855" t="s">
        <v>7559</v>
      </c>
      <c r="G1245" s="468">
        <v>1</v>
      </c>
      <c r="H1245" s="468">
        <v>0</v>
      </c>
      <c r="I1245" s="751"/>
      <c r="J1245" s="878" t="s">
        <v>7561</v>
      </c>
      <c r="K1245" s="789">
        <f>('Parâmetros financeiros Despesa'!E558)</f>
        <v>0</v>
      </c>
      <c r="L1245" s="789">
        <f>('Parâmetros financeiros Despesa'!F558)*(1+'Parâmetros financeiros Despesa'!F$4)*(1+'Parâmetros financeiros Despesa'!F$7)</f>
        <v>5451.6575000000003</v>
      </c>
      <c r="M1245" s="799">
        <f t="shared" si="228"/>
        <v>3.5827729761700794E-3</v>
      </c>
      <c r="N1245" s="894"/>
      <c r="O1245" s="796"/>
      <c r="P1245" s="399"/>
    </row>
    <row r="1246" spans="1:16" s="115" customFormat="1" ht="15" customHeight="1" x14ac:dyDescent="0.25">
      <c r="A1246" s="396"/>
      <c r="B1246" s="1385" t="s">
        <v>7444</v>
      </c>
      <c r="C1246" s="1385"/>
      <c r="D1246" s="1385"/>
      <c r="E1246" s="1385"/>
      <c r="F1246" s="1385"/>
      <c r="G1246" s="401"/>
      <c r="H1246" s="401"/>
      <c r="I1246" s="426"/>
      <c r="J1246" s="411"/>
      <c r="K1246" s="402">
        <f t="shared" ref="K1246:L1248" si="229">K1247</f>
        <v>0</v>
      </c>
      <c r="L1246" s="402">
        <f t="shared" si="229"/>
        <v>52220.24</v>
      </c>
      <c r="M1246" s="451">
        <f>L1246/L$1396</f>
        <v>3.4318602128089633E-2</v>
      </c>
      <c r="N1246" s="894"/>
      <c r="P1246" s="733"/>
    </row>
    <row r="1247" spans="1:16" s="706" customFormat="1" ht="15" customHeight="1" x14ac:dyDescent="0.25">
      <c r="A1247" s="396"/>
      <c r="B1247" s="1386" t="s">
        <v>7484</v>
      </c>
      <c r="C1247" s="1386"/>
      <c r="D1247" s="1386"/>
      <c r="E1247" s="1386"/>
      <c r="F1247" s="1386"/>
      <c r="G1247" s="403"/>
      <c r="H1247" s="403"/>
      <c r="I1247" s="427"/>
      <c r="J1247" s="412"/>
      <c r="K1247" s="404">
        <f t="shared" si="229"/>
        <v>0</v>
      </c>
      <c r="L1247" s="404">
        <f t="shared" si="229"/>
        <v>52220.24</v>
      </c>
      <c r="M1247" s="799">
        <f>L1247/L$1396</f>
        <v>3.4318602128089633E-2</v>
      </c>
      <c r="N1247" s="796"/>
      <c r="P1247" s="399"/>
    </row>
    <row r="1248" spans="1:16" s="706" customFormat="1" ht="15" customHeight="1" x14ac:dyDescent="0.25">
      <c r="A1248" s="396"/>
      <c r="B1248" s="1382" t="s">
        <v>7283</v>
      </c>
      <c r="C1248" s="1382"/>
      <c r="D1248" s="1382"/>
      <c r="E1248" s="1382"/>
      <c r="F1248" s="1382"/>
      <c r="G1248" s="405"/>
      <c r="H1248" s="405"/>
      <c r="I1248" s="428"/>
      <c r="J1248" s="413"/>
      <c r="K1248" s="406">
        <f t="shared" si="229"/>
        <v>0</v>
      </c>
      <c r="L1248" s="406">
        <f t="shared" si="229"/>
        <v>52220.24</v>
      </c>
      <c r="M1248" s="453">
        <f>L1248/L$1396</f>
        <v>3.4318602128089633E-2</v>
      </c>
      <c r="N1248" s="796"/>
      <c r="P1248" s="399"/>
    </row>
    <row r="1249" spans="1:16" s="706" customFormat="1" ht="15" customHeight="1" x14ac:dyDescent="0.25">
      <c r="A1249" s="396"/>
      <c r="B1249" s="1383" t="s">
        <v>7452</v>
      </c>
      <c r="C1249" s="1383"/>
      <c r="D1249" s="1383"/>
      <c r="E1249" s="1383"/>
      <c r="F1249" s="1383"/>
      <c r="G1249" s="407"/>
      <c r="H1249" s="407"/>
      <c r="I1249" s="429"/>
      <c r="J1249" s="414"/>
      <c r="K1249" s="408">
        <f>SUM(K1250:K1255)</f>
        <v>0</v>
      </c>
      <c r="L1249" s="408">
        <f>SUM(L1250:L1255)</f>
        <v>52220.24</v>
      </c>
      <c r="M1249" s="454">
        <f>L1249/L$1396</f>
        <v>3.4318602128089633E-2</v>
      </c>
      <c r="N1249" s="796"/>
      <c r="P1249" s="399"/>
    </row>
    <row r="1250" spans="1:16" s="706" customFormat="1" ht="15" customHeight="1" x14ac:dyDescent="0.25">
      <c r="A1250" s="397"/>
      <c r="B1250" s="1396">
        <v>56000</v>
      </c>
      <c r="C1250" s="1396"/>
      <c r="D1250" s="1396"/>
      <c r="E1250" s="854">
        <v>333903000000000</v>
      </c>
      <c r="F1250" s="855" t="s">
        <v>7570</v>
      </c>
      <c r="G1250" s="468">
        <v>1</v>
      </c>
      <c r="H1250" s="468">
        <v>0</v>
      </c>
      <c r="I1250" s="751"/>
      <c r="J1250" s="878" t="s">
        <v>7564</v>
      </c>
      <c r="K1250" s="789">
        <f>'Parâmetros financeiros Despesa'!E560+'Parâmetros financeiros Despesa'!E561</f>
        <v>0</v>
      </c>
      <c r="L1250" s="789">
        <f>'Parâmetros financeiros Despesa'!F560+'Parâmetros financeiros Despesa'!F561</f>
        <v>15620.239999999998</v>
      </c>
      <c r="M1250" s="799">
        <f>L1250/L$1396</f>
        <v>1.0265460321616116E-2</v>
      </c>
      <c r="N1250" s="894"/>
      <c r="O1250" s="796"/>
      <c r="P1250" s="399"/>
    </row>
    <row r="1251" spans="1:16" s="706" customFormat="1" ht="15" customHeight="1" x14ac:dyDescent="0.25">
      <c r="A1251" s="397"/>
      <c r="B1251" s="994"/>
      <c r="C1251" s="994"/>
      <c r="D1251" s="994" t="s">
        <v>7565</v>
      </c>
      <c r="E1251" s="854">
        <v>333903600000000</v>
      </c>
      <c r="F1251" s="855" t="s">
        <v>7571</v>
      </c>
      <c r="G1251" s="468">
        <v>1</v>
      </c>
      <c r="H1251" s="468">
        <v>0</v>
      </c>
      <c r="I1251" s="751"/>
      <c r="J1251" s="878" t="s">
        <v>7564</v>
      </c>
      <c r="K1251" s="789">
        <f>'Parâmetros financeiros Despesa'!E562</f>
        <v>0</v>
      </c>
      <c r="L1251" s="789">
        <f>'Parâmetros financeiros Despesa'!F562</f>
        <v>10000</v>
      </c>
      <c r="M1251" s="799">
        <f t="shared" ref="M1251:M1255" si="230">L1251/L$1396</f>
        <v>6.5718966684353867E-3</v>
      </c>
      <c r="N1251" s="894"/>
      <c r="O1251" s="796"/>
      <c r="P1251" s="399"/>
    </row>
    <row r="1252" spans="1:16" s="706" customFormat="1" ht="15" customHeight="1" x14ac:dyDescent="0.25">
      <c r="A1252" s="397"/>
      <c r="B1252" s="1398" t="s">
        <v>7566</v>
      </c>
      <c r="C1252" s="1398"/>
      <c r="D1252" s="1398"/>
      <c r="E1252" s="854">
        <v>333903900000000</v>
      </c>
      <c r="F1252" s="855" t="s">
        <v>7572</v>
      </c>
      <c r="G1252" s="468">
        <v>1</v>
      </c>
      <c r="H1252" s="468">
        <v>0</v>
      </c>
      <c r="I1252" s="751"/>
      <c r="J1252" s="878" t="s">
        <v>7564</v>
      </c>
      <c r="K1252" s="789">
        <f>'Parâmetros financeiros Despesa'!E563+'Parâmetros financeiros Despesa'!E564</f>
        <v>0</v>
      </c>
      <c r="L1252" s="789">
        <f>'Parâmetros financeiros Despesa'!F563+'Parâmetros financeiros Despesa'!F564</f>
        <v>17000</v>
      </c>
      <c r="M1252" s="799">
        <f t="shared" si="230"/>
        <v>1.1172224336340159E-2</v>
      </c>
      <c r="N1252" s="894"/>
      <c r="O1252" s="796"/>
      <c r="P1252" s="399"/>
    </row>
    <row r="1253" spans="1:16" s="706" customFormat="1" ht="15" customHeight="1" x14ac:dyDescent="0.25">
      <c r="A1253" s="397"/>
      <c r="B1253" s="1398" t="s">
        <v>7567</v>
      </c>
      <c r="C1253" s="1398"/>
      <c r="D1253" s="1398"/>
      <c r="E1253" s="854">
        <v>333903900000000</v>
      </c>
      <c r="F1253" s="855" t="s">
        <v>7575</v>
      </c>
      <c r="G1253" s="468">
        <v>1</v>
      </c>
      <c r="H1253" s="468">
        <v>0</v>
      </c>
      <c r="I1253" s="751"/>
      <c r="J1253" s="878" t="s">
        <v>7564</v>
      </c>
      <c r="K1253" s="789">
        <f>'Parâmetros financeiros Despesa'!E565</f>
        <v>0</v>
      </c>
      <c r="L1253" s="789">
        <f>'Parâmetros financeiros Despesa'!F565</f>
        <v>2600</v>
      </c>
      <c r="M1253" s="799">
        <f t="shared" si="230"/>
        <v>1.7086931337932005E-3</v>
      </c>
      <c r="N1253" s="894"/>
      <c r="O1253" s="796"/>
      <c r="P1253" s="399"/>
    </row>
    <row r="1254" spans="1:16" s="706" customFormat="1" ht="15" customHeight="1" x14ac:dyDescent="0.25">
      <c r="A1254" s="397"/>
      <c r="B1254" s="1398" t="s">
        <v>7568</v>
      </c>
      <c r="C1254" s="1398"/>
      <c r="D1254" s="1398"/>
      <c r="E1254" s="854">
        <v>333904700000000</v>
      </c>
      <c r="F1254" s="855" t="s">
        <v>7573</v>
      </c>
      <c r="G1254" s="468">
        <v>1</v>
      </c>
      <c r="H1254" s="468">
        <v>0</v>
      </c>
      <c r="I1254" s="751"/>
      <c r="J1254" s="878" t="s">
        <v>6197</v>
      </c>
      <c r="K1254" s="789">
        <f>'Parâmetros financeiros Despesa'!E566</f>
        <v>0</v>
      </c>
      <c r="L1254" s="789">
        <f>'Parâmetros financeiros Despesa'!F566</f>
        <v>2000</v>
      </c>
      <c r="M1254" s="799">
        <f t="shared" si="230"/>
        <v>1.3143793336870774E-3</v>
      </c>
      <c r="N1254" s="894"/>
      <c r="O1254" s="796"/>
    </row>
    <row r="1255" spans="1:16" s="706" customFormat="1" ht="15" customHeight="1" x14ac:dyDescent="0.25">
      <c r="A1255" s="397"/>
      <c r="B1255" s="1398" t="s">
        <v>7569</v>
      </c>
      <c r="C1255" s="1398"/>
      <c r="D1255" s="1398"/>
      <c r="E1255" s="854">
        <v>344905200000000</v>
      </c>
      <c r="F1255" s="855" t="s">
        <v>7574</v>
      </c>
      <c r="G1255" s="468">
        <v>1</v>
      </c>
      <c r="H1255" s="468">
        <v>0</v>
      </c>
      <c r="I1255" s="751"/>
      <c r="J1255" s="878" t="s">
        <v>7564</v>
      </c>
      <c r="K1255" s="789">
        <f>'Parâmetros financeiros Despesa'!E567</f>
        <v>0</v>
      </c>
      <c r="L1255" s="789">
        <f>'Parâmetros financeiros Despesa'!F567</f>
        <v>5000</v>
      </c>
      <c r="M1255" s="799">
        <f t="shared" si="230"/>
        <v>3.2859483342176934E-3</v>
      </c>
      <c r="N1255" s="894"/>
      <c r="O1255" s="796"/>
    </row>
    <row r="1256" spans="1:16" s="115" customFormat="1" ht="15" customHeight="1" x14ac:dyDescent="0.25">
      <c r="A1256" s="396"/>
      <c r="B1256" s="1385" t="s">
        <v>7444</v>
      </c>
      <c r="C1256" s="1385"/>
      <c r="D1256" s="1385"/>
      <c r="E1256" s="1385"/>
      <c r="F1256" s="1385"/>
      <c r="G1256" s="401"/>
      <c r="H1256" s="401"/>
      <c r="I1256" s="426"/>
      <c r="J1256" s="411"/>
      <c r="K1256" s="402">
        <f t="shared" ref="K1256:L1258" si="231">K1257</f>
        <v>0</v>
      </c>
      <c r="L1256" s="402">
        <f t="shared" si="231"/>
        <v>3598.0839499999997</v>
      </c>
      <c r="M1256" s="451">
        <f>L1256/L$1396</f>
        <v>2.3646235923755836E-3</v>
      </c>
      <c r="N1256" s="894"/>
    </row>
    <row r="1257" spans="1:16" s="706" customFormat="1" ht="15" customHeight="1" x14ac:dyDescent="0.25">
      <c r="A1257" s="396"/>
      <c r="B1257" s="1386" t="s">
        <v>7485</v>
      </c>
      <c r="C1257" s="1386"/>
      <c r="D1257" s="1386"/>
      <c r="E1257" s="1386"/>
      <c r="F1257" s="1386"/>
      <c r="G1257" s="403"/>
      <c r="H1257" s="403"/>
      <c r="I1257" s="427"/>
      <c r="J1257" s="412"/>
      <c r="K1257" s="404">
        <f t="shared" si="231"/>
        <v>0</v>
      </c>
      <c r="L1257" s="404">
        <f t="shared" si="231"/>
        <v>3598.0839499999997</v>
      </c>
      <c r="M1257" s="799">
        <f>L1257/L$1396</f>
        <v>2.3646235923755836E-3</v>
      </c>
      <c r="N1257" s="796"/>
    </row>
    <row r="1258" spans="1:16" s="706" customFormat="1" ht="15" customHeight="1" x14ac:dyDescent="0.25">
      <c r="A1258" s="396"/>
      <c r="B1258" s="1382" t="s">
        <v>7283</v>
      </c>
      <c r="C1258" s="1382"/>
      <c r="D1258" s="1382"/>
      <c r="E1258" s="1382"/>
      <c r="F1258" s="1382"/>
      <c r="G1258" s="405"/>
      <c r="H1258" s="405"/>
      <c r="I1258" s="428"/>
      <c r="J1258" s="413"/>
      <c r="K1258" s="406">
        <f t="shared" si="231"/>
        <v>0</v>
      </c>
      <c r="L1258" s="406">
        <f t="shared" si="231"/>
        <v>3598.0839499999997</v>
      </c>
      <c r="M1258" s="453">
        <f>L1258/L$1396</f>
        <v>2.3646235923755836E-3</v>
      </c>
      <c r="N1258" s="796"/>
    </row>
    <row r="1259" spans="1:16" s="706" customFormat="1" ht="15" customHeight="1" x14ac:dyDescent="0.25">
      <c r="A1259" s="396"/>
      <c r="B1259" s="1383" t="s">
        <v>7452</v>
      </c>
      <c r="C1259" s="1383"/>
      <c r="D1259" s="1383"/>
      <c r="E1259" s="1383"/>
      <c r="F1259" s="1383"/>
      <c r="G1259" s="407"/>
      <c r="H1259" s="407"/>
      <c r="I1259" s="429"/>
      <c r="J1259" s="414"/>
      <c r="K1259" s="408">
        <f>SUM(K1260:K1264)</f>
        <v>0</v>
      </c>
      <c r="L1259" s="408">
        <f>SUM(L1260:L1264)-0.01</f>
        <v>3598.0839499999997</v>
      </c>
      <c r="M1259" s="454">
        <f>L1259/L$1396</f>
        <v>2.3646235923755836E-3</v>
      </c>
      <c r="N1259" s="796"/>
    </row>
    <row r="1260" spans="1:16" s="706" customFormat="1" ht="15" customHeight="1" x14ac:dyDescent="0.25">
      <c r="A1260" s="397"/>
      <c r="B1260" s="1396">
        <v>57000</v>
      </c>
      <c r="C1260" s="1396"/>
      <c r="D1260" s="1396"/>
      <c r="E1260" s="854">
        <v>333903000000000</v>
      </c>
      <c r="F1260" s="855" t="s">
        <v>7580</v>
      </c>
      <c r="G1260" s="468">
        <v>1</v>
      </c>
      <c r="H1260" s="468">
        <v>0</v>
      </c>
      <c r="I1260" s="751"/>
      <c r="J1260" s="878" t="s">
        <v>7587</v>
      </c>
      <c r="K1260" s="789">
        <f>('Parâmetros financeiros Despesa'!E569+'Parâmetros financeiros Despesa'!E570)</f>
        <v>0</v>
      </c>
      <c r="L1260" s="789">
        <f>('Parâmetros financeiros Despesa'!F569+'Parâmetros financeiros Despesa'!F570)*(1+'Parâmetros financeiros Despesa'!F$4)*(1+'Parâmetros financeiros Despesa'!F$7)</f>
        <v>1090.3315</v>
      </c>
      <c r="M1260" s="799">
        <f>L1260/L$1396</f>
        <v>7.1655459523401583E-4</v>
      </c>
      <c r="N1260" s="894"/>
      <c r="O1260" s="796"/>
    </row>
    <row r="1261" spans="1:16" s="706" customFormat="1" ht="15" customHeight="1" x14ac:dyDescent="0.25">
      <c r="A1261" s="397"/>
      <c r="B1261" s="994"/>
      <c r="C1261" s="994"/>
      <c r="D1261" s="994" t="s">
        <v>7576</v>
      </c>
      <c r="E1261" s="854">
        <v>333903600000000</v>
      </c>
      <c r="F1261" s="855" t="s">
        <v>7581</v>
      </c>
      <c r="G1261" s="468">
        <v>1</v>
      </c>
      <c r="H1261" s="468">
        <v>0</v>
      </c>
      <c r="I1261" s="751"/>
      <c r="J1261" s="878" t="s">
        <v>7587</v>
      </c>
      <c r="K1261" s="789">
        <f>('Parâmetros financeiros Despesa'!E571)</f>
        <v>0</v>
      </c>
      <c r="L1261" s="789">
        <f>('Parâmetros financeiros Despesa'!F571)*(1+'Parâmetros financeiros Despesa'!F$4)*(1+'Parâmetros financeiros Despesa'!F$7)</f>
        <v>545.16575</v>
      </c>
      <c r="M1261" s="799">
        <f t="shared" ref="M1261:M1264" si="232">L1261/L$1396</f>
        <v>3.5827729761700791E-4</v>
      </c>
      <c r="N1261" s="894"/>
      <c r="O1261" s="796"/>
    </row>
    <row r="1262" spans="1:16" s="706" customFormat="1" ht="15" customHeight="1" x14ac:dyDescent="0.25">
      <c r="A1262" s="397"/>
      <c r="B1262" s="1398" t="s">
        <v>7577</v>
      </c>
      <c r="C1262" s="1398"/>
      <c r="D1262" s="1398"/>
      <c r="E1262" s="854">
        <v>333903900000000</v>
      </c>
      <c r="F1262" s="855" t="s">
        <v>7582</v>
      </c>
      <c r="G1262" s="468">
        <v>1</v>
      </c>
      <c r="H1262" s="468">
        <v>0</v>
      </c>
      <c r="I1262" s="751"/>
      <c r="J1262" s="878" t="s">
        <v>7587</v>
      </c>
      <c r="K1262" s="789">
        <f>('Parâmetros financeiros Despesa'!E572+'Parâmetros financeiros Despesa'!E573)</f>
        <v>0</v>
      </c>
      <c r="L1262" s="789">
        <f>('Parâmetros financeiros Despesa'!F572+'Parâmetros financeiros Despesa'!F573)*(1+'Parâmetros financeiros Despesa'!F$4)*(1+'Parâmetros financeiros Despesa'!F$7)</f>
        <v>1090.3315</v>
      </c>
      <c r="M1262" s="799">
        <f t="shared" si="232"/>
        <v>7.1655459523401583E-4</v>
      </c>
      <c r="N1262" s="894"/>
      <c r="O1262" s="796"/>
    </row>
    <row r="1263" spans="1:16" s="706" customFormat="1" ht="15" customHeight="1" x14ac:dyDescent="0.25">
      <c r="A1263" s="397"/>
      <c r="B1263" s="1398" t="s">
        <v>7578</v>
      </c>
      <c r="C1263" s="1398"/>
      <c r="D1263" s="1398"/>
      <c r="E1263" s="854">
        <v>333903900000000</v>
      </c>
      <c r="F1263" s="855" t="s">
        <v>7583</v>
      </c>
      <c r="G1263" s="468">
        <v>1</v>
      </c>
      <c r="H1263" s="468">
        <v>0</v>
      </c>
      <c r="I1263" s="751"/>
      <c r="J1263" s="878" t="s">
        <v>7587</v>
      </c>
      <c r="K1263" s="789">
        <f>(('Parâmetros financeiros Despesa'!E570+'Parâmetros financeiros Despesa'!E571+'Parâmetros financeiros Despesa'!E573))</f>
        <v>0</v>
      </c>
      <c r="L1263" s="789">
        <f>(('Parâmetros financeiros Despesa'!F570+'Parâmetros financeiros Despesa'!F571+'Parâmetros financeiros Despesa'!F573)*(1+'Parâmetros financeiros Despesa'!F$4)*(1+'Parâmetros financeiros Despesa'!F$7))*('Parâmetros financeiros Despesa'!F$83)</f>
        <v>327.09945000000005</v>
      </c>
      <c r="M1263" s="799">
        <f t="shared" si="232"/>
        <v>2.1496637857020478E-4</v>
      </c>
      <c r="N1263" s="894"/>
      <c r="O1263" s="796"/>
    </row>
    <row r="1264" spans="1:16" s="706" customFormat="1" ht="15" customHeight="1" x14ac:dyDescent="0.25">
      <c r="A1264" s="397"/>
      <c r="B1264" s="1398" t="s">
        <v>7579</v>
      </c>
      <c r="C1264" s="1398"/>
      <c r="D1264" s="1398"/>
      <c r="E1264" s="854">
        <v>344905200000000</v>
      </c>
      <c r="F1264" s="855" t="s">
        <v>7584</v>
      </c>
      <c r="G1264" s="468">
        <v>1</v>
      </c>
      <c r="H1264" s="468">
        <v>0</v>
      </c>
      <c r="I1264" s="751"/>
      <c r="J1264" s="878" t="s">
        <v>7587</v>
      </c>
      <c r="K1264" s="789">
        <f>('Parâmetros financeiros Despesa'!E574)</f>
        <v>0</v>
      </c>
      <c r="L1264" s="789">
        <f>('Parâmetros financeiros Despesa'!F574)*(1+'Parâmetros financeiros Despesa'!F$4)*(1+'Parâmetros financeiros Despesa'!F$7)</f>
        <v>545.16575</v>
      </c>
      <c r="M1264" s="799">
        <f t="shared" si="232"/>
        <v>3.5827729761700791E-4</v>
      </c>
      <c r="N1264" s="894"/>
      <c r="O1264" s="796"/>
      <c r="P1264" s="399"/>
    </row>
    <row r="1265" spans="1:16" s="115" customFormat="1" ht="15" customHeight="1" x14ac:dyDescent="0.25">
      <c r="A1265" s="396"/>
      <c r="B1265" s="1385" t="s">
        <v>7444</v>
      </c>
      <c r="C1265" s="1385"/>
      <c r="D1265" s="1385"/>
      <c r="E1265" s="1385"/>
      <c r="F1265" s="1385"/>
      <c r="G1265" s="401"/>
      <c r="H1265" s="401"/>
      <c r="I1265" s="426"/>
      <c r="J1265" s="411"/>
      <c r="K1265" s="402">
        <f t="shared" ref="K1265:L1267" si="233">K1266</f>
        <v>42486.716974502502</v>
      </c>
      <c r="L1265" s="402">
        <f t="shared" si="233"/>
        <v>68368.990573431875</v>
      </c>
      <c r="M1265" s="451">
        <f>L1265/L$1396</f>
        <v>4.493139413738273E-2</v>
      </c>
      <c r="N1265" s="894"/>
      <c r="P1265" s="733"/>
    </row>
    <row r="1266" spans="1:16" s="721" customFormat="1" ht="15" customHeight="1" x14ac:dyDescent="0.25">
      <c r="A1266" s="396"/>
      <c r="B1266" s="1386" t="s">
        <v>7486</v>
      </c>
      <c r="C1266" s="1386"/>
      <c r="D1266" s="1386"/>
      <c r="E1266" s="1386"/>
      <c r="F1266" s="1386"/>
      <c r="G1266" s="403"/>
      <c r="H1266" s="403"/>
      <c r="I1266" s="427"/>
      <c r="J1266" s="412"/>
      <c r="K1266" s="404">
        <f t="shared" si="233"/>
        <v>42486.716974502502</v>
      </c>
      <c r="L1266" s="404">
        <f t="shared" si="233"/>
        <v>68368.990573431875</v>
      </c>
      <c r="M1266" s="799">
        <f>L1266/L$1396</f>
        <v>4.493139413738273E-2</v>
      </c>
      <c r="N1266" s="796"/>
      <c r="P1266" s="399"/>
    </row>
    <row r="1267" spans="1:16" s="721" customFormat="1" ht="15" customHeight="1" x14ac:dyDescent="0.25">
      <c r="A1267" s="396"/>
      <c r="B1267" s="1382" t="s">
        <v>7283</v>
      </c>
      <c r="C1267" s="1382"/>
      <c r="D1267" s="1382"/>
      <c r="E1267" s="1382"/>
      <c r="F1267" s="1382"/>
      <c r="G1267" s="405"/>
      <c r="H1267" s="405"/>
      <c r="I1267" s="428"/>
      <c r="J1267" s="413"/>
      <c r="K1267" s="406">
        <f t="shared" si="233"/>
        <v>42486.716974502502</v>
      </c>
      <c r="L1267" s="406">
        <f t="shared" si="233"/>
        <v>68368.990573431875</v>
      </c>
      <c r="M1267" s="453">
        <f>L1267/L$1396</f>
        <v>4.493139413738273E-2</v>
      </c>
      <c r="N1267" s="796"/>
      <c r="P1267" s="399"/>
    </row>
    <row r="1268" spans="1:16" s="721" customFormat="1" ht="15" customHeight="1" x14ac:dyDescent="0.25">
      <c r="A1268" s="396"/>
      <c r="B1268" s="1383" t="s">
        <v>7452</v>
      </c>
      <c r="C1268" s="1383"/>
      <c r="D1268" s="1383"/>
      <c r="E1268" s="1383"/>
      <c r="F1268" s="1383"/>
      <c r="G1268" s="407"/>
      <c r="H1268" s="407"/>
      <c r="I1268" s="429"/>
      <c r="J1268" s="414"/>
      <c r="K1268" s="408">
        <f>SUM(K1269:K1279)+K1282+K1284+K1286+K1287+0.01</f>
        <v>42486.716974502502</v>
      </c>
      <c r="L1268" s="408">
        <f>SUM(L1269:L1279)+L1282+L1284+L1286+L1287+0.01</f>
        <v>68368.990573431875</v>
      </c>
      <c r="M1268" s="454">
        <f>L1268/L$1396</f>
        <v>4.493139413738273E-2</v>
      </c>
      <c r="N1268" s="796"/>
      <c r="P1268" s="399"/>
    </row>
    <row r="1269" spans="1:16" s="115" customFormat="1" ht="15" customHeight="1" x14ac:dyDescent="0.25">
      <c r="A1269" s="396"/>
      <c r="B1269" s="1398" t="s">
        <v>7607</v>
      </c>
      <c r="C1269" s="1398"/>
      <c r="D1269" s="1398"/>
      <c r="E1269" s="854">
        <v>331900400000000</v>
      </c>
      <c r="F1269" s="855" t="s">
        <v>10193</v>
      </c>
      <c r="G1269" s="468">
        <v>1</v>
      </c>
      <c r="H1269" s="468">
        <v>0</v>
      </c>
      <c r="I1269" s="751"/>
      <c r="J1269" s="878" t="s">
        <v>7501</v>
      </c>
      <c r="K1269" s="789">
        <f>(('Parâmetros financeiros Despesa'!E576))</f>
        <v>0</v>
      </c>
      <c r="L1269" s="789">
        <f>(('Parâmetros financeiros Despesa'!F576)*2.05+(('Parâmetros financeiros Despesa'!F576)*11.28)*(1+'Parâmetros financeiros Despesa'!F$4)*(1+'Parâmetros financeiros Despesa'!F$8))*(1+'Parâmetros financeiros Despesa'!F$80)</f>
        <v>17.278630081629636</v>
      </c>
      <c r="M1269" s="799">
        <f>L1269/L$1396</f>
        <v>1.1355337146858926E-5</v>
      </c>
      <c r="N1269" s="894"/>
      <c r="P1269" s="733"/>
    </row>
    <row r="1270" spans="1:16" s="115" customFormat="1" ht="15" customHeight="1" x14ac:dyDescent="0.25">
      <c r="A1270" s="396"/>
      <c r="B1270" s="1398" t="s">
        <v>7608</v>
      </c>
      <c r="C1270" s="1398"/>
      <c r="D1270" s="1398"/>
      <c r="E1270" s="854">
        <v>331901100000000</v>
      </c>
      <c r="F1270" s="855" t="s">
        <v>10194</v>
      </c>
      <c r="G1270" s="468">
        <v>1</v>
      </c>
      <c r="H1270" s="468">
        <v>0</v>
      </c>
      <c r="I1270" s="751"/>
      <c r="J1270" s="878" t="s">
        <v>7501</v>
      </c>
      <c r="K1270" s="789">
        <f>('Parâmetros financeiros Despesa'!E577)</f>
        <v>31610.578712499999</v>
      </c>
      <c r="L1270" s="789">
        <f>('Parâmetros financeiros Despesa'!F577)*2.05+(('Parâmetros financeiros Despesa'!F577)*11.28)*(1+'Parâmetros financeiros Despesa'!F$4)*(1+'Parâmetros financeiros Despesa'!F$8)</f>
        <v>33094.664697844346</v>
      </c>
      <c r="M1270" s="799">
        <f t="shared" ref="M1270:M1279" si="234">L1270/L$1396</f>
        <v>2.1749471667074947E-2</v>
      </c>
      <c r="N1270" s="894"/>
      <c r="P1270" s="733"/>
    </row>
    <row r="1271" spans="1:16" s="115" customFormat="1" ht="15" customHeight="1" x14ac:dyDescent="0.25">
      <c r="A1271" s="396"/>
      <c r="B1271" s="1398" t="s">
        <v>7609</v>
      </c>
      <c r="C1271" s="1398"/>
      <c r="D1271" s="1398"/>
      <c r="E1271" s="854">
        <v>331901300000000</v>
      </c>
      <c r="F1271" s="855" t="s">
        <v>10195</v>
      </c>
      <c r="G1271" s="468">
        <v>1</v>
      </c>
      <c r="H1271" s="468">
        <v>0</v>
      </c>
      <c r="I1271" s="751"/>
      <c r="J1271" s="878" t="s">
        <v>7501</v>
      </c>
      <c r="K1271" s="789">
        <f>'Parâmetros financeiros Despesa'!E579</f>
        <v>7099.8782620024995</v>
      </c>
      <c r="L1271" s="789">
        <f>(L1270+L1272)*'Parâmetros financeiros Despesa'!F$80</f>
        <v>8378.0610247794393</v>
      </c>
      <c r="M1271" s="799">
        <f t="shared" si="234"/>
        <v>5.5059751336696359E-3</v>
      </c>
      <c r="N1271" s="894"/>
      <c r="P1271" s="733"/>
    </row>
    <row r="1272" spans="1:16" s="115" customFormat="1" ht="15" customHeight="1" x14ac:dyDescent="0.25">
      <c r="A1272" s="396"/>
      <c r="B1272" s="1398" t="s">
        <v>7610</v>
      </c>
      <c r="C1272" s="1398"/>
      <c r="D1272" s="1398"/>
      <c r="E1272" s="854">
        <v>331901600000000</v>
      </c>
      <c r="F1272" s="855" t="s">
        <v>10196</v>
      </c>
      <c r="G1272" s="468">
        <v>1</v>
      </c>
      <c r="H1272" s="468">
        <v>0</v>
      </c>
      <c r="I1272" s="751"/>
      <c r="J1272" s="878" t="s">
        <v>7501</v>
      </c>
      <c r="K1272" s="789">
        <f>('Parâmetros financeiros Despesa'!E578)</f>
        <v>0</v>
      </c>
      <c r="L1272" s="789">
        <f>('Parâmetros financeiros Despesa'!F578)*2.05+(('Parâmetros financeiros Despesa'!F578)*11.28)*(1+'Parâmetros financeiros Despesa'!F$4)*(1+'Parâmetros financeiros Despesa'!F$8)</f>
        <v>2093.3745840335591</v>
      </c>
      <c r="M1272" s="799">
        <f t="shared" si="234"/>
        <v>1.3757441454597462E-3</v>
      </c>
      <c r="N1272" s="894"/>
      <c r="P1272" s="733"/>
    </row>
    <row r="1273" spans="1:16" s="115" customFormat="1" ht="15" customHeight="1" x14ac:dyDescent="0.25">
      <c r="A1273" s="396"/>
      <c r="B1273" s="1398" t="s">
        <v>7611</v>
      </c>
      <c r="C1273" s="1398"/>
      <c r="D1273" s="1398"/>
      <c r="E1273" s="854">
        <v>333901400000000</v>
      </c>
      <c r="F1273" s="855" t="s">
        <v>10197</v>
      </c>
      <c r="G1273" s="468">
        <v>1</v>
      </c>
      <c r="H1273" s="468">
        <v>0</v>
      </c>
      <c r="I1273" s="751"/>
      <c r="J1273" s="878" t="s">
        <v>7501</v>
      </c>
      <c r="K1273" s="789">
        <f>('Parâmetros financeiros Despesa'!E580)</f>
        <v>0</v>
      </c>
      <c r="L1273" s="789">
        <f>('Parâmetros financeiros Despesa'!F580)*2+(('Parâmetros financeiros Despesa'!F580)*10)*(1+'Parâmetros financeiros Despesa'!F$4)*(1+'Parâmetros financeiros Despesa'!F$7)</f>
        <v>1561.3011150000002</v>
      </c>
      <c r="M1273" s="799">
        <f t="shared" si="234"/>
        <v>1.0260709596092957E-3</v>
      </c>
      <c r="N1273" s="894"/>
      <c r="O1273" s="796"/>
      <c r="P1273" s="733"/>
    </row>
    <row r="1274" spans="1:16" s="115" customFormat="1" ht="15" customHeight="1" x14ac:dyDescent="0.25">
      <c r="A1274" s="396"/>
      <c r="B1274" s="1396">
        <v>58500</v>
      </c>
      <c r="C1274" s="1396"/>
      <c r="D1274" s="1396"/>
      <c r="E1274" s="854">
        <v>333903000000000</v>
      </c>
      <c r="F1274" s="855" t="s">
        <v>7698</v>
      </c>
      <c r="G1274" s="468">
        <v>1</v>
      </c>
      <c r="H1274" s="468">
        <v>0</v>
      </c>
      <c r="I1274" s="751"/>
      <c r="J1274" s="878" t="s">
        <v>7501</v>
      </c>
      <c r="K1274" s="789">
        <f>('Parâmetros financeiros Despesa'!E581+'Parâmetros financeiros Despesa'!E582)</f>
        <v>3776.25</v>
      </c>
      <c r="L1274" s="789">
        <f>('Parâmetros financeiros Despesa'!F581+'Parâmetros financeiros Despesa'!F582)*(1+'Parâmetros financeiros Despesa'!F$4)*(1+'Parâmetros financeiros Despesa'!F$7)</f>
        <v>5207.6958268750004</v>
      </c>
      <c r="M1274" s="799">
        <f t="shared" si="234"/>
        <v>3.4224438854864683E-3</v>
      </c>
      <c r="N1274" s="894"/>
      <c r="O1274" s="796"/>
      <c r="P1274" s="733"/>
    </row>
    <row r="1275" spans="1:16" s="115" customFormat="1" ht="15" customHeight="1" x14ac:dyDescent="0.25">
      <c r="A1275" s="396"/>
      <c r="B1275" s="1396">
        <v>58600</v>
      </c>
      <c r="C1275" s="1396"/>
      <c r="D1275" s="1396"/>
      <c r="E1275" s="854">
        <v>333903200000000</v>
      </c>
      <c r="F1275" s="855" t="s">
        <v>7699</v>
      </c>
      <c r="G1275" s="468">
        <v>1</v>
      </c>
      <c r="H1275" s="468">
        <v>0</v>
      </c>
      <c r="I1275" s="751"/>
      <c r="J1275" s="878" t="s">
        <v>7501</v>
      </c>
      <c r="K1275" s="789">
        <f>('Parâmetros financeiros Despesa'!E583)</f>
        <v>0</v>
      </c>
      <c r="L1275" s="789">
        <f>('Parâmetros financeiros Despesa'!F583)*(1+'Parâmetros financeiros Despesa'!F$4)*(1+'Parâmetros financeiros Despesa'!F$7)</f>
        <v>3270.9945000000002</v>
      </c>
      <c r="M1275" s="799">
        <f t="shared" si="234"/>
        <v>2.1496637857020477E-3</v>
      </c>
      <c r="N1275" s="894"/>
      <c r="O1275" s="796"/>
      <c r="P1275" s="733"/>
    </row>
    <row r="1276" spans="1:16" s="115" customFormat="1" ht="15" customHeight="1" x14ac:dyDescent="0.25">
      <c r="A1276" s="396"/>
      <c r="B1276" s="995"/>
      <c r="C1276" s="995"/>
      <c r="D1276" s="995">
        <v>58680</v>
      </c>
      <c r="E1276" s="854">
        <v>333903300000000</v>
      </c>
      <c r="F1276" s="855" t="s">
        <v>10203</v>
      </c>
      <c r="G1276" s="468">
        <v>1</v>
      </c>
      <c r="H1276" s="468">
        <v>0</v>
      </c>
      <c r="I1276" s="751"/>
      <c r="J1276" s="878" t="s">
        <v>7501</v>
      </c>
      <c r="K1276" s="789">
        <f>('Parâmetros financeiros Despesa'!E584)</f>
        <v>0</v>
      </c>
      <c r="L1276" s="789">
        <f>('Parâmetros financeiros Despesa'!F584)*(1+'Parâmetros financeiros Despesa'!F$4)*(1+'Parâmetros financeiros Despesa'!F$7)</f>
        <v>545.16575</v>
      </c>
      <c r="M1276" s="799">
        <f t="shared" si="234"/>
        <v>3.5827729761700791E-4</v>
      </c>
      <c r="N1276" s="894"/>
      <c r="O1276" s="796"/>
      <c r="P1276" s="733"/>
    </row>
    <row r="1277" spans="1:16" s="115" customFormat="1" ht="15" customHeight="1" x14ac:dyDescent="0.25">
      <c r="A1277" s="396"/>
      <c r="B1277" s="994"/>
      <c r="C1277" s="994"/>
      <c r="D1277" s="994" t="s">
        <v>7612</v>
      </c>
      <c r="E1277" s="854">
        <v>333903600000000</v>
      </c>
      <c r="F1277" s="855" t="s">
        <v>7700</v>
      </c>
      <c r="G1277" s="468">
        <v>1</v>
      </c>
      <c r="H1277" s="468">
        <v>0</v>
      </c>
      <c r="I1277" s="751"/>
      <c r="J1277" s="878" t="s">
        <v>7501</v>
      </c>
      <c r="K1277" s="789">
        <f>('Parâmetros financeiros Despesa'!E585)</f>
        <v>0</v>
      </c>
      <c r="L1277" s="789">
        <f>('Parâmetros financeiros Despesa'!F585)*(1+'Parâmetros financeiros Despesa'!F$4)*(1+'Parâmetros financeiros Despesa'!F$7)</f>
        <v>2180.663</v>
      </c>
      <c r="M1277" s="799">
        <f t="shared" si="234"/>
        <v>1.4331091904680317E-3</v>
      </c>
      <c r="N1277" s="894"/>
      <c r="O1277" s="796"/>
      <c r="P1277" s="733"/>
    </row>
    <row r="1278" spans="1:16" s="115" customFormat="1" ht="15" customHeight="1" x14ac:dyDescent="0.25">
      <c r="A1278" s="396"/>
      <c r="B1278" s="1398" t="s">
        <v>7613</v>
      </c>
      <c r="C1278" s="1398"/>
      <c r="D1278" s="1398"/>
      <c r="E1278" s="854">
        <v>333903900000000</v>
      </c>
      <c r="F1278" s="855" t="s">
        <v>7701</v>
      </c>
      <c r="G1278" s="468">
        <v>1</v>
      </c>
      <c r="H1278" s="468">
        <v>0</v>
      </c>
      <c r="I1278" s="751"/>
      <c r="J1278" s="878" t="s">
        <v>7501</v>
      </c>
      <c r="K1278" s="789">
        <f>('Parâmetros financeiros Despesa'!E586+'Parâmetros financeiros Despesa'!E587)</f>
        <v>0</v>
      </c>
      <c r="L1278" s="789">
        <f>('Parâmetros financeiros Despesa'!F586+'Parâmetros financeiros Despesa'!F587)*(1+'Parâmetros financeiros Despesa'!F$4)*(1+'Parâmetros financeiros Despesa'!F$7)</f>
        <v>4361.326</v>
      </c>
      <c r="M1278" s="799">
        <f t="shared" si="234"/>
        <v>2.8662183809360633E-3</v>
      </c>
      <c r="N1278" s="894"/>
      <c r="O1278" s="796"/>
      <c r="P1278" s="733"/>
    </row>
    <row r="1279" spans="1:16" s="115" customFormat="1" ht="15" customHeight="1" x14ac:dyDescent="0.25">
      <c r="A1279" s="396"/>
      <c r="B1279" s="1398" t="s">
        <v>7615</v>
      </c>
      <c r="C1279" s="1398"/>
      <c r="D1279" s="1398"/>
      <c r="E1279" s="854">
        <v>333904700000000</v>
      </c>
      <c r="F1279" s="855" t="s">
        <v>7702</v>
      </c>
      <c r="G1279" s="468">
        <v>1</v>
      </c>
      <c r="H1279" s="468">
        <v>0</v>
      </c>
      <c r="I1279" s="751"/>
      <c r="J1279" s="878" t="s">
        <v>7501</v>
      </c>
      <c r="K1279" s="789">
        <v>0</v>
      </c>
      <c r="L1279" s="789">
        <f>(('Parâmetros financeiros Despesa'!F582+'Parâmetros financeiros Despesa'!F585+'Parâmetros financeiros Despesa'!F587)*(1+'Parâmetros financeiros Despesa'!F$4)*(1+'Parâmetros financeiros Despesa'!F$7))*('Parâmetros financeiros Despesa'!F$83)</f>
        <v>1090.3315</v>
      </c>
      <c r="M1279" s="799">
        <f t="shared" si="234"/>
        <v>7.1655459523401583E-4</v>
      </c>
      <c r="N1279" s="894"/>
      <c r="O1279" s="796"/>
      <c r="P1279" s="733"/>
    </row>
    <row r="1280" spans="1:16" s="721" customFormat="1" ht="15" customHeight="1" x14ac:dyDescent="0.25">
      <c r="A1280" s="397"/>
      <c r="B1280" s="599">
        <f>B1279+1</f>
        <v>58901</v>
      </c>
      <c r="C1280" s="600" t="s">
        <v>6062</v>
      </c>
      <c r="D1280" s="528" t="str">
        <f>B1279</f>
        <v>58900</v>
      </c>
      <c r="E1280" s="417">
        <v>333904718000000</v>
      </c>
      <c r="F1280" s="418" t="s">
        <v>5904</v>
      </c>
      <c r="G1280" s="603">
        <v>1</v>
      </c>
      <c r="H1280" s="603">
        <v>0</v>
      </c>
      <c r="I1280" s="601">
        <v>372110400000000</v>
      </c>
      <c r="J1280" s="602" t="s">
        <v>6131</v>
      </c>
      <c r="K1280" s="891">
        <v>0</v>
      </c>
      <c r="L1280" s="891">
        <v>0</v>
      </c>
      <c r="M1280" s="477">
        <f t="shared" ref="M1280:M1281" si="235">L1280/L$1396</f>
        <v>0</v>
      </c>
      <c r="N1280" s="796"/>
      <c r="P1280" s="399"/>
    </row>
    <row r="1281" spans="1:16" s="721" customFormat="1" ht="15" customHeight="1" x14ac:dyDescent="0.25">
      <c r="A1281" s="397"/>
      <c r="B1281" s="599">
        <f>B1280+1</f>
        <v>58902</v>
      </c>
      <c r="C1281" s="600" t="s">
        <v>6062</v>
      </c>
      <c r="D1281" s="528">
        <v>58900</v>
      </c>
      <c r="E1281" s="417">
        <v>333904720000000</v>
      </c>
      <c r="F1281" s="418" t="s">
        <v>5905</v>
      </c>
      <c r="G1281" s="603">
        <v>1</v>
      </c>
      <c r="H1281" s="603">
        <v>0</v>
      </c>
      <c r="I1281" s="601">
        <v>372110500000000</v>
      </c>
      <c r="J1281" s="602" t="s">
        <v>6160</v>
      </c>
      <c r="K1281" s="891">
        <v>0</v>
      </c>
      <c r="L1281" s="891">
        <v>0</v>
      </c>
      <c r="M1281" s="477">
        <f t="shared" si="235"/>
        <v>0</v>
      </c>
      <c r="N1281" s="796"/>
      <c r="P1281" s="399"/>
    </row>
    <row r="1282" spans="1:16" s="115" customFormat="1" ht="15" customHeight="1" x14ac:dyDescent="0.25">
      <c r="A1282" s="396"/>
      <c r="B1282" s="1398" t="s">
        <v>7616</v>
      </c>
      <c r="C1282" s="1398"/>
      <c r="D1282" s="1398"/>
      <c r="E1282" s="854">
        <v>333904900000000</v>
      </c>
      <c r="F1282" s="855" t="s">
        <v>10198</v>
      </c>
      <c r="G1282" s="468">
        <v>1</v>
      </c>
      <c r="H1282" s="468">
        <v>0</v>
      </c>
      <c r="I1282" s="751"/>
      <c r="J1282" s="878" t="s">
        <v>7501</v>
      </c>
      <c r="K1282" s="789">
        <f>('Parâmetros financeiros Despesa'!E588)</f>
        <v>0</v>
      </c>
      <c r="L1282" s="789">
        <f>('Parâmetros financeiros Despesa'!F588)*2.05+(('Parâmetros financeiros Despesa'!F588)*11.28)*(1+'Parâmetros financeiros Despesa'!F$4)*(1+'Parâmetros financeiros Despesa'!F$8)</f>
        <v>1116.4664448178983</v>
      </c>
      <c r="M1282" s="799">
        <f>L1282/L$1396</f>
        <v>7.3373021091186462E-4</v>
      </c>
      <c r="N1282" s="894"/>
      <c r="O1282" s="796"/>
      <c r="P1282" s="733"/>
    </row>
    <row r="1283" spans="1:16" s="721" customFormat="1" ht="15" customHeight="1" x14ac:dyDescent="0.25">
      <c r="A1283" s="397"/>
      <c r="B1283" s="599">
        <f>B1282+1</f>
        <v>59001</v>
      </c>
      <c r="C1283" s="600" t="s">
        <v>6062</v>
      </c>
      <c r="D1283" s="528" t="str">
        <f>B1282</f>
        <v>59000</v>
      </c>
      <c r="E1283" s="417">
        <v>333904901000000</v>
      </c>
      <c r="F1283" s="418" t="s">
        <v>6042</v>
      </c>
      <c r="G1283" s="603">
        <v>1</v>
      </c>
      <c r="H1283" s="603">
        <v>0</v>
      </c>
      <c r="I1283" s="601">
        <v>313110200000000</v>
      </c>
      <c r="J1283" s="602" t="s">
        <v>6163</v>
      </c>
      <c r="K1283" s="891">
        <v>0</v>
      </c>
      <c r="L1283" s="891">
        <v>0</v>
      </c>
      <c r="M1283" s="477">
        <f>L1283/L$1396</f>
        <v>0</v>
      </c>
      <c r="N1283" s="796"/>
      <c r="P1283" s="399"/>
    </row>
    <row r="1284" spans="1:16" s="115" customFormat="1" ht="15" customHeight="1" x14ac:dyDescent="0.25">
      <c r="A1284" s="396"/>
      <c r="B1284" s="1398" t="s">
        <v>7617</v>
      </c>
      <c r="C1284" s="1398"/>
      <c r="D1284" s="1398"/>
      <c r="E1284" s="854">
        <v>333909300000000</v>
      </c>
      <c r="F1284" s="855" t="s">
        <v>7703</v>
      </c>
      <c r="G1284" s="468">
        <v>1</v>
      </c>
      <c r="H1284" s="468">
        <v>0</v>
      </c>
      <c r="I1284" s="751"/>
      <c r="J1284" s="878" t="s">
        <v>7501</v>
      </c>
      <c r="K1284" s="789">
        <f>('Parâmetros financeiros Despesa'!E589)</f>
        <v>0</v>
      </c>
      <c r="L1284" s="789">
        <f>('Parâmetros financeiros Despesa'!F589)*(1+'Parâmetros financeiros Despesa'!F$4)*(1+'Parâmetros financeiros Despesa'!F$7)</f>
        <v>1090.3315</v>
      </c>
      <c r="M1284" s="799">
        <f>L1284/L$1396</f>
        <v>7.1655459523401583E-4</v>
      </c>
      <c r="N1284" s="894"/>
      <c r="O1284" s="796"/>
      <c r="P1284" s="733"/>
    </row>
    <row r="1285" spans="1:16" s="721" customFormat="1" ht="15" customHeight="1" x14ac:dyDescent="0.25">
      <c r="A1285" s="397"/>
      <c r="B1285" s="599">
        <f>B1284+1</f>
        <v>59101</v>
      </c>
      <c r="C1285" s="600" t="s">
        <v>6062</v>
      </c>
      <c r="D1285" s="528" t="str">
        <f>B1284</f>
        <v>59100</v>
      </c>
      <c r="E1285" s="417">
        <v>333909399000000</v>
      </c>
      <c r="F1285" s="418" t="s">
        <v>1038</v>
      </c>
      <c r="G1285" s="603">
        <v>1</v>
      </c>
      <c r="H1285" s="603">
        <v>0</v>
      </c>
      <c r="I1285" s="601">
        <v>399910300000000</v>
      </c>
      <c r="J1285" s="602" t="s">
        <v>6164</v>
      </c>
      <c r="K1285" s="891">
        <v>0</v>
      </c>
      <c r="L1285" s="891">
        <v>0</v>
      </c>
      <c r="M1285" s="477">
        <f>L1285/L$1396</f>
        <v>0</v>
      </c>
      <c r="N1285" s="796"/>
      <c r="P1285" s="399"/>
    </row>
    <row r="1286" spans="1:16" s="115" customFormat="1" ht="15" customHeight="1" x14ac:dyDescent="0.25">
      <c r="A1286" s="396"/>
      <c r="B1286" s="1398" t="s">
        <v>7618</v>
      </c>
      <c r="C1286" s="1398"/>
      <c r="D1286" s="1398"/>
      <c r="E1286" s="854">
        <v>333933000000000</v>
      </c>
      <c r="F1286" s="855" t="s">
        <v>7704</v>
      </c>
      <c r="G1286" s="468">
        <v>1</v>
      </c>
      <c r="H1286" s="468">
        <v>0</v>
      </c>
      <c r="I1286" s="751"/>
      <c r="J1286" s="878" t="s">
        <v>6197</v>
      </c>
      <c r="K1286" s="789">
        <f>('Parâmetros financeiros Despesa'!E590)</f>
        <v>0</v>
      </c>
      <c r="L1286" s="789">
        <f>('Parâmetros financeiros Despesa'!F590)*(1+'Parâmetros financeiros Despesa'!F$4)*(1+'Parâmetros financeiros Despesa'!F$7)</f>
        <v>1635.4972500000001</v>
      </c>
      <c r="M1286" s="799">
        <f t="shared" ref="M1286:M1287" si="236">L1286/L$1396</f>
        <v>1.0748318928510239E-3</v>
      </c>
      <c r="N1286" s="894"/>
      <c r="O1286" s="796"/>
      <c r="P1286" s="733"/>
    </row>
    <row r="1287" spans="1:16" s="115" customFormat="1" ht="15" customHeight="1" x14ac:dyDescent="0.25">
      <c r="A1287" s="396"/>
      <c r="B1287" s="1398" t="s">
        <v>7619</v>
      </c>
      <c r="C1287" s="1398"/>
      <c r="D1287" s="1398"/>
      <c r="E1287" s="854">
        <v>344905200000000</v>
      </c>
      <c r="F1287" s="855" t="s">
        <v>7705</v>
      </c>
      <c r="G1287" s="468">
        <v>1</v>
      </c>
      <c r="H1287" s="468">
        <v>0</v>
      </c>
      <c r="I1287" s="751"/>
      <c r="J1287" s="878" t="s">
        <v>7501</v>
      </c>
      <c r="K1287" s="789">
        <f>('Parâmetros financeiros Despesa'!E591)</f>
        <v>0</v>
      </c>
      <c r="L1287" s="789">
        <f>('Parâmetros financeiros Despesa'!F591)*(1+'Parâmetros financeiros Despesa'!F$4)*(1+'Parâmetros financeiros Despesa'!F$7)</f>
        <v>2725.8287500000001</v>
      </c>
      <c r="M1287" s="799">
        <f t="shared" si="236"/>
        <v>1.7913864880850397E-3</v>
      </c>
      <c r="N1287" s="894"/>
      <c r="O1287" s="796"/>
      <c r="P1287" s="733"/>
    </row>
    <row r="1288" spans="1:16" s="115" customFormat="1" ht="15" customHeight="1" x14ac:dyDescent="0.25">
      <c r="A1288" s="396"/>
      <c r="B1288" s="1385" t="s">
        <v>7444</v>
      </c>
      <c r="C1288" s="1385"/>
      <c r="D1288" s="1385"/>
      <c r="E1288" s="1385"/>
      <c r="F1288" s="1385"/>
      <c r="G1288" s="401"/>
      <c r="H1288" s="401"/>
      <c r="I1288" s="426"/>
      <c r="J1288" s="411"/>
      <c r="K1288" s="402">
        <f t="shared" ref="K1288:L1290" si="237">K1289</f>
        <v>150587.88166002001</v>
      </c>
      <c r="L1288" s="402">
        <f t="shared" si="237"/>
        <v>239763.5803504939</v>
      </c>
      <c r="M1288" s="451">
        <f>L1288/L$1396</f>
        <v>0.1575701474917551</v>
      </c>
      <c r="N1288" s="894"/>
      <c r="P1288" s="733"/>
    </row>
    <row r="1289" spans="1:16" s="786" customFormat="1" ht="15" customHeight="1" x14ac:dyDescent="0.25">
      <c r="A1289" s="396"/>
      <c r="B1289" s="1386" t="s">
        <v>10192</v>
      </c>
      <c r="C1289" s="1386"/>
      <c r="D1289" s="1386"/>
      <c r="E1289" s="1386"/>
      <c r="F1289" s="1386"/>
      <c r="G1289" s="403"/>
      <c r="H1289" s="403"/>
      <c r="I1289" s="427"/>
      <c r="J1289" s="412"/>
      <c r="K1289" s="404">
        <f t="shared" si="237"/>
        <v>150587.88166002001</v>
      </c>
      <c r="L1289" s="404">
        <f t="shared" si="237"/>
        <v>239763.5803504939</v>
      </c>
      <c r="M1289" s="799">
        <f>L1289/L$1396</f>
        <v>0.1575701474917551</v>
      </c>
      <c r="N1289" s="796"/>
      <c r="P1289" s="399"/>
    </row>
    <row r="1290" spans="1:16" s="786" customFormat="1" ht="15" customHeight="1" x14ac:dyDescent="0.25">
      <c r="A1290" s="396"/>
      <c r="B1290" s="1382" t="s">
        <v>7283</v>
      </c>
      <c r="C1290" s="1382"/>
      <c r="D1290" s="1382"/>
      <c r="E1290" s="1382"/>
      <c r="F1290" s="1382"/>
      <c r="G1290" s="405"/>
      <c r="H1290" s="405"/>
      <c r="I1290" s="428"/>
      <c r="J1290" s="413"/>
      <c r="K1290" s="406">
        <f t="shared" si="237"/>
        <v>150587.88166002001</v>
      </c>
      <c r="L1290" s="406">
        <f t="shared" si="237"/>
        <v>239763.5803504939</v>
      </c>
      <c r="M1290" s="453">
        <f>L1290/L$1396</f>
        <v>0.1575701474917551</v>
      </c>
      <c r="N1290" s="796"/>
    </row>
    <row r="1291" spans="1:16" s="786" customFormat="1" ht="15" customHeight="1" x14ac:dyDescent="0.25">
      <c r="A1291" s="396"/>
      <c r="B1291" s="1383" t="s">
        <v>7452</v>
      </c>
      <c r="C1291" s="1383"/>
      <c r="D1291" s="1383"/>
      <c r="E1291" s="1383"/>
      <c r="F1291" s="1383"/>
      <c r="G1291" s="407"/>
      <c r="H1291" s="407"/>
      <c r="I1291" s="429"/>
      <c r="J1291" s="414"/>
      <c r="K1291" s="408">
        <f>SUM(K1292:K1302)+K1305+K1307+K1309+K1310+K1311+0.03</f>
        <v>150587.88166002001</v>
      </c>
      <c r="L1291" s="408">
        <f>SUM(L1292:L1302)+L1305+L1307+L1309+L1310+L1311+0.01</f>
        <v>239763.5803504939</v>
      </c>
      <c r="M1291" s="454">
        <f>L1291/L$1396</f>
        <v>0.1575701474917551</v>
      </c>
      <c r="N1291" s="796"/>
    </row>
    <row r="1292" spans="1:16" s="115" customFormat="1" ht="15" customHeight="1" x14ac:dyDescent="0.25">
      <c r="A1292" s="396"/>
      <c r="B1292" s="1398" t="s">
        <v>10180</v>
      </c>
      <c r="C1292" s="1398"/>
      <c r="D1292" s="1398"/>
      <c r="E1292" s="854">
        <v>331900400000000</v>
      </c>
      <c r="F1292" s="855" t="s">
        <v>10179</v>
      </c>
      <c r="G1292" s="468">
        <v>1</v>
      </c>
      <c r="H1292" s="468">
        <v>0</v>
      </c>
      <c r="I1292" s="751"/>
      <c r="J1292" s="878" t="s">
        <v>7501</v>
      </c>
      <c r="K1292" s="789">
        <f>(('Parâmetros financeiros Despesa'!E593))</f>
        <v>19286.477175</v>
      </c>
      <c r="L1292" s="789">
        <f>(('Parâmetros financeiros Despesa'!F593)*2.05+(('Parâmetros financeiros Despesa'!F593)*11.28)*(1+'Parâmetros financeiros Despesa'!F$4)*(1+'Parâmetros financeiros Despesa'!F$8))*(1+'Parâmetros financeiros Despesa'!F$80)</f>
        <v>25055.932683054009</v>
      </c>
      <c r="M1292" s="799">
        <f>L1292/L$1396</f>
        <v>1.6466500052430395E-2</v>
      </c>
      <c r="N1292" s="894"/>
    </row>
    <row r="1293" spans="1:16" s="115" customFormat="1" ht="15" customHeight="1" x14ac:dyDescent="0.25">
      <c r="A1293" s="396"/>
      <c r="B1293" s="1398" t="s">
        <v>10181</v>
      </c>
      <c r="C1293" s="1398"/>
      <c r="D1293" s="1398"/>
      <c r="E1293" s="854">
        <v>331901100000000</v>
      </c>
      <c r="F1293" s="855" t="s">
        <v>10199</v>
      </c>
      <c r="G1293" s="468">
        <v>1</v>
      </c>
      <c r="H1293" s="468">
        <v>0</v>
      </c>
      <c r="I1293" s="751"/>
      <c r="J1293" s="878" t="s">
        <v>7501</v>
      </c>
      <c r="K1293" s="789">
        <f>('Parâmetros financeiros Despesa'!E594)</f>
        <v>75329.529575000008</v>
      </c>
      <c r="L1293" s="789">
        <f>('Parâmetros financeiros Despesa'!F594)*2.05+(('Parâmetros financeiros Despesa'!F594)*11.28)*(1+'Parâmetros financeiros Despesa'!F$4)*(1+'Parâmetros financeiros Despesa'!F$8)</f>
        <v>78866.177864220721</v>
      </c>
      <c r="M1293" s="799">
        <f t="shared" ref="M1293:M1304" si="238">L1293/L$1396</f>
        <v>5.1830037155810485E-2</v>
      </c>
      <c r="N1293" s="894"/>
    </row>
    <row r="1294" spans="1:16" s="115" customFormat="1" ht="15" customHeight="1" x14ac:dyDescent="0.25">
      <c r="A1294" s="396"/>
      <c r="B1294" s="1398" t="s">
        <v>10182</v>
      </c>
      <c r="C1294" s="1398"/>
      <c r="D1294" s="1398"/>
      <c r="E1294" s="854">
        <v>331901300000000</v>
      </c>
      <c r="F1294" s="855" t="s">
        <v>10178</v>
      </c>
      <c r="G1294" s="468">
        <v>1</v>
      </c>
      <c r="H1294" s="468">
        <v>0</v>
      </c>
      <c r="I1294" s="751"/>
      <c r="J1294" s="878" t="s">
        <v>7501</v>
      </c>
      <c r="K1294" s="789">
        <f>'Parâmetros financeiros Despesa'!E596</f>
        <v>21981.92120501</v>
      </c>
      <c r="L1294" s="789">
        <f>(L1293+L1295)*'Parâmetros financeiros Despesa'!F$80</f>
        <v>22100.363273809675</v>
      </c>
      <c r="M1294" s="799">
        <f t="shared" si="238"/>
        <v>1.4524130377036159E-2</v>
      </c>
      <c r="N1294" s="894"/>
    </row>
    <row r="1295" spans="1:16" s="115" customFormat="1" ht="15" customHeight="1" x14ac:dyDescent="0.25">
      <c r="A1295" s="396"/>
      <c r="B1295" s="1398" t="s">
        <v>10183</v>
      </c>
      <c r="C1295" s="1398"/>
      <c r="D1295" s="1398"/>
      <c r="E1295" s="854">
        <v>331901600000000</v>
      </c>
      <c r="F1295" s="855" t="s">
        <v>10177</v>
      </c>
      <c r="G1295" s="468">
        <v>1</v>
      </c>
      <c r="H1295" s="468">
        <v>0</v>
      </c>
      <c r="I1295" s="751"/>
      <c r="J1295" s="878" t="s">
        <v>7501</v>
      </c>
      <c r="K1295" s="789">
        <f>('Parâmetros financeiros Despesa'!E595)*2.05+(('Parâmetros financeiros Despesa'!E595))</f>
        <v>12008.002499999999</v>
      </c>
      <c r="L1295" s="789">
        <f>('Parâmetros financeiros Despesa'!F595)*2.05+(('Parâmetros financeiros Despesa'!F595)*11.28)*(1+'Parâmetros financeiros Despesa'!F$4)*(1+'Parâmetros financeiros Despesa'!F$8)</f>
        <v>13955.830560223727</v>
      </c>
      <c r="M1295" s="799">
        <f t="shared" si="238"/>
        <v>9.1716276363983072E-3</v>
      </c>
      <c r="N1295" s="894"/>
    </row>
    <row r="1296" spans="1:16" s="115" customFormat="1" ht="15" customHeight="1" x14ac:dyDescent="0.25">
      <c r="A1296" s="396"/>
      <c r="B1296" s="1398" t="s">
        <v>10184</v>
      </c>
      <c r="C1296" s="1398"/>
      <c r="D1296" s="1398"/>
      <c r="E1296" s="854">
        <v>333901400000000</v>
      </c>
      <c r="F1296" s="855" t="s">
        <v>10200</v>
      </c>
      <c r="G1296" s="468">
        <v>1</v>
      </c>
      <c r="H1296" s="468">
        <v>0</v>
      </c>
      <c r="I1296" s="751"/>
      <c r="J1296" s="878" t="s">
        <v>7501</v>
      </c>
      <c r="K1296" s="789">
        <f>('Parâmetros financeiros Despesa'!E596)</f>
        <v>21981.92120501</v>
      </c>
      <c r="L1296" s="789">
        <f>('Parâmetros financeiros Despesa'!F596)*2+(('Parâmetros financeiros Despesa'!F596)*10)*(1+'Parâmetros financeiros Despesa'!F$4)*(1+'Parâmetros financeiros Despesa'!F$7)</f>
        <v>23636.637801118632</v>
      </c>
      <c r="M1296" s="799">
        <f t="shared" si="238"/>
        <v>1.5533754121818547E-2</v>
      </c>
      <c r="N1296" s="894"/>
      <c r="O1296" s="796"/>
    </row>
    <row r="1297" spans="1:16" s="115" customFormat="1" ht="15" customHeight="1" x14ac:dyDescent="0.25">
      <c r="A1297" s="396"/>
      <c r="B1297" s="1396">
        <v>60500</v>
      </c>
      <c r="C1297" s="1396"/>
      <c r="D1297" s="1396"/>
      <c r="E1297" s="854">
        <v>333903000000000</v>
      </c>
      <c r="F1297" s="855" t="s">
        <v>10169</v>
      </c>
      <c r="G1297" s="468">
        <v>1</v>
      </c>
      <c r="H1297" s="468">
        <v>0</v>
      </c>
      <c r="I1297" s="751"/>
      <c r="J1297" s="878" t="s">
        <v>7501</v>
      </c>
      <c r="K1297" s="789">
        <f>('Parâmetros financeiros Despesa'!E598+'Parâmetros financeiros Despesa'!E599)</f>
        <v>0</v>
      </c>
      <c r="L1297" s="789">
        <f>('Parâmetros financeiros Despesa'!F598+'Parâmetros financeiros Despesa'!F599)*(1+'Parâmetros financeiros Despesa'!F$4)*(1+'Parâmetros financeiros Despesa'!F$7)</f>
        <v>25077.624500000002</v>
      </c>
      <c r="M1297" s="799">
        <f t="shared" si="238"/>
        <v>1.6480755690382366E-2</v>
      </c>
      <c r="N1297" s="894"/>
      <c r="O1297" s="796"/>
    </row>
    <row r="1298" spans="1:16" s="115" customFormat="1" ht="15" customHeight="1" x14ac:dyDescent="0.25">
      <c r="A1298" s="396"/>
      <c r="B1298" s="1396">
        <v>60600</v>
      </c>
      <c r="C1298" s="1396"/>
      <c r="D1298" s="1396"/>
      <c r="E1298" s="854">
        <v>333903200000000</v>
      </c>
      <c r="F1298" s="855" t="s">
        <v>10170</v>
      </c>
      <c r="G1298" s="468">
        <v>1</v>
      </c>
      <c r="H1298" s="468">
        <v>0</v>
      </c>
      <c r="I1298" s="751"/>
      <c r="J1298" s="878" t="s">
        <v>7501</v>
      </c>
      <c r="K1298" s="789">
        <f>('Parâmetros financeiros Despesa'!E600)</f>
        <v>0</v>
      </c>
      <c r="L1298" s="789">
        <f>('Parâmetros financeiros Despesa'!F600)*(1+'Parâmetros financeiros Despesa'!F$4)*(1+'Parâmetros financeiros Despesa'!F$7)</f>
        <v>2180.663</v>
      </c>
      <c r="M1298" s="799">
        <f t="shared" si="238"/>
        <v>1.4331091904680317E-3</v>
      </c>
      <c r="N1298" s="894"/>
      <c r="O1298" s="796"/>
    </row>
    <row r="1299" spans="1:16" s="115" customFormat="1" ht="15" customHeight="1" x14ac:dyDescent="0.25">
      <c r="A1299" s="396"/>
      <c r="B1299" s="995"/>
      <c r="C1299" s="995"/>
      <c r="D1299" s="995">
        <v>60680</v>
      </c>
      <c r="E1299" s="854">
        <v>333903300000000</v>
      </c>
      <c r="F1299" s="855" t="s">
        <v>10202</v>
      </c>
      <c r="G1299" s="468">
        <v>1</v>
      </c>
      <c r="H1299" s="468">
        <v>0</v>
      </c>
      <c r="I1299" s="751"/>
      <c r="J1299" s="878" t="s">
        <v>7501</v>
      </c>
      <c r="K1299" s="789">
        <f>('Parâmetros financeiros Despesa'!E601)</f>
        <v>0</v>
      </c>
      <c r="L1299" s="789">
        <f>('Parâmetros financeiros Despesa'!F601)*(1+'Parâmetros financeiros Despesa'!F$4)*(1+'Parâmetros financeiros Despesa'!F$7)</f>
        <v>1635.4972500000001</v>
      </c>
      <c r="M1299" s="799">
        <f t="shared" si="238"/>
        <v>1.0748318928510239E-3</v>
      </c>
      <c r="N1299" s="894"/>
      <c r="O1299" s="796"/>
    </row>
    <row r="1300" spans="1:16" s="115" customFormat="1" ht="15" customHeight="1" x14ac:dyDescent="0.25">
      <c r="A1300" s="396"/>
      <c r="B1300" s="994"/>
      <c r="C1300" s="994"/>
      <c r="D1300" s="994" t="s">
        <v>10185</v>
      </c>
      <c r="E1300" s="854">
        <v>333903600000000</v>
      </c>
      <c r="F1300" s="855" t="s">
        <v>10171</v>
      </c>
      <c r="G1300" s="468">
        <v>1</v>
      </c>
      <c r="H1300" s="468">
        <v>0</v>
      </c>
      <c r="I1300" s="751"/>
      <c r="J1300" s="878" t="s">
        <v>7501</v>
      </c>
      <c r="K1300" s="789">
        <f>('Parâmetros financeiros Despesa'!E602)</f>
        <v>0</v>
      </c>
      <c r="L1300" s="789">
        <f>('Parâmetros financeiros Despesa'!F602)*(1+'Parâmetros financeiros Despesa'!F$4)*(1+'Parâmetros financeiros Despesa'!F$7)</f>
        <v>16354.9725</v>
      </c>
      <c r="M1300" s="799">
        <f t="shared" si="238"/>
        <v>1.0748318928510237E-2</v>
      </c>
      <c r="N1300" s="894"/>
      <c r="O1300" s="796"/>
    </row>
    <row r="1301" spans="1:16" s="115" customFormat="1" ht="15" customHeight="1" x14ac:dyDescent="0.25">
      <c r="A1301" s="396"/>
      <c r="B1301" s="1398" t="s">
        <v>10186</v>
      </c>
      <c r="C1301" s="1398"/>
      <c r="D1301" s="1398"/>
      <c r="E1301" s="854">
        <v>333903900000000</v>
      </c>
      <c r="F1301" s="855" t="s">
        <v>10172</v>
      </c>
      <c r="G1301" s="468">
        <v>1</v>
      </c>
      <c r="H1301" s="468">
        <v>0</v>
      </c>
      <c r="I1301" s="751"/>
      <c r="J1301" s="878" t="s">
        <v>7501</v>
      </c>
      <c r="K1301" s="789">
        <f>('Parâmetros financeiros Despesa'!E603+'Parâmetros financeiros Despesa'!E604)</f>
        <v>0</v>
      </c>
      <c r="L1301" s="789">
        <f>('Parâmetros financeiros Despesa'!F603+'Parâmetros financeiros Despesa'!F604)*(1+'Parâmetros financeiros Despesa'!F$4)*(1+'Parâmetros financeiros Despesa'!F$7)</f>
        <v>4361.326</v>
      </c>
      <c r="M1301" s="799">
        <f t="shared" si="238"/>
        <v>2.8662183809360633E-3</v>
      </c>
      <c r="N1301" s="894"/>
      <c r="O1301" s="796"/>
    </row>
    <row r="1302" spans="1:16" s="115" customFormat="1" ht="15" customHeight="1" x14ac:dyDescent="0.25">
      <c r="A1302" s="396"/>
      <c r="B1302" s="1398" t="s">
        <v>10187</v>
      </c>
      <c r="C1302" s="1398"/>
      <c r="D1302" s="1398"/>
      <c r="E1302" s="854">
        <v>333904700000000</v>
      </c>
      <c r="F1302" s="855" t="s">
        <v>10173</v>
      </c>
      <c r="G1302" s="468">
        <v>1</v>
      </c>
      <c r="H1302" s="468">
        <v>0</v>
      </c>
      <c r="I1302" s="751"/>
      <c r="J1302" s="878" t="s">
        <v>7501</v>
      </c>
      <c r="K1302" s="789">
        <f>(('Parâmetros financeiros Despesa'!E599+'Parâmetros financeiros Despesa'!E602+'Parâmetros financeiros Despesa'!E604))</f>
        <v>0</v>
      </c>
      <c r="L1302" s="789">
        <f>(('Parâmetros financeiros Despesa'!F599+'Parâmetros financeiros Despesa'!F602+'Parâmetros financeiros Despesa'!F604)*(1+'Parâmetros financeiros Despesa'!F$4)*(1+'Parâmetros financeiros Despesa'!F$7))*('Parâmetros financeiros Despesa'!F$83)</f>
        <v>4361.326</v>
      </c>
      <c r="M1302" s="799">
        <f t="shared" si="238"/>
        <v>2.8662183809360633E-3</v>
      </c>
      <c r="N1302" s="894"/>
      <c r="O1302" s="796"/>
      <c r="P1302" s="733"/>
    </row>
    <row r="1303" spans="1:16" s="786" customFormat="1" ht="15" customHeight="1" x14ac:dyDescent="0.25">
      <c r="A1303" s="397"/>
      <c r="B1303" s="599">
        <f>B1302+1</f>
        <v>60901</v>
      </c>
      <c r="C1303" s="600" t="s">
        <v>6062</v>
      </c>
      <c r="D1303" s="528" t="str">
        <f>B1302</f>
        <v>60900</v>
      </c>
      <c r="E1303" s="417">
        <v>333904718000000</v>
      </c>
      <c r="F1303" s="418" t="s">
        <v>5904</v>
      </c>
      <c r="G1303" s="603">
        <v>1</v>
      </c>
      <c r="H1303" s="603">
        <v>0</v>
      </c>
      <c r="I1303" s="601">
        <v>372110400000000</v>
      </c>
      <c r="J1303" s="602" t="s">
        <v>6131</v>
      </c>
      <c r="K1303" s="891">
        <v>0</v>
      </c>
      <c r="L1303" s="891">
        <v>0</v>
      </c>
      <c r="M1303" s="477">
        <f t="shared" si="238"/>
        <v>0</v>
      </c>
      <c r="N1303" s="796"/>
      <c r="P1303" s="399"/>
    </row>
    <row r="1304" spans="1:16" s="786" customFormat="1" ht="15" customHeight="1" x14ac:dyDescent="0.25">
      <c r="A1304" s="397"/>
      <c r="B1304" s="599">
        <f>B1303+1</f>
        <v>60902</v>
      </c>
      <c r="C1304" s="600" t="s">
        <v>6062</v>
      </c>
      <c r="D1304" s="528">
        <v>60900</v>
      </c>
      <c r="E1304" s="417">
        <v>333904720000000</v>
      </c>
      <c r="F1304" s="418" t="s">
        <v>5905</v>
      </c>
      <c r="G1304" s="603">
        <v>1</v>
      </c>
      <c r="H1304" s="603">
        <v>0</v>
      </c>
      <c r="I1304" s="601">
        <v>372110500000000</v>
      </c>
      <c r="J1304" s="602" t="s">
        <v>6160</v>
      </c>
      <c r="K1304" s="891">
        <v>0</v>
      </c>
      <c r="L1304" s="891">
        <v>0</v>
      </c>
      <c r="M1304" s="477">
        <f t="shared" si="238"/>
        <v>0</v>
      </c>
      <c r="N1304" s="796"/>
      <c r="P1304" s="399"/>
    </row>
    <row r="1305" spans="1:16" s="115" customFormat="1" ht="15" customHeight="1" x14ac:dyDescent="0.25">
      <c r="A1305" s="396"/>
      <c r="B1305" s="1398" t="s">
        <v>10188</v>
      </c>
      <c r="C1305" s="1398"/>
      <c r="D1305" s="1398"/>
      <c r="E1305" s="854">
        <v>333904900000000</v>
      </c>
      <c r="F1305" s="855" t="s">
        <v>10201</v>
      </c>
      <c r="G1305" s="468">
        <v>1</v>
      </c>
      <c r="H1305" s="468">
        <v>0</v>
      </c>
      <c r="I1305" s="751"/>
      <c r="J1305" s="878" t="s">
        <v>7501</v>
      </c>
      <c r="K1305" s="789">
        <f>('Parâmetros financeiros Despesa'!E605)</f>
        <v>0</v>
      </c>
      <c r="L1305" s="789">
        <f>('Parâmetros financeiros Despesa'!F605)*2.05+(('Parâmetros financeiros Despesa'!F605)*11.28)*(1+'Parâmetros financeiros Despesa'!F$4)*(1+'Parâmetros financeiros Despesa'!F$8)</f>
        <v>4186.7491680671183</v>
      </c>
      <c r="M1305" s="799">
        <f>L1305/L$1396</f>
        <v>2.7514882909194923E-3</v>
      </c>
      <c r="N1305" s="894"/>
      <c r="O1305" s="796"/>
      <c r="P1305" s="733"/>
    </row>
    <row r="1306" spans="1:16" s="786" customFormat="1" ht="15" customHeight="1" x14ac:dyDescent="0.25">
      <c r="A1306" s="397"/>
      <c r="B1306" s="599">
        <f>B1305+1</f>
        <v>61001</v>
      </c>
      <c r="C1306" s="600" t="s">
        <v>6062</v>
      </c>
      <c r="D1306" s="528" t="str">
        <f>B1305</f>
        <v>61000</v>
      </c>
      <c r="E1306" s="417">
        <v>333904901000000</v>
      </c>
      <c r="F1306" s="418" t="s">
        <v>6042</v>
      </c>
      <c r="G1306" s="603">
        <v>1</v>
      </c>
      <c r="H1306" s="603">
        <v>0</v>
      </c>
      <c r="I1306" s="601">
        <v>313110200000000</v>
      </c>
      <c r="J1306" s="602" t="s">
        <v>6163</v>
      </c>
      <c r="K1306" s="891">
        <v>0</v>
      </c>
      <c r="L1306" s="891">
        <v>0</v>
      </c>
      <c r="M1306" s="477">
        <f>L1306/L$1396</f>
        <v>0</v>
      </c>
      <c r="N1306" s="796"/>
      <c r="P1306" s="399"/>
    </row>
    <row r="1307" spans="1:16" s="115" customFormat="1" ht="15" customHeight="1" x14ac:dyDescent="0.25">
      <c r="A1307" s="396"/>
      <c r="B1307" s="1398" t="s">
        <v>10189</v>
      </c>
      <c r="C1307" s="1398"/>
      <c r="D1307" s="1398"/>
      <c r="E1307" s="854">
        <v>333909300000000</v>
      </c>
      <c r="F1307" s="855" t="s">
        <v>10174</v>
      </c>
      <c r="G1307" s="468">
        <v>1</v>
      </c>
      <c r="H1307" s="468">
        <v>0</v>
      </c>
      <c r="I1307" s="751"/>
      <c r="J1307" s="878" t="s">
        <v>7501</v>
      </c>
      <c r="K1307" s="789">
        <f>('Parâmetros financeiros Despesa'!E606)</f>
        <v>0</v>
      </c>
      <c r="L1307" s="789">
        <f>('Parâmetros financeiros Despesa'!F606)*(1+'Parâmetros financeiros Despesa'!F$4)*(1+'Parâmetros financeiros Despesa'!F$7)</f>
        <v>1635.4972500000001</v>
      </c>
      <c r="M1307" s="799">
        <f>L1307/L$1396</f>
        <v>1.0748318928510239E-3</v>
      </c>
      <c r="N1307" s="894"/>
      <c r="O1307" s="796"/>
      <c r="P1307" s="733"/>
    </row>
    <row r="1308" spans="1:16" s="786" customFormat="1" ht="15" customHeight="1" x14ac:dyDescent="0.25">
      <c r="A1308" s="397"/>
      <c r="B1308" s="599">
        <f>B1307+1</f>
        <v>61101</v>
      </c>
      <c r="C1308" s="600" t="s">
        <v>6062</v>
      </c>
      <c r="D1308" s="528" t="str">
        <f>B1307</f>
        <v>61100</v>
      </c>
      <c r="E1308" s="417">
        <v>333909399000000</v>
      </c>
      <c r="F1308" s="418" t="s">
        <v>1038</v>
      </c>
      <c r="G1308" s="603">
        <v>1</v>
      </c>
      <c r="H1308" s="603">
        <v>0</v>
      </c>
      <c r="I1308" s="601">
        <v>399910300000000</v>
      </c>
      <c r="J1308" s="602" t="s">
        <v>6164</v>
      </c>
      <c r="K1308" s="891">
        <v>0</v>
      </c>
      <c r="L1308" s="891">
        <v>0</v>
      </c>
      <c r="M1308" s="477">
        <f>L1308/L$1396</f>
        <v>0</v>
      </c>
      <c r="N1308" s="796"/>
      <c r="P1308" s="399"/>
    </row>
    <row r="1309" spans="1:16" s="115" customFormat="1" ht="15" customHeight="1" x14ac:dyDescent="0.25">
      <c r="A1309" s="396"/>
      <c r="B1309" s="1398" t="s">
        <v>10190</v>
      </c>
      <c r="C1309" s="1398"/>
      <c r="D1309" s="1398"/>
      <c r="E1309" s="854">
        <v>333933000000000</v>
      </c>
      <c r="F1309" s="855" t="s">
        <v>10175</v>
      </c>
      <c r="G1309" s="468">
        <v>1</v>
      </c>
      <c r="H1309" s="468">
        <v>0</v>
      </c>
      <c r="I1309" s="751"/>
      <c r="J1309" s="878" t="s">
        <v>6197</v>
      </c>
      <c r="K1309" s="789">
        <f>('Parâmetros financeiros Despesa'!E607)</f>
        <v>0</v>
      </c>
      <c r="L1309" s="789">
        <f>('Parâmetros financeiros Despesa'!F607)*(1+'Parâmetros financeiros Despesa'!F$4)*(1+'Parâmetros financeiros Despesa'!F$7)</f>
        <v>5451.6575000000003</v>
      </c>
      <c r="M1309" s="799">
        <f>L1309/L$1396</f>
        <v>3.5827729761700794E-3</v>
      </c>
      <c r="N1309" s="894"/>
      <c r="O1309" s="796"/>
      <c r="P1309" s="733"/>
    </row>
    <row r="1310" spans="1:16" s="115" customFormat="1" ht="15" customHeight="1" x14ac:dyDescent="0.25">
      <c r="A1310" s="396"/>
      <c r="B1310" s="1398" t="s">
        <v>10191</v>
      </c>
      <c r="C1310" s="1398"/>
      <c r="D1310" s="1398"/>
      <c r="E1310" s="854">
        <v>344905100000000</v>
      </c>
      <c r="F1310" s="855" t="s">
        <v>10349</v>
      </c>
      <c r="G1310" s="468">
        <v>1</v>
      </c>
      <c r="H1310" s="468">
        <v>0</v>
      </c>
      <c r="I1310" s="751"/>
      <c r="J1310" s="878" t="s">
        <v>7501</v>
      </c>
      <c r="K1310" s="789">
        <f>('Parâmetros financeiros Despesa'!E608)</f>
        <v>0</v>
      </c>
      <c r="L1310" s="789">
        <f>('Parâmetros financeiros Despesa'!F608)*(1+'Parâmetros financeiros Despesa'!F$4)*(1+'Parâmetros financeiros Despesa'!F$7)</f>
        <v>5451.6575000000003</v>
      </c>
      <c r="M1310" s="799">
        <f t="shared" ref="M1310:M1311" si="239">L1310/L$1396</f>
        <v>3.5827729761700794E-3</v>
      </c>
      <c r="N1310" s="894"/>
      <c r="O1310" s="796"/>
      <c r="P1310" s="733"/>
    </row>
    <row r="1311" spans="1:16" s="115" customFormat="1" ht="15" customHeight="1" x14ac:dyDescent="0.25">
      <c r="A1311" s="396"/>
      <c r="B1311" s="994"/>
      <c r="C1311" s="994"/>
      <c r="D1311" s="994" t="s">
        <v>10350</v>
      </c>
      <c r="E1311" s="854">
        <v>344905100000000</v>
      </c>
      <c r="F1311" s="855" t="s">
        <v>10176</v>
      </c>
      <c r="G1311" s="468">
        <v>1</v>
      </c>
      <c r="H1311" s="468">
        <v>0</v>
      </c>
      <c r="I1311" s="751"/>
      <c r="J1311" s="878" t="s">
        <v>7501</v>
      </c>
      <c r="K1311" s="789">
        <f>('Parâmetros financeiros Despesa'!E609)</f>
        <v>0</v>
      </c>
      <c r="L1311" s="789">
        <f>('Parâmetros financeiros Despesa'!F609)*(1+'Parâmetros financeiros Despesa'!F$4)*(1+'Parâmetros financeiros Despesa'!F$7)</f>
        <v>5451.6575000000003</v>
      </c>
      <c r="M1311" s="799">
        <f t="shared" si="239"/>
        <v>3.5827729761700794E-3</v>
      </c>
      <c r="N1311" s="894"/>
      <c r="O1311" s="796"/>
      <c r="P1311" s="733"/>
    </row>
    <row r="1312" spans="1:16" s="115" customFormat="1" ht="15" customHeight="1" x14ac:dyDescent="0.25">
      <c r="A1312" s="396"/>
      <c r="B1312" s="1385" t="s">
        <v>7445</v>
      </c>
      <c r="C1312" s="1385"/>
      <c r="D1312" s="1385"/>
      <c r="E1312" s="1385"/>
      <c r="F1312" s="1385"/>
      <c r="G1312" s="401"/>
      <c r="H1312" s="401"/>
      <c r="I1312" s="426"/>
      <c r="J1312" s="411"/>
      <c r="K1312" s="402">
        <f t="shared" ref="K1312:L1314" si="240">K1313</f>
        <v>0</v>
      </c>
      <c r="L1312" s="402">
        <f t="shared" si="240"/>
        <v>8286.509399999999</v>
      </c>
      <c r="M1312" s="451">
        <f>L1312/L$1396</f>
        <v>5.4458083518818508E-3</v>
      </c>
      <c r="N1312" s="894"/>
      <c r="P1312" s="733"/>
    </row>
    <row r="1313" spans="1:16" s="706" customFormat="1" ht="15" customHeight="1" x14ac:dyDescent="0.25">
      <c r="A1313" s="396"/>
      <c r="B1313" s="1386" t="s">
        <v>7588</v>
      </c>
      <c r="C1313" s="1386"/>
      <c r="D1313" s="1386"/>
      <c r="E1313" s="1386"/>
      <c r="F1313" s="1386"/>
      <c r="G1313" s="403"/>
      <c r="H1313" s="403"/>
      <c r="I1313" s="427"/>
      <c r="J1313" s="412"/>
      <c r="K1313" s="404">
        <f t="shared" si="240"/>
        <v>0</v>
      </c>
      <c r="L1313" s="404">
        <f t="shared" si="240"/>
        <v>8286.509399999999</v>
      </c>
      <c r="M1313" s="799">
        <f>L1313/L$1396</f>
        <v>5.4458083518818508E-3</v>
      </c>
      <c r="N1313" s="796"/>
      <c r="P1313" s="399"/>
    </row>
    <row r="1314" spans="1:16" s="706" customFormat="1" ht="15" customHeight="1" x14ac:dyDescent="0.25">
      <c r="A1314" s="396"/>
      <c r="B1314" s="1382" t="s">
        <v>7283</v>
      </c>
      <c r="C1314" s="1382"/>
      <c r="D1314" s="1382"/>
      <c r="E1314" s="1382"/>
      <c r="F1314" s="1382"/>
      <c r="G1314" s="405"/>
      <c r="H1314" s="405"/>
      <c r="I1314" s="428"/>
      <c r="J1314" s="413"/>
      <c r="K1314" s="406">
        <f t="shared" si="240"/>
        <v>0</v>
      </c>
      <c r="L1314" s="406">
        <f t="shared" si="240"/>
        <v>8286.509399999999</v>
      </c>
      <c r="M1314" s="453">
        <f>L1314/L$1396</f>
        <v>5.4458083518818508E-3</v>
      </c>
      <c r="N1314" s="796"/>
      <c r="P1314" s="399"/>
    </row>
    <row r="1315" spans="1:16" s="706" customFormat="1" ht="15" customHeight="1" x14ac:dyDescent="0.25">
      <c r="A1315" s="396"/>
      <c r="B1315" s="1383" t="s">
        <v>7452</v>
      </c>
      <c r="C1315" s="1383"/>
      <c r="D1315" s="1383"/>
      <c r="E1315" s="1383"/>
      <c r="F1315" s="1383"/>
      <c r="G1315" s="407"/>
      <c r="H1315" s="407"/>
      <c r="I1315" s="429"/>
      <c r="J1315" s="414"/>
      <c r="K1315" s="408">
        <f>SUM(K1316:K1321)</f>
        <v>0</v>
      </c>
      <c r="L1315" s="408">
        <f>SUM(L1316:L1321)-0.01</f>
        <v>8286.509399999999</v>
      </c>
      <c r="M1315" s="454">
        <f>L1315/L$1396</f>
        <v>5.4458083518818508E-3</v>
      </c>
      <c r="N1315" s="796"/>
      <c r="P1315" s="399"/>
    </row>
    <row r="1316" spans="1:16" s="706" customFormat="1" ht="15" customHeight="1" x14ac:dyDescent="0.25">
      <c r="A1316" s="397"/>
      <c r="B1316" s="1396">
        <v>100000</v>
      </c>
      <c r="C1316" s="1396"/>
      <c r="D1316" s="1396"/>
      <c r="E1316" s="854">
        <v>333903000000000</v>
      </c>
      <c r="F1316" s="855" t="s">
        <v>7597</v>
      </c>
      <c r="G1316" s="468">
        <v>1</v>
      </c>
      <c r="H1316" s="468">
        <v>0</v>
      </c>
      <c r="I1316" s="751"/>
      <c r="J1316" s="878" t="s">
        <v>7606</v>
      </c>
      <c r="K1316" s="789">
        <f>('Parâmetros financeiros Despesa'!E611+'Parâmetros financeiros Despesa'!E612)</f>
        <v>0</v>
      </c>
      <c r="L1316" s="789">
        <f>('Parâmetros financeiros Despesa'!F611+'Parâmetros financeiros Despesa'!F612)*(1+'Parâmetros financeiros Despesa'!F$4)*(1+'Parâmetros financeiros Despesa'!F$7)</f>
        <v>2180.663</v>
      </c>
      <c r="M1316" s="799">
        <f>L1316/L$1396</f>
        <v>1.4331091904680317E-3</v>
      </c>
      <c r="N1316" s="894"/>
      <c r="O1316" s="796"/>
      <c r="P1316" s="399"/>
    </row>
    <row r="1317" spans="1:16" s="706" customFormat="1" ht="15" customHeight="1" x14ac:dyDescent="0.25">
      <c r="A1317" s="397"/>
      <c r="B1317" s="994"/>
      <c r="C1317" s="994"/>
      <c r="D1317" s="994" t="s">
        <v>7593</v>
      </c>
      <c r="E1317" s="854">
        <v>333903600000000</v>
      </c>
      <c r="F1317" s="855" t="s">
        <v>7602</v>
      </c>
      <c r="G1317" s="468">
        <v>1</v>
      </c>
      <c r="H1317" s="468">
        <v>0</v>
      </c>
      <c r="I1317" s="751"/>
      <c r="J1317" s="878" t="s">
        <v>7606</v>
      </c>
      <c r="K1317" s="789">
        <f>('Parâmetros financeiros Despesa'!E613)</f>
        <v>0</v>
      </c>
      <c r="L1317" s="789">
        <f>('Parâmetros financeiros Despesa'!F613)*(1+'Parâmetros financeiros Despesa'!F$4)*(1+'Parâmetros financeiros Despesa'!F$7)</f>
        <v>1090.3315</v>
      </c>
      <c r="M1317" s="799">
        <f t="shared" ref="M1317:M1321" si="241">L1317/L$1396</f>
        <v>7.1655459523401583E-4</v>
      </c>
      <c r="N1317" s="894"/>
      <c r="O1317" s="796"/>
    </row>
    <row r="1318" spans="1:16" s="706" customFormat="1" ht="15" customHeight="1" x14ac:dyDescent="0.25">
      <c r="A1318" s="397"/>
      <c r="B1318" s="1398" t="s">
        <v>7594</v>
      </c>
      <c r="C1318" s="1398"/>
      <c r="D1318" s="1398"/>
      <c r="E1318" s="854">
        <v>333903900000000</v>
      </c>
      <c r="F1318" s="855" t="s">
        <v>7598</v>
      </c>
      <c r="G1318" s="468">
        <v>1</v>
      </c>
      <c r="H1318" s="468">
        <v>0</v>
      </c>
      <c r="I1318" s="751"/>
      <c r="J1318" s="878" t="s">
        <v>7606</v>
      </c>
      <c r="K1318" s="789">
        <f>('Parâmetros financeiros Despesa'!E614+'Parâmetros financeiros Despesa'!E615)</f>
        <v>0</v>
      </c>
      <c r="L1318" s="789">
        <f>('Parâmetros financeiros Despesa'!F614+'Parâmetros financeiros Despesa'!F615)*(1+'Parâmetros financeiros Despesa'!F$4)*(1+'Parâmetros financeiros Despesa'!F$7)</f>
        <v>2180.663</v>
      </c>
      <c r="M1318" s="799">
        <f t="shared" si="241"/>
        <v>1.4331091904680317E-3</v>
      </c>
      <c r="N1318" s="894"/>
      <c r="O1318" s="796"/>
    </row>
    <row r="1319" spans="1:16" s="706" customFormat="1" ht="15" customHeight="1" x14ac:dyDescent="0.25">
      <c r="A1319" s="397"/>
      <c r="B1319" s="1398" t="s">
        <v>7595</v>
      </c>
      <c r="C1319" s="1398"/>
      <c r="D1319" s="1398"/>
      <c r="E1319" s="854">
        <v>333904700000000</v>
      </c>
      <c r="F1319" s="855" t="s">
        <v>7599</v>
      </c>
      <c r="G1319" s="468">
        <v>1</v>
      </c>
      <c r="H1319" s="468">
        <v>0</v>
      </c>
      <c r="I1319" s="751"/>
      <c r="J1319" s="878" t="s">
        <v>7606</v>
      </c>
      <c r="K1319" s="789">
        <f>(('Parâmetros financeiros Despesa'!E612+'Parâmetros financeiros Despesa'!E613+'Parâmetros financeiros Despesa'!E615))</f>
        <v>0</v>
      </c>
      <c r="L1319" s="789">
        <f>(('Parâmetros financeiros Despesa'!F612+'Parâmetros financeiros Despesa'!F613+'Parâmetros financeiros Despesa'!F615)*(1+'Parâmetros financeiros Despesa'!F$4)*(1+'Parâmetros financeiros Despesa'!F$7))*('Parâmetros financeiros Despesa'!F$83)</f>
        <v>654.19890000000009</v>
      </c>
      <c r="M1319" s="799">
        <f t="shared" si="241"/>
        <v>4.2993275714040956E-4</v>
      </c>
      <c r="N1319" s="894"/>
      <c r="O1319" s="796"/>
    </row>
    <row r="1320" spans="1:16" s="706" customFormat="1" ht="15" customHeight="1" x14ac:dyDescent="0.25">
      <c r="A1320" s="397"/>
      <c r="B1320" s="1398" t="s">
        <v>7596</v>
      </c>
      <c r="C1320" s="1398"/>
      <c r="D1320" s="1398"/>
      <c r="E1320" s="854">
        <v>344905100000000</v>
      </c>
      <c r="F1320" s="855" t="s">
        <v>7601</v>
      </c>
      <c r="G1320" s="468">
        <v>1</v>
      </c>
      <c r="H1320" s="468">
        <v>0</v>
      </c>
      <c r="I1320" s="751"/>
      <c r="J1320" s="878" t="s">
        <v>7606</v>
      </c>
      <c r="K1320" s="789">
        <f>('Parâmetros financeiros Despesa'!E616)</f>
        <v>0</v>
      </c>
      <c r="L1320" s="789">
        <f>('Parâmetros financeiros Despesa'!F616)*(1+'Parâmetros financeiros Despesa'!F$4)*(1+'Parâmetros financeiros Despesa'!F$7)</f>
        <v>1090.3315</v>
      </c>
      <c r="M1320" s="799">
        <f t="shared" si="241"/>
        <v>7.1655459523401583E-4</v>
      </c>
      <c r="N1320" s="894"/>
      <c r="O1320" s="796"/>
    </row>
    <row r="1321" spans="1:16" s="706" customFormat="1" ht="15" customHeight="1" x14ac:dyDescent="0.25">
      <c r="A1321" s="397"/>
      <c r="B1321" s="1398" t="s">
        <v>7596</v>
      </c>
      <c r="C1321" s="1398"/>
      <c r="D1321" s="1398"/>
      <c r="E1321" s="854">
        <v>344905200000000</v>
      </c>
      <c r="F1321" s="855" t="s">
        <v>7600</v>
      </c>
      <c r="G1321" s="468">
        <v>1</v>
      </c>
      <c r="H1321" s="468">
        <v>0</v>
      </c>
      <c r="I1321" s="751"/>
      <c r="J1321" s="878" t="s">
        <v>7606</v>
      </c>
      <c r="K1321" s="789">
        <f>('Parâmetros financeiros Despesa'!E617)</f>
        <v>0</v>
      </c>
      <c r="L1321" s="789">
        <f>('Parâmetros financeiros Despesa'!F617)*(1+'Parâmetros financeiros Despesa'!F$4)*(1+'Parâmetros financeiros Despesa'!F$7)</f>
        <v>1090.3315</v>
      </c>
      <c r="M1321" s="799">
        <f t="shared" si="241"/>
        <v>7.1655459523401583E-4</v>
      </c>
      <c r="N1321" s="894"/>
      <c r="O1321" s="796"/>
    </row>
    <row r="1322" spans="1:16" s="115" customFormat="1" ht="15" customHeight="1" x14ac:dyDescent="0.25">
      <c r="A1322" s="396"/>
      <c r="B1322" s="1385" t="s">
        <v>7445</v>
      </c>
      <c r="C1322" s="1385"/>
      <c r="D1322" s="1385"/>
      <c r="E1322" s="1385"/>
      <c r="F1322" s="1385"/>
      <c r="G1322" s="401"/>
      <c r="H1322" s="401"/>
      <c r="I1322" s="426"/>
      <c r="J1322" s="411"/>
      <c r="K1322" s="402">
        <f t="shared" ref="K1322:L1324" si="242">K1323</f>
        <v>4807.51</v>
      </c>
      <c r="L1322" s="402">
        <f t="shared" si="242"/>
        <v>279558.92258625</v>
      </c>
      <c r="M1322" s="451">
        <f>L1322/L$1396</f>
        <v>0.18372323519759626</v>
      </c>
      <c r="N1322" s="894"/>
    </row>
    <row r="1323" spans="1:16" s="721" customFormat="1" ht="15" customHeight="1" x14ac:dyDescent="0.25">
      <c r="A1323" s="396"/>
      <c r="B1323" s="1386" t="s">
        <v>7589</v>
      </c>
      <c r="C1323" s="1386"/>
      <c r="D1323" s="1386"/>
      <c r="E1323" s="1386"/>
      <c r="F1323" s="1386"/>
      <c r="G1323" s="403"/>
      <c r="H1323" s="403"/>
      <c r="I1323" s="427"/>
      <c r="J1323" s="412"/>
      <c r="K1323" s="404">
        <f t="shared" si="242"/>
        <v>4807.51</v>
      </c>
      <c r="L1323" s="404">
        <f t="shared" si="242"/>
        <v>279558.92258625</v>
      </c>
      <c r="M1323" s="799">
        <f>L1323/L$1396</f>
        <v>0.18372323519759626</v>
      </c>
      <c r="N1323" s="796"/>
    </row>
    <row r="1324" spans="1:16" s="721" customFormat="1" ht="15" customHeight="1" x14ac:dyDescent="0.25">
      <c r="A1324" s="396"/>
      <c r="B1324" s="1382" t="s">
        <v>7283</v>
      </c>
      <c r="C1324" s="1382"/>
      <c r="D1324" s="1382"/>
      <c r="E1324" s="1382"/>
      <c r="F1324" s="1382"/>
      <c r="G1324" s="405"/>
      <c r="H1324" s="405"/>
      <c r="I1324" s="428"/>
      <c r="J1324" s="413"/>
      <c r="K1324" s="406">
        <f t="shared" si="242"/>
        <v>4807.51</v>
      </c>
      <c r="L1324" s="406">
        <f t="shared" si="242"/>
        <v>279558.92258625</v>
      </c>
      <c r="M1324" s="453">
        <f>L1324/L$1396</f>
        <v>0.18372323519759626</v>
      </c>
      <c r="N1324" s="796"/>
    </row>
    <row r="1325" spans="1:16" s="721" customFormat="1" ht="15" customHeight="1" x14ac:dyDescent="0.25">
      <c r="A1325" s="396"/>
      <c r="B1325" s="1383" t="s">
        <v>7452</v>
      </c>
      <c r="C1325" s="1383"/>
      <c r="D1325" s="1383"/>
      <c r="E1325" s="1383"/>
      <c r="F1325" s="1383"/>
      <c r="G1325" s="407"/>
      <c r="H1325" s="407"/>
      <c r="I1325" s="429"/>
      <c r="J1325" s="414"/>
      <c r="K1325" s="408">
        <f>SUM(K1326:K1339)+0.01</f>
        <v>4807.51</v>
      </c>
      <c r="L1325" s="408">
        <f>SUM(L1326:L1339)+0.01</f>
        <v>279558.92258625</v>
      </c>
      <c r="M1325" s="454">
        <f>L1325/L$1396</f>
        <v>0.18372323519759626</v>
      </c>
      <c r="N1325" s="796"/>
    </row>
    <row r="1326" spans="1:16" s="115" customFormat="1" ht="15" customHeight="1" x14ac:dyDescent="0.25">
      <c r="A1326" s="396"/>
      <c r="B1326" s="1396">
        <v>101000</v>
      </c>
      <c r="C1326" s="1396"/>
      <c r="D1326" s="1396"/>
      <c r="E1326" s="854">
        <v>333903000000000</v>
      </c>
      <c r="F1326" s="855" t="s">
        <v>7626</v>
      </c>
      <c r="G1326" s="468">
        <v>1</v>
      </c>
      <c r="H1326" s="468">
        <v>0</v>
      </c>
      <c r="I1326" s="751"/>
      <c r="J1326" s="878" t="s">
        <v>7625</v>
      </c>
      <c r="K1326" s="789">
        <f>('Parâmetros financeiros Despesa'!E619+'Parâmetros financeiros Despesa'!E620)</f>
        <v>1717.5</v>
      </c>
      <c r="L1326" s="789">
        <f>('Parâmetros financeiros Despesa'!F619+'Parâmetros financeiros Despesa'!F620)*(1+'Parâmetros financeiros Despesa'!F$4)*(1+'Parâmetros financeiros Despesa'!F$7)</f>
        <v>5143.6388512500007</v>
      </c>
      <c r="M1326" s="799">
        <f>L1326/L$1396</f>
        <v>3.3803463030164702E-3</v>
      </c>
      <c r="N1326" s="894"/>
      <c r="O1326" s="796"/>
    </row>
    <row r="1327" spans="1:16" s="115" customFormat="1" ht="15" customHeight="1" x14ac:dyDescent="0.25">
      <c r="A1327" s="396"/>
      <c r="B1327" s="994"/>
      <c r="C1327" s="994"/>
      <c r="D1327" s="994" t="s">
        <v>7620</v>
      </c>
      <c r="E1327" s="854">
        <v>333903600000000</v>
      </c>
      <c r="F1327" s="855" t="s">
        <v>7628</v>
      </c>
      <c r="G1327" s="468">
        <v>1</v>
      </c>
      <c r="H1327" s="468">
        <v>0</v>
      </c>
      <c r="I1327" s="751"/>
      <c r="J1327" s="878" t="s">
        <v>7625</v>
      </c>
      <c r="K1327" s="789">
        <f>('Parâmetros financeiros Despesa'!E621)</f>
        <v>0</v>
      </c>
      <c r="L1327" s="789">
        <f>('Parâmetros financeiros Despesa'!F621)*(1+'Parâmetros financeiros Despesa'!F$4)*(1+'Parâmetros financeiros Despesa'!F$7)</f>
        <v>5451.6575000000003</v>
      </c>
      <c r="M1327" s="799">
        <f t="shared" ref="M1327:M1339" si="243">L1327/L$1396</f>
        <v>3.5827729761700794E-3</v>
      </c>
      <c r="N1327" s="894"/>
      <c r="O1327" s="796"/>
    </row>
    <row r="1328" spans="1:16" s="115" customFormat="1" ht="15" customHeight="1" x14ac:dyDescent="0.25">
      <c r="A1328" s="396"/>
      <c r="B1328" s="1398" t="s">
        <v>7621</v>
      </c>
      <c r="C1328" s="1398"/>
      <c r="D1328" s="1398"/>
      <c r="E1328" s="854">
        <v>333903900000000</v>
      </c>
      <c r="F1328" s="855" t="s">
        <v>7629</v>
      </c>
      <c r="G1328" s="468">
        <v>1</v>
      </c>
      <c r="H1328" s="468">
        <v>0</v>
      </c>
      <c r="I1328" s="751"/>
      <c r="J1328" s="878" t="s">
        <v>7625</v>
      </c>
      <c r="K1328" s="789">
        <f>('Parâmetros financeiros Despesa'!E622+'Parâmetros financeiros Despesa'!E623)</f>
        <v>3090</v>
      </c>
      <c r="L1328" s="789">
        <f>('Parâmetros financeiros Despesa'!F622+'Parâmetros financeiros Despesa'!F623)*(1+'Parâmetros financeiros Despesa'!F$4)*(1+'Parâmetros financeiros Despesa'!F$7)</f>
        <v>8820.7818349999998</v>
      </c>
      <c r="M1328" s="799">
        <f t="shared" si="243"/>
        <v>5.7969266754431875E-3</v>
      </c>
      <c r="N1328" s="894"/>
      <c r="O1328" s="796"/>
    </row>
    <row r="1329" spans="1:16" s="115" customFormat="1" ht="15" customHeight="1" x14ac:dyDescent="0.25">
      <c r="A1329" s="396"/>
      <c r="B1329" s="1398" t="s">
        <v>7622</v>
      </c>
      <c r="C1329" s="1398"/>
      <c r="D1329" s="1398"/>
      <c r="E1329" s="854">
        <v>333904700000000</v>
      </c>
      <c r="F1329" s="855" t="s">
        <v>7627</v>
      </c>
      <c r="G1329" s="468">
        <v>1</v>
      </c>
      <c r="H1329" s="468">
        <v>0</v>
      </c>
      <c r="I1329" s="751"/>
      <c r="J1329" s="878" t="s">
        <v>7625</v>
      </c>
      <c r="K1329" s="789">
        <f>(('Parâmetros financeiros Despesa'!E620+'Parâmetros financeiros Despesa'!E621+'Parâmetros financeiros Despesa'!E623))</f>
        <v>0</v>
      </c>
      <c r="L1329" s="789">
        <f>(('Parâmetros financeiros Despesa'!F620+'Parâmetros financeiros Despesa'!F621+'Parâmetros financeiros Despesa'!F623)*(1+'Parâmetros financeiros Despesa'!F$4)*(1+'Parâmetros financeiros Despesa'!F$7))*('Parâmetros financeiros Despesa'!F$83)</f>
        <v>2834.8619000000003</v>
      </c>
      <c r="M1329" s="799">
        <f t="shared" si="243"/>
        <v>1.8630419476084413E-3</v>
      </c>
      <c r="N1329" s="894"/>
      <c r="O1329" s="796"/>
    </row>
    <row r="1330" spans="1:16" s="115" customFormat="1" ht="15" customHeight="1" x14ac:dyDescent="0.25">
      <c r="A1330" s="396"/>
      <c r="B1330" s="994"/>
      <c r="C1330" s="994"/>
      <c r="D1330" s="994" t="s">
        <v>7623</v>
      </c>
      <c r="E1330" s="854">
        <v>344209300000000</v>
      </c>
      <c r="F1330" s="855" t="s">
        <v>10302</v>
      </c>
      <c r="G1330" s="468">
        <v>1157</v>
      </c>
      <c r="H1330" s="468">
        <v>0</v>
      </c>
      <c r="I1330" s="751"/>
      <c r="J1330" s="878" t="s">
        <v>7625</v>
      </c>
      <c r="K1330" s="789">
        <f>'Parâmetros financeiros Despesa'!E624</f>
        <v>0</v>
      </c>
      <c r="L1330" s="789">
        <f>'Parâmetros financeiros Despesa'!F624</f>
        <v>1</v>
      </c>
      <c r="M1330" s="799">
        <f t="shared" si="243"/>
        <v>6.5718966684353865E-7</v>
      </c>
      <c r="N1330" s="894"/>
    </row>
    <row r="1331" spans="1:16" s="115" customFormat="1" ht="15" customHeight="1" x14ac:dyDescent="0.25">
      <c r="A1331" s="396"/>
      <c r="B1331" s="994"/>
      <c r="C1331" s="994"/>
      <c r="D1331" s="994" t="s">
        <v>7624</v>
      </c>
      <c r="E1331" s="854">
        <v>344309300000000</v>
      </c>
      <c r="F1331" s="855" t="s">
        <v>10303</v>
      </c>
      <c r="G1331" s="468">
        <v>1159</v>
      </c>
      <c r="H1331" s="468">
        <v>0</v>
      </c>
      <c r="I1331" s="751"/>
      <c r="J1331" s="878" t="s">
        <v>7625</v>
      </c>
      <c r="K1331" s="789">
        <f>'Parâmetros financeiros Despesa'!E625</f>
        <v>0</v>
      </c>
      <c r="L1331" s="789">
        <f>'Parâmetros financeiros Despesa'!F625</f>
        <v>1</v>
      </c>
      <c r="M1331" s="799">
        <f t="shared" si="243"/>
        <v>6.5718966684353865E-7</v>
      </c>
      <c r="N1331" s="894"/>
    </row>
    <row r="1332" spans="1:16" s="115" customFormat="1" ht="15" customHeight="1" x14ac:dyDescent="0.25">
      <c r="A1332" s="396"/>
      <c r="B1332" s="994"/>
      <c r="C1332" s="994"/>
      <c r="D1332" s="994" t="s">
        <v>7636</v>
      </c>
      <c r="E1332" s="854">
        <v>344309300000000</v>
      </c>
      <c r="F1332" s="855" t="s">
        <v>10304</v>
      </c>
      <c r="G1332" s="468">
        <v>1159</v>
      </c>
      <c r="H1332" s="468">
        <v>0</v>
      </c>
      <c r="I1332" s="751"/>
      <c r="J1332" s="878" t="s">
        <v>7625</v>
      </c>
      <c r="K1332" s="789">
        <f>'Parâmetros financeiros Despesa'!E626</f>
        <v>0</v>
      </c>
      <c r="L1332" s="789">
        <f>'Parâmetros financeiros Despesa'!F626</f>
        <v>1</v>
      </c>
      <c r="M1332" s="799">
        <f t="shared" si="243"/>
        <v>6.5718966684353865E-7</v>
      </c>
      <c r="N1332" s="894"/>
    </row>
    <row r="1333" spans="1:16" s="115" customFormat="1" ht="15" customHeight="1" x14ac:dyDescent="0.25">
      <c r="A1333" s="396"/>
      <c r="B1333" s="1398" t="s">
        <v>7637</v>
      </c>
      <c r="C1333" s="1398"/>
      <c r="D1333" s="1398"/>
      <c r="E1333" s="854">
        <v>344905100000000</v>
      </c>
      <c r="F1333" s="855" t="s">
        <v>7630</v>
      </c>
      <c r="G1333" s="468">
        <v>1</v>
      </c>
      <c r="H1333" s="468">
        <v>0</v>
      </c>
      <c r="I1333" s="751"/>
      <c r="J1333" s="878" t="s">
        <v>7625</v>
      </c>
      <c r="K1333" s="789">
        <f>('Parâmetros financeiros Despesa'!E627)</f>
        <v>0</v>
      </c>
      <c r="L1333" s="789">
        <f>('Parâmetros financeiros Despesa'!F627)*(1+'Parâmetros financeiros Despesa'!F$4)*(1+'Parâmetros financeiros Despesa'!F$7)</f>
        <v>10903.315000000001</v>
      </c>
      <c r="M1333" s="799">
        <f t="shared" si="243"/>
        <v>7.1655459523401587E-3</v>
      </c>
      <c r="N1333" s="894"/>
      <c r="O1333" s="796"/>
    </row>
    <row r="1334" spans="1:16" s="115" customFormat="1" ht="15" customHeight="1" x14ac:dyDescent="0.25">
      <c r="A1334" s="396"/>
      <c r="B1334" s="1398" t="s">
        <v>7639</v>
      </c>
      <c r="C1334" s="1398"/>
      <c r="D1334" s="1398"/>
      <c r="E1334" s="854">
        <v>344905200000000</v>
      </c>
      <c r="F1334" s="855" t="s">
        <v>7631</v>
      </c>
      <c r="G1334" s="468">
        <v>1</v>
      </c>
      <c r="H1334" s="468">
        <v>0</v>
      </c>
      <c r="I1334" s="751"/>
      <c r="J1334" s="878" t="s">
        <v>7625</v>
      </c>
      <c r="K1334" s="789">
        <f>('Parâmetros financeiros Despesa'!E628)</f>
        <v>0</v>
      </c>
      <c r="L1334" s="789">
        <f>('Parâmetros financeiros Despesa'!F628)*(1+'Parâmetros financeiros Despesa'!F$4)*(1+'Parâmetros financeiros Despesa'!F$7)</f>
        <v>5451.6575000000003</v>
      </c>
      <c r="M1334" s="799">
        <f t="shared" si="243"/>
        <v>3.5827729761700794E-3</v>
      </c>
      <c r="N1334" s="894"/>
      <c r="O1334" s="796"/>
    </row>
    <row r="1335" spans="1:16" s="115" customFormat="1" ht="15" customHeight="1" x14ac:dyDescent="0.25">
      <c r="A1335" s="396"/>
      <c r="B1335" s="994"/>
      <c r="C1335" s="994"/>
      <c r="D1335" s="994" t="s">
        <v>7641</v>
      </c>
      <c r="E1335" s="854">
        <v>344905200000000</v>
      </c>
      <c r="F1335" s="855" t="s">
        <v>7643</v>
      </c>
      <c r="G1335" s="468">
        <v>1</v>
      </c>
      <c r="H1335" s="468">
        <v>0</v>
      </c>
      <c r="I1335" s="751"/>
      <c r="J1335" s="878" t="s">
        <v>7625</v>
      </c>
      <c r="K1335" s="789">
        <f>'Parâmetros financeiros Despesa'!E629</f>
        <v>0</v>
      </c>
      <c r="L1335" s="789">
        <f>'Parâmetros financeiros Despesa'!F629</f>
        <v>11778</v>
      </c>
      <c r="M1335" s="799">
        <f t="shared" si="243"/>
        <v>7.7403798960831985E-3</v>
      </c>
      <c r="N1335" s="894"/>
      <c r="O1335" s="796"/>
      <c r="P1335" s="733"/>
    </row>
    <row r="1336" spans="1:16" s="115" customFormat="1" ht="15" customHeight="1" x14ac:dyDescent="0.25">
      <c r="A1336" s="396"/>
      <c r="B1336" s="994"/>
      <c r="C1336" s="994"/>
      <c r="D1336" s="994" t="s">
        <v>7642</v>
      </c>
      <c r="E1336" s="854">
        <v>344905200000000</v>
      </c>
      <c r="F1336" s="855" t="s">
        <v>7644</v>
      </c>
      <c r="G1336" s="468">
        <v>1</v>
      </c>
      <c r="H1336" s="468">
        <v>0</v>
      </c>
      <c r="I1336" s="751"/>
      <c r="J1336" s="878" t="s">
        <v>7625</v>
      </c>
      <c r="K1336" s="789">
        <f>'Parâmetros financeiros Despesa'!E630</f>
        <v>0</v>
      </c>
      <c r="L1336" s="789">
        <f>'Parâmetros financeiros Despesa'!F630</f>
        <v>8775</v>
      </c>
      <c r="M1336" s="799">
        <f t="shared" si="243"/>
        <v>5.7668393265520521E-3</v>
      </c>
      <c r="N1336" s="894"/>
      <c r="O1336" s="796"/>
    </row>
    <row r="1337" spans="1:16" s="115" customFormat="1" ht="15" customHeight="1" x14ac:dyDescent="0.25">
      <c r="A1337" s="396"/>
      <c r="B1337" s="1398" t="s">
        <v>7632</v>
      </c>
      <c r="C1337" s="1398"/>
      <c r="D1337" s="1398"/>
      <c r="E1337" s="854">
        <v>344905200000000</v>
      </c>
      <c r="F1337" s="855" t="s">
        <v>7635</v>
      </c>
      <c r="G1337" s="468">
        <v>1159</v>
      </c>
      <c r="H1337" s="468">
        <v>0</v>
      </c>
      <c r="I1337" s="751"/>
      <c r="J1337" s="878" t="s">
        <v>7625</v>
      </c>
      <c r="K1337" s="789">
        <f>'Parâmetros financeiros Despesa'!E631</f>
        <v>0</v>
      </c>
      <c r="L1337" s="789">
        <f>'Parâmetros financeiros Despesa'!F631</f>
        <v>70199</v>
      </c>
      <c r="M1337" s="799">
        <f t="shared" si="243"/>
        <v>4.6134057422749571E-2</v>
      </c>
      <c r="N1337" s="894"/>
    </row>
    <row r="1338" spans="1:16" s="115" customFormat="1" ht="15" customHeight="1" x14ac:dyDescent="0.25">
      <c r="A1338" s="396"/>
      <c r="B1338" s="1398" t="s">
        <v>7633</v>
      </c>
      <c r="C1338" s="1398"/>
      <c r="D1338" s="1398"/>
      <c r="E1338" s="854">
        <v>344905200000000</v>
      </c>
      <c r="F1338" s="855" t="s">
        <v>7638</v>
      </c>
      <c r="G1338" s="468">
        <v>1159</v>
      </c>
      <c r="H1338" s="468">
        <v>0</v>
      </c>
      <c r="I1338" s="751"/>
      <c r="J1338" s="878" t="s">
        <v>7625</v>
      </c>
      <c r="K1338" s="789">
        <f>'Parâmetros financeiros Despesa'!E632</f>
        <v>0</v>
      </c>
      <c r="L1338" s="789">
        <f>'Parâmetros financeiros Despesa'!F632</f>
        <v>50099</v>
      </c>
      <c r="M1338" s="799">
        <f t="shared" si="243"/>
        <v>3.2924545119194445E-2</v>
      </c>
      <c r="N1338" s="894"/>
    </row>
    <row r="1339" spans="1:16" s="115" customFormat="1" ht="15" customHeight="1" x14ac:dyDescent="0.25">
      <c r="A1339" s="396"/>
      <c r="B1339" s="994"/>
      <c r="C1339" s="994"/>
      <c r="D1339" s="994" t="s">
        <v>7634</v>
      </c>
      <c r="E1339" s="854">
        <v>344905200000000</v>
      </c>
      <c r="F1339" s="855" t="s">
        <v>7640</v>
      </c>
      <c r="G1339" s="468">
        <v>1157</v>
      </c>
      <c r="H1339" s="468">
        <v>0</v>
      </c>
      <c r="I1339" s="751"/>
      <c r="J1339" s="878" t="s">
        <v>7625</v>
      </c>
      <c r="K1339" s="789">
        <f>'Parâmetros financeiros Despesa'!E633</f>
        <v>0</v>
      </c>
      <c r="L1339" s="789">
        <f>'Parâmetros financeiros Despesa'!F633</f>
        <v>100099</v>
      </c>
      <c r="M1339" s="799">
        <f t="shared" si="243"/>
        <v>6.578402846137138E-2</v>
      </c>
      <c r="N1339" s="894"/>
    </row>
    <row r="1340" spans="1:16" s="115" customFormat="1" ht="15" customHeight="1" x14ac:dyDescent="0.25">
      <c r="A1340" s="396"/>
      <c r="B1340" s="1385" t="s">
        <v>7445</v>
      </c>
      <c r="C1340" s="1385"/>
      <c r="D1340" s="1385"/>
      <c r="E1340" s="1385"/>
      <c r="F1340" s="1385"/>
      <c r="G1340" s="401"/>
      <c r="H1340" s="401"/>
      <c r="I1340" s="426"/>
      <c r="J1340" s="411"/>
      <c r="K1340" s="402">
        <f t="shared" ref="K1340:L1342" si="244">K1341</f>
        <v>0</v>
      </c>
      <c r="L1340" s="402">
        <f t="shared" si="244"/>
        <v>31837.6898</v>
      </c>
      <c r="M1340" s="451">
        <f>L1340/L$1396</f>
        <v>2.0923400752729929E-2</v>
      </c>
      <c r="N1340" s="894"/>
    </row>
    <row r="1341" spans="1:16" s="722" customFormat="1" ht="15" customHeight="1" x14ac:dyDescent="0.25">
      <c r="A1341" s="396"/>
      <c r="B1341" s="1386" t="s">
        <v>7590</v>
      </c>
      <c r="C1341" s="1386"/>
      <c r="D1341" s="1386"/>
      <c r="E1341" s="1386"/>
      <c r="F1341" s="1386"/>
      <c r="G1341" s="403"/>
      <c r="H1341" s="403"/>
      <c r="I1341" s="427"/>
      <c r="J1341" s="412"/>
      <c r="K1341" s="404">
        <f t="shared" si="244"/>
        <v>0</v>
      </c>
      <c r="L1341" s="404">
        <f t="shared" si="244"/>
        <v>31837.6898</v>
      </c>
      <c r="M1341" s="799">
        <f>L1341/L$1396</f>
        <v>2.0923400752729929E-2</v>
      </c>
      <c r="N1341" s="796"/>
    </row>
    <row r="1342" spans="1:16" s="722" customFormat="1" ht="15" customHeight="1" x14ac:dyDescent="0.25">
      <c r="A1342" s="396"/>
      <c r="B1342" s="1382" t="s">
        <v>7283</v>
      </c>
      <c r="C1342" s="1382"/>
      <c r="D1342" s="1382"/>
      <c r="E1342" s="1382"/>
      <c r="F1342" s="1382"/>
      <c r="G1342" s="405"/>
      <c r="H1342" s="405"/>
      <c r="I1342" s="428"/>
      <c r="J1342" s="413"/>
      <c r="K1342" s="406">
        <f t="shared" si="244"/>
        <v>0</v>
      </c>
      <c r="L1342" s="406">
        <f t="shared" si="244"/>
        <v>31837.6898</v>
      </c>
      <c r="M1342" s="453">
        <f>L1342/L$1396</f>
        <v>2.0923400752729929E-2</v>
      </c>
      <c r="N1342" s="796"/>
    </row>
    <row r="1343" spans="1:16" s="722" customFormat="1" ht="15" customHeight="1" x14ac:dyDescent="0.25">
      <c r="A1343" s="396"/>
      <c r="B1343" s="1383" t="s">
        <v>7452</v>
      </c>
      <c r="C1343" s="1383"/>
      <c r="D1343" s="1383"/>
      <c r="E1343" s="1383"/>
      <c r="F1343" s="1383"/>
      <c r="G1343" s="407"/>
      <c r="H1343" s="407"/>
      <c r="I1343" s="429"/>
      <c r="J1343" s="414"/>
      <c r="K1343" s="408">
        <f>SUM(K1344:K1349)</f>
        <v>0</v>
      </c>
      <c r="L1343" s="408">
        <f>SUM(L1344:L1349)+0.01</f>
        <v>31837.6898</v>
      </c>
      <c r="M1343" s="454">
        <f>L1343/L$1396</f>
        <v>2.0923400752729929E-2</v>
      </c>
      <c r="N1343" s="796"/>
    </row>
    <row r="1344" spans="1:16" s="115" customFormat="1" ht="15" customHeight="1" x14ac:dyDescent="0.25">
      <c r="A1344" s="396"/>
      <c r="B1344" s="1396">
        <v>105000</v>
      </c>
      <c r="C1344" s="1396"/>
      <c r="D1344" s="1396"/>
      <c r="E1344" s="854">
        <v>333903000000000</v>
      </c>
      <c r="F1344" s="855" t="s">
        <v>7495</v>
      </c>
      <c r="G1344" s="468">
        <v>1</v>
      </c>
      <c r="H1344" s="468">
        <v>0</v>
      </c>
      <c r="I1344" s="751"/>
      <c r="J1344" s="878" t="s">
        <v>7625</v>
      </c>
      <c r="K1344" s="789">
        <f>('Parâmetros financeiros Despesa'!E635+'Parâmetros financeiros Despesa'!E636)</f>
        <v>0</v>
      </c>
      <c r="L1344" s="789">
        <f>('Parâmetros financeiros Despesa'!F635+'Parâmetros financeiros Despesa'!F636)*(1+'Parâmetros financeiros Despesa'!F$4)*(1+'Parâmetros financeiros Despesa'!F$7)</f>
        <v>2180.663</v>
      </c>
      <c r="M1344" s="799">
        <f>L1344/L$1396</f>
        <v>1.4331091904680317E-3</v>
      </c>
      <c r="N1344" s="894"/>
      <c r="O1344" s="796"/>
    </row>
    <row r="1345" spans="1:16" s="115" customFormat="1" ht="15" customHeight="1" x14ac:dyDescent="0.25">
      <c r="A1345" s="396"/>
      <c r="B1345" s="994"/>
      <c r="C1345" s="994"/>
      <c r="D1345" s="994" t="s">
        <v>7645</v>
      </c>
      <c r="E1345" s="854">
        <v>333903600000000</v>
      </c>
      <c r="F1345" s="855" t="s">
        <v>7496</v>
      </c>
      <c r="G1345" s="468">
        <v>1</v>
      </c>
      <c r="H1345" s="468">
        <v>0</v>
      </c>
      <c r="I1345" s="751"/>
      <c r="J1345" s="878" t="s">
        <v>7625</v>
      </c>
      <c r="K1345" s="789">
        <f>('Parâmetros financeiros Despesa'!E637)</f>
        <v>0</v>
      </c>
      <c r="L1345" s="789">
        <f>('Parâmetros financeiros Despesa'!F637)*(1+'Parâmetros financeiros Despesa'!F$4)*(1+'Parâmetros financeiros Despesa'!F$7)</f>
        <v>5451.6575000000003</v>
      </c>
      <c r="M1345" s="799">
        <f t="shared" ref="M1345:M1349" si="245">L1345/L$1396</f>
        <v>3.5827729761700794E-3</v>
      </c>
      <c r="N1345" s="894"/>
      <c r="O1345" s="796"/>
    </row>
    <row r="1346" spans="1:16" s="115" customFormat="1" ht="15" customHeight="1" x14ac:dyDescent="0.25">
      <c r="A1346" s="396"/>
      <c r="B1346" s="1398" t="s">
        <v>7646</v>
      </c>
      <c r="C1346" s="1398"/>
      <c r="D1346" s="1398"/>
      <c r="E1346" s="854">
        <v>333903900000000</v>
      </c>
      <c r="F1346" s="855" t="s">
        <v>7660</v>
      </c>
      <c r="G1346" s="468">
        <v>1</v>
      </c>
      <c r="H1346" s="468">
        <v>0</v>
      </c>
      <c r="I1346" s="751"/>
      <c r="J1346" s="878" t="s">
        <v>7625</v>
      </c>
      <c r="K1346" s="789">
        <f>('Parâmetros financeiros Despesa'!E638+'Parâmetros financeiros Despesa'!E639)</f>
        <v>0</v>
      </c>
      <c r="L1346" s="789">
        <f>('Parâmetros financeiros Despesa'!F638+'Parâmetros financeiros Despesa'!F639)*(1+'Parâmetros financeiros Despesa'!F$4)*(1+'Parâmetros financeiros Despesa'!F$7)</f>
        <v>10903.315000000001</v>
      </c>
      <c r="M1346" s="799">
        <f t="shared" si="245"/>
        <v>7.1655459523401587E-3</v>
      </c>
      <c r="N1346" s="894"/>
      <c r="O1346" s="796"/>
    </row>
    <row r="1347" spans="1:16" s="115" customFormat="1" ht="15" customHeight="1" x14ac:dyDescent="0.25">
      <c r="A1347" s="396"/>
      <c r="B1347" s="1398" t="s">
        <v>7647</v>
      </c>
      <c r="C1347" s="1398"/>
      <c r="D1347" s="1398"/>
      <c r="E1347" s="854">
        <v>333904700000000</v>
      </c>
      <c r="F1347" s="855" t="s">
        <v>7661</v>
      </c>
      <c r="G1347" s="468">
        <v>1</v>
      </c>
      <c r="H1347" s="468">
        <v>0</v>
      </c>
      <c r="I1347" s="751"/>
      <c r="J1347" s="878" t="s">
        <v>7625</v>
      </c>
      <c r="K1347" s="789">
        <f>(('Parâmetros financeiros Despesa'!E636+'Parâmetros financeiros Despesa'!E637+'Parâmetros financeiros Despesa'!E639))</f>
        <v>0</v>
      </c>
      <c r="L1347" s="789">
        <f>(('Parâmetros financeiros Despesa'!F636+'Parâmetros financeiros Despesa'!F637+'Parâmetros financeiros Despesa'!F639)*(1+'Parâmetros financeiros Despesa'!F$4)*(1+'Parâmetros financeiros Despesa'!F$7))*('Parâmetros financeiros Despesa'!F$83)</f>
        <v>2398.7293000000004</v>
      </c>
      <c r="M1347" s="799">
        <f t="shared" si="245"/>
        <v>1.576420109514835E-3</v>
      </c>
      <c r="N1347" s="894"/>
      <c r="O1347" s="796"/>
    </row>
    <row r="1348" spans="1:16" s="115" customFormat="1" ht="15" customHeight="1" x14ac:dyDescent="0.25">
      <c r="A1348" s="396"/>
      <c r="B1348" s="1398" t="s">
        <v>7648</v>
      </c>
      <c r="C1348" s="1398"/>
      <c r="D1348" s="1398"/>
      <c r="E1348" s="854">
        <v>344905100000000</v>
      </c>
      <c r="F1348" s="855" t="s">
        <v>7662</v>
      </c>
      <c r="G1348" s="468">
        <v>1</v>
      </c>
      <c r="H1348" s="468">
        <v>0</v>
      </c>
      <c r="I1348" s="751"/>
      <c r="J1348" s="878" t="s">
        <v>7625</v>
      </c>
      <c r="K1348" s="789">
        <f>('Parâmetros financeiros Despesa'!E640)</f>
        <v>0</v>
      </c>
      <c r="L1348" s="789">
        <f>('Parâmetros financeiros Despesa'!F640)*(1+'Parâmetros financeiros Despesa'!F$4)*(1+'Parâmetros financeiros Despesa'!F$7)</f>
        <v>5451.6575000000003</v>
      </c>
      <c r="M1348" s="799">
        <f t="shared" si="245"/>
        <v>3.5827729761700794E-3</v>
      </c>
      <c r="N1348" s="894"/>
      <c r="O1348" s="796"/>
    </row>
    <row r="1349" spans="1:16" s="115" customFormat="1" ht="15" customHeight="1" x14ac:dyDescent="0.25">
      <c r="A1349" s="396"/>
      <c r="B1349" s="1398" t="s">
        <v>7649</v>
      </c>
      <c r="C1349" s="1398"/>
      <c r="D1349" s="1398"/>
      <c r="E1349" s="854">
        <v>344905200000000</v>
      </c>
      <c r="F1349" s="855" t="s">
        <v>7663</v>
      </c>
      <c r="G1349" s="468">
        <v>1</v>
      </c>
      <c r="H1349" s="468">
        <v>0</v>
      </c>
      <c r="I1349" s="751"/>
      <c r="J1349" s="878" t="s">
        <v>7625</v>
      </c>
      <c r="K1349" s="789">
        <f>('Parâmetros financeiros Despesa'!E641)</f>
        <v>0</v>
      </c>
      <c r="L1349" s="789">
        <f>('Parâmetros financeiros Despesa'!F641)*(1+'Parâmetros financeiros Despesa'!F$4)*(1+'Parâmetros financeiros Despesa'!F$7)</f>
        <v>5451.6575000000003</v>
      </c>
      <c r="M1349" s="799">
        <f t="shared" si="245"/>
        <v>3.5827729761700794E-3</v>
      </c>
      <c r="N1349" s="894"/>
      <c r="O1349" s="796"/>
    </row>
    <row r="1350" spans="1:16" s="115" customFormat="1" ht="15" customHeight="1" x14ac:dyDescent="0.25">
      <c r="A1350" s="396"/>
      <c r="B1350" s="1385" t="s">
        <v>7445</v>
      </c>
      <c r="C1350" s="1385"/>
      <c r="D1350" s="1385"/>
      <c r="E1350" s="1385"/>
      <c r="F1350" s="1385"/>
      <c r="G1350" s="401"/>
      <c r="H1350" s="401"/>
      <c r="I1350" s="426"/>
      <c r="J1350" s="411"/>
      <c r="K1350" s="402">
        <f t="shared" ref="K1350:L1352" si="246">K1351</f>
        <v>23760.35</v>
      </c>
      <c r="L1350" s="402">
        <f t="shared" si="246"/>
        <v>34302.220606024996</v>
      </c>
      <c r="M1350" s="451">
        <f>L1350/L$1396</f>
        <v>2.2543064932067133E-2</v>
      </c>
      <c r="N1350" s="894"/>
    </row>
    <row r="1351" spans="1:16" s="725" customFormat="1" ht="15" customHeight="1" x14ac:dyDescent="0.25">
      <c r="A1351" s="396"/>
      <c r="B1351" s="1386" t="s">
        <v>7591</v>
      </c>
      <c r="C1351" s="1386"/>
      <c r="D1351" s="1386"/>
      <c r="E1351" s="1386"/>
      <c r="F1351" s="1386"/>
      <c r="G1351" s="403"/>
      <c r="H1351" s="403"/>
      <c r="I1351" s="427"/>
      <c r="J1351" s="412"/>
      <c r="K1351" s="404">
        <f t="shared" si="246"/>
        <v>23760.35</v>
      </c>
      <c r="L1351" s="404">
        <f t="shared" si="246"/>
        <v>34302.220606024996</v>
      </c>
      <c r="M1351" s="799">
        <f>L1351/L$1396</f>
        <v>2.2543064932067133E-2</v>
      </c>
      <c r="N1351" s="796"/>
    </row>
    <row r="1352" spans="1:16" s="725" customFormat="1" ht="15" customHeight="1" x14ac:dyDescent="0.25">
      <c r="A1352" s="396"/>
      <c r="B1352" s="1382" t="s">
        <v>7283</v>
      </c>
      <c r="C1352" s="1382"/>
      <c r="D1352" s="1382"/>
      <c r="E1352" s="1382"/>
      <c r="F1352" s="1382"/>
      <c r="G1352" s="405"/>
      <c r="H1352" s="405"/>
      <c r="I1352" s="428"/>
      <c r="J1352" s="413"/>
      <c r="K1352" s="406">
        <f t="shared" si="246"/>
        <v>23760.35</v>
      </c>
      <c r="L1352" s="406">
        <f t="shared" si="246"/>
        <v>34302.220606024996</v>
      </c>
      <c r="M1352" s="453">
        <f>L1352/L$1396</f>
        <v>2.2543064932067133E-2</v>
      </c>
      <c r="N1352" s="796"/>
    </row>
    <row r="1353" spans="1:16" s="725" customFormat="1" ht="15" customHeight="1" x14ac:dyDescent="0.25">
      <c r="A1353" s="396"/>
      <c r="B1353" s="1383" t="s">
        <v>7452</v>
      </c>
      <c r="C1353" s="1383"/>
      <c r="D1353" s="1383"/>
      <c r="E1353" s="1383"/>
      <c r="F1353" s="1383"/>
      <c r="G1353" s="407"/>
      <c r="H1353" s="407"/>
      <c r="I1353" s="429"/>
      <c r="J1353" s="414"/>
      <c r="K1353" s="408">
        <f>SUM(K1354:K1361)</f>
        <v>23760.35</v>
      </c>
      <c r="L1353" s="408">
        <f>SUM(L1354:L1361)+0.01</f>
        <v>34302.220606024996</v>
      </c>
      <c r="M1353" s="454">
        <f>L1353/L$1396</f>
        <v>2.2543064932067133E-2</v>
      </c>
      <c r="N1353" s="796"/>
      <c r="P1353" s="399"/>
    </row>
    <row r="1354" spans="1:16" s="725" customFormat="1" ht="15" customHeight="1" x14ac:dyDescent="0.25">
      <c r="A1354" s="397"/>
      <c r="B1354" s="1396">
        <v>106000</v>
      </c>
      <c r="C1354" s="1396"/>
      <c r="D1354" s="1396"/>
      <c r="E1354" s="417">
        <v>333604500000000</v>
      </c>
      <c r="F1354" s="418" t="s">
        <v>7653</v>
      </c>
      <c r="G1354" s="468">
        <v>1</v>
      </c>
      <c r="H1354" s="468">
        <v>0</v>
      </c>
      <c r="I1354" s="751"/>
      <c r="J1354" s="878" t="s">
        <v>7625</v>
      </c>
      <c r="K1354" s="789">
        <f>('Parâmetros financeiros Despesa'!E645+'Parâmetros financeiros Despesa'!E643)</f>
        <v>0</v>
      </c>
      <c r="L1354" s="789">
        <f>('Parâmetros financeiros Despesa'!F645+'Parâmetros financeiros Despesa'!F643)*(1+'Parâmetros financeiros Despesa'!F$4)*(1+'Parâmetros financeiros Despesa'!F$7)</f>
        <v>1199.36465</v>
      </c>
      <c r="M1354" s="799">
        <f>L1354/L$1396</f>
        <v>7.8821005475741737E-4</v>
      </c>
      <c r="N1354" s="894"/>
      <c r="O1354" s="796"/>
      <c r="P1354" s="399"/>
    </row>
    <row r="1355" spans="1:16" s="725" customFormat="1" ht="15" customHeight="1" x14ac:dyDescent="0.25">
      <c r="A1355" s="397"/>
      <c r="B1355" s="1396">
        <v>106100</v>
      </c>
      <c r="C1355" s="1396"/>
      <c r="D1355" s="1396"/>
      <c r="E1355" s="417">
        <v>333903000000000</v>
      </c>
      <c r="F1355" s="418" t="s">
        <v>7654</v>
      </c>
      <c r="G1355" s="468">
        <v>1</v>
      </c>
      <c r="H1355" s="468">
        <v>0</v>
      </c>
      <c r="I1355" s="751"/>
      <c r="J1355" s="878" t="s">
        <v>7625</v>
      </c>
      <c r="K1355" s="789">
        <f>('Parâmetros financeiros Despesa'!E644+'Parâmetros financeiros Despesa'!E645)</f>
        <v>3776.25</v>
      </c>
      <c r="L1355" s="789">
        <f>('Parâmetros financeiros Despesa'!F644+'Parâmetros financeiros Despesa'!F645)*(1+'Parâmetros financeiros Despesa'!F$4)*(1+'Parâmetros financeiros Despesa'!F$7)</f>
        <v>5207.6958268750004</v>
      </c>
      <c r="M1355" s="799">
        <f t="shared" ref="M1355:M1361" si="247">L1355/L$1396</f>
        <v>3.4224438854864683E-3</v>
      </c>
      <c r="N1355" s="894"/>
      <c r="O1355" s="796"/>
      <c r="P1355" s="399"/>
    </row>
    <row r="1356" spans="1:16" s="725" customFormat="1" ht="15" customHeight="1" x14ac:dyDescent="0.25">
      <c r="A1356" s="397"/>
      <c r="B1356" s="1396">
        <v>106200</v>
      </c>
      <c r="C1356" s="1396"/>
      <c r="D1356" s="1396"/>
      <c r="E1356" s="417">
        <v>333903200000000</v>
      </c>
      <c r="F1356" s="418" t="s">
        <v>7668</v>
      </c>
      <c r="G1356" s="468">
        <v>1</v>
      </c>
      <c r="H1356" s="468">
        <v>0</v>
      </c>
      <c r="I1356" s="751"/>
      <c r="J1356" s="878" t="s">
        <v>7625</v>
      </c>
      <c r="K1356" s="789">
        <f>('Parâmetros financeiros Despesa'!E646)</f>
        <v>19984.099999999999</v>
      </c>
      <c r="L1356" s="789">
        <f>('Parâmetros financeiros Despesa'!F646)*(1+'Parâmetros financeiros Despesa'!F$4)*(1+'Parâmetros financeiros Despesa'!F$7)</f>
        <v>21789.293729149998</v>
      </c>
      <c r="M1356" s="799">
        <f t="shared" si="247"/>
        <v>1.4319698686616094E-2</v>
      </c>
      <c r="N1356" s="894"/>
      <c r="O1356" s="796"/>
      <c r="P1356" s="399"/>
    </row>
    <row r="1357" spans="1:16" s="725" customFormat="1" ht="15" customHeight="1" x14ac:dyDescent="0.25">
      <c r="A1357" s="397"/>
      <c r="B1357" s="994"/>
      <c r="C1357" s="994"/>
      <c r="D1357" s="994" t="s">
        <v>7664</v>
      </c>
      <c r="E1357" s="417">
        <v>333903600000000</v>
      </c>
      <c r="F1357" s="418" t="s">
        <v>7655</v>
      </c>
      <c r="G1357" s="468">
        <v>1</v>
      </c>
      <c r="H1357" s="468">
        <v>0</v>
      </c>
      <c r="I1357" s="751"/>
      <c r="J1357" s="878" t="s">
        <v>7625</v>
      </c>
      <c r="K1357" s="789">
        <f>('Parâmetros financeiros Despesa'!E647)</f>
        <v>0</v>
      </c>
      <c r="L1357" s="789">
        <f>('Parâmetros financeiros Despesa'!F647)*(1+'Parâmetros financeiros Despesa'!F$4)*(1+'Parâmetros financeiros Despesa'!F$7)</f>
        <v>1090.3315</v>
      </c>
      <c r="M1357" s="799">
        <f t="shared" si="247"/>
        <v>7.1655459523401583E-4</v>
      </c>
      <c r="N1357" s="894"/>
      <c r="O1357" s="796"/>
      <c r="P1357" s="399"/>
    </row>
    <row r="1358" spans="1:16" s="725" customFormat="1" ht="15" customHeight="1" x14ac:dyDescent="0.25">
      <c r="A1358" s="397"/>
      <c r="B1358" s="1398" t="s">
        <v>7665</v>
      </c>
      <c r="C1358" s="1398"/>
      <c r="D1358" s="1398"/>
      <c r="E1358" s="417">
        <v>333903900000000</v>
      </c>
      <c r="F1358" s="418" t="s">
        <v>7656</v>
      </c>
      <c r="G1358" s="468">
        <v>1</v>
      </c>
      <c r="H1358" s="468">
        <v>0</v>
      </c>
      <c r="I1358" s="751"/>
      <c r="J1358" s="878" t="s">
        <v>7625</v>
      </c>
      <c r="K1358" s="789">
        <f>('Parâmetros financeiros Despesa'!E648+'Parâmetros financeiros Despesa'!E649)</f>
        <v>0</v>
      </c>
      <c r="L1358" s="789">
        <f>('Parâmetros financeiros Despesa'!F648+'Parâmetros financeiros Despesa'!F649)*(1+'Parâmetros financeiros Despesa'!F$4)*(1+'Parâmetros financeiros Despesa'!F$7)</f>
        <v>2180.663</v>
      </c>
      <c r="M1358" s="799">
        <f t="shared" si="247"/>
        <v>1.4331091904680317E-3</v>
      </c>
      <c r="N1358" s="894"/>
      <c r="O1358" s="796"/>
      <c r="P1358" s="399"/>
    </row>
    <row r="1359" spans="1:16" s="725" customFormat="1" ht="15" customHeight="1" x14ac:dyDescent="0.25">
      <c r="A1359" s="397"/>
      <c r="B1359" s="1398" t="s">
        <v>7666</v>
      </c>
      <c r="C1359" s="1398"/>
      <c r="D1359" s="1398"/>
      <c r="E1359" s="417">
        <v>333904700000000</v>
      </c>
      <c r="F1359" s="418" t="s">
        <v>7657</v>
      </c>
      <c r="G1359" s="468">
        <v>1</v>
      </c>
      <c r="H1359" s="468">
        <v>0</v>
      </c>
      <c r="I1359" s="751"/>
      <c r="J1359" s="878" t="s">
        <v>7625</v>
      </c>
      <c r="K1359" s="789">
        <f>(('Parâmetros financeiros Despesa'!E645+'Parâmetros financeiros Despesa'!E647+'Parâmetros financeiros Despesa'!E649))</f>
        <v>0</v>
      </c>
      <c r="L1359" s="789">
        <f>(('Parâmetros financeiros Despesa'!F645+'Parâmetros financeiros Despesa'!F647+'Parâmetros financeiros Despesa'!F649)*(1+'Parâmetros financeiros Despesa'!F$4)*(1+'Parâmetros financeiros Despesa'!F$7))*('Parâmetros financeiros Despesa'!F$83)</f>
        <v>654.19890000000009</v>
      </c>
      <c r="M1359" s="799">
        <f t="shared" si="247"/>
        <v>4.2993275714040956E-4</v>
      </c>
      <c r="N1359" s="894"/>
      <c r="O1359" s="796"/>
      <c r="P1359" s="399"/>
    </row>
    <row r="1360" spans="1:16" s="725" customFormat="1" ht="15" customHeight="1" x14ac:dyDescent="0.25">
      <c r="A1360" s="397"/>
      <c r="B1360" s="1398" t="s">
        <v>7667</v>
      </c>
      <c r="C1360" s="1398"/>
      <c r="D1360" s="1398"/>
      <c r="E1360" s="417">
        <v>344905100000000</v>
      </c>
      <c r="F1360" s="418" t="s">
        <v>7658</v>
      </c>
      <c r="G1360" s="468">
        <v>1</v>
      </c>
      <c r="H1360" s="468">
        <v>0</v>
      </c>
      <c r="I1360" s="751"/>
      <c r="J1360" s="878" t="s">
        <v>7625</v>
      </c>
      <c r="K1360" s="789">
        <f>('Parâmetros financeiros Despesa'!E650)</f>
        <v>0</v>
      </c>
      <c r="L1360" s="789">
        <f>('Parâmetros financeiros Despesa'!F650)*(1+'Parâmetros financeiros Despesa'!F$4)*(1+'Parâmetros financeiros Despesa'!F$7)</f>
        <v>1090.3315</v>
      </c>
      <c r="M1360" s="799">
        <f t="shared" si="247"/>
        <v>7.1655459523401583E-4</v>
      </c>
      <c r="N1360" s="894"/>
      <c r="O1360" s="796"/>
      <c r="P1360" s="399"/>
    </row>
    <row r="1361" spans="1:16" s="725" customFormat="1" ht="15" customHeight="1" x14ac:dyDescent="0.25">
      <c r="A1361" s="397"/>
      <c r="B1361" s="1398" t="s">
        <v>7669</v>
      </c>
      <c r="C1361" s="1398"/>
      <c r="D1361" s="1398"/>
      <c r="E1361" s="417">
        <v>344905200000000</v>
      </c>
      <c r="F1361" s="418" t="s">
        <v>7659</v>
      </c>
      <c r="G1361" s="468">
        <v>1</v>
      </c>
      <c r="H1361" s="468">
        <v>0</v>
      </c>
      <c r="I1361" s="751"/>
      <c r="J1361" s="878" t="s">
        <v>7625</v>
      </c>
      <c r="K1361" s="789">
        <f>('Parâmetros financeiros Despesa'!E651)</f>
        <v>0</v>
      </c>
      <c r="L1361" s="789">
        <f>('Parâmetros financeiros Despesa'!F651)*(1+'Parâmetros financeiros Despesa'!F$4)*(1+'Parâmetros financeiros Despesa'!F$7)</f>
        <v>1090.3315</v>
      </c>
      <c r="M1361" s="799">
        <f t="shared" si="247"/>
        <v>7.1655459523401583E-4</v>
      </c>
      <c r="N1361" s="894"/>
      <c r="O1361" s="796"/>
      <c r="P1361" s="399"/>
    </row>
    <row r="1362" spans="1:16" s="115" customFormat="1" ht="15" customHeight="1" x14ac:dyDescent="0.25">
      <c r="A1362" s="396"/>
      <c r="B1362" s="1385" t="s">
        <v>7445</v>
      </c>
      <c r="C1362" s="1385"/>
      <c r="D1362" s="1385"/>
      <c r="E1362" s="1385"/>
      <c r="F1362" s="1385"/>
      <c r="G1362" s="401"/>
      <c r="H1362" s="401"/>
      <c r="I1362" s="426"/>
      <c r="J1362" s="411"/>
      <c r="K1362" s="402">
        <f t="shared" ref="K1362:L1364" si="248">K1363</f>
        <v>124992</v>
      </c>
      <c r="L1362" s="402">
        <f t="shared" si="248"/>
        <v>182049.61</v>
      </c>
      <c r="M1362" s="451">
        <f t="shared" ref="M1362:M1371" si="249">L1362/L$1396</f>
        <v>0.11964112254489614</v>
      </c>
      <c r="N1362" s="894"/>
    </row>
    <row r="1363" spans="1:16" s="725" customFormat="1" ht="15" customHeight="1" x14ac:dyDescent="0.25">
      <c r="A1363" s="396"/>
      <c r="B1363" s="1386" t="s">
        <v>7592</v>
      </c>
      <c r="C1363" s="1386"/>
      <c r="D1363" s="1386"/>
      <c r="E1363" s="1386"/>
      <c r="F1363" s="1386"/>
      <c r="G1363" s="403"/>
      <c r="H1363" s="403"/>
      <c r="I1363" s="427"/>
      <c r="J1363" s="412"/>
      <c r="K1363" s="404">
        <f t="shared" si="248"/>
        <v>124992</v>
      </c>
      <c r="L1363" s="404">
        <f t="shared" si="248"/>
        <v>182049.61</v>
      </c>
      <c r="M1363" s="799">
        <f t="shared" si="249"/>
        <v>0.11964112254489614</v>
      </c>
      <c r="N1363" s="796"/>
    </row>
    <row r="1364" spans="1:16" s="725" customFormat="1" ht="15" customHeight="1" x14ac:dyDescent="0.25">
      <c r="A1364" s="396"/>
      <c r="B1364" s="1382" t="s">
        <v>7283</v>
      </c>
      <c r="C1364" s="1382"/>
      <c r="D1364" s="1382"/>
      <c r="E1364" s="1382"/>
      <c r="F1364" s="1382"/>
      <c r="G1364" s="405"/>
      <c r="H1364" s="405"/>
      <c r="I1364" s="428"/>
      <c r="J1364" s="413"/>
      <c r="K1364" s="406">
        <f t="shared" si="248"/>
        <v>124992</v>
      </c>
      <c r="L1364" s="406">
        <f t="shared" si="248"/>
        <v>182049.61</v>
      </c>
      <c r="M1364" s="453">
        <f t="shared" si="249"/>
        <v>0.11964112254489614</v>
      </c>
      <c r="N1364" s="796"/>
    </row>
    <row r="1365" spans="1:16" s="725" customFormat="1" ht="15" customHeight="1" x14ac:dyDescent="0.25">
      <c r="A1365" s="396"/>
      <c r="B1365" s="1383" t="s">
        <v>7452</v>
      </c>
      <c r="C1365" s="1383"/>
      <c r="D1365" s="1383"/>
      <c r="E1365" s="1383"/>
      <c r="F1365" s="1383"/>
      <c r="G1365" s="407"/>
      <c r="H1365" s="407"/>
      <c r="I1365" s="429"/>
      <c r="J1365" s="414"/>
      <c r="K1365" s="408">
        <f>SUM(K1366)</f>
        <v>124992</v>
      </c>
      <c r="L1365" s="408">
        <f>SUM(L1366)</f>
        <v>182049.61</v>
      </c>
      <c r="M1365" s="454">
        <f t="shared" si="249"/>
        <v>0.11964112254489614</v>
      </c>
      <c r="N1365" s="796"/>
    </row>
    <row r="1366" spans="1:16" s="725" customFormat="1" ht="15" customHeight="1" x14ac:dyDescent="0.25">
      <c r="A1366" s="397"/>
      <c r="B1366" s="1396">
        <v>107000</v>
      </c>
      <c r="C1366" s="1396"/>
      <c r="D1366" s="1396"/>
      <c r="E1366" s="417">
        <v>333304100000000</v>
      </c>
      <c r="F1366" s="418" t="s">
        <v>4377</v>
      </c>
      <c r="G1366" s="468">
        <v>1</v>
      </c>
      <c r="H1366" s="468">
        <v>0</v>
      </c>
      <c r="I1366" s="751"/>
      <c r="J1366" s="878" t="s">
        <v>7625</v>
      </c>
      <c r="K1366" s="789">
        <f>'Parâmetros financeiros Despesa'!D653</f>
        <v>124992</v>
      </c>
      <c r="L1366" s="789">
        <f>'Parâmetros financeiros Despesa'!F653</f>
        <v>182049.61</v>
      </c>
      <c r="M1366" s="799">
        <f t="shared" si="249"/>
        <v>0.11964112254489614</v>
      </c>
      <c r="N1366" s="796"/>
    </row>
    <row r="1367" spans="1:16" s="115" customFormat="1" ht="15" customHeight="1" x14ac:dyDescent="0.25">
      <c r="A1367" s="396"/>
      <c r="B1367" s="1385" t="s">
        <v>7650</v>
      </c>
      <c r="C1367" s="1385"/>
      <c r="D1367" s="1385"/>
      <c r="E1367" s="1385"/>
      <c r="F1367" s="1385"/>
      <c r="G1367" s="401">
        <v>1</v>
      </c>
      <c r="H1367" s="401">
        <v>0</v>
      </c>
      <c r="I1367" s="426"/>
      <c r="J1367" s="411"/>
      <c r="K1367" s="402">
        <f t="shared" ref="K1367:L1369" si="250">K1368</f>
        <v>0</v>
      </c>
      <c r="L1367" s="402">
        <f t="shared" si="250"/>
        <v>106285.57</v>
      </c>
      <c r="M1367" s="451">
        <f t="shared" si="249"/>
        <v>6.9849778338575613E-2</v>
      </c>
      <c r="N1367" s="894"/>
    </row>
    <row r="1368" spans="1:16" s="725" customFormat="1" ht="15" customHeight="1" x14ac:dyDescent="0.25">
      <c r="A1368" s="396"/>
      <c r="B1368" s="1386" t="s">
        <v>7651</v>
      </c>
      <c r="C1368" s="1386"/>
      <c r="D1368" s="1386"/>
      <c r="E1368" s="1386"/>
      <c r="F1368" s="1386"/>
      <c r="G1368" s="403"/>
      <c r="H1368" s="403"/>
      <c r="I1368" s="427"/>
      <c r="J1368" s="412"/>
      <c r="K1368" s="404">
        <f t="shared" si="250"/>
        <v>0</v>
      </c>
      <c r="L1368" s="404">
        <f t="shared" si="250"/>
        <v>106285.57</v>
      </c>
      <c r="M1368" s="799">
        <f t="shared" si="249"/>
        <v>6.9849778338575613E-2</v>
      </c>
      <c r="N1368" s="796"/>
    </row>
    <row r="1369" spans="1:16" s="725" customFormat="1" ht="15" customHeight="1" x14ac:dyDescent="0.25">
      <c r="A1369" s="396"/>
      <c r="B1369" s="1382" t="s">
        <v>7283</v>
      </c>
      <c r="C1369" s="1382"/>
      <c r="D1369" s="1382"/>
      <c r="E1369" s="1382"/>
      <c r="F1369" s="1382"/>
      <c r="G1369" s="405"/>
      <c r="H1369" s="405"/>
      <c r="I1369" s="428"/>
      <c r="J1369" s="413"/>
      <c r="K1369" s="406">
        <f t="shared" si="250"/>
        <v>0</v>
      </c>
      <c r="L1369" s="406">
        <f t="shared" si="250"/>
        <v>106285.57</v>
      </c>
      <c r="M1369" s="453">
        <f t="shared" si="249"/>
        <v>6.9849778338575613E-2</v>
      </c>
      <c r="N1369" s="796"/>
    </row>
    <row r="1370" spans="1:16" s="725" customFormat="1" ht="15" customHeight="1" x14ac:dyDescent="0.25">
      <c r="A1370" s="396"/>
      <c r="B1370" s="1383" t="s">
        <v>7452</v>
      </c>
      <c r="C1370" s="1383"/>
      <c r="D1370" s="1383"/>
      <c r="E1370" s="1383"/>
      <c r="F1370" s="1383"/>
      <c r="G1370" s="407"/>
      <c r="H1370" s="407"/>
      <c r="I1370" s="429"/>
      <c r="J1370" s="414"/>
      <c r="K1370" s="408">
        <f>SUM(K1371:K1373)</f>
        <v>0</v>
      </c>
      <c r="L1370" s="408">
        <f>SUM(L1371:L1373)</f>
        <v>106285.57</v>
      </c>
      <c r="M1370" s="454">
        <f t="shared" si="249"/>
        <v>6.9849778338575613E-2</v>
      </c>
      <c r="N1370" s="796"/>
    </row>
    <row r="1371" spans="1:16" s="725" customFormat="1" ht="15" customHeight="1" x14ac:dyDescent="0.25">
      <c r="A1371" s="397"/>
      <c r="B1371" s="994"/>
      <c r="C1371" s="994"/>
      <c r="D1371" s="994" t="s">
        <v>7670</v>
      </c>
      <c r="E1371" s="417">
        <v>344309300000000</v>
      </c>
      <c r="F1371" s="418" t="s">
        <v>11464</v>
      </c>
      <c r="G1371" s="468">
        <v>1160</v>
      </c>
      <c r="H1371" s="468">
        <v>0</v>
      </c>
      <c r="I1371" s="751"/>
      <c r="J1371" s="878" t="s">
        <v>7625</v>
      </c>
      <c r="K1371" s="789">
        <f>'Parâmetros financeiros Despesa'!E655</f>
        <v>0</v>
      </c>
      <c r="L1371" s="789">
        <f>'Parâmetros financeiros Despesa'!F655</f>
        <v>1</v>
      </c>
      <c r="M1371" s="799">
        <f t="shared" si="249"/>
        <v>6.5718966684353865E-7</v>
      </c>
      <c r="N1371" s="796"/>
    </row>
    <row r="1372" spans="1:16" s="725" customFormat="1" ht="15" customHeight="1" x14ac:dyDescent="0.25">
      <c r="A1372" s="397"/>
      <c r="B1372" s="1398" t="s">
        <v>7671</v>
      </c>
      <c r="C1372" s="1398"/>
      <c r="D1372" s="1398"/>
      <c r="E1372" s="417">
        <v>344905100000000</v>
      </c>
      <c r="F1372" s="418" t="s">
        <v>11465</v>
      </c>
      <c r="G1372" s="468">
        <v>1</v>
      </c>
      <c r="H1372" s="468">
        <v>0</v>
      </c>
      <c r="I1372" s="751"/>
      <c r="J1372" s="878" t="s">
        <v>7625</v>
      </c>
      <c r="K1372" s="789">
        <f>'Parâmetros financeiros Despesa'!E656</f>
        <v>0</v>
      </c>
      <c r="L1372" s="789">
        <f>'Parâmetros financeiros Despesa'!F656</f>
        <v>6185.57</v>
      </c>
      <c r="M1372" s="799">
        <f t="shared" ref="M1372:M1373" si="251">L1372/L$1396</f>
        <v>4.0650926875373875E-3</v>
      </c>
      <c r="N1372" s="796"/>
    </row>
    <row r="1373" spans="1:16" s="725" customFormat="1" ht="15" customHeight="1" x14ac:dyDescent="0.25">
      <c r="A1373" s="397"/>
      <c r="B1373" s="1398" t="s">
        <v>7672</v>
      </c>
      <c r="C1373" s="1398"/>
      <c r="D1373" s="1398"/>
      <c r="E1373" s="417">
        <v>344905100000000</v>
      </c>
      <c r="F1373" s="418" t="s">
        <v>11465</v>
      </c>
      <c r="G1373" s="468">
        <v>1160</v>
      </c>
      <c r="H1373" s="468">
        <v>0</v>
      </c>
      <c r="I1373" s="751"/>
      <c r="J1373" s="878" t="s">
        <v>7625</v>
      </c>
      <c r="K1373" s="789">
        <f>'Parâmetros financeiros Despesa'!E657</f>
        <v>0</v>
      </c>
      <c r="L1373" s="789">
        <f>'Parâmetros financeiros Despesa'!F657</f>
        <v>100099</v>
      </c>
      <c r="M1373" s="799">
        <f t="shared" si="251"/>
        <v>6.578402846137138E-2</v>
      </c>
      <c r="N1373" s="796"/>
    </row>
    <row r="1374" spans="1:16" s="115" customFormat="1" ht="15" customHeight="1" x14ac:dyDescent="0.25">
      <c r="A1374" s="396"/>
      <c r="B1374" s="1385" t="s">
        <v>7650</v>
      </c>
      <c r="C1374" s="1385"/>
      <c r="D1374" s="1385"/>
      <c r="E1374" s="1385"/>
      <c r="F1374" s="1385"/>
      <c r="G1374" s="401"/>
      <c r="H1374" s="401"/>
      <c r="I1374" s="426"/>
      <c r="J1374" s="411"/>
      <c r="K1374" s="402">
        <f t="shared" ref="K1374:L1377" si="252">K1375</f>
        <v>0</v>
      </c>
      <c r="L1374" s="402">
        <f t="shared" si="252"/>
        <v>10000</v>
      </c>
      <c r="M1374" s="451">
        <f t="shared" ref="M1374:M1389" si="253">L1374/L$1396</f>
        <v>6.5718966684353867E-3</v>
      </c>
      <c r="N1374" s="894"/>
    </row>
    <row r="1375" spans="1:16" s="725" customFormat="1" ht="15" customHeight="1" x14ac:dyDescent="0.25">
      <c r="A1375" s="396"/>
      <c r="B1375" s="1402" t="s">
        <v>7673</v>
      </c>
      <c r="C1375" s="1402"/>
      <c r="D1375" s="1402"/>
      <c r="E1375" s="1402"/>
      <c r="F1375" s="1402"/>
      <c r="G1375" s="468"/>
      <c r="H1375" s="468"/>
      <c r="I1375" s="751"/>
      <c r="J1375" s="878"/>
      <c r="K1375" s="789">
        <f t="shared" si="252"/>
        <v>0</v>
      </c>
      <c r="L1375" s="789">
        <f t="shared" si="252"/>
        <v>10000</v>
      </c>
      <c r="M1375" s="799">
        <f t="shared" si="253"/>
        <v>6.5718966684353867E-3</v>
      </c>
      <c r="N1375" s="796"/>
    </row>
    <row r="1376" spans="1:16" s="725" customFormat="1" ht="15" customHeight="1" x14ac:dyDescent="0.25">
      <c r="A1376" s="396"/>
      <c r="B1376" s="1382" t="s">
        <v>7283</v>
      </c>
      <c r="C1376" s="1382"/>
      <c r="D1376" s="1382"/>
      <c r="E1376" s="1382"/>
      <c r="F1376" s="1382"/>
      <c r="G1376" s="405"/>
      <c r="H1376" s="405"/>
      <c r="I1376" s="428"/>
      <c r="J1376" s="413"/>
      <c r="K1376" s="406">
        <f t="shared" si="252"/>
        <v>0</v>
      </c>
      <c r="L1376" s="406">
        <f t="shared" si="252"/>
        <v>10000</v>
      </c>
      <c r="M1376" s="453">
        <f t="shared" si="253"/>
        <v>6.5718966684353867E-3</v>
      </c>
      <c r="N1376" s="796"/>
    </row>
    <row r="1377" spans="1:16" s="725" customFormat="1" ht="15" customHeight="1" x14ac:dyDescent="0.25">
      <c r="A1377" s="396"/>
      <c r="B1377" s="1383" t="s">
        <v>7452</v>
      </c>
      <c r="C1377" s="1383"/>
      <c r="D1377" s="1383"/>
      <c r="E1377" s="1383"/>
      <c r="F1377" s="1383"/>
      <c r="G1377" s="407"/>
      <c r="H1377" s="407"/>
      <c r="I1377" s="429"/>
      <c r="J1377" s="414"/>
      <c r="K1377" s="408">
        <f t="shared" si="252"/>
        <v>0</v>
      </c>
      <c r="L1377" s="408">
        <f t="shared" si="252"/>
        <v>10000</v>
      </c>
      <c r="M1377" s="454">
        <f t="shared" si="253"/>
        <v>6.5718966684353867E-3</v>
      </c>
      <c r="N1377" s="796"/>
    </row>
    <row r="1378" spans="1:16" s="725" customFormat="1" ht="15" customHeight="1" x14ac:dyDescent="0.25">
      <c r="A1378" s="397"/>
      <c r="B1378" s="994"/>
      <c r="C1378" s="994"/>
      <c r="D1378" s="994" t="s">
        <v>7674</v>
      </c>
      <c r="E1378" s="417">
        <v>333903200000000</v>
      </c>
      <c r="F1378" s="418" t="s">
        <v>7675</v>
      </c>
      <c r="G1378" s="468">
        <v>1</v>
      </c>
      <c r="H1378" s="468">
        <v>0</v>
      </c>
      <c r="I1378" s="751"/>
      <c r="J1378" s="878" t="s">
        <v>7625</v>
      </c>
      <c r="K1378" s="789">
        <f>'Parâmetros financeiros Despesa'!E659</f>
        <v>0</v>
      </c>
      <c r="L1378" s="789">
        <f>'Parâmetros financeiros Despesa'!F659</f>
        <v>10000</v>
      </c>
      <c r="M1378" s="799">
        <f t="shared" si="253"/>
        <v>6.5718966684353867E-3</v>
      </c>
      <c r="N1378" s="894"/>
      <c r="O1378" s="796"/>
    </row>
    <row r="1379" spans="1:16" s="115" customFormat="1" ht="15" customHeight="1" x14ac:dyDescent="0.25">
      <c r="A1379" s="396"/>
      <c r="B1379" s="1385" t="s">
        <v>7447</v>
      </c>
      <c r="C1379" s="1385"/>
      <c r="D1379" s="1385"/>
      <c r="E1379" s="1385"/>
      <c r="F1379" s="1385"/>
      <c r="G1379" s="401"/>
      <c r="H1379" s="401"/>
      <c r="I1379" s="426"/>
      <c r="J1379" s="411"/>
      <c r="K1379" s="402">
        <f t="shared" ref="K1379:L1382" si="254">K1380</f>
        <v>0</v>
      </c>
      <c r="L1379" s="402">
        <f t="shared" si="254"/>
        <v>1</v>
      </c>
      <c r="M1379" s="451">
        <f t="shared" si="253"/>
        <v>6.5718966684353865E-7</v>
      </c>
      <c r="N1379" s="894"/>
    </row>
    <row r="1380" spans="1:16" s="725" customFormat="1" ht="15" customHeight="1" x14ac:dyDescent="0.25">
      <c r="A1380" s="396"/>
      <c r="B1380" s="1386" t="s">
        <v>7676</v>
      </c>
      <c r="C1380" s="1386"/>
      <c r="D1380" s="1386"/>
      <c r="E1380" s="1386"/>
      <c r="F1380" s="1386"/>
      <c r="G1380" s="403"/>
      <c r="H1380" s="403"/>
      <c r="I1380" s="427"/>
      <c r="J1380" s="412"/>
      <c r="K1380" s="404">
        <f t="shared" si="254"/>
        <v>0</v>
      </c>
      <c r="L1380" s="404">
        <f t="shared" si="254"/>
        <v>1</v>
      </c>
      <c r="M1380" s="799">
        <f t="shared" si="253"/>
        <v>6.5718966684353865E-7</v>
      </c>
      <c r="N1380" s="796"/>
    </row>
    <row r="1381" spans="1:16" s="725" customFormat="1" ht="15" customHeight="1" x14ac:dyDescent="0.25">
      <c r="A1381" s="396"/>
      <c r="B1381" s="1382" t="s">
        <v>7283</v>
      </c>
      <c r="C1381" s="1382"/>
      <c r="D1381" s="1382"/>
      <c r="E1381" s="1382"/>
      <c r="F1381" s="1382"/>
      <c r="G1381" s="405"/>
      <c r="H1381" s="405"/>
      <c r="I1381" s="428"/>
      <c r="J1381" s="413"/>
      <c r="K1381" s="406">
        <f t="shared" si="254"/>
        <v>0</v>
      </c>
      <c r="L1381" s="406">
        <f t="shared" si="254"/>
        <v>1</v>
      </c>
      <c r="M1381" s="453">
        <f t="shared" si="253"/>
        <v>6.5718966684353865E-7</v>
      </c>
      <c r="N1381" s="796"/>
      <c r="P1381" s="796"/>
    </row>
    <row r="1382" spans="1:16" s="725" customFormat="1" ht="15" customHeight="1" x14ac:dyDescent="0.25">
      <c r="A1382" s="396"/>
      <c r="B1382" s="1383" t="s">
        <v>7452</v>
      </c>
      <c r="C1382" s="1383"/>
      <c r="D1382" s="1383"/>
      <c r="E1382" s="1383"/>
      <c r="F1382" s="1383"/>
      <c r="G1382" s="407"/>
      <c r="H1382" s="407"/>
      <c r="I1382" s="429"/>
      <c r="J1382" s="414"/>
      <c r="K1382" s="408">
        <f t="shared" si="254"/>
        <v>0</v>
      </c>
      <c r="L1382" s="408">
        <f t="shared" si="254"/>
        <v>1</v>
      </c>
      <c r="M1382" s="454">
        <f t="shared" si="253"/>
        <v>6.5718966684353865E-7</v>
      </c>
      <c r="N1382" s="796"/>
    </row>
    <row r="1383" spans="1:16" s="725" customFormat="1" ht="15" customHeight="1" x14ac:dyDescent="0.25">
      <c r="A1383" s="397"/>
      <c r="B1383" s="994"/>
      <c r="C1383" s="994"/>
      <c r="D1383" s="994" t="s">
        <v>7678</v>
      </c>
      <c r="E1383" s="417">
        <v>344905100000000</v>
      </c>
      <c r="F1383" s="418" t="s">
        <v>7679</v>
      </c>
      <c r="G1383" s="468">
        <v>1</v>
      </c>
      <c r="H1383" s="468">
        <v>0</v>
      </c>
      <c r="I1383" s="751"/>
      <c r="J1383" s="878" t="s">
        <v>7625</v>
      </c>
      <c r="K1383" s="789">
        <f>'Parâmetros financeiros Despesa'!E661</f>
        <v>0</v>
      </c>
      <c r="L1383" s="789">
        <f>'Parâmetros financeiros Despesa'!F661</f>
        <v>1</v>
      </c>
      <c r="M1383" s="799">
        <f t="shared" si="253"/>
        <v>6.5718966684353865E-7</v>
      </c>
      <c r="N1383" s="894"/>
      <c r="O1383" s="796"/>
    </row>
    <row r="1384" spans="1:16" s="115" customFormat="1" ht="15" customHeight="1" x14ac:dyDescent="0.25">
      <c r="A1384" s="396"/>
      <c r="B1384" s="1385" t="s">
        <v>7447</v>
      </c>
      <c r="C1384" s="1385"/>
      <c r="D1384" s="1385"/>
      <c r="E1384" s="1385"/>
      <c r="F1384" s="1385"/>
      <c r="G1384" s="401"/>
      <c r="H1384" s="401"/>
      <c r="I1384" s="426"/>
      <c r="J1384" s="411"/>
      <c r="K1384" s="402">
        <f t="shared" ref="K1384:L1387" si="255">K1385</f>
        <v>0</v>
      </c>
      <c r="L1384" s="402">
        <f t="shared" si="255"/>
        <v>1</v>
      </c>
      <c r="M1384" s="451">
        <f t="shared" si="253"/>
        <v>6.5718966684353865E-7</v>
      </c>
      <c r="N1384" s="894"/>
    </row>
    <row r="1385" spans="1:16" s="725" customFormat="1" ht="15" customHeight="1" x14ac:dyDescent="0.25">
      <c r="A1385" s="396"/>
      <c r="B1385" s="1402" t="s">
        <v>7677</v>
      </c>
      <c r="C1385" s="1402"/>
      <c r="D1385" s="1402"/>
      <c r="E1385" s="1402"/>
      <c r="F1385" s="1402"/>
      <c r="G1385" s="468"/>
      <c r="H1385" s="468"/>
      <c r="I1385" s="751"/>
      <c r="J1385" s="878"/>
      <c r="K1385" s="789">
        <f t="shared" si="255"/>
        <v>0</v>
      </c>
      <c r="L1385" s="789">
        <f t="shared" si="255"/>
        <v>1</v>
      </c>
      <c r="M1385" s="799">
        <f t="shared" si="253"/>
        <v>6.5718966684353865E-7</v>
      </c>
      <c r="N1385" s="796"/>
      <c r="P1385" s="399"/>
    </row>
    <row r="1386" spans="1:16" s="725" customFormat="1" ht="15" customHeight="1" x14ac:dyDescent="0.25">
      <c r="A1386" s="396"/>
      <c r="B1386" s="1382" t="s">
        <v>7283</v>
      </c>
      <c r="C1386" s="1382"/>
      <c r="D1386" s="1382"/>
      <c r="E1386" s="1382"/>
      <c r="F1386" s="1382"/>
      <c r="G1386" s="405"/>
      <c r="H1386" s="405"/>
      <c r="I1386" s="428"/>
      <c r="J1386" s="413"/>
      <c r="K1386" s="406">
        <f t="shared" si="255"/>
        <v>0</v>
      </c>
      <c r="L1386" s="406">
        <f t="shared" si="255"/>
        <v>1</v>
      </c>
      <c r="M1386" s="453">
        <f t="shared" si="253"/>
        <v>6.5718966684353865E-7</v>
      </c>
      <c r="N1386" s="796"/>
      <c r="P1386" s="399"/>
    </row>
    <row r="1387" spans="1:16" s="725" customFormat="1" ht="15" customHeight="1" x14ac:dyDescent="0.25">
      <c r="A1387" s="396"/>
      <c r="B1387" s="1383" t="s">
        <v>7452</v>
      </c>
      <c r="C1387" s="1383"/>
      <c r="D1387" s="1383"/>
      <c r="E1387" s="1383"/>
      <c r="F1387" s="1383"/>
      <c r="G1387" s="407">
        <v>1</v>
      </c>
      <c r="H1387" s="407">
        <v>0</v>
      </c>
      <c r="I1387" s="429"/>
      <c r="J1387" s="414"/>
      <c r="K1387" s="408">
        <f t="shared" si="255"/>
        <v>0</v>
      </c>
      <c r="L1387" s="408">
        <f t="shared" si="255"/>
        <v>1</v>
      </c>
      <c r="M1387" s="454">
        <f t="shared" si="253"/>
        <v>6.5718966684353865E-7</v>
      </c>
      <c r="N1387" s="796"/>
      <c r="P1387" s="399"/>
    </row>
    <row r="1388" spans="1:16" s="725" customFormat="1" ht="15" customHeight="1" x14ac:dyDescent="0.25">
      <c r="A1388" s="397"/>
      <c r="B1388" s="994"/>
      <c r="C1388" s="994"/>
      <c r="D1388" s="994" t="s">
        <v>7681</v>
      </c>
      <c r="E1388" s="417">
        <v>344905100000000</v>
      </c>
      <c r="F1388" s="418" t="s">
        <v>7680</v>
      </c>
      <c r="G1388" s="468">
        <v>1</v>
      </c>
      <c r="H1388" s="468">
        <v>0</v>
      </c>
      <c r="I1388" s="751"/>
      <c r="J1388" s="878" t="s">
        <v>7625</v>
      </c>
      <c r="K1388" s="789">
        <f>'Parâmetros financeiros Despesa'!E663</f>
        <v>0</v>
      </c>
      <c r="L1388" s="789">
        <f>'Parâmetros financeiros Despesa'!F663</f>
        <v>1</v>
      </c>
      <c r="M1388" s="799">
        <f t="shared" si="253"/>
        <v>6.5718966684353865E-7</v>
      </c>
      <c r="N1388" s="894"/>
      <c r="O1388" s="796"/>
      <c r="P1388" s="399"/>
    </row>
    <row r="1389" spans="1:16" s="820" customFormat="1" ht="15" customHeight="1" x14ac:dyDescent="0.25">
      <c r="B1389" s="864" t="s">
        <v>22</v>
      </c>
      <c r="C1389" s="864"/>
      <c r="D1389" s="864"/>
      <c r="E1389" s="864"/>
      <c r="F1389" s="864"/>
      <c r="G1389" s="864"/>
      <c r="H1389" s="864"/>
      <c r="I1389" s="864"/>
      <c r="J1389" s="864"/>
      <c r="K1389" s="863">
        <f>K1385+K1380+K1375+K1368+K1363+K1351+K1341+K1323+K1313+K1289+K1266+K1257+K1247+K1237+K1229+K1216+K1197+K1207+K1187+0.03</f>
        <v>484061.80363452254</v>
      </c>
      <c r="L1389" s="863">
        <f>L1385+L1380+L1375+L1368+L1363+L1351+L1341+L1323+L1313+L1289+L1266+L1257+L1247+L1237+L1229+L1216+L1197+L1207+L1187</f>
        <v>1521630.7414006805</v>
      </c>
      <c r="M1389" s="452">
        <f t="shared" si="253"/>
        <v>1</v>
      </c>
      <c r="N1389" s="796"/>
      <c r="P1389" s="399"/>
    </row>
    <row r="1390" spans="1:16" s="820" customFormat="1" ht="15" customHeight="1" x14ac:dyDescent="0.25">
      <c r="B1390" s="864" t="s">
        <v>11469</v>
      </c>
      <c r="C1390" s="864"/>
      <c r="D1390" s="864"/>
      <c r="E1390" s="864"/>
      <c r="F1390" s="864"/>
      <c r="G1390" s="864"/>
      <c r="H1390" s="864"/>
      <c r="I1390" s="864"/>
      <c r="J1390" s="864"/>
      <c r="K1390" s="863"/>
      <c r="L1390" s="863"/>
      <c r="M1390" s="452"/>
      <c r="N1390" s="796"/>
      <c r="P1390" s="399"/>
    </row>
    <row r="1391" spans="1:16" s="31" customFormat="1" ht="15" customHeight="1" x14ac:dyDescent="0.25">
      <c r="B1391" s="869" t="s">
        <v>745</v>
      </c>
      <c r="C1391" s="869"/>
      <c r="D1391" s="869"/>
      <c r="E1391" s="869"/>
      <c r="F1391" s="869"/>
      <c r="G1391" s="869"/>
      <c r="H1391" s="869"/>
      <c r="I1391" s="869"/>
      <c r="J1391" s="869"/>
      <c r="K1391" s="870">
        <f>K1389</f>
        <v>484061.80363452254</v>
      </c>
      <c r="L1391" s="870">
        <f>L1389-234200-100100-120300-100100</f>
        <v>966930.7414006805</v>
      </c>
      <c r="M1391" s="871">
        <f t="shared" ref="M1391:M1395" si="256">L1391/L$1396</f>
        <v>0.63545689180188913</v>
      </c>
      <c r="N1391" s="897"/>
      <c r="P1391" s="736"/>
    </row>
    <row r="1392" spans="1:16" s="31" customFormat="1" ht="15" customHeight="1" x14ac:dyDescent="0.25">
      <c r="B1392" s="869" t="s">
        <v>11517</v>
      </c>
      <c r="C1392" s="869"/>
      <c r="D1392" s="869"/>
      <c r="E1392" s="869"/>
      <c r="F1392" s="869"/>
      <c r="G1392" s="869"/>
      <c r="H1392" s="869"/>
      <c r="I1392" s="869"/>
      <c r="J1392" s="869"/>
      <c r="K1392" s="870">
        <v>0</v>
      </c>
      <c r="L1392" s="870">
        <v>234200</v>
      </c>
      <c r="M1392" s="871">
        <f t="shared" si="256"/>
        <v>0.15391381997475675</v>
      </c>
      <c r="N1392" s="897"/>
      <c r="P1392" s="736"/>
    </row>
    <row r="1393" spans="1:16" s="31" customFormat="1" ht="15" customHeight="1" x14ac:dyDescent="0.25">
      <c r="B1393" s="869" t="s">
        <v>11518</v>
      </c>
      <c r="C1393" s="869"/>
      <c r="D1393" s="869"/>
      <c r="E1393" s="869"/>
      <c r="F1393" s="869"/>
      <c r="G1393" s="869"/>
      <c r="H1393" s="869"/>
      <c r="I1393" s="869"/>
      <c r="J1393" s="869"/>
      <c r="K1393" s="870">
        <v>0</v>
      </c>
      <c r="L1393" s="870">
        <v>100100</v>
      </c>
      <c r="M1393" s="871">
        <f t="shared" si="256"/>
        <v>6.5784685651038219E-2</v>
      </c>
      <c r="N1393" s="897"/>
      <c r="P1393" s="736"/>
    </row>
    <row r="1394" spans="1:16" s="31" customFormat="1" ht="15" customHeight="1" x14ac:dyDescent="0.25">
      <c r="B1394" s="869" t="s">
        <v>11519</v>
      </c>
      <c r="C1394" s="869"/>
      <c r="D1394" s="869"/>
      <c r="E1394" s="869"/>
      <c r="F1394" s="869"/>
      <c r="G1394" s="869"/>
      <c r="H1394" s="869"/>
      <c r="I1394" s="869"/>
      <c r="J1394" s="869"/>
      <c r="K1394" s="870">
        <v>0</v>
      </c>
      <c r="L1394" s="870">
        <v>120300</v>
      </c>
      <c r="M1394" s="871">
        <f t="shared" si="256"/>
        <v>7.9059916921277701E-2</v>
      </c>
      <c r="N1394" s="897"/>
      <c r="P1394" s="736"/>
    </row>
    <row r="1395" spans="1:16" s="31" customFormat="1" ht="15" customHeight="1" x14ac:dyDescent="0.25">
      <c r="B1395" s="869" t="s">
        <v>11520</v>
      </c>
      <c r="C1395" s="869"/>
      <c r="D1395" s="869"/>
      <c r="E1395" s="869"/>
      <c r="F1395" s="869"/>
      <c r="G1395" s="869"/>
      <c r="H1395" s="869"/>
      <c r="I1395" s="869"/>
      <c r="J1395" s="869"/>
      <c r="K1395" s="870">
        <v>0</v>
      </c>
      <c r="L1395" s="870">
        <v>100100</v>
      </c>
      <c r="M1395" s="871">
        <f t="shared" si="256"/>
        <v>6.5784685651038219E-2</v>
      </c>
      <c r="N1395" s="897"/>
      <c r="P1395" s="736"/>
    </row>
    <row r="1396" spans="1:16" s="115" customFormat="1" ht="15" customHeight="1" x14ac:dyDescent="0.25">
      <c r="B1396" s="864" t="s">
        <v>2172</v>
      </c>
      <c r="C1396" s="864"/>
      <c r="D1396" s="864"/>
      <c r="E1396" s="864"/>
      <c r="F1396" s="864"/>
      <c r="G1396" s="864"/>
      <c r="H1396" s="864"/>
      <c r="I1396" s="864"/>
      <c r="J1396" s="864"/>
      <c r="K1396" s="863">
        <f>SUM(K1391:K1395)</f>
        <v>484061.80363452254</v>
      </c>
      <c r="L1396" s="863">
        <f>SUM(L1391:L1395)</f>
        <v>1521630.7414006805</v>
      </c>
      <c r="M1396" s="452">
        <f>L1396/L$1396</f>
        <v>1</v>
      </c>
      <c r="O1396" s="796"/>
      <c r="P1396" s="733"/>
    </row>
    <row r="1397" spans="1:16" s="795" customFormat="1" ht="15" customHeight="1" x14ac:dyDescent="0.25">
      <c r="B1397" s="798"/>
      <c r="C1397" s="798"/>
      <c r="D1397" s="798"/>
      <c r="E1397" s="798"/>
      <c r="F1397" s="798"/>
      <c r="G1397" s="798"/>
      <c r="H1397" s="798"/>
      <c r="I1397" s="798"/>
      <c r="J1397" s="798"/>
      <c r="K1397" s="791"/>
      <c r="L1397" s="791"/>
      <c r="M1397" s="792"/>
      <c r="N1397" s="796"/>
      <c r="P1397" s="399"/>
    </row>
    <row r="1398" spans="1:16" s="435" customFormat="1" ht="15" customHeight="1" x14ac:dyDescent="0.25">
      <c r="B1398" s="723" t="s">
        <v>989</v>
      </c>
      <c r="C1398" s="723"/>
      <c r="D1398" s="481"/>
      <c r="E1398" s="1371" t="s">
        <v>6887</v>
      </c>
      <c r="F1398" s="1371"/>
      <c r="G1398" s="1371"/>
      <c r="H1398" s="1371"/>
      <c r="I1398" s="1371"/>
      <c r="J1398" s="437"/>
      <c r="K1398" s="940"/>
      <c r="L1398" s="438"/>
      <c r="M1398" s="449"/>
      <c r="N1398" s="892"/>
      <c r="P1398" s="732"/>
    </row>
    <row r="1399" spans="1:16" s="435" customFormat="1" ht="15" customHeight="1" x14ac:dyDescent="0.25">
      <c r="B1399" s="723" t="s">
        <v>458</v>
      </c>
      <c r="C1399" s="723"/>
      <c r="D1399" s="481"/>
      <c r="E1399" s="1371" t="s">
        <v>7682</v>
      </c>
      <c r="F1399" s="1371"/>
      <c r="G1399" s="1371"/>
      <c r="H1399" s="1371"/>
      <c r="I1399" s="1371"/>
      <c r="J1399" s="437"/>
      <c r="K1399" s="940"/>
      <c r="L1399" s="438"/>
      <c r="M1399" s="449"/>
      <c r="N1399" s="892"/>
      <c r="P1399" s="732"/>
    </row>
    <row r="1400" spans="1:16" s="435" customFormat="1" ht="15" customHeight="1" x14ac:dyDescent="0.25">
      <c r="B1400" s="724" t="s">
        <v>5764</v>
      </c>
      <c r="C1400" s="724"/>
      <c r="D1400" s="724"/>
      <c r="E1400" s="1371" t="s">
        <v>749</v>
      </c>
      <c r="F1400" s="1371"/>
      <c r="G1400" s="1371"/>
      <c r="H1400" s="1371"/>
      <c r="I1400" s="1371"/>
      <c r="J1400" s="440"/>
      <c r="K1400" s="941"/>
      <c r="L1400" s="438"/>
      <c r="M1400" s="449"/>
      <c r="N1400" s="892"/>
      <c r="P1400" s="732"/>
    </row>
    <row r="1401" spans="1:16" s="851" customFormat="1" ht="113.25" customHeight="1" x14ac:dyDescent="0.25">
      <c r="A1401" s="396"/>
      <c r="B1401" s="1400" t="s">
        <v>2296</v>
      </c>
      <c r="C1401" s="1400"/>
      <c r="D1401" s="1400"/>
      <c r="E1401" s="1384" t="s">
        <v>2297</v>
      </c>
      <c r="F1401" s="1384"/>
      <c r="G1401" s="443" t="s">
        <v>444</v>
      </c>
      <c r="H1401" s="443" t="s">
        <v>2245</v>
      </c>
      <c r="I1401" s="444" t="s">
        <v>5725</v>
      </c>
      <c r="J1401" s="849" t="s">
        <v>2275</v>
      </c>
      <c r="K1401" s="893" t="s">
        <v>11644</v>
      </c>
      <c r="L1401" s="951" t="s">
        <v>11522</v>
      </c>
      <c r="M1401" s="450" t="s">
        <v>235</v>
      </c>
      <c r="N1401" s="796"/>
      <c r="P1401" s="399"/>
    </row>
    <row r="1402" spans="1:16" s="115" customFormat="1" ht="15" customHeight="1" x14ac:dyDescent="0.25">
      <c r="A1402" s="396"/>
      <c r="B1402" s="1385" t="s">
        <v>7446</v>
      </c>
      <c r="C1402" s="1385"/>
      <c r="D1402" s="1385"/>
      <c r="E1402" s="1385"/>
      <c r="F1402" s="1385"/>
      <c r="G1402" s="401"/>
      <c r="H1402" s="401"/>
      <c r="I1402" s="426"/>
      <c r="J1402" s="411"/>
      <c r="K1402" s="402">
        <f t="shared" ref="K1402:L1404" si="257">K1403</f>
        <v>14543.615</v>
      </c>
      <c r="L1402" s="402">
        <f t="shared" si="257"/>
        <v>21963.218861687503</v>
      </c>
      <c r="M1402" s="451">
        <f>L1402/L$1499</f>
        <v>0.12530991869073171</v>
      </c>
      <c r="N1402" s="894"/>
      <c r="O1402" s="797"/>
      <c r="P1402" s="733"/>
    </row>
    <row r="1403" spans="1:16" s="725" customFormat="1" ht="15" customHeight="1" x14ac:dyDescent="0.25">
      <c r="A1403" s="396"/>
      <c r="B1403" s="1386" t="s">
        <v>7708</v>
      </c>
      <c r="C1403" s="1386"/>
      <c r="D1403" s="1386"/>
      <c r="E1403" s="1386"/>
      <c r="F1403" s="1386"/>
      <c r="G1403" s="403"/>
      <c r="H1403" s="403"/>
      <c r="I1403" s="427"/>
      <c r="J1403" s="412"/>
      <c r="K1403" s="404">
        <f t="shared" si="257"/>
        <v>14543.615</v>
      </c>
      <c r="L1403" s="404">
        <f t="shared" si="257"/>
        <v>21963.218861687503</v>
      </c>
      <c r="M1403" s="452">
        <f>L1403/L$1499</f>
        <v>0.12530991869073171</v>
      </c>
      <c r="N1403" s="796"/>
      <c r="P1403" s="399"/>
    </row>
    <row r="1404" spans="1:16" s="725" customFormat="1" ht="15" customHeight="1" x14ac:dyDescent="0.25">
      <c r="A1404" s="396"/>
      <c r="B1404" s="1382" t="s">
        <v>7714</v>
      </c>
      <c r="C1404" s="1382"/>
      <c r="D1404" s="1382"/>
      <c r="E1404" s="1382"/>
      <c r="F1404" s="1382"/>
      <c r="G1404" s="405"/>
      <c r="H1404" s="405"/>
      <c r="I1404" s="428"/>
      <c r="J1404" s="413"/>
      <c r="K1404" s="406">
        <f t="shared" si="257"/>
        <v>14543.615</v>
      </c>
      <c r="L1404" s="406">
        <f t="shared" si="257"/>
        <v>21963.218861687503</v>
      </c>
      <c r="M1404" s="453">
        <f>L1404/L$1499</f>
        <v>0.12530991869073171</v>
      </c>
      <c r="N1404" s="796"/>
      <c r="P1404" s="399"/>
    </row>
    <row r="1405" spans="1:16" s="725" customFormat="1" ht="15" customHeight="1" x14ac:dyDescent="0.25">
      <c r="A1405" s="396"/>
      <c r="B1405" s="1383" t="s">
        <v>7713</v>
      </c>
      <c r="C1405" s="1383"/>
      <c r="D1405" s="1383"/>
      <c r="E1405" s="1383"/>
      <c r="F1405" s="1383"/>
      <c r="G1405" s="407"/>
      <c r="H1405" s="407"/>
      <c r="I1405" s="429"/>
      <c r="J1405" s="414"/>
      <c r="K1405" s="408">
        <f>SUM(K1406:K1410)-0.01</f>
        <v>14543.615</v>
      </c>
      <c r="L1405" s="408">
        <f>SUM(L1406:L1410)-0.01</f>
        <v>21963.218861687503</v>
      </c>
      <c r="M1405" s="454">
        <f>L1405/L$1499</f>
        <v>0.12530991869073171</v>
      </c>
      <c r="N1405" s="796"/>
      <c r="P1405" s="399"/>
    </row>
    <row r="1406" spans="1:16" s="115" customFormat="1" ht="15" customHeight="1" x14ac:dyDescent="0.25">
      <c r="A1406" s="396"/>
      <c r="B1406" s="1398" t="s">
        <v>7683</v>
      </c>
      <c r="C1406" s="1398"/>
      <c r="D1406" s="1398"/>
      <c r="E1406" s="854">
        <v>333904700000000</v>
      </c>
      <c r="F1406" s="855" t="s">
        <v>10356</v>
      </c>
      <c r="G1406" s="468">
        <v>1</v>
      </c>
      <c r="H1406" s="468">
        <v>0</v>
      </c>
      <c r="I1406" s="751"/>
      <c r="J1406" s="878" t="s">
        <v>7718</v>
      </c>
      <c r="K1406" s="789">
        <f>(('Parâmetros financeiros Despesa'!E669+'Parâmetros financeiros Despesa'!E670+'Parâmetros financeiros Despesa'!E672))</f>
        <v>0</v>
      </c>
      <c r="L1406" s="789">
        <f>(('Parâmetros financeiros Despesa'!F669+'Parâmetros financeiros Despesa'!F670+'Parâmetros financeiros Despesa'!F672)*(1+'Parâmetros financeiros Despesa'!F$4)*(1+'Parâmetros financeiros Despesa'!F$7))*('Parâmetros financeiros Despesa'!F$83)</f>
        <v>654.19890000000009</v>
      </c>
      <c r="M1406" s="799">
        <f>L1406/L$1499</f>
        <v>3.7324952905499367E-3</v>
      </c>
      <c r="N1406" s="894"/>
      <c r="O1406" s="796"/>
    </row>
    <row r="1407" spans="1:16" s="115" customFormat="1" ht="15" customHeight="1" x14ac:dyDescent="0.25">
      <c r="A1407" s="396"/>
      <c r="B1407" s="1396">
        <v>112100</v>
      </c>
      <c r="C1407" s="1396"/>
      <c r="D1407" s="1396"/>
      <c r="E1407" s="854">
        <v>344903000000000</v>
      </c>
      <c r="F1407" s="855" t="s">
        <v>10353</v>
      </c>
      <c r="G1407" s="468">
        <v>1</v>
      </c>
      <c r="H1407" s="468">
        <v>0</v>
      </c>
      <c r="I1407" s="751"/>
      <c r="J1407" s="878" t="s">
        <v>7718</v>
      </c>
      <c r="K1407" s="789">
        <f>('Parâmetros financeiros Despesa'!E668+'Parâmetros financeiros Despesa'!E669)</f>
        <v>0</v>
      </c>
      <c r="L1407" s="789">
        <f>('Parâmetros financeiros Despesa'!F668+'Parâmetros financeiros Despesa'!F669)*(1+'Parâmetros financeiros Despesa'!F$4)*(1+'Parâmetros financeiros Despesa'!F$7)</f>
        <v>2180.663</v>
      </c>
      <c r="M1407" s="799">
        <f t="shared" ref="M1407:M1410" si="258">L1407/L$1499</f>
        <v>1.2441650968499786E-2</v>
      </c>
      <c r="N1407" s="894"/>
      <c r="O1407" s="796"/>
    </row>
    <row r="1408" spans="1:16" s="115" customFormat="1" ht="15" customHeight="1" x14ac:dyDescent="0.25">
      <c r="A1408" s="396"/>
      <c r="B1408" s="994"/>
      <c r="C1408" s="994"/>
      <c r="D1408" s="994" t="s">
        <v>7684</v>
      </c>
      <c r="E1408" s="854">
        <v>344903600000000</v>
      </c>
      <c r="F1408" s="855" t="s">
        <v>10355</v>
      </c>
      <c r="G1408" s="468">
        <v>1</v>
      </c>
      <c r="H1408" s="468">
        <v>0</v>
      </c>
      <c r="I1408" s="751"/>
      <c r="J1408" s="878" t="s">
        <v>7718</v>
      </c>
      <c r="K1408" s="789">
        <f>('Parâmetros financeiros Despesa'!E670)</f>
        <v>0</v>
      </c>
      <c r="L1408" s="789">
        <f>('Parâmetros financeiros Despesa'!F670)*(1+'Parâmetros financeiros Despesa'!F$4)*(1+'Parâmetros financeiros Despesa'!F$7)</f>
        <v>1090.3315</v>
      </c>
      <c r="M1408" s="799">
        <f t="shared" si="258"/>
        <v>6.2208254842498929E-3</v>
      </c>
      <c r="N1408" s="894"/>
      <c r="O1408" s="796"/>
    </row>
    <row r="1409" spans="1:16" s="115" customFormat="1" ht="15" customHeight="1" x14ac:dyDescent="0.25">
      <c r="A1409" s="396"/>
      <c r="B1409" s="1398" t="s">
        <v>7685</v>
      </c>
      <c r="C1409" s="1398"/>
      <c r="D1409" s="1398"/>
      <c r="E1409" s="854">
        <v>344903900000000</v>
      </c>
      <c r="F1409" s="855" t="s">
        <v>10354</v>
      </c>
      <c r="G1409" s="468">
        <v>1</v>
      </c>
      <c r="H1409" s="468">
        <v>0</v>
      </c>
      <c r="I1409" s="751"/>
      <c r="J1409" s="878" t="s">
        <v>7718</v>
      </c>
      <c r="K1409" s="789">
        <f>('Parâmetros financeiros Despesa'!E671+'Parâmetros financeiros Despesa'!E672)</f>
        <v>0</v>
      </c>
      <c r="L1409" s="789">
        <f>('Parâmetros financeiros Despesa'!F671+'Parâmetros financeiros Despesa'!F672)*(1+'Parâmetros financeiros Despesa'!F$4)*(1+'Parâmetros financeiros Despesa'!F$7)</f>
        <v>2180.663</v>
      </c>
      <c r="M1409" s="799">
        <f t="shared" si="258"/>
        <v>1.2441650968499786E-2</v>
      </c>
      <c r="N1409" s="894"/>
      <c r="O1409" s="796"/>
      <c r="P1409" s="733"/>
    </row>
    <row r="1410" spans="1:16" s="115" customFormat="1" ht="15" customHeight="1" x14ac:dyDescent="0.25">
      <c r="A1410" s="396"/>
      <c r="B1410" s="994"/>
      <c r="C1410" s="994"/>
      <c r="D1410" s="994" t="s">
        <v>7686</v>
      </c>
      <c r="E1410" s="854">
        <v>344905100000000</v>
      </c>
      <c r="F1410" s="855" t="s">
        <v>10357</v>
      </c>
      <c r="G1410" s="468">
        <v>1</v>
      </c>
      <c r="H1410" s="468">
        <v>0</v>
      </c>
      <c r="I1410" s="751"/>
      <c r="J1410" s="878" t="s">
        <v>7718</v>
      </c>
      <c r="K1410" s="789">
        <f>('Parâmetros financeiros Despesa'!E673)</f>
        <v>14543.625</v>
      </c>
      <c r="L1410" s="789">
        <f>('Parâmetros financeiros Despesa'!F673)*(1+'Parâmetros financeiros Despesa'!F$4)*(1+'Parâmetros financeiros Despesa'!F$7)</f>
        <v>15857.372461687501</v>
      </c>
      <c r="M1410" s="799">
        <f t="shared" si="258"/>
        <v>9.0473353033373852E-2</v>
      </c>
      <c r="N1410" s="894"/>
      <c r="O1410" s="796"/>
      <c r="P1410" s="733"/>
    </row>
    <row r="1411" spans="1:16" s="115" customFormat="1" ht="15" customHeight="1" x14ac:dyDescent="0.25">
      <c r="A1411" s="396"/>
      <c r="B1411" s="1385" t="s">
        <v>7446</v>
      </c>
      <c r="C1411" s="1385"/>
      <c r="D1411" s="1385"/>
      <c r="E1411" s="1385"/>
      <c r="F1411" s="1385"/>
      <c r="G1411" s="401"/>
      <c r="H1411" s="401"/>
      <c r="I1411" s="426"/>
      <c r="J1411" s="411"/>
      <c r="K1411" s="402">
        <f t="shared" ref="K1411:L1413" si="259">K1412</f>
        <v>0</v>
      </c>
      <c r="L1411" s="402">
        <f t="shared" si="259"/>
        <v>8286.5094000000008</v>
      </c>
      <c r="M1411" s="451">
        <f>L1411/L$1499</f>
        <v>4.7278216625857641E-2</v>
      </c>
      <c r="N1411" s="894"/>
      <c r="P1411" s="733"/>
    </row>
    <row r="1412" spans="1:16" s="725" customFormat="1" ht="15" customHeight="1" x14ac:dyDescent="0.25">
      <c r="A1412" s="396"/>
      <c r="B1412" s="1386" t="s">
        <v>7709</v>
      </c>
      <c r="C1412" s="1386"/>
      <c r="D1412" s="1386"/>
      <c r="E1412" s="1386"/>
      <c r="F1412" s="1386"/>
      <c r="G1412" s="403"/>
      <c r="H1412" s="403"/>
      <c r="I1412" s="427"/>
      <c r="J1412" s="412"/>
      <c r="K1412" s="404">
        <f t="shared" si="259"/>
        <v>0</v>
      </c>
      <c r="L1412" s="404">
        <f t="shared" si="259"/>
        <v>8286.5094000000008</v>
      </c>
      <c r="M1412" s="452">
        <f>L1412/L$1499</f>
        <v>4.7278216625857641E-2</v>
      </c>
      <c r="N1412" s="796"/>
      <c r="P1412" s="399"/>
    </row>
    <row r="1413" spans="1:16" s="725" customFormat="1" ht="15" customHeight="1" x14ac:dyDescent="0.25">
      <c r="A1413" s="396"/>
      <c r="B1413" s="1382" t="s">
        <v>7711</v>
      </c>
      <c r="C1413" s="1382"/>
      <c r="D1413" s="1382"/>
      <c r="E1413" s="1382"/>
      <c r="F1413" s="1382"/>
      <c r="G1413" s="405"/>
      <c r="H1413" s="405"/>
      <c r="I1413" s="428"/>
      <c r="J1413" s="413"/>
      <c r="K1413" s="406">
        <f t="shared" si="259"/>
        <v>0</v>
      </c>
      <c r="L1413" s="406">
        <f t="shared" si="259"/>
        <v>8286.5094000000008</v>
      </c>
      <c r="M1413" s="453">
        <f>L1413/L$1499</f>
        <v>4.7278216625857641E-2</v>
      </c>
      <c r="N1413" s="796"/>
      <c r="P1413" s="399"/>
    </row>
    <row r="1414" spans="1:16" s="725" customFormat="1" ht="15" customHeight="1" x14ac:dyDescent="0.25">
      <c r="A1414" s="396"/>
      <c r="B1414" s="1383" t="s">
        <v>7712</v>
      </c>
      <c r="C1414" s="1383"/>
      <c r="D1414" s="1383"/>
      <c r="E1414" s="1383"/>
      <c r="F1414" s="1383"/>
      <c r="G1414" s="407"/>
      <c r="H1414" s="407"/>
      <c r="I1414" s="429"/>
      <c r="J1414" s="414"/>
      <c r="K1414" s="408">
        <f>SUM(K1415:K1420)</f>
        <v>0</v>
      </c>
      <c r="L1414" s="408">
        <f>SUM(L1415:L1420)-0.01</f>
        <v>8286.5094000000008</v>
      </c>
      <c r="M1414" s="454">
        <f>L1414/L$1499</f>
        <v>4.7278216625857641E-2</v>
      </c>
      <c r="N1414" s="796"/>
      <c r="P1414" s="399"/>
    </row>
    <row r="1415" spans="1:16" s="115" customFormat="1" ht="15" customHeight="1" x14ac:dyDescent="0.25">
      <c r="A1415" s="396"/>
      <c r="B1415" s="1398" t="s">
        <v>7687</v>
      </c>
      <c r="C1415" s="1398"/>
      <c r="D1415" s="1398"/>
      <c r="E1415" s="854">
        <v>333904700000000</v>
      </c>
      <c r="F1415" s="855" t="s">
        <v>7719</v>
      </c>
      <c r="G1415" s="468">
        <v>1</v>
      </c>
      <c r="H1415" s="468">
        <v>0</v>
      </c>
      <c r="I1415" s="751"/>
      <c r="J1415" s="878" t="s">
        <v>7718</v>
      </c>
      <c r="K1415" s="789">
        <f>(('Parâmetros financeiros Despesa'!E676+'Parâmetros financeiros Despesa'!E677+'Parâmetros financeiros Despesa'!E679))</f>
        <v>0</v>
      </c>
      <c r="L1415" s="789">
        <f>(('Parâmetros financeiros Despesa'!F676+'Parâmetros financeiros Despesa'!F677+'Parâmetros financeiros Despesa'!F679)*(1+'Parâmetros financeiros Despesa'!F$4)*(1+'Parâmetros financeiros Despesa'!F$7))*('Parâmetros financeiros Despesa'!F$83)</f>
        <v>654.19890000000009</v>
      </c>
      <c r="M1415" s="799">
        <f>L1415/L$1499</f>
        <v>3.7324952905499367E-3</v>
      </c>
      <c r="N1415" s="894"/>
      <c r="O1415" s="796"/>
      <c r="P1415" s="733"/>
    </row>
    <row r="1416" spans="1:16" s="115" customFormat="1" ht="15" customHeight="1" x14ac:dyDescent="0.25">
      <c r="A1416" s="396"/>
      <c r="B1416" s="1396">
        <v>113100</v>
      </c>
      <c r="C1416" s="1396"/>
      <c r="D1416" s="1396"/>
      <c r="E1416" s="854">
        <v>344903000000000</v>
      </c>
      <c r="F1416" s="855" t="s">
        <v>7720</v>
      </c>
      <c r="G1416" s="468">
        <v>1</v>
      </c>
      <c r="H1416" s="468">
        <v>0</v>
      </c>
      <c r="I1416" s="751"/>
      <c r="J1416" s="878" t="s">
        <v>7718</v>
      </c>
      <c r="K1416" s="789">
        <f>('Parâmetros financeiros Despesa'!E675+'Parâmetros financeiros Despesa'!E676)</f>
        <v>0</v>
      </c>
      <c r="L1416" s="789">
        <f>('Parâmetros financeiros Despesa'!F675+'Parâmetros financeiros Despesa'!F676)*(1+'Parâmetros financeiros Despesa'!F$4)*(1+'Parâmetros financeiros Despesa'!F$7)</f>
        <v>2180.663</v>
      </c>
      <c r="M1416" s="799">
        <f t="shared" ref="M1416:M1420" si="260">L1416/L$1499</f>
        <v>1.2441650968499786E-2</v>
      </c>
      <c r="N1416" s="894"/>
      <c r="O1416" s="796"/>
    </row>
    <row r="1417" spans="1:16" s="115" customFormat="1" ht="15" customHeight="1" x14ac:dyDescent="0.25">
      <c r="A1417" s="396"/>
      <c r="B1417" s="994"/>
      <c r="C1417" s="994"/>
      <c r="D1417" s="994" t="s">
        <v>7688</v>
      </c>
      <c r="E1417" s="854">
        <v>344903600000000</v>
      </c>
      <c r="F1417" s="855" t="s">
        <v>7721</v>
      </c>
      <c r="G1417" s="468">
        <v>1</v>
      </c>
      <c r="H1417" s="468">
        <v>0</v>
      </c>
      <c r="I1417" s="751"/>
      <c r="J1417" s="878" t="s">
        <v>7718</v>
      </c>
      <c r="K1417" s="789">
        <f>('Parâmetros financeiros Despesa'!E677)</f>
        <v>0</v>
      </c>
      <c r="L1417" s="789">
        <f>('Parâmetros financeiros Despesa'!F677)*(1+'Parâmetros financeiros Despesa'!F$4)*(1+'Parâmetros financeiros Despesa'!F$7)</f>
        <v>1090.3315</v>
      </c>
      <c r="M1417" s="799">
        <f t="shared" si="260"/>
        <v>6.2208254842498929E-3</v>
      </c>
      <c r="N1417" s="894"/>
      <c r="O1417" s="796"/>
    </row>
    <row r="1418" spans="1:16" s="115" customFormat="1" ht="15" customHeight="1" x14ac:dyDescent="0.25">
      <c r="A1418" s="396"/>
      <c r="B1418" s="1398" t="s">
        <v>7689</v>
      </c>
      <c r="C1418" s="1398"/>
      <c r="D1418" s="1398"/>
      <c r="E1418" s="854">
        <v>344903900000000</v>
      </c>
      <c r="F1418" s="855" t="s">
        <v>7722</v>
      </c>
      <c r="G1418" s="468">
        <v>1</v>
      </c>
      <c r="H1418" s="468">
        <v>0</v>
      </c>
      <c r="I1418" s="751"/>
      <c r="J1418" s="878" t="s">
        <v>7718</v>
      </c>
      <c r="K1418" s="789">
        <f>('Parâmetros financeiros Despesa'!E678+'Parâmetros financeiros Despesa'!E679)</f>
        <v>0</v>
      </c>
      <c r="L1418" s="789">
        <f>('Parâmetros financeiros Despesa'!F678+'Parâmetros financeiros Despesa'!F679)*(1+'Parâmetros financeiros Despesa'!F$4)*(1+'Parâmetros financeiros Despesa'!F$7)</f>
        <v>2180.663</v>
      </c>
      <c r="M1418" s="799">
        <f t="shared" si="260"/>
        <v>1.2441650968499786E-2</v>
      </c>
      <c r="N1418" s="894"/>
      <c r="O1418" s="796"/>
    </row>
    <row r="1419" spans="1:16" s="115" customFormat="1" ht="15" customHeight="1" x14ac:dyDescent="0.25">
      <c r="A1419" s="396"/>
      <c r="B1419" s="994"/>
      <c r="C1419" s="994"/>
      <c r="D1419" s="994" t="s">
        <v>7707</v>
      </c>
      <c r="E1419" s="854">
        <v>344905100000000</v>
      </c>
      <c r="F1419" s="855" t="s">
        <v>7738</v>
      </c>
      <c r="G1419" s="468">
        <v>1</v>
      </c>
      <c r="H1419" s="468">
        <v>0</v>
      </c>
      <c r="I1419" s="751"/>
      <c r="J1419" s="878" t="s">
        <v>7718</v>
      </c>
      <c r="K1419" s="789">
        <f>('Parâmetros financeiros Despesa'!E680)</f>
        <v>0</v>
      </c>
      <c r="L1419" s="789">
        <f>('Parâmetros financeiros Despesa'!F680)*(1+'Parâmetros financeiros Despesa'!F$4)*(1+'Parâmetros financeiros Despesa'!F$7)</f>
        <v>1090.3315</v>
      </c>
      <c r="M1419" s="799">
        <f t="shared" si="260"/>
        <v>6.2208254842498929E-3</v>
      </c>
      <c r="N1419" s="894"/>
      <c r="O1419" s="796"/>
      <c r="P1419" s="733"/>
    </row>
    <row r="1420" spans="1:16" s="115" customFormat="1" ht="15" customHeight="1" x14ac:dyDescent="0.25">
      <c r="A1420" s="396"/>
      <c r="B1420" s="1398" t="s">
        <v>7780</v>
      </c>
      <c r="C1420" s="1398"/>
      <c r="D1420" s="1398"/>
      <c r="E1420" s="854">
        <v>344905200000000</v>
      </c>
      <c r="F1420" s="855" t="s">
        <v>7723</v>
      </c>
      <c r="G1420" s="468">
        <v>1</v>
      </c>
      <c r="H1420" s="468">
        <v>0</v>
      </c>
      <c r="I1420" s="751"/>
      <c r="J1420" s="878" t="s">
        <v>7718</v>
      </c>
      <c r="K1420" s="789">
        <f>('Parâmetros financeiros Despesa'!E681)</f>
        <v>0</v>
      </c>
      <c r="L1420" s="789">
        <f>('Parâmetros financeiros Despesa'!F681)*(1+'Parâmetros financeiros Despesa'!F$4)*(1+'Parâmetros financeiros Despesa'!F$7)</f>
        <v>1090.3315</v>
      </c>
      <c r="M1420" s="799">
        <f t="shared" si="260"/>
        <v>6.2208254842498929E-3</v>
      </c>
      <c r="N1420" s="894"/>
      <c r="O1420" s="796"/>
      <c r="P1420" s="733"/>
    </row>
    <row r="1421" spans="1:16" s="115" customFormat="1" ht="15" customHeight="1" x14ac:dyDescent="0.25">
      <c r="A1421" s="396"/>
      <c r="B1421" s="1385" t="s">
        <v>7729</v>
      </c>
      <c r="C1421" s="1385"/>
      <c r="D1421" s="1385"/>
      <c r="E1421" s="1385"/>
      <c r="F1421" s="1385"/>
      <c r="G1421" s="401"/>
      <c r="H1421" s="401"/>
      <c r="I1421" s="426"/>
      <c r="J1421" s="411"/>
      <c r="K1421" s="402">
        <f t="shared" ref="K1421:L1423" si="261">K1422</f>
        <v>299.99</v>
      </c>
      <c r="L1421" s="402">
        <f t="shared" si="261"/>
        <v>7196.1778999999997</v>
      </c>
      <c r="M1421" s="451">
        <f>L1421/L$1499</f>
        <v>4.1057391141607738E-2</v>
      </c>
      <c r="N1421" s="894"/>
      <c r="P1421" s="733"/>
    </row>
    <row r="1422" spans="1:16" s="725" customFormat="1" ht="15" customHeight="1" x14ac:dyDescent="0.25">
      <c r="A1422" s="396"/>
      <c r="B1422" s="1386" t="s">
        <v>7730</v>
      </c>
      <c r="C1422" s="1386"/>
      <c r="D1422" s="1386"/>
      <c r="E1422" s="1386"/>
      <c r="F1422" s="1386"/>
      <c r="G1422" s="403"/>
      <c r="H1422" s="403"/>
      <c r="I1422" s="427"/>
      <c r="J1422" s="412"/>
      <c r="K1422" s="404">
        <f t="shared" si="261"/>
        <v>299.99</v>
      </c>
      <c r="L1422" s="404">
        <f t="shared" si="261"/>
        <v>7196.1778999999997</v>
      </c>
      <c r="M1422" s="452">
        <f>L1422/L$1499</f>
        <v>4.1057391141607738E-2</v>
      </c>
      <c r="N1422" s="796"/>
    </row>
    <row r="1423" spans="1:16" s="725" customFormat="1" ht="15" customHeight="1" x14ac:dyDescent="0.25">
      <c r="A1423" s="396"/>
      <c r="B1423" s="1382" t="s">
        <v>7711</v>
      </c>
      <c r="C1423" s="1382"/>
      <c r="D1423" s="1382"/>
      <c r="E1423" s="1382"/>
      <c r="F1423" s="1382"/>
      <c r="G1423" s="405"/>
      <c r="H1423" s="405"/>
      <c r="I1423" s="428"/>
      <c r="J1423" s="413"/>
      <c r="K1423" s="406">
        <f t="shared" si="261"/>
        <v>299.99</v>
      </c>
      <c r="L1423" s="406">
        <f t="shared" si="261"/>
        <v>7196.1778999999997</v>
      </c>
      <c r="M1423" s="453">
        <f>L1423/L$1499</f>
        <v>4.1057391141607738E-2</v>
      </c>
      <c r="N1423" s="796"/>
    </row>
    <row r="1424" spans="1:16" s="725" customFormat="1" ht="15" customHeight="1" x14ac:dyDescent="0.25">
      <c r="A1424" s="396"/>
      <c r="B1424" s="1383" t="s">
        <v>7712</v>
      </c>
      <c r="C1424" s="1383"/>
      <c r="D1424" s="1383"/>
      <c r="E1424" s="1383"/>
      <c r="F1424" s="1383"/>
      <c r="G1424" s="407"/>
      <c r="H1424" s="407"/>
      <c r="I1424" s="429"/>
      <c r="J1424" s="414"/>
      <c r="K1424" s="408">
        <f>SUM(K1425:K1429)-0.01</f>
        <v>299.99</v>
      </c>
      <c r="L1424" s="408">
        <f>SUM(L1425:L1429)-0.01</f>
        <v>7196.1778999999997</v>
      </c>
      <c r="M1424" s="454">
        <f>L1424/L$1499</f>
        <v>4.1057391141607738E-2</v>
      </c>
      <c r="N1424" s="796"/>
    </row>
    <row r="1425" spans="1:16" s="115" customFormat="1" ht="15" customHeight="1" x14ac:dyDescent="0.25">
      <c r="A1425" s="396"/>
      <c r="B1425" s="1396">
        <v>114000</v>
      </c>
      <c r="C1425" s="1396"/>
      <c r="D1425" s="1396"/>
      <c r="E1425" s="854">
        <v>333903000000000</v>
      </c>
      <c r="F1425" s="855" t="s">
        <v>7735</v>
      </c>
      <c r="G1425" s="468">
        <v>1</v>
      </c>
      <c r="H1425" s="468">
        <v>0</v>
      </c>
      <c r="I1425" s="751"/>
      <c r="J1425" s="878" t="s">
        <v>7718</v>
      </c>
      <c r="K1425" s="789">
        <f>('Parâmetros financeiros Despesa'!E683+'Parâmetros financeiros Despesa'!E684)</f>
        <v>0</v>
      </c>
      <c r="L1425" s="789">
        <f>('Parâmetros financeiros Despesa'!F683+'Parâmetros financeiros Despesa'!F684)*(1+'Parâmetros financeiros Despesa'!F$4)*(1+'Parâmetros financeiros Despesa'!F$7)</f>
        <v>2180.663</v>
      </c>
      <c r="M1425" s="799">
        <f>L1425/L$1499</f>
        <v>1.2441650968499786E-2</v>
      </c>
      <c r="N1425" s="894"/>
      <c r="O1425" s="796"/>
    </row>
    <row r="1426" spans="1:16" s="115" customFormat="1" ht="15" customHeight="1" x14ac:dyDescent="0.25">
      <c r="A1426" s="396"/>
      <c r="B1426" s="994"/>
      <c r="C1426" s="994"/>
      <c r="D1426" s="994" t="s">
        <v>7781</v>
      </c>
      <c r="E1426" s="854">
        <v>333903600000000</v>
      </c>
      <c r="F1426" s="855" t="s">
        <v>7737</v>
      </c>
      <c r="G1426" s="468">
        <v>1</v>
      </c>
      <c r="H1426" s="468">
        <v>0</v>
      </c>
      <c r="I1426" s="751"/>
      <c r="J1426" s="878" t="s">
        <v>7718</v>
      </c>
      <c r="K1426" s="789">
        <f>('Parâmetros financeiros Despesa'!E685)</f>
        <v>0</v>
      </c>
      <c r="L1426" s="789">
        <f>('Parâmetros financeiros Despesa'!F685)*(1+'Parâmetros financeiros Despesa'!F$4)*(1+'Parâmetros financeiros Despesa'!F$7)</f>
        <v>1090.3315</v>
      </c>
      <c r="M1426" s="799">
        <f t="shared" ref="M1426:M1429" si="262">L1426/L$1499</f>
        <v>6.2208254842498929E-3</v>
      </c>
      <c r="N1426" s="894"/>
      <c r="O1426" s="796"/>
    </row>
    <row r="1427" spans="1:16" s="115" customFormat="1" ht="15" customHeight="1" x14ac:dyDescent="0.25">
      <c r="A1427" s="396"/>
      <c r="B1427" s="1398" t="s">
        <v>7715</v>
      </c>
      <c r="C1427" s="1398"/>
      <c r="D1427" s="1398"/>
      <c r="E1427" s="854">
        <v>333903900000000</v>
      </c>
      <c r="F1427" s="855" t="s">
        <v>7736</v>
      </c>
      <c r="G1427" s="468">
        <v>1</v>
      </c>
      <c r="H1427" s="468">
        <v>0</v>
      </c>
      <c r="I1427" s="751"/>
      <c r="J1427" s="878" t="s">
        <v>7718</v>
      </c>
      <c r="K1427" s="789">
        <f>('Parâmetros financeiros Despesa'!E686+'Parâmetros financeiros Despesa'!E687)</f>
        <v>300</v>
      </c>
      <c r="L1427" s="789">
        <f>('Parâmetros financeiros Despesa'!F686+'Parâmetros financeiros Despesa'!F687)*(1+'Parâmetros financeiros Despesa'!F$4)*(1+'Parâmetros financeiros Despesa'!F$7)</f>
        <v>2180.663</v>
      </c>
      <c r="M1427" s="799">
        <f t="shared" si="262"/>
        <v>1.2441650968499786E-2</v>
      </c>
      <c r="N1427" s="894"/>
      <c r="O1427" s="796"/>
      <c r="P1427" s="733"/>
    </row>
    <row r="1428" spans="1:16" s="115" customFormat="1" ht="15" customHeight="1" x14ac:dyDescent="0.25">
      <c r="A1428" s="396"/>
      <c r="B1428" s="1398" t="s">
        <v>7716</v>
      </c>
      <c r="C1428" s="1398"/>
      <c r="D1428" s="1398"/>
      <c r="E1428" s="854">
        <v>333904700000000</v>
      </c>
      <c r="F1428" s="855" t="s">
        <v>7734</v>
      </c>
      <c r="G1428" s="468">
        <v>1</v>
      </c>
      <c r="H1428" s="468">
        <v>0</v>
      </c>
      <c r="I1428" s="751"/>
      <c r="J1428" s="878" t="s">
        <v>7718</v>
      </c>
      <c r="K1428" s="789">
        <f>(('Parâmetros financeiros Despesa'!E684+'Parâmetros financeiros Despesa'!E685+'Parâmetros financeiros Despesa'!E687))</f>
        <v>0</v>
      </c>
      <c r="L1428" s="789">
        <f>(('Parâmetros financeiros Despesa'!F684+'Parâmetros financeiros Despesa'!F685+'Parâmetros financeiros Despesa'!F687)*(1+'Parâmetros financeiros Despesa'!F$4)*(1+'Parâmetros financeiros Despesa'!F$7))*('Parâmetros financeiros Despesa'!F$83)</f>
        <v>654.19890000000009</v>
      </c>
      <c r="M1428" s="799">
        <f t="shared" si="262"/>
        <v>3.7324952905499367E-3</v>
      </c>
      <c r="N1428" s="894"/>
      <c r="O1428" s="796"/>
      <c r="P1428" s="733"/>
    </row>
    <row r="1429" spans="1:16" s="115" customFormat="1" ht="15" customHeight="1" x14ac:dyDescent="0.25">
      <c r="A1429" s="396"/>
      <c r="B1429" s="1398" t="s">
        <v>7717</v>
      </c>
      <c r="C1429" s="1398"/>
      <c r="D1429" s="1398"/>
      <c r="E1429" s="854">
        <v>344905200000000</v>
      </c>
      <c r="F1429" s="855" t="s">
        <v>7770</v>
      </c>
      <c r="G1429" s="468">
        <v>1</v>
      </c>
      <c r="H1429" s="468">
        <v>0</v>
      </c>
      <c r="I1429" s="751"/>
      <c r="J1429" s="878" t="s">
        <v>7718</v>
      </c>
      <c r="K1429" s="789">
        <f>('Parâmetros financeiros Despesa'!E688)</f>
        <v>0</v>
      </c>
      <c r="L1429" s="789">
        <f>('Parâmetros financeiros Despesa'!F688)*(1+'Parâmetros financeiros Despesa'!F$4)*(1+'Parâmetros financeiros Despesa'!F$7)</f>
        <v>1090.3315</v>
      </c>
      <c r="M1429" s="799">
        <f t="shared" si="262"/>
        <v>6.2208254842498929E-3</v>
      </c>
      <c r="N1429" s="894"/>
      <c r="O1429" s="796"/>
      <c r="P1429" s="733"/>
    </row>
    <row r="1430" spans="1:16" s="115" customFormat="1" ht="15" customHeight="1" x14ac:dyDescent="0.25">
      <c r="A1430" s="396"/>
      <c r="B1430" s="1385" t="s">
        <v>7729</v>
      </c>
      <c r="C1430" s="1385"/>
      <c r="D1430" s="1385"/>
      <c r="E1430" s="1385"/>
      <c r="F1430" s="1385"/>
      <c r="G1430" s="401"/>
      <c r="H1430" s="401"/>
      <c r="I1430" s="426"/>
      <c r="J1430" s="411"/>
      <c r="K1430" s="402">
        <f t="shared" ref="K1430:L1432" si="263">K1431</f>
        <v>0</v>
      </c>
      <c r="L1430" s="402">
        <f t="shared" si="263"/>
        <v>8286.5094000000008</v>
      </c>
      <c r="M1430" s="451">
        <f>L1430/L$1499</f>
        <v>4.7278216625857641E-2</v>
      </c>
      <c r="N1430" s="894"/>
      <c r="P1430" s="733"/>
    </row>
    <row r="1431" spans="1:16" s="725" customFormat="1" ht="15" customHeight="1" x14ac:dyDescent="0.25">
      <c r="A1431" s="396"/>
      <c r="B1431" s="1386" t="s">
        <v>7731</v>
      </c>
      <c r="C1431" s="1386"/>
      <c r="D1431" s="1386"/>
      <c r="E1431" s="1386"/>
      <c r="F1431" s="1386"/>
      <c r="G1431" s="403"/>
      <c r="H1431" s="403"/>
      <c r="I1431" s="427"/>
      <c r="J1431" s="412"/>
      <c r="K1431" s="404">
        <f t="shared" si="263"/>
        <v>0</v>
      </c>
      <c r="L1431" s="404">
        <f t="shared" si="263"/>
        <v>8286.5094000000008</v>
      </c>
      <c r="M1431" s="452">
        <f>L1431/L$1499</f>
        <v>4.7278216625857641E-2</v>
      </c>
      <c r="N1431" s="796"/>
      <c r="P1431" s="399"/>
    </row>
    <row r="1432" spans="1:16" s="725" customFormat="1" ht="15" customHeight="1" x14ac:dyDescent="0.25">
      <c r="A1432" s="396"/>
      <c r="B1432" s="1382" t="s">
        <v>7711</v>
      </c>
      <c r="C1432" s="1382"/>
      <c r="D1432" s="1382"/>
      <c r="E1432" s="1382"/>
      <c r="F1432" s="1382"/>
      <c r="G1432" s="405"/>
      <c r="H1432" s="405"/>
      <c r="I1432" s="428"/>
      <c r="J1432" s="413"/>
      <c r="K1432" s="406">
        <f t="shared" si="263"/>
        <v>0</v>
      </c>
      <c r="L1432" s="406">
        <f t="shared" si="263"/>
        <v>8286.5094000000008</v>
      </c>
      <c r="M1432" s="453">
        <f>L1432/L$1499</f>
        <v>4.7278216625857641E-2</v>
      </c>
      <c r="N1432" s="796"/>
      <c r="P1432" s="399"/>
    </row>
    <row r="1433" spans="1:16" s="725" customFormat="1" ht="15" customHeight="1" x14ac:dyDescent="0.25">
      <c r="A1433" s="396"/>
      <c r="B1433" s="1383" t="s">
        <v>7712</v>
      </c>
      <c r="C1433" s="1383"/>
      <c r="D1433" s="1383"/>
      <c r="E1433" s="1383"/>
      <c r="F1433" s="1383"/>
      <c r="G1433" s="407"/>
      <c r="H1433" s="407"/>
      <c r="I1433" s="429"/>
      <c r="J1433" s="414"/>
      <c r="K1433" s="408">
        <f>SUM(K1434:K1439)</f>
        <v>0</v>
      </c>
      <c r="L1433" s="408">
        <f>SUM(L1434:L1439)-0.01</f>
        <v>8286.5094000000008</v>
      </c>
      <c r="M1433" s="454">
        <f>L1433/L$1499</f>
        <v>4.7278216625857641E-2</v>
      </c>
      <c r="N1433" s="796"/>
      <c r="P1433" s="399"/>
    </row>
    <row r="1434" spans="1:16" s="115" customFormat="1" ht="15" customHeight="1" x14ac:dyDescent="0.25">
      <c r="A1434" s="396"/>
      <c r="B1434" s="1398" t="s">
        <v>7724</v>
      </c>
      <c r="C1434" s="1398"/>
      <c r="D1434" s="1398"/>
      <c r="E1434" s="854">
        <v>333903000000000</v>
      </c>
      <c r="F1434" s="855" t="s">
        <v>7750</v>
      </c>
      <c r="G1434" s="468">
        <v>1</v>
      </c>
      <c r="H1434" s="468">
        <v>0</v>
      </c>
      <c r="I1434" s="751"/>
      <c r="J1434" s="878" t="s">
        <v>7718</v>
      </c>
      <c r="K1434" s="789">
        <f>('Parâmetros financeiros Despesa'!E690)</f>
        <v>0</v>
      </c>
      <c r="L1434" s="789">
        <f>('Parâmetros financeiros Despesa'!F690)*(1+'Parâmetros financeiros Despesa'!F$4)*(1+'Parâmetros financeiros Despesa'!F$7)</f>
        <v>1090.3315</v>
      </c>
      <c r="M1434" s="799">
        <f>L1434/L$1499</f>
        <v>6.2208254842498929E-3</v>
      </c>
      <c r="N1434" s="894"/>
      <c r="O1434" s="796"/>
      <c r="P1434" s="733"/>
    </row>
    <row r="1435" spans="1:16" s="115" customFormat="1" ht="15" customHeight="1" x14ac:dyDescent="0.25">
      <c r="A1435" s="396"/>
      <c r="B1435" s="1396">
        <v>115100</v>
      </c>
      <c r="C1435" s="1396"/>
      <c r="D1435" s="1396"/>
      <c r="E1435" s="854">
        <v>333903600000000</v>
      </c>
      <c r="F1435" s="855" t="s">
        <v>7751</v>
      </c>
      <c r="G1435" s="468">
        <v>1</v>
      </c>
      <c r="H1435" s="468">
        <v>0</v>
      </c>
      <c r="I1435" s="751"/>
      <c r="J1435" s="878" t="s">
        <v>7718</v>
      </c>
      <c r="K1435" s="789">
        <f>('Parâmetros financeiros Despesa'!E691)</f>
        <v>0</v>
      </c>
      <c r="L1435" s="789">
        <f>('Parâmetros financeiros Despesa'!F691)*(1+'Parâmetros financeiros Despesa'!F$4)*(1+'Parâmetros financeiros Despesa'!F$7)</f>
        <v>3270.9945000000002</v>
      </c>
      <c r="M1435" s="799">
        <f t="shared" ref="M1435:M1439" si="264">L1435/L$1499</f>
        <v>1.8662476452749682E-2</v>
      </c>
      <c r="N1435" s="894"/>
      <c r="O1435" s="796"/>
      <c r="P1435" s="733"/>
    </row>
    <row r="1436" spans="1:16" s="115" customFormat="1" ht="15" customHeight="1" x14ac:dyDescent="0.25">
      <c r="A1436" s="396"/>
      <c r="B1436" s="994"/>
      <c r="C1436" s="994"/>
      <c r="D1436" s="994" t="s">
        <v>7725</v>
      </c>
      <c r="E1436" s="854">
        <v>333903900000000</v>
      </c>
      <c r="F1436" s="855" t="s">
        <v>7760</v>
      </c>
      <c r="G1436" s="468">
        <v>1</v>
      </c>
      <c r="H1436" s="468">
        <v>0</v>
      </c>
      <c r="I1436" s="751"/>
      <c r="J1436" s="878" t="s">
        <v>7718</v>
      </c>
      <c r="K1436" s="789">
        <f>('Parâmetros financeiros Despesa'!E692)</f>
        <v>0</v>
      </c>
      <c r="L1436" s="789">
        <f>('Parâmetros financeiros Despesa'!F692)*(1+'Parâmetros financeiros Despesa'!F$4)*(1+'Parâmetros financeiros Despesa'!F$7)</f>
        <v>1090.3315</v>
      </c>
      <c r="M1436" s="799">
        <f t="shared" si="264"/>
        <v>6.2208254842498929E-3</v>
      </c>
      <c r="N1436" s="894"/>
      <c r="O1436" s="796"/>
      <c r="P1436" s="733"/>
    </row>
    <row r="1437" spans="1:16" s="115" customFormat="1" ht="15" customHeight="1" x14ac:dyDescent="0.25">
      <c r="A1437" s="396"/>
      <c r="B1437" s="1398" t="s">
        <v>7726</v>
      </c>
      <c r="C1437" s="1398"/>
      <c r="D1437" s="1398"/>
      <c r="E1437" s="854">
        <v>333904700000000</v>
      </c>
      <c r="F1437" s="855" t="s">
        <v>7749</v>
      </c>
      <c r="G1437" s="468">
        <v>1</v>
      </c>
      <c r="H1437" s="468">
        <v>0</v>
      </c>
      <c r="I1437" s="751"/>
      <c r="J1437" s="878" t="s">
        <v>7718</v>
      </c>
      <c r="K1437" s="789">
        <f>(('Parâmetros financeiros Despesa'!E691))</f>
        <v>0</v>
      </c>
      <c r="L1437" s="789">
        <f>(('Parâmetros financeiros Despesa'!F691)*(1+'Parâmetros financeiros Despesa'!F$4)*(1+'Parâmetros financeiros Despesa'!F$7))*('Parâmetros financeiros Despesa'!F$83)</f>
        <v>654.19890000000009</v>
      </c>
      <c r="M1437" s="799">
        <f t="shared" si="264"/>
        <v>3.7324952905499367E-3</v>
      </c>
      <c r="N1437" s="894"/>
      <c r="O1437" s="796"/>
      <c r="P1437" s="733"/>
    </row>
    <row r="1438" spans="1:16" s="115" customFormat="1" ht="15" customHeight="1" x14ac:dyDescent="0.25">
      <c r="A1438" s="396"/>
      <c r="B1438" s="994"/>
      <c r="C1438" s="994"/>
      <c r="D1438" s="994" t="s">
        <v>7727</v>
      </c>
      <c r="E1438" s="854">
        <v>344905100000000</v>
      </c>
      <c r="F1438" s="855" t="s">
        <v>7752</v>
      </c>
      <c r="G1438" s="468">
        <v>1</v>
      </c>
      <c r="H1438" s="468">
        <v>0</v>
      </c>
      <c r="I1438" s="751"/>
      <c r="J1438" s="878" t="s">
        <v>7718</v>
      </c>
      <c r="K1438" s="789">
        <f>('Parâmetros financeiros Despesa'!E693)</f>
        <v>0</v>
      </c>
      <c r="L1438" s="789">
        <f>('Parâmetros financeiros Despesa'!F693)*(1+'Parâmetros financeiros Despesa'!F$4)*(1+'Parâmetros financeiros Despesa'!F$7)</f>
        <v>1090.3315</v>
      </c>
      <c r="M1438" s="799">
        <f t="shared" si="264"/>
        <v>6.2208254842498929E-3</v>
      </c>
      <c r="N1438" s="894"/>
      <c r="O1438" s="796"/>
      <c r="P1438" s="733"/>
    </row>
    <row r="1439" spans="1:16" s="115" customFormat="1" ht="15" customHeight="1" x14ac:dyDescent="0.25">
      <c r="A1439" s="396"/>
      <c r="B1439" s="1398" t="s">
        <v>7728</v>
      </c>
      <c r="C1439" s="1398"/>
      <c r="D1439" s="1398"/>
      <c r="E1439" s="854">
        <v>344905200000000</v>
      </c>
      <c r="F1439" s="855" t="s">
        <v>7753</v>
      </c>
      <c r="G1439" s="468">
        <v>1</v>
      </c>
      <c r="H1439" s="468">
        <v>0</v>
      </c>
      <c r="I1439" s="751"/>
      <c r="J1439" s="878" t="s">
        <v>7718</v>
      </c>
      <c r="K1439" s="789">
        <f>('Parâmetros financeiros Despesa'!E694)</f>
        <v>0</v>
      </c>
      <c r="L1439" s="789">
        <f>('Parâmetros financeiros Despesa'!F694)*(1+'Parâmetros financeiros Despesa'!F$4)*(1+'Parâmetros financeiros Despesa'!F$7)</f>
        <v>1090.3315</v>
      </c>
      <c r="M1439" s="799">
        <f t="shared" si="264"/>
        <v>6.2208254842498929E-3</v>
      </c>
      <c r="N1439" s="894"/>
      <c r="O1439" s="796"/>
      <c r="P1439" s="733"/>
    </row>
    <row r="1440" spans="1:16" s="115" customFormat="1" ht="15" customHeight="1" x14ac:dyDescent="0.25">
      <c r="A1440" s="396"/>
      <c r="B1440" s="1385" t="s">
        <v>7729</v>
      </c>
      <c r="C1440" s="1385"/>
      <c r="D1440" s="1385"/>
      <c r="E1440" s="1385"/>
      <c r="F1440" s="1385"/>
      <c r="G1440" s="401"/>
      <c r="H1440" s="401"/>
      <c r="I1440" s="426"/>
      <c r="J1440" s="411"/>
      <c r="K1440" s="402">
        <f t="shared" ref="K1440:L1442" si="265">K1441</f>
        <v>0</v>
      </c>
      <c r="L1440" s="402">
        <f t="shared" si="265"/>
        <v>5669.7237999999998</v>
      </c>
      <c r="M1440" s="451">
        <f>L1440/L$1499</f>
        <v>3.2348292518099446E-2</v>
      </c>
      <c r="N1440" s="894"/>
      <c r="P1440" s="733"/>
    </row>
    <row r="1441" spans="1:16" s="725" customFormat="1" ht="15" customHeight="1" x14ac:dyDescent="0.25">
      <c r="A1441" s="396"/>
      <c r="B1441" s="1386" t="s">
        <v>7732</v>
      </c>
      <c r="C1441" s="1386"/>
      <c r="D1441" s="1386"/>
      <c r="E1441" s="1386"/>
      <c r="F1441" s="1386"/>
      <c r="G1441" s="403"/>
      <c r="H1441" s="403"/>
      <c r="I1441" s="427"/>
      <c r="J1441" s="412"/>
      <c r="K1441" s="404">
        <f t="shared" si="265"/>
        <v>0</v>
      </c>
      <c r="L1441" s="404">
        <f t="shared" si="265"/>
        <v>5669.7237999999998</v>
      </c>
      <c r="M1441" s="452">
        <f>L1441/L$1499</f>
        <v>3.2348292518099446E-2</v>
      </c>
      <c r="N1441" s="796"/>
      <c r="P1441" s="399"/>
    </row>
    <row r="1442" spans="1:16" s="725" customFormat="1" ht="15" customHeight="1" x14ac:dyDescent="0.25">
      <c r="A1442" s="396"/>
      <c r="B1442" s="1382" t="s">
        <v>7711</v>
      </c>
      <c r="C1442" s="1382"/>
      <c r="D1442" s="1382"/>
      <c r="E1442" s="1382"/>
      <c r="F1442" s="1382"/>
      <c r="G1442" s="405"/>
      <c r="H1442" s="405"/>
      <c r="I1442" s="428"/>
      <c r="J1442" s="413"/>
      <c r="K1442" s="406">
        <f t="shared" si="265"/>
        <v>0</v>
      </c>
      <c r="L1442" s="406">
        <f t="shared" si="265"/>
        <v>5669.7237999999998</v>
      </c>
      <c r="M1442" s="453">
        <f>L1442/L$1499</f>
        <v>3.2348292518099446E-2</v>
      </c>
      <c r="N1442" s="796"/>
      <c r="P1442" s="399"/>
    </row>
    <row r="1443" spans="1:16" s="725" customFormat="1" ht="15" customHeight="1" x14ac:dyDescent="0.25">
      <c r="A1443" s="396"/>
      <c r="B1443" s="1383" t="s">
        <v>7712</v>
      </c>
      <c r="C1443" s="1383"/>
      <c r="D1443" s="1383"/>
      <c r="E1443" s="1383"/>
      <c r="F1443" s="1383"/>
      <c r="G1443" s="407"/>
      <c r="H1443" s="407"/>
      <c r="I1443" s="429"/>
      <c r="J1443" s="414"/>
      <c r="K1443" s="408">
        <f>SUM(K1444:K1449)</f>
        <v>0</v>
      </c>
      <c r="L1443" s="408">
        <f>SUM(L1444:L1449)</f>
        <v>5669.7237999999998</v>
      </c>
      <c r="M1443" s="454">
        <f>L1443/L$1499</f>
        <v>3.2348292518099446E-2</v>
      </c>
      <c r="N1443" s="796"/>
      <c r="P1443" s="399"/>
    </row>
    <row r="1444" spans="1:16" s="115" customFormat="1" ht="15" customHeight="1" x14ac:dyDescent="0.25">
      <c r="A1444" s="396"/>
      <c r="B1444" s="1398" t="s">
        <v>7739</v>
      </c>
      <c r="C1444" s="1398"/>
      <c r="D1444" s="1398"/>
      <c r="E1444" s="854">
        <v>333903000000000</v>
      </c>
      <c r="F1444" s="855" t="s">
        <v>7755</v>
      </c>
      <c r="G1444" s="468">
        <v>1</v>
      </c>
      <c r="H1444" s="468">
        <v>0</v>
      </c>
      <c r="I1444" s="751"/>
      <c r="J1444" s="878" t="s">
        <v>7718</v>
      </c>
      <c r="K1444" s="789">
        <f>('Parâmetros financeiros Despesa'!E696)</f>
        <v>0</v>
      </c>
      <c r="L1444" s="789">
        <f>('Parâmetros financeiros Despesa'!F696)*(1+'Parâmetros financeiros Despesa'!F$4)*(1+'Parâmetros financeiros Despesa'!F$7)</f>
        <v>1090.3315</v>
      </c>
      <c r="M1444" s="799">
        <f>L1444/L$1499</f>
        <v>6.2208254842498929E-3</v>
      </c>
      <c r="N1444" s="894"/>
      <c r="O1444" s="796"/>
      <c r="P1444" s="733"/>
    </row>
    <row r="1445" spans="1:16" s="115" customFormat="1" ht="15" customHeight="1" x14ac:dyDescent="0.25">
      <c r="A1445" s="396"/>
      <c r="B1445" s="1396">
        <v>116100</v>
      </c>
      <c r="C1445" s="1396"/>
      <c r="D1445" s="1396"/>
      <c r="E1445" s="854">
        <v>333903600000000</v>
      </c>
      <c r="F1445" s="855" t="s">
        <v>7756</v>
      </c>
      <c r="G1445" s="468">
        <v>1</v>
      </c>
      <c r="H1445" s="468">
        <v>0</v>
      </c>
      <c r="I1445" s="751"/>
      <c r="J1445" s="878" t="s">
        <v>7718</v>
      </c>
      <c r="K1445" s="789">
        <f>('Parâmetros financeiros Despesa'!E697)</f>
        <v>0</v>
      </c>
      <c r="L1445" s="789">
        <f>('Parâmetros financeiros Despesa'!F697)*(1+'Parâmetros financeiros Despesa'!F$4)*(1+'Parâmetros financeiros Despesa'!F$7)</f>
        <v>1090.3315</v>
      </c>
      <c r="M1445" s="799">
        <f t="shared" ref="M1445:M1449" si="266">L1445/L$1499</f>
        <v>6.2208254842498929E-3</v>
      </c>
      <c r="N1445" s="894"/>
      <c r="O1445" s="796"/>
      <c r="P1445" s="733"/>
    </row>
    <row r="1446" spans="1:16" s="115" customFormat="1" ht="15" customHeight="1" x14ac:dyDescent="0.25">
      <c r="A1446" s="396"/>
      <c r="B1446" s="994"/>
      <c r="C1446" s="994"/>
      <c r="D1446" s="994" t="s">
        <v>7740</v>
      </c>
      <c r="E1446" s="854">
        <v>333903900000000</v>
      </c>
      <c r="F1446" s="855" t="s">
        <v>7759</v>
      </c>
      <c r="G1446" s="468">
        <v>1</v>
      </c>
      <c r="H1446" s="468">
        <v>0</v>
      </c>
      <c r="I1446" s="751"/>
      <c r="J1446" s="878" t="s">
        <v>7718</v>
      </c>
      <c r="K1446" s="789">
        <f>('Parâmetros financeiros Despesa'!E698)</f>
        <v>0</v>
      </c>
      <c r="L1446" s="789">
        <f>('Parâmetros financeiros Despesa'!F698)*(1+'Parâmetros financeiros Despesa'!F$4)*(1+'Parâmetros financeiros Despesa'!F$7)</f>
        <v>1090.3315</v>
      </c>
      <c r="M1446" s="799">
        <f t="shared" si="266"/>
        <v>6.2208254842498929E-3</v>
      </c>
      <c r="N1446" s="894"/>
      <c r="O1446" s="796"/>
      <c r="P1446" s="733"/>
    </row>
    <row r="1447" spans="1:16" s="115" customFormat="1" ht="15" customHeight="1" x14ac:dyDescent="0.25">
      <c r="A1447" s="396"/>
      <c r="B1447" s="1398" t="s">
        <v>7741</v>
      </c>
      <c r="C1447" s="1398"/>
      <c r="D1447" s="1398"/>
      <c r="E1447" s="854">
        <v>333904700000000</v>
      </c>
      <c r="F1447" s="855" t="s">
        <v>7754</v>
      </c>
      <c r="G1447" s="468">
        <v>1</v>
      </c>
      <c r="H1447" s="468">
        <v>0</v>
      </c>
      <c r="I1447" s="751"/>
      <c r="J1447" s="878" t="s">
        <v>7718</v>
      </c>
      <c r="K1447" s="789">
        <f>(('Parâmetros financeiros Despesa'!E697))</f>
        <v>0</v>
      </c>
      <c r="L1447" s="789">
        <f>(('Parâmetros financeiros Despesa'!F697)*(1+'Parâmetros financeiros Despesa'!F$4)*(1+'Parâmetros financeiros Despesa'!F$7))*('Parâmetros financeiros Despesa'!F$83)</f>
        <v>218.06630000000001</v>
      </c>
      <c r="M1447" s="799">
        <f t="shared" si="266"/>
        <v>1.2441650968499788E-3</v>
      </c>
      <c r="N1447" s="894"/>
      <c r="O1447" s="796"/>
      <c r="P1447" s="733"/>
    </row>
    <row r="1448" spans="1:16" s="115" customFormat="1" ht="15" customHeight="1" x14ac:dyDescent="0.25">
      <c r="A1448" s="396"/>
      <c r="B1448" s="994"/>
      <c r="C1448" s="994"/>
      <c r="D1448" s="994" t="s">
        <v>7742</v>
      </c>
      <c r="E1448" s="854">
        <v>344905100000000</v>
      </c>
      <c r="F1448" s="855" t="s">
        <v>7757</v>
      </c>
      <c r="G1448" s="468">
        <v>1</v>
      </c>
      <c r="H1448" s="468">
        <v>0</v>
      </c>
      <c r="I1448" s="751"/>
      <c r="J1448" s="878" t="s">
        <v>7718</v>
      </c>
      <c r="K1448" s="789">
        <f>('Parâmetros financeiros Despesa'!E699)</f>
        <v>0</v>
      </c>
      <c r="L1448" s="789">
        <f>('Parâmetros financeiros Despesa'!F699)*(1+'Parâmetros financeiros Despesa'!F$4)*(1+'Parâmetros financeiros Despesa'!F$7)</f>
        <v>1090.3315</v>
      </c>
      <c r="M1448" s="799">
        <f t="shared" si="266"/>
        <v>6.2208254842498929E-3</v>
      </c>
      <c r="N1448" s="894"/>
      <c r="O1448" s="796"/>
      <c r="P1448" s="733"/>
    </row>
    <row r="1449" spans="1:16" s="115" customFormat="1" ht="15" customHeight="1" x14ac:dyDescent="0.25">
      <c r="A1449" s="396"/>
      <c r="B1449" s="1398" t="s">
        <v>7743</v>
      </c>
      <c r="C1449" s="1398"/>
      <c r="D1449" s="1398"/>
      <c r="E1449" s="854">
        <v>344905200000000</v>
      </c>
      <c r="F1449" s="855" t="s">
        <v>7758</v>
      </c>
      <c r="G1449" s="468">
        <v>1</v>
      </c>
      <c r="H1449" s="468">
        <v>0</v>
      </c>
      <c r="I1449" s="751"/>
      <c r="J1449" s="878" t="s">
        <v>7718</v>
      </c>
      <c r="K1449" s="789">
        <f>('Parâmetros financeiros Despesa'!E700)</f>
        <v>0</v>
      </c>
      <c r="L1449" s="789">
        <f>('Parâmetros financeiros Despesa'!F700)*(1+'Parâmetros financeiros Despesa'!F$4)*(1+'Parâmetros financeiros Despesa'!F$7)</f>
        <v>1090.3315</v>
      </c>
      <c r="M1449" s="799">
        <f t="shared" si="266"/>
        <v>6.2208254842498929E-3</v>
      </c>
      <c r="N1449" s="894"/>
      <c r="O1449" s="796"/>
      <c r="P1449" s="733"/>
    </row>
    <row r="1450" spans="1:16" s="115" customFormat="1" ht="15" customHeight="1" x14ac:dyDescent="0.25">
      <c r="A1450" s="396"/>
      <c r="B1450" s="1385" t="s">
        <v>7729</v>
      </c>
      <c r="C1450" s="1385"/>
      <c r="D1450" s="1385"/>
      <c r="E1450" s="1385"/>
      <c r="F1450" s="1385"/>
      <c r="G1450" s="401"/>
      <c r="H1450" s="401"/>
      <c r="I1450" s="426"/>
      <c r="J1450" s="411"/>
      <c r="K1450" s="402">
        <f t="shared" ref="K1450:L1452" si="267">K1451</f>
        <v>0</v>
      </c>
      <c r="L1450" s="402">
        <f t="shared" si="267"/>
        <v>5669.7237999999998</v>
      </c>
      <c r="M1450" s="451">
        <f>L1450/L$1499</f>
        <v>3.2348292518099446E-2</v>
      </c>
      <c r="N1450" s="894"/>
      <c r="P1450" s="733"/>
    </row>
    <row r="1451" spans="1:16" s="725" customFormat="1" ht="15" customHeight="1" x14ac:dyDescent="0.25">
      <c r="A1451" s="396"/>
      <c r="B1451" s="1386" t="s">
        <v>7733</v>
      </c>
      <c r="C1451" s="1386"/>
      <c r="D1451" s="1386"/>
      <c r="E1451" s="1386"/>
      <c r="F1451" s="1386"/>
      <c r="G1451" s="403"/>
      <c r="H1451" s="403"/>
      <c r="I1451" s="427"/>
      <c r="J1451" s="412"/>
      <c r="K1451" s="404">
        <f t="shared" si="267"/>
        <v>0</v>
      </c>
      <c r="L1451" s="404">
        <f t="shared" si="267"/>
        <v>5669.7237999999998</v>
      </c>
      <c r="M1451" s="452">
        <f>L1451/L$1499</f>
        <v>3.2348292518099446E-2</v>
      </c>
      <c r="N1451" s="796"/>
    </row>
    <row r="1452" spans="1:16" s="725" customFormat="1" ht="15" customHeight="1" x14ac:dyDescent="0.25">
      <c r="A1452" s="396"/>
      <c r="B1452" s="1382" t="s">
        <v>7711</v>
      </c>
      <c r="C1452" s="1382"/>
      <c r="D1452" s="1382"/>
      <c r="E1452" s="1382"/>
      <c r="F1452" s="1382"/>
      <c r="G1452" s="405"/>
      <c r="H1452" s="405"/>
      <c r="I1452" s="428"/>
      <c r="J1452" s="413"/>
      <c r="K1452" s="406">
        <f t="shared" si="267"/>
        <v>0</v>
      </c>
      <c r="L1452" s="406">
        <f t="shared" si="267"/>
        <v>5669.7237999999998</v>
      </c>
      <c r="M1452" s="453">
        <f>L1452/L$1499</f>
        <v>3.2348292518099446E-2</v>
      </c>
      <c r="N1452" s="796"/>
    </row>
    <row r="1453" spans="1:16" s="725" customFormat="1" ht="15" customHeight="1" x14ac:dyDescent="0.25">
      <c r="A1453" s="396"/>
      <c r="B1453" s="1383" t="s">
        <v>7712</v>
      </c>
      <c r="C1453" s="1383"/>
      <c r="D1453" s="1383"/>
      <c r="E1453" s="1383"/>
      <c r="F1453" s="1383"/>
      <c r="G1453" s="407"/>
      <c r="H1453" s="407"/>
      <c r="I1453" s="429"/>
      <c r="J1453" s="414"/>
      <c r="K1453" s="408">
        <f>SUM(K1454:K1459)</f>
        <v>0</v>
      </c>
      <c r="L1453" s="408">
        <f>SUM(L1454:L1459)</f>
        <v>5669.7237999999998</v>
      </c>
      <c r="M1453" s="454">
        <f>L1453/L$1499</f>
        <v>3.2348292518099446E-2</v>
      </c>
      <c r="N1453" s="796"/>
    </row>
    <row r="1454" spans="1:16" s="115" customFormat="1" ht="15" customHeight="1" x14ac:dyDescent="0.25">
      <c r="A1454" s="396"/>
      <c r="B1454" s="1398" t="s">
        <v>7744</v>
      </c>
      <c r="C1454" s="1398"/>
      <c r="D1454" s="1398"/>
      <c r="E1454" s="854">
        <v>333903000000000</v>
      </c>
      <c r="F1454" s="855" t="s">
        <v>7809</v>
      </c>
      <c r="G1454" s="468">
        <v>1</v>
      </c>
      <c r="H1454" s="468">
        <v>0</v>
      </c>
      <c r="I1454" s="751"/>
      <c r="J1454" s="878" t="s">
        <v>7718</v>
      </c>
      <c r="K1454" s="789">
        <f>('Parâmetros financeiros Despesa'!E702)</f>
        <v>0</v>
      </c>
      <c r="L1454" s="789">
        <f>('Parâmetros financeiros Despesa'!F702)*(1+'Parâmetros financeiros Despesa'!F$4)*(1+'Parâmetros financeiros Despesa'!F$7)</f>
        <v>1090.3315</v>
      </c>
      <c r="M1454" s="799">
        <f>L1454/L$1499</f>
        <v>6.2208254842498929E-3</v>
      </c>
      <c r="N1454" s="894"/>
      <c r="O1454" s="796"/>
    </row>
    <row r="1455" spans="1:16" s="115" customFormat="1" ht="15" customHeight="1" x14ac:dyDescent="0.25">
      <c r="A1455" s="396"/>
      <c r="B1455" s="1396">
        <v>117100</v>
      </c>
      <c r="C1455" s="1396"/>
      <c r="D1455" s="1396"/>
      <c r="E1455" s="854">
        <v>333903600000000</v>
      </c>
      <c r="F1455" s="855" t="s">
        <v>7810</v>
      </c>
      <c r="G1455" s="468">
        <v>1</v>
      </c>
      <c r="H1455" s="468">
        <v>0</v>
      </c>
      <c r="I1455" s="751"/>
      <c r="J1455" s="878" t="s">
        <v>7718</v>
      </c>
      <c r="K1455" s="789">
        <f>('Parâmetros financeiros Despesa'!E703)</f>
        <v>0</v>
      </c>
      <c r="L1455" s="789">
        <f>('Parâmetros financeiros Despesa'!F703)*(1+'Parâmetros financeiros Despesa'!F$4)*(1+'Parâmetros financeiros Despesa'!F$7)</f>
        <v>1090.3315</v>
      </c>
      <c r="M1455" s="799">
        <f t="shared" ref="M1455:M1459" si="268">L1455/L$1499</f>
        <v>6.2208254842498929E-3</v>
      </c>
      <c r="N1455" s="894"/>
      <c r="O1455" s="796"/>
    </row>
    <row r="1456" spans="1:16" s="115" customFormat="1" ht="15" customHeight="1" x14ac:dyDescent="0.25">
      <c r="A1456" s="396"/>
      <c r="B1456" s="994"/>
      <c r="C1456" s="994"/>
      <c r="D1456" s="994" t="s">
        <v>7745</v>
      </c>
      <c r="E1456" s="854">
        <v>333903900000000</v>
      </c>
      <c r="F1456" s="855" t="s">
        <v>7811</v>
      </c>
      <c r="G1456" s="468">
        <v>1</v>
      </c>
      <c r="H1456" s="468">
        <v>0</v>
      </c>
      <c r="I1456" s="751"/>
      <c r="J1456" s="878" t="s">
        <v>7718</v>
      </c>
      <c r="K1456" s="789">
        <f>('Parâmetros financeiros Despesa'!E704)</f>
        <v>0</v>
      </c>
      <c r="L1456" s="789">
        <f>('Parâmetros financeiros Despesa'!F704)*(1+'Parâmetros financeiros Despesa'!F$4)*(1+'Parâmetros financeiros Despesa'!F$7)</f>
        <v>1090.3315</v>
      </c>
      <c r="M1456" s="799">
        <f t="shared" si="268"/>
        <v>6.2208254842498929E-3</v>
      </c>
      <c r="N1456" s="894"/>
      <c r="O1456" s="796"/>
    </row>
    <row r="1457" spans="1:16" s="115" customFormat="1" ht="15" customHeight="1" x14ac:dyDescent="0.25">
      <c r="A1457" s="396"/>
      <c r="B1457" s="1398" t="s">
        <v>7746</v>
      </c>
      <c r="C1457" s="1398"/>
      <c r="D1457" s="1398"/>
      <c r="E1457" s="854">
        <v>333904700000000</v>
      </c>
      <c r="F1457" s="855" t="s">
        <v>7812</v>
      </c>
      <c r="G1457" s="468">
        <v>1</v>
      </c>
      <c r="H1457" s="468">
        <v>0</v>
      </c>
      <c r="I1457" s="751"/>
      <c r="J1457" s="878" t="s">
        <v>7718</v>
      </c>
      <c r="K1457" s="789">
        <f>(('Parâmetros financeiros Despesa'!E703))</f>
        <v>0</v>
      </c>
      <c r="L1457" s="789">
        <f>(('Parâmetros financeiros Despesa'!F703)*(1+'Parâmetros financeiros Despesa'!F$4)*(1+'Parâmetros financeiros Despesa'!F$7))*('Parâmetros financeiros Despesa'!F$83)</f>
        <v>218.06630000000001</v>
      </c>
      <c r="M1457" s="799">
        <f t="shared" si="268"/>
        <v>1.2441650968499788E-3</v>
      </c>
      <c r="N1457" s="894"/>
      <c r="O1457" s="796"/>
    </row>
    <row r="1458" spans="1:16" s="115" customFormat="1" ht="15" customHeight="1" x14ac:dyDescent="0.25">
      <c r="A1458" s="396"/>
      <c r="B1458" s="994"/>
      <c r="C1458" s="994"/>
      <c r="D1458" s="994" t="s">
        <v>7747</v>
      </c>
      <c r="E1458" s="854">
        <v>344905100000000</v>
      </c>
      <c r="F1458" s="855" t="s">
        <v>7813</v>
      </c>
      <c r="G1458" s="468">
        <v>1</v>
      </c>
      <c r="H1458" s="468">
        <v>0</v>
      </c>
      <c r="I1458" s="751"/>
      <c r="J1458" s="878" t="s">
        <v>7718</v>
      </c>
      <c r="K1458" s="789">
        <f>('Parâmetros financeiros Despesa'!E705)</f>
        <v>0</v>
      </c>
      <c r="L1458" s="789">
        <f>('Parâmetros financeiros Despesa'!F705)*(1+'Parâmetros financeiros Despesa'!F$4)*(1+'Parâmetros financeiros Despesa'!F$7)</f>
        <v>1090.3315</v>
      </c>
      <c r="M1458" s="799">
        <f t="shared" si="268"/>
        <v>6.2208254842498929E-3</v>
      </c>
      <c r="N1458" s="894"/>
      <c r="O1458" s="796"/>
    </row>
    <row r="1459" spans="1:16" s="115" customFormat="1" ht="15" customHeight="1" x14ac:dyDescent="0.25">
      <c r="A1459" s="396"/>
      <c r="B1459" s="1398" t="s">
        <v>7748</v>
      </c>
      <c r="C1459" s="1398"/>
      <c r="D1459" s="1398"/>
      <c r="E1459" s="854">
        <v>344905200000000</v>
      </c>
      <c r="F1459" s="855" t="s">
        <v>7814</v>
      </c>
      <c r="G1459" s="468">
        <v>1</v>
      </c>
      <c r="H1459" s="468">
        <v>0</v>
      </c>
      <c r="I1459" s="751"/>
      <c r="J1459" s="878" t="s">
        <v>7718</v>
      </c>
      <c r="K1459" s="789">
        <f>('Parâmetros financeiros Despesa'!E706)</f>
        <v>0</v>
      </c>
      <c r="L1459" s="789">
        <f>('Parâmetros financeiros Despesa'!F706)*(1+'Parâmetros financeiros Despesa'!F$4)*(1+'Parâmetros financeiros Despesa'!F$7)</f>
        <v>1090.3315</v>
      </c>
      <c r="M1459" s="799">
        <f t="shared" si="268"/>
        <v>6.2208254842498929E-3</v>
      </c>
      <c r="N1459" s="894"/>
      <c r="O1459" s="796"/>
      <c r="P1459" s="733"/>
    </row>
    <row r="1460" spans="1:16" s="115" customFormat="1" ht="15" customHeight="1" x14ac:dyDescent="0.25">
      <c r="A1460" s="396"/>
      <c r="B1460" s="1385" t="s">
        <v>7729</v>
      </c>
      <c r="C1460" s="1385"/>
      <c r="D1460" s="1385"/>
      <c r="E1460" s="1385"/>
      <c r="F1460" s="1385"/>
      <c r="G1460" s="401"/>
      <c r="H1460" s="401"/>
      <c r="I1460" s="426"/>
      <c r="J1460" s="411"/>
      <c r="K1460" s="402">
        <f t="shared" ref="K1460:L1462" si="269">K1461</f>
        <v>0</v>
      </c>
      <c r="L1460" s="402">
        <f t="shared" si="269"/>
        <v>26618.133900000001</v>
      </c>
      <c r="M1460" s="451">
        <f>L1460/L$1499</f>
        <v>0.15186827649049486</v>
      </c>
      <c r="N1460" s="894"/>
      <c r="P1460" s="733"/>
    </row>
    <row r="1461" spans="1:16" s="725" customFormat="1" ht="15" customHeight="1" x14ac:dyDescent="0.25">
      <c r="A1461" s="396"/>
      <c r="B1461" s="1386" t="s">
        <v>7771</v>
      </c>
      <c r="C1461" s="1386"/>
      <c r="D1461" s="1386"/>
      <c r="E1461" s="1386"/>
      <c r="F1461" s="1386"/>
      <c r="G1461" s="403"/>
      <c r="H1461" s="403"/>
      <c r="I1461" s="427"/>
      <c r="J1461" s="412"/>
      <c r="K1461" s="404">
        <f t="shared" si="269"/>
        <v>0</v>
      </c>
      <c r="L1461" s="404">
        <f t="shared" si="269"/>
        <v>26618.133900000001</v>
      </c>
      <c r="M1461" s="452">
        <f>L1461/L$1499</f>
        <v>0.15186827649049486</v>
      </c>
      <c r="N1461" s="796"/>
      <c r="P1461" s="399"/>
    </row>
    <row r="1462" spans="1:16" s="725" customFormat="1" ht="15" customHeight="1" x14ac:dyDescent="0.25">
      <c r="A1462" s="396"/>
      <c r="B1462" s="1382" t="s">
        <v>7711</v>
      </c>
      <c r="C1462" s="1382"/>
      <c r="D1462" s="1382"/>
      <c r="E1462" s="1382"/>
      <c r="F1462" s="1382"/>
      <c r="G1462" s="405"/>
      <c r="H1462" s="405"/>
      <c r="I1462" s="428"/>
      <c r="J1462" s="413"/>
      <c r="K1462" s="406">
        <f t="shared" si="269"/>
        <v>0</v>
      </c>
      <c r="L1462" s="406">
        <f t="shared" si="269"/>
        <v>26618.133900000001</v>
      </c>
      <c r="M1462" s="453">
        <f>L1462/L$1499</f>
        <v>0.15186827649049486</v>
      </c>
      <c r="N1462" s="796"/>
      <c r="P1462" s="399"/>
    </row>
    <row r="1463" spans="1:16" s="725" customFormat="1" ht="15" customHeight="1" x14ac:dyDescent="0.25">
      <c r="A1463" s="396"/>
      <c r="B1463" s="1383" t="s">
        <v>7712</v>
      </c>
      <c r="C1463" s="1383"/>
      <c r="D1463" s="1383"/>
      <c r="E1463" s="1383"/>
      <c r="F1463" s="1383"/>
      <c r="G1463" s="407"/>
      <c r="H1463" s="407"/>
      <c r="I1463" s="429"/>
      <c r="J1463" s="414"/>
      <c r="K1463" s="408">
        <f>SUM(K1464:K1471)</f>
        <v>0</v>
      </c>
      <c r="L1463" s="408">
        <f>SUM(L1464:L1471)</f>
        <v>26618.133900000001</v>
      </c>
      <c r="M1463" s="454">
        <f>L1463/L$1499</f>
        <v>0.15186827649049486</v>
      </c>
      <c r="N1463" s="796"/>
      <c r="P1463" s="399"/>
    </row>
    <row r="1464" spans="1:16" s="115" customFormat="1" ht="15" customHeight="1" x14ac:dyDescent="0.25">
      <c r="A1464" s="396"/>
      <c r="B1464" s="1398" t="s">
        <v>7761</v>
      </c>
      <c r="C1464" s="1398"/>
      <c r="D1464" s="1398"/>
      <c r="E1464" s="854">
        <v>333309300000000</v>
      </c>
      <c r="F1464" s="855" t="s">
        <v>7779</v>
      </c>
      <c r="G1464" s="468">
        <v>1153</v>
      </c>
      <c r="H1464" s="468">
        <v>0</v>
      </c>
      <c r="I1464" s="751"/>
      <c r="J1464" s="878" t="s">
        <v>7718</v>
      </c>
      <c r="K1464" s="789">
        <f>'Parâmetros financeiros Despesa'!E708</f>
        <v>0</v>
      </c>
      <c r="L1464" s="789">
        <f>'Parâmetros financeiros Despesa'!F708</f>
        <v>1</v>
      </c>
      <c r="M1464" s="799">
        <f>L1464/L$1499</f>
        <v>5.7054441555159081E-6</v>
      </c>
      <c r="N1464" s="894"/>
      <c r="P1464" s="733"/>
    </row>
    <row r="1465" spans="1:16" s="115" customFormat="1" ht="15" customHeight="1" x14ac:dyDescent="0.25">
      <c r="A1465" s="396"/>
      <c r="B1465" s="1396">
        <v>118100</v>
      </c>
      <c r="C1465" s="1396"/>
      <c r="D1465" s="1396"/>
      <c r="E1465" s="854">
        <v>333903000000000</v>
      </c>
      <c r="F1465" s="855" t="s">
        <v>7774</v>
      </c>
      <c r="G1465" s="468">
        <v>1</v>
      </c>
      <c r="H1465" s="468">
        <v>0</v>
      </c>
      <c r="I1465" s="751"/>
      <c r="J1465" s="878" t="s">
        <v>7718</v>
      </c>
      <c r="K1465" s="789">
        <f>('Parâmetros financeiros Despesa'!E709)</f>
        <v>0</v>
      </c>
      <c r="L1465" s="789">
        <f>('Parâmetros financeiros Despesa'!F709)*(1+'Parâmetros financeiros Despesa'!F$4)*(1+'Parâmetros financeiros Despesa'!F$7)</f>
        <v>1090.3315</v>
      </c>
      <c r="M1465" s="799">
        <f t="shared" ref="M1465:M1471" si="270">L1465/L$1499</f>
        <v>6.2208254842498929E-3</v>
      </c>
      <c r="N1465" s="894"/>
      <c r="O1465" s="796"/>
      <c r="P1465" s="733"/>
    </row>
    <row r="1466" spans="1:16" s="115" customFormat="1" ht="15" customHeight="1" x14ac:dyDescent="0.25">
      <c r="A1466" s="396"/>
      <c r="B1466" s="994"/>
      <c r="C1466" s="994"/>
      <c r="D1466" s="994" t="s">
        <v>7762</v>
      </c>
      <c r="E1466" s="854">
        <v>333903600000000</v>
      </c>
      <c r="F1466" s="855" t="s">
        <v>7775</v>
      </c>
      <c r="G1466" s="468">
        <v>1</v>
      </c>
      <c r="H1466" s="468">
        <v>0</v>
      </c>
      <c r="I1466" s="751"/>
      <c r="J1466" s="878" t="s">
        <v>7718</v>
      </c>
      <c r="K1466" s="789">
        <f>('Parâmetros financeiros Despesa'!E710)</f>
        <v>0</v>
      </c>
      <c r="L1466" s="789">
        <f>('Parâmetros financeiros Despesa'!F710)*(1+'Parâmetros financeiros Despesa'!F$4)*(1+'Parâmetros financeiros Despesa'!F$7)</f>
        <v>3270.9945000000002</v>
      </c>
      <c r="M1466" s="799">
        <f t="shared" si="270"/>
        <v>1.8662476452749682E-2</v>
      </c>
      <c r="N1466" s="894"/>
      <c r="O1466" s="796"/>
      <c r="P1466" s="733"/>
    </row>
    <row r="1467" spans="1:16" s="115" customFormat="1" ht="15" customHeight="1" x14ac:dyDescent="0.25">
      <c r="A1467" s="396"/>
      <c r="B1467" s="1398" t="s">
        <v>7763</v>
      </c>
      <c r="C1467" s="1398"/>
      <c r="D1467" s="1398"/>
      <c r="E1467" s="854">
        <v>333903900000000</v>
      </c>
      <c r="F1467" s="855" t="s">
        <v>7776</v>
      </c>
      <c r="G1467" s="468">
        <v>1</v>
      </c>
      <c r="H1467" s="468">
        <v>0</v>
      </c>
      <c r="I1467" s="751"/>
      <c r="J1467" s="878" t="s">
        <v>7718</v>
      </c>
      <c r="K1467" s="789">
        <f>('Parâmetros financeiros Despesa'!E711)</f>
        <v>0</v>
      </c>
      <c r="L1467" s="789">
        <f>('Parâmetros financeiros Despesa'!F711)*(1+'Parâmetros financeiros Despesa'!F$4)*(1+'Parâmetros financeiros Despesa'!F$7)</f>
        <v>4361.326</v>
      </c>
      <c r="M1467" s="799">
        <f t="shared" si="270"/>
        <v>2.4883301936999572E-2</v>
      </c>
      <c r="N1467" s="894"/>
      <c r="O1467" s="796"/>
      <c r="P1467" s="733"/>
    </row>
    <row r="1468" spans="1:16" s="115" customFormat="1" ht="15" customHeight="1" x14ac:dyDescent="0.25">
      <c r="A1468" s="396"/>
      <c r="B1468" s="1398" t="s">
        <v>7764</v>
      </c>
      <c r="C1468" s="1398"/>
      <c r="D1468" s="1398"/>
      <c r="E1468" s="854">
        <v>333903900000000</v>
      </c>
      <c r="F1468" s="855" t="s">
        <v>7776</v>
      </c>
      <c r="G1468" s="468">
        <v>1153</v>
      </c>
      <c r="H1468" s="468">
        <v>0</v>
      </c>
      <c r="I1468" s="751"/>
      <c r="J1468" s="878" t="s">
        <v>7718</v>
      </c>
      <c r="K1468" s="789">
        <f>'Parâmetros financeiros Despesa'!E712</f>
        <v>0</v>
      </c>
      <c r="L1468" s="789">
        <f>'Parâmetros financeiros Despesa'!F712</f>
        <v>15059.62</v>
      </c>
      <c r="M1468" s="799">
        <f t="shared" si="270"/>
        <v>8.5921820913290481E-2</v>
      </c>
      <c r="N1468" s="894"/>
      <c r="P1468" s="733"/>
    </row>
    <row r="1469" spans="1:16" s="115" customFormat="1" ht="15" customHeight="1" x14ac:dyDescent="0.25">
      <c r="A1469" s="396"/>
      <c r="B1469" s="1398" t="s">
        <v>7765</v>
      </c>
      <c r="C1469" s="1398"/>
      <c r="D1469" s="1398"/>
      <c r="E1469" s="854">
        <v>333904700000000</v>
      </c>
      <c r="F1469" s="855" t="s">
        <v>7773</v>
      </c>
      <c r="G1469" s="468">
        <v>1</v>
      </c>
      <c r="H1469" s="468">
        <v>0</v>
      </c>
      <c r="I1469" s="751"/>
      <c r="J1469" s="878" t="s">
        <v>7718</v>
      </c>
      <c r="K1469" s="789">
        <f>(('Parâmetros financeiros Despesa'!E710))</f>
        <v>0</v>
      </c>
      <c r="L1469" s="789">
        <f>(('Parâmetros financeiros Despesa'!F710)*(1+'Parâmetros financeiros Despesa'!F$4)*(1+'Parâmetros financeiros Despesa'!F$7))*('Parâmetros financeiros Despesa'!F$83)</f>
        <v>654.19890000000009</v>
      </c>
      <c r="M1469" s="799">
        <f t="shared" si="270"/>
        <v>3.7324952905499367E-3</v>
      </c>
      <c r="N1469" s="894"/>
      <c r="O1469" s="796"/>
      <c r="P1469" s="733"/>
    </row>
    <row r="1470" spans="1:16" s="115" customFormat="1" ht="15" customHeight="1" x14ac:dyDescent="0.25">
      <c r="A1470" s="396"/>
      <c r="B1470" s="994"/>
      <c r="C1470" s="994"/>
      <c r="D1470" s="994" t="s">
        <v>7782</v>
      </c>
      <c r="E1470" s="854">
        <v>344905100000000</v>
      </c>
      <c r="F1470" s="855" t="s">
        <v>7777</v>
      </c>
      <c r="G1470" s="468">
        <v>1</v>
      </c>
      <c r="H1470" s="468">
        <v>0</v>
      </c>
      <c r="I1470" s="751"/>
      <c r="J1470" s="878" t="s">
        <v>7718</v>
      </c>
      <c r="K1470" s="789">
        <f>('Parâmetros financeiros Despesa'!E713)</f>
        <v>0</v>
      </c>
      <c r="L1470" s="789">
        <f>('Parâmetros financeiros Despesa'!F713)*(1+'Parâmetros financeiros Despesa'!F$4)*(1+'Parâmetros financeiros Despesa'!F$7)</f>
        <v>1090.3315</v>
      </c>
      <c r="M1470" s="799">
        <f t="shared" si="270"/>
        <v>6.2208254842498929E-3</v>
      </c>
      <c r="N1470" s="894"/>
      <c r="O1470" s="796"/>
      <c r="P1470" s="733"/>
    </row>
    <row r="1471" spans="1:16" s="115" customFormat="1" ht="15" customHeight="1" x14ac:dyDescent="0.25">
      <c r="A1471" s="396"/>
      <c r="B1471" s="1398" t="s">
        <v>7783</v>
      </c>
      <c r="C1471" s="1398"/>
      <c r="D1471" s="1398"/>
      <c r="E1471" s="854">
        <v>344905200000000</v>
      </c>
      <c r="F1471" s="855" t="s">
        <v>7778</v>
      </c>
      <c r="G1471" s="468">
        <v>1</v>
      </c>
      <c r="H1471" s="468">
        <v>0</v>
      </c>
      <c r="I1471" s="751"/>
      <c r="J1471" s="878" t="s">
        <v>7718</v>
      </c>
      <c r="K1471" s="789">
        <f>('Parâmetros financeiros Despesa'!E714)</f>
        <v>0</v>
      </c>
      <c r="L1471" s="789">
        <f>('Parâmetros financeiros Despesa'!F714)*(1+'Parâmetros financeiros Despesa'!F$4)*(1+'Parâmetros financeiros Despesa'!F$7)</f>
        <v>1090.3315</v>
      </c>
      <c r="M1471" s="799">
        <f t="shared" si="270"/>
        <v>6.2208254842498929E-3</v>
      </c>
      <c r="N1471" s="894"/>
      <c r="O1471" s="796"/>
      <c r="P1471" s="733"/>
    </row>
    <row r="1472" spans="1:16" s="115" customFormat="1" ht="15" customHeight="1" x14ac:dyDescent="0.25">
      <c r="A1472" s="396"/>
      <c r="B1472" s="1385" t="s">
        <v>7729</v>
      </c>
      <c r="C1472" s="1385"/>
      <c r="D1472" s="1385"/>
      <c r="E1472" s="1385"/>
      <c r="F1472" s="1385"/>
      <c r="G1472" s="401"/>
      <c r="H1472" s="401"/>
      <c r="I1472" s="426"/>
      <c r="J1472" s="411"/>
      <c r="K1472" s="402">
        <f t="shared" ref="K1472:L1474" si="271">K1473</f>
        <v>80556.077729349563</v>
      </c>
      <c r="L1472" s="402">
        <f t="shared" si="271"/>
        <v>91581.205284173964</v>
      </c>
      <c r="M1472" s="451">
        <f>L1472/L$1499</f>
        <v>0.5225114524436929</v>
      </c>
      <c r="N1472" s="894"/>
      <c r="P1472" s="733"/>
    </row>
    <row r="1473" spans="1:16" s="725" customFormat="1" ht="15" customHeight="1" x14ac:dyDescent="0.25">
      <c r="A1473" s="396"/>
      <c r="B1473" s="1386" t="s">
        <v>7772</v>
      </c>
      <c r="C1473" s="1386"/>
      <c r="D1473" s="1386"/>
      <c r="E1473" s="1386"/>
      <c r="F1473" s="1386"/>
      <c r="G1473" s="403"/>
      <c r="H1473" s="403"/>
      <c r="I1473" s="427"/>
      <c r="J1473" s="412"/>
      <c r="K1473" s="404">
        <f t="shared" si="271"/>
        <v>80556.077729349563</v>
      </c>
      <c r="L1473" s="404">
        <f t="shared" si="271"/>
        <v>91581.205284173964</v>
      </c>
      <c r="M1473" s="452">
        <f>L1473/L$1499</f>
        <v>0.5225114524436929</v>
      </c>
      <c r="N1473" s="796"/>
      <c r="P1473" s="399"/>
    </row>
    <row r="1474" spans="1:16" s="725" customFormat="1" ht="15" customHeight="1" x14ac:dyDescent="0.25">
      <c r="A1474" s="396"/>
      <c r="B1474" s="1382" t="s">
        <v>7711</v>
      </c>
      <c r="C1474" s="1382"/>
      <c r="D1474" s="1382"/>
      <c r="E1474" s="1382"/>
      <c r="F1474" s="1382"/>
      <c r="G1474" s="405"/>
      <c r="H1474" s="405"/>
      <c r="I1474" s="428"/>
      <c r="J1474" s="413"/>
      <c r="K1474" s="406">
        <f t="shared" si="271"/>
        <v>80556.077729349563</v>
      </c>
      <c r="L1474" s="406">
        <f t="shared" si="271"/>
        <v>91581.205284173964</v>
      </c>
      <c r="M1474" s="453">
        <f>L1474/L$1499</f>
        <v>0.5225114524436929</v>
      </c>
      <c r="N1474" s="796"/>
      <c r="P1474" s="399"/>
    </row>
    <row r="1475" spans="1:16" s="725" customFormat="1" ht="15" customHeight="1" x14ac:dyDescent="0.25">
      <c r="A1475" s="396"/>
      <c r="B1475" s="1383" t="s">
        <v>7712</v>
      </c>
      <c r="C1475" s="1383"/>
      <c r="D1475" s="1383"/>
      <c r="E1475" s="1383"/>
      <c r="F1475" s="1383"/>
      <c r="G1475" s="407"/>
      <c r="H1475" s="407"/>
      <c r="I1475" s="429"/>
      <c r="J1475" s="414"/>
      <c r="K1475" s="408">
        <f>K1476+K1477+K1478+K1479+K1480+K1481+K1482+K1483+K1484+K1485+K1486+K1489+K1491+K1493+K1494-0.02</f>
        <v>80556.077729349563</v>
      </c>
      <c r="L1475" s="408">
        <f>L1476+L1477+L1478+L1479+L1480+L1481+L1482+L1483+L1484+L1485+L1486+L1489+L1491+L1493+L1494-0.02</f>
        <v>91581.205284173964</v>
      </c>
      <c r="M1475" s="454">
        <f>L1475/L$1499</f>
        <v>0.5225114524436929</v>
      </c>
      <c r="N1475" s="796"/>
      <c r="P1475" s="399"/>
    </row>
    <row r="1476" spans="1:16" s="115" customFormat="1" ht="15" customHeight="1" x14ac:dyDescent="0.25">
      <c r="A1476" s="396"/>
      <c r="B1476" s="1398" t="s">
        <v>7766</v>
      </c>
      <c r="C1476" s="1398"/>
      <c r="D1476" s="1398"/>
      <c r="E1476" s="854">
        <v>331900400000000</v>
      </c>
      <c r="F1476" s="855" t="s">
        <v>10364</v>
      </c>
      <c r="G1476" s="468">
        <v>1</v>
      </c>
      <c r="H1476" s="468">
        <v>0</v>
      </c>
      <c r="I1476" s="751"/>
      <c r="J1476" s="878" t="s">
        <v>7718</v>
      </c>
      <c r="K1476" s="789">
        <f>(('Parâmetros financeiros Despesa'!E716))</f>
        <v>31068.05326666667</v>
      </c>
      <c r="L1476" s="789">
        <f>(('Parâmetros financeiros Despesa'!F716)*2.05+(('Parâmetros financeiros Despesa'!F716)*11.28)*(1+'Parâmetros financeiros Despesa'!F$4)*(1+'Parâmetros financeiros Despesa'!F$8))*(1+'Parâmetros financeiros Despesa'!F$80)</f>
        <v>17.278630081629636</v>
      </c>
      <c r="M1476" s="799">
        <f>L1476/L$1499</f>
        <v>9.8582259014555164E-5</v>
      </c>
      <c r="N1476" s="894"/>
      <c r="P1476" s="733"/>
    </row>
    <row r="1477" spans="1:16" s="115" customFormat="1" ht="15" customHeight="1" x14ac:dyDescent="0.25">
      <c r="A1477" s="396"/>
      <c r="B1477" s="1398" t="s">
        <v>7784</v>
      </c>
      <c r="C1477" s="1398"/>
      <c r="D1477" s="1398"/>
      <c r="E1477" s="854">
        <v>331901100000000</v>
      </c>
      <c r="F1477" s="855" t="s">
        <v>10365</v>
      </c>
      <c r="G1477" s="468">
        <v>1</v>
      </c>
      <c r="H1477" s="468">
        <v>0</v>
      </c>
      <c r="I1477" s="751"/>
      <c r="J1477" s="878" t="s">
        <v>7718</v>
      </c>
      <c r="K1477" s="789">
        <f>('Parâmetros financeiros Despesa'!E717)</f>
        <v>39844.855756301375</v>
      </c>
      <c r="L1477" s="789">
        <f>('Parâmetros financeiros Despesa'!F717)*2.05+(('Parâmetros financeiros Despesa'!F717)*11.28)*(1+'Parâmetros financeiros Despesa'!F$4)*(1+'Parâmetros financeiros Despesa'!F$8)</f>
        <v>41972.041221323096</v>
      </c>
      <c r="M1477" s="799">
        <f t="shared" ref="M1477:M1492" si="272">L1477/L$1499</f>
        <v>0.23946913728127064</v>
      </c>
      <c r="N1477" s="894"/>
      <c r="P1477" s="733"/>
    </row>
    <row r="1478" spans="1:16" s="115" customFormat="1" ht="15" customHeight="1" x14ac:dyDescent="0.25">
      <c r="A1478" s="396"/>
      <c r="B1478" s="1398" t="s">
        <v>7767</v>
      </c>
      <c r="C1478" s="1398"/>
      <c r="D1478" s="1398"/>
      <c r="E1478" s="854">
        <v>331901300000000</v>
      </c>
      <c r="F1478" s="855" t="s">
        <v>10366</v>
      </c>
      <c r="G1478" s="468">
        <v>1</v>
      </c>
      <c r="H1478" s="468">
        <v>0</v>
      </c>
      <c r="I1478" s="751"/>
      <c r="J1478" s="878" t="s">
        <v>7718</v>
      </c>
      <c r="K1478" s="789">
        <f>'Parâmetros financeiros Despesa'!E718</f>
        <v>9176.5087063815263</v>
      </c>
      <c r="L1478" s="789">
        <f>(L1477+L1479)*'Parâmetros financeiros Despesa'!F$80</f>
        <v>10990.131038971473</v>
      </c>
      <c r="M1478" s="799">
        <f t="shared" si="272"/>
        <v>6.2703578904653764E-2</v>
      </c>
      <c r="N1478" s="894"/>
      <c r="P1478" s="733"/>
    </row>
    <row r="1479" spans="1:16" s="115" customFormat="1" ht="15" customHeight="1" x14ac:dyDescent="0.25">
      <c r="A1479" s="396"/>
      <c r="B1479" s="1398" t="s">
        <v>7768</v>
      </c>
      <c r="C1479" s="1398"/>
      <c r="D1479" s="1398"/>
      <c r="E1479" s="854">
        <v>331901600000000</v>
      </c>
      <c r="F1479" s="855" t="s">
        <v>10367</v>
      </c>
      <c r="G1479" s="468">
        <v>1</v>
      </c>
      <c r="H1479" s="468">
        <v>0</v>
      </c>
      <c r="I1479" s="751"/>
      <c r="J1479" s="878" t="s">
        <v>7718</v>
      </c>
      <c r="K1479" s="789">
        <f>('Parâmetros financeiros Despesa'!E719)</f>
        <v>0</v>
      </c>
      <c r="L1479" s="789">
        <f>('Parâmetros financeiros Despesa'!F719)*2.05+(('Parâmetros financeiros Despesa'!F719)*11.28)*(1+'Parâmetros financeiros Despesa'!F$4)*(1+'Parâmetros financeiros Despesa'!F$8)</f>
        <v>4186.7491680671183</v>
      </c>
      <c r="M1479" s="799">
        <f t="shared" si="272"/>
        <v>2.3887263571559632E-2</v>
      </c>
      <c r="N1479" s="894"/>
      <c r="P1479" s="733"/>
    </row>
    <row r="1480" spans="1:16" s="115" customFormat="1" ht="15" customHeight="1" x14ac:dyDescent="0.25">
      <c r="A1480" s="396"/>
      <c r="B1480" s="1398" t="s">
        <v>7769</v>
      </c>
      <c r="C1480" s="1398"/>
      <c r="D1480" s="1398"/>
      <c r="E1480" s="854">
        <v>333901400000000</v>
      </c>
      <c r="F1480" s="855" t="s">
        <v>7614</v>
      </c>
      <c r="G1480" s="468">
        <v>1</v>
      </c>
      <c r="H1480" s="468">
        <v>0</v>
      </c>
      <c r="I1480" s="751"/>
      <c r="J1480" s="878" t="s">
        <v>7718</v>
      </c>
      <c r="K1480" s="789">
        <f>('Parâmetros financeiros Despesa'!E720)</f>
        <v>0</v>
      </c>
      <c r="L1480" s="789">
        <f>('Parâmetros financeiros Despesa'!F720)*2+(('Parâmetros financeiros Despesa'!F719)*10)*(1+'Parâmetros financeiros Despesa'!F$4)*(1+'Parâmetros financeiros Despesa'!F$7)</f>
        <v>4270.9945000000007</v>
      </c>
      <c r="M1480" s="799">
        <f t="shared" si="272"/>
        <v>2.4367920608265592E-2</v>
      </c>
      <c r="N1480" s="894"/>
      <c r="P1480" s="733"/>
    </row>
    <row r="1481" spans="1:16" s="115" customFormat="1" ht="15" customHeight="1" x14ac:dyDescent="0.25">
      <c r="A1481" s="396"/>
      <c r="B1481" s="1396">
        <v>119500</v>
      </c>
      <c r="C1481" s="1396"/>
      <c r="D1481" s="1396"/>
      <c r="E1481" s="854">
        <v>333903000000000</v>
      </c>
      <c r="F1481" s="855" t="s">
        <v>7690</v>
      </c>
      <c r="G1481" s="468">
        <v>1</v>
      </c>
      <c r="H1481" s="468">
        <v>0</v>
      </c>
      <c r="I1481" s="751"/>
      <c r="J1481" s="878" t="s">
        <v>7718</v>
      </c>
      <c r="K1481" s="789">
        <f>('Parâmetros financeiros Despesa'!E721+'Parâmetros financeiros Despesa'!E722)</f>
        <v>0</v>
      </c>
      <c r="L1481" s="789">
        <f>('Parâmetros financeiros Despesa'!F721+'Parâmetros financeiros Despesa'!F722)*(1+'Parâmetros financeiros Despesa'!F$4)*(1+'Parâmetros financeiros Despesa'!F$7)</f>
        <v>4361.326</v>
      </c>
      <c r="M1481" s="799">
        <f t="shared" si="272"/>
        <v>2.4883301936999572E-2</v>
      </c>
      <c r="N1481" s="894"/>
      <c r="O1481" s="796"/>
      <c r="P1481" s="733"/>
    </row>
    <row r="1482" spans="1:16" s="115" customFormat="1" ht="15" customHeight="1" x14ac:dyDescent="0.25">
      <c r="A1482" s="396"/>
      <c r="B1482" s="1396">
        <v>119600</v>
      </c>
      <c r="C1482" s="1396"/>
      <c r="D1482" s="1396"/>
      <c r="E1482" s="854">
        <v>333903200000000</v>
      </c>
      <c r="F1482" s="855" t="s">
        <v>7691</v>
      </c>
      <c r="G1482" s="468">
        <v>1</v>
      </c>
      <c r="H1482" s="468">
        <v>0</v>
      </c>
      <c r="I1482" s="751"/>
      <c r="J1482" s="878" t="s">
        <v>7718</v>
      </c>
      <c r="K1482" s="789">
        <f>('Parâmetros financeiros Despesa'!E723)</f>
        <v>0</v>
      </c>
      <c r="L1482" s="789">
        <f>('Parâmetros financeiros Despesa'!F723)*(1+'Parâmetros financeiros Despesa'!F$4)*(1+'Parâmetros financeiros Despesa'!F$7)</f>
        <v>2725.8287500000001</v>
      </c>
      <c r="M1482" s="799">
        <f t="shared" si="272"/>
        <v>1.5552063710624734E-2</v>
      </c>
      <c r="N1482" s="894"/>
      <c r="O1482" s="796"/>
      <c r="P1482" s="733"/>
    </row>
    <row r="1483" spans="1:16" s="115" customFormat="1" ht="15" customHeight="1" x14ac:dyDescent="0.25">
      <c r="A1483" s="396"/>
      <c r="B1483" s="1396">
        <v>119700</v>
      </c>
      <c r="C1483" s="1396"/>
      <c r="D1483" s="1396"/>
      <c r="E1483" s="854">
        <v>333903300000000</v>
      </c>
      <c r="F1483" s="855" t="s">
        <v>7706</v>
      </c>
      <c r="G1483" s="468">
        <v>1</v>
      </c>
      <c r="H1483" s="468">
        <v>0</v>
      </c>
      <c r="I1483" s="751"/>
      <c r="J1483" s="878" t="s">
        <v>7718</v>
      </c>
      <c r="K1483" s="789">
        <f>('Parâmetros financeiros Despesa'!E724)</f>
        <v>0</v>
      </c>
      <c r="L1483" s="789">
        <f>('Parâmetros financeiros Despesa'!F724)*(1+'Parâmetros financeiros Despesa'!F$4)*(1+'Parâmetros financeiros Despesa'!F$7)</f>
        <v>1090.3315</v>
      </c>
      <c r="M1483" s="799">
        <f t="shared" si="272"/>
        <v>6.2208254842498929E-3</v>
      </c>
      <c r="N1483" s="894"/>
      <c r="O1483" s="796"/>
      <c r="P1483" s="733"/>
    </row>
    <row r="1484" spans="1:16" s="115" customFormat="1" ht="15" customHeight="1" x14ac:dyDescent="0.25">
      <c r="A1484" s="396"/>
      <c r="B1484" s="994"/>
      <c r="C1484" s="994"/>
      <c r="D1484" s="994" t="s">
        <v>7785</v>
      </c>
      <c r="E1484" s="854">
        <v>333903600000000</v>
      </c>
      <c r="F1484" s="855" t="s">
        <v>7692</v>
      </c>
      <c r="G1484" s="468">
        <v>1</v>
      </c>
      <c r="H1484" s="468">
        <v>0</v>
      </c>
      <c r="I1484" s="751"/>
      <c r="J1484" s="878" t="s">
        <v>7718</v>
      </c>
      <c r="K1484" s="789">
        <f>('Parâmetros financeiros Despesa'!E725)</f>
        <v>0</v>
      </c>
      <c r="L1484" s="789">
        <f>('Parâmetros financeiros Despesa'!F725)*(1+'Parâmetros financeiros Despesa'!F$4)*(1+'Parâmetros financeiros Despesa'!F$7)</f>
        <v>3270.9945000000002</v>
      </c>
      <c r="M1484" s="799">
        <f t="shared" si="272"/>
        <v>1.8662476452749682E-2</v>
      </c>
      <c r="N1484" s="894"/>
      <c r="O1484" s="796"/>
      <c r="P1484" s="733"/>
    </row>
    <row r="1485" spans="1:16" s="115" customFormat="1" ht="15" customHeight="1" x14ac:dyDescent="0.25">
      <c r="A1485" s="396"/>
      <c r="B1485" s="1398" t="s">
        <v>7786</v>
      </c>
      <c r="C1485" s="1398"/>
      <c r="D1485" s="1398"/>
      <c r="E1485" s="854">
        <v>333903900000000</v>
      </c>
      <c r="F1485" s="855" t="s">
        <v>7693</v>
      </c>
      <c r="G1485" s="468">
        <v>1</v>
      </c>
      <c r="H1485" s="468">
        <v>0</v>
      </c>
      <c r="I1485" s="751"/>
      <c r="J1485" s="878" t="s">
        <v>7718</v>
      </c>
      <c r="K1485" s="789">
        <f>('Parâmetros financeiros Despesa'!E726+'Parâmetros financeiros Despesa'!E727)</f>
        <v>0</v>
      </c>
      <c r="L1485" s="789">
        <f>('Parâmetros financeiros Despesa'!F726+'Parâmetros financeiros Despesa'!F727)*(1+'Parâmetros financeiros Despesa'!F$4)*(1+'Parâmetros financeiros Despesa'!F$7)</f>
        <v>6541.9890000000005</v>
      </c>
      <c r="M1485" s="799">
        <f t="shared" si="272"/>
        <v>3.7324952905499365E-2</v>
      </c>
      <c r="N1485" s="894"/>
      <c r="O1485" s="796"/>
      <c r="P1485" s="733"/>
    </row>
    <row r="1486" spans="1:16" s="115" customFormat="1" ht="15" customHeight="1" x14ac:dyDescent="0.25">
      <c r="A1486" s="396"/>
      <c r="B1486" s="1398" t="s">
        <v>7787</v>
      </c>
      <c r="C1486" s="1398"/>
      <c r="D1486" s="1398"/>
      <c r="E1486" s="854">
        <v>333904700000000</v>
      </c>
      <c r="F1486" s="855" t="s">
        <v>7694</v>
      </c>
      <c r="G1486" s="468">
        <v>1</v>
      </c>
      <c r="H1486" s="468">
        <v>0</v>
      </c>
      <c r="I1486" s="751"/>
      <c r="J1486" s="878" t="s">
        <v>7718</v>
      </c>
      <c r="K1486" s="789">
        <f>(('Parâmetros financeiros Despesa'!E722+'Parâmetros financeiros Despesa'!E727+'Parâmetros financeiros Despesa'!E725))</f>
        <v>0</v>
      </c>
      <c r="L1486" s="789">
        <f>(('Parâmetros financeiros Despesa'!F722+'Parâmetros financeiros Despesa'!F727+'Parâmetros financeiros Despesa'!F725)*(1+'Parâmetros financeiros Despesa'!F$4)*(1+'Parâmetros financeiros Despesa'!F$7))*('Parâmetros financeiros Despesa'!F$83)</f>
        <v>1526.4641000000001</v>
      </c>
      <c r="M1486" s="799">
        <f t="shared" si="272"/>
        <v>8.7091556779498522E-3</v>
      </c>
      <c r="N1486" s="894"/>
      <c r="O1486" s="796"/>
      <c r="P1486" s="733"/>
    </row>
    <row r="1487" spans="1:16" s="725" customFormat="1" ht="15" customHeight="1" x14ac:dyDescent="0.25">
      <c r="A1487" s="397"/>
      <c r="B1487" s="599">
        <f>B1486+1</f>
        <v>120001</v>
      </c>
      <c r="C1487" s="600" t="s">
        <v>6062</v>
      </c>
      <c r="D1487" s="528" t="str">
        <f>B1486</f>
        <v>120000</v>
      </c>
      <c r="E1487" s="417">
        <v>333904718000000</v>
      </c>
      <c r="F1487" s="418" t="s">
        <v>5904</v>
      </c>
      <c r="G1487" s="603">
        <v>1</v>
      </c>
      <c r="H1487" s="603">
        <v>0</v>
      </c>
      <c r="I1487" s="601">
        <v>372110400000000</v>
      </c>
      <c r="J1487" s="602" t="s">
        <v>6131</v>
      </c>
      <c r="K1487" s="891">
        <v>0</v>
      </c>
      <c r="L1487" s="891">
        <v>0</v>
      </c>
      <c r="M1487" s="477">
        <f t="shared" si="272"/>
        <v>0</v>
      </c>
      <c r="N1487" s="796"/>
    </row>
    <row r="1488" spans="1:16" s="725" customFormat="1" ht="15" customHeight="1" x14ac:dyDescent="0.25">
      <c r="A1488" s="397"/>
      <c r="B1488" s="599">
        <f>B1487+1</f>
        <v>120002</v>
      </c>
      <c r="C1488" s="600" t="s">
        <v>6062</v>
      </c>
      <c r="D1488" s="528">
        <v>120000</v>
      </c>
      <c r="E1488" s="417">
        <v>333904720000000</v>
      </c>
      <c r="F1488" s="418" t="s">
        <v>5905</v>
      </c>
      <c r="G1488" s="603">
        <v>1</v>
      </c>
      <c r="H1488" s="603">
        <v>0</v>
      </c>
      <c r="I1488" s="601">
        <v>372110500000000</v>
      </c>
      <c r="J1488" s="602" t="s">
        <v>6160</v>
      </c>
      <c r="K1488" s="891">
        <v>0</v>
      </c>
      <c r="L1488" s="891">
        <v>0</v>
      </c>
      <c r="M1488" s="477">
        <f t="shared" si="272"/>
        <v>0</v>
      </c>
      <c r="N1488" s="796"/>
    </row>
    <row r="1489" spans="1:16" s="115" customFormat="1" ht="15" customHeight="1" x14ac:dyDescent="0.25">
      <c r="A1489" s="396"/>
      <c r="B1489" s="1398" t="s">
        <v>7788</v>
      </c>
      <c r="C1489" s="1398"/>
      <c r="D1489" s="1398"/>
      <c r="E1489" s="854">
        <v>333904900000000</v>
      </c>
      <c r="F1489" s="855" t="s">
        <v>10368</v>
      </c>
      <c r="G1489" s="468">
        <v>1</v>
      </c>
      <c r="H1489" s="468">
        <v>0</v>
      </c>
      <c r="I1489" s="751"/>
      <c r="J1489" s="878" t="s">
        <v>7718</v>
      </c>
      <c r="K1489" s="789">
        <f>('Parâmetros financeiros Despesa'!E728)</f>
        <v>466.68</v>
      </c>
      <c r="L1489" s="789">
        <f>('Parâmetros financeiros Despesa'!F728)*2.05+(('Parâmetros financeiros Despesa'!F728)*11.28)*(1+'Parâmetros financeiros Despesa'!F$4)*(1+'Parâmetros financeiros Despesa'!F$8)</f>
        <v>814.11337573065111</v>
      </c>
      <c r="M1489" s="799">
        <f t="shared" si="272"/>
        <v>4.6448784014897701E-3</v>
      </c>
      <c r="N1489" s="894"/>
      <c r="O1489" s="796"/>
    </row>
    <row r="1490" spans="1:16" s="725" customFormat="1" ht="15" customHeight="1" x14ac:dyDescent="0.25">
      <c r="A1490" s="397"/>
      <c r="B1490" s="599">
        <f>B1489+1</f>
        <v>120101</v>
      </c>
      <c r="C1490" s="600" t="s">
        <v>6062</v>
      </c>
      <c r="D1490" s="528" t="str">
        <f>B1489</f>
        <v>120100</v>
      </c>
      <c r="E1490" s="417">
        <v>333904901000000</v>
      </c>
      <c r="F1490" s="418" t="s">
        <v>6042</v>
      </c>
      <c r="G1490" s="603">
        <v>1</v>
      </c>
      <c r="H1490" s="603">
        <v>0</v>
      </c>
      <c r="I1490" s="601">
        <v>313110200000000</v>
      </c>
      <c r="J1490" s="602" t="s">
        <v>6163</v>
      </c>
      <c r="K1490" s="891">
        <v>0</v>
      </c>
      <c r="L1490" s="891">
        <v>0</v>
      </c>
      <c r="M1490" s="477">
        <f t="shared" si="272"/>
        <v>0</v>
      </c>
      <c r="N1490" s="796"/>
    </row>
    <row r="1491" spans="1:16" s="115" customFormat="1" ht="15" customHeight="1" x14ac:dyDescent="0.25">
      <c r="A1491" s="396"/>
      <c r="B1491" s="1398" t="s">
        <v>7789</v>
      </c>
      <c r="C1491" s="1398"/>
      <c r="D1491" s="1398"/>
      <c r="E1491" s="854">
        <v>333909300000000</v>
      </c>
      <c r="F1491" s="855" t="s">
        <v>7696</v>
      </c>
      <c r="G1491" s="468">
        <v>1</v>
      </c>
      <c r="H1491" s="468">
        <v>0</v>
      </c>
      <c r="I1491" s="751"/>
      <c r="J1491" s="878" t="s">
        <v>7718</v>
      </c>
      <c r="K1491" s="789">
        <f>('Parâmetros financeiros Despesa'!E729)</f>
        <v>0</v>
      </c>
      <c r="L1491" s="789">
        <f>('Parâmetros financeiros Despesa'!F729)*(1+'Parâmetros financeiros Despesa'!F$4)*(1+'Parâmetros financeiros Despesa'!F$7)</f>
        <v>1090.3315</v>
      </c>
      <c r="M1491" s="799">
        <f t="shared" si="272"/>
        <v>6.2208254842498929E-3</v>
      </c>
      <c r="N1491" s="894"/>
      <c r="O1491" s="796"/>
    </row>
    <row r="1492" spans="1:16" s="725" customFormat="1" ht="15" customHeight="1" x14ac:dyDescent="0.25">
      <c r="A1492" s="397"/>
      <c r="B1492" s="599">
        <f>B1491+1</f>
        <v>120201</v>
      </c>
      <c r="C1492" s="600" t="s">
        <v>6062</v>
      </c>
      <c r="D1492" s="528" t="str">
        <f>B1491</f>
        <v>120200</v>
      </c>
      <c r="E1492" s="417">
        <v>333909399000000</v>
      </c>
      <c r="F1492" s="418" t="s">
        <v>1038</v>
      </c>
      <c r="G1492" s="603">
        <v>1</v>
      </c>
      <c r="H1492" s="603">
        <v>0</v>
      </c>
      <c r="I1492" s="601">
        <v>399910300000000</v>
      </c>
      <c r="J1492" s="602" t="s">
        <v>6164</v>
      </c>
      <c r="K1492" s="891">
        <v>0</v>
      </c>
      <c r="L1492" s="891">
        <v>0</v>
      </c>
      <c r="M1492" s="477">
        <f t="shared" si="272"/>
        <v>0</v>
      </c>
      <c r="N1492" s="796"/>
    </row>
    <row r="1493" spans="1:16" s="115" customFormat="1" ht="15" customHeight="1" x14ac:dyDescent="0.25">
      <c r="A1493" s="396"/>
      <c r="B1493" s="1398" t="s">
        <v>7790</v>
      </c>
      <c r="C1493" s="1398"/>
      <c r="D1493" s="1398"/>
      <c r="E1493" s="854">
        <v>333933000000000</v>
      </c>
      <c r="F1493" s="855" t="s">
        <v>7695</v>
      </c>
      <c r="G1493" s="468">
        <v>1</v>
      </c>
      <c r="H1493" s="468">
        <v>0</v>
      </c>
      <c r="I1493" s="751"/>
      <c r="J1493" s="878" t="s">
        <v>6197</v>
      </c>
      <c r="K1493" s="789">
        <f>('Parâmetros financeiros Despesa'!E730)</f>
        <v>0</v>
      </c>
      <c r="L1493" s="789">
        <f>('Parâmetros financeiros Despesa'!F730)*(1+'Parâmetros financeiros Despesa'!F$4)*(1+'Parâmetros financeiros Despesa'!F$7)</f>
        <v>3270.9945000000002</v>
      </c>
      <c r="M1493" s="799">
        <f>L1493/L$1499</f>
        <v>1.8662476452749682E-2</v>
      </c>
      <c r="N1493" s="894"/>
      <c r="O1493" s="796"/>
    </row>
    <row r="1494" spans="1:16" s="115" customFormat="1" ht="15" customHeight="1" x14ac:dyDescent="0.25">
      <c r="A1494" s="396"/>
      <c r="B1494" s="1398" t="s">
        <v>7791</v>
      </c>
      <c r="C1494" s="1398"/>
      <c r="D1494" s="1398"/>
      <c r="E1494" s="854">
        <v>344905200000000</v>
      </c>
      <c r="F1494" s="855" t="s">
        <v>7697</v>
      </c>
      <c r="G1494" s="468">
        <v>1</v>
      </c>
      <c r="H1494" s="468">
        <v>0</v>
      </c>
      <c r="I1494" s="751"/>
      <c r="J1494" s="878" t="s">
        <v>7718</v>
      </c>
      <c r="K1494" s="789">
        <f>('Parâmetros financeiros Despesa'!E731)</f>
        <v>0</v>
      </c>
      <c r="L1494" s="789">
        <f>('Parâmetros financeiros Despesa'!F731)*(1+'Parâmetros financeiros Despesa'!F$4)*(1+'Parâmetros financeiros Despesa'!F$7)</f>
        <v>5451.6575000000003</v>
      </c>
      <c r="M1494" s="799">
        <f>L1494/L$1499</f>
        <v>3.1104127421249468E-2</v>
      </c>
      <c r="N1494" s="894"/>
      <c r="O1494" s="796"/>
    </row>
    <row r="1495" spans="1:16" s="820" customFormat="1" ht="15" customHeight="1" x14ac:dyDescent="0.25">
      <c r="B1495" s="864" t="s">
        <v>22</v>
      </c>
      <c r="C1495" s="864"/>
      <c r="D1495" s="864"/>
      <c r="E1495" s="864"/>
      <c r="F1495" s="864"/>
      <c r="G1495" s="864"/>
      <c r="H1495" s="864"/>
      <c r="I1495" s="864"/>
      <c r="J1495" s="864"/>
      <c r="K1495" s="863">
        <f>K1473+K1461+K1451+K1441+K1431+K1422+K1412+K1403</f>
        <v>95399.682729349573</v>
      </c>
      <c r="L1495" s="863">
        <f>L1473+L1461+L1451+L1441+L1431+L1422+L1412+L1403-0.01</f>
        <v>175271.19234586149</v>
      </c>
      <c r="M1495" s="452">
        <f>L1495/L$1499</f>
        <v>1</v>
      </c>
      <c r="N1495" s="796"/>
      <c r="P1495" s="399"/>
    </row>
    <row r="1496" spans="1:16" s="820" customFormat="1" ht="15" customHeight="1" x14ac:dyDescent="0.25">
      <c r="B1496" s="864" t="s">
        <v>11469</v>
      </c>
      <c r="C1496" s="864"/>
      <c r="D1496" s="864"/>
      <c r="E1496" s="864"/>
      <c r="F1496" s="864"/>
      <c r="G1496" s="864"/>
      <c r="H1496" s="864"/>
      <c r="I1496" s="864"/>
      <c r="J1496" s="864"/>
      <c r="K1496" s="863"/>
      <c r="L1496" s="863"/>
      <c r="M1496" s="452"/>
      <c r="N1496" s="796"/>
      <c r="P1496" s="399"/>
    </row>
    <row r="1497" spans="1:16" s="31" customFormat="1" ht="15" customHeight="1" x14ac:dyDescent="0.25">
      <c r="B1497" s="869" t="s">
        <v>745</v>
      </c>
      <c r="C1497" s="869"/>
      <c r="D1497" s="869"/>
      <c r="E1497" s="869"/>
      <c r="F1497" s="869"/>
      <c r="G1497" s="869"/>
      <c r="H1497" s="869"/>
      <c r="I1497" s="869"/>
      <c r="J1497" s="869"/>
      <c r="K1497" s="870">
        <f>K1495</f>
        <v>95399.682729349573</v>
      </c>
      <c r="L1497" s="870">
        <f>L1495-15060.62</f>
        <v>160210.5723458615</v>
      </c>
      <c r="M1497" s="871">
        <f>L1497/L$1499</f>
        <v>0.91407247364255406</v>
      </c>
      <c r="N1497" s="897"/>
      <c r="P1497" s="736"/>
    </row>
    <row r="1498" spans="1:16" s="31" customFormat="1" ht="15" customHeight="1" x14ac:dyDescent="0.25">
      <c r="B1498" s="869" t="s">
        <v>11516</v>
      </c>
      <c r="C1498" s="869"/>
      <c r="D1498" s="869"/>
      <c r="E1498" s="869"/>
      <c r="F1498" s="869"/>
      <c r="G1498" s="869"/>
      <c r="H1498" s="869"/>
      <c r="I1498" s="869"/>
      <c r="J1498" s="869"/>
      <c r="K1498" s="870">
        <v>0</v>
      </c>
      <c r="L1498" s="870">
        <v>15060.62</v>
      </c>
      <c r="M1498" s="871">
        <f>L1498/L$1499</f>
        <v>8.5927526357445994E-2</v>
      </c>
      <c r="N1498" s="897"/>
      <c r="P1498" s="736"/>
    </row>
    <row r="1499" spans="1:16" s="115" customFormat="1" ht="15" customHeight="1" x14ac:dyDescent="0.25">
      <c r="B1499" s="864" t="s">
        <v>2172</v>
      </c>
      <c r="C1499" s="864"/>
      <c r="D1499" s="864"/>
      <c r="E1499" s="864"/>
      <c r="F1499" s="864"/>
      <c r="G1499" s="864"/>
      <c r="H1499" s="864"/>
      <c r="I1499" s="864"/>
      <c r="J1499" s="864"/>
      <c r="K1499" s="863">
        <f>SUM(K1497:K1498)</f>
        <v>95399.682729349573</v>
      </c>
      <c r="L1499" s="863">
        <f>SUM(L1497:L1498)</f>
        <v>175271.19234586149</v>
      </c>
      <c r="M1499" s="452">
        <f>L1499/L$1499</f>
        <v>1</v>
      </c>
      <c r="O1499" s="796"/>
      <c r="P1499" s="733"/>
    </row>
    <row r="1500" spans="1:16" s="795" customFormat="1" ht="15" customHeight="1" x14ac:dyDescent="0.25">
      <c r="B1500" s="800"/>
      <c r="C1500" s="800"/>
      <c r="D1500" s="800"/>
      <c r="E1500" s="800"/>
      <c r="F1500" s="800"/>
      <c r="G1500" s="800"/>
      <c r="H1500" s="800"/>
      <c r="I1500" s="800"/>
      <c r="J1500" s="800"/>
      <c r="K1500" s="942"/>
      <c r="L1500" s="801"/>
      <c r="M1500" s="802"/>
      <c r="N1500" s="796"/>
      <c r="P1500" s="399"/>
    </row>
    <row r="1501" spans="1:16" s="435" customFormat="1" ht="15" customHeight="1" x14ac:dyDescent="0.25">
      <c r="B1501" s="728" t="s">
        <v>989</v>
      </c>
      <c r="C1501" s="728"/>
      <c r="D1501" s="481"/>
      <c r="E1501" s="1371" t="s">
        <v>6887</v>
      </c>
      <c r="F1501" s="1371"/>
      <c r="G1501" s="1371"/>
      <c r="H1501" s="1371"/>
      <c r="I1501" s="1371"/>
      <c r="J1501" s="437"/>
      <c r="K1501" s="940"/>
      <c r="L1501" s="438"/>
      <c r="M1501" s="449"/>
      <c r="N1501" s="892"/>
      <c r="P1501" s="732"/>
    </row>
    <row r="1502" spans="1:16" s="435" customFormat="1" ht="15" customHeight="1" x14ac:dyDescent="0.25">
      <c r="B1502" s="728" t="s">
        <v>458</v>
      </c>
      <c r="C1502" s="728"/>
      <c r="D1502" s="481"/>
      <c r="E1502" s="1371" t="s">
        <v>7815</v>
      </c>
      <c r="F1502" s="1371"/>
      <c r="G1502" s="1371"/>
      <c r="H1502" s="1371"/>
      <c r="I1502" s="1371"/>
      <c r="J1502" s="437"/>
      <c r="K1502" s="940"/>
      <c r="L1502" s="438"/>
      <c r="M1502" s="449"/>
      <c r="N1502" s="892"/>
      <c r="P1502" s="732"/>
    </row>
    <row r="1503" spans="1:16" s="435" customFormat="1" ht="15" customHeight="1" x14ac:dyDescent="0.25">
      <c r="B1503" s="729" t="s">
        <v>5764</v>
      </c>
      <c r="C1503" s="729"/>
      <c r="D1503" s="729"/>
      <c r="E1503" s="1371" t="s">
        <v>749</v>
      </c>
      <c r="F1503" s="1371"/>
      <c r="G1503" s="1371"/>
      <c r="H1503" s="1371"/>
      <c r="I1503" s="1371"/>
      <c r="J1503" s="440"/>
      <c r="K1503" s="941"/>
      <c r="L1503" s="438"/>
      <c r="M1503" s="449"/>
      <c r="N1503" s="892"/>
      <c r="P1503" s="732"/>
    </row>
    <row r="1504" spans="1:16" s="851" customFormat="1" ht="113.25" customHeight="1" x14ac:dyDescent="0.25">
      <c r="A1504" s="396"/>
      <c r="B1504" s="1400" t="s">
        <v>2296</v>
      </c>
      <c r="C1504" s="1400"/>
      <c r="D1504" s="1400"/>
      <c r="E1504" s="1384" t="s">
        <v>2297</v>
      </c>
      <c r="F1504" s="1384"/>
      <c r="G1504" s="443" t="s">
        <v>444</v>
      </c>
      <c r="H1504" s="443" t="s">
        <v>2245</v>
      </c>
      <c r="I1504" s="444" t="s">
        <v>5725</v>
      </c>
      <c r="J1504" s="849" t="s">
        <v>2275</v>
      </c>
      <c r="K1504" s="893" t="s">
        <v>11644</v>
      </c>
      <c r="L1504" s="951" t="s">
        <v>11522</v>
      </c>
      <c r="M1504" s="450" t="s">
        <v>235</v>
      </c>
      <c r="N1504" s="796"/>
      <c r="P1504" s="399"/>
    </row>
    <row r="1505" spans="1:16" s="115" customFormat="1" ht="15" customHeight="1" x14ac:dyDescent="0.25">
      <c r="A1505" s="396"/>
      <c r="B1505" s="1385" t="s">
        <v>7822</v>
      </c>
      <c r="C1505" s="1385"/>
      <c r="D1505" s="1385"/>
      <c r="E1505" s="1385"/>
      <c r="F1505" s="1385"/>
      <c r="G1505" s="401"/>
      <c r="H1505" s="401"/>
      <c r="I1505" s="426"/>
      <c r="J1505" s="411"/>
      <c r="K1505" s="402">
        <f t="shared" ref="K1505:L1507" si="273">K1506</f>
        <v>0</v>
      </c>
      <c r="L1505" s="402">
        <f t="shared" si="273"/>
        <v>1502</v>
      </c>
      <c r="M1505" s="451">
        <f>L1505/L$1517</f>
        <v>1</v>
      </c>
      <c r="N1505" s="894"/>
      <c r="P1505" s="733"/>
    </row>
    <row r="1506" spans="1:16" s="730" customFormat="1" ht="15" customHeight="1" x14ac:dyDescent="0.25">
      <c r="A1506" s="396"/>
      <c r="B1506" s="1386" t="s">
        <v>7823</v>
      </c>
      <c r="C1506" s="1386"/>
      <c r="D1506" s="1386"/>
      <c r="E1506" s="1386"/>
      <c r="F1506" s="1386"/>
      <c r="G1506" s="403"/>
      <c r="H1506" s="403"/>
      <c r="I1506" s="427"/>
      <c r="J1506" s="412"/>
      <c r="K1506" s="404">
        <f t="shared" si="273"/>
        <v>0</v>
      </c>
      <c r="L1506" s="404">
        <f t="shared" si="273"/>
        <v>1502</v>
      </c>
      <c r="M1506" s="452">
        <f>L1506/L$1517</f>
        <v>1</v>
      </c>
      <c r="N1506" s="796"/>
      <c r="P1506" s="399"/>
    </row>
    <row r="1507" spans="1:16" s="730" customFormat="1" ht="15" customHeight="1" x14ac:dyDescent="0.25">
      <c r="A1507" s="396"/>
      <c r="B1507" s="1382" t="s">
        <v>7824</v>
      </c>
      <c r="C1507" s="1382"/>
      <c r="D1507" s="1382"/>
      <c r="E1507" s="1382"/>
      <c r="F1507" s="1382"/>
      <c r="G1507" s="405"/>
      <c r="H1507" s="405"/>
      <c r="I1507" s="428"/>
      <c r="J1507" s="413"/>
      <c r="K1507" s="406">
        <f t="shared" si="273"/>
        <v>0</v>
      </c>
      <c r="L1507" s="406">
        <f t="shared" si="273"/>
        <v>1502</v>
      </c>
      <c r="M1507" s="453">
        <f>L1507/L$1517</f>
        <v>1</v>
      </c>
      <c r="N1507" s="796"/>
      <c r="P1507" s="399"/>
    </row>
    <row r="1508" spans="1:16" s="730" customFormat="1" ht="15" customHeight="1" x14ac:dyDescent="0.25">
      <c r="A1508" s="396"/>
      <c r="B1508" s="1383" t="s">
        <v>7825</v>
      </c>
      <c r="C1508" s="1383"/>
      <c r="D1508" s="1383"/>
      <c r="E1508" s="1383"/>
      <c r="F1508" s="1383"/>
      <c r="G1508" s="407"/>
      <c r="H1508" s="407"/>
      <c r="I1508" s="429"/>
      <c r="J1508" s="414"/>
      <c r="K1508" s="408">
        <f>SUM(K1509:K1512)</f>
        <v>0</v>
      </c>
      <c r="L1508" s="408">
        <f>SUM(L1509:L1512)</f>
        <v>1502</v>
      </c>
      <c r="M1508" s="454">
        <f>L1508/L$1517</f>
        <v>1</v>
      </c>
      <c r="N1508" s="796"/>
      <c r="P1508" s="399"/>
    </row>
    <row r="1509" spans="1:16" s="115" customFormat="1" ht="15" customHeight="1" x14ac:dyDescent="0.25">
      <c r="A1509" s="396"/>
      <c r="B1509" s="1398" t="s">
        <v>7816</v>
      </c>
      <c r="C1509" s="1398"/>
      <c r="D1509" s="1398"/>
      <c r="E1509" s="854">
        <v>333904700000000</v>
      </c>
      <c r="F1509" s="855" t="s">
        <v>7817</v>
      </c>
      <c r="G1509" s="468">
        <v>1</v>
      </c>
      <c r="H1509" s="468">
        <v>0</v>
      </c>
      <c r="I1509" s="751"/>
      <c r="J1509" s="878" t="s">
        <v>7821</v>
      </c>
      <c r="K1509" s="789">
        <f>'Parâmetros financeiros Despesa'!E736</f>
        <v>0</v>
      </c>
      <c r="L1509" s="789">
        <f>'Parâmetros financeiros Despesa'!F736</f>
        <v>1</v>
      </c>
      <c r="M1509" s="799">
        <f t="shared" ref="M1509:M1511" si="274">L1509/L$1517</f>
        <v>6.6577896138482028E-4</v>
      </c>
      <c r="N1509" s="894"/>
      <c r="P1509" s="733"/>
    </row>
    <row r="1510" spans="1:16" s="115" customFormat="1" ht="15" customHeight="1" x14ac:dyDescent="0.25">
      <c r="A1510" s="396"/>
      <c r="B1510" s="1396">
        <v>150100</v>
      </c>
      <c r="C1510" s="1396"/>
      <c r="D1510" s="1396"/>
      <c r="E1510" s="854">
        <v>344209300000000</v>
      </c>
      <c r="F1510" s="855" t="s">
        <v>7818</v>
      </c>
      <c r="G1510" s="468">
        <v>1053</v>
      </c>
      <c r="H1510" s="468">
        <v>0</v>
      </c>
      <c r="I1510" s="751"/>
      <c r="J1510" s="878" t="s">
        <v>7821</v>
      </c>
      <c r="K1510" s="789">
        <f>'Parâmetros financeiros Despesa'!E737</f>
        <v>0</v>
      </c>
      <c r="L1510" s="789">
        <f>'Parâmetros financeiros Despesa'!F737</f>
        <v>1</v>
      </c>
      <c r="M1510" s="799">
        <f t="shared" si="274"/>
        <v>6.6577896138482028E-4</v>
      </c>
      <c r="N1510" s="894"/>
      <c r="P1510" s="733"/>
    </row>
    <row r="1511" spans="1:16" s="115" customFormat="1" ht="15" customHeight="1" x14ac:dyDescent="0.25">
      <c r="A1511" s="396"/>
      <c r="B1511" s="994"/>
      <c r="C1511" s="994"/>
      <c r="D1511" s="994" t="s">
        <v>7819</v>
      </c>
      <c r="E1511" s="854">
        <v>344905100000000</v>
      </c>
      <c r="F1511" s="855" t="s">
        <v>7826</v>
      </c>
      <c r="G1511" s="468">
        <v>1</v>
      </c>
      <c r="H1511" s="468">
        <v>0</v>
      </c>
      <c r="I1511" s="751"/>
      <c r="J1511" s="878" t="s">
        <v>7821</v>
      </c>
      <c r="K1511" s="789">
        <f>'Parâmetros financeiros Despesa'!E738</f>
        <v>0</v>
      </c>
      <c r="L1511" s="789">
        <f>'Parâmetros financeiros Despesa'!F738</f>
        <v>1</v>
      </c>
      <c r="M1511" s="799">
        <f t="shared" si="274"/>
        <v>6.6577896138482028E-4</v>
      </c>
      <c r="N1511" s="894"/>
      <c r="P1511" s="733"/>
    </row>
    <row r="1512" spans="1:16" s="115" customFormat="1" ht="15" customHeight="1" x14ac:dyDescent="0.25">
      <c r="A1512" s="396"/>
      <c r="B1512" s="1398" t="s">
        <v>7820</v>
      </c>
      <c r="C1512" s="1398"/>
      <c r="D1512" s="1398"/>
      <c r="E1512" s="854">
        <v>344905100000000</v>
      </c>
      <c r="F1512" s="855" t="s">
        <v>7826</v>
      </c>
      <c r="G1512" s="468">
        <v>1053</v>
      </c>
      <c r="H1512" s="468">
        <v>0</v>
      </c>
      <c r="I1512" s="751"/>
      <c r="J1512" s="878" t="s">
        <v>7821</v>
      </c>
      <c r="K1512" s="789">
        <f>'Parâmetros financeiros Despesa'!E739</f>
        <v>0</v>
      </c>
      <c r="L1512" s="789">
        <f>'Parâmetros financeiros Despesa'!F739</f>
        <v>1499</v>
      </c>
      <c r="M1512" s="799">
        <f>L1512/L$1517</f>
        <v>0.99800266311584551</v>
      </c>
      <c r="N1512" s="894"/>
      <c r="P1512" s="733"/>
    </row>
    <row r="1513" spans="1:16" s="820" customFormat="1" ht="15" customHeight="1" x14ac:dyDescent="0.25">
      <c r="B1513" s="864" t="s">
        <v>22</v>
      </c>
      <c r="C1513" s="864"/>
      <c r="D1513" s="864"/>
      <c r="E1513" s="864"/>
      <c r="F1513" s="864"/>
      <c r="G1513" s="864"/>
      <c r="H1513" s="864"/>
      <c r="I1513" s="864"/>
      <c r="J1513" s="864"/>
      <c r="K1513" s="863">
        <f>K1506</f>
        <v>0</v>
      </c>
      <c r="L1513" s="863">
        <f>L1506</f>
        <v>1502</v>
      </c>
      <c r="M1513" s="452">
        <f>L1513/L$1517</f>
        <v>1</v>
      </c>
      <c r="N1513" s="796"/>
      <c r="P1513" s="399"/>
    </row>
    <row r="1514" spans="1:16" s="820" customFormat="1" ht="15" customHeight="1" x14ac:dyDescent="0.25">
      <c r="B1514" s="864" t="s">
        <v>11469</v>
      </c>
      <c r="C1514" s="864"/>
      <c r="D1514" s="864"/>
      <c r="E1514" s="864"/>
      <c r="F1514" s="864"/>
      <c r="G1514" s="864"/>
      <c r="H1514" s="864"/>
      <c r="I1514" s="864"/>
      <c r="J1514" s="864"/>
      <c r="K1514" s="863"/>
      <c r="L1514" s="863"/>
      <c r="M1514" s="452"/>
      <c r="N1514" s="796"/>
      <c r="P1514" s="399"/>
    </row>
    <row r="1515" spans="1:16" s="31" customFormat="1" ht="15" customHeight="1" x14ac:dyDescent="0.25">
      <c r="B1515" s="869" t="s">
        <v>745</v>
      </c>
      <c r="C1515" s="869"/>
      <c r="D1515" s="869"/>
      <c r="E1515" s="869"/>
      <c r="F1515" s="869"/>
      <c r="G1515" s="869"/>
      <c r="H1515" s="869"/>
      <c r="I1515" s="869"/>
      <c r="J1515" s="869"/>
      <c r="K1515" s="870">
        <v>0</v>
      </c>
      <c r="L1515" s="870">
        <v>2</v>
      </c>
      <c r="M1515" s="871">
        <f>L1515/L$1517</f>
        <v>1.3315579227696406E-3</v>
      </c>
      <c r="N1515" s="897"/>
      <c r="P1515" s="736"/>
    </row>
    <row r="1516" spans="1:16" s="31" customFormat="1" ht="15" customHeight="1" x14ac:dyDescent="0.25">
      <c r="B1516" s="869" t="s">
        <v>794</v>
      </c>
      <c r="C1516" s="869"/>
      <c r="D1516" s="869"/>
      <c r="E1516" s="869"/>
      <c r="F1516" s="869"/>
      <c r="G1516" s="869"/>
      <c r="H1516" s="869"/>
      <c r="I1516" s="869"/>
      <c r="J1516" s="869"/>
      <c r="K1516" s="870">
        <v>0</v>
      </c>
      <c r="L1516" s="870">
        <v>1500</v>
      </c>
      <c r="M1516" s="871">
        <f>L1516/L$1517</f>
        <v>0.99866844207723038</v>
      </c>
      <c r="N1516" s="897"/>
      <c r="P1516" s="736"/>
    </row>
    <row r="1517" spans="1:16" s="115" customFormat="1" ht="15" customHeight="1" x14ac:dyDescent="0.25">
      <c r="B1517" s="864" t="s">
        <v>2172</v>
      </c>
      <c r="C1517" s="864"/>
      <c r="D1517" s="864"/>
      <c r="E1517" s="864"/>
      <c r="F1517" s="864"/>
      <c r="G1517" s="864"/>
      <c r="H1517" s="864"/>
      <c r="I1517" s="864"/>
      <c r="J1517" s="864"/>
      <c r="K1517" s="863">
        <f>SUM(K1515:K1516)</f>
        <v>0</v>
      </c>
      <c r="L1517" s="863">
        <f>SUM(L1515:L1516)</f>
        <v>1502</v>
      </c>
      <c r="M1517" s="452">
        <f>L1517/L$1517</f>
        <v>1</v>
      </c>
      <c r="P1517" s="733"/>
    </row>
    <row r="1518" spans="1:16" s="115" customFormat="1" ht="15" customHeight="1" x14ac:dyDescent="0.25">
      <c r="A1518" s="396"/>
      <c r="B1518" s="874"/>
      <c r="C1518" s="874"/>
      <c r="D1518" s="874"/>
      <c r="E1518" s="862"/>
      <c r="F1518" s="641"/>
      <c r="G1518" s="859"/>
      <c r="H1518" s="859"/>
      <c r="I1518" s="860"/>
      <c r="J1518" s="861"/>
      <c r="K1518" s="791"/>
      <c r="L1518" s="791"/>
      <c r="M1518" s="792"/>
      <c r="N1518" s="894"/>
      <c r="P1518" s="733"/>
    </row>
    <row r="1519" spans="1:16" s="668" customFormat="1" ht="15" customHeight="1" x14ac:dyDescent="0.25">
      <c r="B1519" s="1399"/>
      <c r="C1519" s="1399"/>
      <c r="D1519" s="1399"/>
      <c r="E1519" s="1399"/>
      <c r="F1519" s="1399"/>
      <c r="G1519" s="1399"/>
      <c r="H1519" s="1399"/>
      <c r="I1519" s="1399"/>
      <c r="J1519" s="1399"/>
      <c r="K1519" s="867"/>
      <c r="L1519" s="883"/>
      <c r="M1519" s="792"/>
      <c r="N1519" s="796"/>
      <c r="P1519" s="399"/>
    </row>
    <row r="1520" spans="1:16" ht="21" customHeight="1" x14ac:dyDescent="0.25">
      <c r="B1520" s="1371" t="s">
        <v>989</v>
      </c>
      <c r="C1520" s="1371"/>
      <c r="D1520" s="1371"/>
      <c r="E1520" s="1371" t="s">
        <v>6887</v>
      </c>
      <c r="F1520" s="1371"/>
      <c r="G1520" s="1371"/>
      <c r="H1520" s="1371"/>
      <c r="I1520" s="1371"/>
      <c r="J1520" s="437"/>
      <c r="K1520" s="940"/>
      <c r="L1520" s="438"/>
      <c r="M1520" s="449"/>
    </row>
    <row r="1521" spans="1:16" ht="19.5" customHeight="1" x14ac:dyDescent="0.25">
      <c r="B1521" s="1371" t="s">
        <v>458</v>
      </c>
      <c r="C1521" s="1371"/>
      <c r="D1521" s="1371"/>
      <c r="E1521" s="1371" t="s">
        <v>7040</v>
      </c>
      <c r="F1521" s="1371"/>
      <c r="G1521" s="1371"/>
      <c r="H1521" s="1371"/>
      <c r="I1521" s="1371"/>
      <c r="J1521" s="437"/>
      <c r="K1521" s="940"/>
      <c r="L1521" s="438"/>
      <c r="M1521" s="449"/>
    </row>
    <row r="1522" spans="1:16" ht="15.75" x14ac:dyDescent="0.25">
      <c r="B1522" s="1403" t="s">
        <v>5764</v>
      </c>
      <c r="C1522" s="1403"/>
      <c r="D1522" s="1403"/>
      <c r="E1522" s="1371" t="s">
        <v>749</v>
      </c>
      <c r="F1522" s="1371"/>
      <c r="G1522" s="1371"/>
      <c r="H1522" s="1371"/>
      <c r="I1522" s="1371"/>
      <c r="J1522" s="440"/>
      <c r="K1522" s="941"/>
      <c r="L1522" s="438"/>
      <c r="M1522" s="449"/>
    </row>
    <row r="1523" spans="1:16" s="851" customFormat="1" ht="113.25" customHeight="1" x14ac:dyDescent="0.25">
      <c r="A1523" s="396"/>
      <c r="B1523" s="1400" t="s">
        <v>2296</v>
      </c>
      <c r="C1523" s="1400"/>
      <c r="D1523" s="1400"/>
      <c r="E1523" s="1384" t="s">
        <v>2297</v>
      </c>
      <c r="F1523" s="1384"/>
      <c r="G1523" s="443" t="s">
        <v>444</v>
      </c>
      <c r="H1523" s="443" t="s">
        <v>2245</v>
      </c>
      <c r="I1523" s="444" t="s">
        <v>5725</v>
      </c>
      <c r="J1523" s="849" t="s">
        <v>2275</v>
      </c>
      <c r="K1523" s="893" t="s">
        <v>11644</v>
      </c>
      <c r="L1523" s="951" t="s">
        <v>11522</v>
      </c>
      <c r="M1523" s="450" t="s">
        <v>235</v>
      </c>
      <c r="N1523" s="796"/>
      <c r="P1523" s="399"/>
    </row>
    <row r="1524" spans="1:16" x14ac:dyDescent="0.25">
      <c r="B1524" s="1385" t="s">
        <v>5951</v>
      </c>
      <c r="C1524" s="1385"/>
      <c r="D1524" s="1385"/>
      <c r="E1524" s="1385"/>
      <c r="F1524" s="1385"/>
      <c r="G1524" s="401"/>
      <c r="H1524" s="401"/>
      <c r="I1524" s="426"/>
      <c r="J1524" s="411"/>
      <c r="K1524" s="402">
        <f t="shared" ref="K1524:L1526" si="275">K1525</f>
        <v>84689.655274999997</v>
      </c>
      <c r="L1524" s="402">
        <f t="shared" si="275"/>
        <v>125287.33894056869</v>
      </c>
      <c r="M1524" s="451">
        <f t="shared" ref="M1524:M1532" si="276">L1524/L$1604</f>
        <v>1</v>
      </c>
    </row>
    <row r="1525" spans="1:16" x14ac:dyDescent="0.25">
      <c r="B1525" s="1386" t="s">
        <v>6043</v>
      </c>
      <c r="C1525" s="1386"/>
      <c r="D1525" s="1386"/>
      <c r="E1525" s="1386"/>
      <c r="F1525" s="1386"/>
      <c r="G1525" s="403"/>
      <c r="H1525" s="403"/>
      <c r="I1525" s="427"/>
      <c r="J1525" s="412"/>
      <c r="K1525" s="404">
        <f t="shared" si="275"/>
        <v>84689.655274999997</v>
      </c>
      <c r="L1525" s="404">
        <f t="shared" si="275"/>
        <v>125287.33894056869</v>
      </c>
      <c r="M1525" s="452">
        <f t="shared" si="276"/>
        <v>1</v>
      </c>
    </row>
    <row r="1526" spans="1:16" x14ac:dyDescent="0.25">
      <c r="B1526" s="1382" t="s">
        <v>7831</v>
      </c>
      <c r="C1526" s="1382"/>
      <c r="D1526" s="1382"/>
      <c r="E1526" s="1382"/>
      <c r="F1526" s="1382"/>
      <c r="G1526" s="405"/>
      <c r="H1526" s="405"/>
      <c r="I1526" s="428"/>
      <c r="J1526" s="413"/>
      <c r="K1526" s="406">
        <f t="shared" si="275"/>
        <v>84689.655274999997</v>
      </c>
      <c r="L1526" s="406">
        <f t="shared" si="275"/>
        <v>125287.33894056869</v>
      </c>
      <c r="M1526" s="453">
        <f t="shared" si="276"/>
        <v>1</v>
      </c>
    </row>
    <row r="1527" spans="1:16" x14ac:dyDescent="0.25">
      <c r="B1527" s="1383" t="s">
        <v>6044</v>
      </c>
      <c r="C1527" s="1383"/>
      <c r="D1527" s="1383"/>
      <c r="E1527" s="1383"/>
      <c r="F1527" s="1383"/>
      <c r="G1527" s="407"/>
      <c r="H1527" s="407"/>
      <c r="I1527" s="429"/>
      <c r="J1527" s="414"/>
      <c r="K1527" s="408">
        <f>K1528+K1530+K1532+K1537+K1562+K1564+K1569+K1575+K1590+K1595+K1597+K1599+K1600-0.01</f>
        <v>84689.655274999997</v>
      </c>
      <c r="L1527" s="408">
        <f>L1528+L1530+L1532+L1537+L1562+L1564+L1569+L1575+L1590+L1595+L1597+L1599+L1600</f>
        <v>125287.33894056869</v>
      </c>
      <c r="M1527" s="454">
        <f t="shared" si="276"/>
        <v>1</v>
      </c>
    </row>
    <row r="1528" spans="1:16" s="115" customFormat="1" x14ac:dyDescent="0.25">
      <c r="B1528" s="1398" t="s">
        <v>7827</v>
      </c>
      <c r="C1528" s="1398"/>
      <c r="D1528" s="1398"/>
      <c r="E1528" s="854">
        <v>331901100000000</v>
      </c>
      <c r="F1528" s="855" t="s">
        <v>10442</v>
      </c>
      <c r="G1528" s="468">
        <v>1</v>
      </c>
      <c r="H1528" s="468">
        <v>0</v>
      </c>
      <c r="I1528" s="751"/>
      <c r="J1528" s="878" t="s">
        <v>6177</v>
      </c>
      <c r="K1528" s="789">
        <f>('Parâmetros financeiros Despesa'!E743)</f>
        <v>60909.768750000003</v>
      </c>
      <c r="L1528" s="789">
        <f>('Parâmetros financeiros Despesa'!F743)*2.05+(('Parâmetros financeiros Despesa'!F743)*11.28)*(1+'Parâmetros financeiros Despesa'!F$4)*(1+'Parâmetros financeiros Despesa'!F$8)</f>
        <v>67310.366375015059</v>
      </c>
      <c r="M1528" s="799">
        <f t="shared" si="276"/>
        <v>0.53724795293915861</v>
      </c>
      <c r="N1528" s="894"/>
      <c r="P1528" s="733"/>
    </row>
    <row r="1529" spans="1:16" x14ac:dyDescent="0.25">
      <c r="B1529" s="599">
        <f>B1528+1</f>
        <v>160001</v>
      </c>
      <c r="C1529" s="600" t="s">
        <v>6062</v>
      </c>
      <c r="D1529" s="528" t="str">
        <f>B1528</f>
        <v>160000</v>
      </c>
      <c r="E1529" s="417">
        <v>331901173010000</v>
      </c>
      <c r="F1529" s="418" t="s">
        <v>2219</v>
      </c>
      <c r="G1529" s="603">
        <v>1</v>
      </c>
      <c r="H1529" s="603">
        <v>0</v>
      </c>
      <c r="I1529" s="601">
        <v>311210199000000</v>
      </c>
      <c r="J1529" s="475" t="s">
        <v>6178</v>
      </c>
      <c r="K1529" s="891">
        <v>0</v>
      </c>
      <c r="L1529" s="891">
        <v>0</v>
      </c>
      <c r="M1529" s="996">
        <f t="shared" si="276"/>
        <v>0</v>
      </c>
    </row>
    <row r="1530" spans="1:16" s="115" customFormat="1" x14ac:dyDescent="0.25">
      <c r="B1530" s="1398" t="s">
        <v>7828</v>
      </c>
      <c r="C1530" s="1398"/>
      <c r="D1530" s="1398"/>
      <c r="E1530" s="854">
        <v>331901300000000</v>
      </c>
      <c r="F1530" s="855" t="s">
        <v>10443</v>
      </c>
      <c r="G1530" s="468">
        <v>1</v>
      </c>
      <c r="H1530" s="468">
        <v>0</v>
      </c>
      <c r="I1530" s="751"/>
      <c r="J1530" s="878" t="s">
        <v>6177</v>
      </c>
      <c r="K1530" s="789">
        <f>('Parâmetros financeiros Despesa'!E744)</f>
        <v>10335.88205</v>
      </c>
      <c r="L1530" s="789">
        <f>L1528*'Parâmetros financeiros Despesa'!F81</f>
        <v>13462.073275003013</v>
      </c>
      <c r="M1530" s="799">
        <f t="shared" si="276"/>
        <v>0.10744959058783173</v>
      </c>
      <c r="N1530" s="894"/>
      <c r="P1530" s="733"/>
    </row>
    <row r="1531" spans="1:16" x14ac:dyDescent="0.25">
      <c r="B1531" s="599">
        <f>B1530+1</f>
        <v>160101</v>
      </c>
      <c r="C1531" s="600" t="s">
        <v>6062</v>
      </c>
      <c r="D1531" s="528" t="str">
        <f>B1530</f>
        <v>160100</v>
      </c>
      <c r="E1531" s="417">
        <v>331901399000000</v>
      </c>
      <c r="F1531" s="418" t="s">
        <v>2220</v>
      </c>
      <c r="G1531" s="603">
        <v>1</v>
      </c>
      <c r="H1531" s="603">
        <v>0</v>
      </c>
      <c r="I1531" s="601">
        <v>312219900000000</v>
      </c>
      <c r="J1531" s="475" t="s">
        <v>6178</v>
      </c>
      <c r="K1531" s="891">
        <v>0</v>
      </c>
      <c r="L1531" s="891">
        <v>0</v>
      </c>
      <c r="M1531" s="996">
        <f t="shared" si="276"/>
        <v>0</v>
      </c>
    </row>
    <row r="1532" spans="1:16" s="115" customFormat="1" x14ac:dyDescent="0.25">
      <c r="B1532" s="1398" t="s">
        <v>7829</v>
      </c>
      <c r="C1532" s="1398"/>
      <c r="D1532" s="1398"/>
      <c r="E1532" s="854">
        <v>333901400000000</v>
      </c>
      <c r="F1532" s="855" t="s">
        <v>10441</v>
      </c>
      <c r="G1532" s="468">
        <v>1</v>
      </c>
      <c r="H1532" s="468">
        <v>0</v>
      </c>
      <c r="I1532" s="751"/>
      <c r="J1532" s="878" t="s">
        <v>6177</v>
      </c>
      <c r="K1532" s="789">
        <f>('Parâmetros financeiros Despesa'!E745)</f>
        <v>646.5</v>
      </c>
      <c r="L1532" s="789">
        <f>('Parâmetros financeiros Despesa'!F745)*2+(('Parâmetros financeiros Despesa'!F745)*10)*(1+'Parâmetros financeiros Despesa'!F$4)*(1+'Parâmetros financeiros Despesa'!F$8)</f>
        <v>903.94663150364215</v>
      </c>
      <c r="M1532" s="799">
        <f t="shared" si="276"/>
        <v>7.2149878762485199E-3</v>
      </c>
      <c r="N1532" s="894"/>
      <c r="O1532" s="796"/>
      <c r="P1532" s="733"/>
    </row>
    <row r="1533" spans="1:16" x14ac:dyDescent="0.25">
      <c r="B1533" s="599">
        <f>B1532+1</f>
        <v>160201</v>
      </c>
      <c r="C1533" s="600" t="s">
        <v>6062</v>
      </c>
      <c r="D1533" s="528" t="str">
        <f>B1532</f>
        <v>160200</v>
      </c>
      <c r="E1533" s="417">
        <v>333901414050000</v>
      </c>
      <c r="F1533" s="418" t="s">
        <v>6180</v>
      </c>
      <c r="G1533" s="603">
        <v>1</v>
      </c>
      <c r="H1533" s="603">
        <v>0</v>
      </c>
      <c r="I1533" s="601">
        <v>332110100000000</v>
      </c>
      <c r="J1533" s="475" t="s">
        <v>6179</v>
      </c>
      <c r="K1533" s="891">
        <v>0</v>
      </c>
      <c r="L1533" s="891">
        <v>0</v>
      </c>
      <c r="M1533" s="996">
        <f t="shared" ref="M1533:M1536" si="277">L1533/L$1604</f>
        <v>0</v>
      </c>
    </row>
    <row r="1534" spans="1:16" x14ac:dyDescent="0.25">
      <c r="B1534" s="599">
        <f>B1533+1</f>
        <v>160202</v>
      </c>
      <c r="C1534" s="600" t="s">
        <v>6062</v>
      </c>
      <c r="D1534" s="528">
        <v>160200</v>
      </c>
      <c r="E1534" s="417">
        <v>333901414060000</v>
      </c>
      <c r="F1534" s="418" t="s">
        <v>2156</v>
      </c>
      <c r="G1534" s="603">
        <v>1</v>
      </c>
      <c r="H1534" s="603">
        <v>0</v>
      </c>
      <c r="I1534" s="601">
        <v>332110100000000</v>
      </c>
      <c r="J1534" s="475" t="s">
        <v>6181</v>
      </c>
      <c r="K1534" s="891">
        <v>0</v>
      </c>
      <c r="L1534" s="891">
        <v>0</v>
      </c>
      <c r="M1534" s="996">
        <f t="shared" si="277"/>
        <v>0</v>
      </c>
    </row>
    <row r="1535" spans="1:16" x14ac:dyDescent="0.25">
      <c r="B1535" s="599">
        <f>B1534+1</f>
        <v>160203</v>
      </c>
      <c r="C1535" s="600" t="s">
        <v>6062</v>
      </c>
      <c r="D1535" s="528">
        <v>160200</v>
      </c>
      <c r="E1535" s="417">
        <v>333901414060000</v>
      </c>
      <c r="F1535" s="418" t="s">
        <v>6921</v>
      </c>
      <c r="G1535" s="603">
        <v>1</v>
      </c>
      <c r="H1535" s="603">
        <v>0</v>
      </c>
      <c r="I1535" s="601">
        <v>332110100000000</v>
      </c>
      <c r="J1535" s="475" t="s">
        <v>6182</v>
      </c>
      <c r="K1535" s="891">
        <v>0</v>
      </c>
      <c r="L1535" s="891">
        <v>0</v>
      </c>
      <c r="M1535" s="996">
        <f t="shared" si="277"/>
        <v>0</v>
      </c>
      <c r="P1535" s="461"/>
    </row>
    <row r="1536" spans="1:16" x14ac:dyDescent="0.25">
      <c r="B1536" s="599">
        <f>B1535+1</f>
        <v>160204</v>
      </c>
      <c r="C1536" s="600" t="s">
        <v>6062</v>
      </c>
      <c r="D1536" s="528">
        <v>160200</v>
      </c>
      <c r="E1536" s="417">
        <v>333901414060000</v>
      </c>
      <c r="F1536" s="418" t="s">
        <v>2157</v>
      </c>
      <c r="G1536" s="603">
        <v>1</v>
      </c>
      <c r="H1536" s="603">
        <v>0</v>
      </c>
      <c r="I1536" s="601">
        <v>332110100000000</v>
      </c>
      <c r="J1536" s="475" t="s">
        <v>6922</v>
      </c>
      <c r="K1536" s="891">
        <v>0</v>
      </c>
      <c r="L1536" s="891">
        <v>0</v>
      </c>
      <c r="M1536" s="996">
        <f t="shared" si="277"/>
        <v>0</v>
      </c>
      <c r="P1536" s="461"/>
    </row>
    <row r="1537" spans="2:16" s="115" customFormat="1" x14ac:dyDescent="0.25">
      <c r="B1537" s="1398" t="s">
        <v>7830</v>
      </c>
      <c r="C1537" s="1398"/>
      <c r="D1537" s="1398"/>
      <c r="E1537" s="854">
        <v>333903000000000</v>
      </c>
      <c r="F1537" s="855" t="s">
        <v>10431</v>
      </c>
      <c r="G1537" s="468">
        <v>1</v>
      </c>
      <c r="H1537" s="468">
        <v>0</v>
      </c>
      <c r="I1537" s="751"/>
      <c r="J1537" s="878" t="s">
        <v>6177</v>
      </c>
      <c r="K1537" s="789">
        <f>('Parâmetros financeiros Despesa'!E746+'Parâmetros financeiros Despesa'!E747)</f>
        <v>12522.150000000001</v>
      </c>
      <c r="L1537" s="789">
        <f>('Parâmetros financeiros Despesa'!F746+'Parâmetros financeiros Despesa'!F747)*(1+'Parâmetros financeiros Despesa'!F$4)*(1+'Parâmetros financeiros Despesa'!F$7)</f>
        <v>15833.957592725003</v>
      </c>
      <c r="M1537" s="799">
        <f>L1537/L$1604</f>
        <v>0.12638114694283673</v>
      </c>
      <c r="N1537" s="894"/>
      <c r="O1537" s="796"/>
    </row>
    <row r="1538" spans="2:16" x14ac:dyDescent="0.25">
      <c r="B1538" s="599">
        <f>B1537+1</f>
        <v>160301</v>
      </c>
      <c r="C1538" s="600" t="s">
        <v>6062</v>
      </c>
      <c r="D1538" s="600" t="str">
        <f>B1537</f>
        <v>160300</v>
      </c>
      <c r="E1538" s="417">
        <v>333903001010500</v>
      </c>
      <c r="F1538" s="418" t="s">
        <v>5940</v>
      </c>
      <c r="G1538" s="603">
        <v>1</v>
      </c>
      <c r="H1538" s="603">
        <v>0</v>
      </c>
      <c r="I1538" s="601">
        <v>331110100000000</v>
      </c>
      <c r="J1538" s="475" t="s">
        <v>6184</v>
      </c>
      <c r="K1538" s="891">
        <v>0</v>
      </c>
      <c r="L1538" s="891">
        <v>0</v>
      </c>
      <c r="M1538" s="996">
        <f t="shared" ref="M1538:M1561" si="278">L1538/L$1604</f>
        <v>0</v>
      </c>
      <c r="P1538" s="461"/>
    </row>
    <row r="1539" spans="2:16" x14ac:dyDescent="0.25">
      <c r="B1539" s="599">
        <f t="shared" ref="B1539:B1561" si="279">B1538+1</f>
        <v>160302</v>
      </c>
      <c r="C1539" s="600" t="s">
        <v>6062</v>
      </c>
      <c r="D1539" s="528" t="str">
        <f>D1538</f>
        <v>160300</v>
      </c>
      <c r="E1539" s="417">
        <v>333903001010500</v>
      </c>
      <c r="F1539" s="418" t="s">
        <v>6045</v>
      </c>
      <c r="G1539" s="603">
        <v>1</v>
      </c>
      <c r="H1539" s="603">
        <v>0</v>
      </c>
      <c r="I1539" s="601">
        <v>665</v>
      </c>
      <c r="J1539" s="475" t="s">
        <v>6184</v>
      </c>
      <c r="K1539" s="891">
        <v>0</v>
      </c>
      <c r="L1539" s="891">
        <v>0</v>
      </c>
      <c r="M1539" s="996">
        <f t="shared" si="278"/>
        <v>0</v>
      </c>
      <c r="P1539" s="461"/>
    </row>
    <row r="1540" spans="2:16" x14ac:dyDescent="0.25">
      <c r="B1540" s="599">
        <f t="shared" si="279"/>
        <v>160303</v>
      </c>
      <c r="C1540" s="600" t="s">
        <v>6062</v>
      </c>
      <c r="D1540" s="528" t="str">
        <f t="shared" ref="D1540:D1561" si="280">D1539</f>
        <v>160300</v>
      </c>
      <c r="E1540" s="417">
        <v>333903001030700</v>
      </c>
      <c r="F1540" s="418" t="s">
        <v>5941</v>
      </c>
      <c r="G1540" s="603">
        <v>1</v>
      </c>
      <c r="H1540" s="603">
        <v>0</v>
      </c>
      <c r="I1540" s="601">
        <v>331110100000000</v>
      </c>
      <c r="J1540" s="475" t="s">
        <v>6183</v>
      </c>
      <c r="K1540" s="891">
        <v>0</v>
      </c>
      <c r="L1540" s="891">
        <v>0</v>
      </c>
      <c r="M1540" s="996">
        <f t="shared" si="278"/>
        <v>0</v>
      </c>
      <c r="P1540" s="461"/>
    </row>
    <row r="1541" spans="2:16" x14ac:dyDescent="0.25">
      <c r="B1541" s="599">
        <f t="shared" si="279"/>
        <v>160304</v>
      </c>
      <c r="C1541" s="600" t="s">
        <v>6062</v>
      </c>
      <c r="D1541" s="528" t="str">
        <f t="shared" si="280"/>
        <v>160300</v>
      </c>
      <c r="E1541" s="417">
        <v>333903001030700</v>
      </c>
      <c r="F1541" s="418" t="s">
        <v>6046</v>
      </c>
      <c r="G1541" s="603">
        <v>1</v>
      </c>
      <c r="H1541" s="603">
        <v>0</v>
      </c>
      <c r="I1541" s="601">
        <v>676</v>
      </c>
      <c r="J1541" s="475" t="s">
        <v>6183</v>
      </c>
      <c r="K1541" s="891">
        <v>0</v>
      </c>
      <c r="L1541" s="891">
        <v>0</v>
      </c>
      <c r="M1541" s="996">
        <f t="shared" si="278"/>
        <v>0</v>
      </c>
      <c r="P1541" s="461"/>
    </row>
    <row r="1542" spans="2:16" x14ac:dyDescent="0.25">
      <c r="B1542" s="599">
        <f t="shared" si="279"/>
        <v>160305</v>
      </c>
      <c r="C1542" s="600" t="s">
        <v>6062</v>
      </c>
      <c r="D1542" s="528" t="str">
        <f t="shared" si="280"/>
        <v>160300</v>
      </c>
      <c r="E1542" s="417">
        <v>333903004000000</v>
      </c>
      <c r="F1542" s="418" t="s">
        <v>2164</v>
      </c>
      <c r="G1542" s="603">
        <v>1</v>
      </c>
      <c r="H1542" s="603">
        <v>0</v>
      </c>
      <c r="I1542" s="601">
        <v>331110300000000</v>
      </c>
      <c r="J1542" s="475" t="s">
        <v>6185</v>
      </c>
      <c r="K1542" s="891">
        <v>0</v>
      </c>
      <c r="L1542" s="891">
        <v>0</v>
      </c>
      <c r="M1542" s="996">
        <f t="shared" si="278"/>
        <v>0</v>
      </c>
      <c r="P1542" s="461"/>
    </row>
    <row r="1543" spans="2:16" x14ac:dyDescent="0.25">
      <c r="B1543" s="599">
        <f t="shared" si="279"/>
        <v>160306</v>
      </c>
      <c r="C1543" s="600" t="s">
        <v>6062</v>
      </c>
      <c r="D1543" s="528" t="str">
        <f t="shared" si="280"/>
        <v>160300</v>
      </c>
      <c r="E1543" s="417">
        <v>333903004000000</v>
      </c>
      <c r="F1543" s="418" t="s">
        <v>5747</v>
      </c>
      <c r="G1543" s="603">
        <v>1</v>
      </c>
      <c r="H1543" s="603">
        <v>0</v>
      </c>
      <c r="I1543" s="601">
        <v>1322</v>
      </c>
      <c r="J1543" s="475" t="s">
        <v>6185</v>
      </c>
      <c r="K1543" s="891">
        <v>0</v>
      </c>
      <c r="L1543" s="891">
        <v>0</v>
      </c>
      <c r="M1543" s="996">
        <f t="shared" si="278"/>
        <v>0</v>
      </c>
      <c r="P1543" s="461"/>
    </row>
    <row r="1544" spans="2:16" x14ac:dyDescent="0.25">
      <c r="B1544" s="599">
        <f t="shared" si="279"/>
        <v>160307</v>
      </c>
      <c r="C1544" s="600" t="s">
        <v>6062</v>
      </c>
      <c r="D1544" s="528" t="str">
        <f t="shared" si="280"/>
        <v>160300</v>
      </c>
      <c r="E1544" s="417">
        <v>333903007000000</v>
      </c>
      <c r="F1544" s="418" t="s">
        <v>2167</v>
      </c>
      <c r="G1544" s="603">
        <v>1</v>
      </c>
      <c r="H1544" s="603">
        <v>0</v>
      </c>
      <c r="I1544" s="417">
        <v>331110600000000</v>
      </c>
      <c r="J1544" s="475" t="s">
        <v>6186</v>
      </c>
      <c r="K1544" s="891">
        <v>0</v>
      </c>
      <c r="L1544" s="891">
        <v>0</v>
      </c>
      <c r="M1544" s="996">
        <f t="shared" si="278"/>
        <v>0</v>
      </c>
      <c r="P1544" s="461"/>
    </row>
    <row r="1545" spans="2:16" x14ac:dyDescent="0.25">
      <c r="B1545" s="599">
        <f t="shared" si="279"/>
        <v>160308</v>
      </c>
      <c r="C1545" s="600" t="s">
        <v>6062</v>
      </c>
      <c r="D1545" s="528" t="str">
        <f t="shared" si="280"/>
        <v>160300</v>
      </c>
      <c r="E1545" s="417">
        <v>333903007000000</v>
      </c>
      <c r="F1545" s="418" t="s">
        <v>6923</v>
      </c>
      <c r="G1545" s="603">
        <v>1</v>
      </c>
      <c r="H1545" s="603">
        <v>0</v>
      </c>
      <c r="I1545" s="417">
        <v>331110600000000</v>
      </c>
      <c r="J1545" s="475" t="s">
        <v>6200</v>
      </c>
      <c r="K1545" s="891">
        <v>0</v>
      </c>
      <c r="L1545" s="891">
        <v>0</v>
      </c>
      <c r="M1545" s="996">
        <f t="shared" si="278"/>
        <v>0</v>
      </c>
      <c r="P1545" s="461"/>
    </row>
    <row r="1546" spans="2:16" x14ac:dyDescent="0.25">
      <c r="B1546" s="599">
        <f t="shared" si="279"/>
        <v>160309</v>
      </c>
      <c r="C1546" s="600" t="s">
        <v>6062</v>
      </c>
      <c r="D1546" s="528" t="str">
        <f t="shared" si="280"/>
        <v>160300</v>
      </c>
      <c r="E1546" s="417">
        <v>333903007000000</v>
      </c>
      <c r="F1546" s="418" t="s">
        <v>6047</v>
      </c>
      <c r="G1546" s="603">
        <v>1</v>
      </c>
      <c r="H1546" s="603">
        <v>0</v>
      </c>
      <c r="I1546" s="417">
        <v>30</v>
      </c>
      <c r="J1546" s="475" t="s">
        <v>6186</v>
      </c>
      <c r="K1546" s="891">
        <v>0</v>
      </c>
      <c r="L1546" s="891">
        <v>0</v>
      </c>
      <c r="M1546" s="996">
        <f t="shared" si="278"/>
        <v>0</v>
      </c>
      <c r="P1546" s="461"/>
    </row>
    <row r="1547" spans="2:16" x14ac:dyDescent="0.25">
      <c r="B1547" s="599">
        <f t="shared" si="279"/>
        <v>160310</v>
      </c>
      <c r="C1547" s="600" t="s">
        <v>6062</v>
      </c>
      <c r="D1547" s="528" t="str">
        <f t="shared" si="280"/>
        <v>160300</v>
      </c>
      <c r="E1547" s="417">
        <v>333903007000000</v>
      </c>
      <c r="F1547" s="418" t="s">
        <v>6924</v>
      </c>
      <c r="G1547" s="603">
        <v>1</v>
      </c>
      <c r="H1547" s="603">
        <v>0</v>
      </c>
      <c r="I1547" s="417">
        <v>30</v>
      </c>
      <c r="J1547" s="475" t="s">
        <v>6200</v>
      </c>
      <c r="K1547" s="891">
        <v>0</v>
      </c>
      <c r="L1547" s="891">
        <v>0</v>
      </c>
      <c r="M1547" s="996">
        <f t="shared" si="278"/>
        <v>0</v>
      </c>
      <c r="P1547" s="461"/>
    </row>
    <row r="1548" spans="2:16" x14ac:dyDescent="0.25">
      <c r="B1548" s="599">
        <f t="shared" si="279"/>
        <v>160311</v>
      </c>
      <c r="C1548" s="600" t="s">
        <v>6062</v>
      </c>
      <c r="D1548" s="528" t="str">
        <f t="shared" si="280"/>
        <v>160300</v>
      </c>
      <c r="E1548" s="417">
        <v>333903016000000</v>
      </c>
      <c r="F1548" s="418" t="s">
        <v>2264</v>
      </c>
      <c r="G1548" s="603">
        <v>1</v>
      </c>
      <c r="H1548" s="603">
        <v>0</v>
      </c>
      <c r="I1548" s="601">
        <v>331111600000000</v>
      </c>
      <c r="J1548" s="475" t="s">
        <v>6187</v>
      </c>
      <c r="K1548" s="891">
        <v>0</v>
      </c>
      <c r="L1548" s="891">
        <v>0</v>
      </c>
      <c r="M1548" s="996">
        <f t="shared" si="278"/>
        <v>0</v>
      </c>
      <c r="P1548" s="461"/>
    </row>
    <row r="1549" spans="2:16" x14ac:dyDescent="0.25">
      <c r="B1549" s="599">
        <f t="shared" si="279"/>
        <v>160312</v>
      </c>
      <c r="C1549" s="600" t="s">
        <v>6062</v>
      </c>
      <c r="D1549" s="528" t="str">
        <f t="shared" si="280"/>
        <v>160300</v>
      </c>
      <c r="E1549" s="417">
        <v>333903016000000</v>
      </c>
      <c r="F1549" s="418" t="s">
        <v>6048</v>
      </c>
      <c r="G1549" s="603">
        <v>1</v>
      </c>
      <c r="H1549" s="603">
        <v>0</v>
      </c>
      <c r="I1549" s="601">
        <v>35</v>
      </c>
      <c r="J1549" s="475" t="s">
        <v>6187</v>
      </c>
      <c r="K1549" s="891">
        <v>0</v>
      </c>
      <c r="L1549" s="891">
        <v>0</v>
      </c>
      <c r="M1549" s="996">
        <f t="shared" si="278"/>
        <v>0</v>
      </c>
      <c r="P1549" s="461"/>
    </row>
    <row r="1550" spans="2:16" ht="30" x14ac:dyDescent="0.25">
      <c r="B1550" s="599">
        <f t="shared" si="279"/>
        <v>160313</v>
      </c>
      <c r="C1550" s="600" t="s">
        <v>6062</v>
      </c>
      <c r="D1550" s="528" t="str">
        <f t="shared" si="280"/>
        <v>160300</v>
      </c>
      <c r="E1550" s="417">
        <v>333903017000000</v>
      </c>
      <c r="F1550" s="418" t="s">
        <v>2198</v>
      </c>
      <c r="G1550" s="603">
        <v>1</v>
      </c>
      <c r="H1550" s="603">
        <v>0</v>
      </c>
      <c r="I1550" s="601">
        <v>331111700000000</v>
      </c>
      <c r="J1550" s="475" t="s">
        <v>6188</v>
      </c>
      <c r="K1550" s="891">
        <v>0</v>
      </c>
      <c r="L1550" s="891">
        <v>0</v>
      </c>
      <c r="M1550" s="996">
        <f t="shared" si="278"/>
        <v>0</v>
      </c>
      <c r="P1550" s="461"/>
    </row>
    <row r="1551" spans="2:16" ht="30" x14ac:dyDescent="0.25">
      <c r="B1551" s="599">
        <f t="shared" si="279"/>
        <v>160314</v>
      </c>
      <c r="C1551" s="600" t="s">
        <v>6062</v>
      </c>
      <c r="D1551" s="528" t="str">
        <f t="shared" si="280"/>
        <v>160300</v>
      </c>
      <c r="E1551" s="417">
        <v>333903017000000</v>
      </c>
      <c r="F1551" s="418" t="s">
        <v>6201</v>
      </c>
      <c r="G1551" s="603">
        <v>1</v>
      </c>
      <c r="H1551" s="603">
        <v>0</v>
      </c>
      <c r="I1551" s="601">
        <v>617</v>
      </c>
      <c r="J1551" s="475" t="s">
        <v>6188</v>
      </c>
      <c r="K1551" s="891">
        <v>0</v>
      </c>
      <c r="L1551" s="891">
        <v>0</v>
      </c>
      <c r="M1551" s="996">
        <f t="shared" si="278"/>
        <v>0</v>
      </c>
      <c r="P1551" s="461"/>
    </row>
    <row r="1552" spans="2:16" x14ac:dyDescent="0.25">
      <c r="B1552" s="599">
        <f t="shared" si="279"/>
        <v>160315</v>
      </c>
      <c r="C1552" s="600" t="s">
        <v>6062</v>
      </c>
      <c r="D1552" s="528" t="str">
        <f t="shared" si="280"/>
        <v>160300</v>
      </c>
      <c r="E1552" s="417">
        <v>333903022000000</v>
      </c>
      <c r="F1552" s="418" t="s">
        <v>2199</v>
      </c>
      <c r="G1552" s="603">
        <v>1</v>
      </c>
      <c r="H1552" s="603">
        <v>0</v>
      </c>
      <c r="I1552" s="601">
        <v>331112200000000</v>
      </c>
      <c r="J1552" s="475" t="s">
        <v>6189</v>
      </c>
      <c r="K1552" s="891">
        <v>0</v>
      </c>
      <c r="L1552" s="891">
        <v>0</v>
      </c>
      <c r="M1552" s="996">
        <f t="shared" si="278"/>
        <v>0</v>
      </c>
      <c r="P1552" s="461"/>
    </row>
    <row r="1553" spans="2:16" x14ac:dyDescent="0.25">
      <c r="B1553" s="599">
        <f t="shared" si="279"/>
        <v>160316</v>
      </c>
      <c r="C1553" s="600" t="s">
        <v>6062</v>
      </c>
      <c r="D1553" s="528" t="str">
        <f t="shared" si="280"/>
        <v>160300</v>
      </c>
      <c r="E1553" s="417">
        <v>333903022000000</v>
      </c>
      <c r="F1553" s="418" t="s">
        <v>6049</v>
      </c>
      <c r="G1553" s="603">
        <v>1</v>
      </c>
      <c r="H1553" s="603">
        <v>0</v>
      </c>
      <c r="I1553" s="601">
        <v>28</v>
      </c>
      <c r="J1553" s="475" t="s">
        <v>6189</v>
      </c>
      <c r="K1553" s="891">
        <v>0</v>
      </c>
      <c r="L1553" s="891">
        <v>0</v>
      </c>
      <c r="M1553" s="996">
        <f t="shared" si="278"/>
        <v>0</v>
      </c>
      <c r="P1553" s="461"/>
    </row>
    <row r="1554" spans="2:16" x14ac:dyDescent="0.25">
      <c r="B1554" s="599">
        <f t="shared" si="279"/>
        <v>160317</v>
      </c>
      <c r="C1554" s="600" t="s">
        <v>6062</v>
      </c>
      <c r="D1554" s="528" t="str">
        <f t="shared" si="280"/>
        <v>160300</v>
      </c>
      <c r="E1554" s="417">
        <v>333903024000000</v>
      </c>
      <c r="F1554" s="418" t="s">
        <v>5937</v>
      </c>
      <c r="G1554" s="603">
        <v>1</v>
      </c>
      <c r="H1554" s="603">
        <v>0</v>
      </c>
      <c r="I1554" s="601">
        <v>331112400000000</v>
      </c>
      <c r="J1554" s="475" t="s">
        <v>6189</v>
      </c>
      <c r="K1554" s="891">
        <v>0</v>
      </c>
      <c r="L1554" s="891">
        <v>0</v>
      </c>
      <c r="M1554" s="996">
        <f t="shared" si="278"/>
        <v>0</v>
      </c>
      <c r="P1554" s="461"/>
    </row>
    <row r="1555" spans="2:16" x14ac:dyDescent="0.25">
      <c r="B1555" s="599">
        <f t="shared" si="279"/>
        <v>160318</v>
      </c>
      <c r="C1555" s="600" t="s">
        <v>6062</v>
      </c>
      <c r="D1555" s="528" t="str">
        <f t="shared" si="280"/>
        <v>160300</v>
      </c>
      <c r="E1555" s="417">
        <v>333903024000000</v>
      </c>
      <c r="F1555" s="418" t="s">
        <v>6050</v>
      </c>
      <c r="G1555" s="603">
        <v>1</v>
      </c>
      <c r="H1555" s="603">
        <v>0</v>
      </c>
      <c r="I1555" s="601">
        <v>28</v>
      </c>
      <c r="J1555" s="475" t="s">
        <v>6189</v>
      </c>
      <c r="K1555" s="891">
        <v>0</v>
      </c>
      <c r="L1555" s="891">
        <v>0</v>
      </c>
      <c r="M1555" s="996">
        <f t="shared" si="278"/>
        <v>0</v>
      </c>
      <c r="P1555" s="461"/>
    </row>
    <row r="1556" spans="2:16" x14ac:dyDescent="0.25">
      <c r="B1556" s="599">
        <f t="shared" si="279"/>
        <v>160319</v>
      </c>
      <c r="C1556" s="600" t="s">
        <v>6062</v>
      </c>
      <c r="D1556" s="528" t="str">
        <f t="shared" si="280"/>
        <v>160300</v>
      </c>
      <c r="E1556" s="417">
        <v>333903028000000</v>
      </c>
      <c r="F1556" s="418" t="s">
        <v>5938</v>
      </c>
      <c r="G1556" s="603">
        <v>1</v>
      </c>
      <c r="H1556" s="603">
        <v>0</v>
      </c>
      <c r="I1556" s="601">
        <v>331112800000000</v>
      </c>
      <c r="J1556" s="602" t="s">
        <v>6202</v>
      </c>
      <c r="K1556" s="891">
        <v>0</v>
      </c>
      <c r="L1556" s="891">
        <v>0</v>
      </c>
      <c r="M1556" s="996">
        <f t="shared" si="278"/>
        <v>0</v>
      </c>
      <c r="P1556" s="461"/>
    </row>
    <row r="1557" spans="2:16" x14ac:dyDescent="0.25">
      <c r="B1557" s="599">
        <f t="shared" si="279"/>
        <v>160320</v>
      </c>
      <c r="C1557" s="600" t="s">
        <v>6062</v>
      </c>
      <c r="D1557" s="528" t="str">
        <f t="shared" si="280"/>
        <v>160300</v>
      </c>
      <c r="E1557" s="417">
        <v>333903028000000</v>
      </c>
      <c r="F1557" s="418" t="s">
        <v>6051</v>
      </c>
      <c r="G1557" s="603">
        <v>1</v>
      </c>
      <c r="H1557" s="603">
        <v>0</v>
      </c>
      <c r="I1557" s="601">
        <v>28</v>
      </c>
      <c r="J1557" s="602" t="s">
        <v>6202</v>
      </c>
      <c r="K1557" s="891">
        <v>0</v>
      </c>
      <c r="L1557" s="891">
        <v>0</v>
      </c>
      <c r="M1557" s="996">
        <f t="shared" si="278"/>
        <v>0</v>
      </c>
      <c r="P1557" s="461"/>
    </row>
    <row r="1558" spans="2:16" x14ac:dyDescent="0.25">
      <c r="B1558" s="599">
        <f t="shared" si="279"/>
        <v>160321</v>
      </c>
      <c r="C1558" s="600" t="s">
        <v>6062</v>
      </c>
      <c r="D1558" s="528" t="str">
        <f t="shared" si="280"/>
        <v>160300</v>
      </c>
      <c r="E1558" s="417">
        <v>333903039070000</v>
      </c>
      <c r="F1558" s="418" t="s">
        <v>6052</v>
      </c>
      <c r="G1558" s="603">
        <v>1</v>
      </c>
      <c r="H1558" s="603">
        <v>0</v>
      </c>
      <c r="I1558" s="601">
        <v>331113900000000</v>
      </c>
      <c r="J1558" s="602" t="s">
        <v>6203</v>
      </c>
      <c r="K1558" s="891">
        <v>0</v>
      </c>
      <c r="L1558" s="891">
        <v>0</v>
      </c>
      <c r="M1558" s="996">
        <f t="shared" si="278"/>
        <v>0</v>
      </c>
      <c r="P1558" s="461"/>
    </row>
    <row r="1559" spans="2:16" x14ac:dyDescent="0.25">
      <c r="B1559" s="599">
        <f t="shared" si="279"/>
        <v>160322</v>
      </c>
      <c r="C1559" s="600" t="s">
        <v>6062</v>
      </c>
      <c r="D1559" s="528" t="str">
        <f t="shared" si="280"/>
        <v>160300</v>
      </c>
      <c r="E1559" s="417">
        <v>333903039070000</v>
      </c>
      <c r="F1559" s="418" t="s">
        <v>5939</v>
      </c>
      <c r="G1559" s="603">
        <v>1</v>
      </c>
      <c r="H1559" s="603">
        <v>0</v>
      </c>
      <c r="I1559" s="601">
        <v>32</v>
      </c>
      <c r="J1559" s="602" t="s">
        <v>6203</v>
      </c>
      <c r="K1559" s="891">
        <v>0</v>
      </c>
      <c r="L1559" s="891">
        <v>0</v>
      </c>
      <c r="M1559" s="996">
        <f t="shared" si="278"/>
        <v>0</v>
      </c>
      <c r="P1559" s="461"/>
    </row>
    <row r="1560" spans="2:16" x14ac:dyDescent="0.25">
      <c r="B1560" s="599">
        <f t="shared" si="279"/>
        <v>160323</v>
      </c>
      <c r="C1560" s="600" t="s">
        <v>6062</v>
      </c>
      <c r="D1560" s="528" t="str">
        <f t="shared" si="280"/>
        <v>160300</v>
      </c>
      <c r="E1560" s="417">
        <v>333903099000000</v>
      </c>
      <c r="F1560" s="418" t="s">
        <v>6204</v>
      </c>
      <c r="G1560" s="603">
        <v>1</v>
      </c>
      <c r="H1560" s="603">
        <v>0</v>
      </c>
      <c r="I1560" s="601">
        <v>331119900000000</v>
      </c>
      <c r="J1560" s="602" t="s">
        <v>6202</v>
      </c>
      <c r="K1560" s="891">
        <v>0</v>
      </c>
      <c r="L1560" s="891">
        <v>0</v>
      </c>
      <c r="M1560" s="996">
        <f t="shared" si="278"/>
        <v>0</v>
      </c>
      <c r="P1560" s="461"/>
    </row>
    <row r="1561" spans="2:16" x14ac:dyDescent="0.25">
      <c r="B1561" s="599">
        <f t="shared" si="279"/>
        <v>160324</v>
      </c>
      <c r="C1561" s="600" t="s">
        <v>6062</v>
      </c>
      <c r="D1561" s="528" t="str">
        <f t="shared" si="280"/>
        <v>160300</v>
      </c>
      <c r="E1561" s="417">
        <v>333903099000000</v>
      </c>
      <c r="F1561" s="418" t="s">
        <v>6053</v>
      </c>
      <c r="G1561" s="603">
        <v>1</v>
      </c>
      <c r="H1561" s="603">
        <v>0</v>
      </c>
      <c r="I1561" s="601">
        <v>28</v>
      </c>
      <c r="J1561" s="602" t="s">
        <v>6202</v>
      </c>
      <c r="K1561" s="891">
        <v>0</v>
      </c>
      <c r="L1561" s="891">
        <v>0</v>
      </c>
      <c r="M1561" s="996">
        <f t="shared" si="278"/>
        <v>0</v>
      </c>
      <c r="P1561" s="461"/>
    </row>
    <row r="1562" spans="2:16" s="115" customFormat="1" ht="30" x14ac:dyDescent="0.25">
      <c r="B1562" s="1398" t="s">
        <v>7832</v>
      </c>
      <c r="C1562" s="1398"/>
      <c r="D1562" s="1398"/>
      <c r="E1562" s="854">
        <v>333903200000000</v>
      </c>
      <c r="F1562" s="855" t="s">
        <v>10432</v>
      </c>
      <c r="G1562" s="468">
        <v>1</v>
      </c>
      <c r="H1562" s="468">
        <v>0</v>
      </c>
      <c r="I1562" s="751"/>
      <c r="J1562" s="878" t="s">
        <v>5825</v>
      </c>
      <c r="K1562" s="789">
        <f>('Parâmetros financeiros Despesa'!E748)</f>
        <v>0</v>
      </c>
      <c r="L1562" s="789">
        <f>('Parâmetros financeiros Despesa'!F748)*(1+'Parâmetros financeiros Despesa'!F$4)*(1+'Parâmetros financeiros Despesa'!F$7)</f>
        <v>1635.4972500000001</v>
      </c>
      <c r="M1562" s="799">
        <f>L1562/L$1604</f>
        <v>1.3053970687140339E-2</v>
      </c>
      <c r="N1562" s="894"/>
      <c r="O1562" s="796"/>
    </row>
    <row r="1563" spans="2:16" x14ac:dyDescent="0.25">
      <c r="B1563" s="599">
        <f>B1562+1</f>
        <v>160401</v>
      </c>
      <c r="C1563" s="600" t="s">
        <v>6062</v>
      </c>
      <c r="D1563" s="528" t="str">
        <f>B1562</f>
        <v>160400</v>
      </c>
      <c r="E1563" s="417">
        <v>333903209000000</v>
      </c>
      <c r="F1563" s="418" t="s">
        <v>2203</v>
      </c>
      <c r="G1563" s="603">
        <v>1</v>
      </c>
      <c r="H1563" s="603">
        <v>0</v>
      </c>
      <c r="I1563" s="601">
        <v>331210600000000</v>
      </c>
      <c r="J1563" s="602" t="s">
        <v>5827</v>
      </c>
      <c r="K1563" s="891">
        <v>0</v>
      </c>
      <c r="L1563" s="891">
        <v>0</v>
      </c>
      <c r="M1563" s="996">
        <f>L1563/L$1604</f>
        <v>0</v>
      </c>
      <c r="P1563" s="461"/>
    </row>
    <row r="1564" spans="2:16" s="115" customFormat="1" ht="30" x14ac:dyDescent="0.25">
      <c r="B1564" s="1398" t="s">
        <v>7833</v>
      </c>
      <c r="C1564" s="1398"/>
      <c r="D1564" s="1398"/>
      <c r="E1564" s="854">
        <v>333903300000000</v>
      </c>
      <c r="F1564" s="855" t="s">
        <v>10433</v>
      </c>
      <c r="G1564" s="468">
        <v>1</v>
      </c>
      <c r="H1564" s="468">
        <v>0</v>
      </c>
      <c r="I1564" s="751"/>
      <c r="J1564" s="878" t="s">
        <v>5825</v>
      </c>
      <c r="K1564" s="789">
        <f>('Parâmetros financeiros Despesa'!E749)</f>
        <v>0</v>
      </c>
      <c r="L1564" s="789">
        <f>('Parâmetros financeiros Despesa'!F749)*(1+'Parâmetros financeiros Despesa'!F$4)*(1+'Parâmetros financeiros Despesa'!F$7)</f>
        <v>1090.3315</v>
      </c>
      <c r="M1564" s="799">
        <f>L1564/L$1604</f>
        <v>8.7026471247602256E-3</v>
      </c>
      <c r="N1564" s="894"/>
      <c r="O1564" s="796"/>
    </row>
    <row r="1565" spans="2:16" x14ac:dyDescent="0.25">
      <c r="B1565" s="599">
        <f>B1564+1</f>
        <v>160501</v>
      </c>
      <c r="C1565" s="600" t="s">
        <v>6062</v>
      </c>
      <c r="D1565" s="528" t="str">
        <f>B1564</f>
        <v>160500</v>
      </c>
      <c r="E1565" s="417">
        <v>333903308000000</v>
      </c>
      <c r="F1565" s="418" t="s">
        <v>1043</v>
      </c>
      <c r="G1565" s="603">
        <v>1</v>
      </c>
      <c r="H1565" s="603">
        <v>0</v>
      </c>
      <c r="I1565" s="601">
        <v>332315600000000</v>
      </c>
      <c r="J1565" s="602" t="s">
        <v>5827</v>
      </c>
      <c r="K1565" s="891">
        <v>0</v>
      </c>
      <c r="L1565" s="891">
        <v>0</v>
      </c>
      <c r="M1565" s="996">
        <f t="shared" ref="M1565:M1568" si="281">L1565/L$1604</f>
        <v>0</v>
      </c>
      <c r="P1565" s="461"/>
    </row>
    <row r="1566" spans="2:16" x14ac:dyDescent="0.25">
      <c r="B1566" s="599">
        <f>B1565+1</f>
        <v>160502</v>
      </c>
      <c r="C1566" s="600" t="s">
        <v>6062</v>
      </c>
      <c r="D1566" s="528" t="str">
        <f>D1565</f>
        <v>160500</v>
      </c>
      <c r="E1566" s="417">
        <v>333903399010000</v>
      </c>
      <c r="F1566" s="418" t="s">
        <v>5765</v>
      </c>
      <c r="G1566" s="603">
        <v>1</v>
      </c>
      <c r="H1566" s="603">
        <v>0</v>
      </c>
      <c r="I1566" s="601">
        <v>332315600000000</v>
      </c>
      <c r="J1566" s="602"/>
      <c r="K1566" s="891">
        <v>0</v>
      </c>
      <c r="L1566" s="891">
        <v>0</v>
      </c>
      <c r="M1566" s="996">
        <f t="shared" si="281"/>
        <v>0</v>
      </c>
      <c r="P1566" s="461"/>
    </row>
    <row r="1567" spans="2:16" x14ac:dyDescent="0.25">
      <c r="B1567" s="599">
        <f>B1566+1</f>
        <v>160503</v>
      </c>
      <c r="C1567" s="600" t="s">
        <v>6062</v>
      </c>
      <c r="D1567" s="528" t="str">
        <f>D1566</f>
        <v>160500</v>
      </c>
      <c r="E1567" s="417">
        <v>333903399010000</v>
      </c>
      <c r="F1567" s="418" t="s">
        <v>5766</v>
      </c>
      <c r="G1567" s="603">
        <v>1</v>
      </c>
      <c r="H1567" s="603">
        <v>0</v>
      </c>
      <c r="I1567" s="601">
        <v>332315600000000</v>
      </c>
      <c r="J1567" s="602"/>
      <c r="K1567" s="891">
        <v>0</v>
      </c>
      <c r="L1567" s="891">
        <v>0</v>
      </c>
      <c r="M1567" s="996">
        <f t="shared" si="281"/>
        <v>0</v>
      </c>
      <c r="P1567" s="461"/>
    </row>
    <row r="1568" spans="2:16" x14ac:dyDescent="0.25">
      <c r="B1568" s="599">
        <f>B1567+1</f>
        <v>160504</v>
      </c>
      <c r="C1568" s="600" t="s">
        <v>6062</v>
      </c>
      <c r="D1568" s="528" t="str">
        <f>D1567</f>
        <v>160500</v>
      </c>
      <c r="E1568" s="417">
        <v>333903399010000</v>
      </c>
      <c r="F1568" s="418" t="s">
        <v>6054</v>
      </c>
      <c r="G1568" s="603">
        <v>1</v>
      </c>
      <c r="H1568" s="603">
        <v>0</v>
      </c>
      <c r="I1568" s="601">
        <v>332315600000000</v>
      </c>
      <c r="J1568" s="602"/>
      <c r="K1568" s="891">
        <v>0</v>
      </c>
      <c r="L1568" s="891">
        <v>0</v>
      </c>
      <c r="M1568" s="996">
        <f t="shared" si="281"/>
        <v>0</v>
      </c>
      <c r="P1568" s="461"/>
    </row>
    <row r="1569" spans="2:16" s="115" customFormat="1" ht="30" x14ac:dyDescent="0.25">
      <c r="B1569" s="1398" t="s">
        <v>7834</v>
      </c>
      <c r="C1569" s="1398"/>
      <c r="D1569" s="1398"/>
      <c r="E1569" s="854">
        <v>333903600000000</v>
      </c>
      <c r="F1569" s="855" t="s">
        <v>10434</v>
      </c>
      <c r="G1569" s="468">
        <v>1</v>
      </c>
      <c r="H1569" s="468">
        <v>0</v>
      </c>
      <c r="I1569" s="751"/>
      <c r="J1569" s="878" t="s">
        <v>5825</v>
      </c>
      <c r="K1569" s="789">
        <f>('Parâmetros financeiros Despesa'!E750)</f>
        <v>0</v>
      </c>
      <c r="L1569" s="789">
        <f>('Parâmetros financeiros Despesa'!F750)*(1+'Parâmetros financeiros Despesa'!F$4)*(1+'Parâmetros financeiros Despesa'!F$7)</f>
        <v>3270.9945000000002</v>
      </c>
      <c r="M1569" s="799">
        <f>L1569/L$1604</f>
        <v>2.6107941374280678E-2</v>
      </c>
      <c r="N1569" s="894"/>
      <c r="O1569" s="796"/>
    </row>
    <row r="1570" spans="2:16" x14ac:dyDescent="0.25">
      <c r="B1570" s="599">
        <f>B1569+1</f>
        <v>160601</v>
      </c>
      <c r="C1570" s="600" t="s">
        <v>6062</v>
      </c>
      <c r="D1570" s="528" t="str">
        <f>B1569</f>
        <v>160600</v>
      </c>
      <c r="E1570" s="417">
        <v>333903606000000</v>
      </c>
      <c r="F1570" s="418" t="s">
        <v>1151</v>
      </c>
      <c r="G1570" s="603">
        <v>1</v>
      </c>
      <c r="H1570" s="603">
        <v>0</v>
      </c>
      <c r="I1570" s="601">
        <v>332211500000000</v>
      </c>
      <c r="J1570" s="602" t="s">
        <v>5827</v>
      </c>
      <c r="K1570" s="891">
        <v>0</v>
      </c>
      <c r="L1570" s="891">
        <v>0</v>
      </c>
      <c r="M1570" s="996">
        <f t="shared" ref="M1570:M1574" si="282">L1570/L$1604</f>
        <v>0</v>
      </c>
      <c r="P1570" s="461"/>
    </row>
    <row r="1571" spans="2:16" x14ac:dyDescent="0.25">
      <c r="B1571" s="599">
        <f>B1570+1</f>
        <v>160602</v>
      </c>
      <c r="C1571" s="600" t="s">
        <v>6062</v>
      </c>
      <c r="D1571" s="528" t="str">
        <f>D1570</f>
        <v>160600</v>
      </c>
      <c r="E1571" s="417">
        <v>333903615000000</v>
      </c>
      <c r="F1571" s="418" t="s">
        <v>1026</v>
      </c>
      <c r="G1571" s="603">
        <v>1</v>
      </c>
      <c r="H1571" s="603">
        <v>0</v>
      </c>
      <c r="I1571" s="601">
        <v>332212100000000</v>
      </c>
      <c r="J1571" s="602"/>
      <c r="K1571" s="891">
        <v>0</v>
      </c>
      <c r="L1571" s="891">
        <v>0</v>
      </c>
      <c r="M1571" s="996">
        <f t="shared" si="282"/>
        <v>0</v>
      </c>
      <c r="P1571" s="461"/>
    </row>
    <row r="1572" spans="2:16" x14ac:dyDescent="0.25">
      <c r="B1572" s="599">
        <f>B1571+1</f>
        <v>160603</v>
      </c>
      <c r="C1572" s="600" t="s">
        <v>6062</v>
      </c>
      <c r="D1572" s="528" t="str">
        <f>D1571</f>
        <v>160600</v>
      </c>
      <c r="E1572" s="417">
        <v>333903625000000</v>
      </c>
      <c r="F1572" s="418" t="s">
        <v>2205</v>
      </c>
      <c r="G1572" s="603">
        <v>1</v>
      </c>
      <c r="H1572" s="603">
        <v>0</v>
      </c>
      <c r="I1572" s="601">
        <v>332210800000000</v>
      </c>
      <c r="J1572" s="602"/>
      <c r="K1572" s="891">
        <v>0</v>
      </c>
      <c r="L1572" s="891">
        <v>0</v>
      </c>
      <c r="M1572" s="996">
        <f t="shared" si="282"/>
        <v>0</v>
      </c>
      <c r="P1572" s="461"/>
    </row>
    <row r="1573" spans="2:16" x14ac:dyDescent="0.25">
      <c r="B1573" s="599">
        <f>B1572+1</f>
        <v>160604</v>
      </c>
      <c r="C1573" s="600" t="s">
        <v>6062</v>
      </c>
      <c r="D1573" s="528" t="str">
        <f>D1572</f>
        <v>160600</v>
      </c>
      <c r="E1573" s="417">
        <v>333903628000000</v>
      </c>
      <c r="F1573" s="418" t="s">
        <v>1042</v>
      </c>
      <c r="G1573" s="603">
        <v>1</v>
      </c>
      <c r="H1573" s="603">
        <v>0</v>
      </c>
      <c r="I1573" s="601">
        <v>332210600000000</v>
      </c>
      <c r="J1573" s="602"/>
      <c r="K1573" s="891">
        <v>0</v>
      </c>
      <c r="L1573" s="891">
        <v>0</v>
      </c>
      <c r="M1573" s="996">
        <f t="shared" si="282"/>
        <v>0</v>
      </c>
      <c r="P1573" s="461"/>
    </row>
    <row r="1574" spans="2:16" x14ac:dyDescent="0.25">
      <c r="B1574" s="599">
        <f>B1573+1</f>
        <v>160605</v>
      </c>
      <c r="C1574" s="600" t="s">
        <v>6062</v>
      </c>
      <c r="D1574" s="528" t="str">
        <f>D1573</f>
        <v>160600</v>
      </c>
      <c r="E1574" s="417">
        <v>333903699030000</v>
      </c>
      <c r="F1574" s="418" t="s">
        <v>5812</v>
      </c>
      <c r="G1574" s="603">
        <v>1</v>
      </c>
      <c r="H1574" s="603">
        <v>0</v>
      </c>
      <c r="I1574" s="601">
        <v>332219900000000</v>
      </c>
      <c r="J1574" s="602"/>
      <c r="K1574" s="891">
        <v>0</v>
      </c>
      <c r="L1574" s="891">
        <v>0</v>
      </c>
      <c r="M1574" s="996">
        <f t="shared" si="282"/>
        <v>0</v>
      </c>
      <c r="P1574" s="461"/>
    </row>
    <row r="1575" spans="2:16" s="115" customFormat="1" ht="30" x14ac:dyDescent="0.25">
      <c r="B1575" s="1398" t="s">
        <v>7835</v>
      </c>
      <c r="C1575" s="1398"/>
      <c r="D1575" s="1398"/>
      <c r="E1575" s="854">
        <v>333903900000000</v>
      </c>
      <c r="F1575" s="855" t="s">
        <v>10435</v>
      </c>
      <c r="G1575" s="468">
        <v>1</v>
      </c>
      <c r="H1575" s="468">
        <v>0</v>
      </c>
      <c r="I1575" s="751"/>
      <c r="J1575" s="878" t="s">
        <v>5825</v>
      </c>
      <c r="K1575" s="789">
        <f>('Parâmetros financeiros Despesa'!E752+'Parâmetros financeiros Despesa'!E753)</f>
        <v>0</v>
      </c>
      <c r="L1575" s="789">
        <f>('Parâmetros financeiros Despesa'!F752+'Parâmetros financeiros Despesa'!F753)*(1+'Parâmetros financeiros Despesa'!F$4)*(1+'Parâmetros financeiros Despesa'!F$7)</f>
        <v>10903.315000000001</v>
      </c>
      <c r="M1575" s="799">
        <f>L1575/L$1604</f>
        <v>8.7026471247602266E-2</v>
      </c>
      <c r="N1575" s="894"/>
      <c r="O1575" s="796"/>
    </row>
    <row r="1576" spans="2:16" x14ac:dyDescent="0.25">
      <c r="B1576" s="599">
        <f>B1575+1</f>
        <v>160701</v>
      </c>
      <c r="C1576" s="600" t="s">
        <v>6062</v>
      </c>
      <c r="D1576" s="528" t="str">
        <f>B1575</f>
        <v>160700</v>
      </c>
      <c r="E1576" s="417">
        <v>333903905000000</v>
      </c>
      <c r="F1576" s="418" t="s">
        <v>1151</v>
      </c>
      <c r="G1576" s="603">
        <v>1</v>
      </c>
      <c r="H1576" s="603">
        <v>0</v>
      </c>
      <c r="I1576" s="601">
        <v>332315100000000</v>
      </c>
      <c r="J1576" s="602"/>
      <c r="K1576" s="891">
        <v>0</v>
      </c>
      <c r="L1576" s="891">
        <v>0</v>
      </c>
      <c r="M1576" s="996">
        <f t="shared" ref="M1576:M1588" si="283">L1576/L$1604</f>
        <v>0</v>
      </c>
      <c r="P1576" s="461"/>
    </row>
    <row r="1577" spans="2:16" x14ac:dyDescent="0.25">
      <c r="B1577" s="599">
        <f>B1576+1</f>
        <v>160702</v>
      </c>
      <c r="C1577" s="600" t="s">
        <v>6062</v>
      </c>
      <c r="D1577" s="528" t="str">
        <f>D1576</f>
        <v>160700</v>
      </c>
      <c r="E1577" s="417">
        <v>333903919070000</v>
      </c>
      <c r="F1577" s="418" t="s">
        <v>5942</v>
      </c>
      <c r="G1577" s="603">
        <v>1</v>
      </c>
      <c r="H1577" s="603">
        <v>0</v>
      </c>
      <c r="I1577" s="601">
        <v>332310600000000</v>
      </c>
      <c r="J1577" s="602"/>
      <c r="K1577" s="891">
        <v>0</v>
      </c>
      <c r="L1577" s="891">
        <v>0</v>
      </c>
      <c r="M1577" s="996">
        <f t="shared" si="283"/>
        <v>0</v>
      </c>
      <c r="P1577" s="461"/>
    </row>
    <row r="1578" spans="2:16" x14ac:dyDescent="0.25">
      <c r="B1578" s="599">
        <f t="shared" ref="B1578:B1589" si="284">B1577+1</f>
        <v>160703</v>
      </c>
      <c r="C1578" s="600" t="s">
        <v>6062</v>
      </c>
      <c r="D1578" s="528" t="str">
        <f t="shared" ref="D1578:D1589" si="285">D1577</f>
        <v>160700</v>
      </c>
      <c r="E1578" s="417">
        <v>333903919270000</v>
      </c>
      <c r="F1578" s="418" t="s">
        <v>5944</v>
      </c>
      <c r="G1578" s="603">
        <v>1</v>
      </c>
      <c r="H1578" s="603">
        <v>0</v>
      </c>
      <c r="I1578" s="601">
        <v>332310600000000</v>
      </c>
      <c r="J1578" s="602"/>
      <c r="K1578" s="891">
        <v>0</v>
      </c>
      <c r="L1578" s="891">
        <v>0</v>
      </c>
      <c r="M1578" s="996">
        <f t="shared" si="283"/>
        <v>0</v>
      </c>
      <c r="P1578" s="461"/>
    </row>
    <row r="1579" spans="2:16" x14ac:dyDescent="0.25">
      <c r="B1579" s="599">
        <f t="shared" si="284"/>
        <v>160704</v>
      </c>
      <c r="C1579" s="600" t="s">
        <v>6062</v>
      </c>
      <c r="D1579" s="528" t="str">
        <f t="shared" si="285"/>
        <v>160700</v>
      </c>
      <c r="E1579" s="417">
        <v>333903943000000</v>
      </c>
      <c r="F1579" s="418" t="s">
        <v>2194</v>
      </c>
      <c r="G1579" s="603">
        <v>1</v>
      </c>
      <c r="H1579" s="603">
        <v>0</v>
      </c>
      <c r="I1579" s="601">
        <v>332310800000000</v>
      </c>
      <c r="J1579" s="602"/>
      <c r="K1579" s="891">
        <v>0</v>
      </c>
      <c r="L1579" s="891">
        <v>0</v>
      </c>
      <c r="M1579" s="996">
        <f t="shared" si="283"/>
        <v>0</v>
      </c>
      <c r="P1579" s="461"/>
    </row>
    <row r="1580" spans="2:16" x14ac:dyDescent="0.25">
      <c r="B1580" s="599">
        <f t="shared" si="284"/>
        <v>160705</v>
      </c>
      <c r="C1580" s="600" t="s">
        <v>6062</v>
      </c>
      <c r="D1580" s="528" t="str">
        <f t="shared" si="285"/>
        <v>160700</v>
      </c>
      <c r="E1580" s="417">
        <v>333903944000000</v>
      </c>
      <c r="F1580" s="418" t="s">
        <v>2207</v>
      </c>
      <c r="G1580" s="603">
        <v>1</v>
      </c>
      <c r="H1580" s="603">
        <v>0</v>
      </c>
      <c r="I1580" s="601">
        <v>332310800000000</v>
      </c>
      <c r="J1580" s="602"/>
      <c r="K1580" s="891">
        <v>0</v>
      </c>
      <c r="L1580" s="891">
        <v>0</v>
      </c>
      <c r="M1580" s="996">
        <f t="shared" si="283"/>
        <v>0</v>
      </c>
      <c r="P1580" s="461"/>
    </row>
    <row r="1581" spans="2:16" x14ac:dyDescent="0.25">
      <c r="B1581" s="599">
        <f t="shared" si="284"/>
        <v>160706</v>
      </c>
      <c r="C1581" s="600" t="s">
        <v>6062</v>
      </c>
      <c r="D1581" s="528" t="str">
        <f t="shared" si="285"/>
        <v>160700</v>
      </c>
      <c r="E1581" s="417">
        <v>333903948000000</v>
      </c>
      <c r="F1581" s="418" t="s">
        <v>2158</v>
      </c>
      <c r="G1581" s="603">
        <v>1</v>
      </c>
      <c r="H1581" s="603">
        <v>0</v>
      </c>
      <c r="I1581" s="601">
        <v>332313000000000</v>
      </c>
      <c r="J1581" s="602"/>
      <c r="K1581" s="891">
        <v>0</v>
      </c>
      <c r="L1581" s="891">
        <v>0</v>
      </c>
      <c r="M1581" s="996">
        <f t="shared" si="283"/>
        <v>0</v>
      </c>
      <c r="P1581" s="461"/>
    </row>
    <row r="1582" spans="2:16" x14ac:dyDescent="0.25">
      <c r="B1582" s="599">
        <f t="shared" si="284"/>
        <v>160707</v>
      </c>
      <c r="C1582" s="600" t="s">
        <v>6062</v>
      </c>
      <c r="D1582" s="528" t="str">
        <f t="shared" si="285"/>
        <v>160700</v>
      </c>
      <c r="E1582" s="417">
        <v>333903958010000</v>
      </c>
      <c r="F1582" s="418" t="s">
        <v>1041</v>
      </c>
      <c r="G1582" s="603">
        <v>1</v>
      </c>
      <c r="H1582" s="603">
        <v>0</v>
      </c>
      <c r="I1582" s="471">
        <v>332310400000000</v>
      </c>
      <c r="J1582" s="602"/>
      <c r="K1582" s="891">
        <v>0</v>
      </c>
      <c r="L1582" s="891">
        <v>0</v>
      </c>
      <c r="M1582" s="996">
        <f t="shared" si="283"/>
        <v>0</v>
      </c>
      <c r="P1582" s="461"/>
    </row>
    <row r="1583" spans="2:16" x14ac:dyDescent="0.25">
      <c r="B1583" s="599">
        <f t="shared" si="284"/>
        <v>160708</v>
      </c>
      <c r="C1583" s="600" t="s">
        <v>6062</v>
      </c>
      <c r="D1583" s="528" t="str">
        <f t="shared" si="285"/>
        <v>160700</v>
      </c>
      <c r="E1583" s="417">
        <v>333903958020000</v>
      </c>
      <c r="F1583" s="418" t="s">
        <v>1150</v>
      </c>
      <c r="G1583" s="603">
        <v>1</v>
      </c>
      <c r="H1583" s="603">
        <v>0</v>
      </c>
      <c r="I1583" s="471">
        <v>332310400000000</v>
      </c>
      <c r="J1583" s="602"/>
      <c r="K1583" s="891">
        <v>0</v>
      </c>
      <c r="L1583" s="891">
        <v>0</v>
      </c>
      <c r="M1583" s="996">
        <f t="shared" si="283"/>
        <v>0</v>
      </c>
      <c r="P1583" s="461"/>
    </row>
    <row r="1584" spans="2:16" x14ac:dyDescent="0.25">
      <c r="B1584" s="599">
        <f t="shared" si="284"/>
        <v>160709</v>
      </c>
      <c r="C1584" s="600" t="s">
        <v>6062</v>
      </c>
      <c r="D1584" s="528" t="str">
        <f t="shared" si="285"/>
        <v>160700</v>
      </c>
      <c r="E1584" s="417">
        <v>333903958030000</v>
      </c>
      <c r="F1584" s="418" t="s">
        <v>1183</v>
      </c>
      <c r="G1584" s="603">
        <v>1</v>
      </c>
      <c r="H1584" s="603">
        <v>0</v>
      </c>
      <c r="I1584" s="471">
        <v>332310400000000</v>
      </c>
      <c r="J1584" s="602"/>
      <c r="K1584" s="891">
        <v>0</v>
      </c>
      <c r="L1584" s="891">
        <v>0</v>
      </c>
      <c r="M1584" s="996">
        <f t="shared" si="283"/>
        <v>0</v>
      </c>
      <c r="P1584" s="461"/>
    </row>
    <row r="1585" spans="1:16" x14ac:dyDescent="0.25">
      <c r="B1585" s="599">
        <f t="shared" si="284"/>
        <v>160710</v>
      </c>
      <c r="C1585" s="600" t="s">
        <v>6062</v>
      </c>
      <c r="D1585" s="528" t="str">
        <f t="shared" si="285"/>
        <v>160700</v>
      </c>
      <c r="E1585" s="417">
        <v>333903963000000</v>
      </c>
      <c r="F1585" s="418" t="s">
        <v>2188</v>
      </c>
      <c r="G1585" s="603">
        <v>1</v>
      </c>
      <c r="H1585" s="603">
        <v>0</v>
      </c>
      <c r="I1585" s="601">
        <v>332314600000000</v>
      </c>
      <c r="J1585" s="602"/>
      <c r="K1585" s="891">
        <v>0</v>
      </c>
      <c r="L1585" s="891">
        <v>0</v>
      </c>
      <c r="M1585" s="996">
        <f t="shared" si="283"/>
        <v>0</v>
      </c>
      <c r="P1585" s="461"/>
    </row>
    <row r="1586" spans="1:16" x14ac:dyDescent="0.25">
      <c r="B1586" s="599">
        <f t="shared" si="284"/>
        <v>160711</v>
      </c>
      <c r="C1586" s="600" t="s">
        <v>6062</v>
      </c>
      <c r="D1586" s="528" t="str">
        <f t="shared" si="285"/>
        <v>160700</v>
      </c>
      <c r="E1586" s="417">
        <v>333903969070000</v>
      </c>
      <c r="F1586" s="418" t="s">
        <v>5943</v>
      </c>
      <c r="G1586" s="603">
        <v>1</v>
      </c>
      <c r="H1586" s="603">
        <v>0</v>
      </c>
      <c r="I1586" s="601">
        <v>332312900000000</v>
      </c>
      <c r="J1586" s="602"/>
      <c r="K1586" s="891">
        <v>0</v>
      </c>
      <c r="L1586" s="891">
        <v>0</v>
      </c>
      <c r="M1586" s="996">
        <f t="shared" si="283"/>
        <v>0</v>
      </c>
      <c r="P1586" s="461"/>
    </row>
    <row r="1587" spans="1:16" x14ac:dyDescent="0.25">
      <c r="B1587" s="599">
        <f t="shared" si="284"/>
        <v>160712</v>
      </c>
      <c r="C1587" s="600" t="s">
        <v>6062</v>
      </c>
      <c r="D1587" s="528" t="str">
        <f t="shared" si="285"/>
        <v>160700</v>
      </c>
      <c r="E1587" s="417">
        <v>333903995000000</v>
      </c>
      <c r="F1587" s="418" t="s">
        <v>2208</v>
      </c>
      <c r="G1587" s="603">
        <v>1</v>
      </c>
      <c r="H1587" s="603">
        <v>0</v>
      </c>
      <c r="I1587" s="601">
        <v>332311100000000</v>
      </c>
      <c r="J1587" s="602"/>
      <c r="K1587" s="891">
        <v>0</v>
      </c>
      <c r="L1587" s="891">
        <v>0</v>
      </c>
      <c r="M1587" s="996">
        <f t="shared" si="283"/>
        <v>0</v>
      </c>
      <c r="P1587" s="461"/>
    </row>
    <row r="1588" spans="1:16" x14ac:dyDescent="0.25">
      <c r="B1588" s="599">
        <f t="shared" si="284"/>
        <v>160713</v>
      </c>
      <c r="C1588" s="600" t="s">
        <v>6062</v>
      </c>
      <c r="D1588" s="528" t="str">
        <f t="shared" si="285"/>
        <v>160700</v>
      </c>
      <c r="E1588" s="417">
        <v>333903999010000</v>
      </c>
      <c r="F1588" s="418" t="s">
        <v>2195</v>
      </c>
      <c r="G1588" s="603">
        <v>1</v>
      </c>
      <c r="H1588" s="603">
        <v>0</v>
      </c>
      <c r="I1588" s="601">
        <v>332310700000000</v>
      </c>
      <c r="J1588" s="602"/>
      <c r="K1588" s="891">
        <v>0</v>
      </c>
      <c r="L1588" s="891">
        <v>0</v>
      </c>
      <c r="M1588" s="996">
        <f t="shared" si="283"/>
        <v>0</v>
      </c>
      <c r="P1588" s="461"/>
    </row>
    <row r="1589" spans="1:16" x14ac:dyDescent="0.25">
      <c r="B1589" s="599">
        <f t="shared" si="284"/>
        <v>160714</v>
      </c>
      <c r="C1589" s="600" t="s">
        <v>6062</v>
      </c>
      <c r="D1589" s="528" t="str">
        <f t="shared" si="285"/>
        <v>160700</v>
      </c>
      <c r="E1589" s="417">
        <v>333903999040000</v>
      </c>
      <c r="F1589" s="418" t="s">
        <v>2193</v>
      </c>
      <c r="G1589" s="603">
        <v>1</v>
      </c>
      <c r="H1589" s="603">
        <v>0</v>
      </c>
      <c r="I1589" s="601">
        <v>332319900000000</v>
      </c>
      <c r="J1589" s="602"/>
      <c r="K1589" s="891">
        <v>0</v>
      </c>
      <c r="L1589" s="891">
        <v>0</v>
      </c>
      <c r="M1589" s="996">
        <f>L1589/L$1604</f>
        <v>0</v>
      </c>
      <c r="P1589" s="461"/>
    </row>
    <row r="1590" spans="1:16" s="115" customFormat="1" x14ac:dyDescent="0.25">
      <c r="B1590" s="1398" t="s">
        <v>7837</v>
      </c>
      <c r="C1590" s="1398"/>
      <c r="D1590" s="1398"/>
      <c r="E1590" s="854">
        <v>333904700000000</v>
      </c>
      <c r="F1590" s="855" t="s">
        <v>10436</v>
      </c>
      <c r="G1590" s="468">
        <v>1</v>
      </c>
      <c r="H1590" s="468">
        <v>0</v>
      </c>
      <c r="I1590" s="751"/>
      <c r="J1590" s="878" t="s">
        <v>5722</v>
      </c>
      <c r="K1590" s="789">
        <f>'Parâmetros financeiros Despesa'!E758</f>
        <v>275.36447499999997</v>
      </c>
      <c r="L1590" s="789">
        <f>(('Parâmetros financeiros Despesa'!F747+'Parâmetros financeiros Despesa'!F750+'Parâmetros financeiros Despesa'!F753)*(1+'Parâmetros financeiros Despesa'!F$4)*(1+'Parâmetros financeiros Despesa'!F$7))*('Parâmetros financeiros Despesa'!F$83)</f>
        <v>1526.4641000000001</v>
      </c>
      <c r="M1590" s="799">
        <f>L1590/L$1604</f>
        <v>1.2183705974664318E-2</v>
      </c>
      <c r="N1590" s="894"/>
      <c r="O1590" s="796"/>
    </row>
    <row r="1591" spans="1:16" x14ac:dyDescent="0.25">
      <c r="B1591" s="599">
        <f>B1590+1</f>
        <v>160801</v>
      </c>
      <c r="C1591" s="600" t="s">
        <v>6062</v>
      </c>
      <c r="D1591" s="528" t="str">
        <f>B1590</f>
        <v>160800</v>
      </c>
      <c r="E1591" s="417">
        <v>333904718000000</v>
      </c>
      <c r="F1591" s="418" t="s">
        <v>5904</v>
      </c>
      <c r="G1591" s="603">
        <v>1</v>
      </c>
      <c r="H1591" s="603">
        <v>0</v>
      </c>
      <c r="I1591" s="601">
        <v>372110400000000</v>
      </c>
      <c r="J1591" s="602" t="s">
        <v>5784</v>
      </c>
      <c r="K1591" s="891">
        <v>0</v>
      </c>
      <c r="L1591" s="891">
        <v>0</v>
      </c>
      <c r="M1591" s="996">
        <f t="shared" ref="M1591:M1594" si="286">L1591/L$1604</f>
        <v>0</v>
      </c>
      <c r="P1591" s="461"/>
    </row>
    <row r="1592" spans="1:16" x14ac:dyDescent="0.25">
      <c r="B1592" s="599">
        <f>B1591+1</f>
        <v>160802</v>
      </c>
      <c r="C1592" s="600" t="s">
        <v>6062</v>
      </c>
      <c r="D1592" s="528" t="str">
        <f>D1591</f>
        <v>160800</v>
      </c>
      <c r="E1592" s="417">
        <v>333904718000000</v>
      </c>
      <c r="F1592" s="418" t="s">
        <v>2224</v>
      </c>
      <c r="G1592" s="603">
        <v>1</v>
      </c>
      <c r="H1592" s="603">
        <v>0</v>
      </c>
      <c r="I1592" s="601">
        <v>372110400000000</v>
      </c>
      <c r="J1592" s="602" t="s">
        <v>5784</v>
      </c>
      <c r="K1592" s="891">
        <v>0</v>
      </c>
      <c r="L1592" s="891">
        <v>0</v>
      </c>
      <c r="M1592" s="996">
        <f t="shared" si="286"/>
        <v>0</v>
      </c>
      <c r="P1592" s="461"/>
    </row>
    <row r="1593" spans="1:16" x14ac:dyDescent="0.25">
      <c r="B1593" s="599">
        <f>B1592+1</f>
        <v>160803</v>
      </c>
      <c r="C1593" s="600" t="s">
        <v>6062</v>
      </c>
      <c r="D1593" s="528" t="str">
        <f>D1592</f>
        <v>160800</v>
      </c>
      <c r="E1593" s="417">
        <v>333904720000000</v>
      </c>
      <c r="F1593" s="418" t="s">
        <v>5905</v>
      </c>
      <c r="G1593" s="603">
        <v>1</v>
      </c>
      <c r="H1593" s="603">
        <v>0</v>
      </c>
      <c r="I1593" s="601">
        <v>372110500000000</v>
      </c>
      <c r="J1593" s="602" t="s">
        <v>5816</v>
      </c>
      <c r="K1593" s="891">
        <v>0</v>
      </c>
      <c r="L1593" s="891">
        <v>0</v>
      </c>
      <c r="M1593" s="996">
        <f t="shared" si="286"/>
        <v>0</v>
      </c>
      <c r="P1593" s="461"/>
    </row>
    <row r="1594" spans="1:16" x14ac:dyDescent="0.25">
      <c r="B1594" s="599">
        <f>B1593+1</f>
        <v>160804</v>
      </c>
      <c r="C1594" s="600" t="s">
        <v>6062</v>
      </c>
      <c r="D1594" s="528" t="str">
        <f>D1593</f>
        <v>160800</v>
      </c>
      <c r="E1594" s="417">
        <v>333904720000000</v>
      </c>
      <c r="F1594" s="418" t="s">
        <v>5945</v>
      </c>
      <c r="G1594" s="603">
        <v>1</v>
      </c>
      <c r="H1594" s="603">
        <v>0</v>
      </c>
      <c r="I1594" s="601">
        <v>372110500000000</v>
      </c>
      <c r="J1594" s="602" t="s">
        <v>5816</v>
      </c>
      <c r="K1594" s="891">
        <v>0</v>
      </c>
      <c r="L1594" s="891">
        <v>0</v>
      </c>
      <c r="M1594" s="996">
        <f t="shared" si="286"/>
        <v>0</v>
      </c>
      <c r="P1594" s="461"/>
    </row>
    <row r="1595" spans="1:16" s="115" customFormat="1" x14ac:dyDescent="0.25">
      <c r="B1595" s="1398" t="s">
        <v>7838</v>
      </c>
      <c r="C1595" s="1398"/>
      <c r="D1595" s="1398"/>
      <c r="E1595" s="854">
        <v>333904900000000</v>
      </c>
      <c r="F1595" s="855" t="s">
        <v>10437</v>
      </c>
      <c r="G1595" s="468">
        <v>1</v>
      </c>
      <c r="H1595" s="468">
        <v>0</v>
      </c>
      <c r="I1595" s="751"/>
      <c r="J1595" s="878" t="s">
        <v>5722</v>
      </c>
      <c r="K1595" s="789">
        <f>('Parâmetros financeiros Despesa'!E754)*2+(('Parâmetros financeiros Despesa'!E754)*10)</f>
        <v>0</v>
      </c>
      <c r="L1595" s="789">
        <f>('Parâmetros financeiros Despesa'!F754)*2+(('Parâmetros financeiros Despesa'!F754)*10)*(1+'Parâmetros financeiros Despesa'!F$4)*(1+'Parâmetros financeiros Despesa'!F$8)</f>
        <v>627.74071632197365</v>
      </c>
      <c r="M1595" s="799">
        <f t="shared" ref="M1595:M1601" si="287">L1595/L$1604</f>
        <v>5.0104082473948052E-3</v>
      </c>
      <c r="N1595" s="894"/>
      <c r="O1595" s="796"/>
    </row>
    <row r="1596" spans="1:16" x14ac:dyDescent="0.25">
      <c r="B1596" s="599">
        <f>B1595+1</f>
        <v>160901</v>
      </c>
      <c r="C1596" s="600" t="s">
        <v>6062</v>
      </c>
      <c r="D1596" s="528" t="str">
        <f>B1595</f>
        <v>160900</v>
      </c>
      <c r="E1596" s="417">
        <v>333904901000000</v>
      </c>
      <c r="F1596" s="418" t="s">
        <v>6042</v>
      </c>
      <c r="G1596" s="603">
        <v>1</v>
      </c>
      <c r="H1596" s="603">
        <v>0</v>
      </c>
      <c r="I1596" s="601">
        <v>313110200000000</v>
      </c>
      <c r="J1596" s="602" t="s">
        <v>5820</v>
      </c>
      <c r="K1596" s="891">
        <v>0</v>
      </c>
      <c r="L1596" s="891">
        <v>0</v>
      </c>
      <c r="M1596" s="996">
        <f t="shared" si="287"/>
        <v>0</v>
      </c>
      <c r="P1596" s="461"/>
    </row>
    <row r="1597" spans="1:16" s="115" customFormat="1" x14ac:dyDescent="0.25">
      <c r="B1597" s="1398" t="s">
        <v>7839</v>
      </c>
      <c r="C1597" s="1398"/>
      <c r="D1597" s="1398"/>
      <c r="E1597" s="854">
        <v>333909300000000</v>
      </c>
      <c r="F1597" s="855" t="s">
        <v>10438</v>
      </c>
      <c r="G1597" s="468">
        <v>1</v>
      </c>
      <c r="H1597" s="468">
        <v>0</v>
      </c>
      <c r="I1597" s="751"/>
      <c r="J1597" s="878" t="s">
        <v>5722</v>
      </c>
      <c r="K1597" s="789">
        <f>('Parâmetros financeiros Despesa'!E755)</f>
        <v>0</v>
      </c>
      <c r="L1597" s="789">
        <f>('Parâmetros financeiros Despesa'!F755)*(1+'Parâmetros financeiros Despesa'!F$4)*(1+'Parâmetros financeiros Despesa'!F$7)</f>
        <v>1090.3315</v>
      </c>
      <c r="M1597" s="799">
        <f t="shared" si="287"/>
        <v>8.7026471247602256E-3</v>
      </c>
      <c r="N1597" s="894"/>
      <c r="O1597" s="796"/>
    </row>
    <row r="1598" spans="1:16" x14ac:dyDescent="0.25">
      <c r="B1598" s="599">
        <f>B1597+1</f>
        <v>161001</v>
      </c>
      <c r="C1598" s="600" t="s">
        <v>6062</v>
      </c>
      <c r="D1598" s="528" t="str">
        <f>B1597</f>
        <v>161000</v>
      </c>
      <c r="E1598" s="417">
        <v>333909399000000</v>
      </c>
      <c r="F1598" s="418" t="s">
        <v>1038</v>
      </c>
      <c r="G1598" s="603">
        <v>1</v>
      </c>
      <c r="H1598" s="603">
        <v>0</v>
      </c>
      <c r="I1598" s="601">
        <v>399910300000000</v>
      </c>
      <c r="J1598" s="602" t="s">
        <v>5820</v>
      </c>
      <c r="K1598" s="891">
        <v>0</v>
      </c>
      <c r="L1598" s="891">
        <v>0</v>
      </c>
      <c r="M1598" s="996">
        <f t="shared" si="287"/>
        <v>0</v>
      </c>
      <c r="P1598" s="461"/>
    </row>
    <row r="1599" spans="1:16" s="115" customFormat="1" ht="15" customHeight="1" x14ac:dyDescent="0.25">
      <c r="A1599" s="396"/>
      <c r="B1599" s="1398" t="s">
        <v>7840</v>
      </c>
      <c r="C1599" s="1398"/>
      <c r="D1599" s="1398"/>
      <c r="E1599" s="854">
        <v>333933000000000</v>
      </c>
      <c r="F1599" s="855" t="s">
        <v>10439</v>
      </c>
      <c r="G1599" s="468">
        <v>1</v>
      </c>
      <c r="H1599" s="468">
        <v>0</v>
      </c>
      <c r="I1599" s="751"/>
      <c r="J1599" s="878" t="s">
        <v>6197</v>
      </c>
      <c r="K1599" s="789">
        <f>('Parâmetros financeiros Despesa'!E756)</f>
        <v>0</v>
      </c>
      <c r="L1599" s="789">
        <f>('Parâmetros financeiros Despesa'!F756)*(1+'Parâmetros financeiros Despesa'!F$4)*(1+'Parâmetros financeiros Despesa'!F$7)</f>
        <v>3270.9945000000002</v>
      </c>
      <c r="M1599" s="799">
        <f t="shared" si="287"/>
        <v>2.6107941374280678E-2</v>
      </c>
      <c r="N1599" s="894"/>
      <c r="O1599" s="796"/>
      <c r="P1599" s="733"/>
    </row>
    <row r="1600" spans="1:16" s="115" customFormat="1" ht="15" customHeight="1" x14ac:dyDescent="0.25">
      <c r="A1600" s="396"/>
      <c r="B1600" s="1398" t="s">
        <v>7841</v>
      </c>
      <c r="C1600" s="1398"/>
      <c r="D1600" s="1398"/>
      <c r="E1600" s="854">
        <v>344905200000000</v>
      </c>
      <c r="F1600" s="855" t="s">
        <v>10440</v>
      </c>
      <c r="G1600" s="468">
        <v>1</v>
      </c>
      <c r="H1600" s="468">
        <v>0</v>
      </c>
      <c r="I1600" s="751"/>
      <c r="J1600" s="878" t="s">
        <v>7718</v>
      </c>
      <c r="K1600" s="789">
        <f>('Parâmetros financeiros Despesa'!E757)</f>
        <v>0</v>
      </c>
      <c r="L1600" s="789">
        <f>('Parâmetros financeiros Despesa'!F757)*(1+'Parâmetros financeiros Despesa'!F$4)*(1+'Parâmetros financeiros Despesa'!F$7)</f>
        <v>4361.326</v>
      </c>
      <c r="M1600" s="799">
        <f t="shared" si="287"/>
        <v>3.4810588499040902E-2</v>
      </c>
      <c r="N1600" s="894"/>
      <c r="O1600" s="796"/>
      <c r="P1600" s="733"/>
    </row>
    <row r="1601" spans="1:20" s="820" customFormat="1" ht="15" customHeight="1" x14ac:dyDescent="0.25">
      <c r="B1601" s="864" t="s">
        <v>22</v>
      </c>
      <c r="C1601" s="864"/>
      <c r="D1601" s="864"/>
      <c r="E1601" s="864"/>
      <c r="F1601" s="864"/>
      <c r="G1601" s="864"/>
      <c r="H1601" s="864"/>
      <c r="I1601" s="864"/>
      <c r="J1601" s="864"/>
      <c r="K1601" s="863">
        <f>K1525</f>
        <v>84689.655274999997</v>
      </c>
      <c r="L1601" s="863">
        <f>L1525</f>
        <v>125287.33894056869</v>
      </c>
      <c r="M1601" s="452">
        <f t="shared" si="287"/>
        <v>1</v>
      </c>
      <c r="N1601" s="796"/>
      <c r="P1601" s="399"/>
    </row>
    <row r="1602" spans="1:20" s="820" customFormat="1" ht="15" customHeight="1" x14ac:dyDescent="0.25">
      <c r="B1602" s="864" t="s">
        <v>11469</v>
      </c>
      <c r="C1602" s="864"/>
      <c r="D1602" s="864"/>
      <c r="E1602" s="864"/>
      <c r="F1602" s="864"/>
      <c r="G1602" s="864"/>
      <c r="H1602" s="864"/>
      <c r="I1602" s="864"/>
      <c r="J1602" s="864"/>
      <c r="K1602" s="863"/>
      <c r="L1602" s="863"/>
      <c r="M1602" s="452"/>
      <c r="N1602" s="796"/>
      <c r="P1602" s="399"/>
    </row>
    <row r="1603" spans="1:20" s="31" customFormat="1" ht="15" customHeight="1" x14ac:dyDescent="0.25">
      <c r="B1603" s="869" t="s">
        <v>745</v>
      </c>
      <c r="C1603" s="869"/>
      <c r="D1603" s="869"/>
      <c r="E1603" s="869"/>
      <c r="F1603" s="869"/>
      <c r="G1603" s="869"/>
      <c r="H1603" s="869"/>
      <c r="I1603" s="869"/>
      <c r="J1603" s="869"/>
      <c r="K1603" s="870">
        <f>K1601</f>
        <v>84689.655274999997</v>
      </c>
      <c r="L1603" s="870">
        <f>L1601</f>
        <v>125287.33894056869</v>
      </c>
      <c r="M1603" s="871">
        <f>L1603/L$1604</f>
        <v>1</v>
      </c>
      <c r="N1603" s="897"/>
      <c r="P1603" s="736"/>
    </row>
    <row r="1604" spans="1:20" s="115" customFormat="1" ht="15" customHeight="1" x14ac:dyDescent="0.25">
      <c r="B1604" s="864" t="s">
        <v>2172</v>
      </c>
      <c r="C1604" s="864"/>
      <c r="D1604" s="864"/>
      <c r="E1604" s="864"/>
      <c r="F1604" s="864"/>
      <c r="G1604" s="864"/>
      <c r="H1604" s="864"/>
      <c r="I1604" s="864"/>
      <c r="J1604" s="864"/>
      <c r="K1604" s="863">
        <f>SUM(K1603:K1603)</f>
        <v>84689.655274999997</v>
      </c>
      <c r="L1604" s="863">
        <f>SUM(L1603:L1603)</f>
        <v>125287.33894056869</v>
      </c>
      <c r="M1604" s="452">
        <f>L1604/L$1604</f>
        <v>1</v>
      </c>
      <c r="O1604" s="796"/>
      <c r="P1604" s="733"/>
    </row>
    <row r="1606" spans="1:20" s="731" customFormat="1" ht="21" customHeight="1" x14ac:dyDescent="0.25">
      <c r="B1606" s="1371" t="s">
        <v>989</v>
      </c>
      <c r="C1606" s="1371"/>
      <c r="D1606" s="1371"/>
      <c r="E1606" s="1371" t="s">
        <v>6887</v>
      </c>
      <c r="F1606" s="1371"/>
      <c r="G1606" s="1371"/>
      <c r="H1606" s="1371"/>
      <c r="I1606" s="1371"/>
      <c r="J1606" s="437"/>
      <c r="K1606" s="940"/>
      <c r="L1606" s="438"/>
      <c r="M1606" s="449"/>
      <c r="N1606" s="796"/>
      <c r="P1606" s="399"/>
    </row>
    <row r="1607" spans="1:20" s="731" customFormat="1" ht="19.5" customHeight="1" x14ac:dyDescent="0.25">
      <c r="B1607" s="1371" t="s">
        <v>458</v>
      </c>
      <c r="C1607" s="1371"/>
      <c r="D1607" s="1371"/>
      <c r="E1607" s="1371" t="s">
        <v>7883</v>
      </c>
      <c r="F1607" s="1371"/>
      <c r="G1607" s="1371"/>
      <c r="H1607" s="1371"/>
      <c r="I1607" s="1371"/>
      <c r="J1607" s="437"/>
      <c r="K1607" s="940"/>
      <c r="L1607" s="438"/>
      <c r="M1607" s="449"/>
      <c r="N1607" s="796"/>
      <c r="P1607" s="399"/>
    </row>
    <row r="1608" spans="1:20" s="731" customFormat="1" ht="15.75" x14ac:dyDescent="0.25">
      <c r="B1608" s="1403" t="s">
        <v>5764</v>
      </c>
      <c r="C1608" s="1403"/>
      <c r="D1608" s="1403"/>
      <c r="E1608" s="1371" t="s">
        <v>749</v>
      </c>
      <c r="F1608" s="1371"/>
      <c r="G1608" s="1371"/>
      <c r="H1608" s="1371"/>
      <c r="I1608" s="1371"/>
      <c r="J1608" s="440"/>
      <c r="K1608" s="941"/>
      <c r="L1608" s="438"/>
      <c r="M1608" s="449"/>
      <c r="N1608" s="796"/>
      <c r="P1608" s="399"/>
    </row>
    <row r="1609" spans="1:20" s="851" customFormat="1" ht="113.25" customHeight="1" x14ac:dyDescent="0.25">
      <c r="A1609" s="396"/>
      <c r="B1609" s="1400" t="s">
        <v>2296</v>
      </c>
      <c r="C1609" s="1400"/>
      <c r="D1609" s="1400"/>
      <c r="E1609" s="1384" t="s">
        <v>2297</v>
      </c>
      <c r="F1609" s="1384"/>
      <c r="G1609" s="443" t="s">
        <v>444</v>
      </c>
      <c r="H1609" s="443" t="s">
        <v>2245</v>
      </c>
      <c r="I1609" s="444" t="s">
        <v>5725</v>
      </c>
      <c r="J1609" s="849" t="s">
        <v>2275</v>
      </c>
      <c r="K1609" s="893" t="s">
        <v>11644</v>
      </c>
      <c r="L1609" s="951" t="s">
        <v>11522</v>
      </c>
      <c r="M1609" s="450" t="s">
        <v>235</v>
      </c>
      <c r="N1609" s="796"/>
      <c r="P1609" s="399"/>
    </row>
    <row r="1610" spans="1:20" s="731" customFormat="1" x14ac:dyDescent="0.25">
      <c r="B1610" s="1385" t="s">
        <v>7855</v>
      </c>
      <c r="C1610" s="1385"/>
      <c r="D1610" s="1385"/>
      <c r="E1610" s="1385"/>
      <c r="F1610" s="1385"/>
      <c r="G1610" s="401"/>
      <c r="H1610" s="401"/>
      <c r="I1610" s="426"/>
      <c r="J1610" s="411"/>
      <c r="K1610" s="402">
        <f t="shared" ref="K1610:L1612" si="288">K1611</f>
        <v>228011.61547500003</v>
      </c>
      <c r="L1610" s="402">
        <f t="shared" si="288"/>
        <v>366983.6830326512</v>
      </c>
      <c r="M1610" s="451">
        <f>L1610/L$1650</f>
        <v>0.95733542172878738</v>
      </c>
      <c r="N1610" s="796"/>
      <c r="P1610" s="399"/>
    </row>
    <row r="1611" spans="1:20" s="731" customFormat="1" x14ac:dyDescent="0.25">
      <c r="B1611" s="1386" t="s">
        <v>7858</v>
      </c>
      <c r="C1611" s="1386"/>
      <c r="D1611" s="1386"/>
      <c r="E1611" s="1386"/>
      <c r="F1611" s="1386"/>
      <c r="G1611" s="403"/>
      <c r="H1611" s="403"/>
      <c r="I1611" s="427"/>
      <c r="J1611" s="412"/>
      <c r="K1611" s="404">
        <f t="shared" si="288"/>
        <v>228011.61547500003</v>
      </c>
      <c r="L1611" s="404">
        <f t="shared" si="288"/>
        <v>366983.6830326512</v>
      </c>
      <c r="M1611" s="452">
        <f>L1611/L$1650</f>
        <v>0.95733542172878738</v>
      </c>
      <c r="N1611" s="796"/>
      <c r="P1611" s="399"/>
    </row>
    <row r="1612" spans="1:20" s="731" customFormat="1" x14ac:dyDescent="0.25">
      <c r="B1612" s="1382" t="s">
        <v>7856</v>
      </c>
      <c r="C1612" s="1382"/>
      <c r="D1612" s="1382"/>
      <c r="E1612" s="1382"/>
      <c r="F1612" s="1382"/>
      <c r="G1612" s="405"/>
      <c r="H1612" s="405"/>
      <c r="I1612" s="428"/>
      <c r="J1612" s="413"/>
      <c r="K1612" s="406">
        <f t="shared" si="288"/>
        <v>228011.61547500003</v>
      </c>
      <c r="L1612" s="406">
        <f t="shared" si="288"/>
        <v>366983.6830326512</v>
      </c>
      <c r="M1612" s="453">
        <f>L1612/L$1650</f>
        <v>0.95733542172878738</v>
      </c>
      <c r="N1612" s="796"/>
      <c r="P1612" s="399"/>
    </row>
    <row r="1613" spans="1:20" s="731" customFormat="1" x14ac:dyDescent="0.25">
      <c r="B1613" s="1383" t="s">
        <v>7857</v>
      </c>
      <c r="C1613" s="1383"/>
      <c r="D1613" s="1383"/>
      <c r="E1613" s="1383"/>
      <c r="F1613" s="1383"/>
      <c r="G1613" s="407"/>
      <c r="H1613" s="407"/>
      <c r="I1613" s="429"/>
      <c r="J1613" s="414"/>
      <c r="K1613" s="408">
        <f>K1614+K1616+K1617+K1619+K1620+K1621+K1622+K1628+K1632+K1636+K1638+K1640-0.01</f>
        <v>228011.61547500003</v>
      </c>
      <c r="L1613" s="408">
        <f>L1614+L1616+L1617+L1619+L1620+L1621+L1622+L1628+L1632+L1636+L1638+L1640-0.01</f>
        <v>366983.6830326512</v>
      </c>
      <c r="M1613" s="454">
        <f>L1613/L$1650</f>
        <v>0.95733542172878738</v>
      </c>
      <c r="N1613" s="796"/>
      <c r="P1613" s="399"/>
    </row>
    <row r="1614" spans="1:20" s="115" customFormat="1" ht="15" customHeight="1" x14ac:dyDescent="0.25">
      <c r="B1614" s="1398" t="s">
        <v>7859</v>
      </c>
      <c r="C1614" s="1398"/>
      <c r="D1614" s="1398"/>
      <c r="E1614" s="854">
        <v>331900800000000</v>
      </c>
      <c r="F1614" s="855" t="s">
        <v>7884</v>
      </c>
      <c r="G1614" s="468">
        <v>1</v>
      </c>
      <c r="H1614" s="468">
        <v>0</v>
      </c>
      <c r="I1614" s="751"/>
      <c r="J1614" s="878" t="s">
        <v>7860</v>
      </c>
      <c r="K1614" s="789">
        <f>'Parâmetros financeiros Despesa'!E763</f>
        <v>72113.400475000017</v>
      </c>
      <c r="L1614" s="789">
        <f>('Parâmetros financeiros Despesa'!F763)*2.05+(('Parâmetros financeiros Despesa'!F763)*11.28)*(1+'Parâmetros financeiros Despesa'!F$4)*(1+'Parâmetros financeiros Despesa'!F$8)</f>
        <v>75499.054624955548</v>
      </c>
      <c r="M1614" s="799">
        <f>L1614/L$1650</f>
        <v>0.19695131593378193</v>
      </c>
      <c r="N1614" s="898"/>
      <c r="O1614" s="463"/>
      <c r="P1614" s="733"/>
      <c r="R1614" s="463"/>
      <c r="S1614" s="463"/>
      <c r="T1614" s="463"/>
    </row>
    <row r="1615" spans="1:20" ht="15" customHeight="1" x14ac:dyDescent="0.25">
      <c r="B1615" s="599">
        <f>B1614+1</f>
        <v>162001</v>
      </c>
      <c r="C1615" s="600" t="s">
        <v>6062</v>
      </c>
      <c r="D1615" s="528" t="str">
        <f>B1614</f>
        <v>162000</v>
      </c>
      <c r="E1615" s="417">
        <v>331900899040000</v>
      </c>
      <c r="F1615" s="418" t="s">
        <v>7842</v>
      </c>
      <c r="G1615" s="603">
        <v>1</v>
      </c>
      <c r="H1615" s="603">
        <v>0</v>
      </c>
      <c r="I1615" s="601">
        <v>312940100000000</v>
      </c>
      <c r="J1615" s="602" t="s">
        <v>7861</v>
      </c>
      <c r="K1615" s="891">
        <v>0</v>
      </c>
      <c r="L1615" s="891">
        <v>0</v>
      </c>
      <c r="M1615" s="477">
        <f t="shared" ref="M1615:M1637" si="289">L1615/L$1650</f>
        <v>0</v>
      </c>
      <c r="N1615" s="899"/>
      <c r="O1615" s="398"/>
      <c r="R1615" s="398"/>
      <c r="S1615" s="398"/>
      <c r="T1615" s="398"/>
    </row>
    <row r="1616" spans="1:20" s="115" customFormat="1" ht="15" customHeight="1" x14ac:dyDescent="0.25">
      <c r="B1616" s="1398" t="s">
        <v>7873</v>
      </c>
      <c r="C1616" s="1398"/>
      <c r="D1616" s="1398"/>
      <c r="E1616" s="854">
        <v>331901300000000</v>
      </c>
      <c r="F1616" s="855" t="s">
        <v>7843</v>
      </c>
      <c r="G1616" s="468">
        <v>1</v>
      </c>
      <c r="H1616" s="468">
        <v>0</v>
      </c>
      <c r="I1616" s="751"/>
      <c r="J1616" s="878" t="s">
        <v>7860</v>
      </c>
      <c r="K1616" s="789">
        <f>('Parâmetros financeiros Despesa'!E765)</f>
        <v>0</v>
      </c>
      <c r="L1616" s="789">
        <f>('Parâmetros financeiros Despesa'!F765)*(1+'Parâmetros financeiros Despesa'!F$4)*(1+'Parâmetros financeiros Despesa'!F$7)</f>
        <v>3270.9945000000002</v>
      </c>
      <c r="M1616" s="799">
        <f t="shared" si="289"/>
        <v>8.5329104369237987E-3</v>
      </c>
      <c r="N1616" s="898"/>
      <c r="O1616" s="463"/>
      <c r="P1616" s="733"/>
      <c r="R1616" s="463"/>
      <c r="S1616" s="463"/>
      <c r="T1616" s="463"/>
    </row>
    <row r="1617" spans="2:20" s="115" customFormat="1" ht="15" customHeight="1" x14ac:dyDescent="0.25">
      <c r="B1617" s="1398" t="s">
        <v>7874</v>
      </c>
      <c r="C1617" s="1398"/>
      <c r="D1617" s="1398"/>
      <c r="E1617" s="854">
        <v>331909100000000</v>
      </c>
      <c r="F1617" s="855" t="s">
        <v>7844</v>
      </c>
      <c r="G1617" s="468">
        <v>1</v>
      </c>
      <c r="H1617" s="468">
        <v>0</v>
      </c>
      <c r="I1617" s="751"/>
      <c r="J1617" s="878" t="s">
        <v>7860</v>
      </c>
      <c r="K1617" s="789">
        <f>('Parâmetros financeiros Despesa'!E766+'Parâmetros financeiros Despesa'!E768+'Parâmetros financeiros Despesa'!E769+'Parâmetros financeiros Despesa'!E767)</f>
        <v>809.16</v>
      </c>
      <c r="L1617" s="789">
        <f>('Parâmetros financeiros Despesa'!F766+'Parâmetros financeiros Despesa'!F768+'Parâmetros financeiros Despesa'!F769+'Parâmetros financeiros Despesa'!F767)*(1+'Parâmetros financeiros Despesa'!F$4)*(1+'Parâmetros financeiros Despesa'!F$7)</f>
        <v>48002.825585850005</v>
      </c>
      <c r="M1617" s="799">
        <f t="shared" si="289"/>
        <v>0.12522302053498782</v>
      </c>
      <c r="N1617" s="898"/>
      <c r="O1617" s="463"/>
      <c r="P1617" s="733"/>
      <c r="R1617" s="463"/>
      <c r="S1617" s="463"/>
      <c r="T1617" s="469"/>
    </row>
    <row r="1618" spans="2:20" s="115" customFormat="1" ht="15" customHeight="1" x14ac:dyDescent="0.25">
      <c r="B1618" s="599">
        <f>B1617+1</f>
        <v>162201</v>
      </c>
      <c r="C1618" s="600" t="s">
        <v>6062</v>
      </c>
      <c r="D1618" s="528" t="str">
        <f>B1617</f>
        <v>162200</v>
      </c>
      <c r="E1618" s="854">
        <v>331909106000000</v>
      </c>
      <c r="F1618" s="855" t="s">
        <v>7844</v>
      </c>
      <c r="G1618" s="468">
        <v>1</v>
      </c>
      <c r="H1618" s="468">
        <v>0</v>
      </c>
      <c r="I1618" s="751">
        <v>311210300000000</v>
      </c>
      <c r="J1618" s="602" t="s">
        <v>7862</v>
      </c>
      <c r="K1618" s="891">
        <v>0</v>
      </c>
      <c r="L1618" s="789">
        <f>('Parâmetros financeiros Despesa'!F2353)*((1+'Parâmetros financeiros Despesa'!F2222)*(1+'Parâmetros financeiros Despesa'!F2225)*(1+'Parâmetros financeiros Despesa'!F2295))</f>
        <v>0</v>
      </c>
      <c r="M1618" s="799">
        <f t="shared" si="289"/>
        <v>0</v>
      </c>
      <c r="N1618" s="898"/>
      <c r="O1618" s="463"/>
      <c r="P1618" s="733"/>
      <c r="R1618" s="463"/>
      <c r="S1618" s="463"/>
      <c r="T1618" s="463"/>
    </row>
    <row r="1619" spans="2:20" s="115" customFormat="1" ht="15" customHeight="1" x14ac:dyDescent="0.25">
      <c r="B1619" s="1398" t="s">
        <v>7875</v>
      </c>
      <c r="C1619" s="1398"/>
      <c r="D1619" s="1398"/>
      <c r="E1619" s="854">
        <v>332902100000000</v>
      </c>
      <c r="F1619" s="855" t="s">
        <v>4984</v>
      </c>
      <c r="G1619" s="468">
        <v>1</v>
      </c>
      <c r="H1619" s="468">
        <v>0</v>
      </c>
      <c r="I1619" s="751"/>
      <c r="J1619" s="878" t="s">
        <v>7860</v>
      </c>
      <c r="K1619" s="789">
        <f>('Parâmetros financeiros Despesa'!E770)</f>
        <v>0</v>
      </c>
      <c r="L1619" s="789">
        <f>('Parâmetros financeiros Despesa'!F770)*(1+'Parâmetros financeiros Despesa'!F$4)*(1+'Parâmetros financeiros Despesa'!F$7)</f>
        <v>1.0903315</v>
      </c>
      <c r="M1619" s="799">
        <f t="shared" si="289"/>
        <v>2.8443034789745992E-6</v>
      </c>
      <c r="N1619" s="898"/>
      <c r="O1619" s="463"/>
      <c r="P1619" s="733"/>
      <c r="R1619" s="463"/>
      <c r="S1619" s="463"/>
      <c r="T1619" s="463"/>
    </row>
    <row r="1620" spans="2:20" s="115" customFormat="1" ht="15" customHeight="1" x14ac:dyDescent="0.25">
      <c r="B1620" s="1398" t="s">
        <v>7876</v>
      </c>
      <c r="C1620" s="1398"/>
      <c r="D1620" s="1398"/>
      <c r="E1620" s="854">
        <v>333309300000000</v>
      </c>
      <c r="F1620" s="855" t="s">
        <v>7886</v>
      </c>
      <c r="G1620" s="468">
        <v>1</v>
      </c>
      <c r="H1620" s="468">
        <v>0</v>
      </c>
      <c r="I1620" s="990"/>
      <c r="J1620" s="878" t="s">
        <v>7860</v>
      </c>
      <c r="K1620" s="789">
        <f>('Parâmetros financeiros Despesa'!E771)</f>
        <v>0</v>
      </c>
      <c r="L1620" s="789">
        <f>('Parâmetros financeiros Despesa'!F771)*(1+'Parâmetros financeiros Despesa'!F$4)*(1+'Parâmetros financeiros Despesa'!F$7)</f>
        <v>1090.3315</v>
      </c>
      <c r="M1620" s="799">
        <f t="shared" si="289"/>
        <v>2.844303478974599E-3</v>
      </c>
      <c r="N1620" s="898"/>
      <c r="O1620" s="463"/>
      <c r="P1620" s="733"/>
      <c r="R1620" s="463"/>
      <c r="S1620" s="463"/>
      <c r="T1620" s="463"/>
    </row>
    <row r="1621" spans="2:20" s="115" customFormat="1" ht="15" customHeight="1" x14ac:dyDescent="0.25">
      <c r="B1621" s="1398" t="s">
        <v>7877</v>
      </c>
      <c r="C1621" s="1398"/>
      <c r="D1621" s="1398"/>
      <c r="E1621" s="854">
        <v>333903000000000</v>
      </c>
      <c r="F1621" s="855" t="s">
        <v>1955</v>
      </c>
      <c r="G1621" s="468">
        <v>1</v>
      </c>
      <c r="H1621" s="468">
        <v>0</v>
      </c>
      <c r="I1621" s="990"/>
      <c r="J1621" s="878" t="s">
        <v>7860</v>
      </c>
      <c r="K1621" s="789">
        <f>('Parâmetros financeiros Despesa'!E772)</f>
        <v>0</v>
      </c>
      <c r="L1621" s="789">
        <f>('Parâmetros financeiros Despesa'!F772)*(1+'Parâmetros financeiros Despesa'!F$4)*(1+'Parâmetros financeiros Despesa'!F$7)</f>
        <v>5451.6575000000003</v>
      </c>
      <c r="M1621" s="799">
        <f t="shared" si="289"/>
        <v>1.4221517394872997E-2</v>
      </c>
      <c r="N1621" s="898"/>
      <c r="O1621" s="463"/>
      <c r="P1621" s="733"/>
      <c r="R1621" s="463"/>
      <c r="S1621" s="463"/>
      <c r="T1621" s="463"/>
    </row>
    <row r="1622" spans="2:20" s="115" customFormat="1" ht="15" customHeight="1" x14ac:dyDescent="0.25">
      <c r="B1622" s="1398" t="s">
        <v>7878</v>
      </c>
      <c r="C1622" s="1398"/>
      <c r="D1622" s="1398"/>
      <c r="E1622" s="854">
        <v>333903900000000</v>
      </c>
      <c r="F1622" s="855" t="s">
        <v>7885</v>
      </c>
      <c r="G1622" s="468">
        <v>1</v>
      </c>
      <c r="H1622" s="468">
        <v>0</v>
      </c>
      <c r="I1622" s="990"/>
      <c r="J1622" s="878" t="s">
        <v>7860</v>
      </c>
      <c r="K1622" s="789">
        <f>('Parâmetros financeiros Despesa'!E773)</f>
        <v>32555.61</v>
      </c>
      <c r="L1622" s="789">
        <f>(('Parâmetros financeiros Despesa'!F773)*(1+'Parâmetros financeiros Despesa'!F$4)*(1+'Parâmetros financeiros Despesa'!F$7))+'Parâmetros financeiros Despesa'!F794</f>
        <v>33911.06708471501</v>
      </c>
      <c r="M1622" s="799">
        <f t="shared" si="289"/>
        <v>8.84624227446386E-2</v>
      </c>
      <c r="N1622" s="898"/>
      <c r="O1622" s="463"/>
      <c r="P1622" s="733"/>
      <c r="R1622" s="463"/>
      <c r="S1622" s="463"/>
      <c r="T1622" s="463"/>
    </row>
    <row r="1623" spans="2:20" ht="15" customHeight="1" x14ac:dyDescent="0.25">
      <c r="B1623" s="599">
        <f>B1622+1</f>
        <v>162601</v>
      </c>
      <c r="C1623" s="600" t="s">
        <v>6062</v>
      </c>
      <c r="D1623" s="528" t="str">
        <f>B1622</f>
        <v>162600</v>
      </c>
      <c r="E1623" s="417">
        <v>333903999120000</v>
      </c>
      <c r="F1623" s="418" t="s">
        <v>7845</v>
      </c>
      <c r="G1623" s="603">
        <v>1</v>
      </c>
      <c r="H1623" s="603">
        <v>0</v>
      </c>
      <c r="I1623" s="856">
        <v>332310800000000</v>
      </c>
      <c r="J1623" s="602" t="s">
        <v>7863</v>
      </c>
      <c r="K1623" s="891">
        <v>0</v>
      </c>
      <c r="L1623" s="476">
        <f>('Parâmetros financeiros Despesa'!F2357)*((1+'Parâmetros financeiros Despesa'!F2226)*(1+'Parâmetros financeiros Despesa'!F2229)*(1+'Parâmetros financeiros Despesa'!F2299))</f>
        <v>0</v>
      </c>
      <c r="M1623" s="477">
        <f t="shared" si="289"/>
        <v>0</v>
      </c>
      <c r="N1623" s="899"/>
      <c r="O1623" s="398"/>
      <c r="R1623" s="398"/>
      <c r="S1623" s="398"/>
      <c r="T1623" s="398"/>
    </row>
    <row r="1624" spans="2:20" ht="15" customHeight="1" x14ac:dyDescent="0.25">
      <c r="B1624" s="599">
        <f>B1623+1</f>
        <v>162602</v>
      </c>
      <c r="C1624" s="600" t="s">
        <v>6062</v>
      </c>
      <c r="D1624" s="528">
        <v>162600</v>
      </c>
      <c r="E1624" s="417">
        <v>333903958020000</v>
      </c>
      <c r="F1624" s="418" t="s">
        <v>7846</v>
      </c>
      <c r="G1624" s="603">
        <v>1</v>
      </c>
      <c r="H1624" s="603">
        <v>0</v>
      </c>
      <c r="I1624" s="856">
        <v>332310800000000</v>
      </c>
      <c r="J1624" s="602" t="s">
        <v>7863</v>
      </c>
      <c r="K1624" s="891">
        <v>0</v>
      </c>
      <c r="L1624" s="476">
        <f>('Parâmetros financeiros Despesa'!F2358)*((1+'Parâmetros financeiros Despesa'!F2227)*(1+'Parâmetros financeiros Despesa'!F2230)*(1+'Parâmetros financeiros Despesa'!F2300))</f>
        <v>0</v>
      </c>
      <c r="M1624" s="477">
        <f t="shared" si="289"/>
        <v>0</v>
      </c>
      <c r="N1624" s="899"/>
      <c r="O1624" s="398"/>
      <c r="R1624" s="398"/>
      <c r="S1624" s="398"/>
      <c r="T1624" s="398"/>
    </row>
    <row r="1625" spans="2:20" ht="15" customHeight="1" x14ac:dyDescent="0.25">
      <c r="B1625" s="599">
        <f>B1624+1</f>
        <v>162603</v>
      </c>
      <c r="C1625" s="600" t="s">
        <v>6062</v>
      </c>
      <c r="D1625" s="528">
        <v>162600</v>
      </c>
      <c r="E1625" s="417">
        <v>333903981000000</v>
      </c>
      <c r="F1625" s="418" t="s">
        <v>991</v>
      </c>
      <c r="G1625" s="603">
        <v>1</v>
      </c>
      <c r="H1625" s="603">
        <v>0</v>
      </c>
      <c r="I1625" s="856">
        <v>332313200000000</v>
      </c>
      <c r="J1625" s="602" t="s">
        <v>7864</v>
      </c>
      <c r="K1625" s="891">
        <v>0</v>
      </c>
      <c r="L1625" s="476">
        <f>('Parâmetros financeiros Despesa'!F2359)*((1+'Parâmetros financeiros Despesa'!F2228)*(1+'Parâmetros financeiros Despesa'!F2231)*(1+'Parâmetros financeiros Despesa'!F2301))</f>
        <v>0</v>
      </c>
      <c r="M1625" s="477">
        <f t="shared" si="289"/>
        <v>0</v>
      </c>
      <c r="N1625" s="899"/>
      <c r="O1625" s="398"/>
      <c r="R1625" s="398"/>
      <c r="S1625" s="398"/>
      <c r="T1625" s="398"/>
    </row>
    <row r="1626" spans="2:20" ht="15" customHeight="1" x14ac:dyDescent="0.25">
      <c r="B1626" s="599">
        <f>B1625+1</f>
        <v>162604</v>
      </c>
      <c r="C1626" s="600" t="s">
        <v>6062</v>
      </c>
      <c r="D1626" s="528">
        <v>162600</v>
      </c>
      <c r="E1626" s="417">
        <v>333903999050000</v>
      </c>
      <c r="F1626" s="418" t="s">
        <v>7847</v>
      </c>
      <c r="G1626" s="603">
        <v>1</v>
      </c>
      <c r="H1626" s="603">
        <v>0</v>
      </c>
      <c r="I1626" s="856">
        <v>332315600000000</v>
      </c>
      <c r="J1626" s="602" t="s">
        <v>7865</v>
      </c>
      <c r="K1626" s="891">
        <v>0</v>
      </c>
      <c r="L1626" s="476">
        <f>('Parâmetros financeiros Despesa'!F2360)*((1+'Parâmetros financeiros Despesa'!F2229)*(1+'Parâmetros financeiros Despesa'!F2232)*(1+'Parâmetros financeiros Despesa'!F2302))</f>
        <v>0</v>
      </c>
      <c r="M1626" s="477">
        <f t="shared" si="289"/>
        <v>0</v>
      </c>
      <c r="N1626" s="899"/>
      <c r="O1626" s="398"/>
      <c r="R1626" s="398"/>
      <c r="S1626" s="398"/>
      <c r="T1626" s="398"/>
    </row>
    <row r="1627" spans="2:20" ht="15" customHeight="1" x14ac:dyDescent="0.25">
      <c r="B1627" s="599">
        <f>B1626+1</f>
        <v>162605</v>
      </c>
      <c r="C1627" s="600" t="s">
        <v>6062</v>
      </c>
      <c r="D1627" s="528">
        <v>162600</v>
      </c>
      <c r="E1627" s="417">
        <v>333903999110000</v>
      </c>
      <c r="F1627" s="418" t="s">
        <v>5370</v>
      </c>
      <c r="G1627" s="603">
        <v>1</v>
      </c>
      <c r="H1627" s="603">
        <v>0</v>
      </c>
      <c r="I1627" s="856">
        <v>332319900000000</v>
      </c>
      <c r="J1627" s="602" t="s">
        <v>7861</v>
      </c>
      <c r="K1627" s="891">
        <v>0</v>
      </c>
      <c r="L1627" s="476">
        <f>('Parâmetros financeiros Despesa'!F2361)*((1+'Parâmetros financeiros Despesa'!F2230)*(1+'Parâmetros financeiros Despesa'!F2233)*(1+'Parâmetros financeiros Despesa'!F2303))</f>
        <v>0</v>
      </c>
      <c r="M1627" s="477">
        <f t="shared" si="289"/>
        <v>0</v>
      </c>
      <c r="N1627" s="899"/>
      <c r="O1627" s="398"/>
      <c r="R1627" s="398"/>
      <c r="S1627" s="398"/>
      <c r="T1627" s="398"/>
    </row>
    <row r="1628" spans="2:20" s="115" customFormat="1" ht="15" customHeight="1" x14ac:dyDescent="0.25">
      <c r="B1628" s="1398" t="s">
        <v>7879</v>
      </c>
      <c r="C1628" s="1398"/>
      <c r="D1628" s="1398"/>
      <c r="E1628" s="854">
        <v>333904700000000</v>
      </c>
      <c r="F1628" s="855" t="s">
        <v>990</v>
      </c>
      <c r="G1628" s="468">
        <v>1</v>
      </c>
      <c r="H1628" s="468">
        <v>0</v>
      </c>
      <c r="I1628" s="990"/>
      <c r="J1628" s="878" t="s">
        <v>7860</v>
      </c>
      <c r="K1628" s="789">
        <f>('Parâmetros financeiros Despesa'!E774+'Parâmetros financeiros Despesa'!E775)</f>
        <v>122093.49</v>
      </c>
      <c r="L1628" s="789">
        <f>('Parâmetros financeiros Despesa'!F774+'Parâmetros financeiros Despesa'!F775)*(1+'Parâmetros financeiros Despesa'!F$4)*(1+'Parâmetros financeiros Despesa'!F$7)</f>
        <v>199271.51254973322</v>
      </c>
      <c r="M1628" s="799">
        <f>L1628/L$1650</f>
        <v>0.51983149749020063</v>
      </c>
      <c r="N1628" s="898"/>
      <c r="O1628" s="463"/>
      <c r="P1628" s="733"/>
      <c r="R1628" s="463"/>
      <c r="S1628" s="463"/>
      <c r="T1628" s="463"/>
    </row>
    <row r="1629" spans="2:20" x14ac:dyDescent="0.25">
      <c r="B1629" s="599">
        <f>B1628+1</f>
        <v>162701</v>
      </c>
      <c r="C1629" s="600" t="s">
        <v>6062</v>
      </c>
      <c r="D1629" s="528" t="str">
        <f>B1628</f>
        <v>162700</v>
      </c>
      <c r="E1629" s="417">
        <v>333904716000000</v>
      </c>
      <c r="F1629" s="418" t="s">
        <v>7848</v>
      </c>
      <c r="G1629" s="603">
        <v>1</v>
      </c>
      <c r="H1629" s="603">
        <v>0</v>
      </c>
      <c r="I1629" s="856">
        <v>342410100000000</v>
      </c>
      <c r="J1629" s="602" t="s">
        <v>7866</v>
      </c>
      <c r="K1629" s="891">
        <v>0</v>
      </c>
      <c r="L1629" s="476">
        <f>('Parâmetros financeiros Despesa'!F2363)*((1+'Parâmetros financeiros Despesa'!F2232)*(1+'Parâmetros financeiros Despesa'!F2235)*(1+'Parâmetros financeiros Despesa'!F2305))</f>
        <v>0</v>
      </c>
      <c r="M1629" s="477">
        <f t="shared" si="289"/>
        <v>0</v>
      </c>
    </row>
    <row r="1630" spans="2:20" x14ac:dyDescent="0.25">
      <c r="B1630" s="599">
        <f>B1629+1</f>
        <v>162702</v>
      </c>
      <c r="C1630" s="600" t="s">
        <v>6062</v>
      </c>
      <c r="D1630" s="528">
        <v>162700</v>
      </c>
      <c r="E1630" s="417">
        <v>333904712000000</v>
      </c>
      <c r="F1630" s="418" t="s">
        <v>7849</v>
      </c>
      <c r="G1630" s="603">
        <v>1</v>
      </c>
      <c r="H1630" s="603">
        <v>0</v>
      </c>
      <c r="I1630" s="856">
        <v>372130200000000</v>
      </c>
      <c r="J1630" s="602" t="s">
        <v>7867</v>
      </c>
      <c r="K1630" s="891">
        <v>0</v>
      </c>
      <c r="L1630" s="476">
        <f>('Parâmetros financeiros Despesa'!F2364)*((1+'Parâmetros financeiros Despesa'!F2233)*(1+'Parâmetros financeiros Despesa'!F2236)*(1+'Parâmetros financeiros Despesa'!F2306))</f>
        <v>0</v>
      </c>
      <c r="M1630" s="477">
        <f t="shared" si="289"/>
        <v>0</v>
      </c>
    </row>
    <row r="1631" spans="2:20" x14ac:dyDescent="0.25">
      <c r="B1631" s="599">
        <f>B1630+1</f>
        <v>162703</v>
      </c>
      <c r="C1631" s="600" t="s">
        <v>6062</v>
      </c>
      <c r="D1631" s="528">
        <v>162700</v>
      </c>
      <c r="E1631" s="417">
        <v>333904715000000</v>
      </c>
      <c r="F1631" s="418" t="s">
        <v>7850</v>
      </c>
      <c r="G1631" s="603">
        <v>1</v>
      </c>
      <c r="H1631" s="603">
        <v>0</v>
      </c>
      <c r="I1631" s="856">
        <v>372130200000000</v>
      </c>
      <c r="J1631" s="602" t="s">
        <v>7866</v>
      </c>
      <c r="K1631" s="891">
        <v>0</v>
      </c>
      <c r="L1631" s="476">
        <f>('Parâmetros financeiros Despesa'!F2365)*((1+'Parâmetros financeiros Despesa'!F2234)*(1+'Parâmetros financeiros Despesa'!F2237)*(1+'Parâmetros financeiros Despesa'!F2307))</f>
        <v>0</v>
      </c>
      <c r="M1631" s="477">
        <f t="shared" si="289"/>
        <v>0</v>
      </c>
    </row>
    <row r="1632" spans="2:20" s="115" customFormat="1" x14ac:dyDescent="0.25">
      <c r="B1632" s="1398" t="s">
        <v>7880</v>
      </c>
      <c r="C1632" s="1398"/>
      <c r="D1632" s="1398"/>
      <c r="E1632" s="854">
        <v>333909300000000</v>
      </c>
      <c r="F1632" s="855" t="s">
        <v>985</v>
      </c>
      <c r="G1632" s="468">
        <v>1</v>
      </c>
      <c r="H1632" s="468">
        <v>0</v>
      </c>
      <c r="I1632" s="990"/>
      <c r="J1632" s="878" t="s">
        <v>7860</v>
      </c>
      <c r="K1632" s="789">
        <f>('Parâmetros financeiros Despesa'!E777+'Parâmetros financeiros Despesa'!E778+'Parâmetros financeiros Despesa'!E779)</f>
        <v>439.96500000000003</v>
      </c>
      <c r="L1632" s="789">
        <f>('Parâmetros financeiros Despesa'!F777+'Parâmetros financeiros Despesa'!F778+'Parâmetros financeiros Despesa'!F779)*(1+'Parâmetros financeiros Despesa'!F$4)*(1+'Parâmetros financeiros Despesa'!F$7)</f>
        <v>481.88836139750003</v>
      </c>
      <c r="M1632" s="799">
        <f>L1632/L$1650</f>
        <v>1.2570825870850087E-3</v>
      </c>
      <c r="N1632" s="894"/>
      <c r="P1632" s="733"/>
    </row>
    <row r="1633" spans="2:20" x14ac:dyDescent="0.25">
      <c r="B1633" s="599">
        <f>B1632+1</f>
        <v>162801</v>
      </c>
      <c r="C1633" s="600" t="s">
        <v>6062</v>
      </c>
      <c r="D1633" s="528" t="str">
        <f>B1632</f>
        <v>162800</v>
      </c>
      <c r="E1633" s="417">
        <v>333909399010000</v>
      </c>
      <c r="F1633" s="418" t="s">
        <v>7851</v>
      </c>
      <c r="G1633" s="603">
        <v>1</v>
      </c>
      <c r="H1633" s="603">
        <v>0</v>
      </c>
      <c r="I1633" s="856">
        <v>372130200000000</v>
      </c>
      <c r="J1633" s="602" t="s">
        <v>7868</v>
      </c>
      <c r="K1633" s="476">
        <f>('Parâmetros financeiros Despesa'!E2367)*((1+'Parâmetros financeiros Despesa'!E2236)*(1+'Parâmetros financeiros Despesa'!E2239)*(1+'Parâmetros financeiros Despesa'!E2309))</f>
        <v>0</v>
      </c>
      <c r="L1633" s="476">
        <f>('Parâmetros financeiros Despesa'!F2367)*((1+'Parâmetros financeiros Despesa'!F2236)*(1+'Parâmetros financeiros Despesa'!F2239)*(1+'Parâmetros financeiros Despesa'!F2309))</f>
        <v>0</v>
      </c>
      <c r="M1633" s="477">
        <f t="shared" si="289"/>
        <v>0</v>
      </c>
    </row>
    <row r="1634" spans="2:20" x14ac:dyDescent="0.25">
      <c r="B1634" s="599">
        <f>B1633+1</f>
        <v>162802</v>
      </c>
      <c r="C1634" s="600" t="s">
        <v>6062</v>
      </c>
      <c r="D1634" s="528">
        <v>162800</v>
      </c>
      <c r="E1634" s="417">
        <v>333909399010000</v>
      </c>
      <c r="F1634" s="418" t="s">
        <v>7852</v>
      </c>
      <c r="G1634" s="603">
        <v>1</v>
      </c>
      <c r="H1634" s="603">
        <v>0</v>
      </c>
      <c r="I1634" s="856">
        <v>399910600000000</v>
      </c>
      <c r="J1634" s="602" t="s">
        <v>7869</v>
      </c>
      <c r="K1634" s="476">
        <f>('Parâmetros financeiros Despesa'!E2368)*((1+'Parâmetros financeiros Despesa'!E2237)*(1+'Parâmetros financeiros Despesa'!E2240)*(1+'Parâmetros financeiros Despesa'!E2310))</f>
        <v>0</v>
      </c>
      <c r="L1634" s="476">
        <f>('Parâmetros financeiros Despesa'!F2368)*((1+'Parâmetros financeiros Despesa'!F2237)*(1+'Parâmetros financeiros Despesa'!F2240)*(1+'Parâmetros financeiros Despesa'!F2310))</f>
        <v>0</v>
      </c>
      <c r="M1634" s="477">
        <f t="shared" si="289"/>
        <v>0</v>
      </c>
    </row>
    <row r="1635" spans="2:20" x14ac:dyDescent="0.25">
      <c r="B1635" s="599">
        <f>B1634+1</f>
        <v>162803</v>
      </c>
      <c r="C1635" s="600" t="s">
        <v>6062</v>
      </c>
      <c r="D1635" s="528">
        <v>162800</v>
      </c>
      <c r="E1635" s="417">
        <v>333909399020000</v>
      </c>
      <c r="F1635" s="418" t="s">
        <v>5399</v>
      </c>
      <c r="G1635" s="603">
        <v>1</v>
      </c>
      <c r="H1635" s="603">
        <v>0</v>
      </c>
      <c r="I1635" s="856">
        <v>399910500000000</v>
      </c>
      <c r="J1635" s="602" t="s">
        <v>7870</v>
      </c>
      <c r="K1635" s="476">
        <f>('Parâmetros financeiros Despesa'!E2369)*((1+'Parâmetros financeiros Despesa'!E2238)*(1+'Parâmetros financeiros Despesa'!E2241)*(1+'Parâmetros financeiros Despesa'!E2311))</f>
        <v>0</v>
      </c>
      <c r="L1635" s="476">
        <f>('Parâmetros financeiros Despesa'!F2369)*((1+'Parâmetros financeiros Despesa'!F2238)*(1+'Parâmetros financeiros Despesa'!F2241)*(1+'Parâmetros financeiros Despesa'!F2311))</f>
        <v>0</v>
      </c>
      <c r="M1635" s="477">
        <f t="shared" si="289"/>
        <v>0</v>
      </c>
    </row>
    <row r="1636" spans="2:20" s="115" customFormat="1" x14ac:dyDescent="0.25">
      <c r="B1636" s="1398" t="s">
        <v>7881</v>
      </c>
      <c r="C1636" s="1398"/>
      <c r="D1636" s="1398"/>
      <c r="E1636" s="854">
        <v>344209300000000</v>
      </c>
      <c r="F1636" s="855" t="s">
        <v>985</v>
      </c>
      <c r="G1636" s="468">
        <v>1</v>
      </c>
      <c r="H1636" s="468">
        <v>0</v>
      </c>
      <c r="I1636" s="990"/>
      <c r="J1636" s="878" t="s">
        <v>7860</v>
      </c>
      <c r="K1636" s="789">
        <f>('Parâmetros financeiros Despesa'!E781)</f>
        <v>0</v>
      </c>
      <c r="L1636" s="789">
        <f>('Parâmetros financeiros Despesa'!F781)*(1+'Parâmetros financeiros Despesa'!F$4)*(1+'Parâmetros financeiros Despesa'!F$7)</f>
        <v>1.0903315</v>
      </c>
      <c r="M1636" s="799">
        <f>L1636/L$1650</f>
        <v>2.8443034789745992E-6</v>
      </c>
      <c r="N1636" s="894"/>
      <c r="P1636" s="733"/>
    </row>
    <row r="1637" spans="2:20" x14ac:dyDescent="0.25">
      <c r="B1637" s="599">
        <f>B1636+1</f>
        <v>162901</v>
      </c>
      <c r="C1637" s="600" t="s">
        <v>6062</v>
      </c>
      <c r="D1637" s="528" t="str">
        <f>B1636</f>
        <v>162900</v>
      </c>
      <c r="E1637" s="417">
        <v>344209300010000</v>
      </c>
      <c r="F1637" s="418" t="s">
        <v>7853</v>
      </c>
      <c r="G1637" s="603">
        <v>1</v>
      </c>
      <c r="H1637" s="603">
        <v>0</v>
      </c>
      <c r="I1637" s="856">
        <v>399910700000000</v>
      </c>
      <c r="J1637" s="602" t="s">
        <v>7871</v>
      </c>
      <c r="K1637" s="476">
        <f>('Parâmetros financeiros Despesa'!E2371)*((1+'Parâmetros financeiros Despesa'!E2240)*(1+'Parâmetros financeiros Despesa'!E2243)*(1+'Parâmetros financeiros Despesa'!E2313))</f>
        <v>0</v>
      </c>
      <c r="L1637" s="476">
        <f>('Parâmetros financeiros Despesa'!F2371)*((1+'Parâmetros financeiros Despesa'!F2240)*(1+'Parâmetros financeiros Despesa'!F2243)*(1+'Parâmetros financeiros Despesa'!F2313))</f>
        <v>0</v>
      </c>
      <c r="M1637" s="477">
        <f t="shared" si="289"/>
        <v>0</v>
      </c>
    </row>
    <row r="1638" spans="2:20" s="115" customFormat="1" x14ac:dyDescent="0.25">
      <c r="B1638" s="1398" t="s">
        <v>7872</v>
      </c>
      <c r="C1638" s="1398"/>
      <c r="D1638" s="1398"/>
      <c r="E1638" s="854">
        <v>344309300000000</v>
      </c>
      <c r="F1638" s="855" t="s">
        <v>985</v>
      </c>
      <c r="G1638" s="468">
        <v>1</v>
      </c>
      <c r="H1638" s="468">
        <v>0</v>
      </c>
      <c r="I1638" s="990"/>
      <c r="J1638" s="878" t="s">
        <v>7860</v>
      </c>
      <c r="K1638" s="789">
        <f>('Parâmetros financeiros Despesa'!E783)</f>
        <v>0</v>
      </c>
      <c r="L1638" s="789">
        <f>('Parâmetros financeiros Despesa'!F783)*(1+'Parâmetros financeiros Despesa'!F$4)*(1+'Parâmetros financeiros Despesa'!F$7)</f>
        <v>1.0903315</v>
      </c>
      <c r="M1638" s="799">
        <f t="shared" ref="M1638:M1647" si="290">L1638/L$1650</f>
        <v>2.8443034789745992E-6</v>
      </c>
      <c r="N1638" s="894"/>
      <c r="P1638" s="733"/>
    </row>
    <row r="1639" spans="2:20" x14ac:dyDescent="0.25">
      <c r="B1639" s="599">
        <f>B1638+1</f>
        <v>163001</v>
      </c>
      <c r="C1639" s="600" t="s">
        <v>6062</v>
      </c>
      <c r="D1639" s="528" t="str">
        <f>B1638</f>
        <v>163000</v>
      </c>
      <c r="E1639" s="417">
        <v>344309300010000</v>
      </c>
      <c r="F1639" s="418" t="s">
        <v>7854</v>
      </c>
      <c r="G1639" s="603">
        <v>1</v>
      </c>
      <c r="H1639" s="603">
        <v>0</v>
      </c>
      <c r="I1639" s="856">
        <v>399910600000000</v>
      </c>
      <c r="J1639" s="602" t="s">
        <v>7868</v>
      </c>
      <c r="K1639" s="476">
        <f>('Parâmetros financeiros Despesa'!E2373)*((1+'Parâmetros financeiros Despesa'!E2242)*(1+'Parâmetros financeiros Despesa'!E2245)*(1+'Parâmetros financeiros Despesa'!E2315))</f>
        <v>0</v>
      </c>
      <c r="L1639" s="476">
        <f>('Parâmetros financeiros Despesa'!F2373)*((1+'Parâmetros financeiros Despesa'!F2242)*(1+'Parâmetros financeiros Despesa'!F2245)*(1+'Parâmetros financeiros Despesa'!F2315))</f>
        <v>0</v>
      </c>
      <c r="M1639" s="477">
        <f t="shared" si="290"/>
        <v>0</v>
      </c>
    </row>
    <row r="1640" spans="2:20" s="115" customFormat="1" x14ac:dyDescent="0.25">
      <c r="B1640" s="1398" t="s">
        <v>7887</v>
      </c>
      <c r="C1640" s="1398"/>
      <c r="D1640" s="1398"/>
      <c r="E1640" s="854">
        <v>346907100000000</v>
      </c>
      <c r="F1640" s="855" t="s">
        <v>5573</v>
      </c>
      <c r="G1640" s="468">
        <v>1</v>
      </c>
      <c r="H1640" s="468">
        <v>0</v>
      </c>
      <c r="I1640" s="990"/>
      <c r="J1640" s="878" t="s">
        <v>7860</v>
      </c>
      <c r="K1640" s="789">
        <f>('Parâmetros financeiros Despesa'!E784)</f>
        <v>0</v>
      </c>
      <c r="L1640" s="789">
        <f>('Parâmetros financeiros Despesa'!F784)*(1+'Parâmetros financeiros Despesa'!F$4)*(1+'Parâmetros financeiros Despesa'!F$7)</f>
        <v>1.0903315</v>
      </c>
      <c r="M1640" s="799">
        <f t="shared" si="290"/>
        <v>2.8443034789745992E-6</v>
      </c>
      <c r="N1640" s="894"/>
      <c r="P1640" s="733"/>
    </row>
    <row r="1641" spans="2:20" s="731" customFormat="1" x14ac:dyDescent="0.25">
      <c r="B1641" s="1385" t="s">
        <v>7855</v>
      </c>
      <c r="C1641" s="1385"/>
      <c r="D1641" s="1385"/>
      <c r="E1641" s="1385"/>
      <c r="F1641" s="1385"/>
      <c r="G1641" s="401"/>
      <c r="H1641" s="401"/>
      <c r="I1641" s="426"/>
      <c r="J1641" s="411"/>
      <c r="K1641" s="402">
        <f t="shared" ref="K1641:L1643" si="291">K1642</f>
        <v>0.01</v>
      </c>
      <c r="L1641" s="402">
        <f t="shared" si="291"/>
        <v>16354.9825</v>
      </c>
      <c r="M1641" s="451">
        <f t="shared" si="290"/>
        <v>4.2664578271212644E-2</v>
      </c>
      <c r="N1641" s="796"/>
      <c r="P1641" s="399"/>
    </row>
    <row r="1642" spans="2:20" s="731" customFormat="1" x14ac:dyDescent="0.25">
      <c r="B1642" s="1386" t="s">
        <v>7888</v>
      </c>
      <c r="C1642" s="1386"/>
      <c r="D1642" s="1386"/>
      <c r="E1642" s="1386"/>
      <c r="F1642" s="1386"/>
      <c r="G1642" s="403"/>
      <c r="H1642" s="403"/>
      <c r="I1642" s="427"/>
      <c r="J1642" s="412"/>
      <c r="K1642" s="404">
        <f t="shared" si="291"/>
        <v>0.01</v>
      </c>
      <c r="L1642" s="404">
        <f t="shared" si="291"/>
        <v>16354.9825</v>
      </c>
      <c r="M1642" s="452">
        <f t="shared" si="290"/>
        <v>4.2664578271212644E-2</v>
      </c>
      <c r="N1642" s="796"/>
      <c r="P1642" s="399"/>
    </row>
    <row r="1643" spans="2:20" s="731" customFormat="1" x14ac:dyDescent="0.25">
      <c r="B1643" s="1382" t="s">
        <v>7856</v>
      </c>
      <c r="C1643" s="1382"/>
      <c r="D1643" s="1382"/>
      <c r="E1643" s="1382"/>
      <c r="F1643" s="1382"/>
      <c r="G1643" s="405"/>
      <c r="H1643" s="405"/>
      <c r="I1643" s="428"/>
      <c r="J1643" s="413"/>
      <c r="K1643" s="406">
        <f t="shared" si="291"/>
        <v>0.01</v>
      </c>
      <c r="L1643" s="406">
        <f t="shared" si="291"/>
        <v>16354.9825</v>
      </c>
      <c r="M1643" s="453">
        <f t="shared" si="290"/>
        <v>4.2664578271212644E-2</v>
      </c>
      <c r="N1643" s="796"/>
      <c r="P1643" s="399"/>
    </row>
    <row r="1644" spans="2:20" s="731" customFormat="1" x14ac:dyDescent="0.25">
      <c r="B1644" s="1383" t="s">
        <v>7857</v>
      </c>
      <c r="C1644" s="1383"/>
      <c r="D1644" s="1383"/>
      <c r="E1644" s="1383"/>
      <c r="F1644" s="1383"/>
      <c r="G1644" s="407"/>
      <c r="H1644" s="407"/>
      <c r="I1644" s="429"/>
      <c r="J1644" s="414"/>
      <c r="K1644" s="408">
        <f>K1645+K1646+0.01</f>
        <v>0.01</v>
      </c>
      <c r="L1644" s="408">
        <f>L1645+L1646+0.01</f>
        <v>16354.9825</v>
      </c>
      <c r="M1644" s="454">
        <f t="shared" si="290"/>
        <v>4.2664578271212644E-2</v>
      </c>
      <c r="N1644" s="796"/>
      <c r="P1644" s="399"/>
    </row>
    <row r="1645" spans="2:20" s="115" customFormat="1" ht="15" customHeight="1" x14ac:dyDescent="0.25">
      <c r="B1645" s="1398" t="s">
        <v>7889</v>
      </c>
      <c r="C1645" s="1398"/>
      <c r="D1645" s="1398"/>
      <c r="E1645" s="854">
        <v>333903000000000</v>
      </c>
      <c r="F1645" s="855" t="s">
        <v>1955</v>
      </c>
      <c r="G1645" s="468">
        <v>1</v>
      </c>
      <c r="H1645" s="468">
        <v>0</v>
      </c>
      <c r="I1645" s="990"/>
      <c r="J1645" s="878" t="s">
        <v>7860</v>
      </c>
      <c r="K1645" s="789">
        <f>('Parâmetros financeiros Despesa'!E785)</f>
        <v>0</v>
      </c>
      <c r="L1645" s="789">
        <f>('Parâmetros financeiros Despesa'!F785)*(1+'Parâmetros financeiros Despesa'!F$4)*(1+'Parâmetros financeiros Despesa'!F$7)</f>
        <v>5451.6575000000003</v>
      </c>
      <c r="M1645" s="799">
        <f t="shared" si="290"/>
        <v>1.4221517394872997E-2</v>
      </c>
      <c r="N1645" s="898"/>
      <c r="O1645" s="463"/>
      <c r="P1645" s="733"/>
      <c r="R1645" s="463"/>
      <c r="S1645" s="463"/>
      <c r="T1645" s="463"/>
    </row>
    <row r="1646" spans="2:20" s="115" customFormat="1" ht="15" customHeight="1" x14ac:dyDescent="0.25">
      <c r="B1646" s="1398" t="s">
        <v>7890</v>
      </c>
      <c r="C1646" s="1398"/>
      <c r="D1646" s="1398"/>
      <c r="E1646" s="854">
        <v>333903900000000</v>
      </c>
      <c r="F1646" s="855" t="s">
        <v>7885</v>
      </c>
      <c r="G1646" s="468">
        <v>1</v>
      </c>
      <c r="H1646" s="468">
        <v>0</v>
      </c>
      <c r="I1646" s="990"/>
      <c r="J1646" s="878" t="s">
        <v>7860</v>
      </c>
      <c r="K1646" s="789">
        <f>('Parâmetros financeiros Despesa'!E786)</f>
        <v>0</v>
      </c>
      <c r="L1646" s="789">
        <f>('Parâmetros financeiros Despesa'!F786)*(1+'Parâmetros financeiros Despesa'!F$4)*(1+'Parâmetros financeiros Despesa'!F$7)</f>
        <v>10903.315000000001</v>
      </c>
      <c r="M1646" s="799">
        <f t="shared" si="290"/>
        <v>2.8443034789745993E-2</v>
      </c>
      <c r="N1646" s="898"/>
      <c r="O1646" s="463"/>
      <c r="P1646" s="733"/>
      <c r="R1646" s="463"/>
      <c r="S1646" s="463"/>
      <c r="T1646" s="463"/>
    </row>
    <row r="1647" spans="2:20" s="820" customFormat="1" ht="15" customHeight="1" x14ac:dyDescent="0.25">
      <c r="B1647" s="864" t="s">
        <v>22</v>
      </c>
      <c r="C1647" s="864"/>
      <c r="D1647" s="864"/>
      <c r="E1647" s="864"/>
      <c r="F1647" s="864"/>
      <c r="G1647" s="864"/>
      <c r="H1647" s="864"/>
      <c r="I1647" s="864"/>
      <c r="J1647" s="864"/>
      <c r="K1647" s="863">
        <f>K1642+K1611-0.01</f>
        <v>228011.61547500003</v>
      </c>
      <c r="L1647" s="863">
        <f>L1642+L1611</f>
        <v>383338.66553265118</v>
      </c>
      <c r="M1647" s="452">
        <f t="shared" si="290"/>
        <v>1</v>
      </c>
      <c r="N1647" s="796"/>
      <c r="P1647" s="399"/>
    </row>
    <row r="1648" spans="2:20" s="820" customFormat="1" ht="15" customHeight="1" x14ac:dyDescent="0.25">
      <c r="B1648" s="864" t="s">
        <v>11469</v>
      </c>
      <c r="C1648" s="864"/>
      <c r="D1648" s="864"/>
      <c r="E1648" s="864"/>
      <c r="F1648" s="864"/>
      <c r="G1648" s="864"/>
      <c r="H1648" s="864"/>
      <c r="I1648" s="864"/>
      <c r="J1648" s="864"/>
      <c r="K1648" s="863"/>
      <c r="L1648" s="863"/>
      <c r="M1648" s="452"/>
      <c r="N1648" s="796"/>
      <c r="P1648" s="399"/>
    </row>
    <row r="1649" spans="1:20" s="31" customFormat="1" ht="15" customHeight="1" x14ac:dyDescent="0.25">
      <c r="B1649" s="869" t="s">
        <v>745</v>
      </c>
      <c r="C1649" s="869"/>
      <c r="D1649" s="869"/>
      <c r="E1649" s="869"/>
      <c r="F1649" s="869"/>
      <c r="G1649" s="869"/>
      <c r="H1649" s="869"/>
      <c r="I1649" s="869"/>
      <c r="J1649" s="869"/>
      <c r="K1649" s="870">
        <f>K1647</f>
        <v>228011.61547500003</v>
      </c>
      <c r="L1649" s="870">
        <f>L1647</f>
        <v>383338.66553265118</v>
      </c>
      <c r="M1649" s="871">
        <f>L1649/L$1650</f>
        <v>1</v>
      </c>
      <c r="N1649" s="897"/>
      <c r="P1649" s="736"/>
    </row>
    <row r="1650" spans="1:20" s="115" customFormat="1" ht="15" customHeight="1" x14ac:dyDescent="0.25">
      <c r="B1650" s="864" t="s">
        <v>2172</v>
      </c>
      <c r="C1650" s="864"/>
      <c r="D1650" s="864"/>
      <c r="E1650" s="864"/>
      <c r="F1650" s="864"/>
      <c r="G1650" s="864"/>
      <c r="H1650" s="864"/>
      <c r="I1650" s="864"/>
      <c r="J1650" s="864"/>
      <c r="K1650" s="863">
        <f>SUM(K1649:K1649)</f>
        <v>228011.61547500003</v>
      </c>
      <c r="L1650" s="863">
        <f>SUM(L1649:L1649)</f>
        <v>383338.66553265118</v>
      </c>
      <c r="M1650" s="452">
        <f>L1650/L$1650</f>
        <v>1</v>
      </c>
      <c r="P1650" s="733"/>
    </row>
    <row r="1652" spans="1:20" s="731" customFormat="1" ht="21" customHeight="1" x14ac:dyDescent="0.25">
      <c r="B1652" s="1371" t="s">
        <v>989</v>
      </c>
      <c r="C1652" s="1371"/>
      <c r="D1652" s="1371"/>
      <c r="E1652" s="1371" t="s">
        <v>6887</v>
      </c>
      <c r="F1652" s="1371"/>
      <c r="G1652" s="1371"/>
      <c r="H1652" s="1371"/>
      <c r="I1652" s="1371"/>
      <c r="J1652" s="437"/>
      <c r="K1652" s="940"/>
      <c r="L1652" s="438"/>
      <c r="M1652" s="449"/>
      <c r="N1652" s="796"/>
      <c r="P1652" s="399"/>
    </row>
    <row r="1653" spans="1:20" s="731" customFormat="1" ht="19.5" customHeight="1" x14ac:dyDescent="0.25">
      <c r="B1653" s="1371" t="s">
        <v>458</v>
      </c>
      <c r="C1653" s="1371"/>
      <c r="D1653" s="1371"/>
      <c r="E1653" s="1371" t="s">
        <v>7882</v>
      </c>
      <c r="F1653" s="1371"/>
      <c r="G1653" s="1371"/>
      <c r="H1653" s="1371"/>
      <c r="I1653" s="1371"/>
      <c r="J1653" s="437"/>
      <c r="K1653" s="940"/>
      <c r="L1653" s="438"/>
      <c r="M1653" s="449"/>
      <c r="N1653" s="796"/>
      <c r="P1653" s="399"/>
    </row>
    <row r="1654" spans="1:20" s="731" customFormat="1" ht="15.75" x14ac:dyDescent="0.25">
      <c r="B1654" s="1403" t="s">
        <v>5764</v>
      </c>
      <c r="C1654" s="1403"/>
      <c r="D1654" s="1403"/>
      <c r="E1654" s="1371" t="s">
        <v>749</v>
      </c>
      <c r="F1654" s="1371"/>
      <c r="G1654" s="1371"/>
      <c r="H1654" s="1371"/>
      <c r="I1654" s="1371"/>
      <c r="J1654" s="440"/>
      <c r="K1654" s="941"/>
      <c r="L1654" s="438"/>
      <c r="M1654" s="449"/>
      <c r="N1654" s="796"/>
      <c r="P1654" s="399"/>
    </row>
    <row r="1655" spans="1:20" s="851" customFormat="1" ht="113.25" customHeight="1" x14ac:dyDescent="0.25">
      <c r="A1655" s="396"/>
      <c r="B1655" s="1400" t="s">
        <v>2296</v>
      </c>
      <c r="C1655" s="1400"/>
      <c r="D1655" s="1400"/>
      <c r="E1655" s="1384" t="s">
        <v>2297</v>
      </c>
      <c r="F1655" s="1384"/>
      <c r="G1655" s="443" t="s">
        <v>444</v>
      </c>
      <c r="H1655" s="443" t="s">
        <v>2245</v>
      </c>
      <c r="I1655" s="444" t="s">
        <v>5725</v>
      </c>
      <c r="J1655" s="849" t="s">
        <v>2275</v>
      </c>
      <c r="K1655" s="893" t="s">
        <v>11644</v>
      </c>
      <c r="L1655" s="951" t="s">
        <v>11522</v>
      </c>
      <c r="M1655" s="450" t="s">
        <v>235</v>
      </c>
      <c r="N1655" s="796"/>
      <c r="P1655" s="399"/>
    </row>
    <row r="1656" spans="1:20" s="739" customFormat="1" x14ac:dyDescent="0.25">
      <c r="B1656" s="1385" t="s">
        <v>5951</v>
      </c>
      <c r="C1656" s="1385"/>
      <c r="D1656" s="1385"/>
      <c r="E1656" s="1385"/>
      <c r="F1656" s="1385"/>
      <c r="G1656" s="401"/>
      <c r="H1656" s="401"/>
      <c r="I1656" s="426"/>
      <c r="J1656" s="411"/>
      <c r="K1656" s="402">
        <f t="shared" ref="K1656:L1659" si="292">K1657</f>
        <v>1003508.38</v>
      </c>
      <c r="L1656" s="402">
        <f t="shared" si="292"/>
        <v>183000.00003991171</v>
      </c>
      <c r="M1656" s="451">
        <f t="shared" ref="M1656:M1661" si="293">L1656/L$1664</f>
        <v>1</v>
      </c>
      <c r="N1656" s="796"/>
      <c r="P1656" s="399"/>
    </row>
    <row r="1657" spans="1:20" s="739" customFormat="1" x14ac:dyDescent="0.25">
      <c r="B1657" s="1386" t="s">
        <v>7891</v>
      </c>
      <c r="C1657" s="1386"/>
      <c r="D1657" s="1386"/>
      <c r="E1657" s="1386"/>
      <c r="F1657" s="1386"/>
      <c r="G1657" s="403"/>
      <c r="H1657" s="403"/>
      <c r="I1657" s="427"/>
      <c r="J1657" s="412"/>
      <c r="K1657" s="404">
        <f t="shared" si="292"/>
        <v>1003508.38</v>
      </c>
      <c r="L1657" s="404">
        <f t="shared" si="292"/>
        <v>183000.00003991171</v>
      </c>
      <c r="M1657" s="452">
        <f t="shared" si="293"/>
        <v>1</v>
      </c>
      <c r="N1657" s="796"/>
      <c r="P1657" s="399"/>
    </row>
    <row r="1658" spans="1:20" s="739" customFormat="1" x14ac:dyDescent="0.25">
      <c r="B1658" s="1382" t="s">
        <v>7893</v>
      </c>
      <c r="C1658" s="1382"/>
      <c r="D1658" s="1382"/>
      <c r="E1658" s="1382"/>
      <c r="F1658" s="1382"/>
      <c r="G1658" s="405"/>
      <c r="H1658" s="405"/>
      <c r="I1658" s="428"/>
      <c r="J1658" s="413"/>
      <c r="K1658" s="406">
        <f t="shared" si="292"/>
        <v>1003508.38</v>
      </c>
      <c r="L1658" s="406">
        <f t="shared" si="292"/>
        <v>183000.00003991171</v>
      </c>
      <c r="M1658" s="453">
        <f t="shared" si="293"/>
        <v>1</v>
      </c>
      <c r="N1658" s="796"/>
      <c r="P1658" s="399"/>
    </row>
    <row r="1659" spans="1:20" s="739" customFormat="1" x14ac:dyDescent="0.25">
      <c r="B1659" s="1383" t="s">
        <v>7892</v>
      </c>
      <c r="C1659" s="1383"/>
      <c r="D1659" s="1383"/>
      <c r="E1659" s="1383"/>
      <c r="F1659" s="1383"/>
      <c r="G1659" s="407"/>
      <c r="H1659" s="407"/>
      <c r="I1659" s="429"/>
      <c r="J1659" s="414"/>
      <c r="K1659" s="408">
        <f t="shared" si="292"/>
        <v>1003508.38</v>
      </c>
      <c r="L1659" s="408">
        <f t="shared" si="292"/>
        <v>183000.00003991171</v>
      </c>
      <c r="M1659" s="454">
        <f t="shared" si="293"/>
        <v>1</v>
      </c>
      <c r="N1659" s="796"/>
      <c r="P1659" s="399"/>
    </row>
    <row r="1660" spans="1:20" s="115" customFormat="1" ht="15" customHeight="1" x14ac:dyDescent="0.25">
      <c r="B1660" s="1406" t="s">
        <v>7894</v>
      </c>
      <c r="C1660" s="1406"/>
      <c r="D1660" s="1406"/>
      <c r="E1660" s="424">
        <v>399999900000000</v>
      </c>
      <c r="F1660" s="425" t="s">
        <v>7895</v>
      </c>
      <c r="G1660" s="409">
        <v>1</v>
      </c>
      <c r="H1660" s="409">
        <v>0</v>
      </c>
      <c r="I1660" s="737"/>
      <c r="J1660" s="415" t="s">
        <v>7897</v>
      </c>
      <c r="K1660" s="410">
        <f>'Parâmetros financeiros Despesa'!E792</f>
        <v>1003508.38</v>
      </c>
      <c r="L1660" s="410">
        <f>'Parâmetros financeiros Despesa'!F792</f>
        <v>183000.00003991171</v>
      </c>
      <c r="M1660" s="455">
        <f t="shared" si="293"/>
        <v>1</v>
      </c>
      <c r="N1660" s="894"/>
      <c r="O1660" s="900"/>
      <c r="P1660" s="733"/>
      <c r="R1660" s="463"/>
      <c r="S1660" s="463"/>
      <c r="T1660" s="463"/>
    </row>
    <row r="1661" spans="1:20" s="820" customFormat="1" ht="15" customHeight="1" x14ac:dyDescent="0.25">
      <c r="B1661" s="864" t="s">
        <v>22</v>
      </c>
      <c r="C1661" s="864"/>
      <c r="D1661" s="864"/>
      <c r="E1661" s="864"/>
      <c r="F1661" s="864"/>
      <c r="G1661" s="864"/>
      <c r="H1661" s="864"/>
      <c r="I1661" s="864"/>
      <c r="J1661" s="864"/>
      <c r="K1661" s="863">
        <f>K1657</f>
        <v>1003508.38</v>
      </c>
      <c r="L1661" s="863">
        <f>L1657</f>
        <v>183000.00003991171</v>
      </c>
      <c r="M1661" s="452">
        <f t="shared" si="293"/>
        <v>1</v>
      </c>
      <c r="N1661" s="796"/>
      <c r="P1661" s="399"/>
    </row>
    <row r="1662" spans="1:20" s="820" customFormat="1" ht="15" customHeight="1" x14ac:dyDescent="0.25">
      <c r="B1662" s="864" t="s">
        <v>11469</v>
      </c>
      <c r="C1662" s="864"/>
      <c r="D1662" s="864"/>
      <c r="E1662" s="864"/>
      <c r="F1662" s="864"/>
      <c r="G1662" s="864"/>
      <c r="H1662" s="864"/>
      <c r="I1662" s="864"/>
      <c r="J1662" s="864"/>
      <c r="K1662" s="863"/>
      <c r="L1662" s="863"/>
      <c r="M1662" s="452"/>
      <c r="N1662" s="796"/>
      <c r="P1662" s="399"/>
    </row>
    <row r="1663" spans="1:20" s="31" customFormat="1" ht="15" customHeight="1" x14ac:dyDescent="0.25">
      <c r="B1663" s="869" t="s">
        <v>11568</v>
      </c>
      <c r="C1663" s="869"/>
      <c r="D1663" s="869"/>
      <c r="E1663" s="869"/>
      <c r="F1663" s="869"/>
      <c r="G1663" s="869"/>
      <c r="H1663" s="869"/>
      <c r="I1663" s="869"/>
      <c r="J1663" s="869"/>
      <c r="K1663" s="870">
        <f>K1661</f>
        <v>1003508.38</v>
      </c>
      <c r="L1663" s="870">
        <f>L1661</f>
        <v>183000.00003991171</v>
      </c>
      <c r="M1663" s="871">
        <f>L1663/L$1664</f>
        <v>1</v>
      </c>
      <c r="N1663" s="897"/>
      <c r="P1663" s="736"/>
    </row>
    <row r="1664" spans="1:20" s="115" customFormat="1" ht="15" customHeight="1" x14ac:dyDescent="0.25">
      <c r="B1664" s="864" t="s">
        <v>2172</v>
      </c>
      <c r="C1664" s="864"/>
      <c r="D1664" s="864"/>
      <c r="E1664" s="864"/>
      <c r="F1664" s="864"/>
      <c r="G1664" s="864"/>
      <c r="H1664" s="864"/>
      <c r="I1664" s="864"/>
      <c r="J1664" s="864"/>
      <c r="K1664" s="863">
        <f>SUM(K1663:K1663)</f>
        <v>1003508.38</v>
      </c>
      <c r="L1664" s="863">
        <f>SUM(L1663:L1663)</f>
        <v>183000.00003991171</v>
      </c>
      <c r="M1664" s="452">
        <f>L1664/L$1664</f>
        <v>1</v>
      </c>
      <c r="P1664" s="733"/>
    </row>
    <row r="1665" spans="1:16" s="115" customFormat="1" ht="15" customHeight="1" x14ac:dyDescent="0.25">
      <c r="B1665" s="875"/>
      <c r="C1665" s="875"/>
      <c r="D1665" s="875"/>
      <c r="E1665" s="875"/>
      <c r="F1665" s="875"/>
      <c r="G1665" s="875"/>
      <c r="H1665" s="875"/>
      <c r="I1665" s="875"/>
      <c r="J1665" s="875"/>
      <c r="K1665" s="943"/>
      <c r="L1665" s="867"/>
      <c r="M1665" s="792"/>
      <c r="N1665" s="894"/>
      <c r="P1665" s="733"/>
    </row>
    <row r="1666" spans="1:16" s="739" customFormat="1" ht="21" customHeight="1" x14ac:dyDescent="0.25">
      <c r="B1666" s="1371" t="s">
        <v>989</v>
      </c>
      <c r="C1666" s="1371"/>
      <c r="D1666" s="1371"/>
      <c r="E1666" s="1371" t="s">
        <v>6887</v>
      </c>
      <c r="F1666" s="1371"/>
      <c r="G1666" s="1371"/>
      <c r="H1666" s="1371"/>
      <c r="I1666" s="1371"/>
      <c r="J1666" s="437"/>
      <c r="K1666" s="940"/>
      <c r="L1666" s="438"/>
      <c r="M1666" s="449"/>
      <c r="N1666" s="796"/>
      <c r="P1666" s="399"/>
    </row>
    <row r="1667" spans="1:16" s="739" customFormat="1" ht="19.5" customHeight="1" x14ac:dyDescent="0.25">
      <c r="B1667" s="1371" t="s">
        <v>458</v>
      </c>
      <c r="C1667" s="1371"/>
      <c r="D1667" s="1371"/>
      <c r="E1667" s="1371" t="s">
        <v>7899</v>
      </c>
      <c r="F1667" s="1371"/>
      <c r="G1667" s="1371"/>
      <c r="H1667" s="1371"/>
      <c r="I1667" s="1371"/>
      <c r="J1667" s="437"/>
      <c r="K1667" s="940"/>
      <c r="L1667" s="438"/>
      <c r="M1667" s="449"/>
      <c r="N1667" s="796"/>
      <c r="P1667" s="399"/>
    </row>
    <row r="1668" spans="1:16" s="739" customFormat="1" ht="15.75" x14ac:dyDescent="0.25">
      <c r="B1668" s="1403" t="s">
        <v>5764</v>
      </c>
      <c r="C1668" s="1403"/>
      <c r="D1668" s="1403"/>
      <c r="E1668" s="1371" t="s">
        <v>749</v>
      </c>
      <c r="F1668" s="1371"/>
      <c r="G1668" s="1371"/>
      <c r="H1668" s="1371"/>
      <c r="I1668" s="1371"/>
      <c r="J1668" s="440"/>
      <c r="K1668" s="941"/>
      <c r="L1668" s="438"/>
      <c r="M1668" s="449"/>
      <c r="N1668" s="796"/>
      <c r="P1668" s="399"/>
    </row>
    <row r="1669" spans="1:16" s="851" customFormat="1" ht="113.25" customHeight="1" x14ac:dyDescent="0.25">
      <c r="A1669" s="396"/>
      <c r="B1669" s="1400" t="s">
        <v>2296</v>
      </c>
      <c r="C1669" s="1400"/>
      <c r="D1669" s="1400"/>
      <c r="E1669" s="1384" t="s">
        <v>2297</v>
      </c>
      <c r="F1669" s="1384"/>
      <c r="G1669" s="443" t="s">
        <v>444</v>
      </c>
      <c r="H1669" s="443" t="s">
        <v>2245</v>
      </c>
      <c r="I1669" s="444" t="s">
        <v>5725</v>
      </c>
      <c r="J1669" s="849" t="s">
        <v>2275</v>
      </c>
      <c r="K1669" s="893" t="s">
        <v>11644</v>
      </c>
      <c r="L1669" s="951" t="s">
        <v>11522</v>
      </c>
      <c r="M1669" s="450" t="s">
        <v>235</v>
      </c>
      <c r="N1669" s="796"/>
      <c r="P1669" s="399"/>
    </row>
    <row r="1670" spans="1:16" s="739" customFormat="1" x14ac:dyDescent="0.25">
      <c r="B1670" s="1385" t="s">
        <v>7900</v>
      </c>
      <c r="C1670" s="1385"/>
      <c r="D1670" s="1385"/>
      <c r="E1670" s="1385"/>
      <c r="F1670" s="1385"/>
      <c r="G1670" s="401"/>
      <c r="H1670" s="401"/>
      <c r="I1670" s="426"/>
      <c r="J1670" s="411"/>
      <c r="K1670" s="402">
        <f t="shared" ref="K1670:L1672" si="294">K1671</f>
        <v>0</v>
      </c>
      <c r="L1670" s="402">
        <f t="shared" si="294"/>
        <v>5001</v>
      </c>
      <c r="M1670" s="451">
        <f t="shared" ref="M1670:M1678" si="295">L1670/L$1682</f>
        <v>1</v>
      </c>
      <c r="N1670" s="796"/>
      <c r="P1670" s="399"/>
    </row>
    <row r="1671" spans="1:16" s="739" customFormat="1" x14ac:dyDescent="0.25">
      <c r="B1671" s="1386" t="s">
        <v>7901</v>
      </c>
      <c r="C1671" s="1386"/>
      <c r="D1671" s="1386"/>
      <c r="E1671" s="1386"/>
      <c r="F1671" s="1386"/>
      <c r="G1671" s="403"/>
      <c r="H1671" s="403"/>
      <c r="I1671" s="427"/>
      <c r="J1671" s="412"/>
      <c r="K1671" s="404">
        <f t="shared" si="294"/>
        <v>0</v>
      </c>
      <c r="L1671" s="404">
        <f t="shared" si="294"/>
        <v>5001</v>
      </c>
      <c r="M1671" s="452">
        <f t="shared" si="295"/>
        <v>1</v>
      </c>
      <c r="N1671" s="796"/>
      <c r="P1671" s="399"/>
    </row>
    <row r="1672" spans="1:16" s="739" customFormat="1" x14ac:dyDescent="0.25">
      <c r="B1672" s="1382" t="s">
        <v>7714</v>
      </c>
      <c r="C1672" s="1382"/>
      <c r="D1672" s="1382"/>
      <c r="E1672" s="1382"/>
      <c r="F1672" s="1382"/>
      <c r="G1672" s="405"/>
      <c r="H1672" s="405"/>
      <c r="I1672" s="428"/>
      <c r="J1672" s="413"/>
      <c r="K1672" s="406">
        <f t="shared" si="294"/>
        <v>0</v>
      </c>
      <c r="L1672" s="406">
        <f t="shared" si="294"/>
        <v>5001</v>
      </c>
      <c r="M1672" s="453">
        <f t="shared" si="295"/>
        <v>1</v>
      </c>
      <c r="N1672" s="796"/>
      <c r="P1672" s="399"/>
    </row>
    <row r="1673" spans="1:16" s="739" customFormat="1" x14ac:dyDescent="0.25">
      <c r="B1673" s="1383" t="s">
        <v>7713</v>
      </c>
      <c r="C1673" s="1383"/>
      <c r="D1673" s="1383"/>
      <c r="E1673" s="1383"/>
      <c r="F1673" s="1383"/>
      <c r="G1673" s="407"/>
      <c r="H1673" s="407"/>
      <c r="I1673" s="429"/>
      <c r="J1673" s="414"/>
      <c r="K1673" s="408">
        <f>K1674+K1675+K1676+K1677</f>
        <v>0</v>
      </c>
      <c r="L1673" s="408">
        <f>L1674+L1675+L1676+L1677</f>
        <v>5001</v>
      </c>
      <c r="M1673" s="454">
        <f t="shared" si="295"/>
        <v>1</v>
      </c>
      <c r="N1673" s="796"/>
      <c r="P1673" s="399"/>
    </row>
    <row r="1674" spans="1:16" x14ac:dyDescent="0.25">
      <c r="B1674" s="994"/>
      <c r="C1674" s="994"/>
      <c r="D1674" s="994" t="s">
        <v>7902</v>
      </c>
      <c r="E1674" s="417">
        <v>344209300000000</v>
      </c>
      <c r="F1674" s="418" t="s">
        <v>7905</v>
      </c>
      <c r="G1674" s="468">
        <v>1127</v>
      </c>
      <c r="H1674" s="468">
        <v>0</v>
      </c>
      <c r="I1674" s="751"/>
      <c r="J1674" s="878" t="s">
        <v>7906</v>
      </c>
      <c r="K1674" s="789">
        <f>'Parâmetros financeiros Despesa'!E799</f>
        <v>0</v>
      </c>
      <c r="L1674" s="789">
        <f>'Parâmetros financeiros Despesa'!F799</f>
        <v>1</v>
      </c>
      <c r="M1674" s="799">
        <f t="shared" si="295"/>
        <v>1.9996000799840031E-4</v>
      </c>
    </row>
    <row r="1675" spans="1:16" s="739" customFormat="1" x14ac:dyDescent="0.25">
      <c r="B1675" s="994"/>
      <c r="C1675" s="994"/>
      <c r="D1675" s="994" t="s">
        <v>7903</v>
      </c>
      <c r="E1675" s="417">
        <v>344903900000000</v>
      </c>
      <c r="F1675" s="418" t="s">
        <v>7908</v>
      </c>
      <c r="G1675" s="468">
        <v>1127</v>
      </c>
      <c r="H1675" s="468">
        <v>0</v>
      </c>
      <c r="I1675" s="751"/>
      <c r="J1675" s="878" t="s">
        <v>7906</v>
      </c>
      <c r="K1675" s="789">
        <f>'Parâmetros financeiros Despesa'!E800</f>
        <v>0</v>
      </c>
      <c r="L1675" s="789">
        <f>'Parâmetros financeiros Despesa'!F800</f>
        <v>1</v>
      </c>
      <c r="M1675" s="799">
        <f t="shared" si="295"/>
        <v>1.9996000799840031E-4</v>
      </c>
      <c r="N1675" s="796"/>
      <c r="P1675" s="399"/>
    </row>
    <row r="1676" spans="1:16" x14ac:dyDescent="0.25">
      <c r="B1676" s="1398" t="s">
        <v>7904</v>
      </c>
      <c r="C1676" s="1398"/>
      <c r="D1676" s="1398"/>
      <c r="E1676" s="417">
        <v>344905100000000</v>
      </c>
      <c r="F1676" s="418" t="s">
        <v>7909</v>
      </c>
      <c r="G1676" s="468">
        <v>1</v>
      </c>
      <c r="H1676" s="468">
        <v>0</v>
      </c>
      <c r="I1676" s="751"/>
      <c r="J1676" s="878" t="s">
        <v>7906</v>
      </c>
      <c r="K1676" s="789">
        <f>'Parâmetros financeiros Despesa'!E801</f>
        <v>0</v>
      </c>
      <c r="L1676" s="789">
        <f>'Parâmetros financeiros Despesa'!F801</f>
        <v>1</v>
      </c>
      <c r="M1676" s="799">
        <f t="shared" si="295"/>
        <v>1.9996000799840031E-4</v>
      </c>
    </row>
    <row r="1677" spans="1:16" x14ac:dyDescent="0.25">
      <c r="B1677" s="1398" t="s">
        <v>7907</v>
      </c>
      <c r="C1677" s="1398"/>
      <c r="D1677" s="1398"/>
      <c r="E1677" s="417">
        <v>344905100000000</v>
      </c>
      <c r="F1677" s="418" t="s">
        <v>7910</v>
      </c>
      <c r="G1677" s="468">
        <v>1127</v>
      </c>
      <c r="H1677" s="468">
        <v>0</v>
      </c>
      <c r="I1677" s="751"/>
      <c r="J1677" s="878" t="s">
        <v>7906</v>
      </c>
      <c r="K1677" s="789">
        <f>'Parâmetros financeiros Despesa'!E802</f>
        <v>0</v>
      </c>
      <c r="L1677" s="789">
        <f>'Parâmetros financeiros Despesa'!F802</f>
        <v>4998</v>
      </c>
      <c r="M1677" s="799">
        <f t="shared" si="295"/>
        <v>0.99940011997600475</v>
      </c>
    </row>
    <row r="1678" spans="1:16" s="820" customFormat="1" ht="15" customHeight="1" x14ac:dyDescent="0.25">
      <c r="B1678" s="864" t="s">
        <v>22</v>
      </c>
      <c r="C1678" s="864"/>
      <c r="D1678" s="864"/>
      <c r="E1678" s="864"/>
      <c r="F1678" s="864"/>
      <c r="G1678" s="864"/>
      <c r="H1678" s="864"/>
      <c r="I1678" s="864"/>
      <c r="J1678" s="864"/>
      <c r="K1678" s="863">
        <f>K1671</f>
        <v>0</v>
      </c>
      <c r="L1678" s="863">
        <f>L1671</f>
        <v>5001</v>
      </c>
      <c r="M1678" s="452">
        <f t="shared" si="295"/>
        <v>1</v>
      </c>
      <c r="N1678" s="796"/>
      <c r="P1678" s="399"/>
    </row>
    <row r="1679" spans="1:16" s="820" customFormat="1" ht="15" customHeight="1" x14ac:dyDescent="0.25">
      <c r="B1679" s="864" t="s">
        <v>11469</v>
      </c>
      <c r="C1679" s="864"/>
      <c r="D1679" s="864"/>
      <c r="E1679" s="864"/>
      <c r="F1679" s="864"/>
      <c r="G1679" s="864"/>
      <c r="H1679" s="864"/>
      <c r="I1679" s="864"/>
      <c r="J1679" s="864"/>
      <c r="K1679" s="863"/>
      <c r="L1679" s="863"/>
      <c r="M1679" s="452"/>
      <c r="N1679" s="796"/>
      <c r="P1679" s="399"/>
    </row>
    <row r="1680" spans="1:16" s="31" customFormat="1" ht="15" customHeight="1" x14ac:dyDescent="0.25">
      <c r="B1680" s="869" t="s">
        <v>745</v>
      </c>
      <c r="C1680" s="869"/>
      <c r="D1680" s="869"/>
      <c r="E1680" s="869"/>
      <c r="F1680" s="869"/>
      <c r="G1680" s="869"/>
      <c r="H1680" s="869"/>
      <c r="I1680" s="869"/>
      <c r="J1680" s="869"/>
      <c r="K1680" s="870">
        <f>K1678</f>
        <v>0</v>
      </c>
      <c r="L1680" s="870">
        <v>1</v>
      </c>
      <c r="M1680" s="871">
        <f>L1680/L$1682</f>
        <v>1.9996000799840031E-4</v>
      </c>
      <c r="N1680" s="897"/>
      <c r="P1680" s="736"/>
    </row>
    <row r="1681" spans="1:16" s="31" customFormat="1" ht="15" customHeight="1" x14ac:dyDescent="0.25">
      <c r="B1681" s="869" t="s">
        <v>905</v>
      </c>
      <c r="C1681" s="869"/>
      <c r="D1681" s="869"/>
      <c r="E1681" s="869"/>
      <c r="F1681" s="869"/>
      <c r="G1681" s="869"/>
      <c r="H1681" s="869"/>
      <c r="I1681" s="869"/>
      <c r="J1681" s="869"/>
      <c r="K1681" s="870">
        <f>K1677+K1675+K1674</f>
        <v>0</v>
      </c>
      <c r="L1681" s="870">
        <f>L1677+L1675+L1674</f>
        <v>5000</v>
      </c>
      <c r="M1681" s="871">
        <f>L1681/L$1682</f>
        <v>0.99980003999200162</v>
      </c>
      <c r="N1681" s="897"/>
      <c r="P1681" s="736"/>
    </row>
    <row r="1682" spans="1:16" s="115" customFormat="1" ht="15" customHeight="1" x14ac:dyDescent="0.25">
      <c r="B1682" s="864" t="s">
        <v>2172</v>
      </c>
      <c r="C1682" s="864"/>
      <c r="D1682" s="864"/>
      <c r="E1682" s="864"/>
      <c r="F1682" s="864"/>
      <c r="G1682" s="864"/>
      <c r="H1682" s="864"/>
      <c r="I1682" s="864"/>
      <c r="J1682" s="864"/>
      <c r="K1682" s="863">
        <f>SUM(K1680:K1681)</f>
        <v>0</v>
      </c>
      <c r="L1682" s="863">
        <f>SUM(L1680:L1681)</f>
        <v>5001</v>
      </c>
      <c r="M1682" s="452">
        <f>L1682/L$1682</f>
        <v>1</v>
      </c>
      <c r="N1682" s="894"/>
      <c r="P1682" s="733"/>
    </row>
    <row r="1683" spans="1:16" s="742" customFormat="1" x14ac:dyDescent="0.25">
      <c r="B1683" s="400"/>
      <c r="C1683" s="400"/>
      <c r="D1683" s="480"/>
      <c r="E1683" s="399"/>
      <c r="G1683" s="776"/>
      <c r="H1683" s="776"/>
      <c r="I1683" s="399"/>
      <c r="K1683" s="783"/>
      <c r="L1683" s="110"/>
      <c r="M1683" s="448"/>
      <c r="N1683" s="796"/>
      <c r="P1683" s="399"/>
    </row>
    <row r="1686" spans="1:16" s="435" customFormat="1" ht="15" customHeight="1" x14ac:dyDescent="0.25">
      <c r="B1686" s="740" t="s">
        <v>989</v>
      </c>
      <c r="C1686" s="740"/>
      <c r="D1686" s="481"/>
      <c r="E1686" s="1371" t="s">
        <v>7911</v>
      </c>
      <c r="F1686" s="1371"/>
      <c r="G1686" s="1371"/>
      <c r="H1686" s="1371"/>
      <c r="I1686" s="1371"/>
      <c r="J1686" s="437"/>
      <c r="K1686" s="940"/>
      <c r="L1686" s="438"/>
      <c r="M1686" s="449"/>
      <c r="N1686" s="892"/>
      <c r="P1686" s="732"/>
    </row>
    <row r="1687" spans="1:16" s="435" customFormat="1" ht="15" customHeight="1" x14ac:dyDescent="0.25">
      <c r="B1687" s="740" t="s">
        <v>458</v>
      </c>
      <c r="C1687" s="740"/>
      <c r="D1687" s="481"/>
      <c r="E1687" s="1371" t="s">
        <v>7912</v>
      </c>
      <c r="F1687" s="1371"/>
      <c r="G1687" s="1371"/>
      <c r="H1687" s="1371"/>
      <c r="I1687" s="1371"/>
      <c r="J1687" s="437"/>
      <c r="K1687" s="940"/>
      <c r="L1687" s="438"/>
      <c r="M1687" s="449"/>
      <c r="N1687" s="892"/>
      <c r="P1687" s="732"/>
    </row>
    <row r="1688" spans="1:16" s="435" customFormat="1" ht="15" customHeight="1" x14ac:dyDescent="0.25">
      <c r="B1688" s="741" t="s">
        <v>5764</v>
      </c>
      <c r="C1688" s="741"/>
      <c r="D1688" s="741"/>
      <c r="E1688" s="1371" t="s">
        <v>749</v>
      </c>
      <c r="F1688" s="1371"/>
      <c r="G1688" s="1371"/>
      <c r="H1688" s="1371"/>
      <c r="I1688" s="1371"/>
      <c r="J1688" s="440"/>
      <c r="K1688" s="941"/>
      <c r="L1688" s="438"/>
      <c r="M1688" s="449"/>
      <c r="N1688" s="892"/>
      <c r="P1688" s="732"/>
    </row>
    <row r="1689" spans="1:16" s="851" customFormat="1" ht="113.25" customHeight="1" x14ac:dyDescent="0.25">
      <c r="A1689" s="396"/>
      <c r="B1689" s="1400" t="s">
        <v>2296</v>
      </c>
      <c r="C1689" s="1400"/>
      <c r="D1689" s="1400"/>
      <c r="E1689" s="1384" t="s">
        <v>2297</v>
      </c>
      <c r="F1689" s="1384"/>
      <c r="G1689" s="443" t="s">
        <v>444</v>
      </c>
      <c r="H1689" s="443" t="s">
        <v>2245</v>
      </c>
      <c r="I1689" s="444" t="s">
        <v>5725</v>
      </c>
      <c r="J1689" s="849" t="s">
        <v>2275</v>
      </c>
      <c r="K1689" s="893" t="s">
        <v>11644</v>
      </c>
      <c r="L1689" s="951" t="s">
        <v>11522</v>
      </c>
      <c r="M1689" s="450" t="s">
        <v>235</v>
      </c>
      <c r="N1689" s="796"/>
      <c r="P1689" s="399"/>
    </row>
    <row r="1690" spans="1:16" s="115" customFormat="1" ht="15" customHeight="1" x14ac:dyDescent="0.25">
      <c r="A1690" s="396"/>
      <c r="B1690" s="1385" t="s">
        <v>7913</v>
      </c>
      <c r="C1690" s="1385"/>
      <c r="D1690" s="1385"/>
      <c r="E1690" s="1385"/>
      <c r="F1690" s="1385"/>
      <c r="G1690" s="401"/>
      <c r="H1690" s="401"/>
      <c r="I1690" s="426"/>
      <c r="J1690" s="411"/>
      <c r="K1690" s="402">
        <f>K1693+K1701+K1709+K1715+K1830+K1900</f>
        <v>757129.91769564548</v>
      </c>
      <c r="L1690" s="402">
        <f>L1693+L1701+L1709+L1715+L1830+L1900</f>
        <v>972999.33778075245</v>
      </c>
      <c r="M1690" s="451">
        <f t="shared" ref="M1690:M1721" si="296">L1690/L$1924</f>
        <v>0.78893822347733467</v>
      </c>
      <c r="N1690" s="894"/>
      <c r="P1690" s="733"/>
    </row>
    <row r="1691" spans="1:16" s="742" customFormat="1" ht="15" customHeight="1" x14ac:dyDescent="0.25">
      <c r="A1691" s="396"/>
      <c r="B1691" s="1386" t="s">
        <v>7915</v>
      </c>
      <c r="C1691" s="1386"/>
      <c r="D1691" s="1386"/>
      <c r="E1691" s="1386"/>
      <c r="F1691" s="1386"/>
      <c r="G1691" s="403"/>
      <c r="H1691" s="403"/>
      <c r="I1691" s="427"/>
      <c r="J1691" s="412"/>
      <c r="K1691" s="404">
        <f t="shared" ref="K1691:L1692" si="297">K1692</f>
        <v>0</v>
      </c>
      <c r="L1691" s="404">
        <f t="shared" si="297"/>
        <v>2398.7393000000002</v>
      </c>
      <c r="M1691" s="452">
        <f t="shared" si="296"/>
        <v>1.9449726720715366E-3</v>
      </c>
      <c r="N1691" s="796"/>
      <c r="P1691" s="399"/>
    </row>
    <row r="1692" spans="1:16" s="742" customFormat="1" ht="15" customHeight="1" x14ac:dyDescent="0.25">
      <c r="A1692" s="396"/>
      <c r="B1692" s="1382" t="s">
        <v>7914</v>
      </c>
      <c r="C1692" s="1382"/>
      <c r="D1692" s="1382"/>
      <c r="E1692" s="1382"/>
      <c r="F1692" s="1382"/>
      <c r="G1692" s="405"/>
      <c r="H1692" s="405"/>
      <c r="I1692" s="428"/>
      <c r="J1692" s="413"/>
      <c r="K1692" s="406">
        <f t="shared" si="297"/>
        <v>0</v>
      </c>
      <c r="L1692" s="406">
        <f t="shared" si="297"/>
        <v>2398.7393000000002</v>
      </c>
      <c r="M1692" s="453">
        <f t="shared" si="296"/>
        <v>1.9449726720715366E-3</v>
      </c>
      <c r="N1692" s="796"/>
      <c r="P1692" s="399"/>
    </row>
    <row r="1693" spans="1:16" s="742" customFormat="1" ht="15" customHeight="1" x14ac:dyDescent="0.25">
      <c r="A1693" s="396"/>
      <c r="B1693" s="1383" t="s">
        <v>7927</v>
      </c>
      <c r="C1693" s="1383"/>
      <c r="D1693" s="1383"/>
      <c r="E1693" s="1383"/>
      <c r="F1693" s="1383"/>
      <c r="G1693" s="407"/>
      <c r="H1693" s="407"/>
      <c r="I1693" s="429"/>
      <c r="J1693" s="414"/>
      <c r="K1693" s="408">
        <f>K1694+K1695+K1696+K1697+K1698</f>
        <v>0</v>
      </c>
      <c r="L1693" s="408">
        <f>L1694+L1695+L1696+L1697+L1698+0.01</f>
        <v>2398.7393000000002</v>
      </c>
      <c r="M1693" s="454">
        <f t="shared" si="296"/>
        <v>1.9449726720715366E-3</v>
      </c>
      <c r="N1693" s="796"/>
      <c r="P1693" s="399"/>
    </row>
    <row r="1694" spans="1:16" s="115" customFormat="1" ht="15" customHeight="1" x14ac:dyDescent="0.25">
      <c r="A1694" s="396"/>
      <c r="B1694" s="1396">
        <v>300000</v>
      </c>
      <c r="C1694" s="1396"/>
      <c r="D1694" s="1396"/>
      <c r="E1694" s="854">
        <v>333904700000000</v>
      </c>
      <c r="F1694" s="600" t="s">
        <v>7923</v>
      </c>
      <c r="G1694" s="468">
        <v>20</v>
      </c>
      <c r="H1694" s="468">
        <v>0</v>
      </c>
      <c r="I1694" s="751"/>
      <c r="J1694" s="878" t="s">
        <v>7926</v>
      </c>
      <c r="K1694" s="789">
        <f>((('Parâmetros financeiros Despesa'!E809)))</f>
        <v>0</v>
      </c>
      <c r="L1694" s="789">
        <f>((('Parâmetros financeiros Despesa'!F809))*((1+'Parâmetros financeiros Despesa'!F$4)*(1+'Parâmetros financeiros Despesa'!F$7))*(1+'Parâmetros financeiros Despesa'!F$83))</f>
        <v>654.19889999999998</v>
      </c>
      <c r="M1694" s="799">
        <f t="shared" si="296"/>
        <v>5.3044488102532011E-4</v>
      </c>
      <c r="N1694" s="894"/>
      <c r="P1694" s="733"/>
    </row>
    <row r="1695" spans="1:16" s="115" customFormat="1" ht="15" customHeight="1" x14ac:dyDescent="0.25">
      <c r="A1695" s="396"/>
      <c r="B1695" s="1396">
        <v>300100</v>
      </c>
      <c r="C1695" s="1396"/>
      <c r="D1695" s="1396"/>
      <c r="E1695" s="854">
        <v>344903000000000</v>
      </c>
      <c r="F1695" s="855" t="s">
        <v>7924</v>
      </c>
      <c r="G1695" s="468">
        <v>20</v>
      </c>
      <c r="H1695" s="468">
        <v>0</v>
      </c>
      <c r="I1695" s="751"/>
      <c r="J1695" s="878" t="s">
        <v>7926</v>
      </c>
      <c r="K1695" s="789">
        <f>('Parâmetros financeiros Despesa'!E808)</f>
        <v>0</v>
      </c>
      <c r="L1695" s="789">
        <f>('Parâmetros financeiros Despesa'!F808)*((1+'Parâmetros financeiros Despesa'!F$4)*(1+'Parâmetros financeiros Despesa'!F$7))</f>
        <v>109.03315000000001</v>
      </c>
      <c r="M1695" s="799">
        <f t="shared" si="296"/>
        <v>8.8407480170886704E-5</v>
      </c>
      <c r="N1695" s="894"/>
      <c r="P1695" s="733"/>
    </row>
    <row r="1696" spans="1:16" s="457" customFormat="1" ht="15" customHeight="1" x14ac:dyDescent="0.25">
      <c r="A1696" s="396"/>
      <c r="B1696" s="1398" t="s">
        <v>7920</v>
      </c>
      <c r="C1696" s="1398"/>
      <c r="D1696" s="1398"/>
      <c r="E1696" s="854">
        <v>344903600000000</v>
      </c>
      <c r="F1696" s="855" t="s">
        <v>10469</v>
      </c>
      <c r="G1696" s="468">
        <v>20</v>
      </c>
      <c r="H1696" s="468">
        <v>0</v>
      </c>
      <c r="I1696" s="751"/>
      <c r="J1696" s="878" t="s">
        <v>7926</v>
      </c>
      <c r="K1696" s="789">
        <f>('Parâmetros financeiros Despesa'!E810)</f>
        <v>0</v>
      </c>
      <c r="L1696" s="789">
        <f>('Parâmetros financeiros Despesa'!F810)*((1+'Parâmetros financeiros Despesa'!F$4)*(1+'Parâmetros financeiros Despesa'!F$7))</f>
        <v>545.16575</v>
      </c>
      <c r="M1696" s="799">
        <f t="shared" si="296"/>
        <v>4.4203740085443346E-4</v>
      </c>
      <c r="N1696" s="895"/>
      <c r="P1696" s="734"/>
    </row>
    <row r="1697" spans="1:16" s="457" customFormat="1" ht="13.5" customHeight="1" x14ac:dyDescent="0.25">
      <c r="A1697" s="396"/>
      <c r="B1697" s="1398" t="s">
        <v>7921</v>
      </c>
      <c r="C1697" s="1398"/>
      <c r="D1697" s="1398"/>
      <c r="E1697" s="854">
        <v>344903900000000</v>
      </c>
      <c r="F1697" s="855" t="s">
        <v>10470</v>
      </c>
      <c r="G1697" s="468">
        <v>20</v>
      </c>
      <c r="H1697" s="468">
        <v>0</v>
      </c>
      <c r="I1697" s="751"/>
      <c r="J1697" s="878" t="s">
        <v>7926</v>
      </c>
      <c r="K1697" s="789">
        <f>('Parâmetros financeiros Despesa'!E810)</f>
        <v>0</v>
      </c>
      <c r="L1697" s="789">
        <f>('Parâmetros financeiros Despesa'!F810)*((1+'Parâmetros financeiros Despesa'!F$4)*(1+'Parâmetros financeiros Despesa'!F$7))</f>
        <v>545.16575</v>
      </c>
      <c r="M1697" s="799">
        <f t="shared" si="296"/>
        <v>4.4203740085443346E-4</v>
      </c>
      <c r="N1697" s="895"/>
      <c r="P1697" s="734"/>
    </row>
    <row r="1698" spans="1:16" s="457" customFormat="1" ht="15" customHeight="1" x14ac:dyDescent="0.25">
      <c r="A1698" s="396"/>
      <c r="B1698" s="1398" t="s">
        <v>7922</v>
      </c>
      <c r="C1698" s="1398"/>
      <c r="D1698" s="1398"/>
      <c r="E1698" s="854">
        <v>344905100000000</v>
      </c>
      <c r="F1698" s="855" t="s">
        <v>7925</v>
      </c>
      <c r="G1698" s="468">
        <v>20</v>
      </c>
      <c r="H1698" s="468">
        <v>0</v>
      </c>
      <c r="I1698" s="751"/>
      <c r="J1698" s="878" t="s">
        <v>7926</v>
      </c>
      <c r="K1698" s="789">
        <f>('Parâmetros financeiros Despesa'!E811)</f>
        <v>0</v>
      </c>
      <c r="L1698" s="789">
        <f>('Parâmetros financeiros Despesa'!F811)*((1+'Parâmetros financeiros Despesa'!F$4)*(1+'Parâmetros financeiros Despesa'!F$7))</f>
        <v>545.16575</v>
      </c>
      <c r="M1698" s="799">
        <f t="shared" si="296"/>
        <v>4.4203740085443346E-4</v>
      </c>
      <c r="N1698" s="895"/>
      <c r="P1698" s="734"/>
    </row>
    <row r="1699" spans="1:16" s="742" customFormat="1" ht="15" customHeight="1" x14ac:dyDescent="0.25">
      <c r="A1699" s="396"/>
      <c r="B1699" s="1386" t="s">
        <v>7917</v>
      </c>
      <c r="C1699" s="1386"/>
      <c r="D1699" s="1386"/>
      <c r="E1699" s="1386"/>
      <c r="F1699" s="1386"/>
      <c r="G1699" s="403">
        <v>20</v>
      </c>
      <c r="H1699" s="403">
        <v>0</v>
      </c>
      <c r="I1699" s="427"/>
      <c r="J1699" s="412">
        <v>0</v>
      </c>
      <c r="K1699" s="404">
        <f t="shared" ref="K1699:L1700" si="298">K1700</f>
        <v>0</v>
      </c>
      <c r="L1699" s="404">
        <f t="shared" si="298"/>
        <v>2834.8819000000003</v>
      </c>
      <c r="M1699" s="452">
        <f t="shared" si="296"/>
        <v>2.2986107010671123E-3</v>
      </c>
      <c r="N1699" s="796"/>
      <c r="P1699" s="399"/>
    </row>
    <row r="1700" spans="1:16" s="742" customFormat="1" ht="15" customHeight="1" x14ac:dyDescent="0.25">
      <c r="A1700" s="396"/>
      <c r="B1700" s="1382" t="s">
        <v>7914</v>
      </c>
      <c r="C1700" s="1382"/>
      <c r="D1700" s="1382"/>
      <c r="E1700" s="1382"/>
      <c r="F1700" s="1382"/>
      <c r="G1700" s="405">
        <v>20</v>
      </c>
      <c r="H1700" s="405">
        <v>0</v>
      </c>
      <c r="I1700" s="428"/>
      <c r="J1700" s="413">
        <v>0</v>
      </c>
      <c r="K1700" s="406">
        <f t="shared" si="298"/>
        <v>0</v>
      </c>
      <c r="L1700" s="406">
        <f t="shared" si="298"/>
        <v>2834.8819000000003</v>
      </c>
      <c r="M1700" s="453">
        <f t="shared" si="296"/>
        <v>2.2986107010671123E-3</v>
      </c>
      <c r="N1700" s="796"/>
      <c r="P1700" s="399"/>
    </row>
    <row r="1701" spans="1:16" s="742" customFormat="1" ht="15" customHeight="1" x14ac:dyDescent="0.25">
      <c r="A1701" s="396"/>
      <c r="B1701" s="1383" t="s">
        <v>7927</v>
      </c>
      <c r="C1701" s="1383"/>
      <c r="D1701" s="1383"/>
      <c r="E1701" s="1383"/>
      <c r="F1701" s="1383"/>
      <c r="G1701" s="407">
        <v>20</v>
      </c>
      <c r="H1701" s="407">
        <v>0</v>
      </c>
      <c r="I1701" s="429"/>
      <c r="J1701" s="414">
        <v>0</v>
      </c>
      <c r="K1701" s="408">
        <f>K1702+K1703+K1704+K1705+K1706</f>
        <v>0</v>
      </c>
      <c r="L1701" s="408">
        <f>L1702+L1703+L1704+L1705+L1706+0.02</f>
        <v>2834.8819000000003</v>
      </c>
      <c r="M1701" s="454">
        <f t="shared" si="296"/>
        <v>2.2986107010671123E-3</v>
      </c>
      <c r="N1701" s="796"/>
      <c r="P1701" s="399"/>
    </row>
    <row r="1702" spans="1:16" s="115" customFormat="1" ht="15" customHeight="1" x14ac:dyDescent="0.25">
      <c r="A1702" s="396"/>
      <c r="B1702" s="1396">
        <v>301000</v>
      </c>
      <c r="C1702" s="1396"/>
      <c r="D1702" s="1396"/>
      <c r="E1702" s="854">
        <v>333904700000000</v>
      </c>
      <c r="F1702" s="600" t="s">
        <v>7929</v>
      </c>
      <c r="G1702" s="468">
        <v>20</v>
      </c>
      <c r="H1702" s="468">
        <v>0</v>
      </c>
      <c r="I1702" s="751"/>
      <c r="J1702" s="878" t="s">
        <v>7926</v>
      </c>
      <c r="K1702" s="789">
        <f>((('Parâmetros financeiros Despesa'!E814)))</f>
        <v>0</v>
      </c>
      <c r="L1702" s="789">
        <f>((('Parâmetros financeiros Despesa'!F814))*((1+'Parâmetros financeiros Despesa'!F$4)*(1+'Parâmetros financeiros Despesa'!F$7))*(1+'Parâmetros financeiros Despesa'!F$83))</f>
        <v>654.19889999999998</v>
      </c>
      <c r="M1702" s="799">
        <f t="shared" si="296"/>
        <v>5.3044488102532011E-4</v>
      </c>
      <c r="N1702" s="894"/>
      <c r="P1702" s="733"/>
    </row>
    <row r="1703" spans="1:16" s="115" customFormat="1" ht="15" customHeight="1" x14ac:dyDescent="0.25">
      <c r="A1703" s="396"/>
      <c r="B1703" s="1396">
        <v>301100</v>
      </c>
      <c r="C1703" s="1396"/>
      <c r="D1703" s="1396"/>
      <c r="E1703" s="854">
        <v>344903000000000</v>
      </c>
      <c r="F1703" s="855" t="s">
        <v>7928</v>
      </c>
      <c r="G1703" s="468">
        <v>20</v>
      </c>
      <c r="H1703" s="468">
        <v>0</v>
      </c>
      <c r="I1703" s="751"/>
      <c r="J1703" s="878" t="s">
        <v>7926</v>
      </c>
      <c r="K1703" s="789">
        <f>('Parâmetros financeiros Despesa'!E813)</f>
        <v>0</v>
      </c>
      <c r="L1703" s="789">
        <f>('Parâmetros financeiros Despesa'!F813)*((1+'Parâmetros financeiros Despesa'!F$4)*(1+'Parâmetros financeiros Despesa'!F$7))</f>
        <v>545.16575</v>
      </c>
      <c r="M1703" s="799">
        <f t="shared" si="296"/>
        <v>4.4203740085443346E-4</v>
      </c>
      <c r="N1703" s="894"/>
      <c r="P1703" s="733"/>
    </row>
    <row r="1704" spans="1:16" s="457" customFormat="1" ht="15" customHeight="1" x14ac:dyDescent="0.25">
      <c r="A1704" s="396"/>
      <c r="B1704" s="1398" t="s">
        <v>7933</v>
      </c>
      <c r="C1704" s="1398"/>
      <c r="D1704" s="1398"/>
      <c r="E1704" s="854">
        <v>344903600000000</v>
      </c>
      <c r="F1704" s="855" t="s">
        <v>7930</v>
      </c>
      <c r="G1704" s="468">
        <v>20</v>
      </c>
      <c r="H1704" s="468">
        <v>0</v>
      </c>
      <c r="I1704" s="751"/>
      <c r="J1704" s="878" t="s">
        <v>7926</v>
      </c>
      <c r="K1704" s="789">
        <f>('Parâmetros financeiros Despesa'!E814)</f>
        <v>0</v>
      </c>
      <c r="L1704" s="789">
        <f>('Parâmetros financeiros Despesa'!F814)*((1+'Parâmetros financeiros Despesa'!F$4)*(1+'Parâmetros financeiros Despesa'!F$7))</f>
        <v>545.16575</v>
      </c>
      <c r="M1704" s="799">
        <f t="shared" si="296"/>
        <v>4.4203740085443346E-4</v>
      </c>
      <c r="N1704" s="895"/>
      <c r="P1704" s="734"/>
    </row>
    <row r="1705" spans="1:16" s="457" customFormat="1" ht="13.5" customHeight="1" x14ac:dyDescent="0.25">
      <c r="A1705" s="396"/>
      <c r="B1705" s="1398" t="s">
        <v>7934</v>
      </c>
      <c r="C1705" s="1398"/>
      <c r="D1705" s="1398"/>
      <c r="E1705" s="854">
        <v>344903900000000</v>
      </c>
      <c r="F1705" s="855" t="s">
        <v>7931</v>
      </c>
      <c r="G1705" s="468">
        <v>20</v>
      </c>
      <c r="H1705" s="468">
        <v>0</v>
      </c>
      <c r="I1705" s="751"/>
      <c r="J1705" s="878" t="s">
        <v>7926</v>
      </c>
      <c r="K1705" s="789">
        <f>('Parâmetros financeiros Despesa'!E815)</f>
        <v>0</v>
      </c>
      <c r="L1705" s="789">
        <f>('Parâmetros financeiros Despesa'!F815)*((1+'Parâmetros financeiros Despesa'!F$4)*(1+'Parâmetros financeiros Despesa'!F$7))</f>
        <v>545.16575</v>
      </c>
      <c r="M1705" s="799">
        <f t="shared" si="296"/>
        <v>4.4203740085443346E-4</v>
      </c>
      <c r="N1705" s="895"/>
      <c r="P1705" s="734"/>
    </row>
    <row r="1706" spans="1:16" s="457" customFormat="1" ht="15" customHeight="1" x14ac:dyDescent="0.25">
      <c r="A1706" s="396"/>
      <c r="B1706" s="1398" t="s">
        <v>7935</v>
      </c>
      <c r="C1706" s="1398"/>
      <c r="D1706" s="1398"/>
      <c r="E1706" s="854">
        <v>344905200000000</v>
      </c>
      <c r="F1706" s="855" t="s">
        <v>10474</v>
      </c>
      <c r="G1706" s="468">
        <v>20</v>
      </c>
      <c r="H1706" s="468">
        <v>0</v>
      </c>
      <c r="I1706" s="751"/>
      <c r="J1706" s="878" t="s">
        <v>7926</v>
      </c>
      <c r="K1706" s="789">
        <f>('Parâmetros financeiros Despesa'!E816)</f>
        <v>0</v>
      </c>
      <c r="L1706" s="789">
        <f>('Parâmetros financeiros Despesa'!F816)*((1+'Parâmetros financeiros Despesa'!F$4)*(1+'Parâmetros financeiros Despesa'!F$7))</f>
        <v>545.16575</v>
      </c>
      <c r="M1706" s="799">
        <f t="shared" si="296"/>
        <v>4.4203740085443346E-4</v>
      </c>
      <c r="N1706" s="895"/>
      <c r="P1706" s="734"/>
    </row>
    <row r="1707" spans="1:16" s="742" customFormat="1" ht="15" customHeight="1" x14ac:dyDescent="0.25">
      <c r="A1707" s="396"/>
      <c r="B1707" s="1386" t="s">
        <v>7918</v>
      </c>
      <c r="C1707" s="1386"/>
      <c r="D1707" s="1386"/>
      <c r="E1707" s="1386"/>
      <c r="F1707" s="1386"/>
      <c r="G1707" s="403">
        <v>20</v>
      </c>
      <c r="H1707" s="403">
        <v>0</v>
      </c>
      <c r="I1707" s="427"/>
      <c r="J1707" s="412">
        <v>0</v>
      </c>
      <c r="K1707" s="404">
        <f t="shared" ref="K1707:L1708" si="299">K1708</f>
        <v>403.005</v>
      </c>
      <c r="L1707" s="404">
        <f t="shared" si="299"/>
        <v>45902.966150000007</v>
      </c>
      <c r="M1707" s="452">
        <f t="shared" si="296"/>
        <v>3.7219557260255332E-2</v>
      </c>
      <c r="N1707" s="796"/>
      <c r="P1707" s="399"/>
    </row>
    <row r="1708" spans="1:16" s="742" customFormat="1" ht="15" customHeight="1" x14ac:dyDescent="0.25">
      <c r="A1708" s="396"/>
      <c r="B1708" s="1382" t="s">
        <v>7914</v>
      </c>
      <c r="C1708" s="1382"/>
      <c r="D1708" s="1382"/>
      <c r="E1708" s="1382"/>
      <c r="F1708" s="1382"/>
      <c r="G1708" s="405">
        <v>20</v>
      </c>
      <c r="H1708" s="405">
        <v>0</v>
      </c>
      <c r="I1708" s="428"/>
      <c r="J1708" s="413">
        <v>0</v>
      </c>
      <c r="K1708" s="406">
        <f t="shared" si="299"/>
        <v>403.005</v>
      </c>
      <c r="L1708" s="406">
        <f t="shared" si="299"/>
        <v>45902.966150000007</v>
      </c>
      <c r="M1708" s="453">
        <f t="shared" si="296"/>
        <v>3.7219557260255332E-2</v>
      </c>
      <c r="N1708" s="796"/>
      <c r="P1708" s="399"/>
    </row>
    <row r="1709" spans="1:16" s="742" customFormat="1" ht="15" customHeight="1" x14ac:dyDescent="0.25">
      <c r="A1709" s="396"/>
      <c r="B1709" s="1383" t="s">
        <v>7927</v>
      </c>
      <c r="C1709" s="1383"/>
      <c r="D1709" s="1383"/>
      <c r="E1709" s="1383"/>
      <c r="F1709" s="1383"/>
      <c r="G1709" s="407">
        <v>20</v>
      </c>
      <c r="H1709" s="407">
        <v>0</v>
      </c>
      <c r="I1709" s="429"/>
      <c r="J1709" s="414">
        <v>0</v>
      </c>
      <c r="K1709" s="408">
        <f>K1710+K1711+K1712+K1713+K1714</f>
        <v>403.005</v>
      </c>
      <c r="L1709" s="408">
        <f>L1710+L1711+L1712+L1713+L1714+0.01</f>
        <v>45902.966150000007</v>
      </c>
      <c r="M1709" s="454">
        <f t="shared" si="296"/>
        <v>3.7219557260255332E-2</v>
      </c>
      <c r="N1709" s="796"/>
      <c r="P1709" s="399"/>
    </row>
    <row r="1710" spans="1:16" s="115" customFormat="1" ht="15" customHeight="1" x14ac:dyDescent="0.25">
      <c r="A1710" s="396"/>
      <c r="B1710" s="1396">
        <v>302000</v>
      </c>
      <c r="C1710" s="1396"/>
      <c r="D1710" s="1396"/>
      <c r="E1710" s="854">
        <v>333904700000000</v>
      </c>
      <c r="F1710" s="600" t="s">
        <v>7942</v>
      </c>
      <c r="G1710" s="468">
        <v>20</v>
      </c>
      <c r="H1710" s="468">
        <v>0</v>
      </c>
      <c r="I1710" s="751"/>
      <c r="J1710" s="878" t="s">
        <v>7926</v>
      </c>
      <c r="K1710" s="789">
        <f>((('Parâmetros financeiros Despesa'!E819)))</f>
        <v>0</v>
      </c>
      <c r="L1710" s="789">
        <f>((('Parâmetros financeiros Despesa'!F819))*((1+'Parâmetros financeiros Despesa'!F$4)*(1+'Parâmetros financeiros Despesa'!F$7))*(1+'Parâmetros financeiros Despesa'!F$83))</f>
        <v>654.19889999999998</v>
      </c>
      <c r="M1710" s="799">
        <f t="shared" si="296"/>
        <v>5.3044488102532011E-4</v>
      </c>
      <c r="N1710" s="894"/>
      <c r="P1710" s="733"/>
    </row>
    <row r="1711" spans="1:16" s="115" customFormat="1" ht="15" customHeight="1" x14ac:dyDescent="0.25">
      <c r="A1711" s="396"/>
      <c r="B1711" s="1396">
        <v>302100</v>
      </c>
      <c r="C1711" s="1396"/>
      <c r="D1711" s="1396"/>
      <c r="E1711" s="854">
        <v>344903000000000</v>
      </c>
      <c r="F1711" s="855" t="s">
        <v>7943</v>
      </c>
      <c r="G1711" s="468">
        <v>20</v>
      </c>
      <c r="H1711" s="468">
        <v>0</v>
      </c>
      <c r="I1711" s="751"/>
      <c r="J1711" s="878" t="s">
        <v>7926</v>
      </c>
      <c r="K1711" s="789">
        <f>('Parâmetros financeiros Despesa'!E818)</f>
        <v>0</v>
      </c>
      <c r="L1711" s="789">
        <f>('Parâmetros financeiros Despesa'!F818)*((1+'Parâmetros financeiros Despesa'!F$4)*(1+'Parâmetros financeiros Despesa'!F$7))</f>
        <v>545.16575</v>
      </c>
      <c r="M1711" s="799">
        <f t="shared" si="296"/>
        <v>4.4203740085443346E-4</v>
      </c>
      <c r="N1711" s="894"/>
      <c r="P1711" s="733"/>
    </row>
    <row r="1712" spans="1:16" s="457" customFormat="1" ht="15" customHeight="1" x14ac:dyDescent="0.25">
      <c r="A1712" s="396"/>
      <c r="B1712" s="1398" t="s">
        <v>7936</v>
      </c>
      <c r="C1712" s="1398"/>
      <c r="D1712" s="1398"/>
      <c r="E1712" s="854">
        <v>344903600000000</v>
      </c>
      <c r="F1712" s="855" t="s">
        <v>7944</v>
      </c>
      <c r="G1712" s="468">
        <v>20</v>
      </c>
      <c r="H1712" s="468">
        <v>0</v>
      </c>
      <c r="I1712" s="751"/>
      <c r="J1712" s="878" t="s">
        <v>7926</v>
      </c>
      <c r="K1712" s="789">
        <f>('Parâmetros financeiros Despesa'!E819)</f>
        <v>0</v>
      </c>
      <c r="L1712" s="789">
        <f>('Parâmetros financeiros Despesa'!F819)*((1+'Parâmetros financeiros Despesa'!F$4)*(1+'Parâmetros financeiros Despesa'!F$7))</f>
        <v>545.16575</v>
      </c>
      <c r="M1712" s="799">
        <f t="shared" si="296"/>
        <v>4.4203740085443346E-4</v>
      </c>
      <c r="N1712" s="895"/>
      <c r="P1712" s="734"/>
    </row>
    <row r="1713" spans="1:16" s="457" customFormat="1" ht="13.5" customHeight="1" x14ac:dyDescent="0.25">
      <c r="A1713" s="396"/>
      <c r="B1713" s="1398" t="s">
        <v>7937</v>
      </c>
      <c r="C1713" s="1398"/>
      <c r="D1713" s="1398"/>
      <c r="E1713" s="854">
        <v>344903900000000</v>
      </c>
      <c r="F1713" s="855" t="s">
        <v>7945</v>
      </c>
      <c r="G1713" s="468">
        <v>20</v>
      </c>
      <c r="H1713" s="468">
        <v>0</v>
      </c>
      <c r="I1713" s="751"/>
      <c r="J1713" s="878" t="s">
        <v>7926</v>
      </c>
      <c r="K1713" s="789">
        <f>('Parâmetros financeiros Despesa'!E820)</f>
        <v>0</v>
      </c>
      <c r="L1713" s="789">
        <f>('Parâmetros financeiros Despesa'!F820)*((1+'Parâmetros financeiros Despesa'!F$4)*(1+'Parâmetros financeiros Despesa'!F$7))</f>
        <v>545.16575</v>
      </c>
      <c r="M1713" s="799">
        <f t="shared" si="296"/>
        <v>4.4203740085443346E-4</v>
      </c>
      <c r="N1713" s="895"/>
      <c r="P1713" s="734"/>
    </row>
    <row r="1714" spans="1:16" s="457" customFormat="1" ht="15" customHeight="1" x14ac:dyDescent="0.25">
      <c r="A1714" s="396"/>
      <c r="B1714" s="1398" t="s">
        <v>7939</v>
      </c>
      <c r="C1714" s="1398"/>
      <c r="D1714" s="1398"/>
      <c r="E1714" s="854">
        <v>344905200000000</v>
      </c>
      <c r="F1714" s="855" t="s">
        <v>10473</v>
      </c>
      <c r="G1714" s="468">
        <v>20</v>
      </c>
      <c r="H1714" s="468">
        <v>0</v>
      </c>
      <c r="I1714" s="751"/>
      <c r="J1714" s="878" t="s">
        <v>7926</v>
      </c>
      <c r="K1714" s="789">
        <f>('Parâmetros financeiros Despesa'!E821)</f>
        <v>403.005</v>
      </c>
      <c r="L1714" s="789">
        <f>('Parâmetros financeiros Despesa'!F821)*((1+'Parâmetros financeiros Despesa'!F$4)*(1+'Parâmetros financeiros Despesa'!F$7))</f>
        <v>43613.26</v>
      </c>
      <c r="M1714" s="799">
        <f t="shared" si="296"/>
        <v>3.5362992068354679E-2</v>
      </c>
      <c r="N1714" s="895"/>
      <c r="P1714" s="734"/>
    </row>
    <row r="1715" spans="1:16" s="742" customFormat="1" ht="15" customHeight="1" x14ac:dyDescent="0.25">
      <c r="A1715" s="397"/>
      <c r="B1715" s="1385" t="s">
        <v>5951</v>
      </c>
      <c r="C1715" s="1385"/>
      <c r="D1715" s="1385"/>
      <c r="E1715" s="1385"/>
      <c r="F1715" s="1385"/>
      <c r="G1715" s="401"/>
      <c r="H1715" s="401"/>
      <c r="I1715" s="426"/>
      <c r="J1715" s="411"/>
      <c r="K1715" s="402">
        <f t="shared" ref="K1715:L1717" si="300">K1716</f>
        <v>567497.38003314543</v>
      </c>
      <c r="L1715" s="402">
        <f t="shared" si="300"/>
        <v>648257.92408584664</v>
      </c>
      <c r="M1715" s="451">
        <f t="shared" si="296"/>
        <v>0.52562775237842485</v>
      </c>
      <c r="N1715" s="796"/>
      <c r="P1715" s="399"/>
    </row>
    <row r="1716" spans="1:16" s="742" customFormat="1" ht="15" customHeight="1" x14ac:dyDescent="0.25">
      <c r="A1716" s="396"/>
      <c r="B1716" s="1386" t="s">
        <v>7919</v>
      </c>
      <c r="C1716" s="1386"/>
      <c r="D1716" s="1386"/>
      <c r="E1716" s="1386"/>
      <c r="F1716" s="1386"/>
      <c r="G1716" s="403"/>
      <c r="H1716" s="403"/>
      <c r="I1716" s="427"/>
      <c r="J1716" s="412"/>
      <c r="K1716" s="404">
        <f t="shared" si="300"/>
        <v>567497.38003314543</v>
      </c>
      <c r="L1716" s="404">
        <f t="shared" si="300"/>
        <v>648257.92408584664</v>
      </c>
      <c r="M1716" s="452">
        <f t="shared" si="296"/>
        <v>0.52562775237842485</v>
      </c>
      <c r="N1716" s="796"/>
      <c r="P1716" s="399"/>
    </row>
    <row r="1717" spans="1:16" s="742" customFormat="1" ht="15" customHeight="1" x14ac:dyDescent="0.25">
      <c r="A1717" s="396"/>
      <c r="B1717" s="1382" t="s">
        <v>7914</v>
      </c>
      <c r="C1717" s="1382"/>
      <c r="D1717" s="1382"/>
      <c r="E1717" s="1382"/>
      <c r="F1717" s="1382"/>
      <c r="G1717" s="405"/>
      <c r="H1717" s="405"/>
      <c r="I1717" s="428"/>
      <c r="J1717" s="413"/>
      <c r="K1717" s="406">
        <f t="shared" si="300"/>
        <v>567497.38003314543</v>
      </c>
      <c r="L1717" s="406">
        <f t="shared" si="300"/>
        <v>648257.92408584664</v>
      </c>
      <c r="M1717" s="453">
        <f t="shared" si="296"/>
        <v>0.52562775237842485</v>
      </c>
      <c r="N1717" s="796"/>
      <c r="P1717" s="399"/>
    </row>
    <row r="1718" spans="1:16" s="742" customFormat="1" ht="15" customHeight="1" x14ac:dyDescent="0.25">
      <c r="A1718" s="396"/>
      <c r="B1718" s="1383" t="s">
        <v>7927</v>
      </c>
      <c r="C1718" s="1383"/>
      <c r="D1718" s="1383"/>
      <c r="E1718" s="1383"/>
      <c r="F1718" s="1383"/>
      <c r="G1718" s="407"/>
      <c r="H1718" s="407"/>
      <c r="I1718" s="429"/>
      <c r="J1718" s="414"/>
      <c r="K1718" s="408">
        <f>K1719+K1721+K1737+K1741+K1743+K1748+K1779+K1781+K1788+K1790+K1794+K1819+K1824+K1826+K1828+0.01</f>
        <v>567497.38003314543</v>
      </c>
      <c r="L1718" s="408">
        <f>L1719+L1720+L1721+L1737+L1741+L1743+L1748+L1779+L1781+L1788+L1790+L1794+L1819+L1824+L1826+L1828-0.01</f>
        <v>648257.92408584664</v>
      </c>
      <c r="M1718" s="454">
        <f t="shared" si="296"/>
        <v>0.52562775237842485</v>
      </c>
      <c r="N1718" s="796"/>
      <c r="P1718" s="399"/>
    </row>
    <row r="1719" spans="1:16" s="115" customFormat="1" ht="15" customHeight="1" x14ac:dyDescent="0.25">
      <c r="A1719" s="396"/>
      <c r="B1719" s="1398" t="s">
        <v>7948</v>
      </c>
      <c r="C1719" s="1398"/>
      <c r="D1719" s="1398"/>
      <c r="E1719" s="854">
        <v>331900400000000</v>
      </c>
      <c r="F1719" s="855" t="s">
        <v>5851</v>
      </c>
      <c r="G1719" s="468">
        <v>20</v>
      </c>
      <c r="H1719" s="468">
        <v>0</v>
      </c>
      <c r="I1719" s="751"/>
      <c r="J1719" s="878" t="s">
        <v>5966</v>
      </c>
      <c r="K1719" s="789">
        <f>(('Parâmetros financeiros Despesa'!E823))</f>
        <v>0</v>
      </c>
      <c r="L1719" s="789">
        <f>(('Parâmetros financeiros Despesa'!F823)*2.05+(('Parâmetros financeiros Despesa'!F823)*11.28)*(1+'Parâmetros financeiros Despesa'!F$4)*(1+'Parâmetros financeiros Despesa'!F$8))*(1+'Parâmetros financeiros Despesa'!F$80)</f>
        <v>17.278630081629636</v>
      </c>
      <c r="M1719" s="799">
        <f t="shared" si="296"/>
        <v>1.4010052413616946E-5</v>
      </c>
      <c r="N1719" s="894"/>
      <c r="P1719" s="733"/>
    </row>
    <row r="1720" spans="1:16" s="1018" customFormat="1" ht="15" customHeight="1" x14ac:dyDescent="0.25">
      <c r="A1720" s="859"/>
      <c r="B1720" s="994"/>
      <c r="C1720" s="994"/>
      <c r="D1720" s="994" t="s">
        <v>11587</v>
      </c>
      <c r="E1720" s="854">
        <v>331900800000000</v>
      </c>
      <c r="F1720" s="855" t="s">
        <v>11571</v>
      </c>
      <c r="G1720" s="468">
        <v>1</v>
      </c>
      <c r="H1720" s="468">
        <v>0</v>
      </c>
      <c r="I1720" s="751"/>
      <c r="J1720" s="878" t="s">
        <v>5966</v>
      </c>
      <c r="K1720" s="789">
        <f>(('Parâmetros financeiros Despesa'!E824))</f>
        <v>31456.134000000002</v>
      </c>
      <c r="L1720" s="789">
        <f>(('Parâmetros financeiros Despesa'!F824)*2.05+(('Parâmetros financeiros Despesa'!F824)*11.28)*(1+'Parâmetros financeiros Despesa'!F$4)*(1+'Parâmetros financeiros Despesa'!F$8))</f>
        <v>32932.96895601596</v>
      </c>
      <c r="M1720" s="799">
        <f t="shared" si="296"/>
        <v>2.6703078833798785E-2</v>
      </c>
      <c r="N1720" s="883"/>
      <c r="P1720" s="1019"/>
    </row>
    <row r="1721" spans="1:16" s="115" customFormat="1" ht="15" customHeight="1" x14ac:dyDescent="0.25">
      <c r="A1721" s="396"/>
      <c r="B1721" s="1398" t="s">
        <v>7949</v>
      </c>
      <c r="C1721" s="1398"/>
      <c r="D1721" s="1398"/>
      <c r="E1721" s="854">
        <v>331901100000000</v>
      </c>
      <c r="F1721" s="855" t="s">
        <v>7941</v>
      </c>
      <c r="G1721" s="468">
        <v>20</v>
      </c>
      <c r="H1721" s="468">
        <v>0</v>
      </c>
      <c r="I1721" s="751"/>
      <c r="J1721" s="878" t="s">
        <v>5966</v>
      </c>
      <c r="K1721" s="789">
        <f>('Parâmetros financeiros Despesa'!E825)</f>
        <v>334814.37547500007</v>
      </c>
      <c r="L1721" s="789">
        <f>('Parâmetros financeiros Despesa'!F825)*2.05+(('Parâmetros financeiros Despesa'!F825)*11.28)*(1+'Parâmetros financeiros Despesa'!F$4)*(1+'Parâmetros financeiros Despesa'!F$8)</f>
        <v>380460.50333348481</v>
      </c>
      <c r="M1721" s="799">
        <f t="shared" si="296"/>
        <v>0.30848924757526158</v>
      </c>
      <c r="N1721" s="894"/>
      <c r="P1721" s="733"/>
    </row>
    <row r="1722" spans="1:16" s="742" customFormat="1" ht="15" customHeight="1" x14ac:dyDescent="0.25">
      <c r="A1722" s="397"/>
      <c r="B1722" s="599">
        <f>B1721+1</f>
        <v>305101</v>
      </c>
      <c r="C1722" s="600" t="s">
        <v>6062</v>
      </c>
      <c r="D1722" s="600" t="str">
        <f>B1721</f>
        <v>305100</v>
      </c>
      <c r="E1722" s="417">
        <v>331901101010000</v>
      </c>
      <c r="F1722" s="418" t="s">
        <v>6904</v>
      </c>
      <c r="G1722" s="603">
        <v>20</v>
      </c>
      <c r="H1722" s="603">
        <v>0</v>
      </c>
      <c r="I1722" s="601">
        <v>311210101000000</v>
      </c>
      <c r="J1722" s="602" t="s">
        <v>6023</v>
      </c>
      <c r="K1722" s="891">
        <v>0</v>
      </c>
      <c r="L1722" s="891">
        <v>0</v>
      </c>
      <c r="M1722" s="477">
        <f t="shared" ref="M1722:M1753" si="301">L1722/L$1924</f>
        <v>0</v>
      </c>
      <c r="N1722" s="796"/>
      <c r="P1722" s="399"/>
    </row>
    <row r="1723" spans="1:16" s="742" customFormat="1" ht="15" customHeight="1" x14ac:dyDescent="0.25">
      <c r="A1723" s="397"/>
      <c r="B1723" s="478">
        <f>B1722+1</f>
        <v>305102</v>
      </c>
      <c r="C1723" s="600" t="s">
        <v>6062</v>
      </c>
      <c r="D1723" s="528" t="str">
        <f>D1722</f>
        <v>305100</v>
      </c>
      <c r="E1723" s="417">
        <v>331901101040000</v>
      </c>
      <c r="F1723" s="418" t="s">
        <v>2256</v>
      </c>
      <c r="G1723" s="603">
        <v>20</v>
      </c>
      <c r="H1723" s="603">
        <v>0</v>
      </c>
      <c r="I1723" s="601">
        <v>311210101000000</v>
      </c>
      <c r="J1723" s="602" t="s">
        <v>6024</v>
      </c>
      <c r="K1723" s="891">
        <v>0</v>
      </c>
      <c r="L1723" s="891">
        <v>0</v>
      </c>
      <c r="M1723" s="477">
        <f t="shared" si="301"/>
        <v>0</v>
      </c>
      <c r="N1723" s="796"/>
      <c r="P1723" s="399"/>
    </row>
    <row r="1724" spans="1:16" s="742" customFormat="1" ht="15" customHeight="1" x14ac:dyDescent="0.25">
      <c r="A1724" s="397"/>
      <c r="B1724" s="478">
        <f>B1723+1</f>
        <v>305103</v>
      </c>
      <c r="C1724" s="600" t="s">
        <v>6062</v>
      </c>
      <c r="D1724" s="528" t="str">
        <f>D1723</f>
        <v>305100</v>
      </c>
      <c r="E1724" s="417">
        <v>331901104000000</v>
      </c>
      <c r="F1724" s="418" t="s">
        <v>1008</v>
      </c>
      <c r="G1724" s="603">
        <v>20</v>
      </c>
      <c r="H1724" s="603">
        <v>0</v>
      </c>
      <c r="I1724" s="601">
        <v>311210102000000</v>
      </c>
      <c r="J1724" s="602" t="s">
        <v>6025</v>
      </c>
      <c r="K1724" s="891">
        <v>0</v>
      </c>
      <c r="L1724" s="891">
        <v>0</v>
      </c>
      <c r="M1724" s="477">
        <f t="shared" si="301"/>
        <v>0</v>
      </c>
      <c r="N1724" s="796"/>
      <c r="P1724" s="399"/>
    </row>
    <row r="1725" spans="1:16" s="742" customFormat="1" ht="15" customHeight="1" x14ac:dyDescent="0.25">
      <c r="A1725" s="397"/>
      <c r="B1725" s="478">
        <f>B1724+1</f>
        <v>305104</v>
      </c>
      <c r="C1725" s="600" t="s">
        <v>6062</v>
      </c>
      <c r="D1725" s="528" t="str">
        <f>D1724</f>
        <v>305100</v>
      </c>
      <c r="E1725" s="417">
        <v>331901133000000</v>
      </c>
      <c r="F1725" s="418" t="s">
        <v>5928</v>
      </c>
      <c r="G1725" s="603">
        <v>20</v>
      </c>
      <c r="H1725" s="603">
        <v>0</v>
      </c>
      <c r="I1725" s="601">
        <v>311210114000000</v>
      </c>
      <c r="J1725" s="602" t="s">
        <v>6033</v>
      </c>
      <c r="K1725" s="891">
        <v>0</v>
      </c>
      <c r="L1725" s="891">
        <v>0</v>
      </c>
      <c r="M1725" s="477">
        <f t="shared" si="301"/>
        <v>0</v>
      </c>
      <c r="N1725" s="796"/>
      <c r="P1725" s="399"/>
    </row>
    <row r="1726" spans="1:16" s="742" customFormat="1" ht="15" customHeight="1" x14ac:dyDescent="0.25">
      <c r="A1726" s="397"/>
      <c r="B1726" s="478">
        <f t="shared" ref="B1726:B1736" si="302">B1725+1</f>
        <v>305105</v>
      </c>
      <c r="C1726" s="600" t="s">
        <v>6062</v>
      </c>
      <c r="D1726" s="528" t="str">
        <f t="shared" ref="D1726:D1736" si="303">D1725</f>
        <v>305100</v>
      </c>
      <c r="E1726" s="417">
        <v>331901137000000</v>
      </c>
      <c r="F1726" s="418" t="s">
        <v>5929</v>
      </c>
      <c r="G1726" s="603">
        <v>20</v>
      </c>
      <c r="H1726" s="603">
        <v>0</v>
      </c>
      <c r="I1726" s="601">
        <v>311110118000000</v>
      </c>
      <c r="J1726" s="602" t="s">
        <v>6026</v>
      </c>
      <c r="K1726" s="891">
        <v>0</v>
      </c>
      <c r="L1726" s="891">
        <v>0</v>
      </c>
      <c r="M1726" s="477">
        <f t="shared" si="301"/>
        <v>0</v>
      </c>
      <c r="N1726" s="796"/>
      <c r="P1726" s="399"/>
    </row>
    <row r="1727" spans="1:16" s="742" customFormat="1" ht="15" customHeight="1" x14ac:dyDescent="0.25">
      <c r="A1727" s="397"/>
      <c r="B1727" s="478">
        <f t="shared" si="302"/>
        <v>305106</v>
      </c>
      <c r="C1727" s="600" t="s">
        <v>6062</v>
      </c>
      <c r="D1727" s="528" t="str">
        <f t="shared" si="303"/>
        <v>305100</v>
      </c>
      <c r="E1727" s="417">
        <v>331901142000000</v>
      </c>
      <c r="F1727" s="418" t="s">
        <v>6075</v>
      </c>
      <c r="G1727" s="603">
        <v>20</v>
      </c>
      <c r="H1727" s="603">
        <v>0</v>
      </c>
      <c r="I1727" s="601">
        <v>837</v>
      </c>
      <c r="J1727" s="602" t="s">
        <v>6027</v>
      </c>
      <c r="K1727" s="891">
        <v>0</v>
      </c>
      <c r="L1727" s="891">
        <v>0</v>
      </c>
      <c r="M1727" s="477">
        <f t="shared" si="301"/>
        <v>0</v>
      </c>
      <c r="N1727" s="796"/>
      <c r="P1727" s="399"/>
    </row>
    <row r="1728" spans="1:16" s="742" customFormat="1" ht="15" customHeight="1" x14ac:dyDescent="0.25">
      <c r="A1728" s="397"/>
      <c r="B1728" s="478">
        <f t="shared" si="302"/>
        <v>305107</v>
      </c>
      <c r="C1728" s="600" t="s">
        <v>6062</v>
      </c>
      <c r="D1728" s="528" t="str">
        <f t="shared" si="303"/>
        <v>305100</v>
      </c>
      <c r="E1728" s="417">
        <v>331901142000000</v>
      </c>
      <c r="F1728" s="418" t="s">
        <v>6076</v>
      </c>
      <c r="G1728" s="603">
        <v>20</v>
      </c>
      <c r="H1728" s="603">
        <v>0</v>
      </c>
      <c r="I1728" s="601">
        <v>837</v>
      </c>
      <c r="J1728" s="602" t="s">
        <v>6028</v>
      </c>
      <c r="K1728" s="891">
        <v>0</v>
      </c>
      <c r="L1728" s="891">
        <v>0</v>
      </c>
      <c r="M1728" s="477">
        <f t="shared" si="301"/>
        <v>0</v>
      </c>
      <c r="N1728" s="796"/>
      <c r="P1728" s="399"/>
    </row>
    <row r="1729" spans="1:16" s="742" customFormat="1" ht="15" customHeight="1" x14ac:dyDescent="0.25">
      <c r="A1729" s="397"/>
      <c r="B1729" s="478">
        <f t="shared" si="302"/>
        <v>305108</v>
      </c>
      <c r="C1729" s="600" t="s">
        <v>6062</v>
      </c>
      <c r="D1729" s="528" t="str">
        <f t="shared" si="303"/>
        <v>305100</v>
      </c>
      <c r="E1729" s="417">
        <v>331901142000000</v>
      </c>
      <c r="F1729" s="418" t="s">
        <v>5852</v>
      </c>
      <c r="G1729" s="603">
        <v>20</v>
      </c>
      <c r="H1729" s="603">
        <v>0</v>
      </c>
      <c r="I1729" s="601">
        <v>837</v>
      </c>
      <c r="J1729" s="602" t="s">
        <v>6029</v>
      </c>
      <c r="K1729" s="891">
        <v>0</v>
      </c>
      <c r="L1729" s="891">
        <v>0</v>
      </c>
      <c r="M1729" s="477">
        <f t="shared" si="301"/>
        <v>0</v>
      </c>
      <c r="N1729" s="796"/>
      <c r="P1729" s="399"/>
    </row>
    <row r="1730" spans="1:16" s="742" customFormat="1" ht="15" customHeight="1" x14ac:dyDescent="0.25">
      <c r="A1730" s="397"/>
      <c r="B1730" s="478">
        <f t="shared" si="302"/>
        <v>305109</v>
      </c>
      <c r="C1730" s="600" t="s">
        <v>6062</v>
      </c>
      <c r="D1730" s="528" t="str">
        <f t="shared" si="303"/>
        <v>305100</v>
      </c>
      <c r="E1730" s="417">
        <v>331901143000000</v>
      </c>
      <c r="F1730" s="418" t="s">
        <v>6077</v>
      </c>
      <c r="G1730" s="603">
        <v>20</v>
      </c>
      <c r="H1730" s="603">
        <v>0</v>
      </c>
      <c r="I1730" s="601">
        <v>828</v>
      </c>
      <c r="J1730" s="602" t="s">
        <v>6030</v>
      </c>
      <c r="K1730" s="891">
        <v>0</v>
      </c>
      <c r="L1730" s="891">
        <v>0</v>
      </c>
      <c r="M1730" s="477">
        <f t="shared" si="301"/>
        <v>0</v>
      </c>
      <c r="N1730" s="796"/>
      <c r="P1730" s="399"/>
    </row>
    <row r="1731" spans="1:16" s="742" customFormat="1" ht="15" customHeight="1" x14ac:dyDescent="0.25">
      <c r="A1731" s="397"/>
      <c r="B1731" s="478">
        <f t="shared" si="302"/>
        <v>305110</v>
      </c>
      <c r="C1731" s="600" t="s">
        <v>6062</v>
      </c>
      <c r="D1731" s="528" t="str">
        <f t="shared" si="303"/>
        <v>305100</v>
      </c>
      <c r="E1731" s="417">
        <v>331901143000000</v>
      </c>
      <c r="F1731" s="418" t="s">
        <v>6078</v>
      </c>
      <c r="G1731" s="603">
        <v>20</v>
      </c>
      <c r="H1731" s="603">
        <v>0</v>
      </c>
      <c r="I1731" s="601">
        <v>828</v>
      </c>
      <c r="J1731" s="602" t="s">
        <v>6031</v>
      </c>
      <c r="K1731" s="891">
        <v>0</v>
      </c>
      <c r="L1731" s="891">
        <v>0</v>
      </c>
      <c r="M1731" s="477">
        <f t="shared" si="301"/>
        <v>0</v>
      </c>
      <c r="N1731" s="796"/>
      <c r="P1731" s="399"/>
    </row>
    <row r="1732" spans="1:16" s="742" customFormat="1" ht="15" customHeight="1" x14ac:dyDescent="0.25">
      <c r="A1732" s="397"/>
      <c r="B1732" s="478">
        <f t="shared" si="302"/>
        <v>305111</v>
      </c>
      <c r="C1732" s="600" t="s">
        <v>6062</v>
      </c>
      <c r="D1732" s="528" t="str">
        <f t="shared" si="303"/>
        <v>305100</v>
      </c>
      <c r="E1732" s="417">
        <v>331901143000000</v>
      </c>
      <c r="F1732" s="418" t="s">
        <v>4883</v>
      </c>
      <c r="G1732" s="603">
        <v>20</v>
      </c>
      <c r="H1732" s="603">
        <v>0</v>
      </c>
      <c r="I1732" s="601">
        <v>828</v>
      </c>
      <c r="J1732" s="602" t="s">
        <v>6032</v>
      </c>
      <c r="K1732" s="891">
        <v>0</v>
      </c>
      <c r="L1732" s="891">
        <v>0</v>
      </c>
      <c r="M1732" s="477">
        <f t="shared" si="301"/>
        <v>0</v>
      </c>
      <c r="N1732" s="796"/>
      <c r="P1732" s="399"/>
    </row>
    <row r="1733" spans="1:16" s="742" customFormat="1" ht="15" customHeight="1" x14ac:dyDescent="0.25">
      <c r="A1733" s="397"/>
      <c r="B1733" s="478">
        <f t="shared" si="302"/>
        <v>305112</v>
      </c>
      <c r="C1733" s="600" t="s">
        <v>6062</v>
      </c>
      <c r="D1733" s="528" t="str">
        <f t="shared" si="303"/>
        <v>305100</v>
      </c>
      <c r="E1733" s="417">
        <v>331901145000000</v>
      </c>
      <c r="F1733" s="418" t="s">
        <v>6079</v>
      </c>
      <c r="G1733" s="603">
        <v>20</v>
      </c>
      <c r="H1733" s="603">
        <v>0</v>
      </c>
      <c r="I1733" s="601">
        <v>837</v>
      </c>
      <c r="J1733" s="602" t="s">
        <v>6027</v>
      </c>
      <c r="K1733" s="891">
        <v>0</v>
      </c>
      <c r="L1733" s="891">
        <v>0</v>
      </c>
      <c r="M1733" s="477">
        <f t="shared" si="301"/>
        <v>0</v>
      </c>
      <c r="N1733" s="796"/>
      <c r="P1733" s="399"/>
    </row>
    <row r="1734" spans="1:16" s="742" customFormat="1" ht="15" customHeight="1" x14ac:dyDescent="0.25">
      <c r="A1734" s="397"/>
      <c r="B1734" s="478">
        <f t="shared" si="302"/>
        <v>305113</v>
      </c>
      <c r="C1734" s="600" t="s">
        <v>6062</v>
      </c>
      <c r="D1734" s="528" t="str">
        <f t="shared" si="303"/>
        <v>305100</v>
      </c>
      <c r="E1734" s="417">
        <v>331901145000000</v>
      </c>
      <c r="F1734" s="418" t="s">
        <v>6080</v>
      </c>
      <c r="G1734" s="603">
        <v>20</v>
      </c>
      <c r="H1734" s="603">
        <v>0</v>
      </c>
      <c r="I1734" s="601">
        <v>837</v>
      </c>
      <c r="J1734" s="602" t="s">
        <v>6028</v>
      </c>
      <c r="K1734" s="891">
        <v>0</v>
      </c>
      <c r="L1734" s="891">
        <v>0</v>
      </c>
      <c r="M1734" s="477">
        <f t="shared" si="301"/>
        <v>0</v>
      </c>
      <c r="N1734" s="796"/>
      <c r="P1734" s="399"/>
    </row>
    <row r="1735" spans="1:16" s="742" customFormat="1" ht="15" customHeight="1" x14ac:dyDescent="0.25">
      <c r="A1735" s="397"/>
      <c r="B1735" s="478">
        <f t="shared" si="302"/>
        <v>305114</v>
      </c>
      <c r="C1735" s="600" t="s">
        <v>6062</v>
      </c>
      <c r="D1735" s="528" t="str">
        <f t="shared" si="303"/>
        <v>305100</v>
      </c>
      <c r="E1735" s="417">
        <v>331901145000000</v>
      </c>
      <c r="F1735" s="418" t="s">
        <v>5930</v>
      </c>
      <c r="G1735" s="603">
        <v>20</v>
      </c>
      <c r="H1735" s="603">
        <v>0</v>
      </c>
      <c r="I1735" s="601">
        <v>837</v>
      </c>
      <c r="J1735" s="602" t="s">
        <v>6029</v>
      </c>
      <c r="K1735" s="891">
        <v>0</v>
      </c>
      <c r="L1735" s="891">
        <v>0</v>
      </c>
      <c r="M1735" s="477">
        <f t="shared" si="301"/>
        <v>0</v>
      </c>
      <c r="N1735" s="796"/>
      <c r="P1735" s="399"/>
    </row>
    <row r="1736" spans="1:16" s="742" customFormat="1" ht="15" customHeight="1" x14ac:dyDescent="0.25">
      <c r="A1736" s="397"/>
      <c r="B1736" s="478">
        <f t="shared" si="302"/>
        <v>305115</v>
      </c>
      <c r="C1736" s="600" t="s">
        <v>6062</v>
      </c>
      <c r="D1736" s="528" t="str">
        <f t="shared" si="303"/>
        <v>305100</v>
      </c>
      <c r="E1736" s="417">
        <v>331901174000000</v>
      </c>
      <c r="F1736" s="418" t="s">
        <v>2253</v>
      </c>
      <c r="G1736" s="603">
        <v>20</v>
      </c>
      <c r="H1736" s="603">
        <v>0</v>
      </c>
      <c r="I1736" s="601">
        <v>311210131000000</v>
      </c>
      <c r="J1736" s="602" t="s">
        <v>6035</v>
      </c>
      <c r="K1736" s="891">
        <v>0</v>
      </c>
      <c r="L1736" s="891">
        <v>0</v>
      </c>
      <c r="M1736" s="477">
        <f t="shared" si="301"/>
        <v>0</v>
      </c>
      <c r="N1736" s="796"/>
      <c r="P1736" s="399"/>
    </row>
    <row r="1737" spans="1:16" s="115" customFormat="1" ht="15" customHeight="1" x14ac:dyDescent="0.25">
      <c r="A1737" s="396"/>
      <c r="B1737" s="1398" t="s">
        <v>7950</v>
      </c>
      <c r="C1737" s="1398"/>
      <c r="D1737" s="1398"/>
      <c r="E1737" s="854">
        <v>331901300000000</v>
      </c>
      <c r="F1737" s="855" t="s">
        <v>5735</v>
      </c>
      <c r="G1737" s="468">
        <v>20</v>
      </c>
      <c r="H1737" s="468">
        <v>0</v>
      </c>
      <c r="I1737" s="751"/>
      <c r="J1737" s="878" t="s">
        <v>5966</v>
      </c>
      <c r="K1737" s="789">
        <f>'Parâmetros financeiros Despesa'!E827</f>
        <v>77109.759558145364</v>
      </c>
      <c r="L1737" s="789">
        <f>(L1741+L1721)*'Parâmetros financeiros Despesa'!F80</f>
        <v>91655.333601071252</v>
      </c>
      <c r="M1737" s="799">
        <f t="shared" si="301"/>
        <v>7.4317004396302511E-2</v>
      </c>
      <c r="N1737" s="894"/>
      <c r="P1737" s="733"/>
    </row>
    <row r="1738" spans="1:16" s="742" customFormat="1" ht="15" customHeight="1" x14ac:dyDescent="0.25">
      <c r="A1738" s="397"/>
      <c r="B1738" s="599">
        <f>B1737+1</f>
        <v>305201</v>
      </c>
      <c r="C1738" s="600" t="s">
        <v>6062</v>
      </c>
      <c r="D1738" s="528" t="str">
        <f>B1737</f>
        <v>305200</v>
      </c>
      <c r="E1738" s="417">
        <v>331901302010000</v>
      </c>
      <c r="F1738" s="418" t="s">
        <v>2261</v>
      </c>
      <c r="G1738" s="603">
        <v>20</v>
      </c>
      <c r="H1738" s="603">
        <v>0</v>
      </c>
      <c r="I1738" s="601">
        <v>312219900000000</v>
      </c>
      <c r="J1738" s="602" t="s">
        <v>6036</v>
      </c>
      <c r="K1738" s="891">
        <v>0</v>
      </c>
      <c r="L1738" s="891">
        <v>0</v>
      </c>
      <c r="M1738" s="477">
        <f t="shared" si="301"/>
        <v>0</v>
      </c>
      <c r="N1738" s="796"/>
      <c r="P1738" s="399"/>
    </row>
    <row r="1739" spans="1:16" s="742" customFormat="1" ht="15" customHeight="1" x14ac:dyDescent="0.25">
      <c r="A1739" s="397"/>
      <c r="B1739" s="599">
        <f>B1738+1</f>
        <v>305202</v>
      </c>
      <c r="C1739" s="600" t="s">
        <v>6062</v>
      </c>
      <c r="D1739" s="528" t="str">
        <f>D1738</f>
        <v>305200</v>
      </c>
      <c r="E1739" s="417">
        <v>331901302010000</v>
      </c>
      <c r="F1739" s="418" t="s">
        <v>2259</v>
      </c>
      <c r="G1739" s="603">
        <v>20</v>
      </c>
      <c r="H1739" s="603">
        <v>0</v>
      </c>
      <c r="I1739" s="601">
        <v>312219900000000</v>
      </c>
      <c r="J1739" s="602" t="s">
        <v>6037</v>
      </c>
      <c r="K1739" s="891">
        <v>0</v>
      </c>
      <c r="L1739" s="891">
        <v>0</v>
      </c>
      <c r="M1739" s="477">
        <f t="shared" si="301"/>
        <v>0</v>
      </c>
      <c r="N1739" s="796"/>
      <c r="P1739" s="399"/>
    </row>
    <row r="1740" spans="1:16" s="742" customFormat="1" ht="15" customHeight="1" x14ac:dyDescent="0.25">
      <c r="A1740" s="397"/>
      <c r="B1740" s="599">
        <f>B1739+1</f>
        <v>305203</v>
      </c>
      <c r="C1740" s="600" t="s">
        <v>6062</v>
      </c>
      <c r="D1740" s="528" t="str">
        <f>D1739</f>
        <v>305200</v>
      </c>
      <c r="E1740" s="417">
        <v>331901302010000</v>
      </c>
      <c r="F1740" s="418" t="s">
        <v>2260</v>
      </c>
      <c r="G1740" s="603">
        <v>20</v>
      </c>
      <c r="H1740" s="603">
        <v>0</v>
      </c>
      <c r="I1740" s="601">
        <v>312219900000000</v>
      </c>
      <c r="J1740" s="602" t="s">
        <v>6038</v>
      </c>
      <c r="K1740" s="891">
        <v>0</v>
      </c>
      <c r="L1740" s="891">
        <v>0</v>
      </c>
      <c r="M1740" s="477">
        <f t="shared" si="301"/>
        <v>0</v>
      </c>
      <c r="N1740" s="796"/>
      <c r="P1740" s="399"/>
    </row>
    <row r="1741" spans="1:16" s="115" customFormat="1" ht="15" customHeight="1" x14ac:dyDescent="0.25">
      <c r="A1741" s="396"/>
      <c r="B1741" s="1398" t="s">
        <v>7951</v>
      </c>
      <c r="C1741" s="1398"/>
      <c r="D1741" s="1398"/>
      <c r="E1741" s="854">
        <v>331901600000000</v>
      </c>
      <c r="F1741" s="855" t="s">
        <v>5736</v>
      </c>
      <c r="G1741" s="468">
        <v>20</v>
      </c>
      <c r="H1741" s="468">
        <v>0</v>
      </c>
      <c r="I1741" s="751"/>
      <c r="J1741" s="878" t="s">
        <v>5966</v>
      </c>
      <c r="K1741" s="789">
        <f>('Parâmetros financeiros Despesa'!E826)</f>
        <v>3864.1050000000005</v>
      </c>
      <c r="L1741" s="789">
        <f>('Parâmetros financeiros Despesa'!F826)*2.05+(('Parâmetros financeiros Despesa'!F826)*11.28)*(1+'Parâmetros financeiros Despesa'!F$4)*(1+'Parâmetros financeiros Despesa'!F$8)</f>
        <v>4493.8995539094421</v>
      </c>
      <c r="M1741" s="799">
        <f t="shared" si="301"/>
        <v>3.6437939810250882E-3</v>
      </c>
      <c r="N1741" s="894"/>
      <c r="P1741" s="733"/>
    </row>
    <row r="1742" spans="1:16" s="742" customFormat="1" ht="15" customHeight="1" x14ac:dyDescent="0.25">
      <c r="A1742" s="397"/>
      <c r="B1742" s="599" t="s">
        <v>7938</v>
      </c>
      <c r="C1742" s="600" t="s">
        <v>6062</v>
      </c>
      <c r="D1742" s="528">
        <v>302300</v>
      </c>
      <c r="E1742" s="417">
        <v>331901644000000</v>
      </c>
      <c r="F1742" s="418" t="s">
        <v>2155</v>
      </c>
      <c r="G1742" s="603">
        <v>20</v>
      </c>
      <c r="H1742" s="603">
        <v>0</v>
      </c>
      <c r="I1742" s="601">
        <v>311210203000000</v>
      </c>
      <c r="J1742" s="602" t="s">
        <v>6039</v>
      </c>
      <c r="K1742" s="891">
        <v>0</v>
      </c>
      <c r="L1742" s="891">
        <v>0</v>
      </c>
      <c r="M1742" s="477">
        <f t="shared" si="301"/>
        <v>0</v>
      </c>
      <c r="N1742" s="796"/>
      <c r="P1742" s="399"/>
    </row>
    <row r="1743" spans="1:16" s="115" customFormat="1" ht="15" customHeight="1" x14ac:dyDescent="0.25">
      <c r="A1743" s="396"/>
      <c r="B1743" s="1398" t="s">
        <v>7952</v>
      </c>
      <c r="C1743" s="1398"/>
      <c r="D1743" s="1398"/>
      <c r="E1743" s="854">
        <v>333901400000000</v>
      </c>
      <c r="F1743" s="855" t="s">
        <v>6568</v>
      </c>
      <c r="G1743" s="468">
        <v>20</v>
      </c>
      <c r="H1743" s="468">
        <v>0</v>
      </c>
      <c r="I1743" s="751"/>
      <c r="J1743" s="878" t="s">
        <v>6089</v>
      </c>
      <c r="K1743" s="789">
        <f>('Parâmetros financeiros Despesa'!E828)</f>
        <v>2800.5</v>
      </c>
      <c r="L1743" s="789">
        <f>('Parâmetros financeiros Despesa'!F828)*2+(('Parâmetros financeiros Despesa'!F828)*10)*(1+'Parâmetros financeiros Despesa'!F$4)*(1+'Parâmetros financeiros Despesa'!F$8)</f>
        <v>2929.9797934328126</v>
      </c>
      <c r="M1743" s="799">
        <f t="shared" si="301"/>
        <v>2.3757190403928537E-3</v>
      </c>
      <c r="N1743" s="894"/>
      <c r="P1743" s="733"/>
    </row>
    <row r="1744" spans="1:16" s="742" customFormat="1" ht="15" customHeight="1" x14ac:dyDescent="0.25">
      <c r="A1744" s="397"/>
      <c r="B1744" s="599">
        <f>B1743+1</f>
        <v>305401</v>
      </c>
      <c r="C1744" s="600" t="s">
        <v>6062</v>
      </c>
      <c r="D1744" s="528" t="str">
        <f>B1743</f>
        <v>305400</v>
      </c>
      <c r="E1744" s="417">
        <v>333901414010000</v>
      </c>
      <c r="F1744" s="418" t="s">
        <v>2156</v>
      </c>
      <c r="G1744" s="603">
        <v>20</v>
      </c>
      <c r="H1744" s="603">
        <v>0</v>
      </c>
      <c r="I1744" s="601">
        <v>332110100000000</v>
      </c>
      <c r="J1744" s="602" t="s">
        <v>6090</v>
      </c>
      <c r="K1744" s="891">
        <v>0</v>
      </c>
      <c r="L1744" s="891">
        <v>0</v>
      </c>
      <c r="M1744" s="477">
        <f t="shared" si="301"/>
        <v>0</v>
      </c>
      <c r="N1744" s="796"/>
      <c r="P1744" s="399"/>
    </row>
    <row r="1745" spans="1:16" s="742" customFormat="1" ht="15" customHeight="1" x14ac:dyDescent="0.25">
      <c r="A1745" s="397"/>
      <c r="B1745" s="599">
        <f>B1744+1</f>
        <v>305402</v>
      </c>
      <c r="C1745" s="600" t="s">
        <v>6062</v>
      </c>
      <c r="D1745" s="528">
        <v>305400</v>
      </c>
      <c r="E1745" s="417">
        <v>333901414030000</v>
      </c>
      <c r="F1745" s="418" t="s">
        <v>2157</v>
      </c>
      <c r="G1745" s="603">
        <v>20</v>
      </c>
      <c r="H1745" s="603">
        <v>0</v>
      </c>
      <c r="I1745" s="601">
        <v>332110100000000</v>
      </c>
      <c r="J1745" s="602" t="s">
        <v>6088</v>
      </c>
      <c r="K1745" s="891">
        <v>0</v>
      </c>
      <c r="L1745" s="891">
        <v>0</v>
      </c>
      <c r="M1745" s="477">
        <f t="shared" si="301"/>
        <v>0</v>
      </c>
      <c r="N1745" s="796"/>
      <c r="P1745" s="399"/>
    </row>
    <row r="1746" spans="1:16" s="742" customFormat="1" ht="15" customHeight="1" x14ac:dyDescent="0.25">
      <c r="A1746" s="397"/>
      <c r="B1746" s="599">
        <f>B1745+1</f>
        <v>305403</v>
      </c>
      <c r="C1746" s="600" t="s">
        <v>6062</v>
      </c>
      <c r="D1746" s="528">
        <v>305400</v>
      </c>
      <c r="E1746" s="417">
        <v>333901414040000</v>
      </c>
      <c r="F1746" s="418" t="s">
        <v>5931</v>
      </c>
      <c r="G1746" s="603">
        <v>20</v>
      </c>
      <c r="H1746" s="603">
        <v>0</v>
      </c>
      <c r="I1746" s="601">
        <v>332110100000000</v>
      </c>
      <c r="J1746" s="602" t="s">
        <v>6086</v>
      </c>
      <c r="K1746" s="891">
        <v>0</v>
      </c>
      <c r="L1746" s="891">
        <v>0</v>
      </c>
      <c r="M1746" s="477">
        <f t="shared" si="301"/>
        <v>0</v>
      </c>
      <c r="N1746" s="796"/>
      <c r="P1746" s="399"/>
    </row>
    <row r="1747" spans="1:16" s="742" customFormat="1" ht="15" customHeight="1" x14ac:dyDescent="0.25">
      <c r="A1747" s="397"/>
      <c r="B1747" s="599">
        <f>B1746+1</f>
        <v>305404</v>
      </c>
      <c r="C1747" s="600" t="s">
        <v>6062</v>
      </c>
      <c r="D1747" s="528">
        <v>305400</v>
      </c>
      <c r="E1747" s="417">
        <v>333901414040000</v>
      </c>
      <c r="F1747" s="418" t="s">
        <v>5932</v>
      </c>
      <c r="G1747" s="603">
        <v>20</v>
      </c>
      <c r="H1747" s="603">
        <v>0</v>
      </c>
      <c r="I1747" s="601">
        <v>332110100000000</v>
      </c>
      <c r="J1747" s="602" t="s">
        <v>6087</v>
      </c>
      <c r="K1747" s="891">
        <v>0</v>
      </c>
      <c r="L1747" s="891">
        <v>0</v>
      </c>
      <c r="M1747" s="477">
        <f t="shared" si="301"/>
        <v>0</v>
      </c>
      <c r="N1747" s="796"/>
      <c r="P1747" s="399"/>
    </row>
    <row r="1748" spans="1:16" s="742" customFormat="1" ht="15" customHeight="1" x14ac:dyDescent="0.25">
      <c r="A1748" s="397"/>
      <c r="B1748" s="1396">
        <v>305500</v>
      </c>
      <c r="C1748" s="1396"/>
      <c r="D1748" s="1396"/>
      <c r="E1748" s="417">
        <v>333903000000000</v>
      </c>
      <c r="F1748" s="418" t="s">
        <v>7940</v>
      </c>
      <c r="G1748" s="468">
        <v>20</v>
      </c>
      <c r="H1748" s="468">
        <v>0</v>
      </c>
      <c r="I1748" s="751"/>
      <c r="J1748" s="878" t="s">
        <v>6089</v>
      </c>
      <c r="K1748" s="789">
        <f>('Parâmetros financeiros Despesa'!E829)</f>
        <v>16276.560000000001</v>
      </c>
      <c r="L1748" s="789">
        <f>('Parâmetros financeiros Despesa'!F829)*(1+'Parâmetros financeiros Despesa'!F$4)*(1+'Parâmetros financeiros Despesa'!F$7)</f>
        <v>16354.9725</v>
      </c>
      <c r="M1748" s="799">
        <f t="shared" si="301"/>
        <v>1.3261122025633005E-2</v>
      </c>
      <c r="N1748" s="796"/>
      <c r="P1748" s="399"/>
    </row>
    <row r="1749" spans="1:16" s="742" customFormat="1" ht="15" customHeight="1" x14ac:dyDescent="0.25">
      <c r="A1749" s="397"/>
      <c r="B1749" s="478">
        <f>B1743+1</f>
        <v>305401</v>
      </c>
      <c r="C1749" s="528" t="s">
        <v>6062</v>
      </c>
      <c r="D1749" s="528">
        <f>B1748</f>
        <v>305500</v>
      </c>
      <c r="E1749" s="417">
        <v>333903001010100</v>
      </c>
      <c r="F1749" s="418" t="s">
        <v>6905</v>
      </c>
      <c r="G1749" s="603">
        <v>20</v>
      </c>
      <c r="H1749" s="603">
        <v>0</v>
      </c>
      <c r="I1749" s="601">
        <v>331110100000000</v>
      </c>
      <c r="J1749" s="602" t="s">
        <v>6091</v>
      </c>
      <c r="K1749" s="891">
        <v>0</v>
      </c>
      <c r="L1749" s="891">
        <v>0</v>
      </c>
      <c r="M1749" s="477">
        <f t="shared" si="301"/>
        <v>0</v>
      </c>
      <c r="N1749" s="796"/>
      <c r="P1749" s="399"/>
    </row>
    <row r="1750" spans="1:16" s="742" customFormat="1" ht="15" customHeight="1" x14ac:dyDescent="0.25">
      <c r="A1750" s="397"/>
      <c r="B1750" s="478">
        <f t="shared" ref="B1750:B1778" si="304">B1749+1</f>
        <v>305402</v>
      </c>
      <c r="C1750" s="528" t="s">
        <v>6062</v>
      </c>
      <c r="D1750" s="528">
        <f t="shared" ref="D1750:D1778" si="305">D1749</f>
        <v>305500</v>
      </c>
      <c r="E1750" s="417">
        <v>333903001010100</v>
      </c>
      <c r="F1750" s="418" t="s">
        <v>6906</v>
      </c>
      <c r="G1750" s="603">
        <v>20</v>
      </c>
      <c r="H1750" s="603">
        <v>0</v>
      </c>
      <c r="I1750" s="601">
        <v>665</v>
      </c>
      <c r="J1750" s="602" t="s">
        <v>6091</v>
      </c>
      <c r="K1750" s="891">
        <v>0</v>
      </c>
      <c r="L1750" s="891">
        <v>0</v>
      </c>
      <c r="M1750" s="477">
        <f t="shared" si="301"/>
        <v>0</v>
      </c>
      <c r="N1750" s="796"/>
      <c r="P1750" s="399"/>
    </row>
    <row r="1751" spans="1:16" s="742" customFormat="1" ht="15" customHeight="1" x14ac:dyDescent="0.25">
      <c r="A1751" s="397"/>
      <c r="B1751" s="478">
        <f t="shared" si="304"/>
        <v>305403</v>
      </c>
      <c r="C1751" s="528" t="s">
        <v>6062</v>
      </c>
      <c r="D1751" s="528">
        <f t="shared" si="305"/>
        <v>305500</v>
      </c>
      <c r="E1751" s="417">
        <v>333903001010300</v>
      </c>
      <c r="F1751" s="418" t="s">
        <v>6190</v>
      </c>
      <c r="G1751" s="603">
        <v>20</v>
      </c>
      <c r="H1751" s="603">
        <v>0</v>
      </c>
      <c r="I1751" s="601">
        <v>331110100000000</v>
      </c>
      <c r="J1751" s="602" t="s">
        <v>6093</v>
      </c>
      <c r="K1751" s="891">
        <v>0</v>
      </c>
      <c r="L1751" s="891">
        <v>0</v>
      </c>
      <c r="M1751" s="477">
        <f t="shared" si="301"/>
        <v>0</v>
      </c>
      <c r="N1751" s="796"/>
      <c r="P1751" s="399"/>
    </row>
    <row r="1752" spans="1:16" s="742" customFormat="1" ht="15" customHeight="1" x14ac:dyDescent="0.25">
      <c r="A1752" s="397"/>
      <c r="B1752" s="478">
        <f t="shared" si="304"/>
        <v>305404</v>
      </c>
      <c r="C1752" s="528" t="s">
        <v>6062</v>
      </c>
      <c r="D1752" s="528">
        <f t="shared" si="305"/>
        <v>305500</v>
      </c>
      <c r="E1752" s="417">
        <v>333903001010500</v>
      </c>
      <c r="F1752" s="418" t="s">
        <v>6191</v>
      </c>
      <c r="G1752" s="603">
        <v>20</v>
      </c>
      <c r="H1752" s="603">
        <v>0</v>
      </c>
      <c r="I1752" s="601">
        <v>665</v>
      </c>
      <c r="J1752" s="602" t="s">
        <v>6094</v>
      </c>
      <c r="K1752" s="891">
        <v>0</v>
      </c>
      <c r="L1752" s="891">
        <v>0</v>
      </c>
      <c r="M1752" s="477">
        <f t="shared" si="301"/>
        <v>0</v>
      </c>
      <c r="N1752" s="796"/>
      <c r="P1752" s="399"/>
    </row>
    <row r="1753" spans="1:16" s="742" customFormat="1" ht="15" customHeight="1" x14ac:dyDescent="0.25">
      <c r="A1753" s="397"/>
      <c r="B1753" s="478">
        <f t="shared" si="304"/>
        <v>305405</v>
      </c>
      <c r="C1753" s="528" t="s">
        <v>6062</v>
      </c>
      <c r="D1753" s="528">
        <f t="shared" si="305"/>
        <v>305500</v>
      </c>
      <c r="E1753" s="417">
        <v>333903001030100</v>
      </c>
      <c r="F1753" s="418" t="s">
        <v>6907</v>
      </c>
      <c r="G1753" s="603">
        <v>20</v>
      </c>
      <c r="H1753" s="603">
        <v>0</v>
      </c>
      <c r="I1753" s="601">
        <v>331110100000000</v>
      </c>
      <c r="J1753" s="602" t="s">
        <v>6092</v>
      </c>
      <c r="K1753" s="891">
        <v>0</v>
      </c>
      <c r="L1753" s="891">
        <v>0</v>
      </c>
      <c r="M1753" s="477">
        <f t="shared" si="301"/>
        <v>0</v>
      </c>
      <c r="N1753" s="796"/>
      <c r="P1753" s="399"/>
    </row>
    <row r="1754" spans="1:16" s="742" customFormat="1" ht="15" customHeight="1" x14ac:dyDescent="0.25">
      <c r="A1754" s="397"/>
      <c r="B1754" s="478">
        <f t="shared" si="304"/>
        <v>305406</v>
      </c>
      <c r="C1754" s="528" t="s">
        <v>6062</v>
      </c>
      <c r="D1754" s="528">
        <f t="shared" si="305"/>
        <v>305500</v>
      </c>
      <c r="E1754" s="417">
        <v>333903001030100</v>
      </c>
      <c r="F1754" s="418" t="s">
        <v>6908</v>
      </c>
      <c r="G1754" s="603">
        <v>20</v>
      </c>
      <c r="H1754" s="603">
        <v>0</v>
      </c>
      <c r="I1754" s="601">
        <v>676</v>
      </c>
      <c r="J1754" s="602" t="s">
        <v>6092</v>
      </c>
      <c r="K1754" s="891">
        <v>0</v>
      </c>
      <c r="L1754" s="891">
        <v>0</v>
      </c>
      <c r="M1754" s="477">
        <f t="shared" ref="M1754:M1785" si="306">L1754/L$1924</f>
        <v>0</v>
      </c>
      <c r="N1754" s="796"/>
      <c r="P1754" s="399"/>
    </row>
    <row r="1755" spans="1:16" s="742" customFormat="1" ht="15" customHeight="1" x14ac:dyDescent="0.25">
      <c r="A1755" s="397"/>
      <c r="B1755" s="478">
        <f t="shared" si="304"/>
        <v>305407</v>
      </c>
      <c r="C1755" s="528" t="s">
        <v>6062</v>
      </c>
      <c r="D1755" s="528">
        <f t="shared" si="305"/>
        <v>305500</v>
      </c>
      <c r="E1755" s="417">
        <v>333903004000000</v>
      </c>
      <c r="F1755" s="418" t="s">
        <v>2164</v>
      </c>
      <c r="G1755" s="603">
        <v>20</v>
      </c>
      <c r="H1755" s="603">
        <v>0</v>
      </c>
      <c r="I1755" s="601">
        <v>331110300000000</v>
      </c>
      <c r="J1755" s="602" t="s">
        <v>6095</v>
      </c>
      <c r="K1755" s="891">
        <v>0</v>
      </c>
      <c r="L1755" s="891">
        <v>0</v>
      </c>
      <c r="M1755" s="477">
        <f t="shared" si="306"/>
        <v>0</v>
      </c>
      <c r="N1755" s="796"/>
      <c r="P1755" s="399"/>
    </row>
    <row r="1756" spans="1:16" s="742" customFormat="1" ht="15" customHeight="1" x14ac:dyDescent="0.25">
      <c r="A1756" s="397"/>
      <c r="B1756" s="478">
        <f t="shared" si="304"/>
        <v>305408</v>
      </c>
      <c r="C1756" s="528" t="s">
        <v>6062</v>
      </c>
      <c r="D1756" s="528">
        <f t="shared" si="305"/>
        <v>305500</v>
      </c>
      <c r="E1756" s="417">
        <v>333903004000000</v>
      </c>
      <c r="F1756" s="418" t="s">
        <v>5747</v>
      </c>
      <c r="G1756" s="603">
        <v>20</v>
      </c>
      <c r="H1756" s="603">
        <v>0</v>
      </c>
      <c r="I1756" s="601">
        <v>1322</v>
      </c>
      <c r="J1756" s="602" t="s">
        <v>6095</v>
      </c>
      <c r="K1756" s="891">
        <v>0</v>
      </c>
      <c r="L1756" s="891">
        <v>0</v>
      </c>
      <c r="M1756" s="477">
        <f t="shared" si="306"/>
        <v>0</v>
      </c>
      <c r="N1756" s="796"/>
      <c r="P1756" s="399"/>
    </row>
    <row r="1757" spans="1:16" s="742" customFormat="1" ht="15" customHeight="1" x14ac:dyDescent="0.25">
      <c r="A1757" s="397"/>
      <c r="B1757" s="478">
        <f t="shared" si="304"/>
        <v>305409</v>
      </c>
      <c r="C1757" s="528" t="s">
        <v>6062</v>
      </c>
      <c r="D1757" s="528">
        <f t="shared" si="305"/>
        <v>305500</v>
      </c>
      <c r="E1757" s="417">
        <v>333903007000000</v>
      </c>
      <c r="F1757" s="418" t="s">
        <v>2267</v>
      </c>
      <c r="G1757" s="603">
        <v>20</v>
      </c>
      <c r="H1757" s="603">
        <v>0</v>
      </c>
      <c r="I1757" s="601">
        <v>331110600000000</v>
      </c>
      <c r="J1757" s="602" t="s">
        <v>6096</v>
      </c>
      <c r="K1757" s="891">
        <v>0</v>
      </c>
      <c r="L1757" s="891">
        <v>0</v>
      </c>
      <c r="M1757" s="477">
        <f t="shared" si="306"/>
        <v>0</v>
      </c>
      <c r="N1757" s="796"/>
      <c r="P1757" s="399"/>
    </row>
    <row r="1758" spans="1:16" s="742" customFormat="1" ht="15" customHeight="1" x14ac:dyDescent="0.25">
      <c r="A1758" s="397"/>
      <c r="B1758" s="478">
        <f>B1757+1</f>
        <v>305410</v>
      </c>
      <c r="C1758" s="528" t="s">
        <v>6062</v>
      </c>
      <c r="D1758" s="528">
        <f>D1757</f>
        <v>305500</v>
      </c>
      <c r="E1758" s="417">
        <v>333903007000000</v>
      </c>
      <c r="F1758" s="418" t="s">
        <v>5749</v>
      </c>
      <c r="G1758" s="603">
        <v>20</v>
      </c>
      <c r="H1758" s="603">
        <v>0</v>
      </c>
      <c r="I1758" s="601">
        <v>30</v>
      </c>
      <c r="J1758" s="602" t="s">
        <v>6096</v>
      </c>
      <c r="K1758" s="891">
        <v>0</v>
      </c>
      <c r="L1758" s="891">
        <v>0</v>
      </c>
      <c r="M1758" s="477">
        <f t="shared" si="306"/>
        <v>0</v>
      </c>
      <c r="N1758" s="796"/>
      <c r="P1758" s="399"/>
    </row>
    <row r="1759" spans="1:16" s="742" customFormat="1" ht="15" customHeight="1" x14ac:dyDescent="0.25">
      <c r="A1759" s="397"/>
      <c r="B1759" s="478">
        <f>B1758+1</f>
        <v>305411</v>
      </c>
      <c r="C1759" s="528" t="s">
        <v>6062</v>
      </c>
      <c r="D1759" s="528">
        <f>D1758</f>
        <v>305500</v>
      </c>
      <c r="E1759" s="417">
        <v>333903007000000</v>
      </c>
      <c r="F1759" s="418" t="s">
        <v>6923</v>
      </c>
      <c r="G1759" s="603">
        <v>20</v>
      </c>
      <c r="H1759" s="603">
        <v>0</v>
      </c>
      <c r="I1759" s="601">
        <v>331110600000000</v>
      </c>
      <c r="J1759" s="602" t="s">
        <v>6096</v>
      </c>
      <c r="K1759" s="891">
        <v>0</v>
      </c>
      <c r="L1759" s="891">
        <v>0</v>
      </c>
      <c r="M1759" s="477">
        <f t="shared" si="306"/>
        <v>0</v>
      </c>
      <c r="N1759" s="796"/>
      <c r="P1759" s="399"/>
    </row>
    <row r="1760" spans="1:16" s="742" customFormat="1" ht="15" customHeight="1" x14ac:dyDescent="0.25">
      <c r="A1760" s="397"/>
      <c r="B1760" s="478">
        <f>B1759+1</f>
        <v>305412</v>
      </c>
      <c r="C1760" s="528" t="s">
        <v>6062</v>
      </c>
      <c r="D1760" s="528">
        <f>D1759</f>
        <v>305500</v>
      </c>
      <c r="E1760" s="417">
        <v>333903007000000</v>
      </c>
      <c r="F1760" s="418" t="s">
        <v>6924</v>
      </c>
      <c r="G1760" s="603">
        <v>20</v>
      </c>
      <c r="H1760" s="603">
        <v>0</v>
      </c>
      <c r="I1760" s="601">
        <v>30</v>
      </c>
      <c r="J1760" s="602" t="s">
        <v>6096</v>
      </c>
      <c r="K1760" s="891">
        <v>0</v>
      </c>
      <c r="L1760" s="891">
        <v>0</v>
      </c>
      <c r="M1760" s="477">
        <f t="shared" si="306"/>
        <v>0</v>
      </c>
      <c r="N1760" s="796"/>
      <c r="P1760" s="399"/>
    </row>
    <row r="1761" spans="1:16" s="742" customFormat="1" ht="15" customHeight="1" x14ac:dyDescent="0.25">
      <c r="A1761" s="397"/>
      <c r="B1761" s="478">
        <f>B1760+1</f>
        <v>305413</v>
      </c>
      <c r="C1761" s="528" t="s">
        <v>6062</v>
      </c>
      <c r="D1761" s="528">
        <f>D1760</f>
        <v>305500</v>
      </c>
      <c r="E1761" s="417">
        <v>333903016000000</v>
      </c>
      <c r="F1761" s="418" t="s">
        <v>2264</v>
      </c>
      <c r="G1761" s="603">
        <v>20</v>
      </c>
      <c r="H1761" s="603">
        <v>0</v>
      </c>
      <c r="I1761" s="601">
        <v>331111600000000</v>
      </c>
      <c r="J1761" s="602" t="s">
        <v>6097</v>
      </c>
      <c r="K1761" s="891">
        <v>0</v>
      </c>
      <c r="L1761" s="891">
        <v>0</v>
      </c>
      <c r="M1761" s="477">
        <f t="shared" si="306"/>
        <v>0</v>
      </c>
      <c r="N1761" s="796"/>
      <c r="P1761" s="399"/>
    </row>
    <row r="1762" spans="1:16" s="742" customFormat="1" ht="15" customHeight="1" x14ac:dyDescent="0.25">
      <c r="A1762" s="397"/>
      <c r="B1762" s="478">
        <f t="shared" si="304"/>
        <v>305414</v>
      </c>
      <c r="C1762" s="528" t="s">
        <v>6062</v>
      </c>
      <c r="D1762" s="528">
        <f t="shared" si="305"/>
        <v>305500</v>
      </c>
      <c r="E1762" s="417">
        <v>333903016000000</v>
      </c>
      <c r="F1762" s="418" t="s">
        <v>5751</v>
      </c>
      <c r="G1762" s="603">
        <v>20</v>
      </c>
      <c r="H1762" s="603">
        <v>0</v>
      </c>
      <c r="I1762" s="601">
        <v>35</v>
      </c>
      <c r="J1762" s="602" t="s">
        <v>6097</v>
      </c>
      <c r="K1762" s="891">
        <v>0</v>
      </c>
      <c r="L1762" s="891">
        <v>0</v>
      </c>
      <c r="M1762" s="477">
        <f t="shared" si="306"/>
        <v>0</v>
      </c>
      <c r="N1762" s="796"/>
      <c r="P1762" s="399"/>
    </row>
    <row r="1763" spans="1:16" s="742" customFormat="1" ht="15" customHeight="1" x14ac:dyDescent="0.25">
      <c r="A1763" s="397"/>
      <c r="B1763" s="478">
        <f t="shared" si="304"/>
        <v>305415</v>
      </c>
      <c r="C1763" s="528" t="s">
        <v>6062</v>
      </c>
      <c r="D1763" s="528">
        <f t="shared" si="305"/>
        <v>305500</v>
      </c>
      <c r="E1763" s="417">
        <v>333903017000000</v>
      </c>
      <c r="F1763" s="418" t="s">
        <v>5753</v>
      </c>
      <c r="G1763" s="603">
        <v>20</v>
      </c>
      <c r="H1763" s="603">
        <v>0</v>
      </c>
      <c r="I1763" s="601">
        <v>331111700000000</v>
      </c>
      <c r="J1763" s="602" t="s">
        <v>6098</v>
      </c>
      <c r="K1763" s="891">
        <v>0</v>
      </c>
      <c r="L1763" s="891">
        <v>0</v>
      </c>
      <c r="M1763" s="477">
        <f t="shared" si="306"/>
        <v>0</v>
      </c>
      <c r="N1763" s="796"/>
      <c r="P1763" s="399"/>
    </row>
    <row r="1764" spans="1:16" s="742" customFormat="1" ht="15" customHeight="1" x14ac:dyDescent="0.25">
      <c r="A1764" s="397"/>
      <c r="B1764" s="478">
        <f t="shared" si="304"/>
        <v>305416</v>
      </c>
      <c r="C1764" s="528" t="s">
        <v>6062</v>
      </c>
      <c r="D1764" s="528">
        <f t="shared" si="305"/>
        <v>305500</v>
      </c>
      <c r="E1764" s="417">
        <v>333903017000000</v>
      </c>
      <c r="F1764" s="418" t="s">
        <v>5754</v>
      </c>
      <c r="G1764" s="603">
        <v>20</v>
      </c>
      <c r="H1764" s="603">
        <v>0</v>
      </c>
      <c r="I1764" s="601">
        <v>617</v>
      </c>
      <c r="J1764" s="602" t="s">
        <v>6098</v>
      </c>
      <c r="K1764" s="891">
        <v>0</v>
      </c>
      <c r="L1764" s="891">
        <v>0</v>
      </c>
      <c r="M1764" s="477">
        <f t="shared" si="306"/>
        <v>0</v>
      </c>
      <c r="N1764" s="796"/>
      <c r="P1764" s="399"/>
    </row>
    <row r="1765" spans="1:16" s="742" customFormat="1" ht="15" customHeight="1" x14ac:dyDescent="0.25">
      <c r="A1765" s="397"/>
      <c r="B1765" s="478">
        <f t="shared" si="304"/>
        <v>305417</v>
      </c>
      <c r="C1765" s="528" t="s">
        <v>6062</v>
      </c>
      <c r="D1765" s="528">
        <f t="shared" si="305"/>
        <v>305500</v>
      </c>
      <c r="E1765" s="417">
        <v>333903021000000</v>
      </c>
      <c r="F1765" s="418" t="s">
        <v>5868</v>
      </c>
      <c r="G1765" s="603">
        <v>20</v>
      </c>
      <c r="H1765" s="603">
        <v>0</v>
      </c>
      <c r="I1765" s="601">
        <v>331112100000000</v>
      </c>
      <c r="J1765" s="602" t="s">
        <v>6099</v>
      </c>
      <c r="K1765" s="891">
        <v>0</v>
      </c>
      <c r="L1765" s="891">
        <v>0</v>
      </c>
      <c r="M1765" s="477">
        <f t="shared" si="306"/>
        <v>0</v>
      </c>
      <c r="N1765" s="796"/>
      <c r="P1765" s="399"/>
    </row>
    <row r="1766" spans="1:16" s="742" customFormat="1" ht="15" customHeight="1" x14ac:dyDescent="0.25">
      <c r="A1766" s="397"/>
      <c r="B1766" s="478">
        <f t="shared" si="304"/>
        <v>305418</v>
      </c>
      <c r="C1766" s="528" t="s">
        <v>6062</v>
      </c>
      <c r="D1766" s="528">
        <f t="shared" si="305"/>
        <v>305500</v>
      </c>
      <c r="E1766" s="417">
        <v>333903021000000</v>
      </c>
      <c r="F1766" s="418" t="s">
        <v>5869</v>
      </c>
      <c r="G1766" s="603">
        <v>20</v>
      </c>
      <c r="H1766" s="603">
        <v>0</v>
      </c>
      <c r="I1766" s="601">
        <v>28</v>
      </c>
      <c r="J1766" s="602" t="s">
        <v>6099</v>
      </c>
      <c r="K1766" s="891">
        <v>0</v>
      </c>
      <c r="L1766" s="891">
        <v>0</v>
      </c>
      <c r="M1766" s="477">
        <f t="shared" si="306"/>
        <v>0</v>
      </c>
      <c r="N1766" s="796"/>
      <c r="P1766" s="399"/>
    </row>
    <row r="1767" spans="1:16" s="742" customFormat="1" ht="15" customHeight="1" x14ac:dyDescent="0.25">
      <c r="A1767" s="397"/>
      <c r="B1767" s="478">
        <f t="shared" si="304"/>
        <v>305419</v>
      </c>
      <c r="C1767" s="528" t="s">
        <v>6062</v>
      </c>
      <c r="D1767" s="528">
        <f t="shared" si="305"/>
        <v>305500</v>
      </c>
      <c r="E1767" s="417">
        <v>333903022000000</v>
      </c>
      <c r="F1767" s="418" t="s">
        <v>5757</v>
      </c>
      <c r="G1767" s="603">
        <v>20</v>
      </c>
      <c r="H1767" s="603">
        <v>0</v>
      </c>
      <c r="I1767" s="601">
        <v>331112200000000</v>
      </c>
      <c r="J1767" s="602" t="s">
        <v>6100</v>
      </c>
      <c r="K1767" s="891">
        <v>0</v>
      </c>
      <c r="L1767" s="891">
        <v>0</v>
      </c>
      <c r="M1767" s="477">
        <f t="shared" si="306"/>
        <v>0</v>
      </c>
      <c r="N1767" s="796"/>
      <c r="P1767" s="399"/>
    </row>
    <row r="1768" spans="1:16" s="742" customFormat="1" ht="15" customHeight="1" x14ac:dyDescent="0.25">
      <c r="A1768" s="397"/>
      <c r="B1768" s="478">
        <f t="shared" si="304"/>
        <v>305420</v>
      </c>
      <c r="C1768" s="528" t="s">
        <v>6062</v>
      </c>
      <c r="D1768" s="528">
        <f t="shared" si="305"/>
        <v>305500</v>
      </c>
      <c r="E1768" s="417">
        <v>333903022000000</v>
      </c>
      <c r="F1768" s="418" t="s">
        <v>5758</v>
      </c>
      <c r="G1768" s="603">
        <v>20</v>
      </c>
      <c r="H1768" s="603">
        <v>0</v>
      </c>
      <c r="I1768" s="601">
        <v>28</v>
      </c>
      <c r="J1768" s="602" t="s">
        <v>6100</v>
      </c>
      <c r="K1768" s="891">
        <v>0</v>
      </c>
      <c r="L1768" s="891">
        <v>0</v>
      </c>
      <c r="M1768" s="477">
        <f t="shared" si="306"/>
        <v>0</v>
      </c>
      <c r="N1768" s="796"/>
      <c r="P1768" s="399"/>
    </row>
    <row r="1769" spans="1:16" s="742" customFormat="1" ht="15" customHeight="1" x14ac:dyDescent="0.25">
      <c r="A1769" s="397"/>
      <c r="B1769" s="478">
        <f t="shared" si="304"/>
        <v>305421</v>
      </c>
      <c r="C1769" s="528" t="s">
        <v>6062</v>
      </c>
      <c r="D1769" s="528">
        <f t="shared" si="305"/>
        <v>305500</v>
      </c>
      <c r="E1769" s="417">
        <v>333903024000000</v>
      </c>
      <c r="F1769" s="418" t="s">
        <v>5760</v>
      </c>
      <c r="G1769" s="603">
        <v>20</v>
      </c>
      <c r="H1769" s="603">
        <v>0</v>
      </c>
      <c r="I1769" s="601">
        <v>331112400000000</v>
      </c>
      <c r="J1769" s="602" t="s">
        <v>6101</v>
      </c>
      <c r="K1769" s="891">
        <v>0</v>
      </c>
      <c r="L1769" s="891">
        <v>0</v>
      </c>
      <c r="M1769" s="477">
        <f t="shared" si="306"/>
        <v>0</v>
      </c>
      <c r="N1769" s="796"/>
      <c r="P1769" s="399"/>
    </row>
    <row r="1770" spans="1:16" s="742" customFormat="1" ht="15" customHeight="1" x14ac:dyDescent="0.25">
      <c r="A1770" s="397"/>
      <c r="B1770" s="478">
        <f t="shared" si="304"/>
        <v>305422</v>
      </c>
      <c r="C1770" s="528" t="s">
        <v>6062</v>
      </c>
      <c r="D1770" s="528">
        <f t="shared" si="305"/>
        <v>305500</v>
      </c>
      <c r="E1770" s="417">
        <v>333903024000000</v>
      </c>
      <c r="F1770" s="418" t="s">
        <v>5759</v>
      </c>
      <c r="G1770" s="603">
        <v>20</v>
      </c>
      <c r="H1770" s="603">
        <v>0</v>
      </c>
      <c r="I1770" s="601">
        <v>28</v>
      </c>
      <c r="J1770" s="602" t="s">
        <v>6101</v>
      </c>
      <c r="K1770" s="891">
        <v>0</v>
      </c>
      <c r="L1770" s="891">
        <v>0</v>
      </c>
      <c r="M1770" s="477">
        <f t="shared" si="306"/>
        <v>0</v>
      </c>
      <c r="N1770" s="796"/>
      <c r="P1770" s="399"/>
    </row>
    <row r="1771" spans="1:16" s="742" customFormat="1" ht="15" customHeight="1" x14ac:dyDescent="0.25">
      <c r="A1771" s="397"/>
      <c r="B1771" s="478">
        <f t="shared" si="304"/>
        <v>305423</v>
      </c>
      <c r="C1771" s="528" t="s">
        <v>6062</v>
      </c>
      <c r="D1771" s="528">
        <f t="shared" si="305"/>
        <v>305500</v>
      </c>
      <c r="E1771" s="417">
        <v>333903026000000</v>
      </c>
      <c r="F1771" s="418" t="s">
        <v>5933</v>
      </c>
      <c r="G1771" s="603">
        <v>20</v>
      </c>
      <c r="H1771" s="603">
        <v>0</v>
      </c>
      <c r="I1771" s="601">
        <v>331110300000000</v>
      </c>
      <c r="J1771" s="602" t="s">
        <v>6104</v>
      </c>
      <c r="K1771" s="891">
        <v>0</v>
      </c>
      <c r="L1771" s="891">
        <v>0</v>
      </c>
      <c r="M1771" s="477">
        <f t="shared" si="306"/>
        <v>0</v>
      </c>
      <c r="N1771" s="796"/>
      <c r="P1771" s="399"/>
    </row>
    <row r="1772" spans="1:16" s="742" customFormat="1" ht="15" customHeight="1" x14ac:dyDescent="0.25">
      <c r="A1772" s="397"/>
      <c r="B1772" s="478">
        <f t="shared" si="304"/>
        <v>305424</v>
      </c>
      <c r="C1772" s="528" t="s">
        <v>6062</v>
      </c>
      <c r="D1772" s="528">
        <f t="shared" si="305"/>
        <v>305500</v>
      </c>
      <c r="E1772" s="417">
        <v>333903026000000</v>
      </c>
      <c r="F1772" s="418" t="s">
        <v>6040</v>
      </c>
      <c r="G1772" s="603">
        <v>20</v>
      </c>
      <c r="H1772" s="603">
        <v>0</v>
      </c>
      <c r="I1772" s="601">
        <v>28</v>
      </c>
      <c r="J1772" s="602" t="s">
        <v>6104</v>
      </c>
      <c r="K1772" s="891">
        <v>0</v>
      </c>
      <c r="L1772" s="891">
        <v>0</v>
      </c>
      <c r="M1772" s="477">
        <f t="shared" si="306"/>
        <v>0</v>
      </c>
      <c r="N1772" s="796"/>
      <c r="P1772" s="399"/>
    </row>
    <row r="1773" spans="1:16" s="742" customFormat="1" ht="15" customHeight="1" x14ac:dyDescent="0.25">
      <c r="A1773" s="397"/>
      <c r="B1773" s="478">
        <f t="shared" si="304"/>
        <v>305425</v>
      </c>
      <c r="C1773" s="528" t="s">
        <v>6062</v>
      </c>
      <c r="D1773" s="528">
        <f t="shared" si="305"/>
        <v>305500</v>
      </c>
      <c r="E1773" s="417">
        <v>333903028000000</v>
      </c>
      <c r="F1773" s="418" t="s">
        <v>5934</v>
      </c>
      <c r="G1773" s="603">
        <v>20</v>
      </c>
      <c r="H1773" s="603">
        <v>0</v>
      </c>
      <c r="I1773" s="601">
        <v>331110300000000</v>
      </c>
      <c r="J1773" s="602" t="s">
        <v>6111</v>
      </c>
      <c r="K1773" s="891">
        <v>0</v>
      </c>
      <c r="L1773" s="891">
        <v>0</v>
      </c>
      <c r="M1773" s="477">
        <f t="shared" si="306"/>
        <v>0</v>
      </c>
      <c r="N1773" s="796"/>
      <c r="P1773" s="399"/>
    </row>
    <row r="1774" spans="1:16" s="742" customFormat="1" ht="15" customHeight="1" x14ac:dyDescent="0.25">
      <c r="A1774" s="397"/>
      <c r="B1774" s="478">
        <f t="shared" si="304"/>
        <v>305426</v>
      </c>
      <c r="C1774" s="528" t="s">
        <v>6062</v>
      </c>
      <c r="D1774" s="528">
        <f t="shared" si="305"/>
        <v>305500</v>
      </c>
      <c r="E1774" s="417">
        <v>333903028000000</v>
      </c>
      <c r="F1774" s="418" t="s">
        <v>6041</v>
      </c>
      <c r="G1774" s="603">
        <v>20</v>
      </c>
      <c r="H1774" s="603">
        <v>0</v>
      </c>
      <c r="I1774" s="601">
        <v>28</v>
      </c>
      <c r="J1774" s="602" t="s">
        <v>6111</v>
      </c>
      <c r="K1774" s="891">
        <v>0</v>
      </c>
      <c r="L1774" s="891">
        <v>0</v>
      </c>
      <c r="M1774" s="477">
        <f t="shared" si="306"/>
        <v>0</v>
      </c>
      <c r="N1774" s="796"/>
      <c r="P1774" s="399"/>
    </row>
    <row r="1775" spans="1:16" s="742" customFormat="1" ht="15" customHeight="1" x14ac:dyDescent="0.25">
      <c r="A1775" s="397"/>
      <c r="B1775" s="478">
        <f t="shared" si="304"/>
        <v>305427</v>
      </c>
      <c r="C1775" s="528" t="s">
        <v>6062</v>
      </c>
      <c r="D1775" s="528">
        <f t="shared" si="305"/>
        <v>305500</v>
      </c>
      <c r="E1775" s="417">
        <v>333903039010000</v>
      </c>
      <c r="F1775" s="418" t="s">
        <v>6909</v>
      </c>
      <c r="G1775" s="603">
        <v>20</v>
      </c>
      <c r="H1775" s="603">
        <v>0</v>
      </c>
      <c r="I1775" s="601">
        <v>331110390000000</v>
      </c>
      <c r="J1775" s="602" t="s">
        <v>6105</v>
      </c>
      <c r="K1775" s="891">
        <v>0</v>
      </c>
      <c r="L1775" s="891">
        <v>0</v>
      </c>
      <c r="M1775" s="477">
        <f t="shared" si="306"/>
        <v>0</v>
      </c>
      <c r="N1775" s="796"/>
      <c r="P1775" s="399"/>
    </row>
    <row r="1776" spans="1:16" s="742" customFormat="1" ht="15" customHeight="1" x14ac:dyDescent="0.25">
      <c r="A1776" s="397"/>
      <c r="B1776" s="478">
        <f t="shared" si="304"/>
        <v>305428</v>
      </c>
      <c r="C1776" s="528" t="s">
        <v>6062</v>
      </c>
      <c r="D1776" s="528">
        <f t="shared" si="305"/>
        <v>305500</v>
      </c>
      <c r="E1776" s="417">
        <v>333903039010000</v>
      </c>
      <c r="F1776" s="418" t="s">
        <v>6910</v>
      </c>
      <c r="G1776" s="603">
        <v>20</v>
      </c>
      <c r="H1776" s="603">
        <v>0</v>
      </c>
      <c r="I1776" s="601">
        <v>32</v>
      </c>
      <c r="J1776" s="602" t="s">
        <v>6105</v>
      </c>
      <c r="K1776" s="891">
        <v>0</v>
      </c>
      <c r="L1776" s="891">
        <v>0</v>
      </c>
      <c r="M1776" s="477">
        <f t="shared" si="306"/>
        <v>0</v>
      </c>
      <c r="N1776" s="796"/>
      <c r="P1776" s="399"/>
    </row>
    <row r="1777" spans="1:16" s="742" customFormat="1" ht="15" customHeight="1" x14ac:dyDescent="0.25">
      <c r="A1777" s="397"/>
      <c r="B1777" s="478">
        <f t="shared" si="304"/>
        <v>305429</v>
      </c>
      <c r="C1777" s="528" t="s">
        <v>6062</v>
      </c>
      <c r="D1777" s="528">
        <f t="shared" si="305"/>
        <v>305500</v>
      </c>
      <c r="E1777" s="417">
        <v>333903099000000</v>
      </c>
      <c r="F1777" s="418" t="s">
        <v>5762</v>
      </c>
      <c r="G1777" s="603">
        <v>20</v>
      </c>
      <c r="H1777" s="603">
        <v>0</v>
      </c>
      <c r="I1777" s="601">
        <v>331119900000000</v>
      </c>
      <c r="J1777" s="602" t="s">
        <v>6106</v>
      </c>
      <c r="K1777" s="891">
        <v>0</v>
      </c>
      <c r="L1777" s="891">
        <v>0</v>
      </c>
      <c r="M1777" s="477">
        <f t="shared" si="306"/>
        <v>0</v>
      </c>
      <c r="N1777" s="796"/>
      <c r="P1777" s="399"/>
    </row>
    <row r="1778" spans="1:16" s="742" customFormat="1" ht="15" customHeight="1" x14ac:dyDescent="0.25">
      <c r="A1778" s="397"/>
      <c r="B1778" s="478">
        <f t="shared" si="304"/>
        <v>305430</v>
      </c>
      <c r="C1778" s="528" t="s">
        <v>6062</v>
      </c>
      <c r="D1778" s="528">
        <f t="shared" si="305"/>
        <v>305500</v>
      </c>
      <c r="E1778" s="417">
        <v>333903099000000</v>
      </c>
      <c r="F1778" s="418" t="s">
        <v>5763</v>
      </c>
      <c r="G1778" s="603">
        <v>20</v>
      </c>
      <c r="H1778" s="603">
        <v>0</v>
      </c>
      <c r="I1778" s="601">
        <v>28</v>
      </c>
      <c r="J1778" s="602" t="s">
        <v>6106</v>
      </c>
      <c r="K1778" s="891">
        <v>0</v>
      </c>
      <c r="L1778" s="891">
        <v>0</v>
      </c>
      <c r="M1778" s="477">
        <f t="shared" si="306"/>
        <v>0</v>
      </c>
      <c r="N1778" s="796"/>
      <c r="P1778" s="399"/>
    </row>
    <row r="1779" spans="1:16" s="742" customFormat="1" ht="15" customHeight="1" x14ac:dyDescent="0.25">
      <c r="A1779" s="397"/>
      <c r="B1779" s="1396">
        <v>305600</v>
      </c>
      <c r="C1779" s="1396"/>
      <c r="D1779" s="1396"/>
      <c r="E1779" s="417">
        <v>333903200000000</v>
      </c>
      <c r="F1779" s="418" t="s">
        <v>1021</v>
      </c>
      <c r="G1779" s="468">
        <v>20</v>
      </c>
      <c r="H1779" s="468">
        <v>0</v>
      </c>
      <c r="I1779" s="751"/>
      <c r="J1779" s="878" t="s">
        <v>6089</v>
      </c>
      <c r="K1779" s="789">
        <f>('Parâmetros financeiros Despesa'!E830)</f>
        <v>0</v>
      </c>
      <c r="L1779" s="789">
        <f>('Parâmetros financeiros Despesa'!F830)*(1+'Parâmetros financeiros Despesa'!F$4)*(1+'Parâmetros financeiros Despesa'!F$7)</f>
        <v>5451.6575000000003</v>
      </c>
      <c r="M1779" s="799">
        <f t="shared" si="306"/>
        <v>4.4203740085443349E-3</v>
      </c>
      <c r="N1779" s="796"/>
      <c r="P1779" s="399"/>
    </row>
    <row r="1780" spans="1:16" s="742" customFormat="1" ht="15" customHeight="1" x14ac:dyDescent="0.25">
      <c r="A1780" s="397"/>
      <c r="B1780" s="478">
        <f>B1779+1</f>
        <v>305601</v>
      </c>
      <c r="C1780" s="528" t="s">
        <v>6062</v>
      </c>
      <c r="D1780" s="528">
        <f>B1779</f>
        <v>305600</v>
      </c>
      <c r="E1780" s="417">
        <v>333903209000000</v>
      </c>
      <c r="F1780" s="418" t="s">
        <v>2203</v>
      </c>
      <c r="G1780" s="603">
        <v>20</v>
      </c>
      <c r="H1780" s="603">
        <v>0</v>
      </c>
      <c r="I1780" s="601">
        <v>331210600000000</v>
      </c>
      <c r="J1780" s="602" t="s">
        <v>6112</v>
      </c>
      <c r="K1780" s="891">
        <v>0</v>
      </c>
      <c r="L1780" s="891">
        <v>0</v>
      </c>
      <c r="M1780" s="477">
        <f t="shared" si="306"/>
        <v>0</v>
      </c>
      <c r="N1780" s="796"/>
      <c r="P1780" s="399"/>
    </row>
    <row r="1781" spans="1:16" s="742" customFormat="1" ht="15" customHeight="1" x14ac:dyDescent="0.25">
      <c r="A1781" s="397"/>
      <c r="B1781" s="1396">
        <v>305700</v>
      </c>
      <c r="C1781" s="1396"/>
      <c r="D1781" s="1396"/>
      <c r="E1781" s="417">
        <v>333903300000000</v>
      </c>
      <c r="F1781" s="418" t="s">
        <v>3469</v>
      </c>
      <c r="G1781" s="468">
        <v>20</v>
      </c>
      <c r="H1781" s="468">
        <v>0</v>
      </c>
      <c r="I1781" s="751"/>
      <c r="J1781" s="878" t="s">
        <v>6089</v>
      </c>
      <c r="K1781" s="789">
        <f>('Parâmetros financeiros Despesa'!E831)</f>
        <v>706.05</v>
      </c>
      <c r="L1781" s="789">
        <f>('Parâmetros financeiros Despesa'!F831)*(1+'Parâmetros financeiros Despesa'!F$4)*(1+'Parâmetros financeiros Despesa'!F$7)</f>
        <v>769.82855557499988</v>
      </c>
      <c r="M1781" s="799">
        <f t="shared" si="306"/>
        <v>6.2420101374654547E-4</v>
      </c>
      <c r="N1781" s="796"/>
      <c r="P1781" s="399"/>
    </row>
    <row r="1782" spans="1:16" s="742" customFormat="1" ht="15" customHeight="1" x14ac:dyDescent="0.25">
      <c r="A1782" s="397"/>
      <c r="B1782" s="530">
        <f t="shared" ref="B1782:B1787" si="307">B1781+1</f>
        <v>305701</v>
      </c>
      <c r="C1782" s="531" t="s">
        <v>6062</v>
      </c>
      <c r="D1782" s="532">
        <f>B1781</f>
        <v>305700</v>
      </c>
      <c r="E1782" s="417">
        <v>333903301000000</v>
      </c>
      <c r="F1782" s="418" t="s">
        <v>6517</v>
      </c>
      <c r="G1782" s="603">
        <v>20</v>
      </c>
      <c r="H1782" s="603">
        <v>0</v>
      </c>
      <c r="I1782" s="601">
        <v>332315600000000</v>
      </c>
      <c r="J1782" s="602" t="s">
        <v>6121</v>
      </c>
      <c r="K1782" s="533">
        <v>0</v>
      </c>
      <c r="L1782" s="533">
        <v>0</v>
      </c>
      <c r="M1782" s="477">
        <f t="shared" si="306"/>
        <v>0</v>
      </c>
      <c r="N1782" s="796"/>
      <c r="P1782" s="399"/>
    </row>
    <row r="1783" spans="1:16" s="742" customFormat="1" ht="15" customHeight="1" x14ac:dyDescent="0.25">
      <c r="A1783" s="397"/>
      <c r="B1783" s="530">
        <f t="shared" si="307"/>
        <v>305702</v>
      </c>
      <c r="C1783" s="531" t="s">
        <v>6062</v>
      </c>
      <c r="D1783" s="532">
        <f>D1782</f>
        <v>305700</v>
      </c>
      <c r="E1783" s="417">
        <v>333903301000000</v>
      </c>
      <c r="F1783" s="418" t="s">
        <v>6518</v>
      </c>
      <c r="G1783" s="603">
        <v>20</v>
      </c>
      <c r="H1783" s="603">
        <v>0</v>
      </c>
      <c r="I1783" s="601">
        <v>332315600000000</v>
      </c>
      <c r="J1783" s="602" t="s">
        <v>6122</v>
      </c>
      <c r="K1783" s="533">
        <v>0</v>
      </c>
      <c r="L1783" s="533">
        <v>0</v>
      </c>
      <c r="M1783" s="477">
        <f t="shared" si="306"/>
        <v>0</v>
      </c>
      <c r="N1783" s="796"/>
      <c r="P1783" s="399"/>
    </row>
    <row r="1784" spans="1:16" s="742" customFormat="1" ht="15" customHeight="1" x14ac:dyDescent="0.25">
      <c r="A1784" s="397"/>
      <c r="B1784" s="530">
        <f t="shared" si="307"/>
        <v>305703</v>
      </c>
      <c r="C1784" s="531" t="s">
        <v>6062</v>
      </c>
      <c r="D1784" s="532">
        <f>D1783</f>
        <v>305700</v>
      </c>
      <c r="E1784" s="417">
        <v>333903301000000</v>
      </c>
      <c r="F1784" s="418" t="s">
        <v>6519</v>
      </c>
      <c r="G1784" s="603">
        <v>20</v>
      </c>
      <c r="H1784" s="603">
        <v>0</v>
      </c>
      <c r="I1784" s="601">
        <v>332315600000000</v>
      </c>
      <c r="J1784" s="602" t="s">
        <v>6123</v>
      </c>
      <c r="K1784" s="533">
        <v>0</v>
      </c>
      <c r="L1784" s="533">
        <v>0</v>
      </c>
      <c r="M1784" s="477">
        <f t="shared" si="306"/>
        <v>0</v>
      </c>
      <c r="N1784" s="796"/>
      <c r="P1784" s="399"/>
    </row>
    <row r="1785" spans="1:16" s="742" customFormat="1" ht="15" customHeight="1" x14ac:dyDescent="0.25">
      <c r="A1785" s="397"/>
      <c r="B1785" s="530">
        <f t="shared" si="307"/>
        <v>305704</v>
      </c>
      <c r="C1785" s="531" t="s">
        <v>6062</v>
      </c>
      <c r="D1785" s="532">
        <f>D1784</f>
        <v>305700</v>
      </c>
      <c r="E1785" s="417">
        <v>333903305000000</v>
      </c>
      <c r="F1785" s="418" t="s">
        <v>6520</v>
      </c>
      <c r="G1785" s="603">
        <v>20</v>
      </c>
      <c r="H1785" s="603">
        <v>0</v>
      </c>
      <c r="I1785" s="601">
        <v>332315600000000</v>
      </c>
      <c r="J1785" s="602" t="s">
        <v>6121</v>
      </c>
      <c r="K1785" s="533">
        <v>0</v>
      </c>
      <c r="L1785" s="533">
        <v>0</v>
      </c>
      <c r="M1785" s="477">
        <f t="shared" si="306"/>
        <v>0</v>
      </c>
      <c r="N1785" s="796"/>
      <c r="P1785" s="399"/>
    </row>
    <row r="1786" spans="1:16" s="742" customFormat="1" ht="15" customHeight="1" x14ac:dyDescent="0.25">
      <c r="A1786" s="397"/>
      <c r="B1786" s="530">
        <f t="shared" si="307"/>
        <v>305705</v>
      </c>
      <c r="C1786" s="531" t="s">
        <v>6062</v>
      </c>
      <c r="D1786" s="532">
        <f>D1785</f>
        <v>305700</v>
      </c>
      <c r="E1786" s="417">
        <v>333903305000000</v>
      </c>
      <c r="F1786" s="418" t="s">
        <v>6521</v>
      </c>
      <c r="G1786" s="603">
        <v>20</v>
      </c>
      <c r="H1786" s="603">
        <v>0</v>
      </c>
      <c r="I1786" s="601">
        <v>332315600000000</v>
      </c>
      <c r="J1786" s="602" t="s">
        <v>6122</v>
      </c>
      <c r="K1786" s="533">
        <v>0</v>
      </c>
      <c r="L1786" s="533">
        <v>0</v>
      </c>
      <c r="M1786" s="477">
        <f t="shared" ref="M1786:M1817" si="308">L1786/L$1924</f>
        <v>0</v>
      </c>
      <c r="N1786" s="796"/>
      <c r="P1786" s="399"/>
    </row>
    <row r="1787" spans="1:16" s="742" customFormat="1" ht="15.75" customHeight="1" x14ac:dyDescent="0.25">
      <c r="A1787" s="397"/>
      <c r="B1787" s="530">
        <f t="shared" si="307"/>
        <v>305706</v>
      </c>
      <c r="C1787" s="531" t="s">
        <v>6062</v>
      </c>
      <c r="D1787" s="532">
        <f>D1786</f>
        <v>305700</v>
      </c>
      <c r="E1787" s="417">
        <v>333903305000000</v>
      </c>
      <c r="F1787" s="418" t="s">
        <v>6522</v>
      </c>
      <c r="G1787" s="603">
        <v>20</v>
      </c>
      <c r="H1787" s="603">
        <v>0</v>
      </c>
      <c r="I1787" s="601">
        <v>332315600000000</v>
      </c>
      <c r="J1787" s="602" t="s">
        <v>6123</v>
      </c>
      <c r="K1787" s="533">
        <v>0</v>
      </c>
      <c r="L1787" s="533">
        <v>0</v>
      </c>
      <c r="M1787" s="477">
        <f t="shared" si="308"/>
        <v>0</v>
      </c>
      <c r="N1787" s="796"/>
      <c r="P1787" s="399"/>
    </row>
    <row r="1788" spans="1:16" s="742" customFormat="1" ht="15" customHeight="1" x14ac:dyDescent="0.25">
      <c r="A1788" s="397"/>
      <c r="B1788" s="1398" t="s">
        <v>7953</v>
      </c>
      <c r="C1788" s="1398"/>
      <c r="D1788" s="1398"/>
      <c r="E1788" s="417">
        <v>333903500000000</v>
      </c>
      <c r="F1788" s="418" t="s">
        <v>2190</v>
      </c>
      <c r="G1788" s="468">
        <v>20</v>
      </c>
      <c r="H1788" s="468">
        <v>0</v>
      </c>
      <c r="I1788" s="751"/>
      <c r="J1788" s="878" t="s">
        <v>6089</v>
      </c>
      <c r="K1788" s="789">
        <f>('Parâmetros financeiros Despesa'!E832)</f>
        <v>0</v>
      </c>
      <c r="L1788" s="789">
        <f>('Parâmetros financeiros Despesa'!F832)*(1+'Parâmetros financeiros Despesa'!F$4)*(1+'Parâmetros financeiros Despesa'!F$7)</f>
        <v>2180.663</v>
      </c>
      <c r="M1788" s="799">
        <f t="shared" si="308"/>
        <v>1.7681496034177339E-3</v>
      </c>
      <c r="N1788" s="796"/>
      <c r="P1788" s="399"/>
    </row>
    <row r="1789" spans="1:16" s="742" customFormat="1" ht="15" customHeight="1" x14ac:dyDescent="0.25">
      <c r="A1789" s="397"/>
      <c r="B1789" s="599">
        <f>B1788+1</f>
        <v>305801</v>
      </c>
      <c r="C1789" s="600" t="s">
        <v>6062</v>
      </c>
      <c r="D1789" s="528" t="str">
        <f>B1788</f>
        <v>305800</v>
      </c>
      <c r="E1789" s="417">
        <v>333903501000000</v>
      </c>
      <c r="F1789" s="418" t="s">
        <v>5873</v>
      </c>
      <c r="G1789" s="603">
        <v>20</v>
      </c>
      <c r="H1789" s="603">
        <v>0</v>
      </c>
      <c r="I1789" s="601">
        <v>332310100000000</v>
      </c>
      <c r="J1789" s="602" t="s">
        <v>6126</v>
      </c>
      <c r="K1789" s="891">
        <v>0</v>
      </c>
      <c r="L1789" s="891">
        <v>0</v>
      </c>
      <c r="M1789" s="477">
        <f t="shared" si="308"/>
        <v>0</v>
      </c>
      <c r="N1789" s="796"/>
      <c r="P1789" s="399"/>
    </row>
    <row r="1790" spans="1:16" s="742" customFormat="1" ht="15" customHeight="1" x14ac:dyDescent="0.25">
      <c r="A1790" s="397"/>
      <c r="B1790" s="1398" t="s">
        <v>7954</v>
      </c>
      <c r="C1790" s="1398"/>
      <c r="D1790" s="1398"/>
      <c r="E1790" s="417">
        <v>333903600000000</v>
      </c>
      <c r="F1790" s="418" t="s">
        <v>993</v>
      </c>
      <c r="G1790" s="468">
        <v>20</v>
      </c>
      <c r="H1790" s="468">
        <v>0</v>
      </c>
      <c r="I1790" s="751"/>
      <c r="J1790" s="878" t="s">
        <v>6089</v>
      </c>
      <c r="K1790" s="789">
        <f>('Parâmetros financeiros Despesa'!E833+'Parâmetros financeiros Despesa'!E834)</f>
        <v>28297.98</v>
      </c>
      <c r="L1790" s="789">
        <f>('Parâmetros financeiros Despesa'!F833+'Parâmetros financeiros Despesa'!F834)*(1+'Parâmetros financeiros Despesa'!F$4)*(1+'Parâmetros financeiros Despesa'!F$7)</f>
        <v>30854.178980370001</v>
      </c>
      <c r="M1790" s="799">
        <f t="shared" si="308"/>
        <v>2.5017531057261483E-2</v>
      </c>
      <c r="N1790" s="796"/>
      <c r="P1790" s="399"/>
    </row>
    <row r="1791" spans="1:16" s="742" customFormat="1" ht="15" customHeight="1" x14ac:dyDescent="0.25">
      <c r="A1791" s="397"/>
      <c r="B1791" s="599" t="s">
        <v>7995</v>
      </c>
      <c r="C1791" s="600" t="s">
        <v>6062</v>
      </c>
      <c r="D1791" s="528" t="str">
        <f>B1790</f>
        <v>305900</v>
      </c>
      <c r="E1791" s="417">
        <v>333903606000000</v>
      </c>
      <c r="F1791" s="418" t="s">
        <v>1151</v>
      </c>
      <c r="G1791" s="603">
        <v>20</v>
      </c>
      <c r="H1791" s="603">
        <v>0</v>
      </c>
      <c r="I1791" s="601">
        <v>332211500000000</v>
      </c>
      <c r="J1791" s="602" t="s">
        <v>6131</v>
      </c>
      <c r="K1791" s="891">
        <v>0</v>
      </c>
      <c r="L1791" s="891">
        <v>0</v>
      </c>
      <c r="M1791" s="477">
        <f t="shared" si="308"/>
        <v>0</v>
      </c>
      <c r="N1791" s="796"/>
      <c r="P1791" s="399"/>
    </row>
    <row r="1792" spans="1:16" s="742" customFormat="1" ht="15" customHeight="1" x14ac:dyDescent="0.25">
      <c r="A1792" s="397"/>
      <c r="B1792" s="599">
        <f>B1791+1</f>
        <v>303002</v>
      </c>
      <c r="C1792" s="600" t="s">
        <v>6062</v>
      </c>
      <c r="D1792" s="528" t="str">
        <f>D1791</f>
        <v>305900</v>
      </c>
      <c r="E1792" s="417">
        <v>333903625000000</v>
      </c>
      <c r="F1792" s="418" t="s">
        <v>5880</v>
      </c>
      <c r="G1792" s="603">
        <v>20</v>
      </c>
      <c r="H1792" s="603">
        <v>0</v>
      </c>
      <c r="I1792" s="601">
        <v>332210800000000</v>
      </c>
      <c r="J1792" s="602" t="s">
        <v>6131</v>
      </c>
      <c r="K1792" s="891">
        <v>0</v>
      </c>
      <c r="L1792" s="891">
        <v>0</v>
      </c>
      <c r="M1792" s="477">
        <f t="shared" si="308"/>
        <v>0</v>
      </c>
      <c r="N1792" s="796"/>
      <c r="P1792" s="399"/>
    </row>
    <row r="1793" spans="1:16" s="742" customFormat="1" ht="15" customHeight="1" x14ac:dyDescent="0.25">
      <c r="A1793" s="397"/>
      <c r="B1793" s="599">
        <f>B1792+1</f>
        <v>303003</v>
      </c>
      <c r="C1793" s="600" t="s">
        <v>6062</v>
      </c>
      <c r="D1793" s="528" t="str">
        <f>D1792</f>
        <v>305900</v>
      </c>
      <c r="E1793" s="417">
        <v>333903699000000</v>
      </c>
      <c r="F1793" s="418" t="s">
        <v>2193</v>
      </c>
      <c r="G1793" s="603">
        <v>20</v>
      </c>
      <c r="H1793" s="603">
        <v>0</v>
      </c>
      <c r="I1793" s="601">
        <v>332219900000000</v>
      </c>
      <c r="J1793" s="602" t="s">
        <v>6131</v>
      </c>
      <c r="K1793" s="891">
        <v>0</v>
      </c>
      <c r="L1793" s="891">
        <v>0</v>
      </c>
      <c r="M1793" s="477">
        <f t="shared" si="308"/>
        <v>0</v>
      </c>
      <c r="N1793" s="796"/>
      <c r="P1793" s="399"/>
    </row>
    <row r="1794" spans="1:16" s="742" customFormat="1" ht="15" customHeight="1" x14ac:dyDescent="0.25">
      <c r="A1794" s="397"/>
      <c r="B1794" s="1398" t="s">
        <v>7955</v>
      </c>
      <c r="C1794" s="1398"/>
      <c r="D1794" s="1398"/>
      <c r="E1794" s="417">
        <v>333903900000000</v>
      </c>
      <c r="F1794" s="418" t="s">
        <v>2268</v>
      </c>
      <c r="G1794" s="468">
        <v>20</v>
      </c>
      <c r="H1794" s="468">
        <v>0</v>
      </c>
      <c r="I1794" s="751"/>
      <c r="J1794" s="878" t="s">
        <v>6089</v>
      </c>
      <c r="K1794" s="789">
        <f>('Parâmetros financeiros Despesa'!E835)</f>
        <v>48141.63</v>
      </c>
      <c r="L1794" s="789">
        <f>('Parâmetros financeiros Despesa'!F835)*(1+'Parâmetros financeiros Despesa'!F$4)*(1+'Parâmetros financeiros Despesa'!F$7)</f>
        <v>52490.335650344998</v>
      </c>
      <c r="M1794" s="799">
        <f t="shared" si="308"/>
        <v>4.2560801996191638E-2</v>
      </c>
      <c r="N1794" s="796"/>
      <c r="P1794" s="399"/>
    </row>
    <row r="1795" spans="1:16" s="742" customFormat="1" ht="15" customHeight="1" x14ac:dyDescent="0.25">
      <c r="A1795" s="397"/>
      <c r="B1795" s="599">
        <f>B1794+1</f>
        <v>306001</v>
      </c>
      <c r="C1795" s="600" t="s">
        <v>6062</v>
      </c>
      <c r="D1795" s="528" t="str">
        <f>B1794</f>
        <v>306000</v>
      </c>
      <c r="E1795" s="417">
        <v>333903901000000</v>
      </c>
      <c r="F1795" s="418" t="s">
        <v>2269</v>
      </c>
      <c r="G1795" s="603">
        <v>20</v>
      </c>
      <c r="H1795" s="603">
        <v>0</v>
      </c>
      <c r="I1795" s="601">
        <v>332311400000000</v>
      </c>
      <c r="J1795" s="602" t="s">
        <v>6133</v>
      </c>
      <c r="K1795" s="891">
        <v>0</v>
      </c>
      <c r="L1795" s="891">
        <v>0</v>
      </c>
      <c r="M1795" s="477">
        <f t="shared" si="308"/>
        <v>0</v>
      </c>
      <c r="N1795" s="796"/>
      <c r="P1795" s="399"/>
    </row>
    <row r="1796" spans="1:16" s="742" customFormat="1" ht="15" customHeight="1" x14ac:dyDescent="0.25">
      <c r="A1796" s="397"/>
      <c r="B1796" s="599">
        <f t="shared" ref="B1796:B1818" si="309">B1795+1</f>
        <v>306002</v>
      </c>
      <c r="C1796" s="600" t="s">
        <v>6062</v>
      </c>
      <c r="D1796" s="528" t="str">
        <f>D1795</f>
        <v>306000</v>
      </c>
      <c r="E1796" s="417">
        <v>333903905000000</v>
      </c>
      <c r="F1796" s="418" t="s">
        <v>1151</v>
      </c>
      <c r="G1796" s="603">
        <v>20</v>
      </c>
      <c r="H1796" s="603">
        <v>0</v>
      </c>
      <c r="I1796" s="601">
        <v>332315100000000</v>
      </c>
      <c r="J1796" s="602" t="s">
        <v>6127</v>
      </c>
      <c r="K1796" s="891">
        <v>0</v>
      </c>
      <c r="L1796" s="891">
        <v>0</v>
      </c>
      <c r="M1796" s="477">
        <f t="shared" si="308"/>
        <v>0</v>
      </c>
      <c r="N1796" s="796"/>
      <c r="P1796" s="399"/>
    </row>
    <row r="1797" spans="1:16" s="742" customFormat="1" ht="15" customHeight="1" x14ac:dyDescent="0.25">
      <c r="A1797" s="397"/>
      <c r="B1797" s="599">
        <f t="shared" si="309"/>
        <v>306003</v>
      </c>
      <c r="C1797" s="600" t="s">
        <v>6062</v>
      </c>
      <c r="D1797" s="528" t="str">
        <f t="shared" ref="D1797:D1818" si="310">D1796</f>
        <v>306000</v>
      </c>
      <c r="E1797" s="417">
        <v>333903916000000</v>
      </c>
      <c r="F1797" s="418" t="s">
        <v>2270</v>
      </c>
      <c r="G1797" s="603">
        <v>20</v>
      </c>
      <c r="H1797" s="603">
        <v>0</v>
      </c>
      <c r="I1797" s="601">
        <v>332310600000000</v>
      </c>
      <c r="J1797" s="602" t="s">
        <v>6101</v>
      </c>
      <c r="K1797" s="891">
        <v>0</v>
      </c>
      <c r="L1797" s="891">
        <v>0</v>
      </c>
      <c r="M1797" s="477">
        <f t="shared" si="308"/>
        <v>0</v>
      </c>
      <c r="N1797" s="796"/>
      <c r="P1797" s="399"/>
    </row>
    <row r="1798" spans="1:16" s="742" customFormat="1" ht="15" customHeight="1" x14ac:dyDescent="0.25">
      <c r="A1798" s="397"/>
      <c r="B1798" s="599">
        <f t="shared" si="309"/>
        <v>306004</v>
      </c>
      <c r="C1798" s="600" t="s">
        <v>6062</v>
      </c>
      <c r="D1798" s="528" t="str">
        <f t="shared" si="310"/>
        <v>306000</v>
      </c>
      <c r="E1798" s="417">
        <v>333903919430000</v>
      </c>
      <c r="F1798" s="418" t="s">
        <v>5279</v>
      </c>
      <c r="G1798" s="603">
        <v>20</v>
      </c>
      <c r="H1798" s="603">
        <v>0</v>
      </c>
      <c r="I1798" s="601">
        <v>332310600000000</v>
      </c>
      <c r="J1798" s="602" t="s">
        <v>6134</v>
      </c>
      <c r="K1798" s="891">
        <v>0</v>
      </c>
      <c r="L1798" s="891">
        <v>0</v>
      </c>
      <c r="M1798" s="477">
        <f t="shared" si="308"/>
        <v>0</v>
      </c>
      <c r="N1798" s="796"/>
      <c r="P1798" s="399"/>
    </row>
    <row r="1799" spans="1:16" s="742" customFormat="1" ht="15" customHeight="1" x14ac:dyDescent="0.25">
      <c r="A1799" s="397"/>
      <c r="B1799" s="599">
        <f t="shared" si="309"/>
        <v>306005</v>
      </c>
      <c r="C1799" s="600" t="s">
        <v>6062</v>
      </c>
      <c r="D1799" s="528" t="str">
        <f t="shared" si="310"/>
        <v>306000</v>
      </c>
      <c r="E1799" s="417">
        <v>333903919440000</v>
      </c>
      <c r="F1799" s="418" t="s">
        <v>5935</v>
      </c>
      <c r="G1799" s="603">
        <v>20</v>
      </c>
      <c r="H1799" s="603">
        <v>0</v>
      </c>
      <c r="I1799" s="601">
        <v>332310600000000</v>
      </c>
      <c r="J1799" s="602" t="s">
        <v>6134</v>
      </c>
      <c r="K1799" s="891">
        <v>0</v>
      </c>
      <c r="L1799" s="891">
        <v>0</v>
      </c>
      <c r="M1799" s="477">
        <f t="shared" si="308"/>
        <v>0</v>
      </c>
      <c r="N1799" s="796"/>
      <c r="P1799" s="399"/>
    </row>
    <row r="1800" spans="1:16" s="742" customFormat="1" ht="15" customHeight="1" x14ac:dyDescent="0.25">
      <c r="A1800" s="397"/>
      <c r="B1800" s="599">
        <f t="shared" si="309"/>
        <v>306006</v>
      </c>
      <c r="C1800" s="600" t="s">
        <v>6062</v>
      </c>
      <c r="D1800" s="528" t="str">
        <f t="shared" si="310"/>
        <v>306000</v>
      </c>
      <c r="E1800" s="417">
        <v>333903920000000</v>
      </c>
      <c r="F1800" s="418" t="s">
        <v>2352</v>
      </c>
      <c r="G1800" s="603">
        <v>20</v>
      </c>
      <c r="H1800" s="603">
        <v>0</v>
      </c>
      <c r="I1800" s="601">
        <v>332310600000000</v>
      </c>
      <c r="J1800" s="602" t="s">
        <v>6135</v>
      </c>
      <c r="K1800" s="891">
        <v>0</v>
      </c>
      <c r="L1800" s="891">
        <v>0</v>
      </c>
      <c r="M1800" s="477">
        <f t="shared" si="308"/>
        <v>0</v>
      </c>
      <c r="N1800" s="796"/>
      <c r="P1800" s="399"/>
    </row>
    <row r="1801" spans="1:16" s="742" customFormat="1" ht="15" customHeight="1" x14ac:dyDescent="0.25">
      <c r="A1801" s="397"/>
      <c r="B1801" s="599">
        <f t="shared" si="309"/>
        <v>306007</v>
      </c>
      <c r="C1801" s="600" t="s">
        <v>6062</v>
      </c>
      <c r="D1801" s="528" t="str">
        <f t="shared" si="310"/>
        <v>306000</v>
      </c>
      <c r="E1801" s="417">
        <v>333903948000000</v>
      </c>
      <c r="F1801" s="418" t="s">
        <v>6911</v>
      </c>
      <c r="G1801" s="603">
        <v>20</v>
      </c>
      <c r="H1801" s="603">
        <v>0</v>
      </c>
      <c r="I1801" s="601">
        <v>332313000000000</v>
      </c>
      <c r="J1801" s="602" t="s">
        <v>6149</v>
      </c>
      <c r="K1801" s="891">
        <v>0</v>
      </c>
      <c r="L1801" s="891">
        <v>0</v>
      </c>
      <c r="M1801" s="477">
        <f t="shared" si="308"/>
        <v>0</v>
      </c>
      <c r="N1801" s="796"/>
      <c r="P1801" s="399"/>
    </row>
    <row r="1802" spans="1:16" s="742" customFormat="1" ht="15" customHeight="1" x14ac:dyDescent="0.25">
      <c r="A1802" s="397"/>
      <c r="B1802" s="599">
        <f t="shared" si="309"/>
        <v>306008</v>
      </c>
      <c r="C1802" s="600" t="s">
        <v>6062</v>
      </c>
      <c r="D1802" s="528" t="str">
        <f t="shared" si="310"/>
        <v>306000</v>
      </c>
      <c r="E1802" s="417">
        <v>333903948000000</v>
      </c>
      <c r="F1802" s="418" t="s">
        <v>6912</v>
      </c>
      <c r="G1802" s="603">
        <v>20</v>
      </c>
      <c r="H1802" s="603">
        <v>0</v>
      </c>
      <c r="I1802" s="601">
        <v>332313000000000</v>
      </c>
      <c r="J1802" s="602" t="s">
        <v>6150</v>
      </c>
      <c r="K1802" s="891">
        <v>0</v>
      </c>
      <c r="L1802" s="891">
        <v>0</v>
      </c>
      <c r="M1802" s="477">
        <f t="shared" si="308"/>
        <v>0</v>
      </c>
      <c r="N1802" s="796"/>
      <c r="P1802" s="399"/>
    </row>
    <row r="1803" spans="1:16" s="742" customFormat="1" ht="15" customHeight="1" x14ac:dyDescent="0.25">
      <c r="A1803" s="397"/>
      <c r="B1803" s="599">
        <f t="shared" si="309"/>
        <v>306009</v>
      </c>
      <c r="C1803" s="600" t="s">
        <v>6062</v>
      </c>
      <c r="D1803" s="528" t="str">
        <f t="shared" si="310"/>
        <v>306000</v>
      </c>
      <c r="E1803" s="417">
        <v>333903948000000</v>
      </c>
      <c r="F1803" s="418" t="s">
        <v>6913</v>
      </c>
      <c r="G1803" s="603">
        <v>20</v>
      </c>
      <c r="H1803" s="603">
        <v>0</v>
      </c>
      <c r="I1803" s="601">
        <v>332313000000000</v>
      </c>
      <c r="J1803" s="602" t="s">
        <v>6151</v>
      </c>
      <c r="K1803" s="891">
        <v>0</v>
      </c>
      <c r="L1803" s="891">
        <v>0</v>
      </c>
      <c r="M1803" s="477">
        <f t="shared" si="308"/>
        <v>0</v>
      </c>
      <c r="N1803" s="796"/>
      <c r="P1803" s="399"/>
    </row>
    <row r="1804" spans="1:16" s="742" customFormat="1" ht="15" customHeight="1" x14ac:dyDescent="0.25">
      <c r="A1804" s="397"/>
      <c r="B1804" s="599">
        <f t="shared" si="309"/>
        <v>306010</v>
      </c>
      <c r="C1804" s="600" t="s">
        <v>6062</v>
      </c>
      <c r="D1804" s="528" t="str">
        <f t="shared" si="310"/>
        <v>306000</v>
      </c>
      <c r="E1804" s="417">
        <v>333903958010000</v>
      </c>
      <c r="F1804" s="418" t="s">
        <v>1041</v>
      </c>
      <c r="G1804" s="603">
        <v>20</v>
      </c>
      <c r="H1804" s="603">
        <v>0</v>
      </c>
      <c r="I1804" s="601">
        <v>332310400000000</v>
      </c>
      <c r="J1804" s="602" t="s">
        <v>6136</v>
      </c>
      <c r="K1804" s="891">
        <v>0</v>
      </c>
      <c r="L1804" s="891">
        <v>0</v>
      </c>
      <c r="M1804" s="477">
        <f t="shared" si="308"/>
        <v>0</v>
      </c>
      <c r="N1804" s="796"/>
      <c r="P1804" s="399"/>
    </row>
    <row r="1805" spans="1:16" s="742" customFormat="1" ht="15" customHeight="1" x14ac:dyDescent="0.25">
      <c r="A1805" s="397"/>
      <c r="B1805" s="599">
        <f t="shared" si="309"/>
        <v>306011</v>
      </c>
      <c r="C1805" s="600" t="s">
        <v>6062</v>
      </c>
      <c r="D1805" s="528" t="str">
        <f t="shared" si="310"/>
        <v>306000</v>
      </c>
      <c r="E1805" s="417">
        <v>333903958020000</v>
      </c>
      <c r="F1805" s="418" t="s">
        <v>1150</v>
      </c>
      <c r="G1805" s="603">
        <v>20</v>
      </c>
      <c r="H1805" s="603">
        <v>0</v>
      </c>
      <c r="I1805" s="601">
        <v>332310400000000</v>
      </c>
      <c r="J1805" s="602" t="s">
        <v>6137</v>
      </c>
      <c r="K1805" s="891">
        <v>0</v>
      </c>
      <c r="L1805" s="891">
        <v>0</v>
      </c>
      <c r="M1805" s="477">
        <f t="shared" si="308"/>
        <v>0</v>
      </c>
      <c r="N1805" s="796"/>
      <c r="P1805" s="399"/>
    </row>
    <row r="1806" spans="1:16" s="742" customFormat="1" ht="15" customHeight="1" x14ac:dyDescent="0.25">
      <c r="A1806" s="397"/>
      <c r="B1806" s="599">
        <f t="shared" si="309"/>
        <v>306012</v>
      </c>
      <c r="C1806" s="600" t="s">
        <v>6062</v>
      </c>
      <c r="D1806" s="528" t="str">
        <f t="shared" si="310"/>
        <v>306000</v>
      </c>
      <c r="E1806" s="417">
        <v>333903963000000</v>
      </c>
      <c r="F1806" s="418" t="s">
        <v>5895</v>
      </c>
      <c r="G1806" s="603">
        <v>20</v>
      </c>
      <c r="H1806" s="603">
        <v>0</v>
      </c>
      <c r="I1806" s="601">
        <v>332314600000000</v>
      </c>
      <c r="J1806" s="602" t="s">
        <v>6139</v>
      </c>
      <c r="K1806" s="891">
        <v>0</v>
      </c>
      <c r="L1806" s="891">
        <v>0</v>
      </c>
      <c r="M1806" s="477">
        <f t="shared" si="308"/>
        <v>0</v>
      </c>
      <c r="N1806" s="796"/>
      <c r="P1806" s="399"/>
    </row>
    <row r="1807" spans="1:16" s="742" customFormat="1" ht="15" customHeight="1" x14ac:dyDescent="0.25">
      <c r="A1807" s="397"/>
      <c r="B1807" s="599">
        <f t="shared" si="309"/>
        <v>306013</v>
      </c>
      <c r="C1807" s="600" t="s">
        <v>6062</v>
      </c>
      <c r="D1807" s="528" t="str">
        <f t="shared" si="310"/>
        <v>306000</v>
      </c>
      <c r="E1807" s="417">
        <v>333903969220000</v>
      </c>
      <c r="F1807" s="418" t="s">
        <v>5318</v>
      </c>
      <c r="G1807" s="603">
        <v>20</v>
      </c>
      <c r="H1807" s="603">
        <v>0</v>
      </c>
      <c r="I1807" s="601">
        <v>332312900000000</v>
      </c>
      <c r="J1807" s="602" t="s">
        <v>6140</v>
      </c>
      <c r="K1807" s="891">
        <v>0</v>
      </c>
      <c r="L1807" s="891">
        <v>0</v>
      </c>
      <c r="M1807" s="477">
        <f t="shared" si="308"/>
        <v>0</v>
      </c>
      <c r="N1807" s="796"/>
      <c r="P1807" s="399"/>
    </row>
    <row r="1808" spans="1:16" s="742" customFormat="1" ht="15" customHeight="1" x14ac:dyDescent="0.25">
      <c r="A1808" s="397"/>
      <c r="B1808" s="599">
        <f t="shared" si="309"/>
        <v>306014</v>
      </c>
      <c r="C1808" s="600" t="s">
        <v>6062</v>
      </c>
      <c r="D1808" s="528" t="str">
        <f t="shared" si="310"/>
        <v>306000</v>
      </c>
      <c r="E1808" s="417">
        <v>333903978000000</v>
      </c>
      <c r="F1808" s="418" t="s">
        <v>5897</v>
      </c>
      <c r="G1808" s="603">
        <v>20</v>
      </c>
      <c r="H1808" s="603">
        <v>0</v>
      </c>
      <c r="I1808" s="601">
        <v>332310600000000</v>
      </c>
      <c r="J1808" s="602" t="s">
        <v>6101</v>
      </c>
      <c r="K1808" s="891">
        <v>0</v>
      </c>
      <c r="L1808" s="891">
        <v>0</v>
      </c>
      <c r="M1808" s="477">
        <f t="shared" si="308"/>
        <v>0</v>
      </c>
      <c r="N1808" s="796"/>
      <c r="P1808" s="399"/>
    </row>
    <row r="1809" spans="1:16" s="742" customFormat="1" ht="15" customHeight="1" x14ac:dyDescent="0.25">
      <c r="A1809" s="397"/>
      <c r="B1809" s="599">
        <f t="shared" si="309"/>
        <v>306015</v>
      </c>
      <c r="C1809" s="600" t="s">
        <v>6062</v>
      </c>
      <c r="D1809" s="528" t="str">
        <f t="shared" si="310"/>
        <v>306000</v>
      </c>
      <c r="E1809" s="417">
        <v>333903990000000</v>
      </c>
      <c r="F1809" s="418" t="s">
        <v>1098</v>
      </c>
      <c r="G1809" s="603">
        <v>20</v>
      </c>
      <c r="H1809" s="603">
        <v>0</v>
      </c>
      <c r="I1809" s="601">
        <v>332310500000000</v>
      </c>
      <c r="J1809" s="602" t="s">
        <v>6153</v>
      </c>
      <c r="K1809" s="891">
        <v>0</v>
      </c>
      <c r="L1809" s="891">
        <v>0</v>
      </c>
      <c r="M1809" s="477">
        <f t="shared" si="308"/>
        <v>0</v>
      </c>
      <c r="N1809" s="796"/>
      <c r="P1809" s="399"/>
    </row>
    <row r="1810" spans="1:16" s="742" customFormat="1" ht="15" customHeight="1" x14ac:dyDescent="0.25">
      <c r="A1810" s="397"/>
      <c r="B1810" s="599">
        <f t="shared" si="309"/>
        <v>306016</v>
      </c>
      <c r="C1810" s="600" t="s">
        <v>6062</v>
      </c>
      <c r="D1810" s="528" t="str">
        <f t="shared" si="310"/>
        <v>306000</v>
      </c>
      <c r="E1810" s="417">
        <v>333903992000000</v>
      </c>
      <c r="F1810" s="418" t="s">
        <v>1097</v>
      </c>
      <c r="G1810" s="603">
        <v>20</v>
      </c>
      <c r="H1810" s="603">
        <v>0</v>
      </c>
      <c r="I1810" s="601">
        <v>332310500000000</v>
      </c>
      <c r="J1810" s="602" t="s">
        <v>6152</v>
      </c>
      <c r="K1810" s="891">
        <v>0</v>
      </c>
      <c r="L1810" s="891">
        <v>0</v>
      </c>
      <c r="M1810" s="477">
        <f t="shared" si="308"/>
        <v>0</v>
      </c>
      <c r="N1810" s="796"/>
      <c r="P1810" s="399"/>
    </row>
    <row r="1811" spans="1:16" s="742" customFormat="1" ht="15" customHeight="1" x14ac:dyDescent="0.25">
      <c r="A1811" s="397"/>
      <c r="B1811" s="599">
        <f t="shared" si="309"/>
        <v>306017</v>
      </c>
      <c r="C1811" s="600" t="s">
        <v>6062</v>
      </c>
      <c r="D1811" s="528" t="str">
        <f t="shared" si="310"/>
        <v>306000</v>
      </c>
      <c r="E1811" s="417">
        <v>333903993000000</v>
      </c>
      <c r="F1811" s="418" t="s">
        <v>2189</v>
      </c>
      <c r="G1811" s="603">
        <v>20</v>
      </c>
      <c r="H1811" s="603">
        <v>0</v>
      </c>
      <c r="I1811" s="601">
        <v>332310500000000</v>
      </c>
      <c r="J1811" s="602" t="s">
        <v>6154</v>
      </c>
      <c r="K1811" s="891">
        <v>0</v>
      </c>
      <c r="L1811" s="891">
        <v>0</v>
      </c>
      <c r="M1811" s="477">
        <f t="shared" si="308"/>
        <v>0</v>
      </c>
      <c r="N1811" s="796"/>
      <c r="P1811" s="399"/>
    </row>
    <row r="1812" spans="1:16" s="742" customFormat="1" ht="15" customHeight="1" x14ac:dyDescent="0.25">
      <c r="A1812" s="397"/>
      <c r="B1812" s="599">
        <f t="shared" si="309"/>
        <v>306018</v>
      </c>
      <c r="C1812" s="600" t="s">
        <v>6062</v>
      </c>
      <c r="D1812" s="528" t="str">
        <f t="shared" si="310"/>
        <v>306000</v>
      </c>
      <c r="E1812" s="417">
        <v>333903995000000</v>
      </c>
      <c r="F1812" s="418" t="s">
        <v>3164</v>
      </c>
      <c r="G1812" s="603">
        <v>20</v>
      </c>
      <c r="H1812" s="603">
        <v>0</v>
      </c>
      <c r="I1812" s="601">
        <v>332311100000000</v>
      </c>
      <c r="J1812" s="602" t="s">
        <v>6155</v>
      </c>
      <c r="K1812" s="891">
        <v>0</v>
      </c>
      <c r="L1812" s="891">
        <v>0</v>
      </c>
      <c r="M1812" s="477">
        <f t="shared" si="308"/>
        <v>0</v>
      </c>
      <c r="N1812" s="796"/>
      <c r="P1812" s="399"/>
    </row>
    <row r="1813" spans="1:16" s="742" customFormat="1" ht="15" customHeight="1" x14ac:dyDescent="0.25">
      <c r="A1813" s="397"/>
      <c r="B1813" s="599">
        <f t="shared" si="309"/>
        <v>306019</v>
      </c>
      <c r="C1813" s="600" t="s">
        <v>6062</v>
      </c>
      <c r="D1813" s="528" t="str">
        <f t="shared" si="310"/>
        <v>306000</v>
      </c>
      <c r="E1813" s="417">
        <v>333903999010000</v>
      </c>
      <c r="F1813" s="418" t="s">
        <v>2449</v>
      </c>
      <c r="G1813" s="603">
        <v>20</v>
      </c>
      <c r="H1813" s="603">
        <v>0</v>
      </c>
      <c r="I1813" s="601">
        <v>332310700000000</v>
      </c>
      <c r="J1813" s="602" t="s">
        <v>6156</v>
      </c>
      <c r="K1813" s="891">
        <v>0</v>
      </c>
      <c r="L1813" s="891">
        <v>0</v>
      </c>
      <c r="M1813" s="477">
        <f t="shared" si="308"/>
        <v>0</v>
      </c>
      <c r="N1813" s="796"/>
      <c r="P1813" s="399"/>
    </row>
    <row r="1814" spans="1:16" s="742" customFormat="1" ht="15" customHeight="1" x14ac:dyDescent="0.25">
      <c r="A1814" s="397"/>
      <c r="B1814" s="599">
        <f t="shared" si="309"/>
        <v>306020</v>
      </c>
      <c r="C1814" s="600" t="s">
        <v>6062</v>
      </c>
      <c r="D1814" s="528" t="str">
        <f t="shared" si="310"/>
        <v>306000</v>
      </c>
      <c r="E1814" s="417">
        <v>333903999020100</v>
      </c>
      <c r="F1814" s="418" t="s">
        <v>6915</v>
      </c>
      <c r="G1814" s="603">
        <v>20</v>
      </c>
      <c r="H1814" s="603">
        <v>0</v>
      </c>
      <c r="I1814" s="417">
        <v>332319900000000</v>
      </c>
      <c r="J1814" s="602" t="s">
        <v>6157</v>
      </c>
      <c r="K1814" s="891">
        <v>0</v>
      </c>
      <c r="L1814" s="891">
        <v>0</v>
      </c>
      <c r="M1814" s="477">
        <f t="shared" si="308"/>
        <v>0</v>
      </c>
      <c r="N1814" s="796"/>
      <c r="P1814" s="399"/>
    </row>
    <row r="1815" spans="1:16" s="742" customFormat="1" ht="15" customHeight="1" x14ac:dyDescent="0.25">
      <c r="A1815" s="397"/>
      <c r="B1815" s="599">
        <f t="shared" si="309"/>
        <v>306021</v>
      </c>
      <c r="C1815" s="600" t="s">
        <v>6062</v>
      </c>
      <c r="D1815" s="528" t="str">
        <f t="shared" si="310"/>
        <v>306000</v>
      </c>
      <c r="E1815" s="417">
        <v>333903999020100</v>
      </c>
      <c r="F1815" s="418" t="s">
        <v>6916</v>
      </c>
      <c r="G1815" s="603">
        <v>20</v>
      </c>
      <c r="H1815" s="603">
        <v>0</v>
      </c>
      <c r="I1815" s="417">
        <v>332319900000000</v>
      </c>
      <c r="J1815" s="602" t="s">
        <v>6158</v>
      </c>
      <c r="K1815" s="891">
        <v>0</v>
      </c>
      <c r="L1815" s="891">
        <v>0</v>
      </c>
      <c r="M1815" s="477">
        <f t="shared" si="308"/>
        <v>0</v>
      </c>
      <c r="N1815" s="796"/>
      <c r="P1815" s="399"/>
    </row>
    <row r="1816" spans="1:16" s="742" customFormat="1" ht="15" customHeight="1" x14ac:dyDescent="0.25">
      <c r="A1816" s="397"/>
      <c r="B1816" s="599">
        <f t="shared" si="309"/>
        <v>306022</v>
      </c>
      <c r="C1816" s="600" t="s">
        <v>6062</v>
      </c>
      <c r="D1816" s="528" t="str">
        <f t="shared" si="310"/>
        <v>306000</v>
      </c>
      <c r="E1816" s="417">
        <v>333903999020100</v>
      </c>
      <c r="F1816" s="418" t="s">
        <v>6914</v>
      </c>
      <c r="G1816" s="603">
        <v>20</v>
      </c>
      <c r="H1816" s="603">
        <v>0</v>
      </c>
      <c r="I1816" s="417">
        <v>332319900000000</v>
      </c>
      <c r="J1816" s="602" t="s">
        <v>6159</v>
      </c>
      <c r="K1816" s="891">
        <v>0</v>
      </c>
      <c r="L1816" s="891">
        <v>0</v>
      </c>
      <c r="M1816" s="477">
        <f t="shared" si="308"/>
        <v>0</v>
      </c>
      <c r="N1816" s="796"/>
      <c r="P1816" s="399"/>
    </row>
    <row r="1817" spans="1:16" s="742" customFormat="1" ht="15" customHeight="1" x14ac:dyDescent="0.25">
      <c r="A1817" s="397"/>
      <c r="B1817" s="599">
        <f t="shared" si="309"/>
        <v>306023</v>
      </c>
      <c r="C1817" s="600" t="s">
        <v>6062</v>
      </c>
      <c r="D1817" s="528" t="str">
        <f t="shared" si="310"/>
        <v>306000</v>
      </c>
      <c r="E1817" s="417">
        <v>333903999040000</v>
      </c>
      <c r="F1817" s="418" t="s">
        <v>5812</v>
      </c>
      <c r="G1817" s="603">
        <v>20</v>
      </c>
      <c r="H1817" s="603">
        <v>0</v>
      </c>
      <c r="I1817" s="601">
        <v>332319900000000</v>
      </c>
      <c r="J1817" s="602" t="s">
        <v>6160</v>
      </c>
      <c r="K1817" s="891">
        <v>0</v>
      </c>
      <c r="L1817" s="891">
        <v>0</v>
      </c>
      <c r="M1817" s="477">
        <f t="shared" si="308"/>
        <v>0</v>
      </c>
      <c r="N1817" s="796"/>
      <c r="P1817" s="399"/>
    </row>
    <row r="1818" spans="1:16" s="742" customFormat="1" ht="15" customHeight="1" x14ac:dyDescent="0.25">
      <c r="A1818" s="397"/>
      <c r="B1818" s="599">
        <f t="shared" si="309"/>
        <v>306024</v>
      </c>
      <c r="C1818" s="600" t="s">
        <v>6062</v>
      </c>
      <c r="D1818" s="528" t="str">
        <f t="shared" si="310"/>
        <v>306000</v>
      </c>
      <c r="E1818" s="417">
        <v>333903999070700</v>
      </c>
      <c r="F1818" s="418" t="s">
        <v>5936</v>
      </c>
      <c r="G1818" s="603">
        <v>20</v>
      </c>
      <c r="H1818" s="603">
        <v>0</v>
      </c>
      <c r="I1818" s="601">
        <v>332319900000000</v>
      </c>
      <c r="J1818" s="602" t="s">
        <v>6161</v>
      </c>
      <c r="K1818" s="891">
        <v>0</v>
      </c>
      <c r="L1818" s="891">
        <v>0</v>
      </c>
      <c r="M1818" s="477">
        <f t="shared" ref="M1818:M1849" si="311">L1818/L$1924</f>
        <v>0</v>
      </c>
      <c r="N1818" s="796"/>
      <c r="P1818" s="399"/>
    </row>
    <row r="1819" spans="1:16" s="742" customFormat="1" ht="15" customHeight="1" x14ac:dyDescent="0.25">
      <c r="A1819" s="397"/>
      <c r="B1819" s="1398" t="s">
        <v>7956</v>
      </c>
      <c r="C1819" s="1398"/>
      <c r="D1819" s="1398"/>
      <c r="E1819" s="417">
        <v>333904700000000</v>
      </c>
      <c r="F1819" s="418" t="s">
        <v>990</v>
      </c>
      <c r="G1819" s="468">
        <v>20</v>
      </c>
      <c r="H1819" s="468">
        <v>0</v>
      </c>
      <c r="I1819" s="751"/>
      <c r="J1819" s="878" t="s">
        <v>6089</v>
      </c>
      <c r="K1819" s="789">
        <f>(('Parâmetros financeiros Despesa'!E833))</f>
        <v>7074.4949999999999</v>
      </c>
      <c r="L1819" s="789">
        <f>(('Parâmetros financeiros Despesa'!F833)*(1+'Parâmetros financeiros Despesa'!F$4)*(1+'Parâmetros financeiros Despesa'!F$7))*(1+'Parâmetros financeiros Despesa'!F$83)</f>
        <v>9256.2536941109993</v>
      </c>
      <c r="M1819" s="799">
        <f t="shared" si="311"/>
        <v>7.5052593171784443E-3</v>
      </c>
      <c r="N1819" s="796"/>
      <c r="P1819" s="399"/>
    </row>
    <row r="1820" spans="1:16" s="742" customFormat="1" ht="15" customHeight="1" x14ac:dyDescent="0.25">
      <c r="A1820" s="397"/>
      <c r="B1820" s="599">
        <f>B1819+1</f>
        <v>306101</v>
      </c>
      <c r="C1820" s="600" t="s">
        <v>6062</v>
      </c>
      <c r="D1820" s="528" t="str">
        <f>B1819</f>
        <v>306100</v>
      </c>
      <c r="E1820" s="417">
        <v>333904718000000</v>
      </c>
      <c r="F1820" s="418" t="s">
        <v>5904</v>
      </c>
      <c r="G1820" s="603">
        <v>20</v>
      </c>
      <c r="H1820" s="603">
        <v>0</v>
      </c>
      <c r="I1820" s="601">
        <v>372110400000000</v>
      </c>
      <c r="J1820" s="602" t="s">
        <v>6131</v>
      </c>
      <c r="K1820" s="891">
        <v>0</v>
      </c>
      <c r="L1820" s="891">
        <v>0</v>
      </c>
      <c r="M1820" s="477">
        <f t="shared" si="311"/>
        <v>0</v>
      </c>
      <c r="N1820" s="796"/>
      <c r="P1820" s="399"/>
    </row>
    <row r="1821" spans="1:16" s="742" customFormat="1" ht="15" customHeight="1" x14ac:dyDescent="0.25">
      <c r="A1821" s="397"/>
      <c r="B1821" s="599">
        <f>B1820+1</f>
        <v>306102</v>
      </c>
      <c r="C1821" s="600" t="s">
        <v>6062</v>
      </c>
      <c r="D1821" s="528" t="str">
        <f>D1820</f>
        <v>306100</v>
      </c>
      <c r="E1821" s="417">
        <v>333904718000000</v>
      </c>
      <c r="F1821" s="418" t="s">
        <v>6917</v>
      </c>
      <c r="G1821" s="603">
        <v>20</v>
      </c>
      <c r="H1821" s="603">
        <v>0</v>
      </c>
      <c r="I1821" s="601">
        <v>372110400000000</v>
      </c>
      <c r="J1821" s="602" t="s">
        <v>6134</v>
      </c>
      <c r="K1821" s="891">
        <v>0</v>
      </c>
      <c r="L1821" s="891">
        <v>0</v>
      </c>
      <c r="M1821" s="477">
        <f t="shared" si="311"/>
        <v>0</v>
      </c>
      <c r="N1821" s="796"/>
      <c r="P1821" s="399"/>
    </row>
    <row r="1822" spans="1:16" s="742" customFormat="1" ht="15" customHeight="1" x14ac:dyDescent="0.25">
      <c r="A1822" s="397"/>
      <c r="B1822" s="599">
        <f>B1821+1</f>
        <v>306103</v>
      </c>
      <c r="C1822" s="600" t="s">
        <v>6062</v>
      </c>
      <c r="D1822" s="528" t="str">
        <f>D1821</f>
        <v>306100</v>
      </c>
      <c r="E1822" s="417">
        <v>333904720000000</v>
      </c>
      <c r="F1822" s="418" t="s">
        <v>5905</v>
      </c>
      <c r="G1822" s="603">
        <v>20</v>
      </c>
      <c r="H1822" s="603">
        <v>0</v>
      </c>
      <c r="I1822" s="601">
        <v>372110500000000</v>
      </c>
      <c r="J1822" s="602" t="s">
        <v>6160</v>
      </c>
      <c r="K1822" s="891">
        <v>0</v>
      </c>
      <c r="L1822" s="891">
        <v>0</v>
      </c>
      <c r="M1822" s="477">
        <f t="shared" si="311"/>
        <v>0</v>
      </c>
      <c r="N1822" s="796"/>
      <c r="P1822" s="399"/>
    </row>
    <row r="1823" spans="1:16" s="742" customFormat="1" ht="15" customHeight="1" x14ac:dyDescent="0.25">
      <c r="A1823" s="397"/>
      <c r="B1823" s="599">
        <f>B1822+1</f>
        <v>306104</v>
      </c>
      <c r="C1823" s="600" t="s">
        <v>6062</v>
      </c>
      <c r="D1823" s="528" t="str">
        <f>D1822</f>
        <v>306100</v>
      </c>
      <c r="E1823" s="417">
        <v>333904720000000</v>
      </c>
      <c r="F1823" s="418" t="s">
        <v>6918</v>
      </c>
      <c r="G1823" s="603">
        <v>20</v>
      </c>
      <c r="H1823" s="603">
        <v>0</v>
      </c>
      <c r="I1823" s="601">
        <v>372110500000000</v>
      </c>
      <c r="J1823" s="602" t="s">
        <v>6134</v>
      </c>
      <c r="K1823" s="891">
        <v>0</v>
      </c>
      <c r="L1823" s="891">
        <v>0</v>
      </c>
      <c r="M1823" s="477">
        <f t="shared" si="311"/>
        <v>0</v>
      </c>
      <c r="N1823" s="796"/>
      <c r="P1823" s="399"/>
    </row>
    <row r="1824" spans="1:16" s="742" customFormat="1" ht="15" customHeight="1" x14ac:dyDescent="0.25">
      <c r="A1824" s="397"/>
      <c r="B1824" s="1398" t="s">
        <v>8037</v>
      </c>
      <c r="C1824" s="1398"/>
      <c r="D1824" s="1398"/>
      <c r="E1824" s="417">
        <v>333904900000000</v>
      </c>
      <c r="F1824" s="418" t="s">
        <v>7167</v>
      </c>
      <c r="G1824" s="468">
        <v>20</v>
      </c>
      <c r="H1824" s="468">
        <v>0</v>
      </c>
      <c r="I1824" s="751"/>
      <c r="J1824" s="878" t="s">
        <v>5966</v>
      </c>
      <c r="K1824" s="789">
        <f>('Parâmetros financeiros Despesa'!E837)</f>
        <v>39580.004999999997</v>
      </c>
      <c r="L1824" s="789">
        <f>('Parâmetros financeiros Despesa'!F837)*2+(('Parâmetros financeiros Despesa'!F837)*10)*(1+'Parâmetros financeiros Despesa'!F$4)*(1+'Parâmetros financeiros Despesa'!F$8)</f>
        <v>8235.2049092847101</v>
      </c>
      <c r="M1824" s="799">
        <f t="shared" si="311"/>
        <v>6.6773611027543161E-3</v>
      </c>
      <c r="N1824" s="796"/>
      <c r="P1824" s="399"/>
    </row>
    <row r="1825" spans="1:16" s="742" customFormat="1" ht="15" customHeight="1" x14ac:dyDescent="0.25">
      <c r="A1825" s="397"/>
      <c r="B1825" s="599">
        <f>B1824+1</f>
        <v>306151</v>
      </c>
      <c r="C1825" s="600" t="s">
        <v>6062</v>
      </c>
      <c r="D1825" s="528" t="str">
        <f>B1824</f>
        <v>306150</v>
      </c>
      <c r="E1825" s="417">
        <v>333904901000000</v>
      </c>
      <c r="F1825" s="418" t="s">
        <v>6042</v>
      </c>
      <c r="G1825" s="603">
        <v>20</v>
      </c>
      <c r="H1825" s="603">
        <v>0</v>
      </c>
      <c r="I1825" s="601">
        <v>313110200000000</v>
      </c>
      <c r="J1825" s="602" t="s">
        <v>6163</v>
      </c>
      <c r="K1825" s="891">
        <v>0</v>
      </c>
      <c r="L1825" s="891">
        <v>0</v>
      </c>
      <c r="M1825" s="477">
        <f t="shared" si="311"/>
        <v>0</v>
      </c>
      <c r="N1825" s="796"/>
      <c r="P1825" s="399"/>
    </row>
    <row r="1826" spans="1:16" s="742" customFormat="1" ht="15" customHeight="1" x14ac:dyDescent="0.25">
      <c r="A1826" s="397"/>
      <c r="B1826" s="1398" t="s">
        <v>8038</v>
      </c>
      <c r="C1826" s="1398"/>
      <c r="D1826" s="1398"/>
      <c r="E1826" s="417">
        <v>333909300000000</v>
      </c>
      <c r="F1826" s="418" t="s">
        <v>5818</v>
      </c>
      <c r="G1826" s="468">
        <v>20</v>
      </c>
      <c r="H1826" s="468">
        <v>0</v>
      </c>
      <c r="I1826" s="751"/>
      <c r="J1826" s="878" t="s">
        <v>6089</v>
      </c>
      <c r="K1826" s="789">
        <f>('Parâmetros financeiros Despesa'!E838)</f>
        <v>224.25</v>
      </c>
      <c r="L1826" s="789">
        <f>('Parâmetros financeiros Despesa'!F838)*(1+'Parâmetros financeiros Despesa'!F$4)*(1+'Parâmetros financeiros Despesa'!F$7)</f>
        <v>789.67258887500009</v>
      </c>
      <c r="M1826" s="799">
        <f t="shared" si="311"/>
        <v>6.4029117513764698E-4</v>
      </c>
      <c r="N1826" s="796"/>
      <c r="P1826" s="399"/>
    </row>
    <row r="1827" spans="1:16" s="742" customFormat="1" ht="15" customHeight="1" x14ac:dyDescent="0.25">
      <c r="A1827" s="397"/>
      <c r="B1827" s="599">
        <f>B1826+1</f>
        <v>306161</v>
      </c>
      <c r="C1827" s="600" t="s">
        <v>6062</v>
      </c>
      <c r="D1827" s="528" t="str">
        <f>B1826</f>
        <v>306160</v>
      </c>
      <c r="E1827" s="417">
        <v>333909399000000</v>
      </c>
      <c r="F1827" s="418" t="s">
        <v>1038</v>
      </c>
      <c r="G1827" s="603">
        <v>20</v>
      </c>
      <c r="H1827" s="603">
        <v>0</v>
      </c>
      <c r="I1827" s="601">
        <v>399910300000000</v>
      </c>
      <c r="J1827" s="602" t="s">
        <v>6164</v>
      </c>
      <c r="K1827" s="891">
        <v>0</v>
      </c>
      <c r="L1827" s="891">
        <v>0</v>
      </c>
      <c r="M1827" s="477">
        <f t="shared" si="311"/>
        <v>0</v>
      </c>
      <c r="N1827" s="796"/>
      <c r="P1827" s="399"/>
    </row>
    <row r="1828" spans="1:16" s="742" customFormat="1" ht="15" customHeight="1" x14ac:dyDescent="0.25">
      <c r="A1828" s="397"/>
      <c r="B1828" s="1398" t="s">
        <v>8039</v>
      </c>
      <c r="C1828" s="1398"/>
      <c r="D1828" s="1398"/>
      <c r="E1828" s="417">
        <v>333933000000000</v>
      </c>
      <c r="F1828" s="418" t="s">
        <v>7066</v>
      </c>
      <c r="G1828" s="468">
        <v>20</v>
      </c>
      <c r="H1828" s="468">
        <v>0</v>
      </c>
      <c r="I1828" s="751"/>
      <c r="J1828" s="878" t="s">
        <v>6197</v>
      </c>
      <c r="K1828" s="789">
        <f>('Parâmetros financeiros Despesa'!E839)</f>
        <v>8607.66</v>
      </c>
      <c r="L1828" s="789">
        <f>('Parâmetros financeiros Despesa'!F839)*(1+'Parâmetros financeiros Despesa'!F$4)*(1+'Parâmetros financeiros Despesa'!F$7)</f>
        <v>9385.2028392899992</v>
      </c>
      <c r="M1828" s="799">
        <f t="shared" si="311"/>
        <v>7.6098153076773452E-3</v>
      </c>
      <c r="N1828" s="796"/>
      <c r="P1828" s="399"/>
    </row>
    <row r="1829" spans="1:16" s="742" customFormat="1" ht="15" customHeight="1" x14ac:dyDescent="0.25">
      <c r="A1829" s="397"/>
      <c r="B1829" s="599">
        <f>B1828+1</f>
        <v>306171</v>
      </c>
      <c r="C1829" s="600" t="s">
        <v>6062</v>
      </c>
      <c r="D1829" s="528" t="str">
        <f>B1828</f>
        <v>306170</v>
      </c>
      <c r="E1829" s="417">
        <v>333933002000000</v>
      </c>
      <c r="F1829" s="418" t="s">
        <v>6199</v>
      </c>
      <c r="G1829" s="603">
        <v>20</v>
      </c>
      <c r="H1829" s="603">
        <v>0</v>
      </c>
      <c r="I1829" s="601">
        <v>35</v>
      </c>
      <c r="J1829" s="602" t="s">
        <v>6198</v>
      </c>
      <c r="K1829" s="891">
        <v>0</v>
      </c>
      <c r="L1829" s="891">
        <v>0</v>
      </c>
      <c r="M1829" s="477">
        <f t="shared" si="311"/>
        <v>0</v>
      </c>
      <c r="N1829" s="796"/>
      <c r="P1829" s="399"/>
    </row>
    <row r="1830" spans="1:16" s="743" customFormat="1" ht="15" customHeight="1" x14ac:dyDescent="0.25">
      <c r="A1830" s="397"/>
      <c r="B1830" s="1385" t="s">
        <v>7913</v>
      </c>
      <c r="C1830" s="1385"/>
      <c r="D1830" s="1385"/>
      <c r="E1830" s="1385"/>
      <c r="F1830" s="1385"/>
      <c r="G1830" s="401"/>
      <c r="H1830" s="401"/>
      <c r="I1830" s="426"/>
      <c r="J1830" s="411"/>
      <c r="K1830" s="402">
        <f t="shared" ref="K1830:L1832" si="312">K1831</f>
        <v>17588.858899999999</v>
      </c>
      <c r="L1830" s="402">
        <f t="shared" si="312"/>
        <v>45242.07974565505</v>
      </c>
      <c r="M1830" s="451">
        <f t="shared" si="311"/>
        <v>3.6683689942037565E-2</v>
      </c>
      <c r="N1830" s="796"/>
      <c r="P1830" s="399"/>
    </row>
    <row r="1831" spans="1:16" s="743" customFormat="1" ht="15" customHeight="1" x14ac:dyDescent="0.25">
      <c r="A1831" s="396"/>
      <c r="B1831" s="1386" t="s">
        <v>8031</v>
      </c>
      <c r="C1831" s="1386"/>
      <c r="D1831" s="1386"/>
      <c r="E1831" s="1386"/>
      <c r="F1831" s="1386"/>
      <c r="G1831" s="403"/>
      <c r="H1831" s="403"/>
      <c r="I1831" s="427"/>
      <c r="J1831" s="412"/>
      <c r="K1831" s="404">
        <f t="shared" si="312"/>
        <v>17588.858899999999</v>
      </c>
      <c r="L1831" s="404">
        <f t="shared" si="312"/>
        <v>45242.07974565505</v>
      </c>
      <c r="M1831" s="452">
        <f t="shared" si="311"/>
        <v>3.6683689942037565E-2</v>
      </c>
      <c r="N1831" s="796"/>
      <c r="P1831" s="399"/>
    </row>
    <row r="1832" spans="1:16" s="743" customFormat="1" ht="15" customHeight="1" x14ac:dyDescent="0.25">
      <c r="A1832" s="396"/>
      <c r="B1832" s="1382" t="s">
        <v>7914</v>
      </c>
      <c r="C1832" s="1382"/>
      <c r="D1832" s="1382"/>
      <c r="E1832" s="1382"/>
      <c r="F1832" s="1382"/>
      <c r="G1832" s="405"/>
      <c r="H1832" s="405"/>
      <c r="I1832" s="428"/>
      <c r="J1832" s="413"/>
      <c r="K1832" s="406">
        <f t="shared" si="312"/>
        <v>17588.858899999999</v>
      </c>
      <c r="L1832" s="406">
        <f t="shared" si="312"/>
        <v>45242.07974565505</v>
      </c>
      <c r="M1832" s="453">
        <f t="shared" si="311"/>
        <v>3.6683689942037565E-2</v>
      </c>
      <c r="N1832" s="796"/>
      <c r="P1832" s="399"/>
    </row>
    <row r="1833" spans="1:16" s="743" customFormat="1" ht="15" customHeight="1" x14ac:dyDescent="0.25">
      <c r="A1833" s="396"/>
      <c r="B1833" s="1383" t="s">
        <v>7927</v>
      </c>
      <c r="C1833" s="1383"/>
      <c r="D1833" s="1383"/>
      <c r="E1833" s="1383"/>
      <c r="F1833" s="1383"/>
      <c r="G1833" s="407"/>
      <c r="H1833" s="407"/>
      <c r="I1833" s="429"/>
      <c r="J1833" s="414"/>
      <c r="K1833" s="408">
        <f>SUM(K1834:K1848)-0.02</f>
        <v>17588.858899999999</v>
      </c>
      <c r="L1833" s="408">
        <f>SUM(L1834:L1848)</f>
        <v>45242.07974565505</v>
      </c>
      <c r="M1833" s="454">
        <f t="shared" si="311"/>
        <v>3.6683689942037565E-2</v>
      </c>
      <c r="N1833" s="796"/>
      <c r="P1833" s="399"/>
    </row>
    <row r="1834" spans="1:16" s="115" customFormat="1" ht="15" customHeight="1" x14ac:dyDescent="0.25">
      <c r="A1834" s="396"/>
      <c r="B1834" s="1398" t="s">
        <v>8040</v>
      </c>
      <c r="C1834" s="1398"/>
      <c r="D1834" s="1398"/>
      <c r="E1834" s="854">
        <v>331900400000000</v>
      </c>
      <c r="F1834" s="855" t="s">
        <v>5851</v>
      </c>
      <c r="G1834" s="468">
        <v>20</v>
      </c>
      <c r="H1834" s="468">
        <v>0</v>
      </c>
      <c r="I1834" s="751"/>
      <c r="J1834" s="878" t="s">
        <v>5966</v>
      </c>
      <c r="K1834" s="789">
        <f>(('Parâmetros financeiros Despesa'!E841))</f>
        <v>0</v>
      </c>
      <c r="L1834" s="789">
        <f>(('Parâmetros financeiros Despesa'!F841)*2.05+(('Parâmetros financeiros Despesa'!F841)*11.28)*(1+'Parâmetros financeiros Despesa'!F$4)*(1+'Parâmetros financeiros Despesa'!F$8))*(1+'Parâmetros financeiros Despesa'!F$80)</f>
        <v>17.278630081629636</v>
      </c>
      <c r="M1834" s="799">
        <f t="shared" si="311"/>
        <v>1.4010052413616946E-5</v>
      </c>
      <c r="N1834" s="894"/>
      <c r="P1834" s="733"/>
    </row>
    <row r="1835" spans="1:16" s="1018" customFormat="1" ht="15" customHeight="1" x14ac:dyDescent="0.25">
      <c r="A1835" s="859"/>
      <c r="B1835" s="994"/>
      <c r="C1835" s="994"/>
      <c r="D1835" s="994" t="s">
        <v>8041</v>
      </c>
      <c r="E1835" s="854">
        <v>331900800000000</v>
      </c>
      <c r="F1835" s="855" t="s">
        <v>11572</v>
      </c>
      <c r="G1835" s="468">
        <v>1</v>
      </c>
      <c r="H1835" s="468">
        <v>0</v>
      </c>
      <c r="I1835" s="751"/>
      <c r="J1835" s="878" t="s">
        <v>5966</v>
      </c>
      <c r="K1835" s="789">
        <f>(('Parâmetros financeiros Despesa'!E842))</f>
        <v>12014.728899999998</v>
      </c>
      <c r="L1835" s="789">
        <f>(('Parâmetros financeiros Despesa'!F842)*2.05+(('Parâmetros financeiros Despesa'!F842)*11.28)*(1+'Parâmetros financeiros Despesa'!F$4)*(1+'Parâmetros financeiros Despesa'!F$8))</f>
        <v>12578.80875884645</v>
      </c>
      <c r="M1835" s="799">
        <f t="shared" si="311"/>
        <v>1.0199290637031887E-2</v>
      </c>
      <c r="N1835" s="883"/>
      <c r="P1835" s="1019"/>
    </row>
    <row r="1836" spans="1:16" s="115" customFormat="1" ht="15" customHeight="1" x14ac:dyDescent="0.25">
      <c r="A1836" s="396"/>
      <c r="B1836" s="1398" t="s">
        <v>11588</v>
      </c>
      <c r="C1836" s="1398"/>
      <c r="D1836" s="1398"/>
      <c r="E1836" s="854">
        <v>331901100000000</v>
      </c>
      <c r="F1836" s="855" t="s">
        <v>10485</v>
      </c>
      <c r="G1836" s="468">
        <v>20</v>
      </c>
      <c r="H1836" s="468">
        <v>0</v>
      </c>
      <c r="I1836" s="751"/>
      <c r="J1836" s="878" t="s">
        <v>5966</v>
      </c>
      <c r="K1836" s="789">
        <f>('Parâmetros financeiros Despesa'!E843+'Parâmetros financeiros Despesa'!E845)</f>
        <v>0</v>
      </c>
      <c r="L1836" s="789">
        <f>('Parâmetros financeiros Despesa'!F843+'Parâmetros financeiros Despesa'!F845)*2.05+(('Parâmetros financeiros Despesa'!F843+'Parâmetros financeiros Despesa'!F845)*11.28)*(1+'Parâmetros financeiros Despesa'!F$4)*(1+'Parâmetros financeiros Despesa'!F$8)</f>
        <v>11458.434681471692</v>
      </c>
      <c r="M1836" s="799">
        <f t="shared" si="311"/>
        <v>9.2908563761719166E-3</v>
      </c>
      <c r="N1836" s="894"/>
      <c r="P1836" s="733"/>
    </row>
    <row r="1837" spans="1:16" s="115" customFormat="1" ht="15" customHeight="1" x14ac:dyDescent="0.25">
      <c r="A1837" s="396"/>
      <c r="B1837" s="1398" t="s">
        <v>8042</v>
      </c>
      <c r="C1837" s="1398"/>
      <c r="D1837" s="1398"/>
      <c r="E1837" s="854">
        <v>331901300000000</v>
      </c>
      <c r="F1837" s="855" t="s">
        <v>5735</v>
      </c>
      <c r="G1837" s="468">
        <v>20</v>
      </c>
      <c r="H1837" s="468">
        <v>0</v>
      </c>
      <c r="I1837" s="751"/>
      <c r="J1837" s="878" t="s">
        <v>5966</v>
      </c>
      <c r="K1837" s="789">
        <v>0</v>
      </c>
      <c r="L1837" s="789">
        <f>(L1836+L1838)*'Parâmetros financeiros Despesa'!F80+('Parâmetros financeiros Despesa'!F846)*2+(('Parâmetros financeiros Despesa'!F846)*10)*(1+'Parâmetros financeiros Despesa'!F$4)*(1+'Parâmetros financeiros Despesa'!F$8)</f>
        <v>3686.3009760974487</v>
      </c>
      <c r="M1837" s="799">
        <f t="shared" si="311"/>
        <v>2.988967854714419E-3</v>
      </c>
      <c r="N1837" s="894"/>
      <c r="P1837" s="733"/>
    </row>
    <row r="1838" spans="1:16" s="115" customFormat="1" ht="15" customHeight="1" x14ac:dyDescent="0.25">
      <c r="A1838" s="396"/>
      <c r="B1838" s="1398" t="s">
        <v>8043</v>
      </c>
      <c r="C1838" s="1398"/>
      <c r="D1838" s="1398"/>
      <c r="E1838" s="854">
        <v>331901600000000</v>
      </c>
      <c r="F1838" s="855" t="s">
        <v>5736</v>
      </c>
      <c r="G1838" s="468">
        <v>20</v>
      </c>
      <c r="H1838" s="468">
        <v>0</v>
      </c>
      <c r="I1838" s="751"/>
      <c r="J1838" s="878" t="s">
        <v>5966</v>
      </c>
      <c r="K1838" s="789">
        <f>('Parâmetros financeiros Despesa'!E844)</f>
        <v>0</v>
      </c>
      <c r="L1838" s="789">
        <f>('Parâmetros financeiros Despesa'!F844)*2.05+(('Parâmetros financeiros Despesa'!F844)*11.28)*(1+'Parâmetros financeiros Despesa'!F$4)*(1+'Parâmetros financeiros Despesa'!F$8)</f>
        <v>13.955830560223728</v>
      </c>
      <c r="M1838" s="799">
        <f t="shared" si="311"/>
        <v>1.1315822880667336E-5</v>
      </c>
      <c r="N1838" s="894"/>
      <c r="P1838" s="733"/>
    </row>
    <row r="1839" spans="1:16" s="115" customFormat="1" ht="15" customHeight="1" x14ac:dyDescent="0.25">
      <c r="A1839" s="396"/>
      <c r="B1839" s="1398" t="s">
        <v>8044</v>
      </c>
      <c r="C1839" s="1398"/>
      <c r="D1839" s="1398"/>
      <c r="E1839" s="854">
        <v>333901400000000</v>
      </c>
      <c r="F1839" s="855" t="s">
        <v>7947</v>
      </c>
      <c r="G1839" s="468">
        <v>20</v>
      </c>
      <c r="H1839" s="468">
        <v>0</v>
      </c>
      <c r="I1839" s="751"/>
      <c r="J1839" s="878" t="s">
        <v>6089</v>
      </c>
      <c r="K1839" s="789">
        <f>('Parâmetros financeiros Despesa'!E847)</f>
        <v>216</v>
      </c>
      <c r="L1839" s="789">
        <f>('Parâmetros financeiros Despesa'!F847)*2+(('Parâmetros financeiros Despesa'!F847)*10)*(1+'Parâmetros financeiros Despesa'!F$4)*(1+'Parâmetros financeiros Despesa'!F$8)</f>
        <v>6277.4071632197383</v>
      </c>
      <c r="M1839" s="799">
        <f t="shared" si="311"/>
        <v>5.0899176012701745E-3</v>
      </c>
      <c r="N1839" s="894"/>
      <c r="P1839" s="733"/>
    </row>
    <row r="1840" spans="1:16" s="115" customFormat="1" ht="15" customHeight="1" x14ac:dyDescent="0.25">
      <c r="A1840" s="396"/>
      <c r="B1840" s="1396">
        <v>306260</v>
      </c>
      <c r="C1840" s="1396"/>
      <c r="D1840" s="1396"/>
      <c r="E1840" s="854">
        <v>333903000000000</v>
      </c>
      <c r="F1840" s="855" t="s">
        <v>7940</v>
      </c>
      <c r="G1840" s="468">
        <v>20</v>
      </c>
      <c r="H1840" s="468">
        <v>0</v>
      </c>
      <c r="I1840" s="751"/>
      <c r="J1840" s="878" t="s">
        <v>6089</v>
      </c>
      <c r="K1840" s="789">
        <f>('Parâmetros financeiros Despesa'!E848)</f>
        <v>300</v>
      </c>
      <c r="L1840" s="789">
        <f>('Parâmetros financeiros Despesa'!F848)*(1+'Parâmetros financeiros Despesa'!F$4)*(1+'Parâmetros financeiros Despesa'!F$7)</f>
        <v>545.16575</v>
      </c>
      <c r="M1840" s="799">
        <f t="shared" si="311"/>
        <v>4.4203740085443346E-4</v>
      </c>
      <c r="N1840" s="894"/>
      <c r="P1840" s="733"/>
    </row>
    <row r="1841" spans="1:16" s="115" customFormat="1" ht="15" customHeight="1" x14ac:dyDescent="0.25">
      <c r="A1841" s="396"/>
      <c r="B1841" s="1396">
        <v>306290</v>
      </c>
      <c r="C1841" s="1396"/>
      <c r="D1841" s="1396"/>
      <c r="E1841" s="854">
        <v>333903200000000</v>
      </c>
      <c r="F1841" s="855" t="s">
        <v>8050</v>
      </c>
      <c r="G1841" s="468">
        <v>20</v>
      </c>
      <c r="H1841" s="468">
        <v>0</v>
      </c>
      <c r="I1841" s="751"/>
      <c r="J1841" s="878" t="s">
        <v>6089</v>
      </c>
      <c r="K1841" s="789">
        <f>('Parâmetros financeiros Despesa'!E849)</f>
        <v>0</v>
      </c>
      <c r="L1841" s="789">
        <f>('Parâmetros financeiros Despesa'!F849)*(1+'Parâmetros financeiros Despesa'!F$4)*(1+'Parâmetros financeiros Despesa'!F$7)</f>
        <v>545.16575</v>
      </c>
      <c r="M1841" s="799">
        <f t="shared" si="311"/>
        <v>4.4203740085443346E-4</v>
      </c>
      <c r="N1841" s="894"/>
      <c r="P1841" s="733"/>
    </row>
    <row r="1842" spans="1:16" s="115" customFormat="1" ht="15" customHeight="1" x14ac:dyDescent="0.25">
      <c r="A1842" s="396"/>
      <c r="B1842" s="1396">
        <v>306300</v>
      </c>
      <c r="C1842" s="1396"/>
      <c r="D1842" s="1396"/>
      <c r="E1842" s="854">
        <v>333903300000000</v>
      </c>
      <c r="F1842" s="855" t="s">
        <v>7957</v>
      </c>
      <c r="G1842" s="468">
        <v>20</v>
      </c>
      <c r="H1842" s="468">
        <v>0</v>
      </c>
      <c r="I1842" s="751"/>
      <c r="J1842" s="878" t="s">
        <v>6089</v>
      </c>
      <c r="K1842" s="789">
        <f>('Parâmetros financeiros Despesa'!E850)</f>
        <v>85.125</v>
      </c>
      <c r="L1842" s="789">
        <f>('Parâmetros financeiros Despesa'!F850)*(1+'Parâmetros financeiros Despesa'!F$4)*(1+'Parâmetros financeiros Despesa'!F$7)</f>
        <v>92.814468937499996</v>
      </c>
      <c r="M1842" s="799">
        <f t="shared" si="311"/>
        <v>7.5256867495467292E-5</v>
      </c>
      <c r="N1842" s="894"/>
      <c r="P1842" s="733"/>
    </row>
    <row r="1843" spans="1:16" s="115" customFormat="1" ht="15" customHeight="1" x14ac:dyDescent="0.25">
      <c r="A1843" s="396"/>
      <c r="B1843" s="1398" t="s">
        <v>8045</v>
      </c>
      <c r="C1843" s="1398"/>
      <c r="D1843" s="1398"/>
      <c r="E1843" s="854">
        <v>333903600000000</v>
      </c>
      <c r="F1843" s="855" t="s">
        <v>7958</v>
      </c>
      <c r="G1843" s="468">
        <v>20</v>
      </c>
      <c r="H1843" s="468">
        <v>0</v>
      </c>
      <c r="I1843" s="751"/>
      <c r="J1843" s="878" t="s">
        <v>6089</v>
      </c>
      <c r="K1843" s="789">
        <f>('Parâmetros financeiros Despesa'!E851)</f>
        <v>0</v>
      </c>
      <c r="L1843" s="789">
        <f>('Parâmetros financeiros Despesa'!F851)*(1+'Parâmetros financeiros Despesa'!F$4)*(1+'Parâmetros financeiros Despesa'!F$7)</f>
        <v>1090.3315</v>
      </c>
      <c r="M1843" s="799">
        <f t="shared" si="311"/>
        <v>8.8407480170886693E-4</v>
      </c>
      <c r="N1843" s="894"/>
      <c r="P1843" s="733"/>
    </row>
    <row r="1844" spans="1:16" s="115" customFormat="1" ht="15.75" customHeight="1" x14ac:dyDescent="0.25">
      <c r="A1844" s="396"/>
      <c r="B1844" s="1398" t="s">
        <v>8046</v>
      </c>
      <c r="C1844" s="1398"/>
      <c r="D1844" s="1398"/>
      <c r="E1844" s="854">
        <v>333903900000000</v>
      </c>
      <c r="F1844" s="855" t="s">
        <v>8051</v>
      </c>
      <c r="G1844" s="468">
        <v>20</v>
      </c>
      <c r="H1844" s="468">
        <v>0</v>
      </c>
      <c r="I1844" s="751"/>
      <c r="J1844" s="878" t="s">
        <v>6089</v>
      </c>
      <c r="K1844" s="789">
        <f>('Parâmetros financeiros Despesa'!E852)</f>
        <v>4770</v>
      </c>
      <c r="L1844" s="789">
        <f>('Parâmetros financeiros Despesa'!F852)*(1+'Parâmetros financeiros Despesa'!F$4)*(1+'Parâmetros financeiros Despesa'!F$7)</f>
        <v>5200.8812550000002</v>
      </c>
      <c r="M1844" s="799">
        <f t="shared" si="311"/>
        <v>4.2170368041512954E-3</v>
      </c>
      <c r="N1844" s="894"/>
      <c r="P1844" s="733"/>
    </row>
    <row r="1845" spans="1:16" s="115" customFormat="1" ht="15" customHeight="1" x14ac:dyDescent="0.25">
      <c r="A1845" s="396"/>
      <c r="B1845" s="1398" t="s">
        <v>8047</v>
      </c>
      <c r="C1845" s="1398"/>
      <c r="D1845" s="1398"/>
      <c r="E1845" s="854">
        <v>333904700000000</v>
      </c>
      <c r="F1845" s="855" t="s">
        <v>990</v>
      </c>
      <c r="G1845" s="468">
        <v>20</v>
      </c>
      <c r="H1845" s="468">
        <v>0</v>
      </c>
      <c r="I1845" s="751"/>
      <c r="J1845" s="878" t="s">
        <v>6089</v>
      </c>
      <c r="K1845" s="789">
        <f>(('Parâmetros financeiros Despesa'!E851))</f>
        <v>0</v>
      </c>
      <c r="L1845" s="789">
        <f>(('Parâmetros financeiros Despesa'!F851)*(1+'Parâmetros financeiros Despesa'!F$4)*(1+'Parâmetros financeiros Despesa'!F$7))*('Parâmetros financeiros Despesa'!F$83)</f>
        <v>218.06630000000001</v>
      </c>
      <c r="M1845" s="799">
        <f t="shared" si="311"/>
        <v>1.7681496034177341E-4</v>
      </c>
      <c r="N1845" s="894"/>
      <c r="P1845" s="733"/>
    </row>
    <row r="1846" spans="1:16" s="115" customFormat="1" ht="15" customHeight="1" x14ac:dyDescent="0.25">
      <c r="A1846" s="396"/>
      <c r="B1846" s="1398" t="s">
        <v>8048</v>
      </c>
      <c r="C1846" s="1398"/>
      <c r="D1846" s="1398"/>
      <c r="E1846" s="854">
        <v>333904900000000</v>
      </c>
      <c r="F1846" s="855" t="s">
        <v>7167</v>
      </c>
      <c r="G1846" s="468">
        <v>20</v>
      </c>
      <c r="H1846" s="468">
        <v>0</v>
      </c>
      <c r="I1846" s="751"/>
      <c r="J1846" s="878" t="s">
        <v>5966</v>
      </c>
      <c r="K1846" s="789">
        <f>('Parâmetros financeiros Despesa'!E853+'Parâmetros financeiros Despesa'!E854)</f>
        <v>0</v>
      </c>
      <c r="L1846" s="789">
        <f>('Parâmetros financeiros Despesa'!F853+'Parâmetros financeiros Despesa'!F854)*2+(('Parâmetros financeiros Despesa'!F853+'Parâmetros financeiros Despesa'!F854)*10)*(1+'Parâmetros financeiros Despesa'!F$4)*(1+'Parâmetros financeiros Despesa'!F$8)</f>
        <v>25.10962865287895</v>
      </c>
      <c r="M1846" s="799">
        <f t="shared" si="311"/>
        <v>2.0359670405080695E-5</v>
      </c>
      <c r="N1846" s="894"/>
      <c r="P1846" s="733"/>
    </row>
    <row r="1847" spans="1:16" s="115" customFormat="1" ht="15" customHeight="1" x14ac:dyDescent="0.25">
      <c r="A1847" s="396"/>
      <c r="B1847" s="1398" t="s">
        <v>8052</v>
      </c>
      <c r="C1847" s="1398"/>
      <c r="D1847" s="1398"/>
      <c r="E1847" s="854">
        <v>333909300000000</v>
      </c>
      <c r="F1847" s="855" t="s">
        <v>5818</v>
      </c>
      <c r="G1847" s="468">
        <v>20</v>
      </c>
      <c r="H1847" s="468">
        <v>0</v>
      </c>
      <c r="I1847" s="751"/>
      <c r="J1847" s="878" t="s">
        <v>6089</v>
      </c>
      <c r="K1847" s="789">
        <f>('Parâmetros financeiros Despesa'!E855)</f>
        <v>203.02499999999998</v>
      </c>
      <c r="L1847" s="789">
        <f>('Parâmetros financeiros Despesa'!F855)*(1+'Parâmetros financeiros Despesa'!F$4)*(1+'Parâmetros financeiros Despesa'!F$7)</f>
        <v>221.3645527875</v>
      </c>
      <c r="M1847" s="799">
        <f t="shared" si="311"/>
        <v>1.7948928661694271E-4</v>
      </c>
      <c r="N1847" s="894"/>
      <c r="P1847" s="733"/>
    </row>
    <row r="1848" spans="1:16" s="115" customFormat="1" ht="15" customHeight="1" x14ac:dyDescent="0.25">
      <c r="A1848" s="396"/>
      <c r="B1848" s="1398" t="s">
        <v>8049</v>
      </c>
      <c r="C1848" s="1398"/>
      <c r="D1848" s="1398"/>
      <c r="E1848" s="854">
        <v>333933000000000</v>
      </c>
      <c r="F1848" s="855" t="s">
        <v>7066</v>
      </c>
      <c r="G1848" s="468">
        <v>20</v>
      </c>
      <c r="H1848" s="468">
        <v>0</v>
      </c>
      <c r="I1848" s="751"/>
      <c r="J1848" s="878" t="s">
        <v>6197</v>
      </c>
      <c r="K1848" s="789">
        <f>('Parâmetros financeiros Despesa'!E856)</f>
        <v>0</v>
      </c>
      <c r="L1848" s="789">
        <f>('Parâmetros financeiros Despesa'!F856)*(1+'Parâmetros financeiros Despesa'!F$4)*(1+'Parâmetros financeiros Despesa'!F$7)</f>
        <v>3270.9945000000002</v>
      </c>
      <c r="M1848" s="799">
        <f t="shared" si="311"/>
        <v>2.652224405126601E-3</v>
      </c>
      <c r="N1848" s="894"/>
      <c r="P1848" s="733"/>
    </row>
    <row r="1849" spans="1:16" s="742" customFormat="1" ht="15" customHeight="1" x14ac:dyDescent="0.25">
      <c r="A1849" s="396"/>
      <c r="B1849" s="1386" t="s">
        <v>10488</v>
      </c>
      <c r="C1849" s="1386"/>
      <c r="D1849" s="1386"/>
      <c r="E1849" s="1386"/>
      <c r="F1849" s="1386"/>
      <c r="G1849" s="403"/>
      <c r="H1849" s="403"/>
      <c r="I1849" s="427"/>
      <c r="J1849" s="412"/>
      <c r="K1849" s="404">
        <f t="shared" ref="K1849:L1850" si="313">K1850</f>
        <v>0</v>
      </c>
      <c r="L1849" s="404">
        <f t="shared" si="313"/>
        <v>2289.70615</v>
      </c>
      <c r="M1849" s="452">
        <f t="shared" si="311"/>
        <v>1.8565651919006496E-3</v>
      </c>
      <c r="N1849" s="796"/>
      <c r="P1849" s="399"/>
    </row>
    <row r="1850" spans="1:16" s="742" customFormat="1" x14ac:dyDescent="0.25">
      <c r="A1850" s="396"/>
      <c r="B1850" s="1382" t="s">
        <v>7914</v>
      </c>
      <c r="C1850" s="1382"/>
      <c r="D1850" s="1382"/>
      <c r="E1850" s="1382"/>
      <c r="F1850" s="1382"/>
      <c r="G1850" s="405"/>
      <c r="H1850" s="405"/>
      <c r="I1850" s="428"/>
      <c r="J1850" s="413"/>
      <c r="K1850" s="406">
        <f t="shared" si="313"/>
        <v>0</v>
      </c>
      <c r="L1850" s="406">
        <f t="shared" si="313"/>
        <v>2289.70615</v>
      </c>
      <c r="M1850" s="453">
        <f t="shared" ref="M1850:M1856" si="314">L1850/L$1924</f>
        <v>1.8565651919006496E-3</v>
      </c>
      <c r="N1850" s="796"/>
      <c r="P1850" s="399"/>
    </row>
    <row r="1851" spans="1:16" s="742" customFormat="1" x14ac:dyDescent="0.25">
      <c r="A1851" s="396"/>
      <c r="B1851" s="1383" t="s">
        <v>7927</v>
      </c>
      <c r="C1851" s="1383"/>
      <c r="D1851" s="1383"/>
      <c r="E1851" s="1383"/>
      <c r="F1851" s="1383"/>
      <c r="G1851" s="407"/>
      <c r="H1851" s="407"/>
      <c r="I1851" s="429"/>
      <c r="J1851" s="414"/>
      <c r="K1851" s="408">
        <f>K1852+K1853+K1854+K1855+K1856</f>
        <v>0</v>
      </c>
      <c r="L1851" s="408">
        <f>L1852+L1853+L1854+L1855+L1856+0.01</f>
        <v>2289.70615</v>
      </c>
      <c r="M1851" s="454">
        <f t="shared" si="314"/>
        <v>1.8565651919006496E-3</v>
      </c>
      <c r="N1851" s="796"/>
      <c r="P1851" s="399"/>
    </row>
    <row r="1852" spans="1:16" s="115" customFormat="1" x14ac:dyDescent="0.25">
      <c r="A1852" s="396"/>
      <c r="B1852" s="1396">
        <v>306500</v>
      </c>
      <c r="C1852" s="1396"/>
      <c r="D1852" s="1396"/>
      <c r="E1852" s="854">
        <v>333903000000000</v>
      </c>
      <c r="F1852" s="855" t="s">
        <v>10489</v>
      </c>
      <c r="G1852" s="468">
        <v>20</v>
      </c>
      <c r="H1852" s="468">
        <v>0</v>
      </c>
      <c r="I1852" s="751"/>
      <c r="J1852" s="878" t="s">
        <v>7926</v>
      </c>
      <c r="K1852" s="789">
        <f>('Parâmetros financeiros Despesa'!E858)</f>
        <v>0</v>
      </c>
      <c r="L1852" s="789">
        <f>('Parâmetros financeiros Despesa'!F858)*(1+'Parâmetros financeiros Despesa'!F$4)*(1+'Parâmetros financeiros Despesa'!F$7)</f>
        <v>545.16575</v>
      </c>
      <c r="M1852" s="799">
        <f t="shared" si="314"/>
        <v>4.4203740085443346E-4</v>
      </c>
      <c r="N1852" s="894"/>
      <c r="P1852" s="733"/>
    </row>
    <row r="1853" spans="1:16" s="115" customFormat="1" x14ac:dyDescent="0.25">
      <c r="A1853" s="396"/>
      <c r="B1853" s="1398" t="s">
        <v>7977</v>
      </c>
      <c r="C1853" s="1398"/>
      <c r="D1853" s="1398"/>
      <c r="E1853" s="854">
        <v>333903600000000</v>
      </c>
      <c r="F1853" s="855" t="s">
        <v>10492</v>
      </c>
      <c r="G1853" s="468">
        <v>20</v>
      </c>
      <c r="H1853" s="468">
        <v>0</v>
      </c>
      <c r="I1853" s="751"/>
      <c r="J1853" s="878" t="s">
        <v>7926</v>
      </c>
      <c r="K1853" s="789">
        <f>('Parâmetros financeiros Despesa'!E859)</f>
        <v>0</v>
      </c>
      <c r="L1853" s="789">
        <f>('Parâmetros financeiros Despesa'!F859)*(1+'Parâmetros financeiros Despesa'!F$4)*(1+'Parâmetros financeiros Despesa'!F$7)</f>
        <v>545.16575</v>
      </c>
      <c r="M1853" s="799">
        <f t="shared" si="314"/>
        <v>4.4203740085443346E-4</v>
      </c>
      <c r="N1853" s="894"/>
      <c r="P1853" s="733"/>
    </row>
    <row r="1854" spans="1:16" s="115" customFormat="1" x14ac:dyDescent="0.25">
      <c r="A1854" s="396"/>
      <c r="B1854" s="1398" t="s">
        <v>7978</v>
      </c>
      <c r="C1854" s="1398"/>
      <c r="D1854" s="1398"/>
      <c r="E1854" s="854">
        <v>333903900000000</v>
      </c>
      <c r="F1854" s="855" t="s">
        <v>10491</v>
      </c>
      <c r="G1854" s="468">
        <v>20</v>
      </c>
      <c r="H1854" s="468">
        <v>0</v>
      </c>
      <c r="I1854" s="751"/>
      <c r="J1854" s="878" t="s">
        <v>7926</v>
      </c>
      <c r="K1854" s="789">
        <f>('Parâmetros financeiros Despesa'!E860)</f>
        <v>0</v>
      </c>
      <c r="L1854" s="789">
        <f>('Parâmetros financeiros Despesa'!F860)*(1+'Parâmetros financeiros Despesa'!F$4)*(1+'Parâmetros financeiros Despesa'!F$7)</f>
        <v>545.16575</v>
      </c>
      <c r="M1854" s="799">
        <f t="shared" si="314"/>
        <v>4.4203740085443346E-4</v>
      </c>
      <c r="N1854" s="894"/>
      <c r="P1854" s="733"/>
    </row>
    <row r="1855" spans="1:16" s="115" customFormat="1" x14ac:dyDescent="0.25">
      <c r="A1855" s="396"/>
      <c r="B1855" s="1398" t="s">
        <v>7979</v>
      </c>
      <c r="C1855" s="1398"/>
      <c r="D1855" s="1398"/>
      <c r="E1855" s="854">
        <v>333904700000000</v>
      </c>
      <c r="F1855" s="855" t="s">
        <v>11609</v>
      </c>
      <c r="G1855" s="468">
        <v>20</v>
      </c>
      <c r="H1855" s="468">
        <v>0</v>
      </c>
      <c r="I1855" s="751"/>
      <c r="J1855" s="878" t="s">
        <v>7926</v>
      </c>
      <c r="K1855" s="789">
        <f>(('Parâmetros financeiros Despesa'!E859))</f>
        <v>0</v>
      </c>
      <c r="L1855" s="789">
        <f>(('Parâmetros financeiros Despesa'!F859)*(1+'Parâmetros financeiros Despesa'!F$4)*(1+'Parâmetros financeiros Despesa'!F$7))*('Parâmetros financeiros Despesa'!F$83)</f>
        <v>109.03315000000001</v>
      </c>
      <c r="M1855" s="799">
        <f t="shared" si="314"/>
        <v>8.8407480170886704E-5</v>
      </c>
      <c r="N1855" s="894"/>
      <c r="P1855" s="733"/>
    </row>
    <row r="1856" spans="1:16" s="457" customFormat="1" x14ac:dyDescent="0.25">
      <c r="A1856" s="396"/>
      <c r="B1856" s="1398" t="s">
        <v>7980</v>
      </c>
      <c r="C1856" s="1398"/>
      <c r="D1856" s="1398"/>
      <c r="E1856" s="854">
        <v>344905200000000</v>
      </c>
      <c r="F1856" s="855" t="s">
        <v>10490</v>
      </c>
      <c r="G1856" s="468">
        <v>20</v>
      </c>
      <c r="H1856" s="468">
        <v>0</v>
      </c>
      <c r="I1856" s="751"/>
      <c r="J1856" s="878" t="s">
        <v>7926</v>
      </c>
      <c r="K1856" s="789">
        <f>('Parâmetros financeiros Despesa'!E861)</f>
        <v>0</v>
      </c>
      <c r="L1856" s="789">
        <f>('Parâmetros financeiros Despesa'!F861)*(1+'Parâmetros financeiros Despesa'!F$4)*(1+'Parâmetros financeiros Despesa'!F$7)</f>
        <v>545.16575</v>
      </c>
      <c r="M1856" s="799">
        <f t="shared" si="314"/>
        <v>4.4203740085443346E-4</v>
      </c>
      <c r="N1856" s="895"/>
      <c r="P1856" s="734"/>
    </row>
    <row r="1857" spans="1:16" s="1057" customFormat="1" x14ac:dyDescent="0.25">
      <c r="A1857" s="396"/>
      <c r="B1857" s="1386" t="s">
        <v>11755</v>
      </c>
      <c r="C1857" s="1386"/>
      <c r="D1857" s="1386"/>
      <c r="E1857" s="1386"/>
      <c r="F1857" s="1386"/>
      <c r="G1857" s="403"/>
      <c r="H1857" s="403"/>
      <c r="I1857" s="427"/>
      <c r="J1857" s="412"/>
      <c r="K1857" s="404">
        <f t="shared" ref="K1857:L1858" si="315">K1858</f>
        <v>0</v>
      </c>
      <c r="L1857" s="404">
        <f t="shared" si="315"/>
        <v>34887.273686585118</v>
      </c>
      <c r="M1857" s="452" t="e">
        <f t="shared" ref="M1857:M1866" si="316">L1857/L$1398</f>
        <v>#DIV/0!</v>
      </c>
      <c r="N1857" s="796"/>
      <c r="P1857" s="399"/>
    </row>
    <row r="1858" spans="1:16" s="1057" customFormat="1" x14ac:dyDescent="0.25">
      <c r="A1858" s="396"/>
      <c r="B1858" s="1382" t="s">
        <v>7914</v>
      </c>
      <c r="C1858" s="1382"/>
      <c r="D1858" s="1382"/>
      <c r="E1858" s="1382"/>
      <c r="F1858" s="1382"/>
      <c r="G1858" s="405"/>
      <c r="H1858" s="405"/>
      <c r="I1858" s="428"/>
      <c r="J1858" s="413"/>
      <c r="K1858" s="406">
        <f t="shared" si="315"/>
        <v>0</v>
      </c>
      <c r="L1858" s="406">
        <f t="shared" si="315"/>
        <v>34887.273686585118</v>
      </c>
      <c r="M1858" s="453" t="e">
        <f t="shared" si="316"/>
        <v>#DIV/0!</v>
      </c>
      <c r="N1858" s="796"/>
      <c r="P1858" s="399"/>
    </row>
    <row r="1859" spans="1:16" s="1057" customFormat="1" x14ac:dyDescent="0.25">
      <c r="A1859" s="396"/>
      <c r="B1859" s="1383" t="s">
        <v>7927</v>
      </c>
      <c r="C1859" s="1383"/>
      <c r="D1859" s="1383"/>
      <c r="E1859" s="1383"/>
      <c r="F1859" s="1383"/>
      <c r="G1859" s="407"/>
      <c r="H1859" s="407"/>
      <c r="I1859" s="429"/>
      <c r="J1859" s="414"/>
      <c r="K1859" s="408">
        <f>K1860+K1861+K1862+K1863+K1864</f>
        <v>0</v>
      </c>
      <c r="L1859" s="408">
        <f>SUM(L1860:L1871)</f>
        <v>34887.273686585118</v>
      </c>
      <c r="M1859" s="454" t="e">
        <f t="shared" si="316"/>
        <v>#DIV/0!</v>
      </c>
      <c r="N1859" s="796"/>
      <c r="P1859" s="399"/>
    </row>
    <row r="1860" spans="1:16" s="115" customFormat="1" x14ac:dyDescent="0.25">
      <c r="A1860" s="396"/>
      <c r="B1860" s="1396">
        <v>306940</v>
      </c>
      <c r="C1860" s="1396"/>
      <c r="D1860" s="1396"/>
      <c r="E1860" s="854">
        <v>331900400000000</v>
      </c>
      <c r="F1860" s="855" t="s">
        <v>11756</v>
      </c>
      <c r="G1860" s="468">
        <v>20</v>
      </c>
      <c r="H1860" s="468">
        <v>0</v>
      </c>
      <c r="I1860" s="751"/>
      <c r="J1860" s="878" t="s">
        <v>7926</v>
      </c>
      <c r="K1860" s="789">
        <f>(('Parâmetros financeiros Despesa'!E863))</f>
        <v>0</v>
      </c>
      <c r="L1860" s="789">
        <f>(('Parâmetros financeiros Despesa'!F863)*2.05+(('Parâmetros financeiros Despesa'!F863*11.28)*(1+'Parâmetros financeiros Despesa'!F$4)*(1+'Parâmetros financeiros Despesa'!F$8))*(1+'Parâmetros financeiros Despesa'!F$80))</f>
        <v>16.790537381629637</v>
      </c>
      <c r="M1860" s="799" t="e">
        <f t="shared" si="316"/>
        <v>#DIV/0!</v>
      </c>
      <c r="N1860" s="894"/>
      <c r="P1860" s="733"/>
    </row>
    <row r="1861" spans="1:16" s="115" customFormat="1" x14ac:dyDescent="0.25">
      <c r="A1861" s="396"/>
      <c r="B1861" s="1398" t="s">
        <v>11758</v>
      </c>
      <c r="C1861" s="1398"/>
      <c r="D1861" s="1398"/>
      <c r="E1861" s="854">
        <v>331901100000000</v>
      </c>
      <c r="F1861" s="855" t="s">
        <v>11757</v>
      </c>
      <c r="G1861" s="468">
        <v>20</v>
      </c>
      <c r="H1861" s="468">
        <v>0</v>
      </c>
      <c r="I1861" s="751"/>
      <c r="J1861" s="878" t="s">
        <v>7926</v>
      </c>
      <c r="K1861" s="789">
        <f>(('Parâmetros financeiros Despesa'!E864))</f>
        <v>0</v>
      </c>
      <c r="L1861" s="789">
        <f>(('Parâmetros financeiros Despesa'!F864)*2.05+(('Parâmetros financeiros Despesa'!F864)*11.28)*(1+'Parâmetros financeiros Despesa'!F$4)*(1+'Parâmetros financeiros Despesa'!F$8))</f>
        <v>15351.413616246102</v>
      </c>
      <c r="M1861" s="799" t="e">
        <f t="shared" si="316"/>
        <v>#DIV/0!</v>
      </c>
      <c r="N1861" s="894"/>
      <c r="P1861" s="733"/>
    </row>
    <row r="1862" spans="1:16" s="115" customFormat="1" x14ac:dyDescent="0.25">
      <c r="A1862" s="396"/>
      <c r="B1862" s="1398" t="s">
        <v>11759</v>
      </c>
      <c r="C1862" s="1398"/>
      <c r="D1862" s="1398"/>
      <c r="E1862" s="854">
        <v>331901300000000</v>
      </c>
      <c r="F1862" s="855" t="s">
        <v>11760</v>
      </c>
      <c r="G1862" s="468">
        <v>20</v>
      </c>
      <c r="H1862" s="468">
        <v>0</v>
      </c>
      <c r="I1862" s="751"/>
      <c r="J1862" s="878" t="s">
        <v>7926</v>
      </c>
      <c r="K1862" s="789">
        <f>('Parâmetros financeiros Despesa'!E865)</f>
        <v>0</v>
      </c>
      <c r="L1862" s="789">
        <f>(L1861+L1863)*'Parâmetros financeiros Despesa'!F$80</f>
        <v>3658.4022730679053</v>
      </c>
      <c r="M1862" s="799" t="e">
        <f t="shared" si="316"/>
        <v>#DIV/0!</v>
      </c>
      <c r="N1862" s="894"/>
      <c r="P1862" s="733"/>
    </row>
    <row r="1863" spans="1:16" s="115" customFormat="1" x14ac:dyDescent="0.25">
      <c r="A1863" s="396"/>
      <c r="B1863" s="1398" t="s">
        <v>11762</v>
      </c>
      <c r="C1863" s="1398"/>
      <c r="D1863" s="1398"/>
      <c r="E1863" s="854">
        <v>331901600000000</v>
      </c>
      <c r="F1863" s="855" t="s">
        <v>11761</v>
      </c>
      <c r="G1863" s="468">
        <v>20</v>
      </c>
      <c r="H1863" s="468">
        <v>0</v>
      </c>
      <c r="I1863" s="751"/>
      <c r="J1863" s="878" t="s">
        <v>7926</v>
      </c>
      <c r="K1863" s="789">
        <f>'Parâmetros financeiros Despesa'!E866</f>
        <v>0</v>
      </c>
      <c r="L1863" s="789">
        <f>(('Parâmetros financeiros Despesa'!F866)*2.05+(('Parâmetros financeiros Despesa'!F866)*11.28)*(1+'Parâmetros financeiros Despesa'!F$4)*(1+'Parâmetros financeiros Despesa'!F$8))</f>
        <v>13.955830560223728</v>
      </c>
      <c r="M1863" s="799" t="e">
        <f t="shared" si="316"/>
        <v>#DIV/0!</v>
      </c>
      <c r="N1863" s="894"/>
      <c r="P1863" s="733"/>
    </row>
    <row r="1864" spans="1:16" s="457" customFormat="1" x14ac:dyDescent="0.25">
      <c r="A1864" s="396"/>
      <c r="B1864" s="1398" t="s">
        <v>11763</v>
      </c>
      <c r="C1864" s="1398"/>
      <c r="D1864" s="1398"/>
      <c r="E1864" s="854">
        <v>333901400000000</v>
      </c>
      <c r="F1864" s="855" t="s">
        <v>11764</v>
      </c>
      <c r="G1864" s="468">
        <v>20</v>
      </c>
      <c r="H1864" s="468">
        <v>0</v>
      </c>
      <c r="I1864" s="751"/>
      <c r="J1864" s="878" t="s">
        <v>7926</v>
      </c>
      <c r="K1864" s="789">
        <f>'Parâmetros financeiros Despesa'!E867</f>
        <v>0</v>
      </c>
      <c r="L1864" s="789">
        <f>('Parâmetros financeiros Despesa'!F867)*2+(('Parâmetros financeiros Despesa'!F867)*10)*(1+'Parâmetros financeiros Despesa'!F$4)*(1+'Parâmetros financeiros Despesa'!F$8)</f>
        <v>1807.8932630072843</v>
      </c>
      <c r="M1864" s="799" t="e">
        <f t="shared" si="316"/>
        <v>#DIV/0!</v>
      </c>
      <c r="N1864" s="895"/>
      <c r="P1864" s="734"/>
    </row>
    <row r="1865" spans="1:16" s="457" customFormat="1" x14ac:dyDescent="0.25">
      <c r="A1865" s="396"/>
      <c r="B1865" s="1398" t="s">
        <v>11765</v>
      </c>
      <c r="C1865" s="1398"/>
      <c r="D1865" s="1398"/>
      <c r="E1865" s="854">
        <v>333903000000000</v>
      </c>
      <c r="F1865" s="855" t="s">
        <v>11766</v>
      </c>
      <c r="G1865" s="468">
        <v>20</v>
      </c>
      <c r="H1865" s="468">
        <v>0</v>
      </c>
      <c r="I1865" s="751"/>
      <c r="J1865" s="878" t="s">
        <v>7926</v>
      </c>
      <c r="K1865" s="789">
        <f>'Parâmetros financeiros Despesa'!E868</f>
        <v>0</v>
      </c>
      <c r="L1865" s="789">
        <f>('Parâmetros financeiros Despesa'!F868)*(1+'Parâmetros financeiros Despesa'!F$4)*(1+'Parâmetros financeiros Despesa'!F$7)</f>
        <v>5451.6575000000003</v>
      </c>
      <c r="M1865" s="799" t="e">
        <f t="shared" si="316"/>
        <v>#DIV/0!</v>
      </c>
      <c r="N1865" s="895"/>
      <c r="P1865" s="734"/>
    </row>
    <row r="1866" spans="1:16" s="457" customFormat="1" x14ac:dyDescent="0.25">
      <c r="A1866" s="396"/>
      <c r="B1866" s="1398" t="s">
        <v>11767</v>
      </c>
      <c r="C1866" s="1398"/>
      <c r="D1866" s="1398"/>
      <c r="E1866" s="854">
        <v>333903600000000</v>
      </c>
      <c r="F1866" s="855" t="s">
        <v>11769</v>
      </c>
      <c r="G1866" s="468">
        <v>20</v>
      </c>
      <c r="H1866" s="468">
        <v>0</v>
      </c>
      <c r="I1866" s="751"/>
      <c r="J1866" s="878" t="s">
        <v>7926</v>
      </c>
      <c r="K1866" s="789">
        <f>'Parâmetros financeiros Despesa'!E869</f>
        <v>0</v>
      </c>
      <c r="L1866" s="789">
        <f>('Parâmetros financeiros Despesa'!F869)*(1+'Parâmetros financeiros Despesa'!F$4)*(1+'Parâmetros financeiros Despesa'!F$7)</f>
        <v>1090.3315</v>
      </c>
      <c r="M1866" s="799" t="e">
        <f t="shared" si="316"/>
        <v>#DIV/0!</v>
      </c>
      <c r="N1866" s="895"/>
      <c r="P1866" s="734"/>
    </row>
    <row r="1867" spans="1:16" s="457" customFormat="1" x14ac:dyDescent="0.25">
      <c r="A1867" s="396"/>
      <c r="B1867" s="1056"/>
      <c r="C1867" s="1056"/>
      <c r="D1867" s="1056" t="s">
        <v>11768</v>
      </c>
      <c r="E1867" s="854">
        <v>333903900000000</v>
      </c>
      <c r="F1867" s="855" t="s">
        <v>11770</v>
      </c>
      <c r="G1867" s="468">
        <v>20</v>
      </c>
      <c r="H1867" s="468">
        <v>0</v>
      </c>
      <c r="I1867" s="751"/>
      <c r="J1867" s="878" t="s">
        <v>7926</v>
      </c>
      <c r="K1867" s="789">
        <f>'Parâmetros financeiros Despesa'!E870</f>
        <v>0</v>
      </c>
      <c r="L1867" s="789">
        <f>('Parâmetros financeiros Despesa'!F870)*(1+'Parâmetros financeiros Despesa'!F$4)*(1+'Parâmetros financeiros Despesa'!F$7)</f>
        <v>1090.3315</v>
      </c>
      <c r="M1867" s="799" t="e">
        <f t="shared" ref="M1867:M1871" si="317">L1867/L$1398</f>
        <v>#DIV/0!</v>
      </c>
      <c r="N1867" s="895"/>
      <c r="P1867" s="734"/>
    </row>
    <row r="1868" spans="1:16" s="457" customFormat="1" x14ac:dyDescent="0.25">
      <c r="A1868" s="396"/>
      <c r="B1868" s="1056"/>
      <c r="C1868" s="1056"/>
      <c r="D1868" s="1056" t="s">
        <v>11775</v>
      </c>
      <c r="E1868" s="854">
        <v>333904700000000</v>
      </c>
      <c r="F1868" s="855" t="s">
        <v>11772</v>
      </c>
      <c r="G1868" s="468">
        <v>20</v>
      </c>
      <c r="H1868" s="468">
        <v>0</v>
      </c>
      <c r="I1868" s="751"/>
      <c r="J1868" s="878" t="s">
        <v>7926</v>
      </c>
      <c r="K1868" s="789">
        <f>'Parâmetros financeiros Despesa'!E871</f>
        <v>0</v>
      </c>
      <c r="L1868" s="789">
        <f>('Parâmetros financeiros Despesa'!F871)*(1+'Parâmetros financeiros Despesa'!F$4)*(1+'Parâmetros financeiros Despesa'!F$7)</f>
        <v>218.06630000000001</v>
      </c>
      <c r="M1868" s="799" t="e">
        <f t="shared" si="317"/>
        <v>#DIV/0!</v>
      </c>
      <c r="N1868" s="895"/>
      <c r="P1868" s="734"/>
    </row>
    <row r="1869" spans="1:16" s="457" customFormat="1" x14ac:dyDescent="0.25">
      <c r="A1869" s="396"/>
      <c r="B1869" s="1056"/>
      <c r="C1869" s="1056"/>
      <c r="D1869" s="1056" t="s">
        <v>11776</v>
      </c>
      <c r="E1869" s="854">
        <v>333904900000000</v>
      </c>
      <c r="F1869" s="855" t="s">
        <v>11771</v>
      </c>
      <c r="G1869" s="468">
        <v>20</v>
      </c>
      <c r="H1869" s="468">
        <v>0</v>
      </c>
      <c r="I1869" s="751"/>
      <c r="J1869" s="878" t="s">
        <v>7926</v>
      </c>
      <c r="K1869" s="789">
        <f>'Parâmetros financeiros Despesa'!E872</f>
        <v>0</v>
      </c>
      <c r="L1869" s="789">
        <f>('Parâmetros financeiros Despesa'!F872)*2+(('Parâmetros financeiros Despesa'!F872)*10)*(1+'Parâmetros financeiros Despesa'!F$4)*(1+'Parâmetros financeiros Despesa'!F$8)</f>
        <v>627.74071632197365</v>
      </c>
      <c r="M1869" s="799" t="e">
        <f t="shared" si="317"/>
        <v>#DIV/0!</v>
      </c>
      <c r="N1869" s="895"/>
      <c r="P1869" s="734"/>
    </row>
    <row r="1870" spans="1:16" s="457" customFormat="1" x14ac:dyDescent="0.25">
      <c r="A1870" s="396"/>
      <c r="B1870" s="1056"/>
      <c r="C1870" s="1056"/>
      <c r="D1870" s="1056" t="s">
        <v>11778</v>
      </c>
      <c r="E1870" s="854">
        <v>333909300000000</v>
      </c>
      <c r="F1870" s="855" t="s">
        <v>11773</v>
      </c>
      <c r="G1870" s="468">
        <v>20</v>
      </c>
      <c r="H1870" s="468">
        <v>0</v>
      </c>
      <c r="I1870" s="751"/>
      <c r="J1870" s="878" t="s">
        <v>7926</v>
      </c>
      <c r="K1870" s="789">
        <f>'Parâmetros financeiros Despesa'!E873</f>
        <v>0</v>
      </c>
      <c r="L1870" s="789">
        <f>('Parâmetros financeiros Despesa'!F873)*(1+'Parâmetros financeiros Despesa'!F$4)*(1+'Parâmetros financeiros Despesa'!F$7)</f>
        <v>109.03315000000001</v>
      </c>
      <c r="M1870" s="799" t="e">
        <f t="shared" si="317"/>
        <v>#DIV/0!</v>
      </c>
      <c r="N1870" s="895"/>
      <c r="P1870" s="734"/>
    </row>
    <row r="1871" spans="1:16" s="457" customFormat="1" x14ac:dyDescent="0.25">
      <c r="A1871" s="396"/>
      <c r="B1871" s="1056"/>
      <c r="C1871" s="1056"/>
      <c r="D1871" s="1056" t="s">
        <v>11777</v>
      </c>
      <c r="E1871" s="854">
        <v>344905200000000</v>
      </c>
      <c r="F1871" s="855" t="s">
        <v>11774</v>
      </c>
      <c r="G1871" s="468">
        <v>20</v>
      </c>
      <c r="H1871" s="468">
        <v>0</v>
      </c>
      <c r="I1871" s="751"/>
      <c r="J1871" s="878" t="s">
        <v>7926</v>
      </c>
      <c r="K1871" s="789">
        <f>'Parâmetros financeiros Despesa'!E874</f>
        <v>0</v>
      </c>
      <c r="L1871" s="789">
        <f>('Parâmetros financeiros Despesa'!F874)*(1+'Parâmetros financeiros Despesa'!F$4)*(1+'Parâmetros financeiros Despesa'!F$7)</f>
        <v>5451.6575000000003</v>
      </c>
      <c r="M1871" s="799" t="e">
        <f t="shared" si="317"/>
        <v>#DIV/0!</v>
      </c>
      <c r="N1871" s="895"/>
      <c r="P1871" s="734"/>
    </row>
    <row r="1872" spans="1:16" s="1057" customFormat="1" ht="15" customHeight="1" x14ac:dyDescent="0.25">
      <c r="A1872" s="396"/>
      <c r="B1872" s="1386" t="s">
        <v>7916</v>
      </c>
      <c r="C1872" s="1386"/>
      <c r="D1872" s="1386"/>
      <c r="E1872" s="1386"/>
      <c r="F1872" s="1386"/>
      <c r="G1872" s="403"/>
      <c r="H1872" s="403"/>
      <c r="I1872" s="427"/>
      <c r="J1872" s="412"/>
      <c r="K1872" s="404">
        <f t="shared" ref="K1872:L1873" si="318">K1873</f>
        <v>0</v>
      </c>
      <c r="L1872" s="404">
        <f t="shared" si="318"/>
        <v>2289.7061500000004</v>
      </c>
      <c r="M1872" s="452">
        <f>L1872/L$1924</f>
        <v>1.85656519190065E-3</v>
      </c>
      <c r="N1872" s="796"/>
      <c r="P1872" s="399"/>
    </row>
    <row r="1873" spans="1:16" s="742" customFormat="1" x14ac:dyDescent="0.25">
      <c r="A1873" s="396"/>
      <c r="B1873" s="1382" t="s">
        <v>7914</v>
      </c>
      <c r="C1873" s="1382"/>
      <c r="D1873" s="1382"/>
      <c r="E1873" s="1382"/>
      <c r="F1873" s="1382"/>
      <c r="G1873" s="405"/>
      <c r="H1873" s="405"/>
      <c r="I1873" s="428"/>
      <c r="J1873" s="413"/>
      <c r="K1873" s="406">
        <f t="shared" si="318"/>
        <v>0</v>
      </c>
      <c r="L1873" s="406">
        <f t="shared" si="318"/>
        <v>2289.7061500000004</v>
      </c>
      <c r="M1873" s="453">
        <f>L1873/L$1924</f>
        <v>1.85656519190065E-3</v>
      </c>
      <c r="N1873" s="796"/>
      <c r="P1873" s="399"/>
    </row>
    <row r="1874" spans="1:16" s="742" customFormat="1" x14ac:dyDescent="0.25">
      <c r="A1874" s="396"/>
      <c r="B1874" s="1383" t="s">
        <v>7959</v>
      </c>
      <c r="C1874" s="1383"/>
      <c r="D1874" s="1383"/>
      <c r="E1874" s="1383"/>
      <c r="F1874" s="1383"/>
      <c r="G1874" s="407"/>
      <c r="H1874" s="407"/>
      <c r="I1874" s="429"/>
      <c r="J1874" s="414"/>
      <c r="K1874" s="408">
        <f>K1875+K1876+K1877+K1878+K1879</f>
        <v>0</v>
      </c>
      <c r="L1874" s="408">
        <f>L1875+L1876+L1877+L1878+L1879+0.01</f>
        <v>2289.7061500000004</v>
      </c>
      <c r="M1874" s="454">
        <f>L1874/L$1924</f>
        <v>1.85656519190065E-3</v>
      </c>
      <c r="N1874" s="796"/>
      <c r="P1874" s="399"/>
    </row>
    <row r="1875" spans="1:16" s="115" customFormat="1" ht="21" customHeight="1" x14ac:dyDescent="0.25">
      <c r="A1875" s="396"/>
      <c r="B1875" s="1396">
        <v>307050</v>
      </c>
      <c r="C1875" s="1396"/>
      <c r="D1875" s="1396"/>
      <c r="E1875" s="854">
        <v>333904700000000</v>
      </c>
      <c r="F1875" s="600" t="s">
        <v>11606</v>
      </c>
      <c r="G1875" s="468">
        <v>20</v>
      </c>
      <c r="H1875" s="468">
        <v>0</v>
      </c>
      <c r="I1875" s="751"/>
      <c r="J1875" s="878" t="s">
        <v>7926</v>
      </c>
      <c r="K1875" s="789">
        <f>(('Parâmetros financeiros Despesa'!E877))</f>
        <v>0</v>
      </c>
      <c r="L1875" s="789">
        <f>(('Parâmetros financeiros Despesa'!F877)*(1+'Parâmetros financeiros Despesa'!F$4)*(1+'Parâmetros financeiros Despesa'!F$7))*('Parâmetros financeiros Despesa'!F$83)</f>
        <v>109.03315000000001</v>
      </c>
      <c r="M1875" s="799">
        <f t="shared" ref="M1875:M1879" si="319">L1875/L$1924</f>
        <v>8.8407480170886704E-5</v>
      </c>
      <c r="N1875" s="894"/>
      <c r="P1875" s="733"/>
    </row>
    <row r="1876" spans="1:16" s="115" customFormat="1" x14ac:dyDescent="0.25">
      <c r="A1876" s="396"/>
      <c r="B1876" s="1396">
        <v>307100</v>
      </c>
      <c r="C1876" s="1396"/>
      <c r="D1876" s="1396"/>
      <c r="E1876" s="854">
        <v>344903000000000</v>
      </c>
      <c r="F1876" s="855" t="s">
        <v>7963</v>
      </c>
      <c r="G1876" s="468">
        <v>20</v>
      </c>
      <c r="H1876" s="468">
        <v>0</v>
      </c>
      <c r="I1876" s="751"/>
      <c r="J1876" s="878" t="s">
        <v>7926</v>
      </c>
      <c r="K1876" s="789">
        <f>('Parâmetros financeiros Despesa'!E876)</f>
        <v>0</v>
      </c>
      <c r="L1876" s="789">
        <f>('Parâmetros financeiros Despesa'!F876)*(1+'Parâmetros financeiros Despesa'!F$4)*(1+'Parâmetros financeiros Despesa'!F$7)</f>
        <v>545.16575</v>
      </c>
      <c r="M1876" s="799">
        <f t="shared" si="319"/>
        <v>4.4203740085443346E-4</v>
      </c>
      <c r="N1876" s="894"/>
      <c r="P1876" s="733"/>
    </row>
    <row r="1877" spans="1:16" s="457" customFormat="1" x14ac:dyDescent="0.25">
      <c r="A1877" s="396"/>
      <c r="B1877" s="1398" t="s">
        <v>7960</v>
      </c>
      <c r="C1877" s="1398"/>
      <c r="D1877" s="1398"/>
      <c r="E1877" s="854">
        <v>344903600000000</v>
      </c>
      <c r="F1877" s="855" t="s">
        <v>11607</v>
      </c>
      <c r="G1877" s="468">
        <v>20</v>
      </c>
      <c r="H1877" s="468">
        <v>0</v>
      </c>
      <c r="I1877" s="751"/>
      <c r="J1877" s="878" t="s">
        <v>7926</v>
      </c>
      <c r="K1877" s="789">
        <f>('Parâmetros financeiros Despesa'!E877)</f>
        <v>0</v>
      </c>
      <c r="L1877" s="789">
        <f>('Parâmetros financeiros Despesa'!F877)*(1+'Parâmetros financeiros Despesa'!F$4)*(1+'Parâmetros financeiros Despesa'!F$7)</f>
        <v>545.16575</v>
      </c>
      <c r="M1877" s="799">
        <f t="shared" si="319"/>
        <v>4.4203740085443346E-4</v>
      </c>
      <c r="N1877" s="895"/>
      <c r="P1877" s="734"/>
    </row>
    <row r="1878" spans="1:16" s="457" customFormat="1" x14ac:dyDescent="0.25">
      <c r="A1878" s="396"/>
      <c r="B1878" s="1398" t="s">
        <v>7961</v>
      </c>
      <c r="C1878" s="1398"/>
      <c r="D1878" s="1398"/>
      <c r="E1878" s="854">
        <v>344903900000000</v>
      </c>
      <c r="F1878" s="855" t="s">
        <v>11608</v>
      </c>
      <c r="G1878" s="468">
        <v>20</v>
      </c>
      <c r="H1878" s="468">
        <v>0</v>
      </c>
      <c r="I1878" s="751"/>
      <c r="J1878" s="878" t="s">
        <v>7926</v>
      </c>
      <c r="K1878" s="789">
        <f>('Parâmetros financeiros Despesa'!E878)</f>
        <v>0</v>
      </c>
      <c r="L1878" s="789">
        <f>('Parâmetros financeiros Despesa'!F878)*(1+'Parâmetros financeiros Despesa'!F$4)*(1+'Parâmetros financeiros Despesa'!F$7)</f>
        <v>545.16575</v>
      </c>
      <c r="M1878" s="799">
        <f t="shared" si="319"/>
        <v>4.4203740085443346E-4</v>
      </c>
      <c r="N1878" s="895"/>
      <c r="P1878" s="734"/>
    </row>
    <row r="1879" spans="1:16" s="457" customFormat="1" x14ac:dyDescent="0.25">
      <c r="A1879" s="396"/>
      <c r="B1879" s="1398" t="s">
        <v>7962</v>
      </c>
      <c r="C1879" s="1398"/>
      <c r="D1879" s="1398"/>
      <c r="E1879" s="854">
        <v>344905200000000</v>
      </c>
      <c r="F1879" s="855" t="s">
        <v>7964</v>
      </c>
      <c r="G1879" s="468">
        <v>20</v>
      </c>
      <c r="H1879" s="468">
        <v>0</v>
      </c>
      <c r="I1879" s="751"/>
      <c r="J1879" s="878" t="s">
        <v>7926</v>
      </c>
      <c r="K1879" s="789">
        <f>('Parâmetros financeiros Despesa'!E879)</f>
        <v>0</v>
      </c>
      <c r="L1879" s="789">
        <f>('Parâmetros financeiros Despesa'!F879)*(1+'Parâmetros financeiros Despesa'!F$4)*(1+'Parâmetros financeiros Despesa'!F$7)</f>
        <v>545.16575</v>
      </c>
      <c r="M1879" s="799">
        <f t="shared" si="319"/>
        <v>4.4203740085443346E-4</v>
      </c>
      <c r="N1879" s="895"/>
      <c r="P1879" s="734"/>
    </row>
    <row r="1880" spans="1:16" s="742" customFormat="1" x14ac:dyDescent="0.25">
      <c r="A1880" s="396"/>
      <c r="B1880" s="1386" t="s">
        <v>7981</v>
      </c>
      <c r="C1880" s="1386"/>
      <c r="D1880" s="1386"/>
      <c r="E1880" s="1386"/>
      <c r="F1880" s="1386"/>
      <c r="G1880" s="403"/>
      <c r="H1880" s="403"/>
      <c r="I1880" s="427"/>
      <c r="J1880" s="412"/>
      <c r="K1880" s="404">
        <f t="shared" ref="K1880:L1881" si="320">K1881</f>
        <v>233779.77750000003</v>
      </c>
      <c r="L1880" s="404">
        <f t="shared" si="320"/>
        <v>272440.35769455327</v>
      </c>
      <c r="M1880" s="452">
        <f>L1880/L$1924</f>
        <v>0.22090314294900676</v>
      </c>
      <c r="N1880" s="796"/>
      <c r="P1880" s="399"/>
    </row>
    <row r="1881" spans="1:16" s="742" customFormat="1" x14ac:dyDescent="0.25">
      <c r="A1881" s="396"/>
      <c r="B1881" s="1382" t="s">
        <v>7914</v>
      </c>
      <c r="C1881" s="1382"/>
      <c r="D1881" s="1382"/>
      <c r="E1881" s="1382"/>
      <c r="F1881" s="1382"/>
      <c r="G1881" s="405"/>
      <c r="H1881" s="405"/>
      <c r="I1881" s="428"/>
      <c r="J1881" s="413"/>
      <c r="K1881" s="406">
        <f t="shared" si="320"/>
        <v>233779.77750000003</v>
      </c>
      <c r="L1881" s="406">
        <f t="shared" si="320"/>
        <v>272440.35769455327</v>
      </c>
      <c r="M1881" s="453">
        <f>L1881/L$1924</f>
        <v>0.22090314294900676</v>
      </c>
      <c r="N1881" s="796"/>
      <c r="P1881" s="399"/>
    </row>
    <row r="1882" spans="1:16" s="742" customFormat="1" x14ac:dyDescent="0.25">
      <c r="A1882" s="396"/>
      <c r="B1882" s="1383" t="s">
        <v>7959</v>
      </c>
      <c r="C1882" s="1383"/>
      <c r="D1882" s="1383"/>
      <c r="E1882" s="1383"/>
      <c r="F1882" s="1383"/>
      <c r="G1882" s="407"/>
      <c r="H1882" s="407"/>
      <c r="I1882" s="429"/>
      <c r="J1882" s="414"/>
      <c r="K1882" s="408">
        <f>SUM(K1883:K1899)+0.01</f>
        <v>233779.77750000003</v>
      </c>
      <c r="L1882" s="408">
        <f>SUM(L1883:L1899)-0.01</f>
        <v>272440.35769455327</v>
      </c>
      <c r="M1882" s="454">
        <f>L1882/L$1924</f>
        <v>0.22090314294900676</v>
      </c>
      <c r="N1882" s="796"/>
      <c r="P1882" s="399"/>
    </row>
    <row r="1883" spans="1:16" s="115" customFormat="1" x14ac:dyDescent="0.25">
      <c r="A1883" s="396"/>
      <c r="B1883" s="1398" t="s">
        <v>7965</v>
      </c>
      <c r="C1883" s="1398"/>
      <c r="D1883" s="1398"/>
      <c r="E1883" s="854">
        <v>331900400000000</v>
      </c>
      <c r="F1883" s="855" t="s">
        <v>5851</v>
      </c>
      <c r="G1883" s="468">
        <v>20</v>
      </c>
      <c r="H1883" s="468">
        <v>0</v>
      </c>
      <c r="I1883" s="751"/>
      <c r="J1883" s="878" t="s">
        <v>7926</v>
      </c>
      <c r="K1883" s="789">
        <f>(('Parâmetros financeiros Despesa'!E881))</f>
        <v>16394.433700000001</v>
      </c>
      <c r="L1883" s="789">
        <f>(('Parâmetros financeiros Despesa'!F881)*2.05+(('Parâmetros financeiros Despesa'!F881)*11.28)*(1+'Parâmetros financeiros Despesa'!F$4)*(1+'Parâmetros financeiros Despesa'!F$8))*(1+'Parâmetros financeiros Despesa'!F$80)</f>
        <v>21250.814351095476</v>
      </c>
      <c r="M1883" s="799">
        <f>L1883/L$1924</f>
        <v>1.7230823362983348E-2</v>
      </c>
      <c r="N1883" s="894"/>
      <c r="P1883" s="733"/>
    </row>
    <row r="1884" spans="1:16" s="1018" customFormat="1" ht="15" customHeight="1" x14ac:dyDescent="0.25">
      <c r="A1884" s="859"/>
      <c r="B1884" s="994"/>
      <c r="C1884" s="994"/>
      <c r="D1884" s="994" t="s">
        <v>11574</v>
      </c>
      <c r="E1884" s="854">
        <v>331900800000000</v>
      </c>
      <c r="F1884" s="855" t="s">
        <v>11575</v>
      </c>
      <c r="G1884" s="468">
        <v>1</v>
      </c>
      <c r="H1884" s="468">
        <v>0</v>
      </c>
      <c r="I1884" s="751"/>
      <c r="J1884" s="878" t="s">
        <v>5966</v>
      </c>
      <c r="K1884" s="789">
        <f>(('Parâmetros financeiros Despesa'!E882))</f>
        <v>4164.2919999999995</v>
      </c>
      <c r="L1884" s="789">
        <f>(('Parâmetros financeiros Despesa'!F882)*2.05+(('Parâmetros financeiros Despesa'!F882)*11.28)*(1+'Parâmetros financeiros Despesa'!F$4)*(1+'Parâmetros financeiros Despesa'!F$8))</f>
        <v>4359.8014670138919</v>
      </c>
      <c r="M1884" s="799">
        <f t="shared" ref="M1884:M1899" si="321">L1884/L$1924</f>
        <v>3.5350630679204754E-3</v>
      </c>
      <c r="N1884" s="883"/>
      <c r="P1884" s="1019"/>
    </row>
    <row r="1885" spans="1:16" s="115" customFormat="1" x14ac:dyDescent="0.25">
      <c r="A1885" s="396"/>
      <c r="B1885" s="1398" t="s">
        <v>7966</v>
      </c>
      <c r="C1885" s="1398"/>
      <c r="D1885" s="1398"/>
      <c r="E1885" s="854">
        <v>331901100000000</v>
      </c>
      <c r="F1885" s="855" t="s">
        <v>7941</v>
      </c>
      <c r="G1885" s="468">
        <v>20</v>
      </c>
      <c r="H1885" s="468">
        <v>0</v>
      </c>
      <c r="I1885" s="751"/>
      <c r="J1885" s="878" t="s">
        <v>7926</v>
      </c>
      <c r="K1885" s="789">
        <f>('Parâmetros financeiros Despesa'!E883)</f>
        <v>111798.17679999999</v>
      </c>
      <c r="L1885" s="789">
        <f>('Parâmetros financeiros Despesa'!F883)*2.05+(('Parâmetros financeiros Despesa'!F883)*11.28)*(1+'Parâmetros financeiros Despesa'!F$4)*(1+'Parâmetros financeiros Despesa'!F$8)</f>
        <v>117655.88556271656</v>
      </c>
      <c r="M1885" s="799">
        <f t="shared" si="321"/>
        <v>9.5399063219525237E-2</v>
      </c>
      <c r="N1885" s="894"/>
      <c r="P1885" s="733"/>
    </row>
    <row r="1886" spans="1:16" s="115" customFormat="1" x14ac:dyDescent="0.25">
      <c r="A1886" s="396"/>
      <c r="B1886" s="1398" t="s">
        <v>7967</v>
      </c>
      <c r="C1886" s="1398"/>
      <c r="D1886" s="1398"/>
      <c r="E1886" s="854">
        <v>331901300000000</v>
      </c>
      <c r="F1886" s="855" t="s">
        <v>5735</v>
      </c>
      <c r="G1886" s="468">
        <v>20</v>
      </c>
      <c r="H1886" s="468">
        <v>0</v>
      </c>
      <c r="I1886" s="751"/>
      <c r="J1886" s="878" t="s">
        <v>7926</v>
      </c>
      <c r="K1886" s="789">
        <f>'Parâmetros financeiros Despesa'!E884</f>
        <v>0</v>
      </c>
      <c r="L1886" s="789">
        <f>(L1887+L1885)*'Parâmetros financeiros Despesa'!F80</f>
        <v>28863.572463591212</v>
      </c>
      <c r="M1886" s="799">
        <f t="shared" si="321"/>
        <v>2.3403485180753664E-2</v>
      </c>
      <c r="N1886" s="894"/>
      <c r="P1886" s="733"/>
    </row>
    <row r="1887" spans="1:16" s="115" customFormat="1" x14ac:dyDescent="0.25">
      <c r="A1887" s="396"/>
      <c r="B1887" s="1398" t="s">
        <v>7968</v>
      </c>
      <c r="C1887" s="1398"/>
      <c r="D1887" s="1398"/>
      <c r="E1887" s="854">
        <v>331901600000000</v>
      </c>
      <c r="F1887" s="855" t="s">
        <v>5736</v>
      </c>
      <c r="G1887" s="468">
        <v>20</v>
      </c>
      <c r="H1887" s="468">
        <v>0</v>
      </c>
      <c r="I1887" s="751"/>
      <c r="J1887" s="878" t="s">
        <v>7926</v>
      </c>
      <c r="K1887" s="789">
        <f>('Parâmetros financeiros Despesa'!E3176)</f>
        <v>0</v>
      </c>
      <c r="L1887" s="789">
        <f>('Parâmetros financeiros Despesa'!F3176)*2.05+(('Parâmetros financeiros Despesa'!F885)*11.28)*(1+'Parâmetros financeiros Despesa'!F$4)*(1+'Parâmetros financeiros Despesa'!F$8)</f>
        <v>3571.7491680671183</v>
      </c>
      <c r="M1887" s="799">
        <f t="shared" si="321"/>
        <v>2.8960856744143851E-3</v>
      </c>
      <c r="N1887" s="894"/>
      <c r="P1887" s="733"/>
    </row>
    <row r="1888" spans="1:16" s="115" customFormat="1" x14ac:dyDescent="0.25">
      <c r="A1888" s="396"/>
      <c r="B1888" s="1398" t="s">
        <v>7969</v>
      </c>
      <c r="C1888" s="1398"/>
      <c r="D1888" s="1398"/>
      <c r="E1888" s="854">
        <v>333901400000000</v>
      </c>
      <c r="F1888" s="855" t="s">
        <v>7947</v>
      </c>
      <c r="G1888" s="468">
        <v>20</v>
      </c>
      <c r="H1888" s="468">
        <v>0</v>
      </c>
      <c r="I1888" s="751"/>
      <c r="J1888" s="878" t="s">
        <v>7926</v>
      </c>
      <c r="K1888" s="789">
        <f>('Parâmetros financeiros Despesa'!E886)</f>
        <v>0</v>
      </c>
      <c r="L1888" s="789">
        <f>('Parâmetros financeiros Despesa'!F886)*2+(('Parâmetros financeiros Despesa'!F886)*10)*(1+'Parâmetros financeiros Despesa'!F$4)*(1+'Parâmetros financeiros Despesa'!F$8)</f>
        <v>3766.4442979318428</v>
      </c>
      <c r="M1888" s="799">
        <f t="shared" si="321"/>
        <v>3.0539505607621044E-3</v>
      </c>
      <c r="N1888" s="894"/>
      <c r="P1888" s="733"/>
    </row>
    <row r="1889" spans="1:16" s="115" customFormat="1" x14ac:dyDescent="0.25">
      <c r="A1889" s="396"/>
      <c r="B1889" s="1396">
        <v>308500</v>
      </c>
      <c r="C1889" s="1396"/>
      <c r="D1889" s="1396"/>
      <c r="E1889" s="854">
        <v>333903000000000</v>
      </c>
      <c r="F1889" s="855" t="s">
        <v>7940</v>
      </c>
      <c r="G1889" s="468">
        <v>20</v>
      </c>
      <c r="H1889" s="468">
        <v>0</v>
      </c>
      <c r="I1889" s="751"/>
      <c r="J1889" s="878" t="s">
        <v>7926</v>
      </c>
      <c r="K1889" s="789">
        <f>('Parâmetros financeiros Despesa'!E887)</f>
        <v>15768.44</v>
      </c>
      <c r="L1889" s="789">
        <f>('Parâmetros financeiros Despesa'!F887)*(1+'Parâmetros financeiros Despesa'!F$4)*(1+'Parâmetros financeiros Despesa'!F$7)</f>
        <v>16354.9725</v>
      </c>
      <c r="M1889" s="799">
        <f t="shared" si="321"/>
        <v>1.3261122025633005E-2</v>
      </c>
      <c r="N1889" s="894"/>
      <c r="P1889" s="733"/>
    </row>
    <row r="1890" spans="1:16" s="115" customFormat="1" x14ac:dyDescent="0.25">
      <c r="A1890" s="396"/>
      <c r="B1890" s="1396">
        <v>308600</v>
      </c>
      <c r="C1890" s="1396"/>
      <c r="D1890" s="1396"/>
      <c r="E1890" s="854">
        <v>333903200000000</v>
      </c>
      <c r="F1890" s="855" t="s">
        <v>1021</v>
      </c>
      <c r="G1890" s="468">
        <v>20</v>
      </c>
      <c r="H1890" s="468">
        <v>0</v>
      </c>
      <c r="I1890" s="751"/>
      <c r="J1890" s="878" t="s">
        <v>7926</v>
      </c>
      <c r="K1890" s="789">
        <f>('Parâmetros financeiros Despesa'!E888)</f>
        <v>0</v>
      </c>
      <c r="L1890" s="789">
        <f>('Parâmetros financeiros Despesa'!F888)*(1+'Parâmetros financeiros Despesa'!F$4)*(1+'Parâmetros financeiros Despesa'!F$7)</f>
        <v>5451.6575000000003</v>
      </c>
      <c r="M1890" s="799">
        <f t="shared" si="321"/>
        <v>4.4203740085443349E-3</v>
      </c>
      <c r="N1890" s="894"/>
      <c r="P1890" s="733"/>
    </row>
    <row r="1891" spans="1:16" s="115" customFormat="1" x14ac:dyDescent="0.25">
      <c r="A1891" s="396"/>
      <c r="B1891" s="1396">
        <v>308700</v>
      </c>
      <c r="C1891" s="1396"/>
      <c r="D1891" s="1396"/>
      <c r="E1891" s="854">
        <v>333903300000000</v>
      </c>
      <c r="F1891" s="855" t="s">
        <v>7957</v>
      </c>
      <c r="G1891" s="468">
        <v>20</v>
      </c>
      <c r="H1891" s="468">
        <v>0</v>
      </c>
      <c r="I1891" s="751"/>
      <c r="J1891" s="878" t="s">
        <v>7926</v>
      </c>
      <c r="K1891" s="789">
        <f>('Parâmetros financeiros Despesa'!E889)</f>
        <v>0</v>
      </c>
      <c r="L1891" s="789">
        <f>('Parâmetros financeiros Despesa'!F889)*(1+'Parâmetros financeiros Despesa'!F$4)*(1+'Parâmetros financeiros Despesa'!F$7)</f>
        <v>1090.3315</v>
      </c>
      <c r="M1891" s="799">
        <f t="shared" si="321"/>
        <v>8.8407480170886693E-4</v>
      </c>
      <c r="N1891" s="894"/>
      <c r="P1891" s="733"/>
    </row>
    <row r="1892" spans="1:16" s="115" customFormat="1" x14ac:dyDescent="0.25">
      <c r="A1892" s="396"/>
      <c r="B1892" s="1398" t="s">
        <v>7970</v>
      </c>
      <c r="C1892" s="1398"/>
      <c r="D1892" s="1398"/>
      <c r="E1892" s="854">
        <v>333903500000000</v>
      </c>
      <c r="F1892" s="855" t="s">
        <v>2190</v>
      </c>
      <c r="G1892" s="468">
        <v>20</v>
      </c>
      <c r="H1892" s="468">
        <v>0</v>
      </c>
      <c r="I1892" s="751"/>
      <c r="J1892" s="878" t="s">
        <v>7926</v>
      </c>
      <c r="K1892" s="789">
        <f>('Parâmetros financeiros Despesa'!E890)</f>
        <v>0</v>
      </c>
      <c r="L1892" s="789">
        <f>('Parâmetros financeiros Despesa'!F890)*(1+'Parâmetros financeiros Despesa'!F$4)*(1+'Parâmetros financeiros Despesa'!F$7)</f>
        <v>1090.3315</v>
      </c>
      <c r="M1892" s="799">
        <f t="shared" si="321"/>
        <v>8.8407480170886693E-4</v>
      </c>
      <c r="N1892" s="894"/>
      <c r="P1892" s="733"/>
    </row>
    <row r="1893" spans="1:16" s="115" customFormat="1" x14ac:dyDescent="0.25">
      <c r="A1893" s="396"/>
      <c r="B1893" s="1398" t="s">
        <v>7971</v>
      </c>
      <c r="C1893" s="1398"/>
      <c r="D1893" s="1398"/>
      <c r="E1893" s="854">
        <v>333903600000000</v>
      </c>
      <c r="F1893" s="855" t="s">
        <v>7958</v>
      </c>
      <c r="G1893" s="468">
        <v>20</v>
      </c>
      <c r="H1893" s="468">
        <v>0</v>
      </c>
      <c r="I1893" s="751"/>
      <c r="J1893" s="878" t="s">
        <v>7926</v>
      </c>
      <c r="K1893" s="789">
        <f>('Parâmetros financeiros Despesa'!E891+'Parâmetros financeiros Despesa'!E892)</f>
        <v>19416</v>
      </c>
      <c r="L1893" s="789">
        <f>('Parâmetros financeiros Despesa'!F891+'Parâmetros financeiros Despesa'!F892)*(1+'Parâmetros financeiros Despesa'!F$4)*(1+'Parâmetros financeiros Despesa'!F$7)</f>
        <v>35614.588116000006</v>
      </c>
      <c r="M1893" s="799">
        <f t="shared" si="321"/>
        <v>2.8877419323018436E-2</v>
      </c>
      <c r="N1893" s="894"/>
      <c r="P1893" s="733"/>
    </row>
    <row r="1894" spans="1:16" s="115" customFormat="1" x14ac:dyDescent="0.25">
      <c r="A1894" s="396"/>
      <c r="B1894" s="1398" t="s">
        <v>7972</v>
      </c>
      <c r="C1894" s="1398"/>
      <c r="D1894" s="1398"/>
      <c r="E1894" s="854">
        <v>333903900000000</v>
      </c>
      <c r="F1894" s="855" t="s">
        <v>7836</v>
      </c>
      <c r="G1894" s="468">
        <v>20</v>
      </c>
      <c r="H1894" s="468">
        <v>0</v>
      </c>
      <c r="I1894" s="751"/>
      <c r="J1894" s="878" t="s">
        <v>7926</v>
      </c>
      <c r="K1894" s="789">
        <f>('Parâmetros financeiros Despesa'!E893)</f>
        <v>13336.380000000001</v>
      </c>
      <c r="L1894" s="789">
        <f>('Parâmetros financeiros Despesa'!F893)*(1+'Parâmetros financeiros Despesa'!F$4)*(1+'Parâmetros financeiros Despesa'!F$7)</f>
        <v>14541.07520997</v>
      </c>
      <c r="M1894" s="799">
        <f t="shared" si="321"/>
        <v>1.1790357504014099E-2</v>
      </c>
      <c r="N1894" s="894"/>
      <c r="P1894" s="733"/>
    </row>
    <row r="1895" spans="1:16" s="115" customFormat="1" x14ac:dyDescent="0.25">
      <c r="A1895" s="396"/>
      <c r="B1895" s="1398" t="s">
        <v>7973</v>
      </c>
      <c r="C1895" s="1398"/>
      <c r="D1895" s="1398"/>
      <c r="E1895" s="854">
        <v>333904700000000</v>
      </c>
      <c r="F1895" s="855" t="s">
        <v>990</v>
      </c>
      <c r="G1895" s="468">
        <v>20</v>
      </c>
      <c r="H1895" s="468">
        <v>0</v>
      </c>
      <c r="I1895" s="751"/>
      <c r="J1895" s="878" t="s">
        <v>7926</v>
      </c>
      <c r="K1895" s="789">
        <f>(('Parâmetros financeiros Despesa'!E891))</f>
        <v>15000</v>
      </c>
      <c r="L1895" s="789">
        <f>(('Parâmetros financeiros Despesa'!F891)*(1+'Parâmetros financeiros Despesa'!F$4)*(1+'Parâmetros financeiros Despesa'!F$7))*('Parâmetros financeiros Despesa'!F$83)</f>
        <v>3270.9945000000002</v>
      </c>
      <c r="M1895" s="799">
        <f t="shared" si="321"/>
        <v>2.652224405126601E-3</v>
      </c>
      <c r="N1895" s="894"/>
      <c r="P1895" s="733"/>
    </row>
    <row r="1896" spans="1:16" s="115" customFormat="1" x14ac:dyDescent="0.25">
      <c r="A1896" s="396"/>
      <c r="B1896" s="1398" t="s">
        <v>7974</v>
      </c>
      <c r="C1896" s="1398"/>
      <c r="D1896" s="1398"/>
      <c r="E1896" s="854">
        <v>333904900000000</v>
      </c>
      <c r="F1896" s="855" t="s">
        <v>7167</v>
      </c>
      <c r="G1896" s="468">
        <v>20</v>
      </c>
      <c r="H1896" s="468">
        <v>0</v>
      </c>
      <c r="I1896" s="751"/>
      <c r="J1896" s="878" t="s">
        <v>7926</v>
      </c>
      <c r="K1896" s="789">
        <f>('Parâmetros financeiros Despesa'!E894+'Parâmetros financeiros Despesa'!E895)</f>
        <v>1552.59</v>
      </c>
      <c r="L1896" s="789">
        <f>('Parâmetros financeiros Despesa'!F894+'Parâmetros financeiros Despesa'!F895)*2+(('Parâmetros financeiros Despesa'!F894)*10)*(1+'Parâmetros financeiros Despesa'!F$4)*(1+'Parâmetros financeiros Despesa'!F$8)</f>
        <v>6861.1530583622207</v>
      </c>
      <c r="M1896" s="799">
        <f t="shared" si="321"/>
        <v>5.5632369876186891E-3</v>
      </c>
      <c r="N1896" s="894"/>
      <c r="P1896" s="733"/>
    </row>
    <row r="1897" spans="1:16" s="115" customFormat="1" x14ac:dyDescent="0.25">
      <c r="A1897" s="396"/>
      <c r="B1897" s="1398" t="s">
        <v>7975</v>
      </c>
      <c r="C1897" s="1398"/>
      <c r="D1897" s="1398"/>
      <c r="E1897" s="854">
        <v>333909300000000</v>
      </c>
      <c r="F1897" s="855" t="s">
        <v>5818</v>
      </c>
      <c r="G1897" s="468">
        <v>20</v>
      </c>
      <c r="H1897" s="468">
        <v>0</v>
      </c>
      <c r="I1897" s="751"/>
      <c r="J1897" s="878" t="s">
        <v>7926</v>
      </c>
      <c r="K1897" s="789">
        <f>('Parâmetros financeiros Despesa'!E896)</f>
        <v>0</v>
      </c>
      <c r="L1897" s="789">
        <f>('Parâmetros financeiros Despesa'!F896)*(1+'Parâmetros financeiros Despesa'!F$4)*(1+'Parâmetros financeiros Despesa'!F$7)</f>
        <v>545.16575</v>
      </c>
      <c r="M1897" s="799">
        <f t="shared" si="321"/>
        <v>4.4203740085443346E-4</v>
      </c>
      <c r="N1897" s="894"/>
      <c r="P1897" s="733"/>
    </row>
    <row r="1898" spans="1:16" s="115" customFormat="1" x14ac:dyDescent="0.25">
      <c r="A1898" s="396"/>
      <c r="B1898" s="1398" t="s">
        <v>7976</v>
      </c>
      <c r="C1898" s="1398"/>
      <c r="D1898" s="1398"/>
      <c r="E1898" s="854">
        <v>333933000000000</v>
      </c>
      <c r="F1898" s="855" t="s">
        <v>7066</v>
      </c>
      <c r="G1898" s="468">
        <v>20</v>
      </c>
      <c r="H1898" s="468">
        <v>0</v>
      </c>
      <c r="I1898" s="751"/>
      <c r="J1898" s="878" t="s">
        <v>7926</v>
      </c>
      <c r="K1898" s="789">
        <f>('Parâmetros financeiros Despesa'!E897)</f>
        <v>2476.4700000000003</v>
      </c>
      <c r="L1898" s="789">
        <f>('Parâmetros financeiros Despesa'!F897)*(1+'Parâmetros financeiros Despesa'!F$4)*(1+'Parâmetros financeiros Despesa'!F$7)</f>
        <v>2700.1732498050001</v>
      </c>
      <c r="M1898" s="799">
        <f t="shared" si="321"/>
        <v>2.1893847241879578E-3</v>
      </c>
      <c r="N1898" s="894"/>
      <c r="P1898" s="733"/>
    </row>
    <row r="1899" spans="1:16" s="457" customFormat="1" x14ac:dyDescent="0.25">
      <c r="A1899" s="396"/>
      <c r="B1899" s="1398" t="s">
        <v>7982</v>
      </c>
      <c r="C1899" s="1398"/>
      <c r="D1899" s="1398"/>
      <c r="E1899" s="854">
        <v>344905200000000</v>
      </c>
      <c r="F1899" s="855" t="s">
        <v>7983</v>
      </c>
      <c r="G1899" s="468">
        <v>20</v>
      </c>
      <c r="H1899" s="468">
        <v>0</v>
      </c>
      <c r="I1899" s="751"/>
      <c r="J1899" s="878" t="s">
        <v>7926</v>
      </c>
      <c r="K1899" s="789">
        <f>('Parâmetros financeiros Despesa'!E898)</f>
        <v>33872.985000000001</v>
      </c>
      <c r="L1899" s="789">
        <f>('Parâmetros financeiros Despesa'!F898)*(1+'Parâmetros financeiros Despesa'!F$4)*(1+'Parâmetros financeiros Despesa'!F$7)</f>
        <v>5451.6575000000003</v>
      </c>
      <c r="M1899" s="799">
        <f t="shared" si="321"/>
        <v>4.4203740085443349E-3</v>
      </c>
      <c r="N1899" s="895"/>
      <c r="P1899" s="734"/>
    </row>
    <row r="1900" spans="1:16" s="742" customFormat="1" x14ac:dyDescent="0.25">
      <c r="A1900" s="397"/>
      <c r="B1900" s="1385" t="s">
        <v>7984</v>
      </c>
      <c r="C1900" s="1385"/>
      <c r="D1900" s="1385"/>
      <c r="E1900" s="1385"/>
      <c r="F1900" s="1385"/>
      <c r="G1900" s="401"/>
      <c r="H1900" s="401"/>
      <c r="I1900" s="426"/>
      <c r="J1900" s="411"/>
      <c r="K1900" s="402">
        <f t="shared" ref="K1900:L1902" si="322">K1901</f>
        <v>171640.67376250002</v>
      </c>
      <c r="L1900" s="402">
        <f t="shared" si="322"/>
        <v>228362.74659925071</v>
      </c>
      <c r="M1900" s="451">
        <f>L1900/L$1924</f>
        <v>0.18516364052347822</v>
      </c>
      <c r="N1900" s="796"/>
      <c r="P1900" s="399"/>
    </row>
    <row r="1901" spans="1:16" s="742" customFormat="1" x14ac:dyDescent="0.25">
      <c r="A1901" s="396"/>
      <c r="B1901" s="1386" t="s">
        <v>7996</v>
      </c>
      <c r="C1901" s="1386"/>
      <c r="D1901" s="1386"/>
      <c r="E1901" s="1386"/>
      <c r="F1901" s="1386"/>
      <c r="G1901" s="403"/>
      <c r="H1901" s="403"/>
      <c r="I1901" s="427"/>
      <c r="J1901" s="412"/>
      <c r="K1901" s="404">
        <f t="shared" si="322"/>
        <v>171640.67376250002</v>
      </c>
      <c r="L1901" s="404">
        <f t="shared" si="322"/>
        <v>228362.74659925071</v>
      </c>
      <c r="M1901" s="452">
        <f>L1901/L$1924</f>
        <v>0.18516364052347822</v>
      </c>
      <c r="N1901" s="796"/>
      <c r="P1901" s="399"/>
    </row>
    <row r="1902" spans="1:16" s="742" customFormat="1" x14ac:dyDescent="0.25">
      <c r="A1902" s="396"/>
      <c r="B1902" s="1382" t="s">
        <v>7914</v>
      </c>
      <c r="C1902" s="1382"/>
      <c r="D1902" s="1382"/>
      <c r="E1902" s="1382"/>
      <c r="F1902" s="1382"/>
      <c r="G1902" s="405"/>
      <c r="H1902" s="405"/>
      <c r="I1902" s="428"/>
      <c r="J1902" s="413"/>
      <c r="K1902" s="406">
        <f t="shared" si="322"/>
        <v>171640.67376250002</v>
      </c>
      <c r="L1902" s="406">
        <f t="shared" si="322"/>
        <v>228362.74659925071</v>
      </c>
      <c r="M1902" s="453">
        <f>L1902/L$1924</f>
        <v>0.18516364052347822</v>
      </c>
      <c r="N1902" s="796"/>
      <c r="P1902" s="399"/>
    </row>
    <row r="1903" spans="1:16" s="742" customFormat="1" x14ac:dyDescent="0.25">
      <c r="A1903" s="396"/>
      <c r="B1903" s="1383" t="s">
        <v>7298</v>
      </c>
      <c r="C1903" s="1383"/>
      <c r="D1903" s="1383"/>
      <c r="E1903" s="1383"/>
      <c r="F1903" s="1383"/>
      <c r="G1903" s="407"/>
      <c r="H1903" s="407"/>
      <c r="I1903" s="429"/>
      <c r="J1903" s="414"/>
      <c r="K1903" s="408">
        <f>SUM(K1904:K1919)-0.02</f>
        <v>171640.67376250002</v>
      </c>
      <c r="L1903" s="408">
        <f>SUM(L1904:L1919)+0.01</f>
        <v>228362.74659925071</v>
      </c>
      <c r="M1903" s="454">
        <f>L1903/L$1924</f>
        <v>0.18516364052347822</v>
      </c>
      <c r="N1903" s="796"/>
      <c r="P1903" s="399"/>
    </row>
    <row r="1904" spans="1:16" s="115" customFormat="1" x14ac:dyDescent="0.25">
      <c r="A1904" s="396"/>
      <c r="B1904" s="1398" t="s">
        <v>7998</v>
      </c>
      <c r="C1904" s="1398"/>
      <c r="D1904" s="1398"/>
      <c r="E1904" s="854">
        <v>331900400000000</v>
      </c>
      <c r="F1904" s="855" t="s">
        <v>5851</v>
      </c>
      <c r="G1904" s="468">
        <v>20</v>
      </c>
      <c r="H1904" s="468">
        <v>0</v>
      </c>
      <c r="I1904" s="751"/>
      <c r="J1904" s="878" t="s">
        <v>7926</v>
      </c>
      <c r="K1904" s="789">
        <f>(('Parâmetros financeiros Despesa'!E900))</f>
        <v>9212.5129625000009</v>
      </c>
      <c r="L1904" s="789">
        <f>(('Parâmetros financeiros Despesa'!F900)*2.05+(('Parâmetros financeiros Despesa'!F900)*11.28)*(1+'Parâmetros financeiros Despesa'!F$4)*(1+'Parâmetros financeiros Despesa'!F$8))*(1+'Parâmetros financeiros Despesa'!F$80)</f>
        <v>13264.96696677129</v>
      </c>
      <c r="M1904" s="799">
        <f>L1904/L$1924</f>
        <v>1.0755649122145878E-2</v>
      </c>
      <c r="N1904" s="894"/>
      <c r="P1904" s="733"/>
    </row>
    <row r="1905" spans="1:16" s="1018" customFormat="1" ht="15" customHeight="1" x14ac:dyDescent="0.25">
      <c r="A1905" s="859"/>
      <c r="B1905" s="994"/>
      <c r="C1905" s="994"/>
      <c r="D1905" s="994" t="s">
        <v>11576</v>
      </c>
      <c r="E1905" s="854">
        <v>331900800000000</v>
      </c>
      <c r="F1905" s="855" t="s">
        <v>11589</v>
      </c>
      <c r="G1905" s="468">
        <v>1</v>
      </c>
      <c r="H1905" s="468">
        <v>0</v>
      </c>
      <c r="I1905" s="751"/>
      <c r="J1905" s="878" t="s">
        <v>5966</v>
      </c>
      <c r="K1905" s="789">
        <f>(('Parâmetros financeiros Despesa'!E901))</f>
        <v>1654.7862</v>
      </c>
      <c r="L1905" s="789">
        <f>(('Parâmetros financeiros Despesa'!F901)*2.05+(('Parâmetros financeiros Despesa'!F901)*11.28)*(1+'Parâmetros financeiros Despesa'!F$4)*(1+'Parâmetros financeiros Despesa'!F$8))</f>
        <v>1732.4768057461733</v>
      </c>
      <c r="M1905" s="799">
        <f t="shared" ref="M1905:M1918" si="323">L1905/L$1924</f>
        <v>1.404746252406043E-3</v>
      </c>
      <c r="N1905" s="883"/>
      <c r="P1905" s="1019"/>
    </row>
    <row r="1906" spans="1:16" s="115" customFormat="1" x14ac:dyDescent="0.25">
      <c r="A1906" s="396"/>
      <c r="B1906" s="1398" t="s">
        <v>7999</v>
      </c>
      <c r="C1906" s="1398"/>
      <c r="D1906" s="1398"/>
      <c r="E1906" s="854">
        <v>331901100000000</v>
      </c>
      <c r="F1906" s="855" t="s">
        <v>7997</v>
      </c>
      <c r="G1906" s="468">
        <v>20</v>
      </c>
      <c r="H1906" s="468">
        <v>0</v>
      </c>
      <c r="I1906" s="751"/>
      <c r="J1906" s="878" t="s">
        <v>7926</v>
      </c>
      <c r="K1906" s="789">
        <f>('Parâmetros financeiros Despesa'!E902)</f>
        <v>63212.459600000002</v>
      </c>
      <c r="L1906" s="789">
        <f>('Parâmetros financeiros Despesa'!F902)*2.05+(('Parâmetros financeiros Despesa'!F902)*11.28)*(1+'Parâmetros financeiros Despesa'!F$4)*(1+'Parâmetros financeiros Despesa'!F$8)</f>
        <v>73515.197956048985</v>
      </c>
      <c r="M1906" s="799">
        <f t="shared" si="323"/>
        <v>5.9608416390411638E-2</v>
      </c>
      <c r="N1906" s="894"/>
      <c r="P1906" s="733"/>
    </row>
    <row r="1907" spans="1:16" s="115" customFormat="1" x14ac:dyDescent="0.25">
      <c r="A1907" s="396"/>
      <c r="B1907" s="1398" t="s">
        <v>8000</v>
      </c>
      <c r="C1907" s="1398"/>
      <c r="D1907" s="1398"/>
      <c r="E1907" s="854">
        <v>331901300000000</v>
      </c>
      <c r="F1907" s="855" t="s">
        <v>5735</v>
      </c>
      <c r="G1907" s="468">
        <v>20</v>
      </c>
      <c r="H1907" s="468">
        <v>0</v>
      </c>
      <c r="I1907" s="751"/>
      <c r="J1907" s="878" t="s">
        <v>7926</v>
      </c>
      <c r="K1907" s="789">
        <f>'Parâmetros financeiros Despesa'!E884</f>
        <v>0</v>
      </c>
      <c r="L1907" s="789">
        <f>(L1908+L1906)*'Parâmetros financeiros Despesa'!F80</f>
        <v>22786.097607281034</v>
      </c>
      <c r="M1907" s="799">
        <f t="shared" si="323"/>
        <v>1.8475678932394293E-2</v>
      </c>
      <c r="N1907" s="894"/>
      <c r="P1907" s="733"/>
    </row>
    <row r="1908" spans="1:16" s="115" customFormat="1" x14ac:dyDescent="0.25">
      <c r="A1908" s="396"/>
      <c r="B1908" s="1398" t="s">
        <v>8001</v>
      </c>
      <c r="C1908" s="1398"/>
      <c r="D1908" s="1398"/>
      <c r="E1908" s="854">
        <v>331901600000000</v>
      </c>
      <c r="F1908" s="855" t="s">
        <v>5736</v>
      </c>
      <c r="G1908" s="468">
        <v>20</v>
      </c>
      <c r="H1908" s="468">
        <v>0</v>
      </c>
      <c r="I1908" s="751"/>
      <c r="J1908" s="878" t="s">
        <v>7926</v>
      </c>
      <c r="K1908" s="789">
        <f>('Parâmetros financeiros Despesa'!E904)</f>
        <v>19077.54</v>
      </c>
      <c r="L1908" s="789">
        <f>('Parâmetros financeiros Despesa'!F904)*2.05+(('Parâmetros financeiros Despesa'!F904)*11.28)*(1+'Parâmetros financeiros Despesa'!F$4)*(1+'Parâmetros financeiros Despesa'!F$8)</f>
        <v>22186.909645490879</v>
      </c>
      <c r="M1908" s="799">
        <f t="shared" si="323"/>
        <v>1.7989838636570527E-2</v>
      </c>
      <c r="N1908" s="894"/>
      <c r="P1908" s="733"/>
    </row>
    <row r="1909" spans="1:16" s="115" customFormat="1" x14ac:dyDescent="0.25">
      <c r="A1909" s="396"/>
      <c r="B1909" s="1398" t="s">
        <v>8002</v>
      </c>
      <c r="C1909" s="1398"/>
      <c r="D1909" s="1398"/>
      <c r="E1909" s="854">
        <v>333901400000000</v>
      </c>
      <c r="F1909" s="855" t="s">
        <v>7947</v>
      </c>
      <c r="G1909" s="468">
        <v>20</v>
      </c>
      <c r="H1909" s="468">
        <v>0</v>
      </c>
      <c r="I1909" s="751"/>
      <c r="J1909" s="878" t="s">
        <v>7926</v>
      </c>
      <c r="K1909" s="789">
        <f>('Parâmetros financeiros Despesa'!E905)</f>
        <v>1375.35</v>
      </c>
      <c r="L1909" s="789">
        <f>('Parâmetros financeiros Despesa'!F905)*2+(('Parâmetros financeiros Despesa'!F905)*10)*(1+'Parâmetros financeiros Despesa'!F$4)*(1+'Parâmetros financeiros Despesa'!F$8)</f>
        <v>1438.9386569890441</v>
      </c>
      <c r="M1909" s="799">
        <f t="shared" si="323"/>
        <v>1.1667363621511555E-3</v>
      </c>
      <c r="N1909" s="894"/>
      <c r="P1909" s="733"/>
    </row>
    <row r="1910" spans="1:16" s="115" customFormat="1" x14ac:dyDescent="0.25">
      <c r="A1910" s="396"/>
      <c r="B1910" s="1396">
        <v>310500</v>
      </c>
      <c r="C1910" s="1396"/>
      <c r="D1910" s="1396"/>
      <c r="E1910" s="854">
        <v>333903000000000</v>
      </c>
      <c r="F1910" s="855" t="s">
        <v>7940</v>
      </c>
      <c r="G1910" s="468">
        <v>20</v>
      </c>
      <c r="H1910" s="468">
        <v>0</v>
      </c>
      <c r="I1910" s="751"/>
      <c r="J1910" s="878" t="s">
        <v>7926</v>
      </c>
      <c r="K1910" s="789">
        <f>('Parâmetros financeiros Despesa'!E906)</f>
        <v>139.5</v>
      </c>
      <c r="L1910" s="789">
        <f>('Parâmetros financeiros Despesa'!F906)*(1+'Parâmetros financeiros Despesa'!F$4)*(1+'Parâmetros financeiros Despesa'!F$7)</f>
        <v>152.10124425000001</v>
      </c>
      <c r="M1910" s="799">
        <f t="shared" si="323"/>
        <v>1.2332843483838695E-4</v>
      </c>
      <c r="N1910" s="894"/>
      <c r="P1910" s="733"/>
    </row>
    <row r="1911" spans="1:16" s="115" customFormat="1" x14ac:dyDescent="0.25">
      <c r="A1911" s="396"/>
      <c r="B1911" s="1396">
        <v>310600</v>
      </c>
      <c r="C1911" s="1396"/>
      <c r="D1911" s="1396"/>
      <c r="E1911" s="854">
        <v>333903300000000</v>
      </c>
      <c r="F1911" s="855" t="s">
        <v>7957</v>
      </c>
      <c r="G1911" s="468">
        <v>20</v>
      </c>
      <c r="H1911" s="468">
        <v>0</v>
      </c>
      <c r="I1911" s="751"/>
      <c r="J1911" s="878" t="s">
        <v>7926</v>
      </c>
      <c r="K1911" s="789">
        <f>('Parâmetros financeiros Despesa'!E907)</f>
        <v>166.95</v>
      </c>
      <c r="L1911" s="789">
        <f>('Parâmetros financeiros Despesa'!F907)*(1+'Parâmetros financeiros Despesa'!F$4)*(1+'Parâmetros financeiros Despesa'!F$7)</f>
        <v>182.03084392499997</v>
      </c>
      <c r="M1911" s="799">
        <f t="shared" si="323"/>
        <v>1.475962881452953E-4</v>
      </c>
      <c r="N1911" s="894"/>
      <c r="P1911" s="733"/>
    </row>
    <row r="1912" spans="1:16" s="115" customFormat="1" x14ac:dyDescent="0.25">
      <c r="A1912" s="396"/>
      <c r="B1912" s="1398" t="s">
        <v>8010</v>
      </c>
      <c r="C1912" s="1398"/>
      <c r="D1912" s="1398"/>
      <c r="E1912" s="854">
        <v>333903600000000</v>
      </c>
      <c r="F1912" s="855" t="s">
        <v>7958</v>
      </c>
      <c r="G1912" s="468">
        <v>20</v>
      </c>
      <c r="H1912" s="468">
        <v>0</v>
      </c>
      <c r="I1912" s="751"/>
      <c r="J1912" s="878" t="s">
        <v>7926</v>
      </c>
      <c r="K1912" s="789">
        <f>('Parâmetros financeiros Despesa'!E908)</f>
        <v>0</v>
      </c>
      <c r="L1912" s="789">
        <f>('Parâmetros financeiros Despesa'!F908)*(1+'Parâmetros financeiros Despesa'!F$4)*(1+'Parâmetros financeiros Despesa'!F$7)</f>
        <v>1090.3315</v>
      </c>
      <c r="M1912" s="799">
        <f t="shared" si="323"/>
        <v>8.8407480170886693E-4</v>
      </c>
      <c r="N1912" s="894"/>
      <c r="P1912" s="733"/>
    </row>
    <row r="1913" spans="1:16" s="115" customFormat="1" x14ac:dyDescent="0.25">
      <c r="A1913" s="396"/>
      <c r="B1913" s="1398" t="s">
        <v>8003</v>
      </c>
      <c r="C1913" s="1398"/>
      <c r="D1913" s="1398"/>
      <c r="E1913" s="854">
        <v>333903900000000</v>
      </c>
      <c r="F1913" s="855" t="s">
        <v>7836</v>
      </c>
      <c r="G1913" s="468">
        <v>20</v>
      </c>
      <c r="H1913" s="468">
        <v>0</v>
      </c>
      <c r="I1913" s="751"/>
      <c r="J1913" s="878" t="s">
        <v>7926</v>
      </c>
      <c r="K1913" s="789">
        <f>('Parâmetros financeiros Despesa'!E909)</f>
        <v>9984.24</v>
      </c>
      <c r="L1913" s="789">
        <f>('Parâmetros financeiros Despesa'!F909)*(1+'Parâmetros financeiros Despesa'!F$4)*(1+'Parâmetros financeiros Despesa'!F$7)</f>
        <v>10886.13137556</v>
      </c>
      <c r="M1913" s="799">
        <f t="shared" si="323"/>
        <v>8.8268149982137379E-3</v>
      </c>
      <c r="N1913" s="894"/>
      <c r="P1913" s="733"/>
    </row>
    <row r="1914" spans="1:16" s="115" customFormat="1" x14ac:dyDescent="0.25">
      <c r="A1914" s="396"/>
      <c r="B1914" s="994"/>
      <c r="C1914" s="994"/>
      <c r="D1914" s="994" t="s">
        <v>11553</v>
      </c>
      <c r="E1914" s="854">
        <v>333903900000000</v>
      </c>
      <c r="F1914" s="855" t="s">
        <v>11552</v>
      </c>
      <c r="G1914" s="468">
        <v>20</v>
      </c>
      <c r="H1914" s="468">
        <v>0</v>
      </c>
      <c r="I1914" s="751"/>
      <c r="J1914" s="878" t="s">
        <v>7926</v>
      </c>
      <c r="K1914" s="789">
        <f>('Parâmetros financeiros Despesa'!E910)</f>
        <v>62978.450000000004</v>
      </c>
      <c r="L1914" s="789">
        <f>('Parâmetros financeiros Despesa'!F910)*(1+'Parâmetros financeiros Despesa'!F$4)*(1+'Parâmetros financeiros Despesa'!F$7)+'Parâmetros financeiros Despesa'!F916</f>
        <v>74221.014288370003</v>
      </c>
      <c r="M1914" s="799">
        <f t="shared" si="323"/>
        <v>6.0180714296176614E-2</v>
      </c>
      <c r="N1914" s="894"/>
      <c r="P1914" s="733"/>
    </row>
    <row r="1915" spans="1:16" s="115" customFormat="1" x14ac:dyDescent="0.25">
      <c r="A1915" s="396"/>
      <c r="B1915" s="1398" t="s">
        <v>8004</v>
      </c>
      <c r="C1915" s="1398"/>
      <c r="D1915" s="1398"/>
      <c r="E1915" s="854">
        <v>333904700000000</v>
      </c>
      <c r="F1915" s="855" t="s">
        <v>990</v>
      </c>
      <c r="G1915" s="468">
        <v>20</v>
      </c>
      <c r="H1915" s="468">
        <v>0</v>
      </c>
      <c r="I1915" s="751"/>
      <c r="J1915" s="878" t="s">
        <v>7926</v>
      </c>
      <c r="K1915" s="789">
        <f>(('Parâmetros financeiros Despesa'!E908))</f>
        <v>0</v>
      </c>
      <c r="L1915" s="789">
        <f>(('Parâmetros financeiros Despesa'!F908)*(1+'Parâmetros financeiros Despesa'!F$4)*(1+'Parâmetros financeiros Despesa'!F$7))*('Parâmetros financeiros Despesa'!F$83)</f>
        <v>218.06630000000001</v>
      </c>
      <c r="M1915" s="799">
        <f t="shared" si="323"/>
        <v>1.7681496034177341E-4</v>
      </c>
      <c r="N1915" s="894"/>
      <c r="P1915" s="733"/>
    </row>
    <row r="1916" spans="1:16" s="115" customFormat="1" x14ac:dyDescent="0.25">
      <c r="A1916" s="396"/>
      <c r="B1916" s="1398" t="s">
        <v>8005</v>
      </c>
      <c r="C1916" s="1398"/>
      <c r="D1916" s="1398"/>
      <c r="E1916" s="854">
        <v>333904900000000</v>
      </c>
      <c r="F1916" s="855" t="s">
        <v>7167</v>
      </c>
      <c r="G1916" s="468">
        <v>20</v>
      </c>
      <c r="H1916" s="468">
        <v>0</v>
      </c>
      <c r="I1916" s="751"/>
      <c r="J1916" s="878" t="s">
        <v>7926</v>
      </c>
      <c r="K1916" s="789">
        <f>('Parâmetros financeiros Despesa'!E912+'Parâmetros financeiros Despesa'!E911)</f>
        <v>3787.5299999999997</v>
      </c>
      <c r="L1916" s="789">
        <f>('Parâmetros financeiros Despesa'!F912+'Parâmetros financeiros Despesa'!F911)*2+(('Parâmetros financeiros Despesa'!F912+'Parâmetros financeiros Despesa'!F911)*10)*(1+'Parâmetros financeiros Despesa'!F$4)*(1+'Parâmetros financeiros Despesa'!F$8)</f>
        <v>3962.6446588182757</v>
      </c>
      <c r="M1916" s="799">
        <f t="shared" si="323"/>
        <v>3.2130359353898037E-3</v>
      </c>
      <c r="N1916" s="894"/>
      <c r="P1916" s="733"/>
    </row>
    <row r="1917" spans="1:16" s="115" customFormat="1" x14ac:dyDescent="0.25">
      <c r="A1917" s="396"/>
      <c r="B1917" s="1398" t="s">
        <v>8006</v>
      </c>
      <c r="C1917" s="1398"/>
      <c r="D1917" s="1398"/>
      <c r="E1917" s="854">
        <v>333909300000000</v>
      </c>
      <c r="F1917" s="855" t="s">
        <v>5818</v>
      </c>
      <c r="G1917" s="468">
        <v>20</v>
      </c>
      <c r="H1917" s="468">
        <v>0</v>
      </c>
      <c r="I1917" s="751"/>
      <c r="J1917" s="878" t="s">
        <v>7926</v>
      </c>
      <c r="K1917" s="789">
        <f>('Parâmetros financeiros Despesa'!E913)</f>
        <v>51.375</v>
      </c>
      <c r="L1917" s="789">
        <f>('Parâmetros financeiros Despesa'!F913)*(1+'Parâmetros financeiros Despesa'!F$4)*(1+'Parâmetros financeiros Despesa'!F$7)</f>
        <v>545.16575</v>
      </c>
      <c r="M1917" s="799">
        <f t="shared" si="323"/>
        <v>4.4203740085443346E-4</v>
      </c>
      <c r="N1917" s="894"/>
      <c r="P1917" s="733"/>
    </row>
    <row r="1918" spans="1:16" s="115" customFormat="1" x14ac:dyDescent="0.25">
      <c r="A1918" s="396"/>
      <c r="B1918" s="1398" t="s">
        <v>8007</v>
      </c>
      <c r="C1918" s="1398"/>
      <c r="D1918" s="1398"/>
      <c r="E1918" s="854">
        <v>333933000000000</v>
      </c>
      <c r="F1918" s="855" t="s">
        <v>7066</v>
      </c>
      <c r="G1918" s="468">
        <v>20</v>
      </c>
      <c r="H1918" s="468">
        <v>0</v>
      </c>
      <c r="I1918" s="751"/>
      <c r="J1918" s="878" t="s">
        <v>7926</v>
      </c>
      <c r="K1918" s="789">
        <f>('Parâmetros financeiros Despesa'!E914)</f>
        <v>0</v>
      </c>
      <c r="L1918" s="789">
        <f>('Parâmetros financeiros Despesa'!F914)*(1+'Parâmetros financeiros Despesa'!F$4)*(1+'Parâmetros financeiros Despesa'!F$7)</f>
        <v>1090.3315</v>
      </c>
      <c r="M1918" s="799">
        <f t="shared" si="323"/>
        <v>8.8407480170886693E-4</v>
      </c>
      <c r="N1918" s="894"/>
      <c r="P1918" s="733"/>
    </row>
    <row r="1919" spans="1:16" s="115" customFormat="1" x14ac:dyDescent="0.25">
      <c r="A1919" s="396"/>
      <c r="B1919" s="1398" t="s">
        <v>8008</v>
      </c>
      <c r="C1919" s="1398"/>
      <c r="D1919" s="1398"/>
      <c r="E1919" s="854">
        <v>344905200000000</v>
      </c>
      <c r="F1919" s="855" t="s">
        <v>8009</v>
      </c>
      <c r="G1919" s="468">
        <v>20</v>
      </c>
      <c r="H1919" s="468">
        <v>0</v>
      </c>
      <c r="I1919" s="751"/>
      <c r="J1919" s="878" t="s">
        <v>7926</v>
      </c>
      <c r="K1919" s="789">
        <f>('Parâmetros financeiros Despesa'!E915)</f>
        <v>0</v>
      </c>
      <c r="L1919" s="789">
        <f>('Parâmetros financeiros Despesa'!F915)*(1+'Parâmetros financeiros Despesa'!F$4)*(1+'Parâmetros financeiros Despesa'!F$7)</f>
        <v>1090.3315</v>
      </c>
      <c r="M1919" s="799">
        <f>L1919/L$1924</f>
        <v>8.8407480170886693E-4</v>
      </c>
      <c r="N1919" s="894"/>
      <c r="P1919" s="733"/>
    </row>
    <row r="1920" spans="1:16" s="820" customFormat="1" ht="15" customHeight="1" x14ac:dyDescent="0.25">
      <c r="B1920" s="864" t="s">
        <v>22</v>
      </c>
      <c r="C1920" s="864"/>
      <c r="D1920" s="864"/>
      <c r="E1920" s="864"/>
      <c r="F1920" s="864"/>
      <c r="G1920" s="864"/>
      <c r="H1920" s="864"/>
      <c r="I1920" s="864"/>
      <c r="J1920" s="864"/>
      <c r="K1920" s="863">
        <f>K1901+K1880+K1872+K1849+K1831+K1716+K1707+K1699+K1691</f>
        <v>990909.69519564544</v>
      </c>
      <c r="L1920" s="863">
        <f>L1901+L1880+L1872+L1849+L1831+L1716+L1707+L1699+L1691+L1857-0.01</f>
        <v>1284906.3714618906</v>
      </c>
      <c r="M1920" s="452">
        <f>L1920/L$1924</f>
        <v>1.0418421787911574</v>
      </c>
      <c r="N1920" s="796"/>
      <c r="P1920" s="399"/>
    </row>
    <row r="1921" spans="1:16" s="820" customFormat="1" ht="15" customHeight="1" x14ac:dyDescent="0.25">
      <c r="B1921" s="864" t="s">
        <v>11469</v>
      </c>
      <c r="C1921" s="864"/>
      <c r="D1921" s="864"/>
      <c r="E1921" s="864"/>
      <c r="F1921" s="864"/>
      <c r="G1921" s="864"/>
      <c r="H1921" s="864"/>
      <c r="I1921" s="864"/>
      <c r="J1921" s="864"/>
      <c r="K1921" s="863"/>
      <c r="L1921" s="863"/>
      <c r="M1921" s="452"/>
      <c r="N1921" s="796"/>
      <c r="P1921" s="399"/>
    </row>
    <row r="1922" spans="1:16" s="31" customFormat="1" ht="15" customHeight="1" x14ac:dyDescent="0.25">
      <c r="B1922" s="869" t="s">
        <v>11568</v>
      </c>
      <c r="C1922" s="869"/>
      <c r="D1922" s="869"/>
      <c r="E1922" s="869"/>
      <c r="F1922" s="869"/>
      <c r="G1922" s="869"/>
      <c r="H1922" s="869"/>
      <c r="I1922" s="869"/>
      <c r="J1922" s="869"/>
      <c r="K1922" s="870">
        <f>K1905+K1884+K1835+K1720</f>
        <v>49289.941099999996</v>
      </c>
      <c r="L1922" s="870">
        <f>L1905+L1884+L1835+L1720</f>
        <v>51604.055987622472</v>
      </c>
      <c r="M1922" s="871">
        <f>L1922/L$1924</f>
        <v>4.1842178791157189E-2</v>
      </c>
      <c r="N1922" s="897"/>
      <c r="P1922" s="736"/>
    </row>
    <row r="1923" spans="1:16" s="31" customFormat="1" ht="15" customHeight="1" x14ac:dyDescent="0.25">
      <c r="B1923" s="869" t="s">
        <v>753</v>
      </c>
      <c r="C1923" s="869"/>
      <c r="D1923" s="869"/>
      <c r="E1923" s="869"/>
      <c r="F1923" s="869"/>
      <c r="G1923" s="869"/>
      <c r="H1923" s="869"/>
      <c r="I1923" s="869"/>
      <c r="J1923" s="869"/>
      <c r="K1923" s="870">
        <f>K1920-K1922</f>
        <v>941619.75409564539</v>
      </c>
      <c r="L1923" s="870">
        <f>L1920-L1922</f>
        <v>1233302.315474268</v>
      </c>
      <c r="M1923" s="871">
        <f>L1923/L$1924</f>
        <v>1</v>
      </c>
      <c r="N1923" s="897"/>
      <c r="P1923" s="736"/>
    </row>
    <row r="1924" spans="1:16" s="115" customFormat="1" ht="15" customHeight="1" x14ac:dyDescent="0.25">
      <c r="B1924" s="864" t="s">
        <v>2172</v>
      </c>
      <c r="C1924" s="864"/>
      <c r="D1924" s="864"/>
      <c r="E1924" s="864"/>
      <c r="F1924" s="864"/>
      <c r="G1924" s="864"/>
      <c r="H1924" s="864"/>
      <c r="I1924" s="864"/>
      <c r="J1924" s="864"/>
      <c r="K1924" s="863">
        <f>SUM(K1923:K1923)</f>
        <v>941619.75409564539</v>
      </c>
      <c r="L1924" s="863">
        <f>SUM(L1923:L1923)</f>
        <v>1233302.315474268</v>
      </c>
      <c r="M1924" s="452">
        <f>L1924/L$1924</f>
        <v>1</v>
      </c>
      <c r="N1924" s="894"/>
      <c r="P1924" s="733"/>
    </row>
    <row r="1926" spans="1:16" s="435" customFormat="1" ht="15" customHeight="1" x14ac:dyDescent="0.25">
      <c r="B1926" s="740" t="s">
        <v>989</v>
      </c>
      <c r="C1926" s="740"/>
      <c r="D1926" s="481"/>
      <c r="E1926" s="1371" t="s">
        <v>7911</v>
      </c>
      <c r="F1926" s="1371"/>
      <c r="G1926" s="1371"/>
      <c r="H1926" s="1371"/>
      <c r="I1926" s="1371"/>
      <c r="J1926" s="437"/>
      <c r="K1926" s="940"/>
      <c r="L1926" s="807"/>
      <c r="M1926" s="449"/>
      <c r="N1926" s="892"/>
      <c r="P1926" s="732"/>
    </row>
    <row r="1927" spans="1:16" s="435" customFormat="1" ht="15" customHeight="1" x14ac:dyDescent="0.25">
      <c r="B1927" s="740" t="s">
        <v>458</v>
      </c>
      <c r="C1927" s="740"/>
      <c r="D1927" s="481"/>
      <c r="E1927" s="1371" t="s">
        <v>8011</v>
      </c>
      <c r="F1927" s="1371"/>
      <c r="G1927" s="1371"/>
      <c r="H1927" s="1371"/>
      <c r="I1927" s="1371"/>
      <c r="J1927" s="437"/>
      <c r="K1927" s="940"/>
      <c r="L1927" s="438"/>
      <c r="M1927" s="449"/>
      <c r="N1927" s="892"/>
      <c r="P1927" s="732"/>
    </row>
    <row r="1928" spans="1:16" s="435" customFormat="1" ht="15" customHeight="1" x14ac:dyDescent="0.25">
      <c r="B1928" s="741" t="s">
        <v>5764</v>
      </c>
      <c r="C1928" s="741"/>
      <c r="D1928" s="741"/>
      <c r="E1928" s="1371" t="s">
        <v>749</v>
      </c>
      <c r="F1928" s="1371"/>
      <c r="G1928" s="1371"/>
      <c r="H1928" s="1371"/>
      <c r="I1928" s="1371"/>
      <c r="J1928" s="440"/>
      <c r="K1928" s="941"/>
      <c r="L1928" s="438"/>
      <c r="M1928" s="449"/>
      <c r="N1928" s="892"/>
      <c r="P1928" s="732"/>
    </row>
    <row r="1929" spans="1:16" s="851" customFormat="1" ht="113.25" customHeight="1" x14ac:dyDescent="0.25">
      <c r="A1929" s="396"/>
      <c r="B1929" s="1400" t="s">
        <v>2296</v>
      </c>
      <c r="C1929" s="1400"/>
      <c r="D1929" s="1400"/>
      <c r="E1929" s="1384" t="s">
        <v>2297</v>
      </c>
      <c r="F1929" s="1384"/>
      <c r="G1929" s="443" t="s">
        <v>444</v>
      </c>
      <c r="H1929" s="443" t="s">
        <v>2245</v>
      </c>
      <c r="I1929" s="444" t="s">
        <v>5725</v>
      </c>
      <c r="J1929" s="849" t="s">
        <v>2275</v>
      </c>
      <c r="K1929" s="893" t="s">
        <v>11644</v>
      </c>
      <c r="L1929" s="955" t="s">
        <v>11522</v>
      </c>
      <c r="M1929" s="450" t="s">
        <v>235</v>
      </c>
      <c r="N1929" s="796"/>
      <c r="P1929" s="399"/>
    </row>
    <row r="1930" spans="1:16" x14ac:dyDescent="0.25">
      <c r="B1930" s="1385" t="s">
        <v>7913</v>
      </c>
      <c r="C1930" s="1385"/>
      <c r="D1930" s="1385"/>
      <c r="E1930" s="1385"/>
      <c r="F1930" s="1385"/>
      <c r="G1930" s="401"/>
      <c r="H1930" s="401"/>
      <c r="I1930" s="426"/>
      <c r="J1930" s="411"/>
      <c r="K1930" s="402">
        <f t="shared" ref="K1930:L1932" si="324">K1931</f>
        <v>51223.765000000007</v>
      </c>
      <c r="L1930" s="402">
        <f t="shared" si="324"/>
        <v>56505.082524782505</v>
      </c>
      <c r="M1930" s="451">
        <f>L1930/L$2153</f>
        <v>1.9494131229442022E-2</v>
      </c>
    </row>
    <row r="1931" spans="1:16" x14ac:dyDescent="0.25">
      <c r="B1931" s="1386" t="s">
        <v>7915</v>
      </c>
      <c r="C1931" s="1386"/>
      <c r="D1931" s="1386"/>
      <c r="E1931" s="1386"/>
      <c r="F1931" s="1386"/>
      <c r="G1931" s="403"/>
      <c r="H1931" s="403"/>
      <c r="I1931" s="427"/>
      <c r="J1931" s="412"/>
      <c r="K1931" s="404">
        <f t="shared" si="324"/>
        <v>51223.765000000007</v>
      </c>
      <c r="L1931" s="404">
        <f t="shared" si="324"/>
        <v>56505.082524782505</v>
      </c>
      <c r="M1931" s="452">
        <f>L1931/L$2153</f>
        <v>1.9494131229442022E-2</v>
      </c>
    </row>
    <row r="1932" spans="1:16" x14ac:dyDescent="0.25">
      <c r="B1932" s="1382" t="s">
        <v>7914</v>
      </c>
      <c r="C1932" s="1382"/>
      <c r="D1932" s="1382"/>
      <c r="E1932" s="1382"/>
      <c r="F1932" s="1382"/>
      <c r="G1932" s="405"/>
      <c r="H1932" s="405"/>
      <c r="I1932" s="428"/>
      <c r="J1932" s="413"/>
      <c r="K1932" s="406">
        <f t="shared" si="324"/>
        <v>51223.765000000007</v>
      </c>
      <c r="L1932" s="406">
        <f t="shared" si="324"/>
        <v>56505.082524782505</v>
      </c>
      <c r="M1932" s="453">
        <f>L1932/L$2153</f>
        <v>1.9494131229442022E-2</v>
      </c>
    </row>
    <row r="1933" spans="1:16" x14ac:dyDescent="0.25">
      <c r="B1933" s="1383" t="s">
        <v>7927</v>
      </c>
      <c r="C1933" s="1383"/>
      <c r="D1933" s="1383"/>
      <c r="E1933" s="1383"/>
      <c r="F1933" s="1383"/>
      <c r="G1933" s="407"/>
      <c r="H1933" s="407"/>
      <c r="I1933" s="429"/>
      <c r="J1933" s="414"/>
      <c r="K1933" s="408">
        <f>SUM(K1934:K1938)+0.01</f>
        <v>51223.765000000007</v>
      </c>
      <c r="L1933" s="408">
        <f>SUM(L1934:L1938)+0.01</f>
        <v>56505.082524782505</v>
      </c>
      <c r="M1933" s="454">
        <f>L1933/L$2153</f>
        <v>1.9494131229442022E-2</v>
      </c>
    </row>
    <row r="1934" spans="1:16" ht="30" x14ac:dyDescent="0.25">
      <c r="B1934" s="1396">
        <v>320000</v>
      </c>
      <c r="C1934" s="1396"/>
      <c r="D1934" s="1396"/>
      <c r="E1934" s="854">
        <v>333904700000000</v>
      </c>
      <c r="F1934" s="600" t="s">
        <v>11610</v>
      </c>
      <c r="G1934" s="468">
        <v>31</v>
      </c>
      <c r="H1934" s="468">
        <v>0</v>
      </c>
      <c r="I1934" s="751"/>
      <c r="J1934" s="878" t="s">
        <v>7926</v>
      </c>
      <c r="K1934" s="789">
        <f>(('Parâmetros financeiros Despesa'!E923))</f>
        <v>0</v>
      </c>
      <c r="L1934" s="789">
        <f>(('Parâmetros financeiros Despesa'!F923)*(1+'Parâmetros financeiros Despesa'!F$4)*(1+'Parâmetros financeiros Despesa'!F$7))*('Parâmetros financeiros Despesa'!F$83)</f>
        <v>109.03315000000001</v>
      </c>
      <c r="M1934" s="799">
        <f>L1934/L$2153</f>
        <v>3.7616200870553772E-5</v>
      </c>
    </row>
    <row r="1935" spans="1:16" x14ac:dyDescent="0.25">
      <c r="B1935" s="1396">
        <v>320100</v>
      </c>
      <c r="C1935" s="1396"/>
      <c r="D1935" s="1396"/>
      <c r="E1935" s="854">
        <v>344903000000000</v>
      </c>
      <c r="F1935" s="855" t="s">
        <v>7924</v>
      </c>
      <c r="G1935" s="468">
        <v>31</v>
      </c>
      <c r="H1935" s="468">
        <v>0</v>
      </c>
      <c r="I1935" s="751"/>
      <c r="J1935" s="878" t="s">
        <v>7926</v>
      </c>
      <c r="K1935" s="789">
        <f>('Parâmetros financeiros Despesa'!E922)</f>
        <v>4358.58</v>
      </c>
      <c r="L1935" s="789">
        <f>('Parâmetros financeiros Despesa'!F922)*(1+'Parâmetros financeiros Despesa'!F$4)*(1+'Parâmetros financeiros Despesa'!F$7)</f>
        <v>4752.2970692700001</v>
      </c>
      <c r="M1935" s="799">
        <f t="shared" ref="M1935:M1938" si="325">L1935/L$2153</f>
        <v>1.6395322079037825E-3</v>
      </c>
    </row>
    <row r="1936" spans="1:16" x14ac:dyDescent="0.25">
      <c r="B1936" s="1398" t="s">
        <v>8012</v>
      </c>
      <c r="C1936" s="1398"/>
      <c r="D1936" s="1398"/>
      <c r="E1936" s="854">
        <v>344903600000000</v>
      </c>
      <c r="F1936" s="855" t="s">
        <v>11611</v>
      </c>
      <c r="G1936" s="468">
        <v>31</v>
      </c>
      <c r="H1936" s="468">
        <v>0</v>
      </c>
      <c r="I1936" s="751"/>
      <c r="J1936" s="878" t="s">
        <v>7926</v>
      </c>
      <c r="K1936" s="789">
        <f>('Parâmetros financeiros Despesa'!E923)</f>
        <v>0</v>
      </c>
      <c r="L1936" s="789">
        <f>('Parâmetros financeiros Despesa'!F923)*(1+'Parâmetros financeiros Despesa'!F$4)*(1+'Parâmetros financeiros Despesa'!F$7)</f>
        <v>545.16575</v>
      </c>
      <c r="M1936" s="799">
        <f t="shared" si="325"/>
        <v>1.8808100435276884E-4</v>
      </c>
      <c r="N1936" s="461"/>
      <c r="P1936" s="461"/>
    </row>
    <row r="1937" spans="2:16" x14ac:dyDescent="0.25">
      <c r="B1937" s="1398" t="s">
        <v>8013</v>
      </c>
      <c r="C1937" s="1398"/>
      <c r="D1937" s="1398"/>
      <c r="E1937" s="854">
        <v>344903900000000</v>
      </c>
      <c r="F1937" s="855" t="s">
        <v>11612</v>
      </c>
      <c r="G1937" s="468">
        <v>31</v>
      </c>
      <c r="H1937" s="468">
        <v>0</v>
      </c>
      <c r="I1937" s="751"/>
      <c r="J1937" s="878" t="s">
        <v>7926</v>
      </c>
      <c r="K1937" s="789">
        <f>('Parâmetros financeiros Despesa'!E924)</f>
        <v>9315</v>
      </c>
      <c r="L1937" s="789">
        <f>('Parâmetros financeiros Despesa'!F924)*(1+'Parâmetros financeiros Despesa'!F$4)*(1+'Parâmetros financeiros Despesa'!F$7)</f>
        <v>10156.437922499999</v>
      </c>
      <c r="M1937" s="799">
        <f t="shared" si="325"/>
        <v>3.5039491110920836E-3</v>
      </c>
      <c r="N1937" s="461"/>
      <c r="P1937" s="461"/>
    </row>
    <row r="1938" spans="2:16" x14ac:dyDescent="0.25">
      <c r="B1938" s="1398" t="s">
        <v>8014</v>
      </c>
      <c r="C1938" s="1398"/>
      <c r="D1938" s="1398"/>
      <c r="E1938" s="854">
        <v>344905100000000</v>
      </c>
      <c r="F1938" s="855" t="s">
        <v>7925</v>
      </c>
      <c r="G1938" s="468">
        <v>31</v>
      </c>
      <c r="H1938" s="468">
        <v>0</v>
      </c>
      <c r="I1938" s="751"/>
      <c r="J1938" s="878" t="s">
        <v>7926</v>
      </c>
      <c r="K1938" s="789">
        <f>('Parâmetros financeiros Despesa'!E925)</f>
        <v>37550.175000000003</v>
      </c>
      <c r="L1938" s="789">
        <f>('Parâmetros financeiros Despesa'!F925)*(1+'Parâmetros financeiros Despesa'!F$4)*(1+'Parâmetros financeiros Despesa'!F$7)</f>
        <v>40942.138633012502</v>
      </c>
      <c r="M1938" s="799">
        <f t="shared" si="325"/>
        <v>1.4124949255244466E-2</v>
      </c>
      <c r="N1938" s="461"/>
      <c r="P1938" s="461"/>
    </row>
    <row r="1939" spans="2:16" x14ac:dyDescent="0.25">
      <c r="B1939" s="1386" t="s">
        <v>7917</v>
      </c>
      <c r="C1939" s="1386"/>
      <c r="D1939" s="1386"/>
      <c r="E1939" s="1386"/>
      <c r="F1939" s="1386"/>
      <c r="G1939" s="403"/>
      <c r="H1939" s="403"/>
      <c r="I1939" s="427"/>
      <c r="J1939" s="412"/>
      <c r="K1939" s="404">
        <f t="shared" ref="K1939:L1940" si="326">K1940</f>
        <v>0</v>
      </c>
      <c r="L1939" s="404">
        <f t="shared" si="326"/>
        <v>58832.649483333335</v>
      </c>
      <c r="M1939" s="452">
        <f>L1939/L$2153</f>
        <v>2.0297136794744975E-2</v>
      </c>
      <c r="N1939" s="461"/>
      <c r="P1939" s="461"/>
    </row>
    <row r="1940" spans="2:16" x14ac:dyDescent="0.25">
      <c r="B1940" s="1382" t="s">
        <v>7914</v>
      </c>
      <c r="C1940" s="1382"/>
      <c r="D1940" s="1382"/>
      <c r="E1940" s="1382"/>
      <c r="F1940" s="1382"/>
      <c r="G1940" s="405"/>
      <c r="H1940" s="405"/>
      <c r="I1940" s="428"/>
      <c r="J1940" s="413"/>
      <c r="K1940" s="406">
        <f t="shared" si="326"/>
        <v>0</v>
      </c>
      <c r="L1940" s="406">
        <f t="shared" si="326"/>
        <v>58832.649483333335</v>
      </c>
      <c r="M1940" s="453">
        <f>L1940/L$2153</f>
        <v>2.0297136794744975E-2</v>
      </c>
      <c r="N1940" s="461"/>
      <c r="P1940" s="461"/>
    </row>
    <row r="1941" spans="2:16" x14ac:dyDescent="0.25">
      <c r="B1941" s="1383" t="s">
        <v>7927</v>
      </c>
      <c r="C1941" s="1383"/>
      <c r="D1941" s="1383"/>
      <c r="E1941" s="1383"/>
      <c r="F1941" s="1383"/>
      <c r="G1941" s="407"/>
      <c r="H1941" s="407"/>
      <c r="I1941" s="429"/>
      <c r="J1941" s="414"/>
      <c r="K1941" s="408">
        <f>K1942+K1943+K1944+K1945+K1946</f>
        <v>0</v>
      </c>
      <c r="L1941" s="408">
        <f>L1942+L1943+L1944+L1945+L1946+0.01</f>
        <v>58832.649483333335</v>
      </c>
      <c r="M1941" s="454">
        <f>L1941/L$2153</f>
        <v>2.0297136794744975E-2</v>
      </c>
      <c r="N1941" s="461"/>
      <c r="P1941" s="461"/>
    </row>
    <row r="1942" spans="2:16" ht="30" x14ac:dyDescent="0.25">
      <c r="B1942" s="1396">
        <v>321000</v>
      </c>
      <c r="C1942" s="1396"/>
      <c r="D1942" s="1396"/>
      <c r="E1942" s="854">
        <v>333904700000000</v>
      </c>
      <c r="F1942" s="600" t="s">
        <v>7929</v>
      </c>
      <c r="G1942" s="468">
        <v>31</v>
      </c>
      <c r="H1942" s="468">
        <v>0</v>
      </c>
      <c r="I1942" s="751"/>
      <c r="J1942" s="878" t="s">
        <v>7926</v>
      </c>
      <c r="K1942" s="789">
        <f>(('Parâmetros financeiros Despesa'!E929))</f>
        <v>0</v>
      </c>
      <c r="L1942" s="789">
        <f>(('Parâmetros financeiros Despesa'!F929)*(1+'Parâmetros financeiros Despesa'!F$4)*(1+'Parâmetros financeiros Despesa'!F$7))*('Parâmetros financeiros Despesa'!F$83)</f>
        <v>109.03315000000001</v>
      </c>
      <c r="M1942" s="799">
        <f>L1942/L$2153</f>
        <v>3.7616200870553772E-5</v>
      </c>
      <c r="N1942" s="461"/>
      <c r="P1942" s="461"/>
    </row>
    <row r="1943" spans="2:16" x14ac:dyDescent="0.25">
      <c r="B1943" s="1396">
        <v>321100</v>
      </c>
      <c r="C1943" s="1396"/>
      <c r="D1943" s="1396"/>
      <c r="E1943" s="854">
        <v>344903000000000</v>
      </c>
      <c r="F1943" s="855" t="s">
        <v>7928</v>
      </c>
      <c r="G1943" s="468">
        <v>31</v>
      </c>
      <c r="H1943" s="468">
        <v>0</v>
      </c>
      <c r="I1943" s="751"/>
      <c r="J1943" s="878" t="s">
        <v>7926</v>
      </c>
      <c r="K1943" s="789">
        <f>('Parâmetros financeiros Despesa'!E928)</f>
        <v>0</v>
      </c>
      <c r="L1943" s="789">
        <f>('Parâmetros financeiros Despesa'!F928)*(1+'Parâmetros financeiros Despesa'!F$4)*(1+'Parâmetros financeiros Despesa'!F$7)</f>
        <v>545.16575</v>
      </c>
      <c r="M1943" s="799">
        <f t="shared" ref="M1943:M1946" si="327">L1943/L$2153</f>
        <v>1.8808100435276884E-4</v>
      </c>
      <c r="N1943" s="461"/>
      <c r="P1943" s="461"/>
    </row>
    <row r="1944" spans="2:16" x14ac:dyDescent="0.25">
      <c r="B1944" s="1398" t="s">
        <v>8015</v>
      </c>
      <c r="C1944" s="1398"/>
      <c r="D1944" s="1398"/>
      <c r="E1944" s="854">
        <v>344903600000000</v>
      </c>
      <c r="F1944" s="855" t="s">
        <v>11613</v>
      </c>
      <c r="G1944" s="468">
        <v>31</v>
      </c>
      <c r="H1944" s="468">
        <v>0</v>
      </c>
      <c r="I1944" s="751"/>
      <c r="J1944" s="878" t="s">
        <v>7926</v>
      </c>
      <c r="K1944" s="789">
        <f>('Parâmetros financeiros Despesa'!E929)</f>
        <v>0</v>
      </c>
      <c r="L1944" s="789">
        <f>('Parâmetros financeiros Despesa'!F929)*(1+'Parâmetros financeiros Despesa'!F$4)*(1+'Parâmetros financeiros Despesa'!F$7)</f>
        <v>545.16575</v>
      </c>
      <c r="M1944" s="799">
        <f t="shared" si="327"/>
        <v>1.8808100435276884E-4</v>
      </c>
      <c r="N1944" s="461"/>
      <c r="P1944" s="461"/>
    </row>
    <row r="1945" spans="2:16" x14ac:dyDescent="0.25">
      <c r="B1945" s="1398" t="s">
        <v>8016</v>
      </c>
      <c r="C1945" s="1398"/>
      <c r="D1945" s="1398"/>
      <c r="E1945" s="854">
        <v>344903900000000</v>
      </c>
      <c r="F1945" s="855" t="s">
        <v>11614</v>
      </c>
      <c r="G1945" s="468">
        <v>31</v>
      </c>
      <c r="H1945" s="468">
        <v>0</v>
      </c>
      <c r="I1945" s="751"/>
      <c r="J1945" s="878" t="s">
        <v>7926</v>
      </c>
      <c r="K1945" s="789">
        <f>('Parâmetros financeiros Despesa'!E930)</f>
        <v>0</v>
      </c>
      <c r="L1945" s="789">
        <f>('Parâmetros financeiros Despesa'!F930)*(1+'Parâmetros financeiros Despesa'!F$4)*(1+'Parâmetros financeiros Despesa'!F$7)</f>
        <v>545.16575</v>
      </c>
      <c r="M1945" s="799">
        <f t="shared" si="327"/>
        <v>1.8808100435276884E-4</v>
      </c>
      <c r="N1945" s="461"/>
      <c r="P1945" s="461"/>
    </row>
    <row r="1946" spans="2:16" x14ac:dyDescent="0.25">
      <c r="B1946" s="1398" t="s">
        <v>8017</v>
      </c>
      <c r="C1946" s="1398"/>
      <c r="D1946" s="1398"/>
      <c r="E1946" s="854">
        <v>344905100000000</v>
      </c>
      <c r="F1946" s="855" t="s">
        <v>7932</v>
      </c>
      <c r="G1946" s="468">
        <v>31</v>
      </c>
      <c r="H1946" s="468">
        <v>0</v>
      </c>
      <c r="I1946" s="751"/>
      <c r="J1946" s="878" t="s">
        <v>7926</v>
      </c>
      <c r="K1946" s="789">
        <f>('Parâmetros financeiros Despesa'!E931)</f>
        <v>0</v>
      </c>
      <c r="L1946" s="789">
        <f>('Parâmetros financeiros Despesa'!F931)*(1+'Parâmetros financeiros Despesa'!F$4)*(1+'Parâmetros financeiros Despesa'!F$7)++'Parâmetros financeiros Despesa'!F1054/3</f>
        <v>57088.109083333329</v>
      </c>
      <c r="M1946" s="799">
        <f t="shared" si="327"/>
        <v>1.9695274130837749E-2</v>
      </c>
      <c r="N1946" s="461"/>
      <c r="P1946" s="461"/>
    </row>
    <row r="1947" spans="2:16" x14ac:dyDescent="0.25">
      <c r="B1947" s="1386" t="s">
        <v>7918</v>
      </c>
      <c r="C1947" s="1386"/>
      <c r="D1947" s="1386"/>
      <c r="E1947" s="1386"/>
      <c r="F1947" s="1386"/>
      <c r="G1947" s="403"/>
      <c r="H1947" s="403"/>
      <c r="I1947" s="427"/>
      <c r="J1947" s="412"/>
      <c r="K1947" s="404">
        <f t="shared" ref="K1947:L1948" si="328">K1948</f>
        <v>0</v>
      </c>
      <c r="L1947" s="404">
        <f t="shared" si="328"/>
        <v>2289.6761500000002</v>
      </c>
      <c r="M1947" s="452">
        <f>L1947/L$2153</f>
        <v>7.8993331832489676E-4</v>
      </c>
      <c r="N1947" s="461"/>
      <c r="P1947" s="461"/>
    </row>
    <row r="1948" spans="2:16" x14ac:dyDescent="0.25">
      <c r="B1948" s="1382" t="s">
        <v>7914</v>
      </c>
      <c r="C1948" s="1382"/>
      <c r="D1948" s="1382"/>
      <c r="E1948" s="1382"/>
      <c r="F1948" s="1382"/>
      <c r="G1948" s="405"/>
      <c r="H1948" s="405"/>
      <c r="I1948" s="428"/>
      <c r="J1948" s="413"/>
      <c r="K1948" s="406">
        <f t="shared" si="328"/>
        <v>0</v>
      </c>
      <c r="L1948" s="406">
        <f t="shared" si="328"/>
        <v>2289.6761500000002</v>
      </c>
      <c r="M1948" s="453">
        <f>L1948/L$2153</f>
        <v>7.8993331832489676E-4</v>
      </c>
      <c r="N1948" s="461"/>
      <c r="P1948" s="461"/>
    </row>
    <row r="1949" spans="2:16" x14ac:dyDescent="0.25">
      <c r="B1949" s="1383" t="s">
        <v>7927</v>
      </c>
      <c r="C1949" s="1383"/>
      <c r="D1949" s="1383"/>
      <c r="E1949" s="1383"/>
      <c r="F1949" s="1383"/>
      <c r="G1949" s="407"/>
      <c r="H1949" s="407"/>
      <c r="I1949" s="429"/>
      <c r="J1949" s="414"/>
      <c r="K1949" s="408">
        <f>K1950+K1951+K1952+K1953+K1954</f>
        <v>0</v>
      </c>
      <c r="L1949" s="408">
        <f>L1950+L1951+L1952+L1953+L1954+0.01</f>
        <v>2289.6761500000002</v>
      </c>
      <c r="M1949" s="454">
        <f>L1949/L$2153</f>
        <v>7.8993331832489676E-4</v>
      </c>
      <c r="N1949" s="461"/>
      <c r="P1949" s="461"/>
    </row>
    <row r="1950" spans="2:16" ht="30" x14ac:dyDescent="0.25">
      <c r="B1950" s="1396">
        <v>325000</v>
      </c>
      <c r="C1950" s="1396"/>
      <c r="D1950" s="1396"/>
      <c r="E1950" s="854">
        <v>333904700000000</v>
      </c>
      <c r="F1950" s="600" t="s">
        <v>7942</v>
      </c>
      <c r="G1950" s="468">
        <v>31</v>
      </c>
      <c r="H1950" s="468">
        <v>0</v>
      </c>
      <c r="I1950" s="751"/>
      <c r="J1950" s="878" t="s">
        <v>7926</v>
      </c>
      <c r="K1950" s="789">
        <f>(('Parâmetros financeiros Despesa'!E935))</f>
        <v>0</v>
      </c>
      <c r="L1950" s="789">
        <f>(('Parâmetros financeiros Despesa'!F935)*(1+'Parâmetros financeiros Despesa'!F$4)*(1+'Parâmetros financeiros Despesa'!F$7))*('Parâmetros financeiros Despesa'!F$83)-0.03</f>
        <v>109.00315000000001</v>
      </c>
      <c r="M1950" s="799">
        <f>L1950/L$2153</f>
        <v>3.7605850935454983E-5</v>
      </c>
      <c r="N1950" s="461"/>
      <c r="P1950" s="461"/>
    </row>
    <row r="1951" spans="2:16" x14ac:dyDescent="0.25">
      <c r="B1951" s="1396">
        <v>325100</v>
      </c>
      <c r="C1951" s="1396"/>
      <c r="D1951" s="1396"/>
      <c r="E1951" s="854">
        <v>344903000000000</v>
      </c>
      <c r="F1951" s="855" t="s">
        <v>7943</v>
      </c>
      <c r="G1951" s="468">
        <v>31</v>
      </c>
      <c r="H1951" s="468">
        <v>0</v>
      </c>
      <c r="I1951" s="751"/>
      <c r="J1951" s="878" t="s">
        <v>7926</v>
      </c>
      <c r="K1951" s="789">
        <f>('Parâmetros financeiros Despesa'!E934)</f>
        <v>0</v>
      </c>
      <c r="L1951" s="789">
        <f>('Parâmetros financeiros Despesa'!F934)*(1+'Parâmetros financeiros Despesa'!F$4)*(1+'Parâmetros financeiros Despesa'!F$7)</f>
        <v>545.16575</v>
      </c>
      <c r="M1951" s="799">
        <f t="shared" ref="M1951:M1954" si="329">L1951/L$2153</f>
        <v>1.8808100435276884E-4</v>
      </c>
      <c r="N1951" s="461"/>
      <c r="P1951" s="461"/>
    </row>
    <row r="1952" spans="2:16" x14ac:dyDescent="0.25">
      <c r="B1952" s="1398" t="s">
        <v>8018</v>
      </c>
      <c r="C1952" s="1398"/>
      <c r="D1952" s="1398"/>
      <c r="E1952" s="854">
        <v>344903600000000</v>
      </c>
      <c r="F1952" s="855" t="s">
        <v>11615</v>
      </c>
      <c r="G1952" s="468">
        <v>31</v>
      </c>
      <c r="H1952" s="468">
        <v>0</v>
      </c>
      <c r="I1952" s="751"/>
      <c r="J1952" s="878" t="s">
        <v>7926</v>
      </c>
      <c r="K1952" s="789">
        <f>('Parâmetros financeiros Despesa'!E935)</f>
        <v>0</v>
      </c>
      <c r="L1952" s="789">
        <f>('Parâmetros financeiros Despesa'!F935)*(1+'Parâmetros financeiros Despesa'!F$4)*(1+'Parâmetros financeiros Despesa'!F$7)</f>
        <v>545.16575</v>
      </c>
      <c r="M1952" s="799">
        <f t="shared" si="329"/>
        <v>1.8808100435276884E-4</v>
      </c>
    </row>
    <row r="1953" spans="1:16" x14ac:dyDescent="0.25">
      <c r="B1953" s="1398" t="s">
        <v>8019</v>
      </c>
      <c r="C1953" s="1398"/>
      <c r="D1953" s="1398"/>
      <c r="E1953" s="854">
        <v>344903900000000</v>
      </c>
      <c r="F1953" s="855" t="s">
        <v>11616</v>
      </c>
      <c r="G1953" s="468">
        <v>31</v>
      </c>
      <c r="H1953" s="468">
        <v>0</v>
      </c>
      <c r="I1953" s="751"/>
      <c r="J1953" s="878" t="s">
        <v>7926</v>
      </c>
      <c r="K1953" s="789">
        <f>('Parâmetros financeiros Despesa'!E936)</f>
        <v>0</v>
      </c>
      <c r="L1953" s="789">
        <f>('Parâmetros financeiros Despesa'!F936)*(1+'Parâmetros financeiros Despesa'!F$4)*(1+'Parâmetros financeiros Despesa'!F$7)</f>
        <v>545.16575</v>
      </c>
      <c r="M1953" s="799">
        <f t="shared" si="329"/>
        <v>1.8808100435276884E-4</v>
      </c>
    </row>
    <row r="1954" spans="1:16" x14ac:dyDescent="0.25">
      <c r="B1954" s="1398" t="s">
        <v>8020</v>
      </c>
      <c r="C1954" s="1398"/>
      <c r="D1954" s="1398"/>
      <c r="E1954" s="854">
        <v>344905200000000</v>
      </c>
      <c r="F1954" s="855" t="s">
        <v>7946</v>
      </c>
      <c r="G1954" s="468">
        <v>31</v>
      </c>
      <c r="H1954" s="468">
        <v>0</v>
      </c>
      <c r="I1954" s="751"/>
      <c r="J1954" s="878" t="s">
        <v>7926</v>
      </c>
      <c r="K1954" s="789">
        <f>('Parâmetros financeiros Despesa'!E937)</f>
        <v>0</v>
      </c>
      <c r="L1954" s="789">
        <f>('Parâmetros financeiros Despesa'!F937)*(1+'Parâmetros financeiros Despesa'!F$4)*(1+'Parâmetros financeiros Despesa'!F$7)</f>
        <v>545.16575</v>
      </c>
      <c r="M1954" s="799">
        <f t="shared" si="329"/>
        <v>1.8808100435276884E-4</v>
      </c>
    </row>
    <row r="1955" spans="1:16" ht="15" customHeight="1" x14ac:dyDescent="0.25">
      <c r="B1955" s="1385" t="s">
        <v>7913</v>
      </c>
      <c r="C1955" s="1385"/>
      <c r="D1955" s="1385"/>
      <c r="E1955" s="1385"/>
      <c r="F1955" s="1385"/>
      <c r="G1955" s="401"/>
      <c r="H1955" s="401"/>
      <c r="I1955" s="426"/>
      <c r="J1955" s="411"/>
      <c r="K1955" s="402">
        <f t="shared" ref="K1955:L1957" si="330">K1956</f>
        <v>1507467.3614875001</v>
      </c>
      <c r="L1955" s="402">
        <f t="shared" si="330"/>
        <v>1730514.9424372604</v>
      </c>
      <c r="M1955" s="451">
        <f>L1955/L$2153</f>
        <v>0.59702391139038713</v>
      </c>
    </row>
    <row r="1956" spans="1:16" ht="15" customHeight="1" x14ac:dyDescent="0.25">
      <c r="B1956" s="1386" t="s">
        <v>8031</v>
      </c>
      <c r="C1956" s="1386"/>
      <c r="D1956" s="1386"/>
      <c r="E1956" s="1386"/>
      <c r="F1956" s="1386"/>
      <c r="G1956" s="403"/>
      <c r="H1956" s="403"/>
      <c r="I1956" s="427"/>
      <c r="J1956" s="412"/>
      <c r="K1956" s="404">
        <f t="shared" si="330"/>
        <v>1507467.3614875001</v>
      </c>
      <c r="L1956" s="404">
        <f t="shared" si="330"/>
        <v>1730514.9424372604</v>
      </c>
      <c r="M1956" s="452">
        <f>L1956/L$2153</f>
        <v>0.59702391139038713</v>
      </c>
    </row>
    <row r="1957" spans="1:16" x14ac:dyDescent="0.25">
      <c r="B1957" s="1382" t="s">
        <v>7914</v>
      </c>
      <c r="C1957" s="1382"/>
      <c r="D1957" s="1382"/>
      <c r="E1957" s="1382"/>
      <c r="F1957" s="1382"/>
      <c r="G1957" s="405"/>
      <c r="H1957" s="405"/>
      <c r="I1957" s="428"/>
      <c r="J1957" s="413"/>
      <c r="K1957" s="406">
        <f t="shared" si="330"/>
        <v>1507467.3614875001</v>
      </c>
      <c r="L1957" s="406">
        <f t="shared" si="330"/>
        <v>1730514.9424372604</v>
      </c>
      <c r="M1957" s="453">
        <f>L1957/L$2153</f>
        <v>0.59702391139038713</v>
      </c>
    </row>
    <row r="1958" spans="1:16" x14ac:dyDescent="0.25">
      <c r="B1958" s="1383" t="s">
        <v>7927</v>
      </c>
      <c r="C1958" s="1383"/>
      <c r="D1958" s="1383"/>
      <c r="E1958" s="1383"/>
      <c r="F1958" s="1383"/>
      <c r="G1958" s="407"/>
      <c r="H1958" s="407"/>
      <c r="I1958" s="429"/>
      <c r="J1958" s="414"/>
      <c r="K1958" s="408">
        <f>SUM(K1959:K1971)+K1976+K1978+K1980-0.01</f>
        <v>1507467.3614875001</v>
      </c>
      <c r="L1958" s="408">
        <f>SUM(L1959:L1971)+L1976+L1978+L1980</f>
        <v>1730514.9424372604</v>
      </c>
      <c r="M1958" s="454">
        <f>L1958/L$2153</f>
        <v>0.59702391139038713</v>
      </c>
    </row>
    <row r="1959" spans="1:16" s="115" customFormat="1" x14ac:dyDescent="0.25">
      <c r="B1959" s="1398" t="s">
        <v>8021</v>
      </c>
      <c r="C1959" s="1398"/>
      <c r="D1959" s="1398"/>
      <c r="E1959" s="854">
        <v>331900400000000</v>
      </c>
      <c r="F1959" s="855" t="s">
        <v>10557</v>
      </c>
      <c r="G1959" s="468">
        <v>31</v>
      </c>
      <c r="H1959" s="468">
        <v>0</v>
      </c>
      <c r="I1959" s="751"/>
      <c r="J1959" s="878" t="s">
        <v>7926</v>
      </c>
      <c r="K1959" s="789">
        <f>(('Parâmetros financeiros Despesa'!E$939))</f>
        <v>136177.76371249999</v>
      </c>
      <c r="L1959" s="789">
        <f>(('Parâmetros financeiros Despesa'!F$939)*2.05+(('Parâmetros financeiros Despesa'!F$939)*11.28)*(1+'Parâmetros financeiros Despesa'!F$4)*(1+'Parâmetros financeiros Despesa'!F$8))*(1+'Parâmetros financeiros Despesa'!F$80)</f>
        <v>176516.51946975657</v>
      </c>
      <c r="M1959" s="799">
        <f>L1959/L$2153</f>
        <v>6.0897817345874891E-2</v>
      </c>
      <c r="N1959" s="894"/>
      <c r="P1959" s="733"/>
    </row>
    <row r="1960" spans="1:16" s="1018" customFormat="1" ht="15" customHeight="1" x14ac:dyDescent="0.25">
      <c r="A1960" s="859"/>
      <c r="B1960" s="994"/>
      <c r="C1960" s="994"/>
      <c r="D1960" s="994" t="s">
        <v>11583</v>
      </c>
      <c r="E1960" s="854">
        <v>331900800000000</v>
      </c>
      <c r="F1960" s="855" t="s">
        <v>11590</v>
      </c>
      <c r="G1960" s="468">
        <v>1</v>
      </c>
      <c r="H1960" s="468">
        <v>0</v>
      </c>
      <c r="I1960" s="751"/>
      <c r="J1960" s="878" t="s">
        <v>5966</v>
      </c>
      <c r="K1960" s="789">
        <f>(('Parâmetros financeiros Despesa'!E940))</f>
        <v>17598.132700000002</v>
      </c>
      <c r="L1960" s="789">
        <f>(('Parâmetros financeiros Despesa'!F940)*2.05+(('Parâmetros financeiros Despesa'!F940)*11.28)*(1+'Parâmetros financeiros Despesa'!F$4)*(1+'Parâmetros financeiros Despesa'!F$8))</f>
        <v>18424.347947301761</v>
      </c>
      <c r="M1960" s="799">
        <f t="shared" ref="M1960:M1981" si="331">L1960/L$2153</f>
        <v>6.3563601830698103E-3</v>
      </c>
      <c r="N1960" s="883"/>
      <c r="P1960" s="1019"/>
    </row>
    <row r="1961" spans="1:16" s="115" customFormat="1" x14ac:dyDescent="0.25">
      <c r="B1961" s="1398" t="s">
        <v>8022</v>
      </c>
      <c r="C1961" s="1398"/>
      <c r="D1961" s="1398"/>
      <c r="E1961" s="854">
        <v>331901100000000</v>
      </c>
      <c r="F1961" s="855" t="s">
        <v>10569</v>
      </c>
      <c r="G1961" s="468">
        <v>31</v>
      </c>
      <c r="H1961" s="468">
        <v>0</v>
      </c>
      <c r="I1961" s="751"/>
      <c r="J1961" s="878" t="s">
        <v>7926</v>
      </c>
      <c r="K1961" s="789">
        <f>('Parâmetros financeiros Despesa'!E$941)</f>
        <v>915439.6828500001</v>
      </c>
      <c r="L1961" s="789">
        <f>('Parâmetros financeiros Despesa'!F$941)*2.05+(('Parâmetros financeiros Despesa'!F$941)*11.28)*(1+'Parâmetros financeiros Despesa'!F$4)*(1+'Parâmetros financeiros Despesa'!F$8)</f>
        <v>958418.68731879583</v>
      </c>
      <c r="M1961" s="799">
        <f t="shared" si="331"/>
        <v>0.33065237370722839</v>
      </c>
      <c r="N1961" s="894"/>
      <c r="P1961" s="733"/>
    </row>
    <row r="1962" spans="1:16" s="115" customFormat="1" x14ac:dyDescent="0.25">
      <c r="B1962" s="1398" t="s">
        <v>8023</v>
      </c>
      <c r="C1962" s="1398"/>
      <c r="D1962" s="1398"/>
      <c r="E1962" s="854">
        <v>331901300000000</v>
      </c>
      <c r="F1962" s="855" t="s">
        <v>10558</v>
      </c>
      <c r="G1962" s="468">
        <v>31</v>
      </c>
      <c r="H1962" s="468">
        <v>0</v>
      </c>
      <c r="I1962" s="751"/>
      <c r="J1962" s="878" t="s">
        <v>7926</v>
      </c>
      <c r="K1962" s="789">
        <f>'Parâmetros financeiros Despesa'!E942</f>
        <v>181099.14722499999</v>
      </c>
      <c r="L1962" s="789">
        <f>(L1963+L1961)*'Parâmetros financeiros Despesa'!F$80</f>
        <v>228526.01889062198</v>
      </c>
      <c r="M1962" s="799">
        <f t="shared" si="331"/>
        <v>7.884098213009165E-2</v>
      </c>
      <c r="N1962" s="894"/>
      <c r="P1962" s="733"/>
    </row>
    <row r="1963" spans="1:16" s="115" customFormat="1" x14ac:dyDescent="0.25">
      <c r="B1963" s="1398" t="s">
        <v>8024</v>
      </c>
      <c r="C1963" s="1398"/>
      <c r="D1963" s="1398"/>
      <c r="E1963" s="854">
        <v>331901600000000</v>
      </c>
      <c r="F1963" s="855" t="s">
        <v>10559</v>
      </c>
      <c r="G1963" s="468">
        <v>31</v>
      </c>
      <c r="H1963" s="468">
        <v>0</v>
      </c>
      <c r="I1963" s="751"/>
      <c r="J1963" s="878" t="s">
        <v>7926</v>
      </c>
      <c r="K1963" s="789">
        <f>('Parâmetros financeiros Despesa'!E$943)</f>
        <v>0</v>
      </c>
      <c r="L1963" s="789">
        <f>('Parâmetros financeiros Despesa'!F$943)*2.05+(('Parâmetros financeiros Despesa'!F$943)*11.28)*(1+'Parâmetros financeiros Despesa'!F$4)*(1+'Parâmetros financeiros Despesa'!F$8)</f>
        <v>1395.5830560223726</v>
      </c>
      <c r="M1963" s="799">
        <f t="shared" si="331"/>
        <v>4.8147313516007622E-4</v>
      </c>
      <c r="N1963" s="894"/>
      <c r="P1963" s="733"/>
    </row>
    <row r="1964" spans="1:16" s="115" customFormat="1" x14ac:dyDescent="0.25">
      <c r="B1964" s="1398" t="s">
        <v>8025</v>
      </c>
      <c r="C1964" s="1398"/>
      <c r="D1964" s="1398"/>
      <c r="E1964" s="854">
        <v>333901400000000</v>
      </c>
      <c r="F1964" s="855" t="s">
        <v>10560</v>
      </c>
      <c r="G1964" s="468">
        <v>31</v>
      </c>
      <c r="H1964" s="468">
        <v>0</v>
      </c>
      <c r="I1964" s="751"/>
      <c r="J1964" s="878" t="s">
        <v>7926</v>
      </c>
      <c r="K1964" s="789">
        <f>('Parâmetros financeiros Despesa'!E$944)</f>
        <v>864</v>
      </c>
      <c r="L1964" s="789">
        <f>('Parâmetros financeiros Despesa'!F$944)*2+(('Parâmetros financeiros Despesa'!F$944)*10)*(1+'Parâmetros financeiros Despesa'!F$4)*(1+'Parâmetros financeiros Despesa'!F$8)</f>
        <v>903.94663150364215</v>
      </c>
      <c r="M1964" s="799">
        <f t="shared" si="331"/>
        <v>3.1185963229441187E-4</v>
      </c>
      <c r="N1964" s="894"/>
      <c r="P1964" s="733"/>
    </row>
    <row r="1965" spans="1:16" s="115" customFormat="1" x14ac:dyDescent="0.25">
      <c r="B1965" s="1396">
        <v>330500</v>
      </c>
      <c r="C1965" s="1396"/>
      <c r="D1965" s="1396"/>
      <c r="E1965" s="854">
        <v>333903000000000</v>
      </c>
      <c r="F1965" s="855" t="s">
        <v>10561</v>
      </c>
      <c r="G1965" s="468">
        <v>31</v>
      </c>
      <c r="H1965" s="468">
        <v>0</v>
      </c>
      <c r="I1965" s="751"/>
      <c r="J1965" s="878" t="s">
        <v>7926</v>
      </c>
      <c r="K1965" s="789">
        <f>('Parâmetros financeiros Despesa'!E945)</f>
        <v>44472.69</v>
      </c>
      <c r="L1965" s="789">
        <f>('Parâmetros financeiros Despesa'!F945)*(1+'Parâmetros financeiros Despesa'!F$4)*(1+'Parâmetros financeiros Despesa'!F$7)</f>
        <v>48489.974796734998</v>
      </c>
      <c r="M1965" s="799">
        <f t="shared" si="331"/>
        <v>1.6728936402938679E-2</v>
      </c>
      <c r="N1965" s="894"/>
      <c r="P1965" s="733"/>
    </row>
    <row r="1966" spans="1:16" s="115" customFormat="1" x14ac:dyDescent="0.25">
      <c r="B1966" s="1396">
        <v>330600</v>
      </c>
      <c r="C1966" s="1396"/>
      <c r="D1966" s="1396"/>
      <c r="E1966" s="854">
        <v>333903200000000</v>
      </c>
      <c r="F1966" s="855" t="s">
        <v>10564</v>
      </c>
      <c r="G1966" s="468">
        <v>31</v>
      </c>
      <c r="H1966" s="468">
        <v>0</v>
      </c>
      <c r="I1966" s="751"/>
      <c r="J1966" s="878" t="s">
        <v>7926</v>
      </c>
      <c r="K1966" s="789">
        <f>('Parâmetros financeiros Despesa'!E946)</f>
        <v>0</v>
      </c>
      <c r="L1966" s="789">
        <f>('Parâmetros financeiros Despesa'!F946)*(1+'Parâmetros financeiros Despesa'!F$4)*(1+'Parâmetros financeiros Despesa'!F$7)</f>
        <v>1090.3315</v>
      </c>
      <c r="M1966" s="799">
        <f t="shared" si="331"/>
        <v>3.7616200870553768E-4</v>
      </c>
      <c r="N1966" s="894"/>
      <c r="P1966" s="733"/>
    </row>
    <row r="1967" spans="1:16" s="115" customFormat="1" x14ac:dyDescent="0.25">
      <c r="B1967" s="1396">
        <v>330700</v>
      </c>
      <c r="C1967" s="1396"/>
      <c r="D1967" s="1396"/>
      <c r="E1967" s="854">
        <v>333903300000000</v>
      </c>
      <c r="F1967" s="855" t="s">
        <v>10570</v>
      </c>
      <c r="G1967" s="468">
        <v>31</v>
      </c>
      <c r="H1967" s="468">
        <v>0</v>
      </c>
      <c r="I1967" s="751"/>
      <c r="J1967" s="878" t="s">
        <v>7926</v>
      </c>
      <c r="K1967" s="789">
        <f>('Parâmetros financeiros Despesa'!E947)</f>
        <v>0</v>
      </c>
      <c r="L1967" s="789">
        <f>('Parâmetros financeiros Despesa'!F947)*(1+'Parâmetros financeiros Despesa'!F$4)*(1+'Parâmetros financeiros Despesa'!F$7)</f>
        <v>1635.4972500000001</v>
      </c>
      <c r="M1967" s="799">
        <f t="shared" si="331"/>
        <v>5.6424301305830658E-4</v>
      </c>
      <c r="N1967" s="894"/>
      <c r="P1967" s="733"/>
    </row>
    <row r="1968" spans="1:16" s="115" customFormat="1" x14ac:dyDescent="0.25">
      <c r="B1968" s="1398" t="s">
        <v>8092</v>
      </c>
      <c r="C1968" s="1398"/>
      <c r="D1968" s="1398"/>
      <c r="E1968" s="854">
        <v>333903500000000</v>
      </c>
      <c r="F1968" s="855" t="s">
        <v>10648</v>
      </c>
      <c r="G1968" s="468">
        <v>31</v>
      </c>
      <c r="H1968" s="468">
        <v>0</v>
      </c>
      <c r="I1968" s="751"/>
      <c r="J1968" s="878" t="s">
        <v>7926</v>
      </c>
      <c r="K1968" s="789">
        <f>('Parâmetros financeiros Despesa'!E947)</f>
        <v>0</v>
      </c>
      <c r="L1968" s="789">
        <f>('Parâmetros financeiros Despesa'!F947)*(1+'Parâmetros financeiros Despesa'!F$4)*(1+'Parâmetros financeiros Despesa'!F$7)</f>
        <v>1635.4972500000001</v>
      </c>
      <c r="M1968" s="799">
        <f t="shared" si="331"/>
        <v>5.6424301305830658E-4</v>
      </c>
      <c r="N1968" s="894"/>
      <c r="P1968" s="733"/>
    </row>
    <row r="1969" spans="2:16" s="115" customFormat="1" x14ac:dyDescent="0.25">
      <c r="B1969" s="1398" t="s">
        <v>8093</v>
      </c>
      <c r="C1969" s="1398"/>
      <c r="D1969" s="1398"/>
      <c r="E1969" s="854">
        <v>333903600000000</v>
      </c>
      <c r="F1969" s="855" t="s">
        <v>10562</v>
      </c>
      <c r="G1969" s="468">
        <v>1</v>
      </c>
      <c r="H1969" s="468">
        <v>0</v>
      </c>
      <c r="I1969" s="751"/>
      <c r="J1969" s="878" t="s">
        <v>7926</v>
      </c>
      <c r="K1969" s="789">
        <f>('Parâmetros financeiros Despesa'!E948)</f>
        <v>828</v>
      </c>
      <c r="L1969" s="789">
        <f>('Parâmetros financeiros Despesa'!F948)*(1+'Parâmetros financeiros Despesa'!F$4)*(1+'Parâmetros financeiros Despesa'!F$7)</f>
        <v>902.79448200000002</v>
      </c>
      <c r="M1969" s="799">
        <f t="shared" si="331"/>
        <v>3.114621432081852E-4</v>
      </c>
      <c r="N1969" s="894"/>
      <c r="P1969" s="733"/>
    </row>
    <row r="1970" spans="2:16" s="115" customFormat="1" x14ac:dyDescent="0.25">
      <c r="B1970" s="1398" t="s">
        <v>8026</v>
      </c>
      <c r="C1970" s="1398"/>
      <c r="D1970" s="1398"/>
      <c r="E1970" s="854">
        <v>333903900000000</v>
      </c>
      <c r="F1970" s="855" t="s">
        <v>10563</v>
      </c>
      <c r="G1970" s="468">
        <v>31</v>
      </c>
      <c r="H1970" s="468">
        <v>0</v>
      </c>
      <c r="I1970" s="751"/>
      <c r="J1970" s="878" t="s">
        <v>7926</v>
      </c>
      <c r="K1970" s="789">
        <f>('Parâmetros financeiros Despesa'!E949)</f>
        <v>140160.51</v>
      </c>
      <c r="L1970" s="789">
        <f>('Parâmetros financeiros Despesa'!F949)*(1+'Parâmetros financeiros Despesa'!F$4)*(1+'Parâmetros financeiros Despesa'!F$7)+'Parâmetros financeiros Despesa'!F1054/3</f>
        <v>209364.36244239836</v>
      </c>
      <c r="M1970" s="799">
        <f t="shared" si="331"/>
        <v>7.2230252109277596E-2</v>
      </c>
      <c r="N1970" s="894"/>
      <c r="P1970" s="733"/>
    </row>
    <row r="1971" spans="2:16" s="115" customFormat="1" x14ac:dyDescent="0.25">
      <c r="B1971" s="1398" t="s">
        <v>8027</v>
      </c>
      <c r="C1971" s="1398"/>
      <c r="D1971" s="1398"/>
      <c r="E1971" s="854">
        <v>333904700000000</v>
      </c>
      <c r="F1971" s="855" t="s">
        <v>10565</v>
      </c>
      <c r="G1971" s="468">
        <v>31</v>
      </c>
      <c r="H1971" s="468">
        <v>0</v>
      </c>
      <c r="I1971" s="751"/>
      <c r="J1971" s="878" t="s">
        <v>7926</v>
      </c>
      <c r="K1971" s="789">
        <f>(('Parâmetros financeiros Despesa'!E948))</f>
        <v>828</v>
      </c>
      <c r="L1971" s="789">
        <f>(('Parâmetros financeiros Despesa'!F948)*(1+'Parâmetros financeiros Despesa'!F$4)*(1+'Parâmetros financeiros Despesa'!F$7))*('Parâmetros financeiros Despesa'!F$83)</f>
        <v>180.55889640000001</v>
      </c>
      <c r="M1971" s="799">
        <f t="shared" si="331"/>
        <v>6.2292428641637043E-5</v>
      </c>
      <c r="N1971" s="894"/>
      <c r="P1971" s="733"/>
    </row>
    <row r="1972" spans="2:16" s="743" customFormat="1" x14ac:dyDescent="0.25">
      <c r="B1972" s="599">
        <f>B1971+1</f>
        <v>331101</v>
      </c>
      <c r="C1972" s="600" t="s">
        <v>6062</v>
      </c>
      <c r="D1972" s="528" t="str">
        <f>B1971</f>
        <v>331100</v>
      </c>
      <c r="E1972" s="417">
        <v>333904718000000</v>
      </c>
      <c r="F1972" s="418" t="s">
        <v>5904</v>
      </c>
      <c r="G1972" s="603">
        <v>31</v>
      </c>
      <c r="H1972" s="603">
        <v>0</v>
      </c>
      <c r="I1972" s="601">
        <v>372110400000000</v>
      </c>
      <c r="J1972" s="602"/>
      <c r="K1972" s="891">
        <v>0</v>
      </c>
      <c r="L1972" s="891">
        <v>0</v>
      </c>
      <c r="M1972" s="477">
        <f t="shared" si="331"/>
        <v>0</v>
      </c>
      <c r="N1972" s="796"/>
      <c r="P1972" s="399"/>
    </row>
    <row r="1973" spans="2:16" s="743" customFormat="1" x14ac:dyDescent="0.25">
      <c r="B1973" s="599">
        <f>B1972+1</f>
        <v>331102</v>
      </c>
      <c r="C1973" s="600" t="s">
        <v>6062</v>
      </c>
      <c r="D1973" s="528" t="str">
        <f>D1972</f>
        <v>331100</v>
      </c>
      <c r="E1973" s="417">
        <v>333904718000000</v>
      </c>
      <c r="F1973" s="418" t="s">
        <v>6917</v>
      </c>
      <c r="G1973" s="603">
        <v>31</v>
      </c>
      <c r="H1973" s="603">
        <v>0</v>
      </c>
      <c r="I1973" s="601">
        <v>372110400000000</v>
      </c>
      <c r="J1973" s="602"/>
      <c r="K1973" s="891">
        <v>0</v>
      </c>
      <c r="L1973" s="891">
        <v>0</v>
      </c>
      <c r="M1973" s="477">
        <f t="shared" si="331"/>
        <v>0</v>
      </c>
      <c r="N1973" s="796"/>
      <c r="P1973" s="399"/>
    </row>
    <row r="1974" spans="2:16" s="743" customFormat="1" x14ac:dyDescent="0.25">
      <c r="B1974" s="599">
        <f>B1973+1</f>
        <v>331103</v>
      </c>
      <c r="C1974" s="600" t="s">
        <v>6062</v>
      </c>
      <c r="D1974" s="528" t="str">
        <f>D1973</f>
        <v>331100</v>
      </c>
      <c r="E1974" s="417">
        <v>333904720000000</v>
      </c>
      <c r="F1974" s="418" t="s">
        <v>5905</v>
      </c>
      <c r="G1974" s="603">
        <v>31</v>
      </c>
      <c r="H1974" s="603">
        <v>0</v>
      </c>
      <c r="I1974" s="601">
        <v>372110500000000</v>
      </c>
      <c r="J1974" s="602"/>
      <c r="K1974" s="891">
        <v>0</v>
      </c>
      <c r="L1974" s="891">
        <v>0</v>
      </c>
      <c r="M1974" s="477">
        <f t="shared" si="331"/>
        <v>0</v>
      </c>
      <c r="N1974" s="796"/>
      <c r="P1974" s="399"/>
    </row>
    <row r="1975" spans="2:16" s="743" customFormat="1" x14ac:dyDescent="0.25">
      <c r="B1975" s="599">
        <f>B1974+1</f>
        <v>331104</v>
      </c>
      <c r="C1975" s="600" t="s">
        <v>6062</v>
      </c>
      <c r="D1975" s="528" t="str">
        <f>D1974</f>
        <v>331100</v>
      </c>
      <c r="E1975" s="417">
        <v>333904720000000</v>
      </c>
      <c r="F1975" s="418" t="s">
        <v>6918</v>
      </c>
      <c r="G1975" s="603">
        <v>31</v>
      </c>
      <c r="H1975" s="603">
        <v>0</v>
      </c>
      <c r="I1975" s="601">
        <v>372110500000000</v>
      </c>
      <c r="J1975" s="602"/>
      <c r="K1975" s="891">
        <v>0</v>
      </c>
      <c r="L1975" s="891">
        <v>0</v>
      </c>
      <c r="M1975" s="477">
        <f t="shared" si="331"/>
        <v>0</v>
      </c>
      <c r="N1975" s="796"/>
      <c r="P1975" s="399"/>
    </row>
    <row r="1976" spans="2:16" s="115" customFormat="1" x14ac:dyDescent="0.25">
      <c r="B1976" s="1398" t="s">
        <v>8028</v>
      </c>
      <c r="C1976" s="1398"/>
      <c r="D1976" s="1398"/>
      <c r="E1976" s="854">
        <v>333904900000000</v>
      </c>
      <c r="F1976" s="855" t="s">
        <v>10566</v>
      </c>
      <c r="G1976" s="468">
        <v>31</v>
      </c>
      <c r="H1976" s="468">
        <v>0</v>
      </c>
      <c r="I1976" s="751"/>
      <c r="J1976" s="878" t="s">
        <v>7926</v>
      </c>
      <c r="K1976" s="789">
        <f>('Parâmetros financeiros Despesa'!E$951+'Parâmetros financeiros Despesa'!E952)</f>
        <v>52737.82</v>
      </c>
      <c r="L1976" s="789">
        <f>('Parâmetros financeiros Despesa'!F$951+'Parâmetros financeiros Despesa'!F952)*2+(('Parâmetros financeiros Despesa'!F$951+'Parâmetros financeiros Despesa'!F952)*10)*(1+'Parâmetros financeiros Despesa'!F$4)*(1+'Parâmetros financeiros Despesa'!F$8)</f>
        <v>63664.763277037135</v>
      </c>
      <c r="M1976" s="799">
        <f>L1976/L$2153</f>
        <v>2.1964205599905019E-2</v>
      </c>
      <c r="N1976" s="894"/>
      <c r="P1976" s="733"/>
    </row>
    <row r="1977" spans="2:16" s="743" customFormat="1" x14ac:dyDescent="0.25">
      <c r="B1977" s="599">
        <f>B1976+1</f>
        <v>331201</v>
      </c>
      <c r="C1977" s="600" t="s">
        <v>6062</v>
      </c>
      <c r="D1977" s="528" t="str">
        <f>B1976</f>
        <v>331200</v>
      </c>
      <c r="E1977" s="417">
        <v>333904901000000</v>
      </c>
      <c r="F1977" s="418" t="s">
        <v>6042</v>
      </c>
      <c r="G1977" s="603">
        <v>31</v>
      </c>
      <c r="H1977" s="603">
        <v>0</v>
      </c>
      <c r="I1977" s="601">
        <v>313110200000000</v>
      </c>
      <c r="J1977" s="602"/>
      <c r="K1977" s="891">
        <v>0</v>
      </c>
      <c r="L1977" s="891">
        <v>0</v>
      </c>
      <c r="M1977" s="477">
        <f t="shared" si="331"/>
        <v>0</v>
      </c>
      <c r="N1977" s="796"/>
      <c r="P1977" s="399"/>
    </row>
    <row r="1978" spans="2:16" s="115" customFormat="1" x14ac:dyDescent="0.25">
      <c r="B1978" s="1398" t="s">
        <v>8029</v>
      </c>
      <c r="C1978" s="1398"/>
      <c r="D1978" s="1398"/>
      <c r="E1978" s="854">
        <v>333909300000000</v>
      </c>
      <c r="F1978" s="855" t="s">
        <v>10567</v>
      </c>
      <c r="G1978" s="468">
        <v>31</v>
      </c>
      <c r="H1978" s="468">
        <v>0</v>
      </c>
      <c r="I1978" s="751"/>
      <c r="J1978" s="878" t="s">
        <v>7926</v>
      </c>
      <c r="K1978" s="789">
        <f>('Parâmetros financeiros Despesa'!E$953)</f>
        <v>0</v>
      </c>
      <c r="L1978" s="789">
        <f>('Parâmetros financeiros Despesa'!F$953)*(1+'Parâmetros financeiros Despesa'!F$4)*(1+'Parâmetros financeiros Despesa'!F$7)</f>
        <v>545.16575</v>
      </c>
      <c r="M1978" s="799" t="e">
        <f>L1978/#REF!</f>
        <v>#REF!</v>
      </c>
      <c r="N1978" s="894"/>
      <c r="P1978" s="733"/>
    </row>
    <row r="1979" spans="2:16" s="743" customFormat="1" x14ac:dyDescent="0.25">
      <c r="B1979" s="599">
        <f>B1978+1</f>
        <v>331301</v>
      </c>
      <c r="C1979" s="600" t="s">
        <v>6062</v>
      </c>
      <c r="D1979" s="528" t="str">
        <f>B1978</f>
        <v>331300</v>
      </c>
      <c r="E1979" s="417">
        <v>333909399000000</v>
      </c>
      <c r="F1979" s="418" t="s">
        <v>1038</v>
      </c>
      <c r="G1979" s="603">
        <v>31</v>
      </c>
      <c r="H1979" s="603">
        <v>0</v>
      </c>
      <c r="I1979" s="601">
        <v>399910300000000</v>
      </c>
      <c r="J1979" s="602"/>
      <c r="K1979" s="891">
        <v>0</v>
      </c>
      <c r="L1979" s="891">
        <v>0</v>
      </c>
      <c r="M1979" s="477">
        <f t="shared" si="331"/>
        <v>0</v>
      </c>
      <c r="N1979" s="796"/>
      <c r="P1979" s="399"/>
    </row>
    <row r="1980" spans="2:16" s="115" customFormat="1" ht="30" x14ac:dyDescent="0.25">
      <c r="B1980" s="1398" t="s">
        <v>8030</v>
      </c>
      <c r="C1980" s="1398"/>
      <c r="D1980" s="1398"/>
      <c r="E1980" s="854">
        <v>333933000000000</v>
      </c>
      <c r="F1980" s="855" t="s">
        <v>10568</v>
      </c>
      <c r="G1980" s="468">
        <v>31</v>
      </c>
      <c r="H1980" s="468">
        <v>0</v>
      </c>
      <c r="I1980" s="751"/>
      <c r="J1980" s="878" t="s">
        <v>6197</v>
      </c>
      <c r="K1980" s="789">
        <f>('Parâmetros financeiros Despesa'!E$954)</f>
        <v>17261.625</v>
      </c>
      <c r="L1980" s="789">
        <f>('Parâmetros financeiros Despesa'!F$954)*(1+'Parâmetros financeiros Despesa'!F$4)*(1+'Parâmetros financeiros Despesa'!F$7)</f>
        <v>18820.8934786875</v>
      </c>
      <c r="M1980" s="799">
        <f>L1980/L$2153</f>
        <v>6.493167533521727E-3</v>
      </c>
      <c r="N1980" s="894"/>
      <c r="P1980" s="733"/>
    </row>
    <row r="1981" spans="2:16" s="743" customFormat="1" x14ac:dyDescent="0.25">
      <c r="B1981" s="599">
        <f>B1980+1</f>
        <v>331401</v>
      </c>
      <c r="C1981" s="600" t="s">
        <v>6062</v>
      </c>
      <c r="D1981" s="528" t="str">
        <f>B1980</f>
        <v>331400</v>
      </c>
      <c r="E1981" s="417">
        <v>333933002000000</v>
      </c>
      <c r="F1981" s="418" t="s">
        <v>6199</v>
      </c>
      <c r="G1981" s="603">
        <v>31</v>
      </c>
      <c r="H1981" s="603">
        <v>0</v>
      </c>
      <c r="I1981" s="601">
        <v>35</v>
      </c>
      <c r="J1981" s="602"/>
      <c r="K1981" s="891">
        <v>0</v>
      </c>
      <c r="L1981" s="891">
        <v>0</v>
      </c>
      <c r="M1981" s="477">
        <f t="shared" si="331"/>
        <v>0</v>
      </c>
      <c r="N1981" s="796"/>
      <c r="P1981" s="399"/>
    </row>
    <row r="1982" spans="2:16" s="748" customFormat="1" ht="15" customHeight="1" x14ac:dyDescent="0.25">
      <c r="B1982" s="1385" t="s">
        <v>7913</v>
      </c>
      <c r="C1982" s="1385"/>
      <c r="D1982" s="1385"/>
      <c r="E1982" s="1385"/>
      <c r="F1982" s="1385"/>
      <c r="G1982" s="401"/>
      <c r="H1982" s="401"/>
      <c r="I1982" s="426"/>
      <c r="J1982" s="411"/>
      <c r="K1982" s="402">
        <f t="shared" ref="K1982:L1984" si="332">K1983</f>
        <v>0</v>
      </c>
      <c r="L1982" s="402">
        <f t="shared" si="332"/>
        <v>17881.426600000003</v>
      </c>
      <c r="M1982" s="451">
        <f>L1982/L$2153</f>
        <v>6.1690534927924534E-3</v>
      </c>
      <c r="N1982" s="796"/>
      <c r="P1982" s="399"/>
    </row>
    <row r="1983" spans="2:16" s="748" customFormat="1" ht="15" customHeight="1" x14ac:dyDescent="0.25">
      <c r="B1983" s="1386" t="s">
        <v>8034</v>
      </c>
      <c r="C1983" s="1386"/>
      <c r="D1983" s="1386"/>
      <c r="E1983" s="1386"/>
      <c r="F1983" s="1386"/>
      <c r="G1983" s="403"/>
      <c r="H1983" s="403"/>
      <c r="I1983" s="427"/>
      <c r="J1983" s="412"/>
      <c r="K1983" s="404">
        <f t="shared" si="332"/>
        <v>0</v>
      </c>
      <c r="L1983" s="404">
        <f t="shared" si="332"/>
        <v>17881.426600000003</v>
      </c>
      <c r="M1983" s="452">
        <f>L1983/L$2153</f>
        <v>6.1690534927924534E-3</v>
      </c>
      <c r="N1983" s="796"/>
      <c r="P1983" s="399"/>
    </row>
    <row r="1984" spans="2:16" s="748" customFormat="1" x14ac:dyDescent="0.25">
      <c r="B1984" s="1382" t="s">
        <v>7914</v>
      </c>
      <c r="C1984" s="1382"/>
      <c r="D1984" s="1382"/>
      <c r="E1984" s="1382"/>
      <c r="F1984" s="1382"/>
      <c r="G1984" s="405"/>
      <c r="H1984" s="405"/>
      <c r="I1984" s="428"/>
      <c r="J1984" s="413"/>
      <c r="K1984" s="406">
        <f t="shared" si="332"/>
        <v>0</v>
      </c>
      <c r="L1984" s="406">
        <f t="shared" si="332"/>
        <v>17881.426600000003</v>
      </c>
      <c r="M1984" s="453">
        <f>L1984/L$2153</f>
        <v>6.1690534927924534E-3</v>
      </c>
      <c r="N1984" s="796"/>
      <c r="P1984" s="399"/>
    </row>
    <row r="1985" spans="2:16" s="748" customFormat="1" x14ac:dyDescent="0.25">
      <c r="B1985" s="1383" t="s">
        <v>7927</v>
      </c>
      <c r="C1985" s="1383"/>
      <c r="D1985" s="1383"/>
      <c r="E1985" s="1383"/>
      <c r="F1985" s="1383"/>
      <c r="G1985" s="407"/>
      <c r="H1985" s="407"/>
      <c r="I1985" s="429"/>
      <c r="J1985" s="414"/>
      <c r="K1985" s="408">
        <f>K1986+K1987+K1988+K1989+K1994+K1996</f>
        <v>0</v>
      </c>
      <c r="L1985" s="408">
        <f>L1986+L1987+L1988+L1989+L1994+L1996-0.01</f>
        <v>17881.426600000003</v>
      </c>
      <c r="M1985" s="454">
        <f>L1985/L$2153</f>
        <v>6.1690534927924534E-3</v>
      </c>
      <c r="N1985" s="796"/>
      <c r="P1985" s="399"/>
    </row>
    <row r="1986" spans="2:16" s="115" customFormat="1" x14ac:dyDescent="0.25">
      <c r="B1986" s="1396">
        <v>332000</v>
      </c>
      <c r="C1986" s="1396"/>
      <c r="D1986" s="1396"/>
      <c r="E1986" s="854">
        <v>333903000000000</v>
      </c>
      <c r="F1986" s="855" t="s">
        <v>8064</v>
      </c>
      <c r="G1986" s="468">
        <v>31</v>
      </c>
      <c r="H1986" s="468">
        <v>0</v>
      </c>
      <c r="I1986" s="751"/>
      <c r="J1986" s="878" t="s">
        <v>7926</v>
      </c>
      <c r="K1986" s="789">
        <f>('Parâmetros financeiros Despesa'!E$957)</f>
        <v>0</v>
      </c>
      <c r="L1986" s="789">
        <f>('Parâmetros financeiros Despesa'!F$957)*(1+'Parâmetros financeiros Despesa'!F$4)*(1+'Parâmetros financeiros Despesa'!F$7)</f>
        <v>2180.663</v>
      </c>
      <c r="M1986" s="799">
        <f>L1986/L$2153</f>
        <v>7.5232401741107536E-4</v>
      </c>
      <c r="N1986" s="894"/>
      <c r="P1986" s="733"/>
    </row>
    <row r="1987" spans="2:16" s="115" customFormat="1" x14ac:dyDescent="0.25">
      <c r="B1987" s="1398" t="s">
        <v>8053</v>
      </c>
      <c r="C1987" s="1398"/>
      <c r="D1987" s="1398"/>
      <c r="E1987" s="854">
        <v>333903600000000</v>
      </c>
      <c r="F1987" s="855" t="s">
        <v>8068</v>
      </c>
      <c r="G1987" s="468">
        <v>1</v>
      </c>
      <c r="H1987" s="468">
        <v>0</v>
      </c>
      <c r="I1987" s="751"/>
      <c r="J1987" s="878" t="s">
        <v>7926</v>
      </c>
      <c r="K1987" s="789">
        <f>('Parâmetros financeiros Despesa'!E$958)</f>
        <v>0</v>
      </c>
      <c r="L1987" s="789">
        <f>('Parâmetros financeiros Despesa'!F$958)*(1+'Parâmetros financeiros Despesa'!F$4)*(1+'Parâmetros financeiros Despesa'!F$7)</f>
        <v>2180.663</v>
      </c>
      <c r="M1987" s="799">
        <f t="shared" ref="M1987:M1989" si="333">L1987/L$2153</f>
        <v>7.5232401741107536E-4</v>
      </c>
      <c r="N1987" s="894"/>
      <c r="P1987" s="733"/>
    </row>
    <row r="1988" spans="2:16" s="115" customFormat="1" x14ac:dyDescent="0.25">
      <c r="B1988" s="1398" t="s">
        <v>8054</v>
      </c>
      <c r="C1988" s="1398"/>
      <c r="D1988" s="1398"/>
      <c r="E1988" s="854">
        <v>333903900000000</v>
      </c>
      <c r="F1988" s="855" t="s">
        <v>8067</v>
      </c>
      <c r="G1988" s="468">
        <v>31</v>
      </c>
      <c r="H1988" s="468">
        <v>0</v>
      </c>
      <c r="I1988" s="751"/>
      <c r="J1988" s="878" t="s">
        <v>7926</v>
      </c>
      <c r="K1988" s="789">
        <f>('Parâmetros financeiros Despesa'!E$959)</f>
        <v>0</v>
      </c>
      <c r="L1988" s="789">
        <f>('Parâmetros financeiros Despesa'!F$959)*(1+'Parâmetros financeiros Despesa'!F$4)*(1+'Parâmetros financeiros Despesa'!F$7)</f>
        <v>5451.6575000000003</v>
      </c>
      <c r="M1988" s="799">
        <f t="shared" si="333"/>
        <v>1.8808100435276885E-3</v>
      </c>
      <c r="N1988" s="894"/>
      <c r="P1988" s="733"/>
    </row>
    <row r="1989" spans="2:16" s="115" customFormat="1" x14ac:dyDescent="0.25">
      <c r="B1989" s="1398" t="s">
        <v>8055</v>
      </c>
      <c r="C1989" s="1398"/>
      <c r="D1989" s="1398"/>
      <c r="E1989" s="854">
        <v>333904700000000</v>
      </c>
      <c r="F1989" s="855" t="s">
        <v>8066</v>
      </c>
      <c r="G1989" s="468">
        <v>31</v>
      </c>
      <c r="H1989" s="468">
        <v>0</v>
      </c>
      <c r="I1989" s="751"/>
      <c r="J1989" s="878" t="s">
        <v>7926</v>
      </c>
      <c r="K1989" s="789">
        <f>'Parâmetros financeiros Despesa'!E956</f>
        <v>0</v>
      </c>
      <c r="L1989" s="789">
        <f>(('Parâmetros financeiros Despesa'!F958)*(1+'Parâmetros financeiros Despesa'!F$4)*(1+'Parâmetros financeiros Despesa'!F$7))*('Parâmetros financeiros Despesa'!F$83)</f>
        <v>436.13260000000002</v>
      </c>
      <c r="M1989" s="799">
        <f t="shared" si="333"/>
        <v>1.5046480348221509E-4</v>
      </c>
      <c r="N1989" s="894"/>
      <c r="P1989" s="733"/>
    </row>
    <row r="1990" spans="2:16" s="748" customFormat="1" x14ac:dyDescent="0.25">
      <c r="B1990" s="599">
        <f>B1989+1</f>
        <v>332301</v>
      </c>
      <c r="C1990" s="600" t="s">
        <v>6062</v>
      </c>
      <c r="D1990" s="528" t="str">
        <f>B1989</f>
        <v>332300</v>
      </c>
      <c r="E1990" s="417">
        <v>333904718000000</v>
      </c>
      <c r="F1990" s="418" t="s">
        <v>5904</v>
      </c>
      <c r="G1990" s="603">
        <v>31</v>
      </c>
      <c r="H1990" s="603">
        <v>0</v>
      </c>
      <c r="I1990" s="601">
        <v>372110400000000</v>
      </c>
      <c r="J1990" s="602"/>
      <c r="K1990" s="891">
        <v>0</v>
      </c>
      <c r="L1990" s="891">
        <v>0</v>
      </c>
      <c r="M1990" s="477">
        <f t="shared" ref="M1990:M1994" si="334">L1990/L$2153</f>
        <v>0</v>
      </c>
      <c r="N1990" s="796"/>
      <c r="P1990" s="399"/>
    </row>
    <row r="1991" spans="2:16" s="748" customFormat="1" x14ac:dyDescent="0.25">
      <c r="B1991" s="599">
        <f>B1990+1</f>
        <v>332302</v>
      </c>
      <c r="C1991" s="600" t="s">
        <v>6062</v>
      </c>
      <c r="D1991" s="528" t="str">
        <f>D1990</f>
        <v>332300</v>
      </c>
      <c r="E1991" s="417">
        <v>333904718000000</v>
      </c>
      <c r="F1991" s="418" t="s">
        <v>6917</v>
      </c>
      <c r="G1991" s="603">
        <v>31</v>
      </c>
      <c r="H1991" s="603">
        <v>0</v>
      </c>
      <c r="I1991" s="601">
        <v>372110400000000</v>
      </c>
      <c r="J1991" s="602"/>
      <c r="K1991" s="891">
        <v>0</v>
      </c>
      <c r="L1991" s="891">
        <v>0</v>
      </c>
      <c r="M1991" s="477">
        <f t="shared" si="334"/>
        <v>0</v>
      </c>
      <c r="N1991" s="796"/>
      <c r="P1991" s="399"/>
    </row>
    <row r="1992" spans="2:16" s="748" customFormat="1" x14ac:dyDescent="0.25">
      <c r="B1992" s="599">
        <f>B1991+1</f>
        <v>332303</v>
      </c>
      <c r="C1992" s="600" t="s">
        <v>6062</v>
      </c>
      <c r="D1992" s="528" t="str">
        <f>D1991</f>
        <v>332300</v>
      </c>
      <c r="E1992" s="417">
        <v>333904720000000</v>
      </c>
      <c r="F1992" s="418" t="s">
        <v>5905</v>
      </c>
      <c r="G1992" s="603">
        <v>31</v>
      </c>
      <c r="H1992" s="603">
        <v>0</v>
      </c>
      <c r="I1992" s="601">
        <v>372110500000000</v>
      </c>
      <c r="J1992" s="602"/>
      <c r="K1992" s="891">
        <v>0</v>
      </c>
      <c r="L1992" s="891">
        <v>0</v>
      </c>
      <c r="M1992" s="477">
        <f t="shared" si="334"/>
        <v>0</v>
      </c>
      <c r="N1992" s="796"/>
      <c r="P1992" s="399"/>
    </row>
    <row r="1993" spans="2:16" s="748" customFormat="1" x14ac:dyDescent="0.25">
      <c r="B1993" s="599">
        <f>B1992+1</f>
        <v>332304</v>
      </c>
      <c r="C1993" s="600" t="s">
        <v>6062</v>
      </c>
      <c r="D1993" s="528" t="str">
        <f>D1992</f>
        <v>332300</v>
      </c>
      <c r="E1993" s="417">
        <v>333904720000000</v>
      </c>
      <c r="F1993" s="418" t="s">
        <v>6918</v>
      </c>
      <c r="G1993" s="603">
        <v>31</v>
      </c>
      <c r="H1993" s="603">
        <v>0</v>
      </c>
      <c r="I1993" s="601">
        <v>372110500000000</v>
      </c>
      <c r="J1993" s="602"/>
      <c r="K1993" s="891">
        <v>0</v>
      </c>
      <c r="L1993" s="891">
        <v>0</v>
      </c>
      <c r="M1993" s="477">
        <f t="shared" si="334"/>
        <v>0</v>
      </c>
      <c r="N1993" s="796"/>
      <c r="P1993" s="399"/>
    </row>
    <row r="1994" spans="2:16" s="115" customFormat="1" ht="30" x14ac:dyDescent="0.25">
      <c r="B1994" s="1398" t="s">
        <v>8056</v>
      </c>
      <c r="C1994" s="1398"/>
      <c r="D1994" s="1398"/>
      <c r="E1994" s="854">
        <v>333933000000000</v>
      </c>
      <c r="F1994" s="855" t="s">
        <v>8069</v>
      </c>
      <c r="G1994" s="468">
        <v>31</v>
      </c>
      <c r="H1994" s="468">
        <v>0</v>
      </c>
      <c r="I1994" s="751"/>
      <c r="J1994" s="878" t="s">
        <v>6197</v>
      </c>
      <c r="K1994" s="789">
        <f>('Parâmetros financeiros Despesa'!E$960)</f>
        <v>0</v>
      </c>
      <c r="L1994" s="789">
        <f>('Parâmetros financeiros Despesa'!F$960)*(1+'Parâmetros financeiros Despesa'!F$4)*(1+'Parâmetros financeiros Despesa'!F$7)</f>
        <v>3270.9945000000002</v>
      </c>
      <c r="M1994" s="799">
        <f t="shared" si="334"/>
        <v>1.1284860261166132E-3</v>
      </c>
      <c r="N1994" s="894"/>
      <c r="P1994" s="733"/>
    </row>
    <row r="1995" spans="2:16" s="748" customFormat="1" x14ac:dyDescent="0.25">
      <c r="B1995" s="599">
        <f>B1994+1</f>
        <v>332401</v>
      </c>
      <c r="C1995" s="600" t="s">
        <v>6062</v>
      </c>
      <c r="D1995" s="528" t="str">
        <f>B1994</f>
        <v>332400</v>
      </c>
      <c r="E1995" s="417">
        <v>333933002000000</v>
      </c>
      <c r="F1995" s="418" t="s">
        <v>6199</v>
      </c>
      <c r="G1995" s="603">
        <v>31</v>
      </c>
      <c r="H1995" s="603">
        <v>0</v>
      </c>
      <c r="I1995" s="601">
        <v>35</v>
      </c>
      <c r="J1995" s="602"/>
      <c r="K1995" s="891">
        <v>0</v>
      </c>
      <c r="L1995" s="891">
        <v>0</v>
      </c>
      <c r="M1995" s="477">
        <f t="shared" ref="M1995:M1996" si="335">L1995/L$2153</f>
        <v>0</v>
      </c>
      <c r="N1995" s="796"/>
      <c r="P1995" s="399"/>
    </row>
    <row r="1996" spans="2:16" s="115" customFormat="1" ht="30" x14ac:dyDescent="0.25">
      <c r="B1996" s="1398" t="s">
        <v>8057</v>
      </c>
      <c r="C1996" s="1398"/>
      <c r="D1996" s="1398"/>
      <c r="E1996" s="854">
        <v>344905200000000</v>
      </c>
      <c r="F1996" s="855" t="s">
        <v>8065</v>
      </c>
      <c r="G1996" s="468">
        <v>31</v>
      </c>
      <c r="H1996" s="468">
        <v>0</v>
      </c>
      <c r="I1996" s="751"/>
      <c r="J1996" s="878" t="s">
        <v>6197</v>
      </c>
      <c r="K1996" s="789">
        <f>('Parâmetros financeiros Despesa'!E$961)</f>
        <v>0</v>
      </c>
      <c r="L1996" s="789">
        <f>('Parâmetros financeiros Despesa'!F$961)*(1+'Parâmetros financeiros Despesa'!F$4)*(1+'Parâmetros financeiros Despesa'!F$7)</f>
        <v>4361.326</v>
      </c>
      <c r="M1996" s="799">
        <f t="shared" si="335"/>
        <v>1.5046480348221507E-3</v>
      </c>
      <c r="N1996" s="894"/>
      <c r="P1996" s="733"/>
    </row>
    <row r="1997" spans="2:16" s="748" customFormat="1" ht="15" customHeight="1" x14ac:dyDescent="0.25">
      <c r="B1997" s="1385" t="s">
        <v>7913</v>
      </c>
      <c r="C1997" s="1385"/>
      <c r="D1997" s="1385"/>
      <c r="E1997" s="1385"/>
      <c r="F1997" s="1385"/>
      <c r="G1997" s="401"/>
      <c r="H1997" s="401"/>
      <c r="I1997" s="426"/>
      <c r="J1997" s="411"/>
      <c r="K1997" s="402">
        <f t="shared" ref="K1997:L2000" si="336">K1998</f>
        <v>0</v>
      </c>
      <c r="L1997" s="402">
        <f t="shared" si="336"/>
        <v>5451.6575000000003</v>
      </c>
      <c r="M1997" s="451">
        <f t="shared" ref="M1997:M2006" si="337">L1997/L$2153</f>
        <v>1.8808100435276885E-3</v>
      </c>
      <c r="N1997" s="796"/>
      <c r="P1997" s="399"/>
    </row>
    <row r="1998" spans="2:16" s="748" customFormat="1" ht="15" customHeight="1" x14ac:dyDescent="0.25">
      <c r="B1998" s="1386" t="s">
        <v>8121</v>
      </c>
      <c r="C1998" s="1386"/>
      <c r="D1998" s="1386"/>
      <c r="E1998" s="1386"/>
      <c r="F1998" s="1386"/>
      <c r="G1998" s="403"/>
      <c r="H1998" s="403"/>
      <c r="I1998" s="427"/>
      <c r="J1998" s="412"/>
      <c r="K1998" s="404">
        <f t="shared" si="336"/>
        <v>0</v>
      </c>
      <c r="L1998" s="404">
        <f t="shared" si="336"/>
        <v>5451.6575000000003</v>
      </c>
      <c r="M1998" s="452">
        <f t="shared" si="337"/>
        <v>1.8808100435276885E-3</v>
      </c>
      <c r="N1998" s="796"/>
      <c r="P1998" s="399"/>
    </row>
    <row r="1999" spans="2:16" s="748" customFormat="1" x14ac:dyDescent="0.25">
      <c r="B1999" s="1382" t="s">
        <v>7914</v>
      </c>
      <c r="C1999" s="1382"/>
      <c r="D1999" s="1382"/>
      <c r="E1999" s="1382"/>
      <c r="F1999" s="1382"/>
      <c r="G1999" s="405"/>
      <c r="H1999" s="405"/>
      <c r="I1999" s="428"/>
      <c r="J1999" s="413"/>
      <c r="K1999" s="406">
        <f t="shared" si="336"/>
        <v>0</v>
      </c>
      <c r="L1999" s="406">
        <f t="shared" si="336"/>
        <v>5451.6575000000003</v>
      </c>
      <c r="M1999" s="453">
        <f t="shared" si="337"/>
        <v>1.8808100435276885E-3</v>
      </c>
      <c r="N1999" s="796"/>
      <c r="P1999" s="399"/>
    </row>
    <row r="2000" spans="2:16" s="748" customFormat="1" x14ac:dyDescent="0.25">
      <c r="B2000" s="1383" t="s">
        <v>7927</v>
      </c>
      <c r="C2000" s="1383"/>
      <c r="D2000" s="1383"/>
      <c r="E2000" s="1383"/>
      <c r="F2000" s="1383"/>
      <c r="G2000" s="407"/>
      <c r="H2000" s="407"/>
      <c r="I2000" s="429"/>
      <c r="J2000" s="414"/>
      <c r="K2000" s="408">
        <f t="shared" si="336"/>
        <v>0</v>
      </c>
      <c r="L2000" s="408">
        <f t="shared" si="336"/>
        <v>5451.6575000000003</v>
      </c>
      <c r="M2000" s="454">
        <f t="shared" si="337"/>
        <v>1.8808100435276885E-3</v>
      </c>
      <c r="N2000" s="796"/>
      <c r="P2000" s="399"/>
    </row>
    <row r="2001" spans="2:16" s="115" customFormat="1" x14ac:dyDescent="0.25">
      <c r="B2001" s="1396">
        <v>332600</v>
      </c>
      <c r="C2001" s="1396"/>
      <c r="D2001" s="1396"/>
      <c r="E2001" s="854">
        <v>333903200000000</v>
      </c>
      <c r="F2001" s="855" t="s">
        <v>8122</v>
      </c>
      <c r="G2001" s="468">
        <v>31</v>
      </c>
      <c r="H2001" s="468">
        <v>0</v>
      </c>
      <c r="I2001" s="751"/>
      <c r="J2001" s="878" t="s">
        <v>7926</v>
      </c>
      <c r="K2001" s="789">
        <f>('Parâmetros financeiros Despesa'!E$963)</f>
        <v>0</v>
      </c>
      <c r="L2001" s="789">
        <f>('Parâmetros financeiros Despesa'!F$963)*(1+'Parâmetros financeiros Despesa'!F$4)*(1+'Parâmetros financeiros Despesa'!F$7)</f>
        <v>5451.6575000000003</v>
      </c>
      <c r="M2001" s="799">
        <f t="shared" si="337"/>
        <v>1.8808100435276885E-3</v>
      </c>
      <c r="N2001" s="894"/>
      <c r="P2001" s="733"/>
    </row>
    <row r="2002" spans="2:16" s="748" customFormat="1" ht="15" customHeight="1" x14ac:dyDescent="0.25">
      <c r="B2002" s="1385" t="s">
        <v>7913</v>
      </c>
      <c r="C2002" s="1385"/>
      <c r="D2002" s="1385"/>
      <c r="E2002" s="1385"/>
      <c r="F2002" s="1385"/>
      <c r="G2002" s="401"/>
      <c r="H2002" s="401"/>
      <c r="I2002" s="426"/>
      <c r="J2002" s="411"/>
      <c r="K2002" s="402">
        <f t="shared" ref="K2002:L2004" si="338">K2003</f>
        <v>0</v>
      </c>
      <c r="L2002" s="402">
        <f t="shared" si="338"/>
        <v>67.580553000000009</v>
      </c>
      <c r="M2002" s="451">
        <f t="shared" si="337"/>
        <v>2.3315144583010816E-5</v>
      </c>
      <c r="N2002" s="796"/>
      <c r="P2002" s="399"/>
    </row>
    <row r="2003" spans="2:16" s="748" customFormat="1" ht="15" customHeight="1" x14ac:dyDescent="0.25">
      <c r="B2003" s="1386" t="s">
        <v>8036</v>
      </c>
      <c r="C2003" s="1386"/>
      <c r="D2003" s="1386"/>
      <c r="E2003" s="1386"/>
      <c r="F2003" s="1386"/>
      <c r="G2003" s="403"/>
      <c r="H2003" s="403"/>
      <c r="I2003" s="427"/>
      <c r="J2003" s="412"/>
      <c r="K2003" s="404">
        <f t="shared" si="338"/>
        <v>0</v>
      </c>
      <c r="L2003" s="404">
        <f t="shared" si="338"/>
        <v>67.580553000000009</v>
      </c>
      <c r="M2003" s="452">
        <f t="shared" si="337"/>
        <v>2.3315144583010816E-5</v>
      </c>
      <c r="N2003" s="796"/>
      <c r="P2003" s="399"/>
    </row>
    <row r="2004" spans="2:16" s="748" customFormat="1" x14ac:dyDescent="0.25">
      <c r="B2004" s="1382" t="s">
        <v>7914</v>
      </c>
      <c r="C2004" s="1382"/>
      <c r="D2004" s="1382"/>
      <c r="E2004" s="1382"/>
      <c r="F2004" s="1382"/>
      <c r="G2004" s="405"/>
      <c r="H2004" s="405"/>
      <c r="I2004" s="428"/>
      <c r="J2004" s="413"/>
      <c r="K2004" s="406">
        <f t="shared" si="338"/>
        <v>0</v>
      </c>
      <c r="L2004" s="406">
        <f t="shared" si="338"/>
        <v>67.580553000000009</v>
      </c>
      <c r="M2004" s="453">
        <f t="shared" si="337"/>
        <v>2.3315144583010816E-5</v>
      </c>
      <c r="N2004" s="796"/>
      <c r="P2004" s="399"/>
    </row>
    <row r="2005" spans="2:16" s="748" customFormat="1" x14ac:dyDescent="0.25">
      <c r="B2005" s="1383" t="s">
        <v>7927</v>
      </c>
      <c r="C2005" s="1383"/>
      <c r="D2005" s="1383"/>
      <c r="E2005" s="1383"/>
      <c r="F2005" s="1383"/>
      <c r="G2005" s="407"/>
      <c r="H2005" s="407"/>
      <c r="I2005" s="429"/>
      <c r="J2005" s="414"/>
      <c r="K2005" s="408">
        <f>K2006+K2007+K2008+K2009+K2014+K2016+K2017</f>
        <v>0</v>
      </c>
      <c r="L2005" s="408">
        <f>L2006+L2007+L2008+L2009+L2014+L2016+L2017-0.02</f>
        <v>67.580553000000009</v>
      </c>
      <c r="M2005" s="454">
        <f t="shared" si="337"/>
        <v>2.3315144583010816E-5</v>
      </c>
      <c r="N2005" s="796"/>
      <c r="P2005" s="399"/>
    </row>
    <row r="2006" spans="2:16" s="115" customFormat="1" x14ac:dyDescent="0.25">
      <c r="B2006" s="1396">
        <v>333000</v>
      </c>
      <c r="C2006" s="1396"/>
      <c r="D2006" s="1396"/>
      <c r="E2006" s="854">
        <v>333903000000000</v>
      </c>
      <c r="F2006" s="855" t="s">
        <v>8070</v>
      </c>
      <c r="G2006" s="468">
        <v>31</v>
      </c>
      <c r="H2006" s="468">
        <v>0</v>
      </c>
      <c r="I2006" s="751"/>
      <c r="J2006" s="878" t="s">
        <v>7926</v>
      </c>
      <c r="K2006" s="789">
        <f>('Parâmetros financeiros Despesa'!E$966)</f>
        <v>0</v>
      </c>
      <c r="L2006" s="789">
        <f>('Parâmetros financeiros Despesa'!F$966)*(1+'Parâmetros financeiros Despesa'!F$4)*(1+'Parâmetros financeiros Despesa'!F$7)</f>
        <v>10.903315000000001</v>
      </c>
      <c r="M2006" s="799">
        <f t="shared" si="337"/>
        <v>3.7616200870553776E-6</v>
      </c>
      <c r="N2006" s="894"/>
      <c r="P2006" s="733"/>
    </row>
    <row r="2007" spans="2:16" s="115" customFormat="1" x14ac:dyDescent="0.25">
      <c r="B2007" s="1398" t="s">
        <v>8058</v>
      </c>
      <c r="C2007" s="1398"/>
      <c r="D2007" s="1398"/>
      <c r="E2007" s="854">
        <v>333903600000000</v>
      </c>
      <c r="F2007" s="855" t="s">
        <v>8071</v>
      </c>
      <c r="G2007" s="468">
        <v>1</v>
      </c>
      <c r="H2007" s="468">
        <v>0</v>
      </c>
      <c r="I2007" s="751"/>
      <c r="J2007" s="878" t="s">
        <v>7926</v>
      </c>
      <c r="K2007" s="789">
        <f>('Parâmetros financeiros Despesa'!E$967)</f>
        <v>0</v>
      </c>
      <c r="L2007" s="789">
        <f>('Parâmetros financeiros Despesa'!F$967)*(1+'Parâmetros financeiros Despesa'!F$4)*(1+'Parâmetros financeiros Despesa'!F$7)</f>
        <v>10.903315000000001</v>
      </c>
      <c r="M2007" s="799">
        <f t="shared" ref="M2007:M2015" si="339">L2007/L$2153</f>
        <v>3.7616200870553776E-6</v>
      </c>
      <c r="N2007" s="894"/>
      <c r="P2007" s="733"/>
    </row>
    <row r="2008" spans="2:16" s="115" customFormat="1" x14ac:dyDescent="0.25">
      <c r="B2008" s="1398" t="s">
        <v>8059</v>
      </c>
      <c r="C2008" s="1398"/>
      <c r="D2008" s="1398"/>
      <c r="E2008" s="854">
        <v>333903900000000</v>
      </c>
      <c r="F2008" s="855" t="s">
        <v>8072</v>
      </c>
      <c r="G2008" s="468">
        <v>31</v>
      </c>
      <c r="H2008" s="468">
        <v>0</v>
      </c>
      <c r="I2008" s="751"/>
      <c r="J2008" s="878" t="s">
        <v>7926</v>
      </c>
      <c r="K2008" s="789">
        <f>('Parâmetros financeiros Despesa'!E$968)</f>
        <v>0</v>
      </c>
      <c r="L2008" s="789">
        <f>('Parâmetros financeiros Despesa'!F$968)*(1+'Parâmetros financeiros Despesa'!F$4)*(1+'Parâmetros financeiros Despesa'!F$7)</f>
        <v>10.903315000000001</v>
      </c>
      <c r="M2008" s="799">
        <f t="shared" si="339"/>
        <v>3.7616200870553776E-6</v>
      </c>
      <c r="N2008" s="894"/>
      <c r="P2008" s="733"/>
    </row>
    <row r="2009" spans="2:16" s="115" customFormat="1" x14ac:dyDescent="0.25">
      <c r="B2009" s="1398" t="s">
        <v>8060</v>
      </c>
      <c r="C2009" s="1398"/>
      <c r="D2009" s="1398"/>
      <c r="E2009" s="854">
        <v>333904700000000</v>
      </c>
      <c r="F2009" s="855" t="s">
        <v>8073</v>
      </c>
      <c r="G2009" s="468">
        <v>31</v>
      </c>
      <c r="H2009" s="468">
        <v>0</v>
      </c>
      <c r="I2009" s="751"/>
      <c r="J2009" s="878" t="s">
        <v>7926</v>
      </c>
      <c r="K2009" s="789">
        <f>'Parâmetros financeiros Despesa'!E965</f>
        <v>0</v>
      </c>
      <c r="L2009" s="789">
        <f>(('Parâmetros financeiros Despesa'!F967)*(1+'Parâmetros financeiros Despesa'!F$4)*(1+'Parâmetros financeiros Despesa'!F$7))*('Parâmetros financeiros Despesa'!F$83)</f>
        <v>2.1806630000000005</v>
      </c>
      <c r="M2009" s="799">
        <f t="shared" si="339"/>
        <v>7.5232401741107553E-7</v>
      </c>
      <c r="N2009" s="894"/>
      <c r="P2009" s="733"/>
    </row>
    <row r="2010" spans="2:16" s="748" customFormat="1" x14ac:dyDescent="0.25">
      <c r="B2010" s="599">
        <f>B2009+1</f>
        <v>333301</v>
      </c>
      <c r="C2010" s="600" t="s">
        <v>6062</v>
      </c>
      <c r="D2010" s="528" t="str">
        <f>B2009</f>
        <v>333300</v>
      </c>
      <c r="E2010" s="417">
        <v>333904718000000</v>
      </c>
      <c r="F2010" s="418" t="s">
        <v>5904</v>
      </c>
      <c r="G2010" s="603">
        <v>31</v>
      </c>
      <c r="H2010" s="603">
        <v>0</v>
      </c>
      <c r="I2010" s="601">
        <v>372110400000000</v>
      </c>
      <c r="J2010" s="602"/>
      <c r="K2010" s="891">
        <v>0</v>
      </c>
      <c r="L2010" s="891">
        <v>0</v>
      </c>
      <c r="M2010" s="477">
        <f t="shared" si="339"/>
        <v>0</v>
      </c>
      <c r="N2010" s="796"/>
      <c r="P2010" s="399"/>
    </row>
    <row r="2011" spans="2:16" s="748" customFormat="1" x14ac:dyDescent="0.25">
      <c r="B2011" s="599">
        <f>B2010+1</f>
        <v>333302</v>
      </c>
      <c r="C2011" s="600" t="s">
        <v>6062</v>
      </c>
      <c r="D2011" s="528" t="str">
        <f>D2010</f>
        <v>333300</v>
      </c>
      <c r="E2011" s="417">
        <v>333904718000000</v>
      </c>
      <c r="F2011" s="418" t="s">
        <v>6917</v>
      </c>
      <c r="G2011" s="603">
        <v>31</v>
      </c>
      <c r="H2011" s="603">
        <v>0</v>
      </c>
      <c r="I2011" s="601">
        <v>372110400000000</v>
      </c>
      <c r="J2011" s="602"/>
      <c r="K2011" s="891">
        <v>0</v>
      </c>
      <c r="L2011" s="891">
        <v>0</v>
      </c>
      <c r="M2011" s="477">
        <f t="shared" si="339"/>
        <v>0</v>
      </c>
      <c r="N2011" s="796"/>
      <c r="P2011" s="399"/>
    </row>
    <row r="2012" spans="2:16" s="748" customFormat="1" x14ac:dyDescent="0.25">
      <c r="B2012" s="599">
        <f>B2011+1</f>
        <v>333303</v>
      </c>
      <c r="C2012" s="600" t="s">
        <v>6062</v>
      </c>
      <c r="D2012" s="528" t="str">
        <f>D2011</f>
        <v>333300</v>
      </c>
      <c r="E2012" s="417">
        <v>333904720000000</v>
      </c>
      <c r="F2012" s="418" t="s">
        <v>5905</v>
      </c>
      <c r="G2012" s="603">
        <v>31</v>
      </c>
      <c r="H2012" s="603">
        <v>0</v>
      </c>
      <c r="I2012" s="601">
        <v>372110500000000</v>
      </c>
      <c r="J2012" s="602"/>
      <c r="K2012" s="891">
        <v>0</v>
      </c>
      <c r="L2012" s="891">
        <v>0</v>
      </c>
      <c r="M2012" s="477">
        <f t="shared" si="339"/>
        <v>0</v>
      </c>
      <c r="N2012" s="796"/>
      <c r="P2012" s="399"/>
    </row>
    <row r="2013" spans="2:16" s="748" customFormat="1" x14ac:dyDescent="0.25">
      <c r="B2013" s="599">
        <f>B2012+1</f>
        <v>333304</v>
      </c>
      <c r="C2013" s="600" t="s">
        <v>6062</v>
      </c>
      <c r="D2013" s="528" t="str">
        <f>D2012</f>
        <v>333300</v>
      </c>
      <c r="E2013" s="417">
        <v>333904720000000</v>
      </c>
      <c r="F2013" s="418" t="s">
        <v>6918</v>
      </c>
      <c r="G2013" s="603">
        <v>31</v>
      </c>
      <c r="H2013" s="603">
        <v>0</v>
      </c>
      <c r="I2013" s="601">
        <v>372110500000000</v>
      </c>
      <c r="J2013" s="602"/>
      <c r="K2013" s="891">
        <v>0</v>
      </c>
      <c r="L2013" s="891">
        <v>0</v>
      </c>
      <c r="M2013" s="477">
        <f t="shared" si="339"/>
        <v>0</v>
      </c>
      <c r="N2013" s="796"/>
      <c r="P2013" s="399"/>
    </row>
    <row r="2014" spans="2:16" s="748" customFormat="1" ht="30" x14ac:dyDescent="0.25">
      <c r="B2014" s="1398" t="s">
        <v>8061</v>
      </c>
      <c r="C2014" s="1398"/>
      <c r="D2014" s="1398"/>
      <c r="E2014" s="417">
        <v>333933000000000</v>
      </c>
      <c r="F2014" s="855" t="s">
        <v>8076</v>
      </c>
      <c r="G2014" s="468">
        <v>31</v>
      </c>
      <c r="H2014" s="468">
        <v>0</v>
      </c>
      <c r="I2014" s="751"/>
      <c r="J2014" s="878" t="s">
        <v>6197</v>
      </c>
      <c r="K2014" s="789">
        <f>('Parâmetros financeiros Despesa'!E$968)</f>
        <v>0</v>
      </c>
      <c r="L2014" s="789">
        <f>('Parâmetros financeiros Despesa'!F$968)*(1+'Parâmetros financeiros Despesa'!F$4)*(1+'Parâmetros financeiros Despesa'!F$7)</f>
        <v>10.903315000000001</v>
      </c>
      <c r="M2014" s="799">
        <f t="shared" ref="M2014" si="340">L2014/L$2153</f>
        <v>3.7616200870553776E-6</v>
      </c>
      <c r="N2014" s="796"/>
      <c r="P2014" s="399"/>
    </row>
    <row r="2015" spans="2:16" s="748" customFormat="1" x14ac:dyDescent="0.25">
      <c r="B2015" s="599">
        <f>B2014+1</f>
        <v>333401</v>
      </c>
      <c r="C2015" s="600" t="s">
        <v>6062</v>
      </c>
      <c r="D2015" s="528" t="str">
        <f>B2014</f>
        <v>333400</v>
      </c>
      <c r="E2015" s="417">
        <v>333933002000000</v>
      </c>
      <c r="F2015" s="418" t="s">
        <v>6199</v>
      </c>
      <c r="G2015" s="603">
        <v>31</v>
      </c>
      <c r="H2015" s="603">
        <v>0</v>
      </c>
      <c r="I2015" s="601">
        <v>35</v>
      </c>
      <c r="J2015" s="602"/>
      <c r="K2015" s="891">
        <v>0</v>
      </c>
      <c r="L2015" s="891">
        <v>0</v>
      </c>
      <c r="M2015" s="477">
        <f t="shared" si="339"/>
        <v>0</v>
      </c>
      <c r="N2015" s="796"/>
      <c r="P2015" s="399"/>
    </row>
    <row r="2016" spans="2:16" s="115" customFormat="1" ht="42.75" customHeight="1" x14ac:dyDescent="0.25">
      <c r="B2016" s="1398" t="s">
        <v>8062</v>
      </c>
      <c r="C2016" s="1398"/>
      <c r="D2016" s="1398"/>
      <c r="E2016" s="854">
        <v>344905100000000</v>
      </c>
      <c r="F2016" s="855" t="s">
        <v>8074</v>
      </c>
      <c r="G2016" s="468">
        <v>31</v>
      </c>
      <c r="H2016" s="468">
        <v>0</v>
      </c>
      <c r="I2016" s="751"/>
      <c r="J2016" s="878" t="s">
        <v>6197</v>
      </c>
      <c r="K2016" s="789">
        <f>('Parâmetros financeiros Despesa'!E$969)</f>
        <v>0</v>
      </c>
      <c r="L2016" s="789">
        <f>('Parâmetros financeiros Despesa'!F$969)*(1+'Parâmetros financeiros Despesa'!F$4)*(1+'Parâmetros financeiros Despesa'!F$7)</f>
        <v>10.903315000000001</v>
      </c>
      <c r="M2016" s="799">
        <f t="shared" ref="M2016:M2017" si="341">L2016/L$2153</f>
        <v>3.7616200870553776E-6</v>
      </c>
      <c r="N2016" s="894"/>
      <c r="P2016" s="733"/>
    </row>
    <row r="2017" spans="1:16" s="115" customFormat="1" ht="30.75" customHeight="1" x14ac:dyDescent="0.25">
      <c r="B2017" s="1398" t="s">
        <v>8063</v>
      </c>
      <c r="C2017" s="1398"/>
      <c r="D2017" s="1398"/>
      <c r="E2017" s="854">
        <v>344905200000000</v>
      </c>
      <c r="F2017" s="855" t="s">
        <v>8075</v>
      </c>
      <c r="G2017" s="468">
        <v>31</v>
      </c>
      <c r="H2017" s="468">
        <v>0</v>
      </c>
      <c r="I2017" s="751"/>
      <c r="J2017" s="878" t="s">
        <v>6197</v>
      </c>
      <c r="K2017" s="789">
        <f>('Parâmetros financeiros Despesa'!E$970)</f>
        <v>0</v>
      </c>
      <c r="L2017" s="789">
        <f>('Parâmetros financeiros Despesa'!F$970)*(1+'Parâmetros financeiros Despesa'!F$4)*(1+'Parâmetros financeiros Despesa'!F$7)</f>
        <v>10.903315000000001</v>
      </c>
      <c r="M2017" s="799">
        <f t="shared" si="341"/>
        <v>3.7616200870553776E-6</v>
      </c>
      <c r="N2017" s="894"/>
      <c r="P2017" s="733"/>
    </row>
    <row r="2018" spans="1:16" s="748" customFormat="1" ht="15" customHeight="1" x14ac:dyDescent="0.25">
      <c r="B2018" s="1385" t="s">
        <v>7913</v>
      </c>
      <c r="C2018" s="1385"/>
      <c r="D2018" s="1385"/>
      <c r="E2018" s="1385"/>
      <c r="F2018" s="1385"/>
      <c r="G2018" s="401"/>
      <c r="H2018" s="401"/>
      <c r="I2018" s="426"/>
      <c r="J2018" s="411"/>
      <c r="K2018" s="402">
        <f t="shared" ref="K2018:L2020" si="342">K2019</f>
        <v>177002.72077499999</v>
      </c>
      <c r="L2018" s="402">
        <f t="shared" si="342"/>
        <v>271216.37325558538</v>
      </c>
      <c r="M2018" s="451">
        <f>L2018/L$2153</f>
        <v>9.3569062030815275E-2</v>
      </c>
      <c r="N2018" s="796"/>
      <c r="P2018" s="399"/>
    </row>
    <row r="2019" spans="1:16" s="748" customFormat="1" ht="15" customHeight="1" x14ac:dyDescent="0.25">
      <c r="B2019" s="1386" t="s">
        <v>8032</v>
      </c>
      <c r="C2019" s="1386"/>
      <c r="D2019" s="1386"/>
      <c r="E2019" s="1386"/>
      <c r="F2019" s="1386"/>
      <c r="G2019" s="403"/>
      <c r="H2019" s="403"/>
      <c r="I2019" s="427"/>
      <c r="J2019" s="412"/>
      <c r="K2019" s="404">
        <f t="shared" si="342"/>
        <v>177002.72077499999</v>
      </c>
      <c r="L2019" s="404">
        <f t="shared" si="342"/>
        <v>271216.37325558538</v>
      </c>
      <c r="M2019" s="452">
        <f>L2019/L$2153</f>
        <v>9.3569062030815275E-2</v>
      </c>
      <c r="N2019" s="796"/>
      <c r="P2019" s="399"/>
    </row>
    <row r="2020" spans="1:16" s="748" customFormat="1" x14ac:dyDescent="0.25">
      <c r="B2020" s="1382" t="s">
        <v>7914</v>
      </c>
      <c r="C2020" s="1382"/>
      <c r="D2020" s="1382"/>
      <c r="E2020" s="1382"/>
      <c r="F2020" s="1382"/>
      <c r="G2020" s="405"/>
      <c r="H2020" s="405"/>
      <c r="I2020" s="428"/>
      <c r="J2020" s="413"/>
      <c r="K2020" s="406">
        <f t="shared" si="342"/>
        <v>177002.72077499999</v>
      </c>
      <c r="L2020" s="406">
        <f t="shared" si="342"/>
        <v>271216.37325558538</v>
      </c>
      <c r="M2020" s="453">
        <f>L2020/L$2153</f>
        <v>9.3569062030815275E-2</v>
      </c>
      <c r="N2020" s="796"/>
      <c r="P2020" s="399"/>
    </row>
    <row r="2021" spans="1:16" s="748" customFormat="1" x14ac:dyDescent="0.25">
      <c r="B2021" s="1383" t="s">
        <v>7959</v>
      </c>
      <c r="C2021" s="1383"/>
      <c r="D2021" s="1383"/>
      <c r="E2021" s="1383"/>
      <c r="F2021" s="1383"/>
      <c r="G2021" s="407"/>
      <c r="H2021" s="407"/>
      <c r="I2021" s="429"/>
      <c r="J2021" s="414"/>
      <c r="K2021" s="408">
        <f>K2022+K2024+K2025+K2026+K2027+K2028+K2029+K2030+K2031+K2032+K2033+K2039+K2041+K2043+K2045+K2034</f>
        <v>177002.72077499999</v>
      </c>
      <c r="L2021" s="408">
        <f>L2022+L2023+L2024+L2025+L2026+L2027+L2028+L2029+L2030+L2031+L2032+L2033+L2039+L2041+L2043+L2045+L2034</f>
        <v>271216.37325558538</v>
      </c>
      <c r="M2021" s="454">
        <f>L2021/L$2153</f>
        <v>9.3569062030815275E-2</v>
      </c>
      <c r="N2021" s="796"/>
      <c r="P2021" s="399"/>
    </row>
    <row r="2022" spans="1:16" s="115" customFormat="1" x14ac:dyDescent="0.25">
      <c r="B2022" s="1398" t="s">
        <v>8077</v>
      </c>
      <c r="C2022" s="1398"/>
      <c r="D2022" s="1398"/>
      <c r="E2022" s="854">
        <v>331900400000000</v>
      </c>
      <c r="F2022" s="855" t="s">
        <v>10541</v>
      </c>
      <c r="G2022" s="468">
        <v>31</v>
      </c>
      <c r="H2022" s="468">
        <v>0</v>
      </c>
      <c r="I2022" s="751"/>
      <c r="J2022" s="878" t="s">
        <v>7926</v>
      </c>
      <c r="K2022" s="789">
        <f>(('Parâmetros financeiros Despesa'!E$972))</f>
        <v>10515.7870625</v>
      </c>
      <c r="L2022" s="789">
        <f>(('Parâmetros financeiros Despesa'!F$972)*2.05+(('Parâmetros financeiros Despesa'!F$972)*11.28)*(1+'Parâmetros financeiros Despesa'!F$4)*(1+'Parâmetros financeiros Despesa'!F$8))*(1+'Parâmetros financeiros Despesa'!F$80)</f>
        <v>13630.787297083585</v>
      </c>
      <c r="M2022" s="799">
        <f>L2022/L$2153</f>
        <v>4.7025921290074517E-3</v>
      </c>
      <c r="N2022" s="894"/>
      <c r="P2022" s="733"/>
    </row>
    <row r="2023" spans="1:16" s="1018" customFormat="1" ht="15" customHeight="1" x14ac:dyDescent="0.25">
      <c r="A2023" s="859"/>
      <c r="B2023" s="994"/>
      <c r="C2023" s="994"/>
      <c r="D2023" s="994" t="s">
        <v>11586</v>
      </c>
      <c r="E2023" s="854">
        <v>331900800000000</v>
      </c>
      <c r="F2023" s="855" t="s">
        <v>11591</v>
      </c>
      <c r="G2023" s="468">
        <v>1</v>
      </c>
      <c r="H2023" s="468">
        <v>0</v>
      </c>
      <c r="I2023" s="751"/>
      <c r="J2023" s="878" t="s">
        <v>5966</v>
      </c>
      <c r="K2023" s="789">
        <f>(('Parâmetros financeiros Despesa'!E972))</f>
        <v>10515.7870625</v>
      </c>
      <c r="L2023" s="789">
        <f>(('Parâmetros financeiros Despesa'!F972)*2.05+(('Parâmetros financeiros Despesa'!F963)*11.28)*(1+'Parâmetros financeiros Despesa'!F$4)*(1+'Parâmetros financeiros Despesa'!F$8))</f>
        <v>61146.359363618642</v>
      </c>
      <c r="M2023" s="799">
        <f t="shared" ref="M2023:M2034" si="343">L2023/L$2153</f>
        <v>2.1095361698024364E-2</v>
      </c>
      <c r="N2023" s="883"/>
      <c r="P2023" s="1019"/>
    </row>
    <row r="2024" spans="1:16" s="115" customFormat="1" x14ac:dyDescent="0.25">
      <c r="B2024" s="1398" t="s">
        <v>8078</v>
      </c>
      <c r="C2024" s="1398"/>
      <c r="D2024" s="1398"/>
      <c r="E2024" s="854">
        <v>331901100000000</v>
      </c>
      <c r="F2024" s="855" t="s">
        <v>10542</v>
      </c>
      <c r="G2024" s="468">
        <v>31</v>
      </c>
      <c r="H2024" s="468">
        <v>0</v>
      </c>
      <c r="I2024" s="751"/>
      <c r="J2024" s="878" t="s">
        <v>7926</v>
      </c>
      <c r="K2024" s="789">
        <f>('Parâmetros financeiros Despesa'!E$974)</f>
        <v>127466.60871249999</v>
      </c>
      <c r="L2024" s="789">
        <f>('Parâmetros financeiros Despesa'!F$974)*2.05+(('Parâmetros financeiros Despesa'!F$974)*11.28)*(1+'Parâmetros financeiros Despesa'!F$4)*(1+'Parâmetros financeiros Despesa'!F$8)</f>
        <v>133451.04225641314</v>
      </c>
      <c r="M2024" s="799">
        <f t="shared" si="343"/>
        <v>4.6040320873991042E-2</v>
      </c>
      <c r="N2024" s="894"/>
      <c r="P2024" s="733"/>
    </row>
    <row r="2025" spans="1:16" s="115" customFormat="1" x14ac:dyDescent="0.25">
      <c r="B2025" s="1398" t="s">
        <v>8079</v>
      </c>
      <c r="C2025" s="1398"/>
      <c r="D2025" s="1398"/>
      <c r="E2025" s="854">
        <v>331901300000000</v>
      </c>
      <c r="F2025" s="855" t="s">
        <v>10543</v>
      </c>
      <c r="G2025" s="468">
        <v>31</v>
      </c>
      <c r="H2025" s="468">
        <v>0</v>
      </c>
      <c r="I2025" s="751"/>
      <c r="J2025" s="878" t="s">
        <v>7926</v>
      </c>
      <c r="K2025" s="789">
        <f>'Parâmetros financeiros Despesa'!E975</f>
        <v>17710.14</v>
      </c>
      <c r="L2025" s="789">
        <f>(L2026+L2024)*'Parâmetros financeiros Despesa'!F$80</f>
        <v>31777.215254519833</v>
      </c>
      <c r="M2025" s="799">
        <f t="shared" si="343"/>
        <v>1.0963070516818449E-2</v>
      </c>
      <c r="N2025" s="894"/>
      <c r="P2025" s="733"/>
    </row>
    <row r="2026" spans="1:16" s="115" customFormat="1" x14ac:dyDescent="0.25">
      <c r="B2026" s="1398" t="s">
        <v>8080</v>
      </c>
      <c r="C2026" s="1398"/>
      <c r="D2026" s="1398"/>
      <c r="E2026" s="854">
        <v>331901600000000</v>
      </c>
      <c r="F2026" s="855" t="s">
        <v>10544</v>
      </c>
      <c r="G2026" s="468">
        <v>31</v>
      </c>
      <c r="H2026" s="468">
        <v>0</v>
      </c>
      <c r="I2026" s="751"/>
      <c r="J2026" s="878" t="s">
        <v>7926</v>
      </c>
      <c r="K2026" s="789">
        <f>('Parâmetros financeiros Despesa'!E$976)</f>
        <v>0</v>
      </c>
      <c r="L2026" s="789">
        <f>('Parâmetros financeiros Despesa'!F$976)*2.05+(('Parâmetros financeiros Despesa'!F$976)*11.28)*(1+'Parâmetros financeiros Despesa'!F$4)*(1+'Parâmetros financeiros Despesa'!F$8)</f>
        <v>13.955830560223728</v>
      </c>
      <c r="M2026" s="799">
        <f t="shared" si="343"/>
        <v>4.8147313516007629E-6</v>
      </c>
      <c r="N2026" s="894"/>
      <c r="P2026" s="733"/>
    </row>
    <row r="2027" spans="1:16" s="115" customFormat="1" x14ac:dyDescent="0.25">
      <c r="B2027" s="1398" t="s">
        <v>8081</v>
      </c>
      <c r="C2027" s="1398"/>
      <c r="D2027" s="1398"/>
      <c r="E2027" s="854">
        <v>333901400000000</v>
      </c>
      <c r="F2027" s="855" t="s">
        <v>10545</v>
      </c>
      <c r="G2027" s="468">
        <v>31</v>
      </c>
      <c r="H2027" s="468">
        <v>0</v>
      </c>
      <c r="I2027" s="751"/>
      <c r="J2027" s="878" t="s">
        <v>7926</v>
      </c>
      <c r="K2027" s="789">
        <f>('Parâmetros financeiros Despesa'!E$977)</f>
        <v>0</v>
      </c>
      <c r="L2027" s="789">
        <f>('Parâmetros financeiros Despesa'!F$977)*2+(('Parâmetros financeiros Despesa'!F$977)*10)*(1+'Parâmetros financeiros Despesa'!F$4)*(1+'Parâmetros financeiros Despesa'!F$8)</f>
        <v>3766.4442979318428</v>
      </c>
      <c r="M2027" s="799">
        <f t="shared" si="343"/>
        <v>1.2994151345600497E-3</v>
      </c>
      <c r="N2027" s="894"/>
      <c r="P2027" s="733"/>
    </row>
    <row r="2028" spans="1:16" s="115" customFormat="1" x14ac:dyDescent="0.25">
      <c r="B2028" s="1396">
        <v>400500</v>
      </c>
      <c r="C2028" s="1396"/>
      <c r="D2028" s="1396"/>
      <c r="E2028" s="854">
        <v>333903000000000</v>
      </c>
      <c r="F2028" s="855" t="s">
        <v>10546</v>
      </c>
      <c r="G2028" s="468">
        <v>31</v>
      </c>
      <c r="H2028" s="468">
        <v>0</v>
      </c>
      <c r="I2028" s="751"/>
      <c r="J2028" s="878" t="s">
        <v>7926</v>
      </c>
      <c r="K2028" s="789">
        <f>('Parâmetros financeiros Despesa'!E978)</f>
        <v>104.44499999999999</v>
      </c>
      <c r="L2028" s="789">
        <f>('Parâmetros financeiros Despesa'!F978)*(1+'Parâmetros financeiros Despesa'!F$4)*(1+'Parâmetros financeiros Despesa'!F$7)</f>
        <v>1090.3315</v>
      </c>
      <c r="M2028" s="799">
        <f t="shared" si="343"/>
        <v>3.7616200870553768E-4</v>
      </c>
      <c r="N2028" s="894"/>
      <c r="P2028" s="733"/>
    </row>
    <row r="2029" spans="1:16" s="115" customFormat="1" x14ac:dyDescent="0.25">
      <c r="B2029" s="1396">
        <v>400600</v>
      </c>
      <c r="C2029" s="1396"/>
      <c r="D2029" s="1396"/>
      <c r="E2029" s="854">
        <v>333903200000000</v>
      </c>
      <c r="F2029" s="855" t="s">
        <v>10547</v>
      </c>
      <c r="G2029" s="468">
        <v>31</v>
      </c>
      <c r="H2029" s="468">
        <v>0</v>
      </c>
      <c r="I2029" s="751"/>
      <c r="J2029" s="878" t="s">
        <v>7926</v>
      </c>
      <c r="K2029" s="789">
        <f>('Parâmetros financeiros Despesa'!E979)</f>
        <v>0</v>
      </c>
      <c r="L2029" s="789">
        <f>('Parâmetros financeiros Despesa'!F979)*(1+'Parâmetros financeiros Despesa'!F$4)*(1+'Parâmetros financeiros Despesa'!F$7)</f>
        <v>3270.9945000000002</v>
      </c>
      <c r="M2029" s="799">
        <f t="shared" si="343"/>
        <v>1.1284860261166132E-3</v>
      </c>
      <c r="N2029" s="894"/>
      <c r="P2029" s="733"/>
    </row>
    <row r="2030" spans="1:16" s="115" customFormat="1" x14ac:dyDescent="0.25">
      <c r="B2030" s="1396">
        <v>400700</v>
      </c>
      <c r="C2030" s="1396"/>
      <c r="D2030" s="1396"/>
      <c r="E2030" s="854">
        <v>333903300000000</v>
      </c>
      <c r="F2030" s="855" t="s">
        <v>10548</v>
      </c>
      <c r="G2030" s="468">
        <v>31</v>
      </c>
      <c r="H2030" s="468">
        <v>0</v>
      </c>
      <c r="I2030" s="751"/>
      <c r="J2030" s="878" t="s">
        <v>7926</v>
      </c>
      <c r="K2030" s="789">
        <f>('Parâmetros financeiros Despesa'!E979)</f>
        <v>0</v>
      </c>
      <c r="L2030" s="789">
        <f>('Parâmetros financeiros Despesa'!F979)*(1+'Parâmetros financeiros Despesa'!F$4)*(1+'Parâmetros financeiros Despesa'!F$7)</f>
        <v>3270.9945000000002</v>
      </c>
      <c r="M2030" s="799">
        <f t="shared" si="343"/>
        <v>1.1284860261166132E-3</v>
      </c>
      <c r="N2030" s="894"/>
      <c r="P2030" s="733"/>
    </row>
    <row r="2031" spans="1:16" s="115" customFormat="1" x14ac:dyDescent="0.25">
      <c r="B2031" s="1398" t="s">
        <v>8082</v>
      </c>
      <c r="C2031" s="1398"/>
      <c r="D2031" s="1398"/>
      <c r="E2031" s="854">
        <v>333903500000000</v>
      </c>
      <c r="F2031" s="855" t="s">
        <v>10549</v>
      </c>
      <c r="G2031" s="468">
        <v>31</v>
      </c>
      <c r="H2031" s="468">
        <v>0</v>
      </c>
      <c r="I2031" s="751"/>
      <c r="J2031" s="878" t="s">
        <v>7926</v>
      </c>
      <c r="K2031" s="789">
        <f>('Parâmetros financeiros Despesa'!E980)</f>
        <v>0</v>
      </c>
      <c r="L2031" s="789">
        <f>('Parâmetros financeiros Despesa'!F980)*(1+'Parâmetros financeiros Despesa'!F$4)*(1+'Parâmetros financeiros Despesa'!F$7)</f>
        <v>1635.4972500000001</v>
      </c>
      <c r="M2031" s="799">
        <f t="shared" si="343"/>
        <v>5.6424301305830658E-4</v>
      </c>
      <c r="N2031" s="894"/>
      <c r="P2031" s="733"/>
    </row>
    <row r="2032" spans="1:16" s="115" customFormat="1" x14ac:dyDescent="0.25">
      <c r="B2032" s="1398" t="s">
        <v>8083</v>
      </c>
      <c r="C2032" s="1398"/>
      <c r="D2032" s="1398"/>
      <c r="E2032" s="854">
        <v>333903600000000</v>
      </c>
      <c r="F2032" s="855" t="s">
        <v>10550</v>
      </c>
      <c r="G2032" s="468">
        <v>1</v>
      </c>
      <c r="H2032" s="468">
        <v>0</v>
      </c>
      <c r="I2032" s="751"/>
      <c r="J2032" s="878" t="s">
        <v>7926</v>
      </c>
      <c r="K2032" s="789">
        <f>('Parâmetros financeiros Despesa'!E981)</f>
        <v>0</v>
      </c>
      <c r="L2032" s="789">
        <f>('Parâmetros financeiros Despesa'!F981)*(1+'Parâmetros financeiros Despesa'!F$4)*(1+'Parâmetros financeiros Despesa'!F$7)</f>
        <v>5451.6575000000003</v>
      </c>
      <c r="M2032" s="799">
        <f t="shared" si="343"/>
        <v>1.8808100435276885E-3</v>
      </c>
      <c r="N2032" s="894"/>
      <c r="P2032" s="733"/>
    </row>
    <row r="2033" spans="2:16" s="115" customFormat="1" x14ac:dyDescent="0.25">
      <c r="B2033" s="1398" t="s">
        <v>8084</v>
      </c>
      <c r="C2033" s="1398"/>
      <c r="D2033" s="1398"/>
      <c r="E2033" s="854">
        <v>333903900000000</v>
      </c>
      <c r="F2033" s="855" t="s">
        <v>10551</v>
      </c>
      <c r="G2033" s="468">
        <v>31</v>
      </c>
      <c r="H2033" s="468">
        <v>0</v>
      </c>
      <c r="I2033" s="751"/>
      <c r="J2033" s="878" t="s">
        <v>7926</v>
      </c>
      <c r="K2033" s="789">
        <f>('Parâmetros financeiros Despesa'!E982)</f>
        <v>0</v>
      </c>
      <c r="L2033" s="789">
        <f>('Parâmetros financeiros Despesa'!F982)*(1+'Parâmetros financeiros Despesa'!F$4)*(1+'Parâmetros financeiros Despesa'!F$7)</f>
        <v>1981.470338265</v>
      </c>
      <c r="M2033" s="799">
        <f t="shared" si="343"/>
        <v>6.8360298004066077E-4</v>
      </c>
      <c r="N2033" s="894"/>
      <c r="P2033" s="733"/>
    </row>
    <row r="2034" spans="2:16" s="115" customFormat="1" x14ac:dyDescent="0.25">
      <c r="B2034" s="1398" t="s">
        <v>8085</v>
      </c>
      <c r="C2034" s="1398"/>
      <c r="D2034" s="1398"/>
      <c r="E2034" s="854">
        <v>333904700000000</v>
      </c>
      <c r="F2034" s="855" t="s">
        <v>10552</v>
      </c>
      <c r="G2034" s="468">
        <v>31</v>
      </c>
      <c r="H2034" s="468">
        <v>0</v>
      </c>
      <c r="I2034" s="751"/>
      <c r="J2034" s="878" t="s">
        <v>7926</v>
      </c>
      <c r="K2034" s="789">
        <f>'Parâmetros financeiros Despesa'!E983</f>
        <v>0</v>
      </c>
      <c r="L2034" s="789">
        <f>(('Parâmetros financeiros Despesa'!F981)*(1+'Parâmetros financeiros Despesa'!F$4)*(1+'Parâmetros financeiros Despesa'!F$7))*('Parâmetros financeiros Despesa'!F$83)</f>
        <v>1090.3315</v>
      </c>
      <c r="M2034" s="799">
        <f t="shared" si="343"/>
        <v>3.7616200870553768E-4</v>
      </c>
      <c r="N2034" s="894"/>
      <c r="P2034" s="733"/>
    </row>
    <row r="2035" spans="2:16" s="748" customFormat="1" x14ac:dyDescent="0.25">
      <c r="B2035" s="599">
        <f>B2034+1</f>
        <v>401101</v>
      </c>
      <c r="C2035" s="600" t="s">
        <v>6062</v>
      </c>
      <c r="D2035" s="528" t="str">
        <f>B2034</f>
        <v>401100</v>
      </c>
      <c r="E2035" s="417">
        <v>333904718000000</v>
      </c>
      <c r="F2035" s="418" t="s">
        <v>5904</v>
      </c>
      <c r="G2035" s="603">
        <v>31</v>
      </c>
      <c r="H2035" s="603">
        <v>0</v>
      </c>
      <c r="I2035" s="601">
        <v>372110400000000</v>
      </c>
      <c r="J2035" s="602"/>
      <c r="K2035" s="891">
        <v>0</v>
      </c>
      <c r="L2035" s="891">
        <v>0</v>
      </c>
      <c r="M2035" s="477">
        <f t="shared" ref="M2035:M2038" si="344">L2035/L$2153</f>
        <v>0</v>
      </c>
      <c r="N2035" s="796"/>
      <c r="P2035" s="399"/>
    </row>
    <row r="2036" spans="2:16" s="748" customFormat="1" x14ac:dyDescent="0.25">
      <c r="B2036" s="599">
        <f>B2035+1</f>
        <v>401102</v>
      </c>
      <c r="C2036" s="600" t="s">
        <v>6062</v>
      </c>
      <c r="D2036" s="528" t="str">
        <f>D2035</f>
        <v>401100</v>
      </c>
      <c r="E2036" s="417">
        <v>333904718000000</v>
      </c>
      <c r="F2036" s="418" t="s">
        <v>6917</v>
      </c>
      <c r="G2036" s="603">
        <v>31</v>
      </c>
      <c r="H2036" s="603">
        <v>0</v>
      </c>
      <c r="I2036" s="601">
        <v>372110400000000</v>
      </c>
      <c r="J2036" s="602"/>
      <c r="K2036" s="891">
        <v>0</v>
      </c>
      <c r="L2036" s="891">
        <v>0</v>
      </c>
      <c r="M2036" s="477">
        <f t="shared" si="344"/>
        <v>0</v>
      </c>
      <c r="N2036" s="796"/>
      <c r="P2036" s="399"/>
    </row>
    <row r="2037" spans="2:16" s="748" customFormat="1" x14ac:dyDescent="0.25">
      <c r="B2037" s="599">
        <f>B2036+1</f>
        <v>401103</v>
      </c>
      <c r="C2037" s="600" t="s">
        <v>6062</v>
      </c>
      <c r="D2037" s="528" t="str">
        <f>D2036</f>
        <v>401100</v>
      </c>
      <c r="E2037" s="417">
        <v>333904720000000</v>
      </c>
      <c r="F2037" s="418" t="s">
        <v>5905</v>
      </c>
      <c r="G2037" s="603">
        <v>31</v>
      </c>
      <c r="H2037" s="603">
        <v>0</v>
      </c>
      <c r="I2037" s="601">
        <v>372110500000000</v>
      </c>
      <c r="J2037" s="602"/>
      <c r="K2037" s="891">
        <v>0</v>
      </c>
      <c r="L2037" s="891">
        <v>0</v>
      </c>
      <c r="M2037" s="477">
        <f t="shared" si="344"/>
        <v>0</v>
      </c>
      <c r="N2037" s="796"/>
      <c r="P2037" s="399"/>
    </row>
    <row r="2038" spans="2:16" s="748" customFormat="1" x14ac:dyDescent="0.25">
      <c r="B2038" s="599">
        <f>B2037+1</f>
        <v>401104</v>
      </c>
      <c r="C2038" s="600" t="s">
        <v>6062</v>
      </c>
      <c r="D2038" s="528" t="str">
        <f>D2037</f>
        <v>401100</v>
      </c>
      <c r="E2038" s="417">
        <v>333904720000000</v>
      </c>
      <c r="F2038" s="418" t="s">
        <v>6918</v>
      </c>
      <c r="G2038" s="603">
        <v>31</v>
      </c>
      <c r="H2038" s="603">
        <v>0</v>
      </c>
      <c r="I2038" s="601">
        <v>372110500000000</v>
      </c>
      <c r="J2038" s="602"/>
      <c r="K2038" s="891">
        <v>0</v>
      </c>
      <c r="L2038" s="891">
        <v>0</v>
      </c>
      <c r="M2038" s="477">
        <f t="shared" si="344"/>
        <v>0</v>
      </c>
      <c r="N2038" s="796"/>
      <c r="P2038" s="399"/>
    </row>
    <row r="2039" spans="2:16" s="115" customFormat="1" x14ac:dyDescent="0.25">
      <c r="B2039" s="1398" t="s">
        <v>8086</v>
      </c>
      <c r="C2039" s="1398"/>
      <c r="D2039" s="1398"/>
      <c r="E2039" s="854">
        <v>333904900000000</v>
      </c>
      <c r="F2039" s="855" t="s">
        <v>10553</v>
      </c>
      <c r="G2039" s="468">
        <v>31</v>
      </c>
      <c r="H2039" s="468">
        <v>0</v>
      </c>
      <c r="I2039" s="751"/>
      <c r="J2039" s="878" t="s">
        <v>7926</v>
      </c>
      <c r="K2039" s="789">
        <f>('Parâmetros financeiros Despesa'!E$984+'Parâmetros financeiros Despesa'!E985)*2+(('Parâmetros financeiros Despesa'!E$984+'Parâmetros financeiros Despesa'!E985))</f>
        <v>19870.739999999998</v>
      </c>
      <c r="L2039" s="789">
        <f>('Parâmetros financeiros Despesa'!F$984+'Parâmetros financeiros Despesa'!F985)*2+(('Parâmetros financeiros Despesa'!F$984+'Parâmetros financeiros Despesa'!F985)*10)*(1+'Parâmetros financeiros Despesa'!F$4)*(1+'Parâmetros financeiros Despesa'!F$8)</f>
        <v>6929.8180896931653</v>
      </c>
      <c r="M2039" s="799">
        <f>L2039/L$2153</f>
        <v>2.3907722491581258E-3</v>
      </c>
      <c r="N2039" s="894"/>
      <c r="P2039" s="733"/>
    </row>
    <row r="2040" spans="2:16" s="748" customFormat="1" x14ac:dyDescent="0.25">
      <c r="B2040" s="599">
        <f>B2039+1</f>
        <v>401201</v>
      </c>
      <c r="C2040" s="600" t="s">
        <v>6062</v>
      </c>
      <c r="D2040" s="528" t="str">
        <f>B2039</f>
        <v>401200</v>
      </c>
      <c r="E2040" s="417">
        <v>333904901000000</v>
      </c>
      <c r="F2040" s="418" t="s">
        <v>6042</v>
      </c>
      <c r="G2040" s="603">
        <v>31</v>
      </c>
      <c r="H2040" s="603">
        <v>0</v>
      </c>
      <c r="I2040" s="601">
        <v>313110200000000</v>
      </c>
      <c r="J2040" s="602"/>
      <c r="K2040" s="891">
        <v>0</v>
      </c>
      <c r="L2040" s="891">
        <v>0</v>
      </c>
      <c r="M2040" s="477">
        <f t="shared" ref="M2040" si="345">L2040/L$2153</f>
        <v>0</v>
      </c>
      <c r="N2040" s="796"/>
      <c r="P2040" s="399"/>
    </row>
    <row r="2041" spans="2:16" s="115" customFormat="1" x14ac:dyDescent="0.25">
      <c r="B2041" s="1398" t="s">
        <v>8087</v>
      </c>
      <c r="C2041" s="1398"/>
      <c r="D2041" s="1398"/>
      <c r="E2041" s="854">
        <v>333909300000000</v>
      </c>
      <c r="F2041" s="855" t="s">
        <v>10554</v>
      </c>
      <c r="G2041" s="468">
        <v>31</v>
      </c>
      <c r="H2041" s="468">
        <v>0</v>
      </c>
      <c r="I2041" s="751"/>
      <c r="J2041" s="878" t="s">
        <v>7926</v>
      </c>
      <c r="K2041" s="789">
        <f>('Parâmetros financeiros Despesa'!E$986)</f>
        <v>0</v>
      </c>
      <c r="L2041" s="789">
        <f>('Parâmetros financeiros Despesa'!F$986)*(1+'Parâmetros financeiros Despesa'!F$4)*(1+'Parâmetros financeiros Despesa'!F$7)</f>
        <v>163.549725</v>
      </c>
      <c r="M2041" s="799">
        <f>L2041/L$2153</f>
        <v>5.6424301305830655E-5</v>
      </c>
      <c r="N2041" s="894"/>
      <c r="P2041" s="733"/>
    </row>
    <row r="2042" spans="2:16" s="748" customFormat="1" x14ac:dyDescent="0.25">
      <c r="B2042" s="599">
        <f>B2041+1</f>
        <v>401301</v>
      </c>
      <c r="C2042" s="600" t="s">
        <v>6062</v>
      </c>
      <c r="D2042" s="528" t="str">
        <f>B2041</f>
        <v>401300</v>
      </c>
      <c r="E2042" s="417">
        <v>333909399000000</v>
      </c>
      <c r="F2042" s="418" t="s">
        <v>1038</v>
      </c>
      <c r="G2042" s="603">
        <v>31</v>
      </c>
      <c r="H2042" s="603">
        <v>0</v>
      </c>
      <c r="I2042" s="601">
        <v>399910300000000</v>
      </c>
      <c r="J2042" s="602"/>
      <c r="K2042" s="891">
        <v>0</v>
      </c>
      <c r="L2042" s="891">
        <v>0</v>
      </c>
      <c r="M2042" s="477">
        <f t="shared" ref="M2042" si="346">L2042/L$2153</f>
        <v>0</v>
      </c>
      <c r="N2042" s="796"/>
      <c r="P2042" s="399"/>
    </row>
    <row r="2043" spans="2:16" s="115" customFormat="1" ht="30" x14ac:dyDescent="0.25">
      <c r="B2043" s="1398" t="s">
        <v>8094</v>
      </c>
      <c r="C2043" s="1398"/>
      <c r="D2043" s="1398"/>
      <c r="E2043" s="854">
        <v>333933000000000</v>
      </c>
      <c r="F2043" s="855" t="s">
        <v>10555</v>
      </c>
      <c r="G2043" s="468">
        <v>31</v>
      </c>
      <c r="H2043" s="468">
        <v>0</v>
      </c>
      <c r="I2043" s="751"/>
      <c r="J2043" s="878" t="s">
        <v>6197</v>
      </c>
      <c r="K2043" s="789">
        <f>('Parâmetros financeiros Despesa'!E$987)</f>
        <v>0</v>
      </c>
      <c r="L2043" s="789">
        <f>('Parâmetros financeiros Despesa'!F$987)*(1+'Parâmetros financeiros Despesa'!F$4)*(1+'Parâmetros financeiros Despesa'!F$7)</f>
        <v>1090.3315</v>
      </c>
      <c r="M2043" s="799">
        <f>L2043/L$2153</f>
        <v>3.7616200870553768E-4</v>
      </c>
      <c r="N2043" s="894"/>
      <c r="P2043" s="733"/>
    </row>
    <row r="2044" spans="2:16" s="748" customFormat="1" x14ac:dyDescent="0.25">
      <c r="B2044" s="599">
        <f>B2043+1</f>
        <v>401401</v>
      </c>
      <c r="C2044" s="600" t="s">
        <v>6062</v>
      </c>
      <c r="D2044" s="528" t="str">
        <f>B2043</f>
        <v>401400</v>
      </c>
      <c r="E2044" s="417">
        <v>333933002000000</v>
      </c>
      <c r="F2044" s="418" t="s">
        <v>6199</v>
      </c>
      <c r="G2044" s="603">
        <v>31</v>
      </c>
      <c r="H2044" s="603">
        <v>0</v>
      </c>
      <c r="I2044" s="601">
        <v>35</v>
      </c>
      <c r="J2044" s="602"/>
      <c r="K2044" s="891">
        <v>0</v>
      </c>
      <c r="L2044" s="891">
        <v>0</v>
      </c>
      <c r="M2044" s="477">
        <f t="shared" ref="M2044" si="347">L2044/L$2153</f>
        <v>0</v>
      </c>
      <c r="N2044" s="796"/>
      <c r="P2044" s="399"/>
    </row>
    <row r="2045" spans="2:16" s="115" customFormat="1" ht="30" x14ac:dyDescent="0.25">
      <c r="B2045" s="1398" t="s">
        <v>8095</v>
      </c>
      <c r="C2045" s="1398"/>
      <c r="D2045" s="1398"/>
      <c r="E2045" s="854">
        <v>344905200000000</v>
      </c>
      <c r="F2045" s="855" t="s">
        <v>10556</v>
      </c>
      <c r="G2045" s="468">
        <v>31</v>
      </c>
      <c r="H2045" s="468">
        <v>0</v>
      </c>
      <c r="I2045" s="751"/>
      <c r="J2045" s="878" t="s">
        <v>7926</v>
      </c>
      <c r="K2045" s="789">
        <f>('Parâmetros financeiros Despesa'!E$988)</f>
        <v>1335</v>
      </c>
      <c r="L2045" s="789">
        <f>('Parâmetros financeiros Despesa'!F$988)*(1+'Parâmetros financeiros Despesa'!F$4)*(1+'Parâmetros financeiros Despesa'!F$7)</f>
        <v>1455.5925525</v>
      </c>
      <c r="M2045" s="799">
        <f>L2045/L$2153</f>
        <v>5.0217628162189281E-4</v>
      </c>
      <c r="N2045" s="894"/>
      <c r="P2045" s="733"/>
    </row>
    <row r="2046" spans="2:16" s="748" customFormat="1" ht="15" customHeight="1" x14ac:dyDescent="0.25">
      <c r="B2046" s="1385" t="s">
        <v>7913</v>
      </c>
      <c r="C2046" s="1385"/>
      <c r="D2046" s="1385"/>
      <c r="E2046" s="1385"/>
      <c r="F2046" s="1385"/>
      <c r="G2046" s="401"/>
      <c r="H2046" s="401"/>
      <c r="I2046" s="426"/>
      <c r="J2046" s="411"/>
      <c r="K2046" s="402">
        <f t="shared" ref="K2046:L2048" si="348">K2047</f>
        <v>112488.82568750001</v>
      </c>
      <c r="L2046" s="402">
        <f t="shared" si="348"/>
        <v>125933.35615054351</v>
      </c>
      <c r="M2046" s="451">
        <f>L2046/L$2153</f>
        <v>4.3446735431030219E-2</v>
      </c>
      <c r="N2046" s="796"/>
      <c r="P2046" s="399"/>
    </row>
    <row r="2047" spans="2:16" s="748" customFormat="1" ht="15" customHeight="1" x14ac:dyDescent="0.25">
      <c r="B2047" s="1386" t="s">
        <v>8035</v>
      </c>
      <c r="C2047" s="1386"/>
      <c r="D2047" s="1386"/>
      <c r="E2047" s="1386"/>
      <c r="F2047" s="1386"/>
      <c r="G2047" s="403"/>
      <c r="H2047" s="403"/>
      <c r="I2047" s="427"/>
      <c r="J2047" s="412"/>
      <c r="K2047" s="404">
        <f t="shared" si="348"/>
        <v>112488.82568750001</v>
      </c>
      <c r="L2047" s="404">
        <f t="shared" si="348"/>
        <v>125933.35615054351</v>
      </c>
      <c r="M2047" s="452">
        <f>L2047/L$2153</f>
        <v>4.3446735431030219E-2</v>
      </c>
      <c r="N2047" s="796"/>
      <c r="P2047" s="399"/>
    </row>
    <row r="2048" spans="2:16" s="748" customFormat="1" x14ac:dyDescent="0.25">
      <c r="B2048" s="1382" t="s">
        <v>7914</v>
      </c>
      <c r="C2048" s="1382"/>
      <c r="D2048" s="1382"/>
      <c r="E2048" s="1382"/>
      <c r="F2048" s="1382"/>
      <c r="G2048" s="405"/>
      <c r="H2048" s="405"/>
      <c r="I2048" s="428"/>
      <c r="J2048" s="413"/>
      <c r="K2048" s="406">
        <f t="shared" si="348"/>
        <v>112488.82568750001</v>
      </c>
      <c r="L2048" s="406">
        <f t="shared" si="348"/>
        <v>125933.35615054351</v>
      </c>
      <c r="M2048" s="453">
        <f>L2048/L$2153</f>
        <v>4.3446735431030219E-2</v>
      </c>
      <c r="N2048" s="796"/>
      <c r="P2048" s="399"/>
    </row>
    <row r="2049" spans="1:16" s="748" customFormat="1" x14ac:dyDescent="0.25">
      <c r="B2049" s="1383" t="s">
        <v>8097</v>
      </c>
      <c r="C2049" s="1383"/>
      <c r="D2049" s="1383"/>
      <c r="E2049" s="1383"/>
      <c r="F2049" s="1383"/>
      <c r="G2049" s="407"/>
      <c r="H2049" s="407"/>
      <c r="I2049" s="429"/>
      <c r="J2049" s="414"/>
      <c r="K2049" s="408">
        <f>SUM(K2050:K2062)+K2067+K2069+K2073+K2071+0.01</f>
        <v>112488.82568750001</v>
      </c>
      <c r="L2049" s="408">
        <f>SUM(L2050:L2062)+L2067+L2069+L2073+L2071+0.02</f>
        <v>125933.35615054351</v>
      </c>
      <c r="M2049" s="454">
        <f>L2049/L$2153</f>
        <v>4.3446735431030219E-2</v>
      </c>
      <c r="N2049" s="796"/>
      <c r="P2049" s="399"/>
    </row>
    <row r="2050" spans="1:16" s="115" customFormat="1" ht="15.75" customHeight="1" x14ac:dyDescent="0.25">
      <c r="B2050" s="1398" t="s">
        <v>8088</v>
      </c>
      <c r="C2050" s="1398"/>
      <c r="D2050" s="1398"/>
      <c r="E2050" s="854">
        <v>331900400000000</v>
      </c>
      <c r="F2050" s="855" t="s">
        <v>10572</v>
      </c>
      <c r="G2050" s="468">
        <v>31</v>
      </c>
      <c r="H2050" s="468">
        <v>0</v>
      </c>
      <c r="I2050" s="751"/>
      <c r="J2050" s="878" t="s">
        <v>7926</v>
      </c>
      <c r="K2050" s="789">
        <f>(('Parâmetros financeiros Despesa'!E$990))</f>
        <v>0</v>
      </c>
      <c r="L2050" s="789">
        <f>(('Parâmetros financeiros Despesa'!F$990)*2.05+(('Parâmetros financeiros Despesa'!F$990)*11.28)*(1+'Parâmetros financeiros Despesa'!F$4)*(1+'Parâmetros financeiros Despesa'!F$8))*(1+'Parâmetros financeiros Despesa'!F$80)</f>
        <v>17.278630081629636</v>
      </c>
      <c r="M2050" s="799">
        <f t="shared" ref="M2050:M2066" si="349">L2050/L$2153</f>
        <v>5.9610899980287948E-6</v>
      </c>
      <c r="N2050" s="894"/>
      <c r="P2050" s="733"/>
    </row>
    <row r="2051" spans="1:16" s="1018" customFormat="1" ht="15" customHeight="1" x14ac:dyDescent="0.25">
      <c r="A2051" s="859"/>
      <c r="B2051" s="994"/>
      <c r="C2051" s="994"/>
      <c r="D2051" s="994" t="s">
        <v>11584</v>
      </c>
      <c r="E2051" s="854">
        <v>331900800000000</v>
      </c>
      <c r="F2051" s="855" t="s">
        <v>11593</v>
      </c>
      <c r="G2051" s="468">
        <v>1</v>
      </c>
      <c r="H2051" s="468">
        <v>0</v>
      </c>
      <c r="I2051" s="751"/>
      <c r="J2051" s="878" t="s">
        <v>5966</v>
      </c>
      <c r="K2051" s="789">
        <f>(('Parâmetros financeiros Despesa'!E991))</f>
        <v>0</v>
      </c>
      <c r="L2051" s="789">
        <f>(('Parâmetros financeiros Despesa'!F991)*2.05+(('Parâmetros financeiros Despesa'!F991)*11.28)*(1+'Parâmetros financeiros Despesa'!F$4)*(1+'Parâmetros financeiros Despesa'!F$8))</f>
        <v>13.955830560223728</v>
      </c>
      <c r="M2051" s="799">
        <f t="shared" si="349"/>
        <v>4.8147313516007629E-6</v>
      </c>
      <c r="N2051" s="883"/>
      <c r="P2051" s="1019"/>
    </row>
    <row r="2052" spans="1:16" s="115" customFormat="1" x14ac:dyDescent="0.25">
      <c r="B2052" s="1398" t="s">
        <v>8089</v>
      </c>
      <c r="C2052" s="1398"/>
      <c r="D2052" s="1398"/>
      <c r="E2052" s="854">
        <v>331901100000000</v>
      </c>
      <c r="F2052" s="855" t="s">
        <v>10573</v>
      </c>
      <c r="G2052" s="468">
        <v>31</v>
      </c>
      <c r="H2052" s="468">
        <v>0</v>
      </c>
      <c r="I2052" s="751"/>
      <c r="J2052" s="878" t="s">
        <v>7926</v>
      </c>
      <c r="K2052" s="789">
        <f>('Parâmetros financeiros Despesa'!E$992)</f>
        <v>88728.3956875</v>
      </c>
      <c r="L2052" s="789">
        <f>('Parâmetros financeiros Despesa'!F$992)*2.05+(('Parâmetros financeiros Despesa'!F$992)*11.28)*(1+'Parâmetros financeiros Despesa'!F$4)*(1+'Parâmetros financeiros Despesa'!F$8)</f>
        <v>92894.107734076199</v>
      </c>
      <c r="M2052" s="799">
        <f t="shared" si="349"/>
        <v>3.2048266203589207E-2</v>
      </c>
      <c r="N2052" s="894"/>
      <c r="P2052" s="733"/>
    </row>
    <row r="2053" spans="1:16" s="115" customFormat="1" x14ac:dyDescent="0.25">
      <c r="B2053" s="1398" t="s">
        <v>8090</v>
      </c>
      <c r="C2053" s="1398"/>
      <c r="D2053" s="1398"/>
      <c r="E2053" s="854">
        <v>331901300000000</v>
      </c>
      <c r="F2053" s="855" t="s">
        <v>10574</v>
      </c>
      <c r="G2053" s="468">
        <v>31</v>
      </c>
      <c r="H2053" s="468">
        <v>0</v>
      </c>
      <c r="I2053" s="751"/>
      <c r="J2053" s="878" t="s">
        <v>7926</v>
      </c>
      <c r="K2053" s="789">
        <f>'Parâmetros financeiros Despesa'!E993</f>
        <v>18526.064999999999</v>
      </c>
      <c r="L2053" s="789">
        <f>(L2054+L2052)*'Parâmetros financeiros Despesa'!F$80</f>
        <v>22120.852486358544</v>
      </c>
      <c r="M2053" s="799">
        <f t="shared" si="349"/>
        <v>7.6316462521237973E-3</v>
      </c>
      <c r="N2053" s="894"/>
      <c r="P2053" s="733"/>
    </row>
    <row r="2054" spans="1:16" s="115" customFormat="1" x14ac:dyDescent="0.25">
      <c r="B2054" s="1398" t="s">
        <v>8091</v>
      </c>
      <c r="C2054" s="1398"/>
      <c r="D2054" s="1398"/>
      <c r="E2054" s="854">
        <v>331901600000000</v>
      </c>
      <c r="F2054" s="855" t="s">
        <v>10575</v>
      </c>
      <c r="G2054" s="468">
        <v>31</v>
      </c>
      <c r="H2054" s="468">
        <v>0</v>
      </c>
      <c r="I2054" s="751"/>
      <c r="J2054" s="878" t="s">
        <v>7926</v>
      </c>
      <c r="K2054" s="789">
        <f>('Parâmetros financeiros Despesa'!E$994)</f>
        <v>0</v>
      </c>
      <c r="L2054" s="789">
        <f>('Parâmetros financeiros Despesa'!F$994)*2.05+(('Parâmetros financeiros Despesa'!F$994)*11.28)*(1+'Parâmetros financeiros Despesa'!F$4)*(1+'Parâmetros financeiros Despesa'!F$8)</f>
        <v>13.955830560223728</v>
      </c>
      <c r="M2054" s="799">
        <f t="shared" si="349"/>
        <v>4.8147313516007629E-6</v>
      </c>
      <c r="N2054" s="894"/>
      <c r="P2054" s="733"/>
    </row>
    <row r="2055" spans="1:16" s="115" customFormat="1" x14ac:dyDescent="0.25">
      <c r="B2055" s="1398" t="s">
        <v>8098</v>
      </c>
      <c r="C2055" s="1398"/>
      <c r="D2055" s="1398"/>
      <c r="E2055" s="854">
        <v>333901400000000</v>
      </c>
      <c r="F2055" s="855" t="s">
        <v>10576</v>
      </c>
      <c r="G2055" s="468">
        <v>31</v>
      </c>
      <c r="H2055" s="468">
        <v>0</v>
      </c>
      <c r="I2055" s="751"/>
      <c r="J2055" s="878" t="s">
        <v>7926</v>
      </c>
      <c r="K2055" s="789">
        <f>('Parâmetros financeiros Despesa'!E$995)</f>
        <v>0</v>
      </c>
      <c r="L2055" s="789">
        <f>('Parâmetros financeiros Despesa'!F$995)*2+(('Parâmetros financeiros Despesa'!F$995)*10)*(1+'Parâmetros financeiros Despesa'!F$4)*(1+'Parâmetros financeiros Despesa'!F$8)</f>
        <v>903.94663150364215</v>
      </c>
      <c r="M2055" s="799">
        <f t="shared" si="349"/>
        <v>3.1185963229441187E-4</v>
      </c>
      <c r="N2055" s="894"/>
      <c r="P2055" s="733"/>
    </row>
    <row r="2056" spans="1:16" s="115" customFormat="1" x14ac:dyDescent="0.25">
      <c r="B2056" s="1396">
        <v>402500</v>
      </c>
      <c r="C2056" s="1396"/>
      <c r="D2056" s="1396"/>
      <c r="E2056" s="854">
        <v>333903000000000</v>
      </c>
      <c r="F2056" s="855" t="s">
        <v>10577</v>
      </c>
      <c r="G2056" s="468">
        <v>31</v>
      </c>
      <c r="H2056" s="468">
        <v>0</v>
      </c>
      <c r="I2056" s="751"/>
      <c r="J2056" s="878" t="s">
        <v>7926</v>
      </c>
      <c r="K2056" s="789">
        <f>('Parâmetros financeiros Despesa'!E996)</f>
        <v>104.44499999999999</v>
      </c>
      <c r="L2056" s="789">
        <f>('Parâmetros financeiros Despesa'!F996)*(1+'Parâmetros financeiros Despesa'!F$4)*(1+'Parâmetros financeiros Despesa'!F$7)</f>
        <v>109.03315000000001</v>
      </c>
      <c r="M2056" s="799">
        <f t="shared" si="349"/>
        <v>3.7616200870553772E-5</v>
      </c>
      <c r="N2056" s="894"/>
      <c r="P2056" s="733"/>
    </row>
    <row r="2057" spans="1:16" s="115" customFormat="1" x14ac:dyDescent="0.25">
      <c r="B2057" s="1396">
        <v>402600</v>
      </c>
      <c r="C2057" s="1396"/>
      <c r="D2057" s="1396"/>
      <c r="E2057" s="854">
        <v>333903200000000</v>
      </c>
      <c r="F2057" s="855" t="s">
        <v>10578</v>
      </c>
      <c r="G2057" s="468">
        <v>31</v>
      </c>
      <c r="H2057" s="468">
        <v>0</v>
      </c>
      <c r="I2057" s="751"/>
      <c r="J2057" s="878" t="s">
        <v>7926</v>
      </c>
      <c r="K2057" s="789">
        <f>('Parâmetros financeiros Despesa'!E997)</f>
        <v>0</v>
      </c>
      <c r="L2057" s="789">
        <f>('Parâmetros financeiros Despesa'!F997)*(1+'Parâmetros financeiros Despesa'!F$4)*(1+'Parâmetros financeiros Despesa'!F$7)</f>
        <v>1635.4972500000001</v>
      </c>
      <c r="M2057" s="799">
        <f t="shared" si="349"/>
        <v>5.6424301305830658E-4</v>
      </c>
      <c r="N2057" s="894"/>
      <c r="P2057" s="733"/>
    </row>
    <row r="2058" spans="1:16" s="115" customFormat="1" x14ac:dyDescent="0.25">
      <c r="B2058" s="1396">
        <v>402700</v>
      </c>
      <c r="C2058" s="1396"/>
      <c r="D2058" s="1396"/>
      <c r="E2058" s="854">
        <v>333903300000000</v>
      </c>
      <c r="F2058" s="855" t="s">
        <v>10579</v>
      </c>
      <c r="G2058" s="468">
        <v>31</v>
      </c>
      <c r="H2058" s="468">
        <v>0</v>
      </c>
      <c r="I2058" s="751"/>
      <c r="J2058" s="878" t="s">
        <v>7926</v>
      </c>
      <c r="K2058" s="789">
        <f>('Parâmetros financeiros Despesa'!E998)</f>
        <v>0</v>
      </c>
      <c r="L2058" s="789">
        <f>('Parâmetros financeiros Despesa'!F998)*(1+'Parâmetros financeiros Despesa'!F$4)*(1+'Parâmetros financeiros Despesa'!F$7)</f>
        <v>327.09944999999999</v>
      </c>
      <c r="M2058" s="799">
        <f t="shared" si="349"/>
        <v>1.1284860261166131E-4</v>
      </c>
      <c r="N2058" s="894"/>
      <c r="P2058" s="733"/>
    </row>
    <row r="2059" spans="1:16" s="115" customFormat="1" x14ac:dyDescent="0.25">
      <c r="B2059" s="1398" t="s">
        <v>8099</v>
      </c>
      <c r="C2059" s="1398"/>
      <c r="D2059" s="1398"/>
      <c r="E2059" s="854">
        <v>333903500000000</v>
      </c>
      <c r="F2059" s="855" t="s">
        <v>10580</v>
      </c>
      <c r="G2059" s="468">
        <v>31</v>
      </c>
      <c r="H2059" s="468">
        <v>0</v>
      </c>
      <c r="I2059" s="751"/>
      <c r="J2059" s="878" t="s">
        <v>7926</v>
      </c>
      <c r="K2059" s="789">
        <f>('Parâmetros financeiros Despesa'!E999)</f>
        <v>0</v>
      </c>
      <c r="L2059" s="789">
        <f>('Parâmetros financeiros Despesa'!F999)*(1+'Parâmetros financeiros Despesa'!F$4)*(1+'Parâmetros financeiros Despesa'!F$7)</f>
        <v>872.26520000000005</v>
      </c>
      <c r="M2059" s="799">
        <f t="shared" si="349"/>
        <v>3.0092960696443018E-4</v>
      </c>
      <c r="N2059" s="894"/>
      <c r="P2059" s="733"/>
    </row>
    <row r="2060" spans="1:16" s="115" customFormat="1" x14ac:dyDescent="0.25">
      <c r="B2060" s="1398" t="s">
        <v>8100</v>
      </c>
      <c r="C2060" s="1398"/>
      <c r="D2060" s="1398"/>
      <c r="E2060" s="854">
        <v>333903600000000</v>
      </c>
      <c r="F2060" s="855" t="s">
        <v>10581</v>
      </c>
      <c r="G2060" s="468">
        <v>1</v>
      </c>
      <c r="H2060" s="468">
        <v>0</v>
      </c>
      <c r="I2060" s="751"/>
      <c r="J2060" s="878" t="s">
        <v>7926</v>
      </c>
      <c r="K2060" s="789">
        <f>('Parâmetros financeiros Despesa'!E1000)</f>
        <v>0</v>
      </c>
      <c r="L2060" s="789">
        <f>('Parâmetros financeiros Despesa'!F1000)*(1+'Parâmetros financeiros Despesa'!F$4)*(1+'Parâmetros financeiros Despesa'!F$7)</f>
        <v>872.26520000000005</v>
      </c>
      <c r="M2060" s="799">
        <f t="shared" si="349"/>
        <v>3.0092960696443018E-4</v>
      </c>
      <c r="N2060" s="894"/>
      <c r="P2060" s="733"/>
    </row>
    <row r="2061" spans="1:16" s="115" customFormat="1" x14ac:dyDescent="0.25">
      <c r="B2061" s="1398" t="s">
        <v>8101</v>
      </c>
      <c r="C2061" s="1398"/>
      <c r="D2061" s="1398"/>
      <c r="E2061" s="854">
        <v>333903900000000</v>
      </c>
      <c r="F2061" s="855" t="s">
        <v>10582</v>
      </c>
      <c r="G2061" s="468">
        <v>31</v>
      </c>
      <c r="H2061" s="468">
        <v>0</v>
      </c>
      <c r="I2061" s="751"/>
      <c r="J2061" s="878" t="s">
        <v>7926</v>
      </c>
      <c r="K2061" s="789">
        <f>('Parâmetros financeiros Despesa'!E1002)</f>
        <v>2564.9549999999999</v>
      </c>
      <c r="L2061" s="789">
        <f>('Parâmetros financeiros Despesa'!F1002)*(1+'Parâmetros financeiros Despesa'!F$4)*(1+'Parâmetros financeiros Despesa'!F$7)</f>
        <v>155.36951292124999</v>
      </c>
      <c r="M2061" s="799">
        <f t="shared" si="349"/>
        <v>5.3602145835517354E-5</v>
      </c>
      <c r="N2061" s="894"/>
      <c r="P2061" s="733"/>
    </row>
    <row r="2062" spans="1:16" s="115" customFormat="1" x14ac:dyDescent="0.25">
      <c r="B2062" s="1398" t="s">
        <v>8102</v>
      </c>
      <c r="C2062" s="1398"/>
      <c r="D2062" s="1398"/>
      <c r="E2062" s="854">
        <v>333904700000000</v>
      </c>
      <c r="F2062" s="855" t="s">
        <v>10583</v>
      </c>
      <c r="G2062" s="468">
        <v>31</v>
      </c>
      <c r="H2062" s="468">
        <v>0</v>
      </c>
      <c r="I2062" s="751"/>
      <c r="J2062" s="878" t="s">
        <v>7926</v>
      </c>
      <c r="K2062" s="789">
        <f>'Parâmetros financeiros Despesa'!E1001</f>
        <v>0</v>
      </c>
      <c r="L2062" s="789">
        <f>(('Parâmetros financeiros Despesa'!F999)*(1+'Parâmetros financeiros Despesa'!F$4)*(1+'Parâmetros financeiros Despesa'!F$7))*('Parâmetros financeiros Despesa'!F$83)</f>
        <v>174.45304000000002</v>
      </c>
      <c r="M2062" s="799">
        <f t="shared" si="349"/>
        <v>6.0185921392886041E-5</v>
      </c>
      <c r="N2062" s="894"/>
      <c r="P2062" s="733"/>
    </row>
    <row r="2063" spans="1:16" s="748" customFormat="1" x14ac:dyDescent="0.25">
      <c r="B2063" s="599">
        <f>B2062+1</f>
        <v>403101</v>
      </c>
      <c r="C2063" s="600" t="s">
        <v>6062</v>
      </c>
      <c r="D2063" s="528" t="str">
        <f>B2062</f>
        <v>403100</v>
      </c>
      <c r="E2063" s="417">
        <v>333904718000000</v>
      </c>
      <c r="F2063" s="418" t="s">
        <v>5904</v>
      </c>
      <c r="G2063" s="603">
        <v>31</v>
      </c>
      <c r="H2063" s="603">
        <v>0</v>
      </c>
      <c r="I2063" s="601">
        <v>372110400000000</v>
      </c>
      <c r="J2063" s="602"/>
      <c r="K2063" s="891">
        <v>0</v>
      </c>
      <c r="L2063" s="891">
        <v>0</v>
      </c>
      <c r="M2063" s="477">
        <f t="shared" si="349"/>
        <v>0</v>
      </c>
      <c r="N2063" s="796"/>
      <c r="P2063" s="399"/>
    </row>
    <row r="2064" spans="1:16" s="748" customFormat="1" x14ac:dyDescent="0.25">
      <c r="B2064" s="599">
        <f>B2063+1</f>
        <v>403102</v>
      </c>
      <c r="C2064" s="600" t="s">
        <v>6062</v>
      </c>
      <c r="D2064" s="528" t="str">
        <f>D2063</f>
        <v>403100</v>
      </c>
      <c r="E2064" s="417">
        <v>333904718000000</v>
      </c>
      <c r="F2064" s="418" t="s">
        <v>6917</v>
      </c>
      <c r="G2064" s="603">
        <v>31</v>
      </c>
      <c r="H2064" s="603">
        <v>0</v>
      </c>
      <c r="I2064" s="601">
        <v>372110400000000</v>
      </c>
      <c r="J2064" s="602"/>
      <c r="K2064" s="891">
        <v>0</v>
      </c>
      <c r="L2064" s="891">
        <v>0</v>
      </c>
      <c r="M2064" s="477">
        <f t="shared" si="349"/>
        <v>0</v>
      </c>
      <c r="N2064" s="796"/>
      <c r="P2064" s="399"/>
    </row>
    <row r="2065" spans="1:16" s="748" customFormat="1" x14ac:dyDescent="0.25">
      <c r="B2065" s="599">
        <f>B2064+1</f>
        <v>403103</v>
      </c>
      <c r="C2065" s="600" t="s">
        <v>6062</v>
      </c>
      <c r="D2065" s="528" t="str">
        <f>D2064</f>
        <v>403100</v>
      </c>
      <c r="E2065" s="417">
        <v>333904720000000</v>
      </c>
      <c r="F2065" s="418" t="s">
        <v>5905</v>
      </c>
      <c r="G2065" s="603">
        <v>31</v>
      </c>
      <c r="H2065" s="603">
        <v>0</v>
      </c>
      <c r="I2065" s="601">
        <v>372110500000000</v>
      </c>
      <c r="J2065" s="602"/>
      <c r="K2065" s="891">
        <v>0</v>
      </c>
      <c r="L2065" s="891">
        <v>0</v>
      </c>
      <c r="M2065" s="477">
        <f t="shared" si="349"/>
        <v>0</v>
      </c>
      <c r="N2065" s="796"/>
      <c r="P2065" s="399"/>
    </row>
    <row r="2066" spans="1:16" s="748" customFormat="1" x14ac:dyDescent="0.25">
      <c r="B2066" s="599">
        <f>B2065+1</f>
        <v>403104</v>
      </c>
      <c r="C2066" s="600" t="s">
        <v>6062</v>
      </c>
      <c r="D2066" s="528" t="str">
        <f>D2065</f>
        <v>403100</v>
      </c>
      <c r="E2066" s="417">
        <v>333904720000000</v>
      </c>
      <c r="F2066" s="418" t="s">
        <v>6918</v>
      </c>
      <c r="G2066" s="603">
        <v>31</v>
      </c>
      <c r="H2066" s="603">
        <v>0</v>
      </c>
      <c r="I2066" s="601">
        <v>372110500000000</v>
      </c>
      <c r="J2066" s="602"/>
      <c r="K2066" s="891">
        <v>0</v>
      </c>
      <c r="L2066" s="891">
        <v>0</v>
      </c>
      <c r="M2066" s="477">
        <f t="shared" si="349"/>
        <v>0</v>
      </c>
      <c r="N2066" s="796"/>
      <c r="P2066" s="399"/>
    </row>
    <row r="2067" spans="1:16" s="115" customFormat="1" x14ac:dyDescent="0.25">
      <c r="B2067" s="1398" t="s">
        <v>8103</v>
      </c>
      <c r="C2067" s="1398"/>
      <c r="D2067" s="1398"/>
      <c r="E2067" s="854">
        <v>333904900000000</v>
      </c>
      <c r="F2067" s="855" t="s">
        <v>10584</v>
      </c>
      <c r="G2067" s="468">
        <v>31</v>
      </c>
      <c r="H2067" s="468">
        <v>0</v>
      </c>
      <c r="I2067" s="751"/>
      <c r="J2067" s="878" t="s">
        <v>7926</v>
      </c>
      <c r="K2067" s="789">
        <f>('Parâmetros financeiros Despesa'!E$1002+'Parâmetros financeiros Despesa'!E1003)</f>
        <v>2564.9549999999999</v>
      </c>
      <c r="L2067" s="789">
        <f>('Parâmetros financeiros Despesa'!F$1002+'Parâmetros financeiros Despesa'!F1003)*2+(('Parâmetros financeiros Despesa'!F$1002+'Parâmetros financeiros Despesa'!F1003)*10)*(1+'Parâmetros financeiros Despesa'!F$4)*(1+'Parâmetros financeiros Despesa'!F$8)</f>
        <v>1789.0296544818088</v>
      </c>
      <c r="M2067" s="799">
        <f>L2067/L$2153</f>
        <v>6.1721136045656878E-4</v>
      </c>
      <c r="N2067" s="894"/>
      <c r="P2067" s="733"/>
    </row>
    <row r="2068" spans="1:16" s="748" customFormat="1" x14ac:dyDescent="0.25">
      <c r="B2068" s="599">
        <f>B2067+1</f>
        <v>403201</v>
      </c>
      <c r="C2068" s="600" t="s">
        <v>6062</v>
      </c>
      <c r="D2068" s="528" t="str">
        <f>B2067</f>
        <v>403200</v>
      </c>
      <c r="E2068" s="417">
        <v>333904901000000</v>
      </c>
      <c r="F2068" s="418" t="s">
        <v>6042</v>
      </c>
      <c r="G2068" s="603">
        <v>31</v>
      </c>
      <c r="H2068" s="603">
        <v>0</v>
      </c>
      <c r="I2068" s="601">
        <v>313110200000000</v>
      </c>
      <c r="J2068" s="602"/>
      <c r="K2068" s="891">
        <v>0</v>
      </c>
      <c r="L2068" s="891">
        <v>0</v>
      </c>
      <c r="M2068" s="477">
        <f t="shared" ref="M2068" si="350">L2068/L$2153</f>
        <v>0</v>
      </c>
      <c r="N2068" s="796"/>
      <c r="P2068" s="399"/>
    </row>
    <row r="2069" spans="1:16" s="115" customFormat="1" x14ac:dyDescent="0.25">
      <c r="B2069" s="1398" t="s">
        <v>8104</v>
      </c>
      <c r="C2069" s="1398"/>
      <c r="D2069" s="1398"/>
      <c r="E2069" s="854">
        <v>333909300000000</v>
      </c>
      <c r="F2069" s="855" t="s">
        <v>10585</v>
      </c>
      <c r="G2069" s="468">
        <v>31</v>
      </c>
      <c r="H2069" s="468">
        <v>0</v>
      </c>
      <c r="I2069" s="751"/>
      <c r="J2069" s="878" t="s">
        <v>7926</v>
      </c>
      <c r="K2069" s="789">
        <f>('Parâmetros financeiros Despesa'!E$1004)</f>
        <v>0</v>
      </c>
      <c r="L2069" s="789">
        <f>('Parâmetros financeiros Despesa'!F$1004)*(1+'Parâmetros financeiros Despesa'!F$4)*(1+'Parâmetros financeiros Despesa'!F$7)</f>
        <v>218.06630000000001</v>
      </c>
      <c r="M2069" s="799">
        <f>L2069/L$2153</f>
        <v>7.5232401741107545E-5</v>
      </c>
      <c r="N2069" s="894"/>
      <c r="P2069" s="733"/>
    </row>
    <row r="2070" spans="1:16" s="748" customFormat="1" x14ac:dyDescent="0.25">
      <c r="B2070" s="599">
        <f>B2069+1</f>
        <v>403301</v>
      </c>
      <c r="C2070" s="600" t="s">
        <v>6062</v>
      </c>
      <c r="D2070" s="528" t="str">
        <f>B2069</f>
        <v>403300</v>
      </c>
      <c r="E2070" s="417">
        <v>333909399000000</v>
      </c>
      <c r="F2070" s="418" t="s">
        <v>1038</v>
      </c>
      <c r="G2070" s="603">
        <v>31</v>
      </c>
      <c r="H2070" s="603">
        <v>0</v>
      </c>
      <c r="I2070" s="601">
        <v>399910300000000</v>
      </c>
      <c r="J2070" s="602"/>
      <c r="K2070" s="891">
        <v>0</v>
      </c>
      <c r="L2070" s="891">
        <v>0</v>
      </c>
      <c r="M2070" s="477">
        <f t="shared" ref="M2070" si="351">L2070/L$2153</f>
        <v>0</v>
      </c>
      <c r="N2070" s="796"/>
      <c r="P2070" s="399"/>
    </row>
    <row r="2071" spans="1:16" s="115" customFormat="1" ht="30" x14ac:dyDescent="0.25">
      <c r="B2071" s="1398" t="s">
        <v>8105</v>
      </c>
      <c r="C2071" s="1398"/>
      <c r="D2071" s="1398"/>
      <c r="E2071" s="854">
        <v>333933000000000</v>
      </c>
      <c r="F2071" s="855" t="s">
        <v>10586</v>
      </c>
      <c r="G2071" s="468">
        <v>31</v>
      </c>
      <c r="H2071" s="468">
        <v>0</v>
      </c>
      <c r="I2071" s="751"/>
      <c r="J2071" s="878" t="s">
        <v>6197</v>
      </c>
      <c r="K2071" s="789">
        <f>('Parâmetros financeiros Despesa'!E$1005)</f>
        <v>0</v>
      </c>
      <c r="L2071" s="789">
        <f>('Parâmetros financeiros Despesa'!F$1005)*(1+'Parâmetros financeiros Despesa'!F$4)*(1+'Parâmetros financeiros Despesa'!F$7)</f>
        <v>1090.3315</v>
      </c>
      <c r="M2071" s="799">
        <f>L2071/L$2153</f>
        <v>3.7616200870553768E-4</v>
      </c>
      <c r="N2071" s="894"/>
      <c r="P2071" s="733"/>
    </row>
    <row r="2072" spans="1:16" s="748" customFormat="1" x14ac:dyDescent="0.25">
      <c r="B2072" s="599">
        <f>B2071+1</f>
        <v>403401</v>
      </c>
      <c r="C2072" s="600" t="s">
        <v>6062</v>
      </c>
      <c r="D2072" s="528" t="str">
        <f>B2071</f>
        <v>403400</v>
      </c>
      <c r="E2072" s="417">
        <v>333933002000000</v>
      </c>
      <c r="F2072" s="418" t="s">
        <v>6199</v>
      </c>
      <c r="G2072" s="603">
        <v>31</v>
      </c>
      <c r="H2072" s="603">
        <v>0</v>
      </c>
      <c r="I2072" s="601">
        <v>35</v>
      </c>
      <c r="J2072" s="602"/>
      <c r="K2072" s="891">
        <v>0</v>
      </c>
      <c r="L2072" s="891">
        <v>0</v>
      </c>
      <c r="M2072" s="477">
        <f t="shared" ref="M2072" si="352">L2072/L$2153</f>
        <v>0</v>
      </c>
      <c r="N2072" s="796"/>
      <c r="P2072" s="399"/>
    </row>
    <row r="2073" spans="1:16" s="115" customFormat="1" ht="30" x14ac:dyDescent="0.25">
      <c r="B2073" s="1398" t="s">
        <v>8106</v>
      </c>
      <c r="C2073" s="1398"/>
      <c r="D2073" s="1398"/>
      <c r="E2073" s="854">
        <v>344905200000000</v>
      </c>
      <c r="F2073" s="855" t="s">
        <v>10587</v>
      </c>
      <c r="G2073" s="468">
        <v>31</v>
      </c>
      <c r="H2073" s="468">
        <v>0</v>
      </c>
      <c r="I2073" s="751"/>
      <c r="J2073" s="878" t="s">
        <v>7926</v>
      </c>
      <c r="K2073" s="789">
        <f>('Parâmetros financeiros Despesa'!E$1006)</f>
        <v>0</v>
      </c>
      <c r="L2073" s="789">
        <f>('Parâmetros financeiros Despesa'!F$1006)*(1+'Parâmetros financeiros Despesa'!F$4)*(1+'Parâmetros financeiros Despesa'!F$7)</f>
        <v>2725.8287500000001</v>
      </c>
      <c r="M2073" s="799">
        <f t="shared" ref="M2073:M2078" si="353">L2073/L$2153</f>
        <v>9.4040502176384426E-4</v>
      </c>
      <c r="N2073" s="894"/>
      <c r="P2073" s="733"/>
    </row>
    <row r="2074" spans="1:16" s="748" customFormat="1" ht="15" customHeight="1" x14ac:dyDescent="0.25">
      <c r="B2074" s="1385" t="s">
        <v>7913</v>
      </c>
      <c r="C2074" s="1385"/>
      <c r="D2074" s="1385"/>
      <c r="E2074" s="1385"/>
      <c r="F2074" s="1385"/>
      <c r="G2074" s="401"/>
      <c r="H2074" s="401"/>
      <c r="I2074" s="426"/>
      <c r="J2074" s="411"/>
      <c r="K2074" s="402">
        <f t="shared" ref="K2074:L2076" si="354">K2075</f>
        <v>56531.63951666667</v>
      </c>
      <c r="L2074" s="402">
        <f t="shared" si="354"/>
        <v>137311.13278287541</v>
      </c>
      <c r="M2074" s="451">
        <f t="shared" si="353"/>
        <v>4.73720437548023E-2</v>
      </c>
      <c r="N2074" s="796"/>
      <c r="P2074" s="399"/>
    </row>
    <row r="2075" spans="1:16" s="748" customFormat="1" ht="15" customHeight="1" x14ac:dyDescent="0.25">
      <c r="B2075" s="1386" t="s">
        <v>8033</v>
      </c>
      <c r="C2075" s="1386"/>
      <c r="D2075" s="1386"/>
      <c r="E2075" s="1386"/>
      <c r="F2075" s="1386"/>
      <c r="G2075" s="403"/>
      <c r="H2075" s="403"/>
      <c r="I2075" s="427"/>
      <c r="J2075" s="412"/>
      <c r="K2075" s="404">
        <f t="shared" si="354"/>
        <v>56531.63951666667</v>
      </c>
      <c r="L2075" s="404">
        <f t="shared" si="354"/>
        <v>137311.13278287541</v>
      </c>
      <c r="M2075" s="452">
        <f t="shared" si="353"/>
        <v>4.73720437548023E-2</v>
      </c>
      <c r="N2075" s="796"/>
      <c r="P2075" s="399"/>
    </row>
    <row r="2076" spans="1:16" s="748" customFormat="1" x14ac:dyDescent="0.25">
      <c r="B2076" s="1382" t="s">
        <v>7914</v>
      </c>
      <c r="C2076" s="1382"/>
      <c r="D2076" s="1382"/>
      <c r="E2076" s="1382"/>
      <c r="F2076" s="1382"/>
      <c r="G2076" s="405"/>
      <c r="H2076" s="405"/>
      <c r="I2076" s="428"/>
      <c r="J2076" s="413"/>
      <c r="K2076" s="406">
        <f t="shared" si="354"/>
        <v>56531.63951666667</v>
      </c>
      <c r="L2076" s="406">
        <f t="shared" si="354"/>
        <v>137311.13278287541</v>
      </c>
      <c r="M2076" s="453">
        <f t="shared" si="353"/>
        <v>4.73720437548023E-2</v>
      </c>
      <c r="N2076" s="796"/>
      <c r="P2076" s="399"/>
    </row>
    <row r="2077" spans="1:16" s="748" customFormat="1" x14ac:dyDescent="0.25">
      <c r="B2077" s="1383" t="s">
        <v>8107</v>
      </c>
      <c r="C2077" s="1383"/>
      <c r="D2077" s="1383"/>
      <c r="E2077" s="1383"/>
      <c r="F2077" s="1383"/>
      <c r="G2077" s="407"/>
      <c r="H2077" s="407"/>
      <c r="I2077" s="429"/>
      <c r="J2077" s="414"/>
      <c r="K2077" s="408">
        <f>SUM(K2078:K2090)+K2095+K2097+K2099+K2101</f>
        <v>56531.63951666667</v>
      </c>
      <c r="L2077" s="408">
        <f>SUM(L2078:L2090)+L2095+L2097+L2099+L2101+0.02</f>
        <v>137311.13278287541</v>
      </c>
      <c r="M2077" s="454">
        <f t="shared" si="353"/>
        <v>4.73720437548023E-2</v>
      </c>
      <c r="N2077" s="796"/>
      <c r="P2077" s="399"/>
    </row>
    <row r="2078" spans="1:16" s="115" customFormat="1" x14ac:dyDescent="0.25">
      <c r="B2078" s="1398" t="s">
        <v>8108</v>
      </c>
      <c r="C2078" s="1398"/>
      <c r="D2078" s="1398"/>
      <c r="E2078" s="854">
        <v>331900400000000</v>
      </c>
      <c r="F2078" s="855" t="s">
        <v>10589</v>
      </c>
      <c r="G2078" s="468">
        <v>31</v>
      </c>
      <c r="H2078" s="468">
        <v>0</v>
      </c>
      <c r="I2078" s="751"/>
      <c r="J2078" s="878" t="s">
        <v>7926</v>
      </c>
      <c r="K2078" s="789">
        <f>(('Parâmetros financeiros Despesa'!E$1008))</f>
        <v>2393.4014999999999</v>
      </c>
      <c r="L2078" s="789">
        <f>(('Parâmetros financeiros Despesa'!F$1008)*2.05+(('Parâmetros financeiros Despesa'!F$1008)*11.28)*(1+'Parâmetros financeiros Despesa'!F$4)*(1+'Parâmetros financeiros Despesa'!F$8))*(1+'Parâmetros financeiros Despesa'!F$80)</f>
        <v>6892.4498592195805</v>
      </c>
      <c r="M2078" s="799">
        <f t="shared" si="353"/>
        <v>2.3778802904861852E-3</v>
      </c>
      <c r="N2078" s="894"/>
      <c r="P2078" s="733"/>
    </row>
    <row r="2079" spans="1:16" s="1018" customFormat="1" ht="15" customHeight="1" x14ac:dyDescent="0.25">
      <c r="A2079" s="859"/>
      <c r="B2079" s="994"/>
      <c r="C2079" s="994"/>
      <c r="D2079" s="994" t="s">
        <v>11585</v>
      </c>
      <c r="E2079" s="854">
        <v>331900800000000</v>
      </c>
      <c r="F2079" s="855" t="s">
        <v>11592</v>
      </c>
      <c r="G2079" s="468">
        <v>1</v>
      </c>
      <c r="H2079" s="468">
        <v>0</v>
      </c>
      <c r="I2079" s="751"/>
      <c r="J2079" s="878" t="s">
        <v>5966</v>
      </c>
      <c r="K2079" s="789">
        <f>(('Parâmetros financeiros Despesa'!E1009))</f>
        <v>1081.9961000000001</v>
      </c>
      <c r="L2079" s="789">
        <f>(('Parâmetros financeiros Despesa'!F1009)*2.05+(('Parâmetros financeiros Despesa'!F1009)*11.28)*(1+'Parâmetros financeiros Despesa'!F$4)*(1+'Parâmetros financeiros Despesa'!F$8))</f>
        <v>1132.79476657336</v>
      </c>
      <c r="M2079" s="799">
        <f t="shared" ref="M2079:M2090" si="355">L2079/L$2153</f>
        <v>3.9081174380943394E-4</v>
      </c>
      <c r="N2079" s="883"/>
      <c r="P2079" s="1019"/>
    </row>
    <row r="2080" spans="1:16" s="115" customFormat="1" x14ac:dyDescent="0.25">
      <c r="B2080" s="1398" t="s">
        <v>8109</v>
      </c>
      <c r="C2080" s="1398"/>
      <c r="D2080" s="1398"/>
      <c r="E2080" s="854">
        <v>331901100000000</v>
      </c>
      <c r="F2080" s="855" t="s">
        <v>10600</v>
      </c>
      <c r="G2080" s="468">
        <v>31</v>
      </c>
      <c r="H2080" s="468">
        <v>0</v>
      </c>
      <c r="I2080" s="751"/>
      <c r="J2080" s="878" t="s">
        <v>7926</v>
      </c>
      <c r="K2080" s="789">
        <f>('Parâmetros financeiros Despesa'!E$1010)</f>
        <v>39837.926916666671</v>
      </c>
      <c r="L2080" s="789">
        <f>('Parâmetros financeiros Despesa'!F$1010)*2.05+(('Parâmetros financeiros Despesa'!F$1010)*11.28)*(1+'Parâmetros financeiros Despesa'!F$4)*(1+'Parâmetros financeiros Despesa'!F$8)</f>
        <v>92661.892986596024</v>
      </c>
      <c r="M2080" s="799">
        <f t="shared" si="355"/>
        <v>3.1968152618075819E-2</v>
      </c>
      <c r="N2080" s="894"/>
      <c r="P2080" s="733"/>
    </row>
    <row r="2081" spans="2:16" s="115" customFormat="1" x14ac:dyDescent="0.25">
      <c r="B2081" s="1398" t="s">
        <v>8110</v>
      </c>
      <c r="C2081" s="1398"/>
      <c r="D2081" s="1398"/>
      <c r="E2081" s="854">
        <v>331901300000000</v>
      </c>
      <c r="F2081" s="855" t="s">
        <v>10599</v>
      </c>
      <c r="G2081" s="468">
        <v>31</v>
      </c>
      <c r="H2081" s="468">
        <v>0</v>
      </c>
      <c r="I2081" s="751"/>
      <c r="J2081" s="878" t="s">
        <v>7926</v>
      </c>
      <c r="K2081" s="789">
        <f>'Parâmetros financeiros Despesa'!E1011</f>
        <v>7120.5</v>
      </c>
      <c r="L2081" s="789">
        <f>(L2082+L2080)*'Parâmetros financeiros Despesa'!F$80</f>
        <v>22065.563548271999</v>
      </c>
      <c r="M2081" s="799">
        <f t="shared" si="355"/>
        <v>7.612571688094572E-3</v>
      </c>
      <c r="N2081" s="894"/>
      <c r="P2081" s="733"/>
    </row>
    <row r="2082" spans="2:16" s="115" customFormat="1" x14ac:dyDescent="0.25">
      <c r="B2082" s="1398" t="s">
        <v>8111</v>
      </c>
      <c r="C2082" s="1398"/>
      <c r="D2082" s="1398"/>
      <c r="E2082" s="854">
        <v>331901600000000</v>
      </c>
      <c r="F2082" s="855" t="s">
        <v>10598</v>
      </c>
      <c r="G2082" s="468">
        <v>31</v>
      </c>
      <c r="H2082" s="468">
        <v>0</v>
      </c>
      <c r="I2082" s="751"/>
      <c r="J2082" s="878" t="s">
        <v>7926</v>
      </c>
      <c r="K2082" s="789">
        <f>('Parâmetros financeiros Despesa'!E$1012)</f>
        <v>0</v>
      </c>
      <c r="L2082" s="789">
        <f>('Parâmetros financeiros Despesa'!F$1012)*2.05+(('Parâmetros financeiros Despesa'!F$1012)*11.28)*(1+'Parâmetros financeiros Despesa'!F$4)*(1+'Parâmetros financeiros Despesa'!F$8)</f>
        <v>13.955830560223728</v>
      </c>
      <c r="M2082" s="799">
        <f t="shared" si="355"/>
        <v>4.8147313516007629E-6</v>
      </c>
      <c r="N2082" s="894"/>
      <c r="P2082" s="733"/>
    </row>
    <row r="2083" spans="2:16" s="115" customFormat="1" x14ac:dyDescent="0.25">
      <c r="B2083" s="1398" t="s">
        <v>8112</v>
      </c>
      <c r="C2083" s="1398"/>
      <c r="D2083" s="1398"/>
      <c r="E2083" s="854">
        <v>333901400000000</v>
      </c>
      <c r="F2083" s="855" t="s">
        <v>10597</v>
      </c>
      <c r="G2083" s="468">
        <v>31</v>
      </c>
      <c r="H2083" s="468">
        <v>0</v>
      </c>
      <c r="I2083" s="751"/>
      <c r="J2083" s="878" t="s">
        <v>7926</v>
      </c>
      <c r="K2083" s="789">
        <f>('Parâmetros financeiros Despesa'!E$1013)</f>
        <v>0</v>
      </c>
      <c r="L2083" s="789">
        <f>('Parâmetros financeiros Despesa'!F$1013)*2+(('Parâmetros financeiros Despesa'!F$1013)*10)*(1+'Parâmetros financeiros Despesa'!F$4)*(1+'Parâmetros financeiros Despesa'!F$8)</f>
        <v>903.94663150364215</v>
      </c>
      <c r="M2083" s="799">
        <f t="shared" si="355"/>
        <v>3.1185963229441187E-4</v>
      </c>
      <c r="N2083" s="894"/>
      <c r="P2083" s="733"/>
    </row>
    <row r="2084" spans="2:16" s="115" customFormat="1" x14ac:dyDescent="0.25">
      <c r="B2084" s="1396">
        <v>404500</v>
      </c>
      <c r="C2084" s="1396"/>
      <c r="D2084" s="1396"/>
      <c r="E2084" s="854">
        <v>333903000000000</v>
      </c>
      <c r="F2084" s="855" t="s">
        <v>10596</v>
      </c>
      <c r="G2084" s="468">
        <v>31</v>
      </c>
      <c r="H2084" s="468">
        <v>0</v>
      </c>
      <c r="I2084" s="751"/>
      <c r="J2084" s="878" t="s">
        <v>7926</v>
      </c>
      <c r="K2084" s="789">
        <f>('Parâmetros financeiros Despesa'!E1014)</f>
        <v>104.44499999999999</v>
      </c>
      <c r="L2084" s="789">
        <f>('Parâmetros financeiros Despesa'!F1014)*(1+'Parâmetros financeiros Despesa'!F$4)*(1+'Parâmetros financeiros Despesa'!F$7)</f>
        <v>545.16575</v>
      </c>
      <c r="M2084" s="799">
        <f t="shared" si="355"/>
        <v>1.8808100435276884E-4</v>
      </c>
      <c r="N2084" s="894"/>
      <c r="P2084" s="733"/>
    </row>
    <row r="2085" spans="2:16" s="115" customFormat="1" x14ac:dyDescent="0.25">
      <c r="B2085" s="1396">
        <v>404600</v>
      </c>
      <c r="C2085" s="1396"/>
      <c r="D2085" s="1396"/>
      <c r="E2085" s="854">
        <v>333903200000000</v>
      </c>
      <c r="F2085" s="855" t="s">
        <v>10595</v>
      </c>
      <c r="G2085" s="468">
        <v>31</v>
      </c>
      <c r="H2085" s="468">
        <v>0</v>
      </c>
      <c r="I2085" s="751"/>
      <c r="J2085" s="878" t="s">
        <v>7926</v>
      </c>
      <c r="K2085" s="789">
        <f>('Parâmetros financeiros Despesa'!E1015)</f>
        <v>0</v>
      </c>
      <c r="L2085" s="789">
        <f>('Parâmetros financeiros Despesa'!F1015)*(1+'Parâmetros financeiros Despesa'!F$4)*(1+'Parâmetros financeiros Despesa'!F$7)</f>
        <v>545.16575</v>
      </c>
      <c r="M2085" s="799">
        <f t="shared" si="355"/>
        <v>1.8808100435276884E-4</v>
      </c>
      <c r="N2085" s="894"/>
      <c r="P2085" s="733"/>
    </row>
    <row r="2086" spans="2:16" s="115" customFormat="1" x14ac:dyDescent="0.25">
      <c r="B2086" s="1396">
        <v>404700</v>
      </c>
      <c r="C2086" s="1396"/>
      <c r="D2086" s="1396"/>
      <c r="E2086" s="854">
        <v>333903300000000</v>
      </c>
      <c r="F2086" s="855" t="s">
        <v>10594</v>
      </c>
      <c r="G2086" s="468">
        <v>31</v>
      </c>
      <c r="H2086" s="468">
        <v>0</v>
      </c>
      <c r="I2086" s="751"/>
      <c r="J2086" s="878" t="s">
        <v>7926</v>
      </c>
      <c r="K2086" s="789">
        <f>('Parâmetros financeiros Despesa'!E1016)</f>
        <v>0</v>
      </c>
      <c r="L2086" s="789">
        <f>('Parâmetros financeiros Despesa'!F1016)*(1+'Parâmetros financeiros Despesa'!F$4)*(1+'Parâmetros financeiros Despesa'!F$7)</f>
        <v>545.16575</v>
      </c>
      <c r="M2086" s="799">
        <f t="shared" si="355"/>
        <v>1.8808100435276884E-4</v>
      </c>
      <c r="N2086" s="894"/>
      <c r="P2086" s="733"/>
    </row>
    <row r="2087" spans="2:16" s="115" customFormat="1" x14ac:dyDescent="0.25">
      <c r="B2087" s="1398" t="s">
        <v>8113</v>
      </c>
      <c r="C2087" s="1398"/>
      <c r="D2087" s="1398"/>
      <c r="E2087" s="854">
        <v>333903500000000</v>
      </c>
      <c r="F2087" s="855" t="s">
        <v>10593</v>
      </c>
      <c r="G2087" s="468">
        <v>31</v>
      </c>
      <c r="H2087" s="468">
        <v>0</v>
      </c>
      <c r="I2087" s="751"/>
      <c r="J2087" s="878" t="s">
        <v>7926</v>
      </c>
      <c r="K2087" s="789">
        <f>('Parâmetros financeiros Despesa'!E1017)</f>
        <v>0</v>
      </c>
      <c r="L2087" s="789">
        <f>('Parâmetros financeiros Despesa'!F1017)*(1+'Parâmetros financeiros Despesa'!F$4)*(1+'Parâmetros financeiros Despesa'!F$7)</f>
        <v>872.26520000000005</v>
      </c>
      <c r="M2087" s="799">
        <f t="shared" si="355"/>
        <v>3.0092960696443018E-4</v>
      </c>
      <c r="N2087" s="894"/>
      <c r="P2087" s="733"/>
    </row>
    <row r="2088" spans="2:16" s="115" customFormat="1" x14ac:dyDescent="0.25">
      <c r="B2088" s="1398" t="s">
        <v>8114</v>
      </c>
      <c r="C2088" s="1398"/>
      <c r="D2088" s="1398"/>
      <c r="E2088" s="854">
        <v>333903600000000</v>
      </c>
      <c r="F2088" s="855" t="s">
        <v>10592</v>
      </c>
      <c r="G2088" s="468">
        <v>1</v>
      </c>
      <c r="H2088" s="468">
        <v>0</v>
      </c>
      <c r="I2088" s="751"/>
      <c r="J2088" s="878" t="s">
        <v>7926</v>
      </c>
      <c r="K2088" s="789">
        <f>('Parâmetros financeiros Despesa'!E1018)</f>
        <v>0</v>
      </c>
      <c r="L2088" s="789">
        <f>('Parâmetros financeiros Despesa'!F1018)*(1+'Parâmetros financeiros Despesa'!F$4)*(1+'Parâmetros financeiros Despesa'!F$7)</f>
        <v>872.26520000000005</v>
      </c>
      <c r="M2088" s="799">
        <f t="shared" si="355"/>
        <v>3.0092960696443018E-4</v>
      </c>
      <c r="N2088" s="894"/>
      <c r="P2088" s="733"/>
    </row>
    <row r="2089" spans="2:16" s="115" customFormat="1" x14ac:dyDescent="0.25">
      <c r="B2089" s="1398" t="s">
        <v>8115</v>
      </c>
      <c r="C2089" s="1398"/>
      <c r="D2089" s="1398"/>
      <c r="E2089" s="854">
        <v>333903900000000</v>
      </c>
      <c r="F2089" s="855" t="s">
        <v>10591</v>
      </c>
      <c r="G2089" s="468">
        <v>31</v>
      </c>
      <c r="H2089" s="468">
        <v>0</v>
      </c>
      <c r="I2089" s="751"/>
      <c r="J2089" s="878" t="s">
        <v>7926</v>
      </c>
      <c r="K2089" s="789">
        <f>('Parâmetros financeiros Despesa'!E1020)</f>
        <v>2996.6849999999999</v>
      </c>
      <c r="L2089" s="789">
        <f>('Parâmetros financeiros Despesa'!F1020)*(1+'Parâmetros financeiros Despesa'!F$4)*(1+'Parâmetros financeiros Despesa'!F$7)</f>
        <v>544.56334184625007</v>
      </c>
      <c r="M2089" s="799">
        <f t="shared" si="355"/>
        <v>1.8787317484295906E-4</v>
      </c>
      <c r="N2089" s="894"/>
      <c r="P2089" s="733"/>
    </row>
    <row r="2090" spans="2:16" s="115" customFormat="1" x14ac:dyDescent="0.25">
      <c r="B2090" s="1398" t="s">
        <v>8116</v>
      </c>
      <c r="C2090" s="1398"/>
      <c r="D2090" s="1398"/>
      <c r="E2090" s="854">
        <v>333904700000000</v>
      </c>
      <c r="F2090" s="855" t="s">
        <v>10590</v>
      </c>
      <c r="G2090" s="468">
        <v>31</v>
      </c>
      <c r="H2090" s="468">
        <v>0</v>
      </c>
      <c r="I2090" s="751"/>
      <c r="J2090" s="878" t="s">
        <v>7926</v>
      </c>
      <c r="K2090" s="789">
        <f>'Parâmetros financeiros Despesa'!E1019</f>
        <v>0</v>
      </c>
      <c r="L2090" s="789">
        <f>(('Parâmetros financeiros Despesa'!F1018)*(1+'Parâmetros financeiros Despesa'!F$4)*(1+'Parâmetros financeiros Despesa'!F$7))*('Parâmetros financeiros Despesa'!F$83)</f>
        <v>174.45304000000002</v>
      </c>
      <c r="M2090" s="799">
        <f t="shared" si="355"/>
        <v>6.0185921392886041E-5</v>
      </c>
      <c r="N2090" s="894"/>
      <c r="P2090" s="733"/>
    </row>
    <row r="2091" spans="2:16" s="748" customFormat="1" x14ac:dyDescent="0.25">
      <c r="B2091" s="599">
        <f>B2090+1</f>
        <v>405101</v>
      </c>
      <c r="C2091" s="600" t="s">
        <v>6062</v>
      </c>
      <c r="D2091" s="528" t="str">
        <f>B2090</f>
        <v>405100</v>
      </c>
      <c r="E2091" s="417">
        <v>333904718000000</v>
      </c>
      <c r="F2091" s="418" t="s">
        <v>5904</v>
      </c>
      <c r="G2091" s="603">
        <v>31</v>
      </c>
      <c r="H2091" s="603">
        <v>0</v>
      </c>
      <c r="I2091" s="601">
        <v>372110400000000</v>
      </c>
      <c r="J2091" s="602"/>
      <c r="K2091" s="891">
        <v>0</v>
      </c>
      <c r="L2091" s="891">
        <v>0</v>
      </c>
      <c r="M2091" s="477">
        <f t="shared" ref="M2091:M2094" si="356">L2091/L$2153</f>
        <v>0</v>
      </c>
      <c r="N2091" s="796"/>
      <c r="P2091" s="399"/>
    </row>
    <row r="2092" spans="2:16" s="748" customFormat="1" x14ac:dyDescent="0.25">
      <c r="B2092" s="599">
        <f>B2091+1</f>
        <v>405102</v>
      </c>
      <c r="C2092" s="600" t="s">
        <v>6062</v>
      </c>
      <c r="D2092" s="528" t="str">
        <f>D2091</f>
        <v>405100</v>
      </c>
      <c r="E2092" s="417">
        <v>333904718000000</v>
      </c>
      <c r="F2092" s="418" t="s">
        <v>6917</v>
      </c>
      <c r="G2092" s="603">
        <v>31</v>
      </c>
      <c r="H2092" s="603">
        <v>0</v>
      </c>
      <c r="I2092" s="601">
        <v>372110400000000</v>
      </c>
      <c r="J2092" s="602"/>
      <c r="K2092" s="891">
        <v>0</v>
      </c>
      <c r="L2092" s="891">
        <v>0</v>
      </c>
      <c r="M2092" s="477">
        <f t="shared" si="356"/>
        <v>0</v>
      </c>
      <c r="N2092" s="796"/>
      <c r="P2092" s="399"/>
    </row>
    <row r="2093" spans="2:16" s="748" customFormat="1" x14ac:dyDescent="0.25">
      <c r="B2093" s="599">
        <f>B2092+1</f>
        <v>405103</v>
      </c>
      <c r="C2093" s="600" t="s">
        <v>6062</v>
      </c>
      <c r="D2093" s="528" t="str">
        <f>D2092</f>
        <v>405100</v>
      </c>
      <c r="E2093" s="417">
        <v>333904720000000</v>
      </c>
      <c r="F2093" s="418" t="s">
        <v>5905</v>
      </c>
      <c r="G2093" s="603">
        <v>31</v>
      </c>
      <c r="H2093" s="603">
        <v>0</v>
      </c>
      <c r="I2093" s="601">
        <v>372110500000000</v>
      </c>
      <c r="J2093" s="602"/>
      <c r="K2093" s="891">
        <v>0</v>
      </c>
      <c r="L2093" s="891">
        <v>0</v>
      </c>
      <c r="M2093" s="477">
        <f t="shared" si="356"/>
        <v>0</v>
      </c>
      <c r="N2093" s="796"/>
      <c r="P2093" s="399"/>
    </row>
    <row r="2094" spans="2:16" s="748" customFormat="1" x14ac:dyDescent="0.25">
      <c r="B2094" s="599">
        <f>B2093+1</f>
        <v>405104</v>
      </c>
      <c r="C2094" s="600" t="s">
        <v>6062</v>
      </c>
      <c r="D2094" s="528" t="str">
        <f>D2093</f>
        <v>405100</v>
      </c>
      <c r="E2094" s="417">
        <v>333904720000000</v>
      </c>
      <c r="F2094" s="418" t="s">
        <v>6918</v>
      </c>
      <c r="G2094" s="603">
        <v>31</v>
      </c>
      <c r="H2094" s="603">
        <v>0</v>
      </c>
      <c r="I2094" s="601">
        <v>372110500000000</v>
      </c>
      <c r="J2094" s="602"/>
      <c r="K2094" s="891">
        <v>0</v>
      </c>
      <c r="L2094" s="891">
        <v>0</v>
      </c>
      <c r="M2094" s="477">
        <f t="shared" si="356"/>
        <v>0</v>
      </c>
      <c r="N2094" s="796"/>
      <c r="P2094" s="399"/>
    </row>
    <row r="2095" spans="2:16" s="115" customFormat="1" x14ac:dyDescent="0.25">
      <c r="B2095" s="1398" t="s">
        <v>8117</v>
      </c>
      <c r="C2095" s="1398"/>
      <c r="D2095" s="1398"/>
      <c r="E2095" s="854">
        <v>333904900000000</v>
      </c>
      <c r="F2095" s="855" t="s">
        <v>10601</v>
      </c>
      <c r="G2095" s="468">
        <v>31</v>
      </c>
      <c r="H2095" s="468">
        <v>0</v>
      </c>
      <c r="I2095" s="751"/>
      <c r="J2095" s="878" t="s">
        <v>7926</v>
      </c>
      <c r="K2095" s="789">
        <f>('Parâmetros financeiros Despesa'!E$1020+'Parâmetros financeiros Despesa'!E1021)</f>
        <v>2996.6849999999999</v>
      </c>
      <c r="L2095" s="789">
        <f>('Parâmetros financeiros Despesa'!F$1020+'Parâmetros financeiros Despesa'!F1021)*2+(('Parâmetros financeiros Despesa'!F$1020+'Parâmetros financeiros Despesa'!F1021)*10)*(1+'Parâmetros financeiros Despesa'!F$4)*(1+'Parâmetros financeiros Despesa'!F$8)</f>
        <v>6270.4706283043797</v>
      </c>
      <c r="M2095" s="799">
        <f>L2095/L$2153</f>
        <v>2.1632988013939344E-3</v>
      </c>
      <c r="N2095" s="894"/>
      <c r="P2095" s="733"/>
    </row>
    <row r="2096" spans="2:16" s="748" customFormat="1" x14ac:dyDescent="0.25">
      <c r="B2096" s="599">
        <f>B2095+1</f>
        <v>405201</v>
      </c>
      <c r="C2096" s="600" t="s">
        <v>6062</v>
      </c>
      <c r="D2096" s="528" t="str">
        <f>B2095</f>
        <v>405200</v>
      </c>
      <c r="E2096" s="417">
        <v>333904901000000</v>
      </c>
      <c r="F2096" s="418" t="s">
        <v>6042</v>
      </c>
      <c r="G2096" s="603">
        <v>31</v>
      </c>
      <c r="H2096" s="603">
        <v>0</v>
      </c>
      <c r="I2096" s="601">
        <v>313110200000000</v>
      </c>
      <c r="J2096" s="602"/>
      <c r="K2096" s="891">
        <v>0</v>
      </c>
      <c r="L2096" s="891">
        <v>0</v>
      </c>
      <c r="M2096" s="477">
        <f t="shared" ref="M2096" si="357">L2096/L$2153</f>
        <v>0</v>
      </c>
      <c r="N2096" s="796"/>
      <c r="P2096" s="399"/>
    </row>
    <row r="2097" spans="2:16" s="115" customFormat="1" x14ac:dyDescent="0.25">
      <c r="B2097" s="1398" t="s">
        <v>8118</v>
      </c>
      <c r="C2097" s="1398"/>
      <c r="D2097" s="1398"/>
      <c r="E2097" s="854">
        <v>333909300000000</v>
      </c>
      <c r="F2097" s="855" t="s">
        <v>10602</v>
      </c>
      <c r="G2097" s="468">
        <v>31</v>
      </c>
      <c r="H2097" s="468">
        <v>0</v>
      </c>
      <c r="I2097" s="751"/>
      <c r="J2097" s="878" t="s">
        <v>7926</v>
      </c>
      <c r="K2097" s="789">
        <f>('Parâmetros financeiros Despesa'!E$1022)</f>
        <v>0</v>
      </c>
      <c r="L2097" s="789">
        <f>('Parâmetros financeiros Despesa'!F$1022)*(1+'Parâmetros financeiros Despesa'!F$4)*(1+'Parâmetros financeiros Despesa'!F$7)</f>
        <v>545.16575</v>
      </c>
      <c r="M2097" s="799">
        <f>L2097/L$2153</f>
        <v>1.8808100435276884E-4</v>
      </c>
      <c r="N2097" s="894"/>
      <c r="P2097" s="733"/>
    </row>
    <row r="2098" spans="2:16" s="748" customFormat="1" x14ac:dyDescent="0.25">
      <c r="B2098" s="599">
        <f>B2097+1</f>
        <v>405301</v>
      </c>
      <c r="C2098" s="600" t="s">
        <v>6062</v>
      </c>
      <c r="D2098" s="528" t="str">
        <f>B2097</f>
        <v>405300</v>
      </c>
      <c r="E2098" s="417">
        <v>333909399000000</v>
      </c>
      <c r="F2098" s="418" t="s">
        <v>1038</v>
      </c>
      <c r="G2098" s="603">
        <v>31</v>
      </c>
      <c r="H2098" s="603">
        <v>0</v>
      </c>
      <c r="I2098" s="601">
        <v>399910300000000</v>
      </c>
      <c r="J2098" s="602"/>
      <c r="K2098" s="891">
        <v>0</v>
      </c>
      <c r="L2098" s="891">
        <v>0</v>
      </c>
      <c r="M2098" s="477">
        <f t="shared" ref="M2098" si="358">L2098/L$2153</f>
        <v>0</v>
      </c>
      <c r="N2098" s="796"/>
      <c r="P2098" s="399"/>
    </row>
    <row r="2099" spans="2:16" s="115" customFormat="1" ht="30" x14ac:dyDescent="0.25">
      <c r="B2099" s="1398" t="s">
        <v>8119</v>
      </c>
      <c r="C2099" s="1398"/>
      <c r="D2099" s="1398"/>
      <c r="E2099" s="854">
        <v>333933000000000</v>
      </c>
      <c r="F2099" s="855" t="s">
        <v>10603</v>
      </c>
      <c r="G2099" s="468">
        <v>31</v>
      </c>
      <c r="H2099" s="468">
        <v>0</v>
      </c>
      <c r="I2099" s="751"/>
      <c r="J2099" s="878" t="s">
        <v>6197</v>
      </c>
      <c r="K2099" s="789">
        <f>('Parâmetros financeiros Despesa'!E$1023)</f>
        <v>0</v>
      </c>
      <c r="L2099" s="789">
        <f>('Parâmetros financeiros Despesa'!F$1023)*(1+'Parâmetros financeiros Despesa'!F$4)*(1+'Parâmetros financeiros Despesa'!F$7)</f>
        <v>1090.3315</v>
      </c>
      <c r="M2099" s="799">
        <f>L2099/L$2153</f>
        <v>3.7616200870553768E-4</v>
      </c>
      <c r="N2099" s="894"/>
      <c r="P2099" s="733"/>
    </row>
    <row r="2100" spans="2:16" s="748" customFormat="1" x14ac:dyDescent="0.25">
      <c r="B2100" s="599">
        <f>B2099+1</f>
        <v>405401</v>
      </c>
      <c r="C2100" s="600" t="s">
        <v>6062</v>
      </c>
      <c r="D2100" s="528" t="str">
        <f>B2099</f>
        <v>405400</v>
      </c>
      <c r="E2100" s="417">
        <v>333933002000000</v>
      </c>
      <c r="F2100" s="418" t="s">
        <v>6199</v>
      </c>
      <c r="G2100" s="603">
        <v>31</v>
      </c>
      <c r="H2100" s="603">
        <v>0</v>
      </c>
      <c r="I2100" s="601">
        <v>35</v>
      </c>
      <c r="J2100" s="602"/>
      <c r="K2100" s="891">
        <v>0</v>
      </c>
      <c r="L2100" s="891">
        <v>0</v>
      </c>
      <c r="M2100" s="477">
        <f t="shared" ref="M2100" si="359">L2100/L$2153</f>
        <v>0</v>
      </c>
      <c r="N2100" s="796"/>
      <c r="P2100" s="399"/>
    </row>
    <row r="2101" spans="2:16" s="115" customFormat="1" ht="30" x14ac:dyDescent="0.25">
      <c r="B2101" s="1398" t="s">
        <v>8120</v>
      </c>
      <c r="C2101" s="1398"/>
      <c r="D2101" s="1398"/>
      <c r="E2101" s="854">
        <v>344905200000000</v>
      </c>
      <c r="F2101" s="855" t="s">
        <v>10604</v>
      </c>
      <c r="G2101" s="468">
        <v>31</v>
      </c>
      <c r="H2101" s="468">
        <v>0</v>
      </c>
      <c r="I2101" s="751"/>
      <c r="J2101" s="878" t="s">
        <v>7926</v>
      </c>
      <c r="K2101" s="789">
        <f>('Parâmetros financeiros Despesa'!E$1024)</f>
        <v>0</v>
      </c>
      <c r="L2101" s="789">
        <f>('Parâmetros financeiros Despesa'!F$1024)*(1+'Parâmetros financeiros Despesa'!F$4)*(1+'Parâmetros financeiros Despesa'!F$7)</f>
        <v>1635.4972500000001</v>
      </c>
      <c r="M2101" s="799">
        <f t="shared" ref="M2101:M2106" si="360">L2101/L$2153</f>
        <v>5.6424301305830658E-4</v>
      </c>
      <c r="N2101" s="894"/>
      <c r="P2101" s="733"/>
    </row>
    <row r="2102" spans="2:16" s="748" customFormat="1" ht="15" customHeight="1" x14ac:dyDescent="0.25">
      <c r="B2102" s="1385" t="s">
        <v>7984</v>
      </c>
      <c r="C2102" s="1385"/>
      <c r="D2102" s="1385"/>
      <c r="E2102" s="1385"/>
      <c r="F2102" s="1385"/>
      <c r="G2102" s="401"/>
      <c r="H2102" s="401"/>
      <c r="I2102" s="426"/>
      <c r="J2102" s="411"/>
      <c r="K2102" s="402">
        <f t="shared" ref="K2102:L2104" si="361">K2103</f>
        <v>394616.98234999995</v>
      </c>
      <c r="L2102" s="402">
        <f t="shared" si="361"/>
        <v>459867.34323266038</v>
      </c>
      <c r="M2102" s="451">
        <f t="shared" si="360"/>
        <v>0.15865323855036426</v>
      </c>
      <c r="N2102" s="796"/>
      <c r="P2102" s="399"/>
    </row>
    <row r="2103" spans="2:16" s="748" customFormat="1" ht="15" customHeight="1" x14ac:dyDescent="0.25">
      <c r="B2103" s="1386" t="s">
        <v>7996</v>
      </c>
      <c r="C2103" s="1386"/>
      <c r="D2103" s="1386"/>
      <c r="E2103" s="1386"/>
      <c r="F2103" s="1386"/>
      <c r="G2103" s="403"/>
      <c r="H2103" s="403"/>
      <c r="I2103" s="427"/>
      <c r="J2103" s="412"/>
      <c r="K2103" s="404">
        <f t="shared" si="361"/>
        <v>394616.98234999995</v>
      </c>
      <c r="L2103" s="404">
        <f t="shared" si="361"/>
        <v>459867.34323266038</v>
      </c>
      <c r="M2103" s="452">
        <f t="shared" si="360"/>
        <v>0.15865323855036426</v>
      </c>
      <c r="N2103" s="796"/>
      <c r="P2103" s="399"/>
    </row>
    <row r="2104" spans="2:16" s="748" customFormat="1" x14ac:dyDescent="0.25">
      <c r="B2104" s="1382" t="s">
        <v>7914</v>
      </c>
      <c r="C2104" s="1382"/>
      <c r="D2104" s="1382"/>
      <c r="E2104" s="1382"/>
      <c r="F2104" s="1382"/>
      <c r="G2104" s="405"/>
      <c r="H2104" s="405"/>
      <c r="I2104" s="428"/>
      <c r="J2104" s="413"/>
      <c r="K2104" s="406">
        <f t="shared" si="361"/>
        <v>394616.98234999995</v>
      </c>
      <c r="L2104" s="406">
        <f t="shared" si="361"/>
        <v>459867.34323266038</v>
      </c>
      <c r="M2104" s="453">
        <f t="shared" si="360"/>
        <v>0.15865323855036426</v>
      </c>
      <c r="N2104" s="796"/>
      <c r="P2104" s="399"/>
    </row>
    <row r="2105" spans="2:16" s="748" customFormat="1" x14ac:dyDescent="0.25">
      <c r="B2105" s="1383" t="s">
        <v>7298</v>
      </c>
      <c r="C2105" s="1383"/>
      <c r="D2105" s="1383"/>
      <c r="E2105" s="1383"/>
      <c r="F2105" s="1383"/>
      <c r="G2105" s="407"/>
      <c r="H2105" s="407"/>
      <c r="I2105" s="429"/>
      <c r="J2105" s="414"/>
      <c r="K2105" s="408">
        <f>SUM(K2106:K2118)+K2120+K2122+K2124-0.01</f>
        <v>394616.98234999995</v>
      </c>
      <c r="L2105" s="408">
        <f>SUM(L2106:L2118)+L2120+L2122+L2124</f>
        <v>459867.34323266038</v>
      </c>
      <c r="M2105" s="454">
        <f t="shared" si="360"/>
        <v>0.15865323855036426</v>
      </c>
      <c r="N2105" s="796"/>
      <c r="P2105" s="399"/>
    </row>
    <row r="2106" spans="2:16" s="115" customFormat="1" x14ac:dyDescent="0.25">
      <c r="B2106" s="1398" t="s">
        <v>8144</v>
      </c>
      <c r="C2106" s="1398"/>
      <c r="D2106" s="1398"/>
      <c r="E2106" s="854">
        <v>331900400000000</v>
      </c>
      <c r="F2106" s="855" t="s">
        <v>8123</v>
      </c>
      <c r="G2106" s="468">
        <v>31</v>
      </c>
      <c r="H2106" s="468">
        <v>0</v>
      </c>
      <c r="I2106" s="751"/>
      <c r="J2106" s="878" t="s">
        <v>7926</v>
      </c>
      <c r="K2106" s="789">
        <f>(('Parâmetros financeiros Despesa'!E$1026))</f>
        <v>6371.8510833333339</v>
      </c>
      <c r="L2106" s="789">
        <f>(('Parâmetros financeiros Despesa'!F$1026)*2.05+(('Parâmetros financeiros Despesa'!F$1026)*11.28)*(1+'Parâmetros financeiros Despesa'!F$4)*(1+'Parâmetros financeiros Despesa'!F$8))*(1+'Parâmetros financeiros Despesa'!F$80)</f>
        <v>8259.3291676029803</v>
      </c>
      <c r="M2106" s="799">
        <f t="shared" si="360"/>
        <v>2.8494506948077477E-3</v>
      </c>
      <c r="N2106" s="894"/>
      <c r="P2106" s="733"/>
    </row>
    <row r="2107" spans="2:16" s="115" customFormat="1" x14ac:dyDescent="0.25">
      <c r="B2107" s="1398" t="s">
        <v>8145</v>
      </c>
      <c r="C2107" s="1398"/>
      <c r="D2107" s="1398"/>
      <c r="E2107" s="854">
        <v>331901100000000</v>
      </c>
      <c r="F2107" s="855" t="s">
        <v>8124</v>
      </c>
      <c r="G2107" s="468">
        <v>31</v>
      </c>
      <c r="H2107" s="468">
        <v>0</v>
      </c>
      <c r="I2107" s="751"/>
      <c r="J2107" s="878" t="s">
        <v>7926</v>
      </c>
      <c r="K2107" s="789">
        <f>('Parâmetros financeiros Despesa'!E$1027)</f>
        <v>721.41960000000006</v>
      </c>
      <c r="L2107" s="789">
        <f>('Parâmetros financeiros Despesa'!F$1027)*2.05+(('Parâmetros financeiros Despesa'!F$1027)*11.28)*(1+'Parâmetros financeiros Despesa'!F$4)*(1+'Parâmetros financeiros Despesa'!F$8)</f>
        <v>755.28954991930823</v>
      </c>
      <c r="M2107" s="799">
        <f t="shared" ref="M2107:M2123" si="362">L2107/L$2153</f>
        <v>2.605732607486333E-4</v>
      </c>
      <c r="N2107" s="894"/>
      <c r="P2107" s="733"/>
    </row>
    <row r="2108" spans="2:16" s="115" customFormat="1" x14ac:dyDescent="0.25">
      <c r="B2108" s="1398" t="s">
        <v>8146</v>
      </c>
      <c r="C2108" s="1398"/>
      <c r="D2108" s="1398"/>
      <c r="E2108" s="854">
        <v>331901300000000</v>
      </c>
      <c r="F2108" s="855" t="s">
        <v>8125</v>
      </c>
      <c r="G2108" s="468">
        <v>31</v>
      </c>
      <c r="H2108" s="468">
        <v>0</v>
      </c>
      <c r="I2108" s="751"/>
      <c r="J2108" s="878" t="s">
        <v>7926</v>
      </c>
      <c r="K2108" s="789">
        <f>'Parâmetros financeiros Despesa'!E1028</f>
        <v>0</v>
      </c>
      <c r="L2108" s="789">
        <f>(L2109+L2107)*'Parâmetros financeiros Despesa'!F$80</f>
        <v>1458.2659499610063</v>
      </c>
      <c r="M2108" s="799">
        <f t="shared" si="362"/>
        <v>5.030985979623823E-4</v>
      </c>
      <c r="N2108" s="894"/>
      <c r="P2108" s="733"/>
    </row>
    <row r="2109" spans="2:16" s="115" customFormat="1" x14ac:dyDescent="0.25">
      <c r="B2109" s="1398" t="s">
        <v>8147</v>
      </c>
      <c r="C2109" s="1398"/>
      <c r="D2109" s="1398"/>
      <c r="E2109" s="854">
        <v>331901600000000</v>
      </c>
      <c r="F2109" s="855" t="s">
        <v>8126</v>
      </c>
      <c r="G2109" s="468">
        <v>31</v>
      </c>
      <c r="H2109" s="468">
        <v>0</v>
      </c>
      <c r="I2109" s="751"/>
      <c r="J2109" s="878" t="s">
        <v>7926</v>
      </c>
      <c r="K2109" s="789">
        <f>('Parâmetros financeiros Despesa'!E$1029)</f>
        <v>2308.48</v>
      </c>
      <c r="L2109" s="789">
        <f>('Parâmetros financeiros Despesa'!F$1029)*2.05+(('Parâmetros financeiros Despesa'!F$1029)*11.28)*(1+'Parâmetros financeiros Despesa'!F$4)*(1+'Parâmetros financeiros Despesa'!F$8)</f>
        <v>5369.4592886108785</v>
      </c>
      <c r="M2109" s="799">
        <f t="shared" si="362"/>
        <v>1.8524518384238882E-3</v>
      </c>
      <c r="N2109" s="894"/>
      <c r="P2109" s="733"/>
    </row>
    <row r="2110" spans="2:16" s="115" customFormat="1" x14ac:dyDescent="0.25">
      <c r="B2110" s="1398" t="s">
        <v>8148</v>
      </c>
      <c r="C2110" s="1398"/>
      <c r="D2110" s="1398"/>
      <c r="E2110" s="854">
        <v>333901400000000</v>
      </c>
      <c r="F2110" s="855" t="s">
        <v>8128</v>
      </c>
      <c r="G2110" s="468">
        <v>31</v>
      </c>
      <c r="H2110" s="468">
        <v>0</v>
      </c>
      <c r="I2110" s="751"/>
      <c r="J2110" s="878" t="s">
        <v>7926</v>
      </c>
      <c r="K2110" s="789">
        <f>('Parâmetros financeiros Despesa'!E$1030)</f>
        <v>0</v>
      </c>
      <c r="L2110" s="789">
        <f>('Parâmetros financeiros Despesa'!F$1030)*2+(('Parâmetros financeiros Despesa'!F$1030)*10)*(1+'Parâmetros financeiros Despesa'!F$4)*(1+'Parâmetros financeiros Despesa'!F$8)</f>
        <v>2711.8398945109266</v>
      </c>
      <c r="M2110" s="799">
        <f t="shared" si="362"/>
        <v>9.355788968832356E-4</v>
      </c>
      <c r="N2110" s="894"/>
      <c r="P2110" s="733"/>
    </row>
    <row r="2111" spans="2:16" s="115" customFormat="1" x14ac:dyDescent="0.25">
      <c r="B2111" s="1396">
        <v>406500</v>
      </c>
      <c r="C2111" s="1396"/>
      <c r="D2111" s="1396"/>
      <c r="E2111" s="854">
        <v>333903000000000</v>
      </c>
      <c r="F2111" s="855" t="s">
        <v>8129</v>
      </c>
      <c r="G2111" s="468">
        <v>31</v>
      </c>
      <c r="H2111" s="468">
        <v>0</v>
      </c>
      <c r="I2111" s="751"/>
      <c r="J2111" s="878" t="s">
        <v>7926</v>
      </c>
      <c r="K2111" s="789">
        <f>('Parâmetros financeiros Despesa'!E1031)</f>
        <v>65828.024999999994</v>
      </c>
      <c r="L2111" s="789">
        <f>('Parâmetros financeiros Despesa'!F1031)*(1+'Parâmetros financeiros Despesa'!F$4)*(1+'Parâmetros financeiros Despesa'!F$7)</f>
        <v>71774.369240287502</v>
      </c>
      <c r="M2111" s="799">
        <f t="shared" si="362"/>
        <v>2.4762002113118353E-2</v>
      </c>
      <c r="N2111" s="894"/>
      <c r="P2111" s="733"/>
    </row>
    <row r="2112" spans="2:16" s="115" customFormat="1" x14ac:dyDescent="0.25">
      <c r="B2112" s="1396">
        <v>406600</v>
      </c>
      <c r="C2112" s="1396"/>
      <c r="D2112" s="1396"/>
      <c r="E2112" s="854">
        <v>333903300000000</v>
      </c>
      <c r="F2112" s="855" t="s">
        <v>8130</v>
      </c>
      <c r="G2112" s="468">
        <v>31</v>
      </c>
      <c r="H2112" s="468">
        <v>0</v>
      </c>
      <c r="I2112" s="751"/>
      <c r="J2112" s="878" t="s">
        <v>7926</v>
      </c>
      <c r="K2112" s="789">
        <f>('Parâmetros financeiros Despesa'!E1032)</f>
        <v>0</v>
      </c>
      <c r="L2112" s="789">
        <f>('Parâmetros financeiros Despesa'!F1032)*(1+'Parâmetros financeiros Despesa'!F$4)*(1+'Parâmetros financeiros Despesa'!F$7)</f>
        <v>545.16575</v>
      </c>
      <c r="M2112" s="799">
        <f t="shared" si="362"/>
        <v>1.8808100435276884E-4</v>
      </c>
      <c r="N2112" s="894"/>
      <c r="P2112" s="733"/>
    </row>
    <row r="2113" spans="2:16" s="115" customFormat="1" x14ac:dyDescent="0.25">
      <c r="B2113" s="1398" t="s">
        <v>8157</v>
      </c>
      <c r="C2113" s="1398"/>
      <c r="D2113" s="1398"/>
      <c r="E2113" s="854">
        <v>333903500000000</v>
      </c>
      <c r="F2113" s="855" t="s">
        <v>8131</v>
      </c>
      <c r="G2113" s="468">
        <v>31</v>
      </c>
      <c r="H2113" s="468">
        <v>0</v>
      </c>
      <c r="I2113" s="751"/>
      <c r="J2113" s="878" t="s">
        <v>7926</v>
      </c>
      <c r="K2113" s="789">
        <f>('Parâmetros financeiros Despesa'!E1033)</f>
        <v>90</v>
      </c>
      <c r="L2113" s="789">
        <f>('Parâmetros financeiros Despesa'!F1033)*(1+'Parâmetros financeiros Despesa'!F$4)*(1+'Parâmetros financeiros Despesa'!F$7)</f>
        <v>545.16575</v>
      </c>
      <c r="M2113" s="799">
        <f t="shared" si="362"/>
        <v>1.8808100435276884E-4</v>
      </c>
      <c r="N2113" s="894"/>
      <c r="P2113" s="733"/>
    </row>
    <row r="2114" spans="2:16" s="115" customFormat="1" x14ac:dyDescent="0.25">
      <c r="B2114" s="1398" t="s">
        <v>8149</v>
      </c>
      <c r="C2114" s="1398"/>
      <c r="D2114" s="1398"/>
      <c r="E2114" s="854">
        <v>333903600000000</v>
      </c>
      <c r="F2114" s="855" t="s">
        <v>8132</v>
      </c>
      <c r="G2114" s="468">
        <v>1</v>
      </c>
      <c r="H2114" s="468">
        <v>0</v>
      </c>
      <c r="I2114" s="751"/>
      <c r="J2114" s="878" t="s">
        <v>7926</v>
      </c>
      <c r="K2114" s="789">
        <f>('Parâmetros financeiros Despesa'!E1033)</f>
        <v>90</v>
      </c>
      <c r="L2114" s="789">
        <f>('Parâmetros financeiros Despesa'!F1033)*(1+'Parâmetros financeiros Despesa'!F$4)*(1+'Parâmetros financeiros Despesa'!F$7)</f>
        <v>545.16575</v>
      </c>
      <c r="M2114" s="799">
        <f t="shared" si="362"/>
        <v>1.8808100435276884E-4</v>
      </c>
      <c r="N2114" s="894"/>
      <c r="P2114" s="733"/>
    </row>
    <row r="2115" spans="2:16" s="115" customFormat="1" x14ac:dyDescent="0.25">
      <c r="B2115" s="1398" t="s">
        <v>8150</v>
      </c>
      <c r="C2115" s="1398"/>
      <c r="D2115" s="1398"/>
      <c r="E2115" s="854">
        <v>333903900000000</v>
      </c>
      <c r="F2115" s="855" t="s">
        <v>11557</v>
      </c>
      <c r="G2115" s="468">
        <v>31</v>
      </c>
      <c r="H2115" s="468">
        <v>0</v>
      </c>
      <c r="I2115" s="751"/>
      <c r="J2115" s="878" t="s">
        <v>7926</v>
      </c>
      <c r="K2115" s="789">
        <f>('Parâmetros financeiros Despesa'!E1034)</f>
        <v>27801.600000000002</v>
      </c>
      <c r="L2115" s="789">
        <f>('Parâmetros financeiros Despesa'!F1034)*(1+'Parâmetros financeiros Despesa'!F$4)*(1+'Parâmetros financeiros Despesa'!F$7)</f>
        <v>30312.960230400004</v>
      </c>
      <c r="M2115" s="799">
        <f t="shared" si="362"/>
        <v>1.0457905701227878E-2</v>
      </c>
      <c r="N2115" s="894"/>
      <c r="P2115" s="733"/>
    </row>
    <row r="2116" spans="2:16" s="115" customFormat="1" x14ac:dyDescent="0.25">
      <c r="B2116" s="994"/>
      <c r="C2116" s="994"/>
      <c r="D2116" s="994" t="s">
        <v>11555</v>
      </c>
      <c r="E2116" s="854">
        <v>333903900000000</v>
      </c>
      <c r="F2116" s="855" t="s">
        <v>11556</v>
      </c>
      <c r="G2116" s="468">
        <v>31</v>
      </c>
      <c r="H2116" s="468">
        <v>0</v>
      </c>
      <c r="I2116" s="751"/>
      <c r="J2116" s="878" t="s">
        <v>7926</v>
      </c>
      <c r="K2116" s="789">
        <f>('Parâmetros financeiros Despesa'!E1035)</f>
        <v>263604.01666666666</v>
      </c>
      <c r="L2116" s="789">
        <f>('Parâmetros financeiros Despesa'!F1035)++'Parâmetros financeiros Despesa'!F1054/3</f>
        <v>320146.95999999996</v>
      </c>
      <c r="M2116" s="799">
        <f t="shared" si="362"/>
        <v>0.11045000860249513</v>
      </c>
      <c r="N2116" s="894"/>
      <c r="P2116" s="733"/>
    </row>
    <row r="2117" spans="2:16" s="115" customFormat="1" x14ac:dyDescent="0.25">
      <c r="B2117" s="1398" t="s">
        <v>8151</v>
      </c>
      <c r="C2117" s="1398"/>
      <c r="D2117" s="1398"/>
      <c r="E2117" s="854">
        <v>333904700000000</v>
      </c>
      <c r="F2117" s="855" t="s">
        <v>8127</v>
      </c>
      <c r="G2117" s="468">
        <v>31</v>
      </c>
      <c r="H2117" s="468">
        <v>0</v>
      </c>
      <c r="I2117" s="751"/>
      <c r="J2117" s="878" t="s">
        <v>7926</v>
      </c>
      <c r="K2117" s="789">
        <f>(('Parâmetros financeiros Despesa'!E1034))</f>
        <v>27801.600000000002</v>
      </c>
      <c r="L2117" s="789">
        <f>(('Parâmetros financeiros Despesa'!F1034)*(1+'Parâmetros financeiros Despesa'!F$4)*(1+'Parâmetros financeiros Despesa'!F$7))*('Parâmetros financeiros Despesa'!F$83)</f>
        <v>6062.5920460800007</v>
      </c>
      <c r="M2117" s="799">
        <f t="shared" si="362"/>
        <v>2.0915811402455755E-3</v>
      </c>
      <c r="N2117" s="894"/>
      <c r="P2117" s="733"/>
    </row>
    <row r="2118" spans="2:16" s="115" customFormat="1" x14ac:dyDescent="0.25">
      <c r="B2118" s="1398" t="s">
        <v>8152</v>
      </c>
      <c r="C2118" s="1398"/>
      <c r="D2118" s="1398"/>
      <c r="E2118" s="854">
        <v>333904900000000</v>
      </c>
      <c r="F2118" s="855" t="s">
        <v>8158</v>
      </c>
      <c r="G2118" s="468">
        <v>31</v>
      </c>
      <c r="H2118" s="468">
        <v>0</v>
      </c>
      <c r="I2118" s="751"/>
      <c r="J2118" s="878" t="s">
        <v>7926</v>
      </c>
      <c r="K2118" s="789">
        <f>('Parâmetros financeiros Despesa'!E$1037)</f>
        <v>0</v>
      </c>
      <c r="L2118" s="789">
        <f>('Parâmetros financeiros Despesa'!F$1037)*2+(('Parâmetros financeiros Despesa'!F$1039)*10)*(1+'Parâmetros financeiros Despesa'!F$4)*(1+'Parâmetros financeiros Despesa'!F$8)</f>
        <v>2112.9628652878946</v>
      </c>
      <c r="M2118" s="799">
        <f t="shared" si="362"/>
        <v>7.2896761739608821E-4</v>
      </c>
      <c r="N2118" s="894"/>
      <c r="P2118" s="733"/>
    </row>
    <row r="2119" spans="2:16" s="748" customFormat="1" x14ac:dyDescent="0.25">
      <c r="B2119" s="599">
        <f>B2118+1</f>
        <v>407101</v>
      </c>
      <c r="C2119" s="600" t="s">
        <v>6062</v>
      </c>
      <c r="D2119" s="528" t="str">
        <f>B2118</f>
        <v>407100</v>
      </c>
      <c r="E2119" s="417">
        <v>333904901000000</v>
      </c>
      <c r="F2119" s="418" t="s">
        <v>6042</v>
      </c>
      <c r="G2119" s="603">
        <v>31</v>
      </c>
      <c r="H2119" s="603">
        <v>0</v>
      </c>
      <c r="I2119" s="601">
        <v>313110200000000</v>
      </c>
      <c r="J2119" s="602"/>
      <c r="K2119" s="891">
        <v>0</v>
      </c>
      <c r="L2119" s="891">
        <v>0</v>
      </c>
      <c r="M2119" s="477">
        <f t="shared" si="362"/>
        <v>0</v>
      </c>
      <c r="N2119" s="796"/>
      <c r="P2119" s="399"/>
    </row>
    <row r="2120" spans="2:16" s="115" customFormat="1" x14ac:dyDescent="0.25">
      <c r="B2120" s="1398" t="s">
        <v>8153</v>
      </c>
      <c r="C2120" s="1398"/>
      <c r="D2120" s="1398"/>
      <c r="E2120" s="854">
        <v>333909300000000</v>
      </c>
      <c r="F2120" s="855" t="s">
        <v>8133</v>
      </c>
      <c r="G2120" s="468">
        <v>31</v>
      </c>
      <c r="H2120" s="468">
        <v>0</v>
      </c>
      <c r="I2120" s="751"/>
      <c r="J2120" s="878" t="s">
        <v>7926</v>
      </c>
      <c r="K2120" s="789">
        <f>('Parâmetros financeiros Despesa'!E1040)</f>
        <v>0</v>
      </c>
      <c r="L2120" s="789">
        <f>('Parâmetros financeiros Despesa'!F1040)*(1+'Parâmetros financeiros Despesa'!F$4)*(1+'Parâmetros financeiros Despesa'!F$7)</f>
        <v>3270.9945000000002</v>
      </c>
      <c r="M2120" s="799">
        <f>L2120/L$2153</f>
        <v>1.1284860261166132E-3</v>
      </c>
      <c r="N2120" s="894"/>
      <c r="P2120" s="733"/>
    </row>
    <row r="2121" spans="2:16" s="748" customFormat="1" x14ac:dyDescent="0.25">
      <c r="B2121" s="599">
        <f>B2120+1</f>
        <v>407201</v>
      </c>
      <c r="C2121" s="600" t="s">
        <v>6062</v>
      </c>
      <c r="D2121" s="528" t="str">
        <f>B2120</f>
        <v>407200</v>
      </c>
      <c r="E2121" s="417">
        <v>333909399000000</v>
      </c>
      <c r="F2121" s="418" t="s">
        <v>1038</v>
      </c>
      <c r="G2121" s="603">
        <v>31</v>
      </c>
      <c r="H2121" s="603">
        <v>0</v>
      </c>
      <c r="I2121" s="601">
        <v>399910300000000</v>
      </c>
      <c r="J2121" s="602"/>
      <c r="K2121" s="891">
        <v>0</v>
      </c>
      <c r="L2121" s="891">
        <v>0</v>
      </c>
      <c r="M2121" s="477">
        <f t="shared" si="362"/>
        <v>0</v>
      </c>
      <c r="N2121" s="796"/>
      <c r="P2121" s="399"/>
    </row>
    <row r="2122" spans="2:16" s="115" customFormat="1" ht="30" x14ac:dyDescent="0.25">
      <c r="B2122" s="1398" t="s">
        <v>8154</v>
      </c>
      <c r="C2122" s="1398"/>
      <c r="D2122" s="1398"/>
      <c r="E2122" s="854">
        <v>333933000000000</v>
      </c>
      <c r="F2122" s="855" t="s">
        <v>8159</v>
      </c>
      <c r="G2122" s="468">
        <v>31</v>
      </c>
      <c r="H2122" s="468">
        <v>0</v>
      </c>
      <c r="I2122" s="751"/>
      <c r="J2122" s="878" t="s">
        <v>6197</v>
      </c>
      <c r="K2122" s="789">
        <f>'Parâmetros financeiros Despesa'!E1040</f>
        <v>0</v>
      </c>
      <c r="L2122" s="789">
        <f>('Parâmetros financeiros Despesa'!F1040)*(1+'Parâmetros financeiros Despesa'!F$4)*(1+'Parâmetros financeiros Despesa'!F$7)</f>
        <v>3270.9945000000002</v>
      </c>
      <c r="M2122" s="799">
        <f>L2122/L$2153</f>
        <v>1.1284860261166132E-3</v>
      </c>
      <c r="N2122" s="894"/>
      <c r="P2122" s="733"/>
    </row>
    <row r="2123" spans="2:16" s="748" customFormat="1" x14ac:dyDescent="0.25">
      <c r="B2123" s="599">
        <f>B2122+1</f>
        <v>407301</v>
      </c>
      <c r="C2123" s="600" t="s">
        <v>6062</v>
      </c>
      <c r="D2123" s="528" t="str">
        <f>B2122</f>
        <v>407300</v>
      </c>
      <c r="E2123" s="417">
        <v>333933002000000</v>
      </c>
      <c r="F2123" s="418" t="s">
        <v>6199</v>
      </c>
      <c r="G2123" s="603">
        <v>31</v>
      </c>
      <c r="H2123" s="603">
        <v>0</v>
      </c>
      <c r="I2123" s="601">
        <v>35</v>
      </c>
      <c r="J2123" s="602"/>
      <c r="K2123" s="891">
        <v>0</v>
      </c>
      <c r="L2123" s="891">
        <v>0</v>
      </c>
      <c r="M2123" s="477">
        <f t="shared" si="362"/>
        <v>0</v>
      </c>
      <c r="N2123" s="796"/>
      <c r="P2123" s="399"/>
    </row>
    <row r="2124" spans="2:16" s="115" customFormat="1" x14ac:dyDescent="0.25">
      <c r="B2124" s="1398" t="s">
        <v>8155</v>
      </c>
      <c r="C2124" s="1398"/>
      <c r="D2124" s="1398"/>
      <c r="E2124" s="854">
        <v>344905200000000</v>
      </c>
      <c r="F2124" s="855" t="s">
        <v>8160</v>
      </c>
      <c r="G2124" s="468">
        <v>31</v>
      </c>
      <c r="H2124" s="468">
        <v>0</v>
      </c>
      <c r="I2124" s="751"/>
      <c r="J2124" s="878" t="s">
        <v>7926</v>
      </c>
      <c r="K2124" s="789">
        <f>('Parâmetros financeiros Despesa'!E1041)</f>
        <v>0</v>
      </c>
      <c r="L2124" s="789">
        <f>('Parâmetros financeiros Despesa'!F1041)*(1+'Parâmetros financeiros Despesa'!F$4)*(1+'Parâmetros financeiros Despesa'!F$7)</f>
        <v>2725.8287500000001</v>
      </c>
      <c r="M2124" s="799">
        <f t="shared" ref="M2124:M2149" si="363">L2124/L$2153</f>
        <v>9.4040502176384426E-4</v>
      </c>
      <c r="N2124" s="894"/>
      <c r="P2124" s="733"/>
    </row>
    <row r="2125" spans="2:16" s="748" customFormat="1" ht="15" customHeight="1" x14ac:dyDescent="0.25">
      <c r="B2125" s="1385" t="s">
        <v>7985</v>
      </c>
      <c r="C2125" s="1385"/>
      <c r="D2125" s="1385"/>
      <c r="E2125" s="1385"/>
      <c r="F2125" s="1385"/>
      <c r="G2125" s="401"/>
      <c r="H2125" s="401"/>
      <c r="I2125" s="426"/>
      <c r="J2125" s="411"/>
      <c r="K2125" s="402">
        <f t="shared" ref="K2125:L2127" si="364">K2126</f>
        <v>80922.733333333337</v>
      </c>
      <c r="L2125" s="402">
        <f t="shared" si="364"/>
        <v>88341.638369433349</v>
      </c>
      <c r="M2125" s="451">
        <f t="shared" si="363"/>
        <v>3.0477674121479798E-2</v>
      </c>
      <c r="N2125" s="796"/>
      <c r="P2125" s="399"/>
    </row>
    <row r="2126" spans="2:16" s="748" customFormat="1" ht="15" customHeight="1" x14ac:dyDescent="0.25">
      <c r="B2126" s="1386" t="s">
        <v>8134</v>
      </c>
      <c r="C2126" s="1386"/>
      <c r="D2126" s="1386"/>
      <c r="E2126" s="1386"/>
      <c r="F2126" s="1386"/>
      <c r="G2126" s="403"/>
      <c r="H2126" s="403"/>
      <c r="I2126" s="427"/>
      <c r="J2126" s="412"/>
      <c r="K2126" s="404">
        <f t="shared" si="364"/>
        <v>80922.733333333337</v>
      </c>
      <c r="L2126" s="404">
        <f t="shared" si="364"/>
        <v>88341.638369433349</v>
      </c>
      <c r="M2126" s="452">
        <f t="shared" si="363"/>
        <v>3.0477674121479798E-2</v>
      </c>
      <c r="N2126" s="796"/>
      <c r="P2126" s="399"/>
    </row>
    <row r="2127" spans="2:16" s="748" customFormat="1" x14ac:dyDescent="0.25">
      <c r="B2127" s="1382" t="s">
        <v>7914</v>
      </c>
      <c r="C2127" s="1382"/>
      <c r="D2127" s="1382"/>
      <c r="E2127" s="1382"/>
      <c r="F2127" s="1382"/>
      <c r="G2127" s="405"/>
      <c r="H2127" s="405"/>
      <c r="I2127" s="428"/>
      <c r="J2127" s="413"/>
      <c r="K2127" s="406">
        <f t="shared" si="364"/>
        <v>80922.733333333337</v>
      </c>
      <c r="L2127" s="406">
        <f t="shared" si="364"/>
        <v>88341.638369433349</v>
      </c>
      <c r="M2127" s="453">
        <f t="shared" si="363"/>
        <v>3.0477674121479798E-2</v>
      </c>
      <c r="N2127" s="796"/>
      <c r="P2127" s="399"/>
    </row>
    <row r="2128" spans="2:16" s="748" customFormat="1" x14ac:dyDescent="0.25">
      <c r="B2128" s="1383" t="s">
        <v>7298</v>
      </c>
      <c r="C2128" s="1383"/>
      <c r="D2128" s="1383"/>
      <c r="E2128" s="1383"/>
      <c r="F2128" s="1383"/>
      <c r="G2128" s="407"/>
      <c r="H2128" s="407"/>
      <c r="I2128" s="429"/>
      <c r="J2128" s="414"/>
      <c r="K2128" s="408">
        <f>K2129+K2130</f>
        <v>80922.733333333337</v>
      </c>
      <c r="L2128" s="408">
        <f>L2129+L2130</f>
        <v>88341.638369433349</v>
      </c>
      <c r="M2128" s="454">
        <f t="shared" si="363"/>
        <v>3.0477674121479798E-2</v>
      </c>
      <c r="N2128" s="796"/>
      <c r="P2128" s="399"/>
    </row>
    <row r="2129" spans="2:16" s="115" customFormat="1" x14ac:dyDescent="0.25">
      <c r="B2129" s="1398" t="s">
        <v>8156</v>
      </c>
      <c r="C2129" s="1398"/>
      <c r="D2129" s="1398"/>
      <c r="E2129" s="854">
        <v>333903900000000</v>
      </c>
      <c r="F2129" s="855" t="s">
        <v>8162</v>
      </c>
      <c r="G2129" s="468">
        <v>31</v>
      </c>
      <c r="H2129" s="468">
        <v>0</v>
      </c>
      <c r="I2129" s="751"/>
      <c r="J2129" s="878" t="s">
        <v>7926</v>
      </c>
      <c r="K2129" s="789">
        <f>('Parâmetros financeiros Despesa'!E1043)</f>
        <v>80922.733333333337</v>
      </c>
      <c r="L2129" s="789">
        <f>('Parâmetros financeiros Despesa'!F1043)*(1+'Parâmetros financeiros Despesa'!F$4)*(1+'Parâmetros financeiros Despesa'!F$7)</f>
        <v>88232.605219433346</v>
      </c>
      <c r="M2129" s="799">
        <f t="shared" si="363"/>
        <v>3.0440057920609245E-2</v>
      </c>
      <c r="N2129" s="894"/>
      <c r="P2129" s="733"/>
    </row>
    <row r="2130" spans="2:16" s="115" customFormat="1" x14ac:dyDescent="0.25">
      <c r="B2130" s="1398" t="s">
        <v>8161</v>
      </c>
      <c r="C2130" s="1398"/>
      <c r="D2130" s="1398"/>
      <c r="E2130" s="854">
        <v>333904700000000</v>
      </c>
      <c r="F2130" s="855" t="s">
        <v>8163</v>
      </c>
      <c r="G2130" s="468">
        <v>31</v>
      </c>
      <c r="H2130" s="468">
        <v>0</v>
      </c>
      <c r="I2130" s="751"/>
      <c r="J2130" s="878" t="s">
        <v>7926</v>
      </c>
      <c r="K2130" s="789">
        <f>('Parâmetros financeiros Despesa'!E1044)</f>
        <v>0</v>
      </c>
      <c r="L2130" s="789">
        <f>('Parâmetros financeiros Despesa'!F1044)*(1+'Parâmetros financeiros Despesa'!F$4)*(1+'Parâmetros financeiros Despesa'!F$7)</f>
        <v>109.03315000000001</v>
      </c>
      <c r="M2130" s="799">
        <f t="shared" si="363"/>
        <v>3.7616200870553772E-5</v>
      </c>
      <c r="N2130" s="894"/>
      <c r="P2130" s="733"/>
    </row>
    <row r="2131" spans="2:16" s="748" customFormat="1" ht="15" customHeight="1" x14ac:dyDescent="0.25">
      <c r="B2131" s="1385" t="s">
        <v>7986</v>
      </c>
      <c r="C2131" s="1385"/>
      <c r="D2131" s="1385"/>
      <c r="E2131" s="1385"/>
      <c r="F2131" s="1385"/>
      <c r="G2131" s="401"/>
      <c r="H2131" s="401"/>
      <c r="I2131" s="426"/>
      <c r="J2131" s="411"/>
      <c r="K2131" s="402">
        <f t="shared" ref="K2131:L2133" si="365">K2132</f>
        <v>11941.7</v>
      </c>
      <c r="L2131" s="402">
        <f t="shared" si="365"/>
        <v>13129.44482355</v>
      </c>
      <c r="M2131" s="451">
        <f t="shared" si="363"/>
        <v>4.5296300602294731E-3</v>
      </c>
      <c r="N2131" s="796"/>
      <c r="P2131" s="399"/>
    </row>
    <row r="2132" spans="2:16" s="748" customFormat="1" ht="15" customHeight="1" x14ac:dyDescent="0.25">
      <c r="B2132" s="1386" t="s">
        <v>8135</v>
      </c>
      <c r="C2132" s="1386"/>
      <c r="D2132" s="1386"/>
      <c r="E2132" s="1386"/>
      <c r="F2132" s="1386"/>
      <c r="G2132" s="403"/>
      <c r="H2132" s="403"/>
      <c r="I2132" s="427"/>
      <c r="J2132" s="412"/>
      <c r="K2132" s="404">
        <f t="shared" si="365"/>
        <v>11941.7</v>
      </c>
      <c r="L2132" s="404">
        <f t="shared" si="365"/>
        <v>13129.44482355</v>
      </c>
      <c r="M2132" s="452">
        <f t="shared" si="363"/>
        <v>4.5296300602294731E-3</v>
      </c>
      <c r="N2132" s="796"/>
      <c r="P2132" s="399"/>
    </row>
    <row r="2133" spans="2:16" s="748" customFormat="1" x14ac:dyDescent="0.25">
      <c r="B2133" s="1382" t="s">
        <v>7914</v>
      </c>
      <c r="C2133" s="1382"/>
      <c r="D2133" s="1382"/>
      <c r="E2133" s="1382"/>
      <c r="F2133" s="1382"/>
      <c r="G2133" s="405"/>
      <c r="H2133" s="405"/>
      <c r="I2133" s="428"/>
      <c r="J2133" s="413"/>
      <c r="K2133" s="406">
        <f t="shared" si="365"/>
        <v>11941.7</v>
      </c>
      <c r="L2133" s="406">
        <f t="shared" si="365"/>
        <v>13129.44482355</v>
      </c>
      <c r="M2133" s="453">
        <f t="shared" si="363"/>
        <v>4.5296300602294731E-3</v>
      </c>
      <c r="N2133" s="796"/>
      <c r="P2133" s="399"/>
    </row>
    <row r="2134" spans="2:16" s="748" customFormat="1" x14ac:dyDescent="0.25">
      <c r="B2134" s="1383" t="s">
        <v>7298</v>
      </c>
      <c r="C2134" s="1383"/>
      <c r="D2134" s="1383"/>
      <c r="E2134" s="1383"/>
      <c r="F2134" s="1383"/>
      <c r="G2134" s="407"/>
      <c r="H2134" s="407"/>
      <c r="I2134" s="429"/>
      <c r="J2134" s="414"/>
      <c r="K2134" s="408">
        <f>K2135+K2136</f>
        <v>11941.7</v>
      </c>
      <c r="L2134" s="408">
        <f>L2135+L2136</f>
        <v>13129.44482355</v>
      </c>
      <c r="M2134" s="454">
        <f t="shared" si="363"/>
        <v>4.5296300602294731E-3</v>
      </c>
      <c r="N2134" s="796"/>
      <c r="P2134" s="399"/>
    </row>
    <row r="2135" spans="2:16" s="115" customFormat="1" x14ac:dyDescent="0.25">
      <c r="B2135" s="1398" t="s">
        <v>8164</v>
      </c>
      <c r="C2135" s="1398"/>
      <c r="D2135" s="1398"/>
      <c r="E2135" s="854">
        <v>333903900000000</v>
      </c>
      <c r="F2135" s="855" t="s">
        <v>8166</v>
      </c>
      <c r="G2135" s="468">
        <v>31</v>
      </c>
      <c r="H2135" s="468">
        <v>0</v>
      </c>
      <c r="I2135" s="751"/>
      <c r="J2135" s="878" t="s">
        <v>7926</v>
      </c>
      <c r="K2135" s="789">
        <f>('Parâmetros financeiros Despesa'!E1046)</f>
        <v>11941.7</v>
      </c>
      <c r="L2135" s="789">
        <f>('Parâmetros financeiros Despesa'!F1046)*(1+'Parâmetros financeiros Despesa'!F$4)*(1+'Parâmetros financeiros Despesa'!F$7)</f>
        <v>13020.411673550001</v>
      </c>
      <c r="M2135" s="799">
        <f t="shared" si="363"/>
        <v>4.4920138593589204E-3</v>
      </c>
      <c r="N2135" s="894"/>
      <c r="P2135" s="733"/>
    </row>
    <row r="2136" spans="2:16" s="115" customFormat="1" x14ac:dyDescent="0.25">
      <c r="B2136" s="1398" t="s">
        <v>8165</v>
      </c>
      <c r="C2136" s="1398"/>
      <c r="D2136" s="1398"/>
      <c r="E2136" s="854">
        <v>333904700000000</v>
      </c>
      <c r="F2136" s="855" t="s">
        <v>8167</v>
      </c>
      <c r="G2136" s="468">
        <v>31</v>
      </c>
      <c r="H2136" s="468">
        <v>0</v>
      </c>
      <c r="I2136" s="751"/>
      <c r="J2136" s="878" t="s">
        <v>7926</v>
      </c>
      <c r="K2136" s="789">
        <f>('Parâmetros financeiros Despesa'!E1047)</f>
        <v>0</v>
      </c>
      <c r="L2136" s="789">
        <f>('Parâmetros financeiros Despesa'!F1047)*(1+'Parâmetros financeiros Despesa'!F$4)*(1+'Parâmetros financeiros Despesa'!F$7)</f>
        <v>109.03315000000001</v>
      </c>
      <c r="M2136" s="799">
        <f t="shared" si="363"/>
        <v>3.7616200870553772E-5</v>
      </c>
      <c r="N2136" s="894"/>
      <c r="P2136" s="733"/>
    </row>
    <row r="2137" spans="2:16" s="748" customFormat="1" ht="15" customHeight="1" x14ac:dyDescent="0.25">
      <c r="B2137" s="1385" t="s">
        <v>7987</v>
      </c>
      <c r="C2137" s="1385"/>
      <c r="D2137" s="1385"/>
      <c r="E2137" s="1385"/>
      <c r="F2137" s="1385"/>
      <c r="G2137" s="401"/>
      <c r="H2137" s="401"/>
      <c r="I2137" s="426"/>
      <c r="J2137" s="411"/>
      <c r="K2137" s="402">
        <f t="shared" ref="K2137:L2139" si="366">K2138</f>
        <v>9754.5066666666662</v>
      </c>
      <c r="L2137" s="402">
        <f t="shared" si="366"/>
        <v>10744.689938941667</v>
      </c>
      <c r="M2137" s="451">
        <f t="shared" si="363"/>
        <v>3.7068947841555331E-3</v>
      </c>
      <c r="N2137" s="796"/>
      <c r="P2137" s="399"/>
    </row>
    <row r="2138" spans="2:16" s="748" customFormat="1" ht="15" customHeight="1" x14ac:dyDescent="0.25">
      <c r="B2138" s="1386" t="s">
        <v>8136</v>
      </c>
      <c r="C2138" s="1386"/>
      <c r="D2138" s="1386"/>
      <c r="E2138" s="1386"/>
      <c r="F2138" s="1386"/>
      <c r="G2138" s="403"/>
      <c r="H2138" s="403"/>
      <c r="I2138" s="427"/>
      <c r="J2138" s="412"/>
      <c r="K2138" s="404">
        <f t="shared" si="366"/>
        <v>9754.5066666666662</v>
      </c>
      <c r="L2138" s="404">
        <f t="shared" si="366"/>
        <v>10744.689938941667</v>
      </c>
      <c r="M2138" s="452">
        <f t="shared" si="363"/>
        <v>3.7068947841555331E-3</v>
      </c>
      <c r="N2138" s="796"/>
      <c r="P2138" s="399"/>
    </row>
    <row r="2139" spans="2:16" s="748" customFormat="1" x14ac:dyDescent="0.25">
      <c r="B2139" s="1382" t="s">
        <v>7914</v>
      </c>
      <c r="C2139" s="1382"/>
      <c r="D2139" s="1382"/>
      <c r="E2139" s="1382"/>
      <c r="F2139" s="1382"/>
      <c r="G2139" s="405"/>
      <c r="H2139" s="405"/>
      <c r="I2139" s="428"/>
      <c r="J2139" s="413"/>
      <c r="K2139" s="406">
        <f t="shared" si="366"/>
        <v>9754.5066666666662</v>
      </c>
      <c r="L2139" s="406">
        <f t="shared" si="366"/>
        <v>10744.689938941667</v>
      </c>
      <c r="M2139" s="453">
        <f t="shared" si="363"/>
        <v>3.7068947841555331E-3</v>
      </c>
      <c r="N2139" s="796"/>
      <c r="P2139" s="399"/>
    </row>
    <row r="2140" spans="2:16" s="748" customFormat="1" x14ac:dyDescent="0.25">
      <c r="B2140" s="1383" t="s">
        <v>7298</v>
      </c>
      <c r="C2140" s="1383"/>
      <c r="D2140" s="1383"/>
      <c r="E2140" s="1383"/>
      <c r="F2140" s="1383"/>
      <c r="G2140" s="407"/>
      <c r="H2140" s="407"/>
      <c r="I2140" s="429"/>
      <c r="J2140" s="414"/>
      <c r="K2140" s="408">
        <f>K2141+K2142-0.01</f>
        <v>9754.5066666666662</v>
      </c>
      <c r="L2140" s="408">
        <f>L2141+L2142</f>
        <v>10744.689938941667</v>
      </c>
      <c r="M2140" s="454">
        <f t="shared" si="363"/>
        <v>3.7068947841555331E-3</v>
      </c>
      <c r="N2140" s="796"/>
      <c r="P2140" s="399"/>
    </row>
    <row r="2141" spans="2:16" s="115" customFormat="1" x14ac:dyDescent="0.25">
      <c r="B2141" s="1398" t="s">
        <v>8170</v>
      </c>
      <c r="C2141" s="1398"/>
      <c r="D2141" s="1398"/>
      <c r="E2141" s="854">
        <v>333903900000000</v>
      </c>
      <c r="F2141" s="855" t="s">
        <v>8168</v>
      </c>
      <c r="G2141" s="468">
        <v>31</v>
      </c>
      <c r="H2141" s="468">
        <v>0</v>
      </c>
      <c r="I2141" s="751"/>
      <c r="J2141" s="878" t="s">
        <v>7926</v>
      </c>
      <c r="K2141" s="789">
        <f>('Parâmetros financeiros Despesa'!E1049)</f>
        <v>9754.5166666666664</v>
      </c>
      <c r="L2141" s="789">
        <f>('Parâmetros financeiros Despesa'!F1049)*(1+'Parâmetros financeiros Despesa'!F$4)*(1+'Parâmetros financeiros Despesa'!F$7)</f>
        <v>10635.656788941667</v>
      </c>
      <c r="M2141" s="799">
        <f t="shared" si="363"/>
        <v>3.6692785832849796E-3</v>
      </c>
      <c r="N2141" s="894"/>
      <c r="P2141" s="733"/>
    </row>
    <row r="2142" spans="2:16" s="115" customFormat="1" x14ac:dyDescent="0.25">
      <c r="B2142" s="1398" t="s">
        <v>8171</v>
      </c>
      <c r="C2142" s="1398"/>
      <c r="D2142" s="1398"/>
      <c r="E2142" s="854">
        <v>333904700000000</v>
      </c>
      <c r="F2142" s="855" t="s">
        <v>8169</v>
      </c>
      <c r="G2142" s="468">
        <v>31</v>
      </c>
      <c r="H2142" s="468">
        <v>0</v>
      </c>
      <c r="I2142" s="751"/>
      <c r="J2142" s="878" t="s">
        <v>7926</v>
      </c>
      <c r="K2142" s="789">
        <f>('Parâmetros financeiros Despesa'!E1050)</f>
        <v>0</v>
      </c>
      <c r="L2142" s="789">
        <f>('Parâmetros financeiros Despesa'!F1050)*(1+'Parâmetros financeiros Despesa'!F$4)*(1+'Parâmetros financeiros Despesa'!F$7)</f>
        <v>109.03315000000001</v>
      </c>
      <c r="M2142" s="799">
        <f t="shared" si="363"/>
        <v>3.7616200870553772E-5</v>
      </c>
      <c r="N2142" s="894"/>
      <c r="P2142" s="733"/>
    </row>
    <row r="2143" spans="2:16" s="748" customFormat="1" ht="15" customHeight="1" x14ac:dyDescent="0.25">
      <c r="B2143" s="1385" t="s">
        <v>7992</v>
      </c>
      <c r="C2143" s="1385"/>
      <c r="D2143" s="1385"/>
      <c r="E2143" s="1385"/>
      <c r="F2143" s="1385"/>
      <c r="G2143" s="401"/>
      <c r="H2143" s="401"/>
      <c r="I2143" s="426"/>
      <c r="J2143" s="411"/>
      <c r="K2143" s="402">
        <f t="shared" ref="K2143:L2145" si="367">K2144</f>
        <v>0</v>
      </c>
      <c r="L2143" s="402">
        <f t="shared" si="367"/>
        <v>1199.36465</v>
      </c>
      <c r="M2143" s="451">
        <f t="shared" si="363"/>
        <v>4.1377820957609146E-4</v>
      </c>
      <c r="N2143" s="796"/>
      <c r="P2143" s="399"/>
    </row>
    <row r="2144" spans="2:16" s="748" customFormat="1" ht="15" customHeight="1" x14ac:dyDescent="0.25">
      <c r="B2144" s="1386" t="s">
        <v>8141</v>
      </c>
      <c r="C2144" s="1386"/>
      <c r="D2144" s="1386"/>
      <c r="E2144" s="1386"/>
      <c r="F2144" s="1386"/>
      <c r="G2144" s="403"/>
      <c r="H2144" s="403"/>
      <c r="I2144" s="427"/>
      <c r="J2144" s="412"/>
      <c r="K2144" s="404">
        <f t="shared" si="367"/>
        <v>0</v>
      </c>
      <c r="L2144" s="404">
        <f t="shared" si="367"/>
        <v>1199.36465</v>
      </c>
      <c r="M2144" s="452">
        <f t="shared" si="363"/>
        <v>4.1377820957609146E-4</v>
      </c>
      <c r="N2144" s="796"/>
      <c r="P2144" s="399"/>
    </row>
    <row r="2145" spans="2:16" s="748" customFormat="1" x14ac:dyDescent="0.25">
      <c r="B2145" s="1382" t="s">
        <v>7914</v>
      </c>
      <c r="C2145" s="1382"/>
      <c r="D2145" s="1382"/>
      <c r="E2145" s="1382"/>
      <c r="F2145" s="1382"/>
      <c r="G2145" s="405"/>
      <c r="H2145" s="405"/>
      <c r="I2145" s="428"/>
      <c r="J2145" s="413"/>
      <c r="K2145" s="406">
        <f t="shared" si="367"/>
        <v>0</v>
      </c>
      <c r="L2145" s="406">
        <f t="shared" si="367"/>
        <v>1199.36465</v>
      </c>
      <c r="M2145" s="453">
        <f t="shared" si="363"/>
        <v>4.1377820957609146E-4</v>
      </c>
      <c r="N2145" s="796"/>
      <c r="P2145" s="399"/>
    </row>
    <row r="2146" spans="2:16" s="748" customFormat="1" x14ac:dyDescent="0.25">
      <c r="B2146" s="1383" t="s">
        <v>7298</v>
      </c>
      <c r="C2146" s="1383"/>
      <c r="D2146" s="1383"/>
      <c r="E2146" s="1383"/>
      <c r="F2146" s="1383"/>
      <c r="G2146" s="407"/>
      <c r="H2146" s="407"/>
      <c r="I2146" s="429"/>
      <c r="J2146" s="414"/>
      <c r="K2146" s="408">
        <f>K2147+K2148</f>
        <v>0</v>
      </c>
      <c r="L2146" s="408">
        <f>L2147+L2148</f>
        <v>1199.36465</v>
      </c>
      <c r="M2146" s="454">
        <f t="shared" si="363"/>
        <v>4.1377820957609146E-4</v>
      </c>
      <c r="N2146" s="796"/>
      <c r="P2146" s="399"/>
    </row>
    <row r="2147" spans="2:16" s="115" customFormat="1" x14ac:dyDescent="0.25">
      <c r="B2147" s="1398" t="s">
        <v>8172</v>
      </c>
      <c r="C2147" s="1398"/>
      <c r="D2147" s="1398"/>
      <c r="E2147" s="854">
        <v>333903900000000</v>
      </c>
      <c r="F2147" s="855" t="s">
        <v>8174</v>
      </c>
      <c r="G2147" s="468">
        <v>31</v>
      </c>
      <c r="H2147" s="468">
        <v>0</v>
      </c>
      <c r="I2147" s="751"/>
      <c r="J2147" s="878" t="s">
        <v>7926</v>
      </c>
      <c r="K2147" s="789">
        <f>('Parâmetros financeiros Despesa'!E1052)</f>
        <v>0</v>
      </c>
      <c r="L2147" s="789">
        <f>('Parâmetros financeiros Despesa'!F1052)*(1+'Parâmetros financeiros Despesa'!F$4)*(1+'Parâmetros financeiros Despesa'!F$7)</f>
        <v>1090.3315</v>
      </c>
      <c r="M2147" s="799">
        <f t="shared" si="363"/>
        <v>3.7616200870553768E-4</v>
      </c>
      <c r="N2147" s="894"/>
      <c r="P2147" s="733"/>
    </row>
    <row r="2148" spans="2:16" s="115" customFormat="1" x14ac:dyDescent="0.25">
      <c r="B2148" s="1398" t="s">
        <v>8173</v>
      </c>
      <c r="C2148" s="1398"/>
      <c r="D2148" s="1398"/>
      <c r="E2148" s="854">
        <v>333904700000000</v>
      </c>
      <c r="F2148" s="855" t="s">
        <v>8175</v>
      </c>
      <c r="G2148" s="468">
        <v>31</v>
      </c>
      <c r="H2148" s="468">
        <v>0</v>
      </c>
      <c r="I2148" s="751"/>
      <c r="J2148" s="878" t="s">
        <v>7926</v>
      </c>
      <c r="K2148" s="789">
        <f>('Parâmetros financeiros Despesa'!E1053)</f>
        <v>0</v>
      </c>
      <c r="L2148" s="789">
        <f>('Parâmetros financeiros Despesa'!F1053)*(1+'Parâmetros financeiros Despesa'!F$4)*(1+'Parâmetros financeiros Despesa'!F$7)</f>
        <v>109.03315000000001</v>
      </c>
      <c r="M2148" s="799">
        <f t="shared" si="363"/>
        <v>3.7616200870553772E-5</v>
      </c>
      <c r="N2148" s="894"/>
      <c r="P2148" s="733"/>
    </row>
    <row r="2149" spans="2:16" s="820" customFormat="1" ht="15" customHeight="1" x14ac:dyDescent="0.25">
      <c r="B2149" s="864" t="s">
        <v>22</v>
      </c>
      <c r="C2149" s="864"/>
      <c r="D2149" s="864"/>
      <c r="E2149" s="864"/>
      <c r="F2149" s="864"/>
      <c r="G2149" s="864"/>
      <c r="H2149" s="864"/>
      <c r="I2149" s="864"/>
      <c r="J2149" s="864"/>
      <c r="K2149" s="863">
        <f>K2144+K2138+K2132+K2126+K2103+K2075+K2047+K2019+K2003+K1998+K1983+K1956+K1947+K1939+K1931</f>
        <v>2401950.2348166672</v>
      </c>
      <c r="L2149" s="863">
        <f>L2144+L2138+L2132+L2126+L2103+L2075+L2047+L2019+L2003+L1998+L1983+L1956+L1947+L1939+L1931</f>
        <v>2979286.3584519662</v>
      </c>
      <c r="M2149" s="452">
        <f t="shared" si="363"/>
        <v>1.0278473483562551</v>
      </c>
      <c r="N2149" s="796"/>
      <c r="P2149" s="399"/>
    </row>
    <row r="2150" spans="2:16" s="820" customFormat="1" ht="15" customHeight="1" x14ac:dyDescent="0.25">
      <c r="B2150" s="864" t="s">
        <v>11469</v>
      </c>
      <c r="C2150" s="864"/>
      <c r="D2150" s="864"/>
      <c r="E2150" s="864"/>
      <c r="F2150" s="864"/>
      <c r="G2150" s="864"/>
      <c r="H2150" s="864"/>
      <c r="I2150" s="864"/>
      <c r="J2150" s="864"/>
      <c r="K2150" s="863"/>
      <c r="L2150" s="863"/>
      <c r="M2150" s="452"/>
      <c r="N2150" s="796"/>
      <c r="P2150" s="399"/>
    </row>
    <row r="2151" spans="2:16" s="31" customFormat="1" ht="15" customHeight="1" x14ac:dyDescent="0.25">
      <c r="B2151" s="869" t="s">
        <v>11568</v>
      </c>
      <c r="C2151" s="869"/>
      <c r="D2151" s="869"/>
      <c r="E2151" s="869"/>
      <c r="F2151" s="869"/>
      <c r="G2151" s="869"/>
      <c r="H2151" s="869"/>
      <c r="I2151" s="869"/>
      <c r="J2151" s="869"/>
      <c r="K2151" s="870">
        <f>K2051+K2079+K2023+K1960</f>
        <v>29195.915862500002</v>
      </c>
      <c r="L2151" s="870">
        <f>L2051+L2079+L2023+L1960</f>
        <v>80717.457908053984</v>
      </c>
      <c r="M2151" s="871">
        <f t="shared" ref="M2151:M2152" si="368">L2151/L$2153</f>
        <v>2.784734835625521E-2</v>
      </c>
      <c r="N2151" s="897"/>
      <c r="P2151" s="736"/>
    </row>
    <row r="2152" spans="2:16" s="31" customFormat="1" ht="15" customHeight="1" x14ac:dyDescent="0.25">
      <c r="B2152" s="869" t="s">
        <v>755</v>
      </c>
      <c r="C2152" s="869"/>
      <c r="D2152" s="869"/>
      <c r="E2152" s="869"/>
      <c r="F2152" s="869"/>
      <c r="G2152" s="869"/>
      <c r="H2152" s="869"/>
      <c r="I2152" s="869"/>
      <c r="J2152" s="869"/>
      <c r="K2152" s="870">
        <f>K2149-K2151</f>
        <v>2372754.318954167</v>
      </c>
      <c r="L2152" s="870">
        <f>L2149-L2151</f>
        <v>2898568.9005439123</v>
      </c>
      <c r="M2152" s="871">
        <f t="shared" si="368"/>
        <v>1</v>
      </c>
      <c r="N2152" s="897"/>
      <c r="P2152" s="736"/>
    </row>
    <row r="2153" spans="2:16" s="115" customFormat="1" ht="15" customHeight="1" x14ac:dyDescent="0.25">
      <c r="B2153" s="864" t="s">
        <v>2172</v>
      </c>
      <c r="C2153" s="864"/>
      <c r="D2153" s="864"/>
      <c r="E2153" s="864"/>
      <c r="F2153" s="864"/>
      <c r="G2153" s="864"/>
      <c r="H2153" s="864"/>
      <c r="I2153" s="864"/>
      <c r="J2153" s="864"/>
      <c r="K2153" s="863">
        <f>SUM(K2152:K2152)</f>
        <v>2372754.318954167</v>
      </c>
      <c r="L2153" s="863">
        <f>SUM(L2152:L2152)</f>
        <v>2898568.9005439123</v>
      </c>
      <c r="M2153" s="452">
        <f>L2153/L$2153</f>
        <v>1</v>
      </c>
      <c r="N2153" s="894"/>
      <c r="P2153" s="733"/>
    </row>
    <row r="2155" spans="2:16" s="806" customFormat="1" x14ac:dyDescent="0.25">
      <c r="B2155" s="400"/>
      <c r="C2155" s="400"/>
      <c r="D2155" s="480"/>
      <c r="E2155" s="399"/>
      <c r="G2155" s="805"/>
      <c r="H2155" s="805"/>
      <c r="I2155" s="399"/>
      <c r="K2155" s="783"/>
      <c r="L2155" s="783"/>
      <c r="M2155" s="448"/>
      <c r="N2155" s="796"/>
      <c r="P2155" s="399"/>
    </row>
    <row r="2156" spans="2:16" s="806" customFormat="1" x14ac:dyDescent="0.25">
      <c r="B2156" s="400"/>
      <c r="C2156" s="400"/>
      <c r="D2156" s="480"/>
      <c r="E2156" s="399"/>
      <c r="G2156" s="805"/>
      <c r="H2156" s="805"/>
      <c r="I2156" s="399"/>
      <c r="K2156" s="783"/>
      <c r="L2156" s="783"/>
      <c r="M2156" s="448"/>
      <c r="N2156" s="796"/>
      <c r="P2156" s="399"/>
    </row>
    <row r="2158" spans="2:16" s="435" customFormat="1" ht="15" customHeight="1" x14ac:dyDescent="0.25">
      <c r="B2158" s="744" t="s">
        <v>989</v>
      </c>
      <c r="C2158" s="744"/>
      <c r="D2158" s="481"/>
      <c r="E2158" s="1371" t="s">
        <v>7911</v>
      </c>
      <c r="F2158" s="1371"/>
      <c r="G2158" s="1371"/>
      <c r="H2158" s="1371"/>
      <c r="I2158" s="1371"/>
      <c r="J2158" s="437"/>
      <c r="K2158" s="940"/>
      <c r="L2158" s="438"/>
      <c r="M2158" s="449"/>
      <c r="N2158" s="892"/>
      <c r="P2158" s="732"/>
    </row>
    <row r="2159" spans="2:16" s="435" customFormat="1" ht="15" customHeight="1" x14ac:dyDescent="0.25">
      <c r="B2159" s="744" t="s">
        <v>458</v>
      </c>
      <c r="C2159" s="744"/>
      <c r="D2159" s="481"/>
      <c r="E2159" s="1371" t="s">
        <v>8176</v>
      </c>
      <c r="F2159" s="1371"/>
      <c r="G2159" s="1371"/>
      <c r="H2159" s="1371"/>
      <c r="I2159" s="1371"/>
      <c r="J2159" s="437"/>
      <c r="K2159" s="940"/>
      <c r="L2159" s="807"/>
      <c r="M2159" s="449"/>
      <c r="N2159" s="892"/>
      <c r="P2159" s="732"/>
    </row>
    <row r="2160" spans="2:16" s="435" customFormat="1" ht="15" customHeight="1" x14ac:dyDescent="0.25">
      <c r="B2160" s="745" t="s">
        <v>5764</v>
      </c>
      <c r="C2160" s="745"/>
      <c r="D2160" s="745"/>
      <c r="E2160" s="1371" t="s">
        <v>749</v>
      </c>
      <c r="F2160" s="1371"/>
      <c r="G2160" s="1371"/>
      <c r="H2160" s="1371"/>
      <c r="I2160" s="1371"/>
      <c r="J2160" s="440"/>
      <c r="K2160" s="941"/>
      <c r="L2160" s="438"/>
      <c r="M2160" s="449"/>
      <c r="N2160" s="892"/>
      <c r="P2160" s="732"/>
    </row>
    <row r="2161" spans="1:16" s="851" customFormat="1" ht="113.25" customHeight="1" x14ac:dyDescent="0.25">
      <c r="A2161" s="396"/>
      <c r="B2161" s="1400" t="s">
        <v>2296</v>
      </c>
      <c r="C2161" s="1400"/>
      <c r="D2161" s="1400"/>
      <c r="E2161" s="1384" t="s">
        <v>2297</v>
      </c>
      <c r="F2161" s="1384"/>
      <c r="G2161" s="443" t="s">
        <v>444</v>
      </c>
      <c r="H2161" s="443" t="s">
        <v>2245</v>
      </c>
      <c r="I2161" s="444" t="s">
        <v>5725</v>
      </c>
      <c r="J2161" s="849" t="s">
        <v>2275</v>
      </c>
      <c r="K2161" s="893" t="s">
        <v>11644</v>
      </c>
      <c r="L2161" s="955" t="s">
        <v>11522</v>
      </c>
      <c r="M2161" s="450" t="s">
        <v>235</v>
      </c>
      <c r="N2161" s="796"/>
      <c r="P2161" s="399"/>
    </row>
    <row r="2162" spans="1:16" s="115" customFormat="1" ht="15" customHeight="1" x14ac:dyDescent="0.25">
      <c r="A2162" s="396"/>
      <c r="B2162" s="1385" t="s">
        <v>7913</v>
      </c>
      <c r="C2162" s="1385"/>
      <c r="D2162" s="1385"/>
      <c r="E2162" s="1385"/>
      <c r="F2162" s="1385"/>
      <c r="G2162" s="401"/>
      <c r="H2162" s="401"/>
      <c r="I2162" s="426"/>
      <c r="J2162" s="411"/>
      <c r="K2162" s="402">
        <f t="shared" ref="K2162:L2164" si="369">K2163</f>
        <v>0</v>
      </c>
      <c r="L2162" s="402">
        <f t="shared" si="369"/>
        <v>30101</v>
      </c>
      <c r="M2162" s="451">
        <f>L2162/L$2185</f>
        <v>7.4188583776634412E-2</v>
      </c>
      <c r="N2162" s="894"/>
      <c r="P2162" s="733"/>
    </row>
    <row r="2163" spans="1:16" s="748" customFormat="1" x14ac:dyDescent="0.25">
      <c r="B2163" s="1386" t="s">
        <v>8177</v>
      </c>
      <c r="C2163" s="1386"/>
      <c r="D2163" s="1386"/>
      <c r="E2163" s="1386"/>
      <c r="F2163" s="1386"/>
      <c r="G2163" s="403"/>
      <c r="H2163" s="403"/>
      <c r="I2163" s="427"/>
      <c r="J2163" s="412"/>
      <c r="K2163" s="404">
        <f t="shared" si="369"/>
        <v>0</v>
      </c>
      <c r="L2163" s="404">
        <f t="shared" si="369"/>
        <v>30101</v>
      </c>
      <c r="M2163" s="452">
        <f>L2163/L$2185</f>
        <v>7.4188583776634412E-2</v>
      </c>
      <c r="N2163" s="796"/>
      <c r="P2163" s="399"/>
    </row>
    <row r="2164" spans="1:16" s="748" customFormat="1" x14ac:dyDescent="0.25">
      <c r="B2164" s="1382" t="s">
        <v>7914</v>
      </c>
      <c r="C2164" s="1382"/>
      <c r="D2164" s="1382"/>
      <c r="E2164" s="1382"/>
      <c r="F2164" s="1382"/>
      <c r="G2164" s="405"/>
      <c r="H2164" s="405"/>
      <c r="I2164" s="428"/>
      <c r="J2164" s="413"/>
      <c r="K2164" s="406">
        <f t="shared" si="369"/>
        <v>0</v>
      </c>
      <c r="L2164" s="406">
        <f t="shared" si="369"/>
        <v>30101</v>
      </c>
      <c r="M2164" s="453">
        <f>L2164/L$2185</f>
        <v>7.4188583776634412E-2</v>
      </c>
      <c r="N2164" s="796"/>
      <c r="P2164" s="399"/>
    </row>
    <row r="2165" spans="1:16" s="748" customFormat="1" x14ac:dyDescent="0.25">
      <c r="B2165" s="1383" t="s">
        <v>7927</v>
      </c>
      <c r="C2165" s="1383"/>
      <c r="D2165" s="1383"/>
      <c r="E2165" s="1383"/>
      <c r="F2165" s="1383"/>
      <c r="G2165" s="407"/>
      <c r="H2165" s="407"/>
      <c r="I2165" s="429"/>
      <c r="J2165" s="414"/>
      <c r="K2165" s="408">
        <f>SUM(K2166:K2172)</f>
        <v>0</v>
      </c>
      <c r="L2165" s="408">
        <f>SUM(L2166:L2172)</f>
        <v>30101</v>
      </c>
      <c r="M2165" s="454">
        <f>L2165/L$2185</f>
        <v>7.4188583776634412E-2</v>
      </c>
      <c r="N2165" s="796"/>
      <c r="P2165" s="399"/>
    </row>
    <row r="2166" spans="1:16" s="748" customFormat="1" x14ac:dyDescent="0.25">
      <c r="B2166" s="1396">
        <v>410000</v>
      </c>
      <c r="C2166" s="1396"/>
      <c r="D2166" s="1396"/>
      <c r="E2166" s="854">
        <v>333904700000000</v>
      </c>
      <c r="F2166" s="600" t="s">
        <v>8180</v>
      </c>
      <c r="G2166" s="468">
        <v>1158</v>
      </c>
      <c r="H2166" s="468">
        <v>0</v>
      </c>
      <c r="I2166" s="751"/>
      <c r="J2166" s="878" t="s">
        <v>7926</v>
      </c>
      <c r="K2166" s="789">
        <f>'Parâmetros financeiros Despesa'!E1059</f>
        <v>0</v>
      </c>
      <c r="L2166" s="789">
        <f>'Parâmetros financeiros Despesa'!F1059</f>
        <v>0.2</v>
      </c>
      <c r="M2166" s="799">
        <f t="shared" ref="M2166:M2167" si="370">L2166/L$2185</f>
        <v>4.9293102406321657E-7</v>
      </c>
      <c r="N2166" s="796"/>
      <c r="P2166" s="399"/>
    </row>
    <row r="2167" spans="1:16" s="748" customFormat="1" x14ac:dyDescent="0.25">
      <c r="B2167" s="1396">
        <v>410100</v>
      </c>
      <c r="C2167" s="1396"/>
      <c r="D2167" s="1396"/>
      <c r="E2167" s="854">
        <v>344309300000000</v>
      </c>
      <c r="F2167" s="855" t="s">
        <v>8183</v>
      </c>
      <c r="G2167" s="468">
        <v>1158</v>
      </c>
      <c r="H2167" s="468">
        <v>0</v>
      </c>
      <c r="I2167" s="751"/>
      <c r="J2167" s="878" t="s">
        <v>7926</v>
      </c>
      <c r="K2167" s="789">
        <f>'Parâmetros financeiros Despesa'!E1060</f>
        <v>0</v>
      </c>
      <c r="L2167" s="789">
        <f>'Parâmetros financeiros Despesa'!F1060</f>
        <v>1</v>
      </c>
      <c r="M2167" s="799">
        <f t="shared" si="370"/>
        <v>2.4646551203160832E-6</v>
      </c>
      <c r="N2167" s="796"/>
      <c r="P2167" s="399"/>
    </row>
    <row r="2168" spans="1:16" s="748" customFormat="1" x14ac:dyDescent="0.25">
      <c r="B2168" s="1396">
        <v>410200</v>
      </c>
      <c r="C2168" s="1396"/>
      <c r="D2168" s="1396"/>
      <c r="E2168" s="854">
        <v>344903000000000</v>
      </c>
      <c r="F2168" s="855" t="s">
        <v>8181</v>
      </c>
      <c r="G2168" s="468">
        <v>1158</v>
      </c>
      <c r="H2168" s="468">
        <v>0</v>
      </c>
      <c r="I2168" s="751"/>
      <c r="J2168" s="878" t="s">
        <v>7926</v>
      </c>
      <c r="K2168" s="789">
        <f>'Parâmetros financeiros Despesa'!E1061</f>
        <v>0</v>
      </c>
      <c r="L2168" s="789">
        <f>'Parâmetros financeiros Despesa'!F1061</f>
        <v>1</v>
      </c>
      <c r="M2168" s="799">
        <f>L2168/L$2185</f>
        <v>2.4646551203160832E-6</v>
      </c>
      <c r="N2168" s="796"/>
      <c r="P2168" s="399"/>
    </row>
    <row r="2169" spans="1:16" s="748" customFormat="1" x14ac:dyDescent="0.25">
      <c r="B2169" s="1398" t="s">
        <v>8178</v>
      </c>
      <c r="C2169" s="1398"/>
      <c r="D2169" s="1398"/>
      <c r="E2169" s="854">
        <v>344903600000000</v>
      </c>
      <c r="F2169" s="855" t="s">
        <v>8271</v>
      </c>
      <c r="G2169" s="468">
        <v>1158</v>
      </c>
      <c r="H2169" s="468">
        <v>0</v>
      </c>
      <c r="I2169" s="751"/>
      <c r="J2169" s="878" t="s">
        <v>7926</v>
      </c>
      <c r="K2169" s="789">
        <f>'Parâmetros financeiros Despesa'!E1062</f>
        <v>0</v>
      </c>
      <c r="L2169" s="789">
        <f>'Parâmetros financeiros Despesa'!F1062</f>
        <v>1</v>
      </c>
      <c r="M2169" s="799">
        <f t="shared" ref="M2169:M2171" si="371">L2169/L$2185</f>
        <v>2.4646551203160832E-6</v>
      </c>
      <c r="N2169" s="796"/>
      <c r="P2169" s="399"/>
    </row>
    <row r="2170" spans="1:16" s="748" customFormat="1" x14ac:dyDescent="0.25">
      <c r="B2170" s="1398" t="s">
        <v>8179</v>
      </c>
      <c r="C2170" s="1398"/>
      <c r="D2170" s="1398"/>
      <c r="E2170" s="854">
        <v>344903900000000</v>
      </c>
      <c r="F2170" s="855" t="s">
        <v>8272</v>
      </c>
      <c r="G2170" s="468">
        <v>1158</v>
      </c>
      <c r="H2170" s="468">
        <v>0</v>
      </c>
      <c r="I2170" s="751"/>
      <c r="J2170" s="878" t="s">
        <v>7926</v>
      </c>
      <c r="K2170" s="789">
        <f>'Parâmetros financeiros Despesa'!E1063</f>
        <v>0</v>
      </c>
      <c r="L2170" s="789">
        <f>'Parâmetros financeiros Despesa'!F1063</f>
        <v>1</v>
      </c>
      <c r="M2170" s="799">
        <f t="shared" si="371"/>
        <v>2.4646551203160832E-6</v>
      </c>
      <c r="N2170" s="796"/>
      <c r="P2170" s="399"/>
    </row>
    <row r="2171" spans="1:16" s="748" customFormat="1" x14ac:dyDescent="0.25">
      <c r="B2171" s="1398" t="s">
        <v>8273</v>
      </c>
      <c r="C2171" s="1398"/>
      <c r="D2171" s="1398"/>
      <c r="E2171" s="854">
        <v>344905200000000</v>
      </c>
      <c r="F2171" s="855" t="s">
        <v>8182</v>
      </c>
      <c r="G2171" s="468">
        <v>1</v>
      </c>
      <c r="H2171" s="468">
        <v>0</v>
      </c>
      <c r="I2171" s="751"/>
      <c r="J2171" s="878" t="s">
        <v>7926</v>
      </c>
      <c r="K2171" s="789">
        <f>'Parâmetros financeiros Despesa'!E1064</f>
        <v>0</v>
      </c>
      <c r="L2171" s="789">
        <f>'Parâmetros financeiros Despesa'!F1064</f>
        <v>1</v>
      </c>
      <c r="M2171" s="799">
        <f t="shared" si="371"/>
        <v>2.4646551203160832E-6</v>
      </c>
      <c r="N2171" s="796"/>
      <c r="P2171" s="399"/>
    </row>
    <row r="2172" spans="1:16" s="748" customFormat="1" x14ac:dyDescent="0.25">
      <c r="B2172" s="1398" t="s">
        <v>8274</v>
      </c>
      <c r="C2172" s="1398"/>
      <c r="D2172" s="1398"/>
      <c r="E2172" s="854">
        <v>344905200000000</v>
      </c>
      <c r="F2172" s="855" t="s">
        <v>8182</v>
      </c>
      <c r="G2172" s="468">
        <v>1158</v>
      </c>
      <c r="H2172" s="468">
        <v>0</v>
      </c>
      <c r="I2172" s="751"/>
      <c r="J2172" s="878" t="s">
        <v>7926</v>
      </c>
      <c r="K2172" s="789">
        <f>'Parâmetros financeiros Despesa'!E1065</f>
        <v>0</v>
      </c>
      <c r="L2172" s="789">
        <f>'Parâmetros financeiros Despesa'!F1065</f>
        <v>30095.8</v>
      </c>
      <c r="M2172" s="799">
        <f t="shared" ref="M2172:M2177" si="372">L2172/L$2185</f>
        <v>7.4175767570008766E-2</v>
      </c>
      <c r="N2172" s="796"/>
      <c r="P2172" s="399"/>
    </row>
    <row r="2173" spans="1:16" s="748" customFormat="1" ht="15" customHeight="1" x14ac:dyDescent="0.25">
      <c r="B2173" s="1385" t="s">
        <v>7994</v>
      </c>
      <c r="C2173" s="1385"/>
      <c r="D2173" s="1385"/>
      <c r="E2173" s="1385"/>
      <c r="F2173" s="1385"/>
      <c r="G2173" s="401"/>
      <c r="H2173" s="401"/>
      <c r="I2173" s="426"/>
      <c r="J2173" s="411"/>
      <c r="K2173" s="402">
        <f t="shared" ref="K2173:L2175" si="373">K2174</f>
        <v>225255.28750000001</v>
      </c>
      <c r="L2173" s="402">
        <f t="shared" si="373"/>
        <v>375635.28</v>
      </c>
      <c r="M2173" s="451">
        <f t="shared" si="372"/>
        <v>0.9258114162233656</v>
      </c>
      <c r="N2173" s="796"/>
      <c r="P2173" s="399"/>
    </row>
    <row r="2174" spans="1:16" s="748" customFormat="1" ht="15" customHeight="1" x14ac:dyDescent="0.25">
      <c r="B2174" s="1386" t="s">
        <v>8143</v>
      </c>
      <c r="C2174" s="1386"/>
      <c r="D2174" s="1386"/>
      <c r="E2174" s="1386"/>
      <c r="F2174" s="1386"/>
      <c r="G2174" s="403"/>
      <c r="H2174" s="403"/>
      <c r="I2174" s="427"/>
      <c r="J2174" s="412"/>
      <c r="K2174" s="404">
        <f t="shared" si="373"/>
        <v>225255.28750000001</v>
      </c>
      <c r="L2174" s="404">
        <f t="shared" si="373"/>
        <v>375635.28</v>
      </c>
      <c r="M2174" s="452">
        <f t="shared" si="372"/>
        <v>0.9258114162233656</v>
      </c>
      <c r="N2174" s="796"/>
      <c r="P2174" s="399"/>
    </row>
    <row r="2175" spans="1:16" s="748" customFormat="1" x14ac:dyDescent="0.25">
      <c r="B2175" s="1382" t="s">
        <v>7914</v>
      </c>
      <c r="C2175" s="1382"/>
      <c r="D2175" s="1382"/>
      <c r="E2175" s="1382"/>
      <c r="F2175" s="1382"/>
      <c r="G2175" s="405"/>
      <c r="H2175" s="405"/>
      <c r="I2175" s="428"/>
      <c r="J2175" s="413"/>
      <c r="K2175" s="406">
        <f t="shared" si="373"/>
        <v>225255.28750000001</v>
      </c>
      <c r="L2175" s="406">
        <f t="shared" si="373"/>
        <v>375635.28</v>
      </c>
      <c r="M2175" s="453">
        <f t="shared" si="372"/>
        <v>0.9258114162233656</v>
      </c>
      <c r="N2175" s="796"/>
      <c r="P2175" s="399"/>
    </row>
    <row r="2176" spans="1:16" s="748" customFormat="1" x14ac:dyDescent="0.25">
      <c r="B2176" s="1383" t="s">
        <v>7298</v>
      </c>
      <c r="C2176" s="1383"/>
      <c r="D2176" s="1383"/>
      <c r="E2176" s="1383"/>
      <c r="F2176" s="1383"/>
      <c r="G2176" s="407"/>
      <c r="H2176" s="407"/>
      <c r="I2176" s="429"/>
      <c r="J2176" s="414"/>
      <c r="K2176" s="408">
        <f>SUM(K2177:K2179)</f>
        <v>225255.28750000001</v>
      </c>
      <c r="L2176" s="408">
        <f>SUM(L2177:L2179)</f>
        <v>375635.28</v>
      </c>
      <c r="M2176" s="454">
        <f t="shared" si="372"/>
        <v>0.9258114162233656</v>
      </c>
      <c r="N2176" s="796"/>
      <c r="P2176" s="399"/>
    </row>
    <row r="2177" spans="1:16" s="115" customFormat="1" x14ac:dyDescent="0.25">
      <c r="B2177" s="1398" t="s">
        <v>8184</v>
      </c>
      <c r="C2177" s="1398"/>
      <c r="D2177" s="1398"/>
      <c r="E2177" s="854">
        <v>333309300000000</v>
      </c>
      <c r="F2177" s="855" t="s">
        <v>8186</v>
      </c>
      <c r="G2177" s="468">
        <v>1013</v>
      </c>
      <c r="H2177" s="468">
        <v>0</v>
      </c>
      <c r="I2177" s="751"/>
      <c r="J2177" s="878" t="s">
        <v>7926</v>
      </c>
      <c r="K2177" s="789">
        <f>'Parâmetros financeiros Despesa'!E1067</f>
        <v>0</v>
      </c>
      <c r="L2177" s="789">
        <f>'Parâmetros financeiros Despesa'!F1067</f>
        <v>1</v>
      </c>
      <c r="M2177" s="799">
        <f t="shared" si="372"/>
        <v>2.4646551203160832E-6</v>
      </c>
      <c r="N2177" s="894"/>
      <c r="P2177" s="733"/>
    </row>
    <row r="2178" spans="1:16" s="115" customFormat="1" x14ac:dyDescent="0.25">
      <c r="B2178" s="1398" t="s">
        <v>8185</v>
      </c>
      <c r="C2178" s="1398"/>
      <c r="D2178" s="1398"/>
      <c r="E2178" s="854">
        <v>333903900000000</v>
      </c>
      <c r="F2178" s="855" t="s">
        <v>8187</v>
      </c>
      <c r="G2178" s="468">
        <v>1013</v>
      </c>
      <c r="H2178" s="468">
        <v>0</v>
      </c>
      <c r="I2178" s="751"/>
      <c r="J2178" s="878" t="s">
        <v>7926</v>
      </c>
      <c r="K2178" s="789">
        <f>'Parâmetros financeiros Despesa'!E1068</f>
        <v>225255.28750000001</v>
      </c>
      <c r="L2178" s="789">
        <f>'Parâmetros financeiros Despesa'!F1068</f>
        <v>375633.28</v>
      </c>
      <c r="M2178" s="799">
        <f t="shared" ref="M2178" si="374">L2178/L$2185</f>
        <v>0.92580648691312495</v>
      </c>
      <c r="N2178" s="894"/>
      <c r="P2178" s="733"/>
    </row>
    <row r="2179" spans="1:16" s="115" customFormat="1" x14ac:dyDescent="0.25">
      <c r="B2179" s="1398" t="s">
        <v>8189</v>
      </c>
      <c r="C2179" s="1398"/>
      <c r="D2179" s="1398"/>
      <c r="E2179" s="854">
        <v>333904700000000</v>
      </c>
      <c r="F2179" s="855" t="s">
        <v>8188</v>
      </c>
      <c r="G2179" s="468">
        <v>1013</v>
      </c>
      <c r="H2179" s="468">
        <v>0</v>
      </c>
      <c r="I2179" s="751"/>
      <c r="J2179" s="878" t="s">
        <v>7926</v>
      </c>
      <c r="K2179" s="789">
        <f>'Parâmetros financeiros Despesa'!E1069</f>
        <v>0</v>
      </c>
      <c r="L2179" s="789">
        <f>'Parâmetros financeiros Despesa'!F1069</f>
        <v>1</v>
      </c>
      <c r="M2179" s="799">
        <f>L2179/L$2185</f>
        <v>2.4646551203160832E-6</v>
      </c>
      <c r="N2179" s="894"/>
      <c r="P2179" s="733"/>
    </row>
    <row r="2180" spans="1:16" s="820" customFormat="1" ht="15" customHeight="1" x14ac:dyDescent="0.25">
      <c r="B2180" s="864" t="s">
        <v>22</v>
      </c>
      <c r="C2180" s="864"/>
      <c r="D2180" s="864"/>
      <c r="E2180" s="864"/>
      <c r="F2180" s="864"/>
      <c r="G2180" s="864"/>
      <c r="H2180" s="864"/>
      <c r="I2180" s="864"/>
      <c r="J2180" s="864"/>
      <c r="K2180" s="863">
        <f>K2174+K2163</f>
        <v>225255.28750000001</v>
      </c>
      <c r="L2180" s="863">
        <f>L2174+L2163</f>
        <v>405736.28</v>
      </c>
      <c r="M2180" s="452">
        <f>L2180/L$2185</f>
        <v>1</v>
      </c>
      <c r="N2180" s="796"/>
      <c r="P2180" s="399"/>
    </row>
    <row r="2181" spans="1:16" s="820" customFormat="1" ht="15" customHeight="1" x14ac:dyDescent="0.25">
      <c r="B2181" s="864" t="s">
        <v>11469</v>
      </c>
      <c r="C2181" s="864"/>
      <c r="D2181" s="864"/>
      <c r="E2181" s="864"/>
      <c r="F2181" s="864"/>
      <c r="G2181" s="864"/>
      <c r="H2181" s="864"/>
      <c r="I2181" s="864"/>
      <c r="J2181" s="864"/>
      <c r="K2181" s="863"/>
      <c r="L2181" s="863"/>
      <c r="M2181" s="452"/>
      <c r="N2181" s="796"/>
      <c r="P2181" s="399"/>
    </row>
    <row r="2182" spans="1:16" s="31" customFormat="1" ht="15" customHeight="1" x14ac:dyDescent="0.25">
      <c r="B2182" s="869" t="s">
        <v>11568</v>
      </c>
      <c r="C2182" s="869"/>
      <c r="D2182" s="869"/>
      <c r="E2182" s="869"/>
      <c r="F2182" s="869"/>
      <c r="G2182" s="869"/>
      <c r="H2182" s="869"/>
      <c r="I2182" s="869"/>
      <c r="J2182" s="869"/>
      <c r="K2182" s="870">
        <v>1</v>
      </c>
      <c r="L2182" s="870">
        <v>1</v>
      </c>
      <c r="M2182" s="871">
        <f>L2182/L$2185</f>
        <v>2.4646551203160832E-6</v>
      </c>
      <c r="N2182" s="897"/>
      <c r="P2182" s="736"/>
    </row>
    <row r="2183" spans="1:16" s="31" customFormat="1" ht="15" customHeight="1" x14ac:dyDescent="0.25">
      <c r="B2183" s="869" t="s">
        <v>768</v>
      </c>
      <c r="C2183" s="869"/>
      <c r="D2183" s="869"/>
      <c r="E2183" s="869"/>
      <c r="F2183" s="869"/>
      <c r="G2183" s="869"/>
      <c r="H2183" s="869"/>
      <c r="I2183" s="869"/>
      <c r="J2183" s="869"/>
      <c r="K2183" s="870">
        <f>K2178</f>
        <v>225255.28750000001</v>
      </c>
      <c r="L2183" s="870">
        <v>375635.28</v>
      </c>
      <c r="M2183" s="871">
        <f t="shared" ref="M2183:M2184" si="375">L2183/L$2185</f>
        <v>0.9258114162233656</v>
      </c>
      <c r="N2183" s="897"/>
      <c r="P2183" s="736"/>
    </row>
    <row r="2184" spans="1:16" s="31" customFormat="1" ht="15" customHeight="1" x14ac:dyDescent="0.25">
      <c r="B2184" s="869" t="s">
        <v>11515</v>
      </c>
      <c r="C2184" s="869"/>
      <c r="D2184" s="869"/>
      <c r="E2184" s="869"/>
      <c r="F2184" s="869"/>
      <c r="G2184" s="869"/>
      <c r="H2184" s="869"/>
      <c r="I2184" s="869"/>
      <c r="J2184" s="869"/>
      <c r="K2184" s="870">
        <v>0</v>
      </c>
      <c r="L2184" s="870">
        <v>30100</v>
      </c>
      <c r="M2184" s="871">
        <f t="shared" si="375"/>
        <v>7.4186119121514099E-2</v>
      </c>
      <c r="N2184" s="897"/>
      <c r="P2184" s="736"/>
    </row>
    <row r="2185" spans="1:16" s="115" customFormat="1" ht="15" customHeight="1" x14ac:dyDescent="0.25">
      <c r="B2185" s="864" t="s">
        <v>2172</v>
      </c>
      <c r="C2185" s="864"/>
      <c r="D2185" s="864"/>
      <c r="E2185" s="864"/>
      <c r="F2185" s="864"/>
      <c r="G2185" s="864"/>
      <c r="H2185" s="864"/>
      <c r="I2185" s="864"/>
      <c r="J2185" s="864"/>
      <c r="K2185" s="863">
        <f>SUM(K2182:K2184)</f>
        <v>225256.28750000001</v>
      </c>
      <c r="L2185" s="863">
        <f>SUM(L2182:L2184)</f>
        <v>405736.28</v>
      </c>
      <c r="M2185" s="452">
        <f>L2185/L$2185</f>
        <v>1</v>
      </c>
      <c r="N2185" s="894"/>
      <c r="P2185" s="733"/>
    </row>
    <row r="2186" spans="1:16" x14ac:dyDescent="0.25">
      <c r="L2186" s="783"/>
    </row>
    <row r="2187" spans="1:16" s="435" customFormat="1" ht="15" customHeight="1" x14ac:dyDescent="0.25">
      <c r="B2187" s="744" t="s">
        <v>989</v>
      </c>
      <c r="C2187" s="744"/>
      <c r="D2187" s="481"/>
      <c r="E2187" s="1371" t="s">
        <v>7911</v>
      </c>
      <c r="F2187" s="1371"/>
      <c r="G2187" s="1371"/>
      <c r="H2187" s="1371"/>
      <c r="I2187" s="1371"/>
      <c r="J2187" s="437"/>
      <c r="K2187" s="940"/>
      <c r="L2187" s="438"/>
      <c r="M2187" s="449"/>
      <c r="N2187" s="892"/>
      <c r="P2187" s="732"/>
    </row>
    <row r="2188" spans="1:16" s="435" customFormat="1" ht="15" customHeight="1" x14ac:dyDescent="0.25">
      <c r="B2188" s="744" t="s">
        <v>458</v>
      </c>
      <c r="C2188" s="744"/>
      <c r="D2188" s="481"/>
      <c r="E2188" s="1371" t="s">
        <v>8190</v>
      </c>
      <c r="F2188" s="1371"/>
      <c r="G2188" s="1371"/>
      <c r="H2188" s="1371"/>
      <c r="I2188" s="1371"/>
      <c r="J2188" s="437"/>
      <c r="K2188" s="940"/>
      <c r="L2188" s="438"/>
      <c r="M2188" s="449"/>
      <c r="N2188" s="892"/>
      <c r="P2188" s="732"/>
    </row>
    <row r="2189" spans="1:16" s="435" customFormat="1" ht="15" customHeight="1" x14ac:dyDescent="0.25">
      <c r="B2189" s="745" t="s">
        <v>5764</v>
      </c>
      <c r="C2189" s="745"/>
      <c r="D2189" s="745"/>
      <c r="E2189" s="1371" t="s">
        <v>749</v>
      </c>
      <c r="F2189" s="1371"/>
      <c r="G2189" s="1371"/>
      <c r="H2189" s="1371"/>
      <c r="I2189" s="1371"/>
      <c r="J2189" s="440"/>
      <c r="K2189" s="941"/>
      <c r="L2189" s="438"/>
      <c r="M2189" s="449"/>
      <c r="N2189" s="892"/>
      <c r="P2189" s="732"/>
    </row>
    <row r="2190" spans="1:16" s="851" customFormat="1" ht="113.25" customHeight="1" x14ac:dyDescent="0.25">
      <c r="A2190" s="396"/>
      <c r="B2190" s="1400" t="s">
        <v>2296</v>
      </c>
      <c r="C2190" s="1400"/>
      <c r="D2190" s="1400"/>
      <c r="E2190" s="1384" t="s">
        <v>2297</v>
      </c>
      <c r="F2190" s="1384"/>
      <c r="G2190" s="443" t="s">
        <v>444</v>
      </c>
      <c r="H2190" s="443" t="s">
        <v>2245</v>
      </c>
      <c r="I2190" s="444" t="s">
        <v>5725</v>
      </c>
      <c r="J2190" s="849" t="s">
        <v>2275</v>
      </c>
      <c r="K2190" s="893" t="s">
        <v>11644</v>
      </c>
      <c r="L2190" s="955" t="s">
        <v>11522</v>
      </c>
      <c r="M2190" s="450" t="s">
        <v>235</v>
      </c>
      <c r="N2190" s="796"/>
      <c r="P2190" s="399"/>
    </row>
    <row r="2191" spans="1:16" s="115" customFormat="1" ht="15" customHeight="1" x14ac:dyDescent="0.25">
      <c r="A2191" s="396"/>
      <c r="B2191" s="1385" t="s">
        <v>7913</v>
      </c>
      <c r="C2191" s="1385"/>
      <c r="D2191" s="1385"/>
      <c r="E2191" s="1385"/>
      <c r="F2191" s="1385"/>
      <c r="G2191" s="401"/>
      <c r="H2191" s="401"/>
      <c r="I2191" s="426"/>
      <c r="J2191" s="411"/>
      <c r="K2191" s="402">
        <f t="shared" ref="K2191:L2193" si="376">K2192</f>
        <v>0</v>
      </c>
      <c r="L2191" s="402">
        <f t="shared" si="376"/>
        <v>5001</v>
      </c>
      <c r="M2191" s="451">
        <f>L2191/L$2231</f>
        <v>1.0795283413102081E-2</v>
      </c>
      <c r="N2191" s="894"/>
      <c r="P2191" s="733"/>
    </row>
    <row r="2192" spans="1:16" s="748" customFormat="1" x14ac:dyDescent="0.25">
      <c r="B2192" s="1386" t="s">
        <v>8195</v>
      </c>
      <c r="C2192" s="1386"/>
      <c r="D2192" s="1386"/>
      <c r="E2192" s="1386"/>
      <c r="F2192" s="1386"/>
      <c r="G2192" s="403"/>
      <c r="H2192" s="403"/>
      <c r="I2192" s="427"/>
      <c r="J2192" s="412"/>
      <c r="K2192" s="404">
        <f t="shared" si="376"/>
        <v>0</v>
      </c>
      <c r="L2192" s="404">
        <f t="shared" si="376"/>
        <v>5001</v>
      </c>
      <c r="M2192" s="452">
        <f>L2192/L$2231</f>
        <v>1.0795283413102081E-2</v>
      </c>
      <c r="N2192" s="796"/>
      <c r="P2192" s="399"/>
    </row>
    <row r="2193" spans="1:16" s="748" customFormat="1" x14ac:dyDescent="0.25">
      <c r="B2193" s="1382" t="s">
        <v>7914</v>
      </c>
      <c r="C2193" s="1382"/>
      <c r="D2193" s="1382"/>
      <c r="E2193" s="1382"/>
      <c r="F2193" s="1382"/>
      <c r="G2193" s="405"/>
      <c r="H2193" s="405"/>
      <c r="I2193" s="428"/>
      <c r="J2193" s="413"/>
      <c r="K2193" s="406">
        <f t="shared" si="376"/>
        <v>0</v>
      </c>
      <c r="L2193" s="406">
        <f t="shared" si="376"/>
        <v>5001</v>
      </c>
      <c r="M2193" s="453">
        <f>L2193/L$2231</f>
        <v>1.0795283413102081E-2</v>
      </c>
      <c r="N2193" s="796"/>
      <c r="P2193" s="399"/>
    </row>
    <row r="2194" spans="1:16" s="748" customFormat="1" x14ac:dyDescent="0.25">
      <c r="B2194" s="1383" t="s">
        <v>7927</v>
      </c>
      <c r="C2194" s="1383"/>
      <c r="D2194" s="1383"/>
      <c r="E2194" s="1383"/>
      <c r="F2194" s="1383"/>
      <c r="G2194" s="407"/>
      <c r="H2194" s="407"/>
      <c r="I2194" s="429"/>
      <c r="J2194" s="414"/>
      <c r="K2194" s="408">
        <f>SUM(K2195:K2200)</f>
        <v>0</v>
      </c>
      <c r="L2194" s="408">
        <f>SUM(L2195:L2200)</f>
        <v>5001</v>
      </c>
      <c r="M2194" s="454">
        <f>L2194/L$2231</f>
        <v>1.0795283413102081E-2</v>
      </c>
      <c r="N2194" s="796"/>
      <c r="P2194" s="399"/>
    </row>
    <row r="2195" spans="1:16" s="115" customFormat="1" x14ac:dyDescent="0.25">
      <c r="B2195" s="1398" t="s">
        <v>8191</v>
      </c>
      <c r="C2195" s="1398"/>
      <c r="D2195" s="1398"/>
      <c r="E2195" s="1020">
        <v>333904700000000</v>
      </c>
      <c r="F2195" s="1021" t="s">
        <v>8280</v>
      </c>
      <c r="G2195" s="468">
        <v>1076</v>
      </c>
      <c r="H2195" s="468">
        <v>0</v>
      </c>
      <c r="I2195" s="751"/>
      <c r="J2195" s="878" t="s">
        <v>7926</v>
      </c>
      <c r="K2195" s="789">
        <f>'Parâmetros financeiros Despesa'!E1074</f>
        <v>0</v>
      </c>
      <c r="L2195" s="789">
        <f>'Parâmetros financeiros Despesa'!F1074</f>
        <v>0.2</v>
      </c>
      <c r="M2195" s="799">
        <f>L2195/L$2231</f>
        <v>4.3172499152577808E-7</v>
      </c>
      <c r="N2195" s="894"/>
      <c r="P2195" s="733"/>
    </row>
    <row r="2196" spans="1:16" s="115" customFormat="1" x14ac:dyDescent="0.25">
      <c r="B2196" s="1398" t="s">
        <v>8192</v>
      </c>
      <c r="C2196" s="1398"/>
      <c r="D2196" s="1398"/>
      <c r="E2196" s="1020">
        <v>344209300000000</v>
      </c>
      <c r="F2196" s="1021" t="s">
        <v>8275</v>
      </c>
      <c r="G2196" s="468">
        <v>1076</v>
      </c>
      <c r="H2196" s="468">
        <v>0</v>
      </c>
      <c r="I2196" s="751"/>
      <c r="J2196" s="878" t="s">
        <v>7926</v>
      </c>
      <c r="K2196" s="789">
        <f>'Parâmetros financeiros Despesa'!E1075</f>
        <v>0</v>
      </c>
      <c r="L2196" s="789">
        <f>'Parâmetros financeiros Despesa'!F1075</f>
        <v>1</v>
      </c>
      <c r="M2196" s="799">
        <f t="shared" ref="M2196:M2200" si="377">L2196/L$2231</f>
        <v>2.1586249576288904E-6</v>
      </c>
      <c r="N2196" s="894"/>
      <c r="P2196" s="733"/>
    </row>
    <row r="2197" spans="1:16" s="115" customFormat="1" x14ac:dyDescent="0.25">
      <c r="B2197" s="1398" t="s">
        <v>8193</v>
      </c>
      <c r="C2197" s="1398"/>
      <c r="D2197" s="1398"/>
      <c r="E2197" s="1020">
        <v>344903600000000</v>
      </c>
      <c r="F2197" s="1021" t="s">
        <v>8276</v>
      </c>
      <c r="G2197" s="468">
        <v>1076</v>
      </c>
      <c r="H2197" s="468">
        <v>0</v>
      </c>
      <c r="I2197" s="751"/>
      <c r="J2197" s="878" t="s">
        <v>7926</v>
      </c>
      <c r="K2197" s="789">
        <f>'Parâmetros financeiros Despesa'!E1076</f>
        <v>0</v>
      </c>
      <c r="L2197" s="789">
        <f>'Parâmetros financeiros Despesa'!F1076</f>
        <v>1</v>
      </c>
      <c r="M2197" s="799">
        <f t="shared" si="377"/>
        <v>2.1586249576288904E-6</v>
      </c>
      <c r="N2197" s="894"/>
      <c r="P2197" s="733"/>
    </row>
    <row r="2198" spans="1:16" s="115" customFormat="1" x14ac:dyDescent="0.25">
      <c r="B2198" s="1398" t="s">
        <v>8194</v>
      </c>
      <c r="C2198" s="1398"/>
      <c r="D2198" s="1398"/>
      <c r="E2198" s="1020">
        <v>344903900000000</v>
      </c>
      <c r="F2198" s="1021" t="s">
        <v>8279</v>
      </c>
      <c r="G2198" s="468">
        <v>1076</v>
      </c>
      <c r="H2198" s="468">
        <v>0</v>
      </c>
      <c r="I2198" s="751"/>
      <c r="J2198" s="878" t="s">
        <v>7926</v>
      </c>
      <c r="K2198" s="789">
        <f>'Parâmetros financeiros Despesa'!E1077</f>
        <v>0</v>
      </c>
      <c r="L2198" s="789">
        <f>'Parâmetros financeiros Despesa'!F1077</f>
        <v>1</v>
      </c>
      <c r="M2198" s="799">
        <f t="shared" si="377"/>
        <v>2.1586249576288904E-6</v>
      </c>
      <c r="N2198" s="894"/>
      <c r="P2198" s="733"/>
    </row>
    <row r="2199" spans="1:16" s="115" customFormat="1" x14ac:dyDescent="0.25">
      <c r="B2199" s="994"/>
      <c r="C2199" s="994"/>
      <c r="D2199" s="994" t="s">
        <v>8281</v>
      </c>
      <c r="E2199" s="1020">
        <v>344905100000000</v>
      </c>
      <c r="F2199" s="1021" t="s">
        <v>8277</v>
      </c>
      <c r="G2199" s="468">
        <v>1</v>
      </c>
      <c r="H2199" s="468">
        <v>0</v>
      </c>
      <c r="I2199" s="751"/>
      <c r="J2199" s="878" t="s">
        <v>7926</v>
      </c>
      <c r="K2199" s="789">
        <f>'Parâmetros financeiros Despesa'!E1078</f>
        <v>0</v>
      </c>
      <c r="L2199" s="789">
        <f>'Parâmetros financeiros Despesa'!F1078</f>
        <v>1</v>
      </c>
      <c r="M2199" s="799">
        <f t="shared" si="377"/>
        <v>2.1586249576288904E-6</v>
      </c>
      <c r="N2199" s="894"/>
      <c r="P2199" s="733"/>
    </row>
    <row r="2200" spans="1:16" s="115" customFormat="1" x14ac:dyDescent="0.25">
      <c r="B2200" s="994"/>
      <c r="C2200" s="994"/>
      <c r="D2200" s="994" t="s">
        <v>8282</v>
      </c>
      <c r="E2200" s="1020">
        <v>344905100000000</v>
      </c>
      <c r="F2200" s="1021" t="s">
        <v>8278</v>
      </c>
      <c r="G2200" s="468">
        <v>1076</v>
      </c>
      <c r="H2200" s="468">
        <v>0</v>
      </c>
      <c r="I2200" s="751"/>
      <c r="J2200" s="878" t="s">
        <v>7926</v>
      </c>
      <c r="K2200" s="789">
        <f>'Parâmetros financeiros Despesa'!E1079</f>
        <v>0</v>
      </c>
      <c r="L2200" s="789">
        <f>'Parâmetros financeiros Despesa'!F1079</f>
        <v>4996.8</v>
      </c>
      <c r="M2200" s="799">
        <f t="shared" si="377"/>
        <v>1.078621718828004E-2</v>
      </c>
      <c r="N2200" s="894"/>
      <c r="P2200" s="733"/>
    </row>
    <row r="2201" spans="1:16" s="115" customFormat="1" ht="15" customHeight="1" x14ac:dyDescent="0.25">
      <c r="A2201" s="396"/>
      <c r="B2201" s="1385" t="s">
        <v>7913</v>
      </c>
      <c r="C2201" s="1385"/>
      <c r="D2201" s="1385"/>
      <c r="E2201" s="1385"/>
      <c r="F2201" s="1385"/>
      <c r="G2201" s="401"/>
      <c r="H2201" s="401"/>
      <c r="I2201" s="426"/>
      <c r="J2201" s="411"/>
      <c r="K2201" s="402">
        <f t="shared" ref="K2201:L2203" si="378">K2202</f>
        <v>173076.255</v>
      </c>
      <c r="L2201" s="402">
        <f t="shared" si="378"/>
        <v>279468.08</v>
      </c>
      <c r="M2201" s="451">
        <f>L2201/L$2231</f>
        <v>0.60326677234862736</v>
      </c>
      <c r="N2201" s="894"/>
      <c r="P2201" s="733"/>
    </row>
    <row r="2202" spans="1:16" s="748" customFormat="1" x14ac:dyDescent="0.25">
      <c r="B2202" s="1386" t="s">
        <v>8196</v>
      </c>
      <c r="C2202" s="1386"/>
      <c r="D2202" s="1386"/>
      <c r="E2202" s="1386"/>
      <c r="F2202" s="1386"/>
      <c r="G2202" s="403"/>
      <c r="H2202" s="403"/>
      <c r="I2202" s="427"/>
      <c r="J2202" s="412"/>
      <c r="K2202" s="404">
        <f t="shared" si="378"/>
        <v>173076.255</v>
      </c>
      <c r="L2202" s="404">
        <f t="shared" si="378"/>
        <v>279468.08</v>
      </c>
      <c r="M2202" s="452">
        <f>L2202/L$2231</f>
        <v>0.60326677234862736</v>
      </c>
      <c r="N2202" s="796"/>
      <c r="P2202" s="399"/>
    </row>
    <row r="2203" spans="1:16" s="748" customFormat="1" x14ac:dyDescent="0.25">
      <c r="B2203" s="1382" t="s">
        <v>7914</v>
      </c>
      <c r="C2203" s="1382"/>
      <c r="D2203" s="1382"/>
      <c r="E2203" s="1382"/>
      <c r="F2203" s="1382"/>
      <c r="G2203" s="405"/>
      <c r="H2203" s="405"/>
      <c r="I2203" s="428"/>
      <c r="J2203" s="413"/>
      <c r="K2203" s="406">
        <f t="shared" si="378"/>
        <v>173076.255</v>
      </c>
      <c r="L2203" s="406">
        <f t="shared" si="378"/>
        <v>279468.08</v>
      </c>
      <c r="M2203" s="453">
        <f>L2203/L$2231</f>
        <v>0.60326677234862736</v>
      </c>
      <c r="N2203" s="796"/>
      <c r="P2203" s="399"/>
    </row>
    <row r="2204" spans="1:16" s="748" customFormat="1" x14ac:dyDescent="0.25">
      <c r="B2204" s="1383" t="s">
        <v>7927</v>
      </c>
      <c r="C2204" s="1383"/>
      <c r="D2204" s="1383"/>
      <c r="E2204" s="1383"/>
      <c r="F2204" s="1383"/>
      <c r="G2204" s="407"/>
      <c r="H2204" s="407"/>
      <c r="I2204" s="429"/>
      <c r="J2204" s="414"/>
      <c r="K2204" s="408">
        <f>SUM(K2205:K2209)</f>
        <v>173076.255</v>
      </c>
      <c r="L2204" s="408">
        <f>SUM(L2205:L2209)</f>
        <v>279468.08</v>
      </c>
      <c r="M2204" s="454">
        <f>L2204/L$2231</f>
        <v>0.60326677234862736</v>
      </c>
      <c r="N2204" s="796"/>
      <c r="P2204" s="399"/>
    </row>
    <row r="2205" spans="1:16" s="115" customFormat="1" x14ac:dyDescent="0.25">
      <c r="B2205" s="1398" t="s">
        <v>8208</v>
      </c>
      <c r="C2205" s="1398"/>
      <c r="D2205" s="1398"/>
      <c r="E2205" s="854">
        <v>333903000000000</v>
      </c>
      <c r="F2205" s="855" t="s">
        <v>8203</v>
      </c>
      <c r="G2205" s="468">
        <v>1011</v>
      </c>
      <c r="H2205" s="468">
        <v>0</v>
      </c>
      <c r="I2205" s="751"/>
      <c r="J2205" s="878" t="s">
        <v>7926</v>
      </c>
      <c r="K2205" s="789">
        <f>'Parâmetros financeiros Despesa'!E1081</f>
        <v>0</v>
      </c>
      <c r="L2205" s="789">
        <f>'Parâmetros financeiros Despesa'!F1081</f>
        <v>5000</v>
      </c>
      <c r="M2205" s="799">
        <f>L2205/L$2231</f>
        <v>1.0793124788144452E-2</v>
      </c>
      <c r="N2205" s="894"/>
      <c r="P2205" s="733"/>
    </row>
    <row r="2206" spans="1:16" s="115" customFormat="1" x14ac:dyDescent="0.25">
      <c r="B2206" s="994"/>
      <c r="C2206" s="994"/>
      <c r="D2206" s="994" t="s">
        <v>8209</v>
      </c>
      <c r="E2206" s="854">
        <v>333903600000000</v>
      </c>
      <c r="F2206" s="855" t="s">
        <v>8204</v>
      </c>
      <c r="G2206" s="468">
        <v>1011</v>
      </c>
      <c r="H2206" s="468">
        <v>0</v>
      </c>
      <c r="I2206" s="751"/>
      <c r="J2206" s="878" t="s">
        <v>7926</v>
      </c>
      <c r="K2206" s="789">
        <f>'Parâmetros financeiros Despesa'!E1082</f>
        <v>0</v>
      </c>
      <c r="L2206" s="789">
        <f>'Parâmetros financeiros Despesa'!F1082</f>
        <v>1</v>
      </c>
      <c r="M2206" s="799">
        <f t="shared" ref="M2206:M2209" si="379">L2206/L$2231</f>
        <v>2.1586249576288904E-6</v>
      </c>
      <c r="N2206" s="894"/>
      <c r="P2206" s="733"/>
    </row>
    <row r="2207" spans="1:16" s="115" customFormat="1" x14ac:dyDescent="0.25">
      <c r="B2207" s="994"/>
      <c r="C2207" s="994"/>
      <c r="D2207" s="994" t="s">
        <v>8210</v>
      </c>
      <c r="E2207" s="854">
        <v>333903900000000</v>
      </c>
      <c r="F2207" s="855" t="s">
        <v>8205</v>
      </c>
      <c r="G2207" s="468">
        <v>1011</v>
      </c>
      <c r="H2207" s="468">
        <v>0</v>
      </c>
      <c r="I2207" s="751"/>
      <c r="J2207" s="878" t="s">
        <v>7926</v>
      </c>
      <c r="K2207" s="789">
        <f>'Parâmetros financeiros Despesa'!E1083</f>
        <v>173076.255</v>
      </c>
      <c r="L2207" s="789">
        <f>'Parâmetros financeiros Despesa'!F1083</f>
        <v>268467.08</v>
      </c>
      <c r="M2207" s="799">
        <f t="shared" si="379"/>
        <v>0.57951973918975197</v>
      </c>
      <c r="N2207" s="894"/>
      <c r="P2207" s="733"/>
    </row>
    <row r="2208" spans="1:16" s="115" customFormat="1" x14ac:dyDescent="0.25">
      <c r="B2208" s="994"/>
      <c r="C2208" s="994"/>
      <c r="D2208" s="994" t="s">
        <v>8211</v>
      </c>
      <c r="E2208" s="854">
        <v>333904700000000</v>
      </c>
      <c r="F2208" s="855" t="s">
        <v>8206</v>
      </c>
      <c r="G2208" s="468">
        <v>1011</v>
      </c>
      <c r="H2208" s="468">
        <v>0</v>
      </c>
      <c r="I2208" s="751"/>
      <c r="J2208" s="878" t="s">
        <v>7926</v>
      </c>
      <c r="K2208" s="789">
        <f>'Parâmetros financeiros Despesa'!E1084</f>
        <v>0</v>
      </c>
      <c r="L2208" s="789">
        <f>'Parâmetros financeiros Despesa'!F1084</f>
        <v>1000</v>
      </c>
      <c r="M2208" s="799">
        <f t="shared" si="379"/>
        <v>2.1586249576288903E-3</v>
      </c>
      <c r="N2208" s="894"/>
      <c r="P2208" s="733"/>
    </row>
    <row r="2209" spans="1:16" s="115" customFormat="1" x14ac:dyDescent="0.25">
      <c r="B2209" s="994"/>
      <c r="C2209" s="994"/>
      <c r="D2209" s="994" t="s">
        <v>8212</v>
      </c>
      <c r="E2209" s="1020">
        <v>344905200000000</v>
      </c>
      <c r="F2209" s="855" t="s">
        <v>8207</v>
      </c>
      <c r="G2209" s="468">
        <v>1011</v>
      </c>
      <c r="H2209" s="468">
        <v>0</v>
      </c>
      <c r="I2209" s="751"/>
      <c r="J2209" s="878" t="s">
        <v>7926</v>
      </c>
      <c r="K2209" s="789">
        <f>'Parâmetros financeiros Despesa'!E1085</f>
        <v>0</v>
      </c>
      <c r="L2209" s="789">
        <f>'Parâmetros financeiros Despesa'!F1085</f>
        <v>5000</v>
      </c>
      <c r="M2209" s="799">
        <f t="shared" si="379"/>
        <v>1.0793124788144452E-2</v>
      </c>
      <c r="N2209" s="894"/>
      <c r="P2209" s="733"/>
    </row>
    <row r="2210" spans="1:16" s="115" customFormat="1" ht="15" customHeight="1" x14ac:dyDescent="0.25">
      <c r="A2210" s="396"/>
      <c r="B2210" s="1385" t="s">
        <v>8198</v>
      </c>
      <c r="C2210" s="1385"/>
      <c r="D2210" s="1385"/>
      <c r="E2210" s="1385"/>
      <c r="F2210" s="1385"/>
      <c r="G2210" s="401"/>
      <c r="H2210" s="401"/>
      <c r="I2210" s="426"/>
      <c r="J2210" s="411"/>
      <c r="K2210" s="402">
        <f t="shared" ref="K2210:L2212" si="380">K2211</f>
        <v>80430.083333333343</v>
      </c>
      <c r="L2210" s="402">
        <f t="shared" si="380"/>
        <v>47378.26</v>
      </c>
      <c r="M2210" s="451">
        <f>L2210/L$2231</f>
        <v>0.10227189448503056</v>
      </c>
      <c r="N2210" s="894"/>
      <c r="P2210" s="733"/>
    </row>
    <row r="2211" spans="1:16" s="748" customFormat="1" x14ac:dyDescent="0.25">
      <c r="B2211" s="1386" t="s">
        <v>8197</v>
      </c>
      <c r="C2211" s="1386"/>
      <c r="D2211" s="1386"/>
      <c r="E2211" s="1386"/>
      <c r="F2211" s="1386"/>
      <c r="G2211" s="403"/>
      <c r="H2211" s="403"/>
      <c r="I2211" s="427"/>
      <c r="J2211" s="412"/>
      <c r="K2211" s="404">
        <f t="shared" si="380"/>
        <v>80430.083333333343</v>
      </c>
      <c r="L2211" s="404">
        <f t="shared" si="380"/>
        <v>47378.26</v>
      </c>
      <c r="M2211" s="452">
        <f>L2211/L$2231</f>
        <v>0.10227189448503056</v>
      </c>
      <c r="N2211" s="796"/>
      <c r="P2211" s="399"/>
    </row>
    <row r="2212" spans="1:16" s="748" customFormat="1" x14ac:dyDescent="0.25">
      <c r="B2212" s="1382" t="s">
        <v>7914</v>
      </c>
      <c r="C2212" s="1382"/>
      <c r="D2212" s="1382"/>
      <c r="E2212" s="1382"/>
      <c r="F2212" s="1382"/>
      <c r="G2212" s="405"/>
      <c r="H2212" s="405"/>
      <c r="I2212" s="428"/>
      <c r="J2212" s="413"/>
      <c r="K2212" s="406">
        <f t="shared" si="380"/>
        <v>80430.083333333343</v>
      </c>
      <c r="L2212" s="406">
        <f t="shared" si="380"/>
        <v>47378.26</v>
      </c>
      <c r="M2212" s="453">
        <f>L2212/L$2231</f>
        <v>0.10227189448503056</v>
      </c>
      <c r="N2212" s="796"/>
      <c r="P2212" s="399"/>
    </row>
    <row r="2213" spans="1:16" s="748" customFormat="1" x14ac:dyDescent="0.25">
      <c r="B2213" s="1383" t="s">
        <v>8199</v>
      </c>
      <c r="C2213" s="1383"/>
      <c r="D2213" s="1383"/>
      <c r="E2213" s="1383"/>
      <c r="F2213" s="1383"/>
      <c r="G2213" s="407"/>
      <c r="H2213" s="407"/>
      <c r="I2213" s="429"/>
      <c r="J2213" s="414"/>
      <c r="K2213" s="408">
        <f>SUM(K2214:K2216)</f>
        <v>80430.083333333343</v>
      </c>
      <c r="L2213" s="408">
        <f>SUM(L2214:L2216)</f>
        <v>47378.26</v>
      </c>
      <c r="M2213" s="454">
        <f>L2213/L$2231</f>
        <v>0.10227189448503056</v>
      </c>
      <c r="N2213" s="796"/>
      <c r="P2213" s="399"/>
    </row>
    <row r="2214" spans="1:16" s="115" customFormat="1" x14ac:dyDescent="0.25">
      <c r="B2214" s="1398" t="s">
        <v>8213</v>
      </c>
      <c r="C2214" s="1398"/>
      <c r="D2214" s="1398"/>
      <c r="E2214" s="1020">
        <v>333903000000000</v>
      </c>
      <c r="F2214" s="1021" t="s">
        <v>8237</v>
      </c>
      <c r="G2214" s="468">
        <v>1009</v>
      </c>
      <c r="H2214" s="468">
        <v>0</v>
      </c>
      <c r="I2214" s="751"/>
      <c r="J2214" s="878" t="s">
        <v>7926</v>
      </c>
      <c r="K2214" s="789">
        <f>'Parâmetros financeiros Despesa'!E1087</f>
        <v>10503.999999999998</v>
      </c>
      <c r="L2214" s="789">
        <f>'Parâmetros financeiros Despesa'!F1087</f>
        <v>33163.781999999999</v>
      </c>
      <c r="M2214" s="799">
        <f>L2214/L$2231</f>
        <v>7.1588167514563761E-2</v>
      </c>
      <c r="N2214" s="894"/>
      <c r="P2214" s="733"/>
    </row>
    <row r="2215" spans="1:16" s="115" customFormat="1" x14ac:dyDescent="0.25">
      <c r="B2215" s="1398" t="s">
        <v>8214</v>
      </c>
      <c r="C2215" s="1398"/>
      <c r="D2215" s="1398"/>
      <c r="E2215" s="1020">
        <v>333903000000000</v>
      </c>
      <c r="F2215" s="1021" t="s">
        <v>8238</v>
      </c>
      <c r="G2215" s="468">
        <v>1009</v>
      </c>
      <c r="H2215" s="468">
        <v>0</v>
      </c>
      <c r="I2215" s="751"/>
      <c r="J2215" s="878" t="s">
        <v>7926</v>
      </c>
      <c r="K2215" s="789">
        <f>'Parâmetros financeiros Despesa'!E1088</f>
        <v>69926.083333333343</v>
      </c>
      <c r="L2215" s="789">
        <f>'Parâmetros financeiros Despesa'!F1088</f>
        <v>14213.478000000001</v>
      </c>
      <c r="M2215" s="799">
        <f t="shared" ref="M2215:M2216" si="381">L2215/L$2231</f>
        <v>3.0681568345509169E-2</v>
      </c>
      <c r="N2215" s="894"/>
      <c r="P2215" s="733"/>
    </row>
    <row r="2216" spans="1:16" s="115" customFormat="1" x14ac:dyDescent="0.25">
      <c r="B2216" s="994"/>
      <c r="C2216" s="994"/>
      <c r="D2216" s="994" t="s">
        <v>8215</v>
      </c>
      <c r="E2216" s="1020">
        <v>333903900000000</v>
      </c>
      <c r="F2216" s="1021" t="s">
        <v>8239</v>
      </c>
      <c r="G2216" s="468">
        <v>1009</v>
      </c>
      <c r="H2216" s="468">
        <v>0</v>
      </c>
      <c r="I2216" s="751"/>
      <c r="J2216" s="878" t="s">
        <v>7926</v>
      </c>
      <c r="K2216" s="789">
        <f>'Parâmetros financeiros Despesa'!E1089</f>
        <v>0</v>
      </c>
      <c r="L2216" s="789">
        <f>'Parâmetros financeiros Despesa'!F1089</f>
        <v>1</v>
      </c>
      <c r="M2216" s="799">
        <f t="shared" si="381"/>
        <v>2.1586249576288904E-6</v>
      </c>
      <c r="N2216" s="894"/>
      <c r="P2216" s="733"/>
    </row>
    <row r="2217" spans="1:16" s="748" customFormat="1" ht="15" customHeight="1" x14ac:dyDescent="0.25">
      <c r="B2217" s="1385" t="s">
        <v>7993</v>
      </c>
      <c r="C2217" s="1385"/>
      <c r="D2217" s="1385"/>
      <c r="E2217" s="1385"/>
      <c r="F2217" s="1385"/>
      <c r="G2217" s="401"/>
      <c r="H2217" s="401">
        <v>0</v>
      </c>
      <c r="I2217" s="426"/>
      <c r="J2217" s="411">
        <v>0</v>
      </c>
      <c r="K2217" s="402">
        <f t="shared" ref="K2217:L2219" si="382">K2218</f>
        <v>109792.61666666667</v>
      </c>
      <c r="L2217" s="402">
        <f t="shared" si="382"/>
        <v>131410.53</v>
      </c>
      <c r="M2217" s="451">
        <f t="shared" ref="M2217:M2224" si="383">L2217/L$2231</f>
        <v>0.28366604975324</v>
      </c>
      <c r="N2217" s="796"/>
      <c r="P2217" s="399"/>
    </row>
    <row r="2218" spans="1:16" s="748" customFormat="1" ht="15" customHeight="1" x14ac:dyDescent="0.25">
      <c r="B2218" s="1386" t="s">
        <v>8142</v>
      </c>
      <c r="C2218" s="1386"/>
      <c r="D2218" s="1386"/>
      <c r="E2218" s="1386"/>
      <c r="F2218" s="1386"/>
      <c r="G2218" s="403"/>
      <c r="H2218" s="403">
        <v>0</v>
      </c>
      <c r="I2218" s="427"/>
      <c r="J2218" s="412">
        <v>0</v>
      </c>
      <c r="K2218" s="404">
        <f t="shared" si="382"/>
        <v>109792.61666666667</v>
      </c>
      <c r="L2218" s="404">
        <f t="shared" si="382"/>
        <v>131410.53</v>
      </c>
      <c r="M2218" s="452">
        <f t="shared" si="383"/>
        <v>0.28366604975324</v>
      </c>
      <c r="N2218" s="796"/>
      <c r="P2218" s="399"/>
    </row>
    <row r="2219" spans="1:16" s="748" customFormat="1" x14ac:dyDescent="0.25">
      <c r="B2219" s="1382" t="s">
        <v>7914</v>
      </c>
      <c r="C2219" s="1382"/>
      <c r="D2219" s="1382"/>
      <c r="E2219" s="1382"/>
      <c r="F2219" s="1382"/>
      <c r="G2219" s="405"/>
      <c r="H2219" s="405">
        <v>0</v>
      </c>
      <c r="I2219" s="428"/>
      <c r="J2219" s="413">
        <v>0</v>
      </c>
      <c r="K2219" s="406">
        <f t="shared" si="382"/>
        <v>109792.61666666667</v>
      </c>
      <c r="L2219" s="406">
        <f t="shared" si="382"/>
        <v>131410.53</v>
      </c>
      <c r="M2219" s="453">
        <f t="shared" si="383"/>
        <v>0.28366604975324</v>
      </c>
      <c r="N2219" s="796"/>
      <c r="P2219" s="399"/>
    </row>
    <row r="2220" spans="1:16" s="748" customFormat="1" x14ac:dyDescent="0.25">
      <c r="B2220" s="1383" t="s">
        <v>7298</v>
      </c>
      <c r="C2220" s="1383"/>
      <c r="D2220" s="1383"/>
      <c r="E2220" s="1383"/>
      <c r="F2220" s="1383"/>
      <c r="G2220" s="407"/>
      <c r="H2220" s="407">
        <v>0</v>
      </c>
      <c r="I2220" s="429"/>
      <c r="J2220" s="414">
        <v>0</v>
      </c>
      <c r="K2220" s="408">
        <f>SUM(K2221:K2223)</f>
        <v>109792.61666666667</v>
      </c>
      <c r="L2220" s="408">
        <f>SUM(L2221:L2223)</f>
        <v>131410.53</v>
      </c>
      <c r="M2220" s="454">
        <f t="shared" si="383"/>
        <v>0.28366604975324</v>
      </c>
      <c r="N2220" s="796"/>
      <c r="P2220" s="399"/>
    </row>
    <row r="2221" spans="1:16" s="115" customFormat="1" x14ac:dyDescent="0.25">
      <c r="B2221" s="1398" t="s">
        <v>8216</v>
      </c>
      <c r="C2221" s="1398"/>
      <c r="D2221" s="1398"/>
      <c r="E2221" s="854">
        <v>333209300000000</v>
      </c>
      <c r="F2221" s="855" t="s">
        <v>8200</v>
      </c>
      <c r="G2221" s="468">
        <v>1049</v>
      </c>
      <c r="H2221" s="468">
        <v>0</v>
      </c>
      <c r="I2221" s="751"/>
      <c r="J2221" s="878" t="s">
        <v>7926</v>
      </c>
      <c r="K2221" s="789">
        <f>'Parâmetros financeiros Despesa'!E1091</f>
        <v>0</v>
      </c>
      <c r="L2221" s="789">
        <f>'Parâmetros financeiros Despesa'!F1091</f>
        <v>1</v>
      </c>
      <c r="M2221" s="799">
        <f t="shared" si="383"/>
        <v>2.1586249576288904E-6</v>
      </c>
      <c r="N2221" s="894"/>
      <c r="P2221" s="733"/>
    </row>
    <row r="2222" spans="1:16" s="115" customFormat="1" x14ac:dyDescent="0.25">
      <c r="B2222" s="1398" t="s">
        <v>8217</v>
      </c>
      <c r="C2222" s="1398"/>
      <c r="D2222" s="1398"/>
      <c r="E2222" s="854">
        <v>333903900000000</v>
      </c>
      <c r="F2222" s="855" t="s">
        <v>8201</v>
      </c>
      <c r="G2222" s="468">
        <v>1049</v>
      </c>
      <c r="H2222" s="468">
        <v>0</v>
      </c>
      <c r="I2222" s="751"/>
      <c r="J2222" s="878" t="s">
        <v>7926</v>
      </c>
      <c r="K2222" s="789">
        <f>'Parâmetros financeiros Despesa'!E1092</f>
        <v>109792.61666666667</v>
      </c>
      <c r="L2222" s="789">
        <f>'Parâmetros financeiros Despesa'!F1092</f>
        <v>131408.53</v>
      </c>
      <c r="M2222" s="799">
        <f t="shared" si="383"/>
        <v>0.28366173250332477</v>
      </c>
      <c r="N2222" s="894"/>
      <c r="P2222" s="733"/>
    </row>
    <row r="2223" spans="1:16" s="115" customFormat="1" x14ac:dyDescent="0.25">
      <c r="B2223" s="1398" t="s">
        <v>8218</v>
      </c>
      <c r="C2223" s="1398"/>
      <c r="D2223" s="1398"/>
      <c r="E2223" s="854">
        <v>333904700000000</v>
      </c>
      <c r="F2223" s="855" t="s">
        <v>8202</v>
      </c>
      <c r="G2223" s="468">
        <v>1049</v>
      </c>
      <c r="H2223" s="468">
        <v>0</v>
      </c>
      <c r="I2223" s="751"/>
      <c r="J2223" s="878" t="s">
        <v>7926</v>
      </c>
      <c r="K2223" s="789">
        <f>'Parâmetros financeiros Despesa'!E1093</f>
        <v>0</v>
      </c>
      <c r="L2223" s="789">
        <f>'Parâmetros financeiros Despesa'!F1093</f>
        <v>1</v>
      </c>
      <c r="M2223" s="799">
        <f t="shared" si="383"/>
        <v>2.1586249576288904E-6</v>
      </c>
      <c r="N2223" s="894"/>
      <c r="P2223" s="733"/>
    </row>
    <row r="2224" spans="1:16" s="820" customFormat="1" ht="15" customHeight="1" x14ac:dyDescent="0.25">
      <c r="B2224" s="864" t="s">
        <v>22</v>
      </c>
      <c r="C2224" s="864"/>
      <c r="D2224" s="864"/>
      <c r="E2224" s="864"/>
      <c r="F2224" s="864"/>
      <c r="G2224" s="864"/>
      <c r="H2224" s="864"/>
      <c r="I2224" s="864"/>
      <c r="J2224" s="864"/>
      <c r="K2224" s="863">
        <f>K2218+K2211+K2202+K2192</f>
        <v>363298.95500000002</v>
      </c>
      <c r="L2224" s="863">
        <f>L2218+L2211+L2202+L2192</f>
        <v>463257.87</v>
      </c>
      <c r="M2224" s="452">
        <f t="shared" si="383"/>
        <v>1</v>
      </c>
      <c r="N2224" s="796"/>
      <c r="P2224" s="399"/>
    </row>
    <row r="2225" spans="2:16" s="820" customFormat="1" ht="15" customHeight="1" x14ac:dyDescent="0.25">
      <c r="B2225" s="864" t="s">
        <v>11469</v>
      </c>
      <c r="C2225" s="864"/>
      <c r="D2225" s="864"/>
      <c r="E2225" s="864"/>
      <c r="F2225" s="864"/>
      <c r="G2225" s="864"/>
      <c r="H2225" s="864"/>
      <c r="I2225" s="864"/>
      <c r="J2225" s="864"/>
      <c r="K2225" s="863"/>
      <c r="L2225" s="863"/>
      <c r="M2225" s="452"/>
      <c r="N2225" s="796"/>
      <c r="P2225" s="399"/>
    </row>
    <row r="2226" spans="2:16" s="31" customFormat="1" ht="15" customHeight="1" x14ac:dyDescent="0.25">
      <c r="B2226" s="869" t="s">
        <v>745</v>
      </c>
      <c r="C2226" s="869"/>
      <c r="D2226" s="869"/>
      <c r="E2226" s="869"/>
      <c r="F2226" s="869"/>
      <c r="G2226" s="869"/>
      <c r="H2226" s="869"/>
      <c r="I2226" s="869"/>
      <c r="J2226" s="869"/>
      <c r="K2226" s="870">
        <v>1</v>
      </c>
      <c r="L2226" s="870">
        <v>1</v>
      </c>
      <c r="M2226" s="871">
        <f t="shared" ref="M2226:M2230" si="384">L2226/L$2231</f>
        <v>2.1586249576288904E-6</v>
      </c>
      <c r="N2226" s="897"/>
      <c r="P2226" s="736"/>
    </row>
    <row r="2227" spans="2:16" s="31" customFormat="1" ht="15" customHeight="1" x14ac:dyDescent="0.25">
      <c r="B2227" s="869" t="s">
        <v>11511</v>
      </c>
      <c r="C2227" s="869"/>
      <c r="D2227" s="869"/>
      <c r="E2227" s="869"/>
      <c r="F2227" s="869"/>
      <c r="G2227" s="869"/>
      <c r="H2227" s="869"/>
      <c r="I2227" s="869"/>
      <c r="J2227" s="869"/>
      <c r="K2227" s="870">
        <f>K2213</f>
        <v>80430.083333333343</v>
      </c>
      <c r="L2227" s="870">
        <v>47378.26</v>
      </c>
      <c r="M2227" s="871">
        <f t="shared" si="384"/>
        <v>0.10227189448503056</v>
      </c>
      <c r="N2227" s="897"/>
      <c r="P2227" s="736"/>
    </row>
    <row r="2228" spans="2:16" s="31" customFormat="1" ht="15" customHeight="1" x14ac:dyDescent="0.25">
      <c r="B2228" s="869" t="s">
        <v>11512</v>
      </c>
      <c r="C2228" s="869"/>
      <c r="D2228" s="869"/>
      <c r="E2228" s="869"/>
      <c r="F2228" s="869"/>
      <c r="G2228" s="869"/>
      <c r="H2228" s="869"/>
      <c r="I2228" s="869"/>
      <c r="J2228" s="869"/>
      <c r="K2228" s="870">
        <f>K2204</f>
        <v>173076.255</v>
      </c>
      <c r="L2228" s="870">
        <v>279468.08</v>
      </c>
      <c r="M2228" s="871">
        <f t="shared" si="384"/>
        <v>0.60326677234862736</v>
      </c>
      <c r="N2228" s="897"/>
      <c r="P2228" s="736"/>
    </row>
    <row r="2229" spans="2:16" s="31" customFormat="1" ht="15" customHeight="1" x14ac:dyDescent="0.25">
      <c r="B2229" s="869" t="s">
        <v>11513</v>
      </c>
      <c r="C2229" s="869"/>
      <c r="D2229" s="869"/>
      <c r="E2229" s="869"/>
      <c r="F2229" s="869"/>
      <c r="G2229" s="869"/>
      <c r="H2229" s="869"/>
      <c r="I2229" s="869"/>
      <c r="J2229" s="869"/>
      <c r="K2229" s="870">
        <f>K2220</f>
        <v>109792.61666666667</v>
      </c>
      <c r="L2229" s="870">
        <v>131410.53</v>
      </c>
      <c r="M2229" s="871">
        <f t="shared" si="384"/>
        <v>0.28366604975324</v>
      </c>
      <c r="N2229" s="897"/>
      <c r="P2229" s="736"/>
    </row>
    <row r="2230" spans="2:16" s="31" customFormat="1" ht="15" customHeight="1" x14ac:dyDescent="0.25">
      <c r="B2230" s="869" t="s">
        <v>11514</v>
      </c>
      <c r="C2230" s="869"/>
      <c r="D2230" s="869"/>
      <c r="E2230" s="869"/>
      <c r="F2230" s="869"/>
      <c r="G2230" s="869"/>
      <c r="H2230" s="869"/>
      <c r="I2230" s="869"/>
      <c r="J2230" s="869"/>
      <c r="K2230" s="870">
        <v>0</v>
      </c>
      <c r="L2230" s="870">
        <v>5000</v>
      </c>
      <c r="M2230" s="871">
        <f t="shared" si="384"/>
        <v>1.0793124788144452E-2</v>
      </c>
      <c r="N2230" s="897"/>
      <c r="P2230" s="736"/>
    </row>
    <row r="2231" spans="2:16" s="115" customFormat="1" ht="15" customHeight="1" x14ac:dyDescent="0.25">
      <c r="B2231" s="864" t="s">
        <v>2172</v>
      </c>
      <c r="C2231" s="864"/>
      <c r="D2231" s="864"/>
      <c r="E2231" s="864"/>
      <c r="F2231" s="864"/>
      <c r="G2231" s="864"/>
      <c r="H2231" s="864"/>
      <c r="I2231" s="864"/>
      <c r="J2231" s="864"/>
      <c r="K2231" s="863">
        <f>SUM(K2226:K2230)</f>
        <v>363299.95500000002</v>
      </c>
      <c r="L2231" s="863">
        <f>SUM(L2226:L2230)</f>
        <v>463257.87</v>
      </c>
      <c r="M2231" s="452">
        <f>L2231/L$2231</f>
        <v>1</v>
      </c>
      <c r="N2231" s="894"/>
      <c r="P2231" s="733"/>
    </row>
    <row r="2232" spans="2:16" ht="15" customHeight="1" x14ac:dyDescent="0.25">
      <c r="D2232" s="400"/>
      <c r="E2232" s="400"/>
      <c r="F2232" s="400"/>
      <c r="G2232" s="400"/>
      <c r="H2232" s="400"/>
      <c r="I2232" s="400"/>
      <c r="J2232" s="448"/>
      <c r="L2232" s="448"/>
    </row>
    <row r="2233" spans="2:16" s="803" customFormat="1" ht="15" customHeight="1" x14ac:dyDescent="0.25">
      <c r="B2233" s="400"/>
      <c r="C2233" s="400"/>
      <c r="D2233" s="400"/>
      <c r="E2233" s="400"/>
      <c r="F2233" s="400"/>
      <c r="G2233" s="400"/>
      <c r="H2233" s="400"/>
      <c r="I2233" s="400"/>
      <c r="J2233" s="448"/>
      <c r="K2233" s="783"/>
      <c r="L2233" s="448"/>
      <c r="M2233" s="448"/>
      <c r="N2233" s="796"/>
      <c r="P2233" s="399"/>
    </row>
    <row r="2234" spans="2:16" ht="15" customHeight="1" x14ac:dyDescent="0.25">
      <c r="D2234" s="400"/>
      <c r="E2234" s="400"/>
      <c r="F2234" s="400"/>
      <c r="G2234" s="400"/>
      <c r="H2234" s="400"/>
      <c r="I2234" s="400"/>
      <c r="J2234" s="448"/>
      <c r="L2234" s="448"/>
    </row>
    <row r="2235" spans="2:16" x14ac:dyDescent="0.25">
      <c r="D2235" s="400"/>
      <c r="E2235" s="400"/>
      <c r="F2235" s="400"/>
      <c r="G2235" s="400"/>
      <c r="H2235" s="400"/>
      <c r="I2235" s="400"/>
      <c r="J2235" s="448"/>
      <c r="L2235" s="448"/>
    </row>
    <row r="2236" spans="2:16" s="748" customFormat="1" x14ac:dyDescent="0.25">
      <c r="B2236" s="400"/>
      <c r="C2236" s="400"/>
      <c r="D2236" s="400"/>
      <c r="E2236" s="400"/>
      <c r="F2236" s="400"/>
      <c r="G2236" s="400"/>
      <c r="H2236" s="400"/>
      <c r="I2236" s="400"/>
      <c r="J2236" s="448"/>
      <c r="K2236" s="783"/>
      <c r="L2236" s="448"/>
      <c r="M2236" s="448"/>
      <c r="N2236" s="796"/>
      <c r="P2236" s="399"/>
    </row>
    <row r="2237" spans="2:16" ht="15" customHeight="1" x14ac:dyDescent="0.25">
      <c r="D2237" s="400"/>
      <c r="E2237" s="400"/>
      <c r="F2237" s="400"/>
      <c r="G2237" s="400"/>
      <c r="H2237" s="400"/>
      <c r="I2237" s="400"/>
      <c r="J2237" s="448"/>
      <c r="L2237" s="448"/>
    </row>
    <row r="2238" spans="2:16" x14ac:dyDescent="0.25">
      <c r="D2238" s="400"/>
      <c r="E2238" s="400"/>
      <c r="F2238" s="400"/>
      <c r="G2238" s="400"/>
      <c r="H2238" s="400"/>
      <c r="I2238" s="400"/>
      <c r="J2238" s="448"/>
      <c r="L2238" s="448"/>
    </row>
    <row r="2241" spans="1:16" s="435" customFormat="1" ht="15" customHeight="1" x14ac:dyDescent="0.25">
      <c r="B2241" s="744" t="s">
        <v>989</v>
      </c>
      <c r="C2241" s="744"/>
      <c r="D2241" s="481"/>
      <c r="E2241" s="1371" t="s">
        <v>7911</v>
      </c>
      <c r="F2241" s="1371"/>
      <c r="G2241" s="1371"/>
      <c r="H2241" s="1371"/>
      <c r="I2241" s="1371"/>
      <c r="J2241" s="437"/>
      <c r="K2241" s="940"/>
      <c r="L2241" s="438"/>
      <c r="M2241" s="449"/>
      <c r="N2241" s="892"/>
      <c r="P2241" s="732"/>
    </row>
    <row r="2242" spans="1:16" s="435" customFormat="1" ht="15" customHeight="1" x14ac:dyDescent="0.25">
      <c r="B2242" s="744" t="s">
        <v>458</v>
      </c>
      <c r="C2242" s="744"/>
      <c r="D2242" s="481"/>
      <c r="E2242" s="1371" t="s">
        <v>8219</v>
      </c>
      <c r="F2242" s="1371"/>
      <c r="G2242" s="1371"/>
      <c r="H2242" s="1371"/>
      <c r="I2242" s="1371"/>
      <c r="J2242" s="437"/>
      <c r="K2242" s="940"/>
      <c r="L2242" s="438"/>
      <c r="M2242" s="449"/>
      <c r="N2242" s="892"/>
      <c r="P2242" s="732"/>
    </row>
    <row r="2243" spans="1:16" s="435" customFormat="1" ht="15" customHeight="1" x14ac:dyDescent="0.25">
      <c r="B2243" s="745" t="s">
        <v>5764</v>
      </c>
      <c r="C2243" s="745"/>
      <c r="D2243" s="745"/>
      <c r="E2243" s="1371" t="s">
        <v>749</v>
      </c>
      <c r="F2243" s="1371"/>
      <c r="G2243" s="1371"/>
      <c r="H2243" s="1371"/>
      <c r="I2243" s="1371"/>
      <c r="J2243" s="440"/>
      <c r="K2243" s="941"/>
      <c r="L2243" s="438"/>
      <c r="M2243" s="449"/>
      <c r="N2243" s="892"/>
      <c r="P2243" s="732"/>
    </row>
    <row r="2244" spans="1:16" s="851" customFormat="1" ht="113.25" customHeight="1" x14ac:dyDescent="0.25">
      <c r="A2244" s="396"/>
      <c r="B2244" s="1400" t="s">
        <v>2296</v>
      </c>
      <c r="C2244" s="1400"/>
      <c r="D2244" s="1400"/>
      <c r="E2244" s="1384" t="s">
        <v>2297</v>
      </c>
      <c r="F2244" s="1384"/>
      <c r="G2244" s="443" t="s">
        <v>444</v>
      </c>
      <c r="H2244" s="443" t="s">
        <v>2245</v>
      </c>
      <c r="I2244" s="444" t="s">
        <v>5725</v>
      </c>
      <c r="J2244" s="849" t="s">
        <v>2275</v>
      </c>
      <c r="K2244" s="893" t="s">
        <v>11644</v>
      </c>
      <c r="L2244" s="955" t="s">
        <v>11522</v>
      </c>
      <c r="M2244" s="450" t="s">
        <v>235</v>
      </c>
      <c r="N2244" s="796"/>
      <c r="P2244" s="399"/>
    </row>
    <row r="2245" spans="1:16" s="748" customFormat="1" ht="15" customHeight="1" x14ac:dyDescent="0.25">
      <c r="B2245" s="1385" t="s">
        <v>7913</v>
      </c>
      <c r="C2245" s="1385"/>
      <c r="D2245" s="1385"/>
      <c r="E2245" s="1385"/>
      <c r="F2245" s="1385"/>
      <c r="G2245" s="401"/>
      <c r="H2245" s="401"/>
      <c r="I2245" s="426"/>
      <c r="J2245" s="411"/>
      <c r="K2245" s="402">
        <f t="shared" ref="K2245:L2247" si="385">K2246</f>
        <v>66824.748250000004</v>
      </c>
      <c r="L2245" s="402">
        <f t="shared" si="385"/>
        <v>83456.606906447472</v>
      </c>
      <c r="M2245" s="451" t="e">
        <f>L2245/#REF!</f>
        <v>#REF!</v>
      </c>
      <c r="N2245" s="796"/>
      <c r="P2245" s="399"/>
    </row>
    <row r="2246" spans="1:16" s="748" customFormat="1" ht="15" customHeight="1" x14ac:dyDescent="0.25">
      <c r="B2246" s="1386" t="s">
        <v>8031</v>
      </c>
      <c r="C2246" s="1386"/>
      <c r="D2246" s="1386"/>
      <c r="E2246" s="1386"/>
      <c r="F2246" s="1386"/>
      <c r="G2246" s="403"/>
      <c r="H2246" s="403"/>
      <c r="I2246" s="427"/>
      <c r="J2246" s="412"/>
      <c r="K2246" s="404">
        <f t="shared" si="385"/>
        <v>66824.748250000004</v>
      </c>
      <c r="L2246" s="404">
        <f t="shared" si="385"/>
        <v>83456.606906447472</v>
      </c>
      <c r="M2246" s="452" t="e">
        <f>L2246/#REF!</f>
        <v>#REF!</v>
      </c>
      <c r="N2246" s="796"/>
      <c r="P2246" s="399"/>
    </row>
    <row r="2247" spans="1:16" s="748" customFormat="1" x14ac:dyDescent="0.25">
      <c r="B2247" s="1382" t="s">
        <v>7914</v>
      </c>
      <c r="C2247" s="1382"/>
      <c r="D2247" s="1382"/>
      <c r="E2247" s="1382"/>
      <c r="F2247" s="1382"/>
      <c r="G2247" s="405"/>
      <c r="H2247" s="405"/>
      <c r="I2247" s="428"/>
      <c r="J2247" s="413"/>
      <c r="K2247" s="406">
        <f t="shared" si="385"/>
        <v>66824.748250000004</v>
      </c>
      <c r="L2247" s="406">
        <f t="shared" si="385"/>
        <v>83456.606906447472</v>
      </c>
      <c r="M2247" s="453" t="e">
        <f>L2247/#REF!</f>
        <v>#REF!</v>
      </c>
      <c r="N2247" s="796"/>
      <c r="P2247" s="399"/>
    </row>
    <row r="2248" spans="1:16" s="748" customFormat="1" x14ac:dyDescent="0.25">
      <c r="B2248" s="1383" t="s">
        <v>7927</v>
      </c>
      <c r="C2248" s="1383"/>
      <c r="D2248" s="1383"/>
      <c r="E2248" s="1383"/>
      <c r="F2248" s="1383"/>
      <c r="G2248" s="407"/>
      <c r="H2248" s="407"/>
      <c r="I2248" s="429"/>
      <c r="J2248" s="414"/>
      <c r="K2248" s="408">
        <f>SUM(K2249:K2259)+K2264+K2266+K2268</f>
        <v>66824.748250000004</v>
      </c>
      <c r="L2248" s="408">
        <f>SUM(L2249:L2259)+L2264+L2266+L2268+0.01</f>
        <v>83456.606906447472</v>
      </c>
      <c r="M2248" s="454" t="e">
        <f>L2248/#REF!</f>
        <v>#REF!</v>
      </c>
      <c r="N2248" s="796"/>
      <c r="P2248" s="399"/>
    </row>
    <row r="2249" spans="1:16" s="115" customFormat="1" x14ac:dyDescent="0.25">
      <c r="B2249" s="1406" t="s">
        <v>8220</v>
      </c>
      <c r="C2249" s="1406"/>
      <c r="D2249" s="1406"/>
      <c r="E2249" s="424">
        <v>331900400000000</v>
      </c>
      <c r="F2249" s="425" t="s">
        <v>10557</v>
      </c>
      <c r="G2249" s="409">
        <v>1</v>
      </c>
      <c r="H2249" s="409">
        <v>0</v>
      </c>
      <c r="I2249" s="430"/>
      <c r="J2249" s="415" t="s">
        <v>7926</v>
      </c>
      <c r="K2249" s="410">
        <f>(('Parâmetros financeiros Despesa'!E$1097))</f>
        <v>0</v>
      </c>
      <c r="L2249" s="410">
        <f>(('Parâmetros financeiros Despesa'!F$1097)*2.05+(('Parâmetros financeiros Despesa'!F$1097)*11.28)*(1+'Parâmetros financeiros Despesa'!F$4)*(1+'Parâmetros financeiros Despesa'!F$8))*(1+'Parâmetros financeiros Despesa'!F$80)</f>
        <v>17.278630081629636</v>
      </c>
      <c r="M2249" s="455" t="e">
        <f>L2249/#REF!</f>
        <v>#REF!</v>
      </c>
      <c r="N2249" s="894"/>
      <c r="P2249" s="733"/>
    </row>
    <row r="2250" spans="1:16" s="115" customFormat="1" x14ac:dyDescent="0.25">
      <c r="B2250" s="1406" t="s">
        <v>8221</v>
      </c>
      <c r="C2250" s="1406"/>
      <c r="D2250" s="1406"/>
      <c r="E2250" s="424">
        <v>331901100000000</v>
      </c>
      <c r="F2250" s="425" t="s">
        <v>10658</v>
      </c>
      <c r="G2250" s="409">
        <v>1</v>
      </c>
      <c r="H2250" s="409">
        <v>0</v>
      </c>
      <c r="I2250" s="430"/>
      <c r="J2250" s="415" t="s">
        <v>7926</v>
      </c>
      <c r="K2250" s="410">
        <f>('Parâmetros financeiros Despesa'!E$1098)</f>
        <v>32018.66</v>
      </c>
      <c r="L2250" s="410">
        <f>('Parâmetros financeiros Despesa'!F$1098)*2.05+(('Parâmetros financeiros Despesa'!F$1098)*11.28)*(1+'Parâmetros financeiros Despesa'!F$4)*(1+'Parâmetros financeiros Despesa'!F$8)</f>
        <v>39180.436064605703</v>
      </c>
      <c r="M2250" s="455" t="e">
        <f>L2250/#REF!</f>
        <v>#REF!</v>
      </c>
      <c r="N2250" s="894"/>
      <c r="P2250" s="733"/>
    </row>
    <row r="2251" spans="1:16" s="115" customFormat="1" x14ac:dyDescent="0.25">
      <c r="B2251" s="1406" t="s">
        <v>8222</v>
      </c>
      <c r="C2251" s="1406"/>
      <c r="D2251" s="1406"/>
      <c r="E2251" s="424">
        <v>331901300000000</v>
      </c>
      <c r="F2251" s="425" t="s">
        <v>10649</v>
      </c>
      <c r="G2251" s="409">
        <v>1</v>
      </c>
      <c r="H2251" s="409">
        <v>0</v>
      </c>
      <c r="I2251" s="430"/>
      <c r="J2251" s="415" t="s">
        <v>7926</v>
      </c>
      <c r="K2251" s="410">
        <f>'Parâmetros financeiros Despesa'!E1099</f>
        <v>6032.1582499999995</v>
      </c>
      <c r="L2251" s="410">
        <f>(L2252+L2250)*'Parâmetros financeiros Despesa'!F$80</f>
        <v>9331.9495438876365</v>
      </c>
      <c r="M2251" s="455" t="e">
        <f>L2251/#REF!</f>
        <v>#REF!</v>
      </c>
      <c r="N2251" s="894"/>
      <c r="P2251" s="733"/>
    </row>
    <row r="2252" spans="1:16" s="115" customFormat="1" x14ac:dyDescent="0.25">
      <c r="B2252" s="1406" t="s">
        <v>8223</v>
      </c>
      <c r="C2252" s="1406"/>
      <c r="D2252" s="1406"/>
      <c r="E2252" s="424">
        <v>331901600000000</v>
      </c>
      <c r="F2252" s="425" t="s">
        <v>10650</v>
      </c>
      <c r="G2252" s="409">
        <v>1</v>
      </c>
      <c r="H2252" s="409">
        <v>0</v>
      </c>
      <c r="I2252" s="430"/>
      <c r="J2252" s="415" t="s">
        <v>7926</v>
      </c>
      <c r="K2252" s="410">
        <f>('Parâmetros financeiros Despesa'!E$1100)</f>
        <v>0</v>
      </c>
      <c r="L2252" s="410">
        <f>('Parâmetros financeiros Despesa'!F$1100)*2.05+(('Parâmetros financeiros Despesa'!F$1100)*11.28)*(1+'Parâmetros financeiros Despesa'!F$4)*(1+'Parâmetros financeiros Despesa'!F$8)</f>
        <v>13.955830560223728</v>
      </c>
      <c r="M2252" s="455" t="e">
        <f>L2252/#REF!</f>
        <v>#REF!</v>
      </c>
      <c r="N2252" s="894"/>
      <c r="P2252" s="733"/>
    </row>
    <row r="2253" spans="1:16" s="115" customFormat="1" x14ac:dyDescent="0.25">
      <c r="B2253" s="1406" t="s">
        <v>8224</v>
      </c>
      <c r="C2253" s="1406"/>
      <c r="D2253" s="1406"/>
      <c r="E2253" s="424">
        <v>333901400000000</v>
      </c>
      <c r="F2253" s="425" t="s">
        <v>10651</v>
      </c>
      <c r="G2253" s="409">
        <v>1</v>
      </c>
      <c r="H2253" s="409">
        <v>0</v>
      </c>
      <c r="I2253" s="430"/>
      <c r="J2253" s="415" t="s">
        <v>7926</v>
      </c>
      <c r="K2253" s="410">
        <f>('Parâmetros financeiros Despesa'!E$1101)</f>
        <v>0</v>
      </c>
      <c r="L2253" s="410">
        <f>('Parâmetros financeiros Despesa'!F$1101)*2+(('Parâmetros financeiros Despesa'!F$1101)*10)*(1+'Parâmetros financeiros Despesa'!F$4)*(1+'Parâmetros financeiros Despesa'!F$8)</f>
        <v>903.94663150364215</v>
      </c>
      <c r="M2253" s="455" t="e">
        <f>L2253/#REF!</f>
        <v>#REF!</v>
      </c>
      <c r="N2253" s="894"/>
      <c r="O2253" s="796"/>
      <c r="P2253" s="733"/>
    </row>
    <row r="2254" spans="1:16" s="115" customFormat="1" x14ac:dyDescent="0.25">
      <c r="B2254" s="1407">
        <v>430500</v>
      </c>
      <c r="C2254" s="1407"/>
      <c r="D2254" s="1407"/>
      <c r="E2254" s="424">
        <v>333903000000000</v>
      </c>
      <c r="F2254" s="425" t="s">
        <v>10652</v>
      </c>
      <c r="G2254" s="409">
        <v>1</v>
      </c>
      <c r="H2254" s="409">
        <v>0</v>
      </c>
      <c r="I2254" s="430"/>
      <c r="J2254" s="415" t="s">
        <v>7926</v>
      </c>
      <c r="K2254" s="410">
        <f>('Parâmetros financeiros Despesa'!E1102)</f>
        <v>11208.39</v>
      </c>
      <c r="L2254" s="410">
        <f>('Parâmetros financeiros Despesa'!F1102)*(1+'Parâmetros financeiros Despesa'!F$4)*(1+'Parâmetros financeiros Despesa'!F$7)</f>
        <v>12220.860681284999</v>
      </c>
      <c r="M2254" s="455" t="e">
        <f>L2254/#REF!</f>
        <v>#REF!</v>
      </c>
      <c r="N2254" s="894"/>
      <c r="O2254" s="796"/>
      <c r="P2254" s="733"/>
    </row>
    <row r="2255" spans="1:16" s="115" customFormat="1" x14ac:dyDescent="0.25">
      <c r="B2255" s="1407">
        <v>430600</v>
      </c>
      <c r="C2255" s="1407"/>
      <c r="D2255" s="1407"/>
      <c r="E2255" s="424">
        <v>333903200000000</v>
      </c>
      <c r="F2255" s="425" t="s">
        <v>10653</v>
      </c>
      <c r="G2255" s="409">
        <v>1</v>
      </c>
      <c r="H2255" s="409">
        <v>0</v>
      </c>
      <c r="I2255" s="430"/>
      <c r="J2255" s="415" t="s">
        <v>7926</v>
      </c>
      <c r="K2255" s="410">
        <f>('Parâmetros financeiros Despesa'!E1103)</f>
        <v>0</v>
      </c>
      <c r="L2255" s="410">
        <f>('Parâmetros financeiros Despesa'!F1103)*(1+'Parâmetros financeiros Despesa'!F$4)*(1+'Parâmetros financeiros Despesa'!F$7)</f>
        <v>1.0903315</v>
      </c>
      <c r="M2255" s="455" t="e">
        <f>L2255/#REF!</f>
        <v>#REF!</v>
      </c>
      <c r="N2255" s="894"/>
      <c r="O2255" s="796"/>
      <c r="P2255" s="733"/>
    </row>
    <row r="2256" spans="1:16" s="115" customFormat="1" x14ac:dyDescent="0.25">
      <c r="B2256" s="1407">
        <v>430700</v>
      </c>
      <c r="C2256" s="1407"/>
      <c r="D2256" s="1407"/>
      <c r="E2256" s="424">
        <v>333903300000000</v>
      </c>
      <c r="F2256" s="425" t="s">
        <v>10570</v>
      </c>
      <c r="G2256" s="409">
        <v>1</v>
      </c>
      <c r="H2256" s="409">
        <v>0</v>
      </c>
      <c r="I2256" s="430"/>
      <c r="J2256" s="415" t="s">
        <v>7926</v>
      </c>
      <c r="K2256" s="410">
        <f>('Parâmetros financeiros Despesa'!E1104)</f>
        <v>0</v>
      </c>
      <c r="L2256" s="410">
        <f>('Parâmetros financeiros Despesa'!F1104)*(1+'Parâmetros financeiros Despesa'!F$4)*(1+'Parâmetros financeiros Despesa'!F$7)</f>
        <v>109.03315000000001</v>
      </c>
      <c r="M2256" s="455" t="e">
        <f>L2256/#REF!</f>
        <v>#REF!</v>
      </c>
      <c r="N2256" s="894"/>
      <c r="O2256" s="796"/>
      <c r="P2256" s="733"/>
    </row>
    <row r="2257" spans="2:16" s="115" customFormat="1" x14ac:dyDescent="0.25">
      <c r="B2257" s="1406" t="s">
        <v>8225</v>
      </c>
      <c r="C2257" s="1406"/>
      <c r="D2257" s="1406"/>
      <c r="E2257" s="424">
        <v>333903600000000</v>
      </c>
      <c r="F2257" s="425" t="s">
        <v>10654</v>
      </c>
      <c r="G2257" s="409">
        <v>1</v>
      </c>
      <c r="H2257" s="409">
        <v>0</v>
      </c>
      <c r="I2257" s="430"/>
      <c r="J2257" s="415" t="s">
        <v>7926</v>
      </c>
      <c r="K2257" s="410">
        <f>('Parâmetros financeiros Despesa'!E1105)</f>
        <v>0</v>
      </c>
      <c r="L2257" s="410">
        <f>('Parâmetros financeiros Despesa'!F1105)*(1+'Parâmetros financeiros Despesa'!F$4)*(1+'Parâmetros financeiros Despesa'!F$7)</f>
        <v>545.16575</v>
      </c>
      <c r="M2257" s="455" t="e">
        <f>L2257/#REF!</f>
        <v>#REF!</v>
      </c>
      <c r="N2257" s="894"/>
      <c r="O2257" s="796"/>
      <c r="P2257" s="733"/>
    </row>
    <row r="2258" spans="2:16" s="115" customFormat="1" x14ac:dyDescent="0.25">
      <c r="B2258" s="1406" t="s">
        <v>8226</v>
      </c>
      <c r="C2258" s="1406"/>
      <c r="D2258" s="1406"/>
      <c r="E2258" s="424">
        <v>333903900000000</v>
      </c>
      <c r="F2258" s="425" t="s">
        <v>10655</v>
      </c>
      <c r="G2258" s="409">
        <v>1</v>
      </c>
      <c r="H2258" s="409">
        <v>0</v>
      </c>
      <c r="I2258" s="430"/>
      <c r="J2258" s="415" t="s">
        <v>7926</v>
      </c>
      <c r="K2258" s="410">
        <f>('Parâmetros financeiros Despesa'!E1106)</f>
        <v>16349.130000000001</v>
      </c>
      <c r="L2258" s="410">
        <f>('Parâmetros financeiros Despesa'!F1106)*(1+'Parâmetros financeiros Despesa'!F$4)*(1+'Parâmetros financeiros Despesa'!F$7)</f>
        <v>17825.971436595002</v>
      </c>
      <c r="M2258" s="455" t="e">
        <f>L2258/#REF!</f>
        <v>#REF!</v>
      </c>
      <c r="N2258" s="894"/>
      <c r="O2258" s="796"/>
      <c r="P2258" s="733"/>
    </row>
    <row r="2259" spans="2:16" s="115" customFormat="1" x14ac:dyDescent="0.25">
      <c r="B2259" s="1406" t="s">
        <v>8227</v>
      </c>
      <c r="C2259" s="1406"/>
      <c r="D2259" s="1406"/>
      <c r="E2259" s="424">
        <v>333904700000000</v>
      </c>
      <c r="F2259" s="425" t="s">
        <v>10656</v>
      </c>
      <c r="G2259" s="409">
        <v>1</v>
      </c>
      <c r="H2259" s="409">
        <v>0</v>
      </c>
      <c r="I2259" s="430"/>
      <c r="J2259" s="415" t="s">
        <v>7926</v>
      </c>
      <c r="K2259" s="410">
        <f>'Parâmetros financeiros Despesa'!E1107</f>
        <v>235.875</v>
      </c>
      <c r="L2259" s="410">
        <f>(('Parâmetros financeiros Despesa'!F1105)*(1+'Parâmetros financeiros Despesa'!F$4)*(1+'Parâmetros financeiros Despesa'!F$7))*('Parâmetros financeiros Despesa'!F$83)</f>
        <v>109.03315000000001</v>
      </c>
      <c r="M2259" s="455" t="e">
        <f>L2259/#REF!</f>
        <v>#REF!</v>
      </c>
      <c r="N2259" s="894"/>
      <c r="O2259" s="796"/>
      <c r="P2259" s="733"/>
    </row>
    <row r="2260" spans="2:16" s="748" customFormat="1" x14ac:dyDescent="0.25">
      <c r="B2260" s="599">
        <f>B2259+1</f>
        <v>431001</v>
      </c>
      <c r="C2260" s="600" t="s">
        <v>6062</v>
      </c>
      <c r="D2260" s="528" t="str">
        <f>B2259</f>
        <v>431000</v>
      </c>
      <c r="E2260" s="417">
        <v>333904718000000</v>
      </c>
      <c r="F2260" s="418" t="s">
        <v>5904</v>
      </c>
      <c r="G2260" s="603">
        <v>1</v>
      </c>
      <c r="H2260" s="603">
        <v>0</v>
      </c>
      <c r="I2260" s="601">
        <v>372110400000000</v>
      </c>
      <c r="J2260" s="602"/>
      <c r="K2260" s="891">
        <v>0</v>
      </c>
      <c r="L2260" s="747">
        <v>0</v>
      </c>
      <c r="M2260" s="746" t="e">
        <f>L2260/#REF!</f>
        <v>#REF!</v>
      </c>
      <c r="N2260" s="796"/>
      <c r="P2260" s="399"/>
    </row>
    <row r="2261" spans="2:16" s="748" customFormat="1" x14ac:dyDescent="0.25">
      <c r="B2261" s="599">
        <f>B2260+1</f>
        <v>431002</v>
      </c>
      <c r="C2261" s="600" t="s">
        <v>6062</v>
      </c>
      <c r="D2261" s="528" t="str">
        <f>D2260</f>
        <v>431000</v>
      </c>
      <c r="E2261" s="417">
        <v>333904718000000</v>
      </c>
      <c r="F2261" s="418" t="s">
        <v>6917</v>
      </c>
      <c r="G2261" s="603">
        <v>1</v>
      </c>
      <c r="H2261" s="603">
        <v>0</v>
      </c>
      <c r="I2261" s="601">
        <v>372110400000000</v>
      </c>
      <c r="J2261" s="602"/>
      <c r="K2261" s="891">
        <v>0</v>
      </c>
      <c r="L2261" s="747">
        <v>0</v>
      </c>
      <c r="M2261" s="746"/>
      <c r="N2261" s="796"/>
      <c r="P2261" s="399"/>
    </row>
    <row r="2262" spans="2:16" s="748" customFormat="1" x14ac:dyDescent="0.25">
      <c r="B2262" s="599">
        <f>B2261+1</f>
        <v>431003</v>
      </c>
      <c r="C2262" s="600" t="s">
        <v>6062</v>
      </c>
      <c r="D2262" s="528" t="str">
        <f>D2261</f>
        <v>431000</v>
      </c>
      <c r="E2262" s="417">
        <v>333904720000000</v>
      </c>
      <c r="F2262" s="418" t="s">
        <v>5905</v>
      </c>
      <c r="G2262" s="603">
        <v>1</v>
      </c>
      <c r="H2262" s="603">
        <v>0</v>
      </c>
      <c r="I2262" s="601">
        <v>372110500000000</v>
      </c>
      <c r="J2262" s="602"/>
      <c r="K2262" s="891">
        <v>0</v>
      </c>
      <c r="L2262" s="747">
        <v>0</v>
      </c>
      <c r="M2262" s="746" t="e">
        <f>L2262/#REF!</f>
        <v>#REF!</v>
      </c>
      <c r="N2262" s="796"/>
      <c r="P2262" s="399"/>
    </row>
    <row r="2263" spans="2:16" s="748" customFormat="1" x14ac:dyDescent="0.25">
      <c r="B2263" s="599">
        <f>B2262+1</f>
        <v>431004</v>
      </c>
      <c r="C2263" s="600" t="s">
        <v>6062</v>
      </c>
      <c r="D2263" s="528" t="str">
        <f>D2262</f>
        <v>431000</v>
      </c>
      <c r="E2263" s="417">
        <v>333904720000000</v>
      </c>
      <c r="F2263" s="418" t="s">
        <v>6918</v>
      </c>
      <c r="G2263" s="603">
        <v>1</v>
      </c>
      <c r="H2263" s="603">
        <v>0</v>
      </c>
      <c r="I2263" s="601">
        <v>372110500000000</v>
      </c>
      <c r="J2263" s="602"/>
      <c r="K2263" s="891">
        <v>0</v>
      </c>
      <c r="L2263" s="747">
        <v>0</v>
      </c>
      <c r="M2263" s="746" t="e">
        <f>L2263/#REF!</f>
        <v>#REF!</v>
      </c>
      <c r="N2263" s="796"/>
      <c r="P2263" s="399"/>
    </row>
    <row r="2264" spans="2:16" s="115" customFormat="1" x14ac:dyDescent="0.25">
      <c r="B2264" s="1406" t="s">
        <v>8228</v>
      </c>
      <c r="C2264" s="1406"/>
      <c r="D2264" s="1406"/>
      <c r="E2264" s="424">
        <v>333904900000000</v>
      </c>
      <c r="F2264" s="425" t="s">
        <v>10566</v>
      </c>
      <c r="G2264" s="409">
        <v>1</v>
      </c>
      <c r="H2264" s="409">
        <v>0</v>
      </c>
      <c r="I2264" s="430"/>
      <c r="J2264" s="415" t="s">
        <v>7926</v>
      </c>
      <c r="K2264" s="410">
        <f>('Parâmetros financeiros Despesa'!E$1108)</f>
        <v>980.53500000000008</v>
      </c>
      <c r="L2264" s="410">
        <f>('Parâmetros financeiros Despesa'!F$1108)*2+(('Parâmetros financeiros Despesa'!F$1108)*10)*(1+'Parâmetros financeiros Despesa'!F$4)*(1+'Parâmetros financeiros Despesa'!F$8)</f>
        <v>1453.3453064286336</v>
      </c>
      <c r="M2264" s="455" t="e">
        <f>L2264/#REF!</f>
        <v>#REF!</v>
      </c>
      <c r="N2264" s="894"/>
      <c r="O2264" s="796"/>
      <c r="P2264" s="733"/>
    </row>
    <row r="2265" spans="2:16" s="748" customFormat="1" x14ac:dyDescent="0.25">
      <c r="B2265" s="599">
        <f>B2264+1</f>
        <v>431101</v>
      </c>
      <c r="C2265" s="600" t="s">
        <v>6062</v>
      </c>
      <c r="D2265" s="528" t="str">
        <f>B2264</f>
        <v>431100</v>
      </c>
      <c r="E2265" s="417">
        <v>333904901000000</v>
      </c>
      <c r="F2265" s="418" t="s">
        <v>6042</v>
      </c>
      <c r="G2265" s="603">
        <v>1</v>
      </c>
      <c r="H2265" s="603">
        <v>0</v>
      </c>
      <c r="I2265" s="601">
        <v>313110200000000</v>
      </c>
      <c r="J2265" s="602"/>
      <c r="K2265" s="891">
        <v>0</v>
      </c>
      <c r="L2265" s="747">
        <v>0</v>
      </c>
      <c r="M2265" s="746" t="e">
        <f>L2265/#REF!</f>
        <v>#REF!</v>
      </c>
      <c r="N2265" s="796"/>
      <c r="P2265" s="399"/>
    </row>
    <row r="2266" spans="2:16" s="115" customFormat="1" x14ac:dyDescent="0.25">
      <c r="B2266" s="1406" t="s">
        <v>8229</v>
      </c>
      <c r="C2266" s="1406"/>
      <c r="D2266" s="1406"/>
      <c r="E2266" s="424">
        <v>333909300000000</v>
      </c>
      <c r="F2266" s="425" t="s">
        <v>10567</v>
      </c>
      <c r="G2266" s="409">
        <v>1</v>
      </c>
      <c r="H2266" s="409">
        <v>0</v>
      </c>
      <c r="I2266" s="430"/>
      <c r="J2266" s="415" t="s">
        <v>7926</v>
      </c>
      <c r="K2266" s="410">
        <f>('Parâmetros financeiros Despesa'!E1109)</f>
        <v>0</v>
      </c>
      <c r="L2266" s="410">
        <f>('Parâmetros financeiros Despesa'!F1109)*(1+'Parâmetros financeiros Despesa'!F$4)*(1+'Parâmetros financeiros Despesa'!F$7)</f>
        <v>109.03315000000001</v>
      </c>
      <c r="M2266" s="455" t="e">
        <f>L2266/#REF!</f>
        <v>#REF!</v>
      </c>
      <c r="N2266" s="894"/>
      <c r="O2266" s="796"/>
      <c r="P2266" s="733"/>
    </row>
    <row r="2267" spans="2:16" s="748" customFormat="1" x14ac:dyDescent="0.25">
      <c r="B2267" s="599">
        <f>B2266+1</f>
        <v>431201</v>
      </c>
      <c r="C2267" s="600" t="s">
        <v>6062</v>
      </c>
      <c r="D2267" s="528" t="str">
        <f>B2266</f>
        <v>431200</v>
      </c>
      <c r="E2267" s="417">
        <v>333909399000000</v>
      </c>
      <c r="F2267" s="418" t="s">
        <v>1038</v>
      </c>
      <c r="G2267" s="603">
        <v>1</v>
      </c>
      <c r="H2267" s="603">
        <v>0</v>
      </c>
      <c r="I2267" s="601">
        <v>399910300000000</v>
      </c>
      <c r="J2267" s="602"/>
      <c r="K2267" s="891">
        <v>0</v>
      </c>
      <c r="L2267" s="747">
        <v>0</v>
      </c>
      <c r="M2267" s="746" t="e">
        <f>L2267/#REF!</f>
        <v>#REF!</v>
      </c>
      <c r="N2267" s="796"/>
      <c r="P2267" s="399"/>
    </row>
    <row r="2268" spans="2:16" s="115" customFormat="1" ht="30" x14ac:dyDescent="0.25">
      <c r="B2268" s="1406" t="s">
        <v>8230</v>
      </c>
      <c r="C2268" s="1406"/>
      <c r="D2268" s="1406"/>
      <c r="E2268" s="424">
        <v>333933000000000</v>
      </c>
      <c r="F2268" s="425" t="s">
        <v>10657</v>
      </c>
      <c r="G2268" s="409">
        <v>1</v>
      </c>
      <c r="H2268" s="409">
        <v>0</v>
      </c>
      <c r="I2268" s="430"/>
      <c r="J2268" s="415" t="s">
        <v>6197</v>
      </c>
      <c r="K2268" s="410">
        <f>('Parâmetros financeiros Despesa'!E1110)</f>
        <v>0</v>
      </c>
      <c r="L2268" s="410">
        <f>('Parâmetros financeiros Despesa'!F1110)*(1+'Parâmetros financeiros Despesa'!F$4)*(1+'Parâmetros financeiros Despesa'!F$7)</f>
        <v>1635.4972500000001</v>
      </c>
      <c r="M2268" s="455" t="e">
        <f>L2268/#REF!</f>
        <v>#REF!</v>
      </c>
      <c r="N2268" s="894"/>
      <c r="O2268" s="796"/>
      <c r="P2268" s="733"/>
    </row>
    <row r="2269" spans="2:16" s="748" customFormat="1" x14ac:dyDescent="0.25">
      <c r="B2269" s="599">
        <f>B2268+1</f>
        <v>431301</v>
      </c>
      <c r="C2269" s="600" t="s">
        <v>6062</v>
      </c>
      <c r="D2269" s="528" t="str">
        <f>B2268</f>
        <v>431300</v>
      </c>
      <c r="E2269" s="417">
        <v>333933002000000</v>
      </c>
      <c r="F2269" s="418" t="s">
        <v>6199</v>
      </c>
      <c r="G2269" s="603">
        <v>1</v>
      </c>
      <c r="H2269" s="603">
        <v>0</v>
      </c>
      <c r="I2269" s="601">
        <v>35</v>
      </c>
      <c r="J2269" s="602"/>
      <c r="K2269" s="891">
        <v>0</v>
      </c>
      <c r="L2269" s="747">
        <v>0</v>
      </c>
      <c r="M2269" s="746" t="e">
        <f>L2269/#REF!</f>
        <v>#REF!</v>
      </c>
      <c r="N2269" s="796"/>
      <c r="P2269" s="399"/>
    </row>
    <row r="2270" spans="2:16" s="748" customFormat="1" ht="15" customHeight="1" x14ac:dyDescent="0.25">
      <c r="B2270" s="1385" t="s">
        <v>7988</v>
      </c>
      <c r="C2270" s="1385"/>
      <c r="D2270" s="1385"/>
      <c r="E2270" s="1385"/>
      <c r="F2270" s="1385"/>
      <c r="G2270" s="401"/>
      <c r="H2270" s="401">
        <v>0</v>
      </c>
      <c r="I2270" s="426"/>
      <c r="J2270" s="411">
        <v>0</v>
      </c>
      <c r="K2270" s="402">
        <f t="shared" ref="K2270:L2273" si="386">K2271</f>
        <v>12237.076923076922</v>
      </c>
      <c r="L2270" s="402">
        <f t="shared" si="386"/>
        <v>13342.470437153846</v>
      </c>
      <c r="M2270" s="451" t="e">
        <f>L2270/#REF!</f>
        <v>#REF!</v>
      </c>
      <c r="N2270" s="796"/>
      <c r="P2270" s="399"/>
    </row>
    <row r="2271" spans="2:16" s="748" customFormat="1" ht="15" customHeight="1" x14ac:dyDescent="0.25">
      <c r="B2271" s="1386" t="s">
        <v>8137</v>
      </c>
      <c r="C2271" s="1386"/>
      <c r="D2271" s="1386"/>
      <c r="E2271" s="1386"/>
      <c r="F2271" s="1386"/>
      <c r="G2271" s="403"/>
      <c r="H2271" s="403">
        <v>0</v>
      </c>
      <c r="I2271" s="427"/>
      <c r="J2271" s="412">
        <v>0</v>
      </c>
      <c r="K2271" s="404">
        <f t="shared" si="386"/>
        <v>12237.076923076922</v>
      </c>
      <c r="L2271" s="404">
        <f t="shared" si="386"/>
        <v>13342.470437153846</v>
      </c>
      <c r="M2271" s="452" t="e">
        <f>L2271/#REF!</f>
        <v>#REF!</v>
      </c>
      <c r="N2271" s="796"/>
      <c r="P2271" s="399"/>
    </row>
    <row r="2272" spans="2:16" s="748" customFormat="1" x14ac:dyDescent="0.25">
      <c r="B2272" s="1382" t="s">
        <v>7914</v>
      </c>
      <c r="C2272" s="1382"/>
      <c r="D2272" s="1382"/>
      <c r="E2272" s="1382"/>
      <c r="F2272" s="1382"/>
      <c r="G2272" s="405"/>
      <c r="H2272" s="405">
        <v>0</v>
      </c>
      <c r="I2272" s="428"/>
      <c r="J2272" s="413">
        <v>0</v>
      </c>
      <c r="K2272" s="406">
        <f t="shared" si="386"/>
        <v>12237.076923076922</v>
      </c>
      <c r="L2272" s="406">
        <f t="shared" si="386"/>
        <v>13342.470437153846</v>
      </c>
      <c r="M2272" s="453" t="e">
        <f>L2272/#REF!</f>
        <v>#REF!</v>
      </c>
      <c r="N2272" s="796"/>
      <c r="P2272" s="399"/>
    </row>
    <row r="2273" spans="2:16" s="748" customFormat="1" x14ac:dyDescent="0.25">
      <c r="B2273" s="1383" t="s">
        <v>7298</v>
      </c>
      <c r="C2273" s="1383"/>
      <c r="D2273" s="1383"/>
      <c r="E2273" s="1383"/>
      <c r="F2273" s="1383"/>
      <c r="G2273" s="407"/>
      <c r="H2273" s="407">
        <v>0</v>
      </c>
      <c r="I2273" s="429"/>
      <c r="J2273" s="414">
        <v>0</v>
      </c>
      <c r="K2273" s="408">
        <f t="shared" si="386"/>
        <v>12237.076923076922</v>
      </c>
      <c r="L2273" s="408">
        <f t="shared" si="386"/>
        <v>13342.470437153846</v>
      </c>
      <c r="M2273" s="454" t="e">
        <f>L2273/#REF!</f>
        <v>#REF!</v>
      </c>
      <c r="N2273" s="796"/>
      <c r="P2273" s="399"/>
    </row>
    <row r="2274" spans="2:16" s="115" customFormat="1" x14ac:dyDescent="0.25">
      <c r="B2274" s="1406" t="s">
        <v>8232</v>
      </c>
      <c r="C2274" s="1406"/>
      <c r="D2274" s="1406"/>
      <c r="E2274" s="424">
        <v>333903900000000</v>
      </c>
      <c r="F2274" s="425" t="s">
        <v>8248</v>
      </c>
      <c r="G2274" s="409">
        <v>1</v>
      </c>
      <c r="H2274" s="409">
        <v>0</v>
      </c>
      <c r="I2274" s="430"/>
      <c r="J2274" s="415" t="s">
        <v>7926</v>
      </c>
      <c r="K2274" s="410">
        <f>('Parâmetros financeiros Despesa'!E1112)</f>
        <v>12237.076923076922</v>
      </c>
      <c r="L2274" s="410">
        <f>('Parâmetros financeiros Despesa'!F1112)*(1+'Parâmetros financeiros Despesa'!F$4)*(1+'Parâmetros financeiros Despesa'!F$7)</f>
        <v>13342.470437153846</v>
      </c>
      <c r="M2274" s="455" t="e">
        <f>L2274/#REF!</f>
        <v>#REF!</v>
      </c>
      <c r="N2274" s="894"/>
      <c r="O2274" s="796"/>
      <c r="P2274" s="733"/>
    </row>
    <row r="2275" spans="2:16" s="748" customFormat="1" ht="15" customHeight="1" x14ac:dyDescent="0.25">
      <c r="B2275" s="1385" t="s">
        <v>7989</v>
      </c>
      <c r="C2275" s="1385"/>
      <c r="D2275" s="1385"/>
      <c r="E2275" s="1385"/>
      <c r="F2275" s="1385"/>
      <c r="G2275" s="401"/>
      <c r="H2275" s="401">
        <v>0</v>
      </c>
      <c r="I2275" s="426"/>
      <c r="J2275" s="411">
        <v>0</v>
      </c>
      <c r="K2275" s="402">
        <f t="shared" ref="K2275:L2278" si="387">K2276</f>
        <v>7858.9807692307695</v>
      </c>
      <c r="L2275" s="402">
        <f t="shared" si="387"/>
        <v>16478.642866512571</v>
      </c>
      <c r="M2275" s="451" t="e">
        <f>L2275/#REF!</f>
        <v>#REF!</v>
      </c>
      <c r="N2275" s="796"/>
      <c r="P2275" s="399"/>
    </row>
    <row r="2276" spans="2:16" s="748" customFormat="1" ht="15" customHeight="1" x14ac:dyDescent="0.25">
      <c r="B2276" s="1386" t="s">
        <v>8138</v>
      </c>
      <c r="C2276" s="1386"/>
      <c r="D2276" s="1386"/>
      <c r="E2276" s="1386"/>
      <c r="F2276" s="1386"/>
      <c r="G2276" s="403"/>
      <c r="H2276" s="403">
        <v>0</v>
      </c>
      <c r="I2276" s="427"/>
      <c r="J2276" s="412">
        <v>0</v>
      </c>
      <c r="K2276" s="404">
        <f t="shared" si="387"/>
        <v>7858.9807692307695</v>
      </c>
      <c r="L2276" s="404">
        <f t="shared" si="387"/>
        <v>16478.642866512571</v>
      </c>
      <c r="M2276" s="452" t="e">
        <f>L2276/#REF!</f>
        <v>#REF!</v>
      </c>
      <c r="N2276" s="796"/>
      <c r="P2276" s="399"/>
    </row>
    <row r="2277" spans="2:16" s="748" customFormat="1" x14ac:dyDescent="0.25">
      <c r="B2277" s="1382" t="s">
        <v>7914</v>
      </c>
      <c r="C2277" s="1382"/>
      <c r="D2277" s="1382"/>
      <c r="E2277" s="1382"/>
      <c r="F2277" s="1382"/>
      <c r="G2277" s="405"/>
      <c r="H2277" s="405">
        <v>0</v>
      </c>
      <c r="I2277" s="428"/>
      <c r="J2277" s="413">
        <v>0</v>
      </c>
      <c r="K2277" s="406">
        <f t="shared" si="387"/>
        <v>7858.9807692307695</v>
      </c>
      <c r="L2277" s="406">
        <f t="shared" si="387"/>
        <v>16478.642866512571</v>
      </c>
      <c r="M2277" s="453" t="e">
        <f>L2277/#REF!</f>
        <v>#REF!</v>
      </c>
      <c r="N2277" s="796"/>
      <c r="P2277" s="399"/>
    </row>
    <row r="2278" spans="2:16" s="748" customFormat="1" x14ac:dyDescent="0.25">
      <c r="B2278" s="1383" t="s">
        <v>7298</v>
      </c>
      <c r="C2278" s="1383"/>
      <c r="D2278" s="1383"/>
      <c r="E2278" s="1383"/>
      <c r="F2278" s="1383"/>
      <c r="G2278" s="407"/>
      <c r="H2278" s="407">
        <v>0</v>
      </c>
      <c r="I2278" s="429"/>
      <c r="J2278" s="414">
        <v>0</v>
      </c>
      <c r="K2278" s="408">
        <f t="shared" si="387"/>
        <v>7858.9807692307695</v>
      </c>
      <c r="L2278" s="408">
        <f t="shared" si="387"/>
        <v>16478.642866512571</v>
      </c>
      <c r="M2278" s="454" t="e">
        <f>L2278/#REF!</f>
        <v>#REF!</v>
      </c>
      <c r="N2278" s="796"/>
      <c r="P2278" s="399"/>
    </row>
    <row r="2279" spans="2:16" s="115" customFormat="1" x14ac:dyDescent="0.25">
      <c r="B2279" s="1406" t="s">
        <v>8233</v>
      </c>
      <c r="C2279" s="1406"/>
      <c r="D2279" s="1406"/>
      <c r="E2279" s="424">
        <v>333903900000000</v>
      </c>
      <c r="F2279" s="425" t="s">
        <v>8247</v>
      </c>
      <c r="G2279" s="409">
        <v>1</v>
      </c>
      <c r="H2279" s="409">
        <v>0</v>
      </c>
      <c r="I2279" s="430"/>
      <c r="J2279" s="415" t="s">
        <v>7926</v>
      </c>
      <c r="K2279" s="410">
        <f>('Parâmetros financeiros Despesa'!E1114)</f>
        <v>7858.9807692307695</v>
      </c>
      <c r="L2279" s="410">
        <f>('Parâmetros financeiros Despesa'!F1114)*(1+'Parâmetros financeiros Despesa'!F$4)*(1+'Parâmetros financeiros Despesa'!F$7)</f>
        <v>16478.642866512571</v>
      </c>
      <c r="M2279" s="455" t="e">
        <f>L2279/#REF!</f>
        <v>#REF!</v>
      </c>
      <c r="N2279" s="894"/>
      <c r="O2279" s="796"/>
      <c r="P2279" s="733"/>
    </row>
    <row r="2280" spans="2:16" s="748" customFormat="1" ht="15" customHeight="1" x14ac:dyDescent="0.25">
      <c r="B2280" s="1385" t="s">
        <v>7990</v>
      </c>
      <c r="C2280" s="1385"/>
      <c r="D2280" s="1385"/>
      <c r="E2280" s="1385"/>
      <c r="F2280" s="1385"/>
      <c r="G2280" s="401"/>
      <c r="H2280" s="401">
        <v>0</v>
      </c>
      <c r="I2280" s="426"/>
      <c r="J2280" s="411">
        <v>0</v>
      </c>
      <c r="K2280" s="402">
        <f t="shared" ref="K2280:L2283" si="388">K2281</f>
        <v>13917.288461538461</v>
      </c>
      <c r="L2280" s="402">
        <f t="shared" si="388"/>
        <v>29181.650008080618</v>
      </c>
      <c r="M2280" s="451" t="e">
        <f>L2280/#REF!</f>
        <v>#REF!</v>
      </c>
      <c r="N2280" s="796"/>
      <c r="P2280" s="399"/>
    </row>
    <row r="2281" spans="2:16" s="748" customFormat="1" ht="15" customHeight="1" x14ac:dyDescent="0.25">
      <c r="B2281" s="1386" t="s">
        <v>8139</v>
      </c>
      <c r="C2281" s="1386"/>
      <c r="D2281" s="1386"/>
      <c r="E2281" s="1386"/>
      <c r="F2281" s="1386"/>
      <c r="G2281" s="403"/>
      <c r="H2281" s="403">
        <v>0</v>
      </c>
      <c r="I2281" s="427"/>
      <c r="J2281" s="412">
        <v>0</v>
      </c>
      <c r="K2281" s="404">
        <f t="shared" si="388"/>
        <v>13917.288461538461</v>
      </c>
      <c r="L2281" s="404">
        <f t="shared" si="388"/>
        <v>29181.650008080618</v>
      </c>
      <c r="M2281" s="452" t="e">
        <f>L2281/#REF!</f>
        <v>#REF!</v>
      </c>
      <c r="N2281" s="796"/>
      <c r="P2281" s="399"/>
    </row>
    <row r="2282" spans="2:16" s="748" customFormat="1" x14ac:dyDescent="0.25">
      <c r="B2282" s="1382" t="s">
        <v>7914</v>
      </c>
      <c r="C2282" s="1382"/>
      <c r="D2282" s="1382"/>
      <c r="E2282" s="1382"/>
      <c r="F2282" s="1382"/>
      <c r="G2282" s="405"/>
      <c r="H2282" s="405">
        <v>0</v>
      </c>
      <c r="I2282" s="428"/>
      <c r="J2282" s="413">
        <v>0</v>
      </c>
      <c r="K2282" s="406">
        <f t="shared" si="388"/>
        <v>13917.288461538461</v>
      </c>
      <c r="L2282" s="406">
        <f t="shared" si="388"/>
        <v>29181.650008080618</v>
      </c>
      <c r="M2282" s="453" t="e">
        <f>L2282/#REF!</f>
        <v>#REF!</v>
      </c>
      <c r="N2282" s="796"/>
      <c r="P2282" s="399"/>
    </row>
    <row r="2283" spans="2:16" s="748" customFormat="1" x14ac:dyDescent="0.25">
      <c r="B2283" s="1383" t="s">
        <v>7298</v>
      </c>
      <c r="C2283" s="1383"/>
      <c r="D2283" s="1383"/>
      <c r="E2283" s="1383"/>
      <c r="F2283" s="1383"/>
      <c r="G2283" s="407"/>
      <c r="H2283" s="407">
        <v>0</v>
      </c>
      <c r="I2283" s="429"/>
      <c r="J2283" s="414">
        <v>0</v>
      </c>
      <c r="K2283" s="408">
        <f t="shared" si="388"/>
        <v>13917.288461538461</v>
      </c>
      <c r="L2283" s="408">
        <f t="shared" si="388"/>
        <v>29181.650008080618</v>
      </c>
      <c r="M2283" s="454" t="e">
        <f>L2283/#REF!</f>
        <v>#REF!</v>
      </c>
      <c r="N2283" s="796"/>
      <c r="P2283" s="399"/>
    </row>
    <row r="2284" spans="2:16" s="115" customFormat="1" x14ac:dyDescent="0.25">
      <c r="B2284" s="1406" t="s">
        <v>8234</v>
      </c>
      <c r="C2284" s="1406"/>
      <c r="D2284" s="1406"/>
      <c r="E2284" s="424">
        <v>333903900000000</v>
      </c>
      <c r="F2284" s="425" t="s">
        <v>8249</v>
      </c>
      <c r="G2284" s="409">
        <v>1</v>
      </c>
      <c r="H2284" s="409">
        <v>0</v>
      </c>
      <c r="I2284" s="430"/>
      <c r="J2284" s="415" t="s">
        <v>7926</v>
      </c>
      <c r="K2284" s="410">
        <f>('Parâmetros financeiros Despesa'!E1116)</f>
        <v>13917.288461538461</v>
      </c>
      <c r="L2284" s="410">
        <f>('Parâmetros financeiros Despesa'!F1116)*(1+'Parâmetros financeiros Despesa'!F$4)*(1+'Parâmetros financeiros Despesa'!F$7)</f>
        <v>29181.650008080618</v>
      </c>
      <c r="M2284" s="455" t="e">
        <f>L2284/#REF!</f>
        <v>#REF!</v>
      </c>
      <c r="N2284" s="894"/>
      <c r="O2284" s="796"/>
      <c r="P2284" s="733"/>
    </row>
    <row r="2285" spans="2:16" s="748" customFormat="1" ht="15" customHeight="1" x14ac:dyDescent="0.25">
      <c r="B2285" s="1385" t="s">
        <v>7991</v>
      </c>
      <c r="C2285" s="1385"/>
      <c r="D2285" s="1385"/>
      <c r="E2285" s="1385"/>
      <c r="F2285" s="1385"/>
      <c r="G2285" s="401"/>
      <c r="H2285" s="401">
        <v>0</v>
      </c>
      <c r="I2285" s="426"/>
      <c r="J2285" s="411">
        <v>0</v>
      </c>
      <c r="K2285" s="402">
        <f t="shared" ref="K2285:L2288" si="389">K2286</f>
        <v>3139.0384615384614</v>
      </c>
      <c r="L2285" s="402">
        <f t="shared" si="389"/>
        <v>6581.9086813979284</v>
      </c>
      <c r="M2285" s="451" t="e">
        <f>L2285/#REF!</f>
        <v>#REF!</v>
      </c>
      <c r="N2285" s="796"/>
      <c r="P2285" s="399"/>
    </row>
    <row r="2286" spans="2:16" s="748" customFormat="1" ht="15" customHeight="1" x14ac:dyDescent="0.25">
      <c r="B2286" s="1386" t="s">
        <v>8140</v>
      </c>
      <c r="C2286" s="1386"/>
      <c r="D2286" s="1386"/>
      <c r="E2286" s="1386"/>
      <c r="F2286" s="1386"/>
      <c r="G2286" s="403"/>
      <c r="H2286" s="403">
        <v>0</v>
      </c>
      <c r="I2286" s="427"/>
      <c r="J2286" s="412">
        <v>0</v>
      </c>
      <c r="K2286" s="404">
        <f t="shared" si="389"/>
        <v>3139.0384615384614</v>
      </c>
      <c r="L2286" s="404">
        <f t="shared" si="389"/>
        <v>6581.9086813979284</v>
      </c>
      <c r="M2286" s="452" t="e">
        <f>L2286/#REF!</f>
        <v>#REF!</v>
      </c>
      <c r="N2286" s="796"/>
      <c r="P2286" s="399"/>
    </row>
    <row r="2287" spans="2:16" s="748" customFormat="1" x14ac:dyDescent="0.25">
      <c r="B2287" s="1382" t="s">
        <v>7914</v>
      </c>
      <c r="C2287" s="1382"/>
      <c r="D2287" s="1382"/>
      <c r="E2287" s="1382"/>
      <c r="F2287" s="1382"/>
      <c r="G2287" s="405"/>
      <c r="H2287" s="405">
        <v>0</v>
      </c>
      <c r="I2287" s="428"/>
      <c r="J2287" s="413">
        <v>0</v>
      </c>
      <c r="K2287" s="406">
        <f t="shared" si="389"/>
        <v>3139.0384615384614</v>
      </c>
      <c r="L2287" s="406">
        <f t="shared" si="389"/>
        <v>6581.9086813979284</v>
      </c>
      <c r="M2287" s="453" t="e">
        <f>L2287/#REF!</f>
        <v>#REF!</v>
      </c>
      <c r="N2287" s="796"/>
      <c r="P2287" s="399"/>
    </row>
    <row r="2288" spans="2:16" s="748" customFormat="1" x14ac:dyDescent="0.25">
      <c r="B2288" s="1383" t="s">
        <v>7298</v>
      </c>
      <c r="C2288" s="1383"/>
      <c r="D2288" s="1383"/>
      <c r="E2288" s="1383"/>
      <c r="F2288" s="1383"/>
      <c r="G2288" s="407"/>
      <c r="H2288" s="407">
        <v>0</v>
      </c>
      <c r="I2288" s="429"/>
      <c r="J2288" s="414">
        <v>0</v>
      </c>
      <c r="K2288" s="408">
        <f t="shared" si="389"/>
        <v>3139.0384615384614</v>
      </c>
      <c r="L2288" s="408">
        <f t="shared" si="389"/>
        <v>6581.9086813979284</v>
      </c>
      <c r="M2288" s="454" t="e">
        <f>L2288/#REF!</f>
        <v>#REF!</v>
      </c>
      <c r="N2288" s="796"/>
      <c r="P2288" s="399"/>
    </row>
    <row r="2289" spans="2:16" s="115" customFormat="1" x14ac:dyDescent="0.25">
      <c r="B2289" s="1406" t="s">
        <v>8235</v>
      </c>
      <c r="C2289" s="1406"/>
      <c r="D2289" s="1406"/>
      <c r="E2289" s="424">
        <v>333903900000000</v>
      </c>
      <c r="F2289" s="425" t="s">
        <v>8250</v>
      </c>
      <c r="G2289" s="409">
        <v>1</v>
      </c>
      <c r="H2289" s="409">
        <v>0</v>
      </c>
      <c r="I2289" s="430"/>
      <c r="J2289" s="415" t="s">
        <v>7926</v>
      </c>
      <c r="K2289" s="410">
        <f>('Parâmetros financeiros Despesa'!E1118)</f>
        <v>3139.0384615384614</v>
      </c>
      <c r="L2289" s="410">
        <f>('Parâmetros financeiros Despesa'!F1118)*(1+'Parâmetros financeiros Despesa'!F$4)*(1+'Parâmetros financeiros Despesa'!F$7)</f>
        <v>6581.9086813979284</v>
      </c>
      <c r="M2289" s="455" t="e">
        <f>L2289/#REF!</f>
        <v>#REF!</v>
      </c>
      <c r="N2289" s="894"/>
      <c r="O2289" s="796"/>
      <c r="P2289" s="733"/>
    </row>
    <row r="2290" spans="2:16" s="748" customFormat="1" ht="15" customHeight="1" x14ac:dyDescent="0.25">
      <c r="B2290" s="1385" t="s">
        <v>7992</v>
      </c>
      <c r="C2290" s="1385"/>
      <c r="D2290" s="1385"/>
      <c r="E2290" s="1385"/>
      <c r="F2290" s="1385"/>
      <c r="G2290" s="401"/>
      <c r="H2290" s="401">
        <v>0</v>
      </c>
      <c r="I2290" s="426"/>
      <c r="J2290" s="411">
        <v>0</v>
      </c>
      <c r="K2290" s="402">
        <f t="shared" ref="K2290:L2293" si="390">K2291</f>
        <v>253.36538461538458</v>
      </c>
      <c r="L2290" s="402">
        <f t="shared" si="390"/>
        <v>531.25434587647931</v>
      </c>
      <c r="M2290" s="451" t="e">
        <f>L2290/#REF!</f>
        <v>#REF!</v>
      </c>
      <c r="N2290" s="796"/>
      <c r="P2290" s="399"/>
    </row>
    <row r="2291" spans="2:16" s="748" customFormat="1" ht="15" customHeight="1" x14ac:dyDescent="0.25">
      <c r="B2291" s="1386" t="s">
        <v>8141</v>
      </c>
      <c r="C2291" s="1386"/>
      <c r="D2291" s="1386"/>
      <c r="E2291" s="1386"/>
      <c r="F2291" s="1386"/>
      <c r="G2291" s="403"/>
      <c r="H2291" s="403">
        <v>0</v>
      </c>
      <c r="I2291" s="427"/>
      <c r="J2291" s="412">
        <v>0</v>
      </c>
      <c r="K2291" s="404">
        <f t="shared" si="390"/>
        <v>253.36538461538458</v>
      </c>
      <c r="L2291" s="404">
        <f t="shared" si="390"/>
        <v>531.25434587647931</v>
      </c>
      <c r="M2291" s="452" t="e">
        <f>L2291/#REF!</f>
        <v>#REF!</v>
      </c>
      <c r="N2291" s="796"/>
      <c r="P2291" s="399"/>
    </row>
    <row r="2292" spans="2:16" s="748" customFormat="1" x14ac:dyDescent="0.25">
      <c r="B2292" s="1382" t="s">
        <v>7914</v>
      </c>
      <c r="C2292" s="1382"/>
      <c r="D2292" s="1382"/>
      <c r="E2292" s="1382"/>
      <c r="F2292" s="1382"/>
      <c r="G2292" s="405"/>
      <c r="H2292" s="405">
        <v>0</v>
      </c>
      <c r="I2292" s="428"/>
      <c r="J2292" s="413">
        <v>0</v>
      </c>
      <c r="K2292" s="406">
        <f t="shared" si="390"/>
        <v>253.36538461538458</v>
      </c>
      <c r="L2292" s="406">
        <f t="shared" si="390"/>
        <v>531.25434587647931</v>
      </c>
      <c r="M2292" s="453" t="e">
        <f>L2292/#REF!</f>
        <v>#REF!</v>
      </c>
      <c r="N2292" s="796"/>
      <c r="P2292" s="399"/>
    </row>
    <row r="2293" spans="2:16" s="748" customFormat="1" x14ac:dyDescent="0.25">
      <c r="B2293" s="1383" t="s">
        <v>7298</v>
      </c>
      <c r="C2293" s="1383"/>
      <c r="D2293" s="1383"/>
      <c r="E2293" s="1383"/>
      <c r="F2293" s="1383"/>
      <c r="G2293" s="407"/>
      <c r="H2293" s="407">
        <v>0</v>
      </c>
      <c r="I2293" s="429"/>
      <c r="J2293" s="414">
        <v>0</v>
      </c>
      <c r="K2293" s="408">
        <f t="shared" si="390"/>
        <v>253.36538461538458</v>
      </c>
      <c r="L2293" s="408">
        <f t="shared" si="390"/>
        <v>531.25434587647931</v>
      </c>
      <c r="M2293" s="454" t="e">
        <f>L2293/#REF!</f>
        <v>#REF!</v>
      </c>
      <c r="N2293" s="796"/>
      <c r="P2293" s="399"/>
    </row>
    <row r="2294" spans="2:16" s="115" customFormat="1" x14ac:dyDescent="0.25">
      <c r="B2294" s="1406" t="s">
        <v>8236</v>
      </c>
      <c r="C2294" s="1406"/>
      <c r="D2294" s="1406"/>
      <c r="E2294" s="424">
        <v>333903900000000</v>
      </c>
      <c r="F2294" s="425" t="s">
        <v>8251</v>
      </c>
      <c r="G2294" s="409">
        <v>1</v>
      </c>
      <c r="H2294" s="409">
        <v>0</v>
      </c>
      <c r="I2294" s="430"/>
      <c r="J2294" s="415" t="s">
        <v>7926</v>
      </c>
      <c r="K2294" s="410">
        <f>('Parâmetros financeiros Despesa'!E1120)</f>
        <v>253.36538461538458</v>
      </c>
      <c r="L2294" s="410">
        <f>('Parâmetros financeiros Despesa'!F1120)*(1+'Parâmetros financeiros Despesa'!F$4)*(1+'Parâmetros financeiros Despesa'!F$7)</f>
        <v>531.25434587647931</v>
      </c>
      <c r="M2294" s="455" t="e">
        <f>L2294/#REF!</f>
        <v>#REF!</v>
      </c>
      <c r="N2294" s="894"/>
      <c r="O2294" s="796"/>
      <c r="P2294" s="733"/>
    </row>
    <row r="2295" spans="2:16" s="820" customFormat="1" ht="15" customHeight="1" x14ac:dyDescent="0.25">
      <c r="B2295" s="864" t="s">
        <v>22</v>
      </c>
      <c r="C2295" s="864"/>
      <c r="D2295" s="864"/>
      <c r="E2295" s="864"/>
      <c r="F2295" s="864"/>
      <c r="G2295" s="864"/>
      <c r="H2295" s="864"/>
      <c r="I2295" s="864"/>
      <c r="J2295" s="864"/>
      <c r="K2295" s="863">
        <f>K2291+K2286+K2281+K2276+K2271+K2246</f>
        <v>104230.49825</v>
      </c>
      <c r="L2295" s="863">
        <f>L2291+L2286+L2281+L2276+L2271+L2246</f>
        <v>149572.53324546892</v>
      </c>
      <c r="M2295" s="452"/>
      <c r="N2295" s="796"/>
      <c r="P2295" s="399"/>
    </row>
    <row r="2296" spans="2:16" s="820" customFormat="1" ht="15" customHeight="1" x14ac:dyDescent="0.25">
      <c r="B2296" s="864" t="s">
        <v>11469</v>
      </c>
      <c r="C2296" s="864"/>
      <c r="D2296" s="864"/>
      <c r="E2296" s="864"/>
      <c r="F2296" s="864"/>
      <c r="G2296" s="864"/>
      <c r="H2296" s="864"/>
      <c r="I2296" s="864"/>
      <c r="J2296" s="864"/>
      <c r="K2296" s="863"/>
      <c r="L2296" s="863"/>
      <c r="M2296" s="452"/>
      <c r="N2296" s="796"/>
      <c r="P2296" s="399"/>
    </row>
    <row r="2297" spans="2:16" s="31" customFormat="1" ht="15" customHeight="1" x14ac:dyDescent="0.25">
      <c r="B2297" s="869" t="s">
        <v>745</v>
      </c>
      <c r="C2297" s="869"/>
      <c r="D2297" s="869"/>
      <c r="E2297" s="869"/>
      <c r="F2297" s="869"/>
      <c r="G2297" s="869"/>
      <c r="H2297" s="869"/>
      <c r="I2297" s="869"/>
      <c r="J2297" s="869"/>
      <c r="K2297" s="870">
        <f>K2295</f>
        <v>104230.49825</v>
      </c>
      <c r="L2297" s="870">
        <f>L2295</f>
        <v>149572.53324546892</v>
      </c>
      <c r="M2297" s="871"/>
      <c r="N2297" s="897"/>
      <c r="P2297" s="736"/>
    </row>
    <row r="2298" spans="2:16" s="115" customFormat="1" ht="15" customHeight="1" x14ac:dyDescent="0.25">
      <c r="B2298" s="864" t="s">
        <v>2172</v>
      </c>
      <c r="C2298" s="864"/>
      <c r="D2298" s="864"/>
      <c r="E2298" s="864"/>
      <c r="F2298" s="864"/>
      <c r="G2298" s="864"/>
      <c r="H2298" s="864"/>
      <c r="I2298" s="864"/>
      <c r="J2298" s="864"/>
      <c r="K2298" s="863">
        <f>SUM(K2297)</f>
        <v>104230.49825</v>
      </c>
      <c r="L2298" s="863">
        <f>SUM(L2297)</f>
        <v>149572.53324546892</v>
      </c>
      <c r="M2298" s="452">
        <f>L2298/L$3488</f>
        <v>0.45536870086480841</v>
      </c>
      <c r="O2298" s="796"/>
      <c r="P2298" s="733"/>
    </row>
    <row r="2299" spans="2:16" s="803" customFormat="1" x14ac:dyDescent="0.25">
      <c r="B2299" s="400"/>
      <c r="C2299" s="400"/>
      <c r="D2299" s="480"/>
      <c r="E2299" s="399"/>
      <c r="F2299" s="399"/>
      <c r="G2299" s="399"/>
      <c r="H2299" s="399"/>
      <c r="I2299" s="399"/>
      <c r="K2299" s="783"/>
      <c r="L2299" s="110"/>
      <c r="M2299" s="448"/>
      <c r="N2299" s="796"/>
      <c r="P2299" s="399"/>
    </row>
    <row r="2300" spans="2:16" x14ac:dyDescent="0.25">
      <c r="F2300" s="399"/>
      <c r="G2300" s="399"/>
      <c r="H2300" s="399"/>
    </row>
    <row r="2301" spans="2:16" x14ac:dyDescent="0.25">
      <c r="F2301" s="399"/>
      <c r="G2301" s="399"/>
      <c r="H2301" s="399"/>
    </row>
    <row r="2302" spans="2:16" s="803" customFormat="1" x14ac:dyDescent="0.25">
      <c r="B2302" s="400"/>
      <c r="C2302" s="400"/>
      <c r="D2302" s="480"/>
      <c r="E2302" s="399"/>
      <c r="F2302" s="399"/>
      <c r="G2302" s="399"/>
      <c r="H2302" s="399"/>
      <c r="I2302" s="399"/>
      <c r="K2302" s="783"/>
      <c r="L2302" s="110"/>
      <c r="M2302" s="448"/>
      <c r="N2302" s="796"/>
      <c r="P2302" s="399"/>
    </row>
    <row r="2303" spans="2:16" x14ac:dyDescent="0.25">
      <c r="F2303" s="399"/>
      <c r="G2303" s="399"/>
      <c r="H2303" s="399"/>
    </row>
    <row r="2304" spans="2:16" x14ac:dyDescent="0.25">
      <c r="F2304" s="399"/>
      <c r="G2304" s="399"/>
      <c r="H2304" s="399"/>
    </row>
    <row r="2305" spans="1:16" x14ac:dyDescent="0.25">
      <c r="F2305" s="399"/>
      <c r="G2305" s="399"/>
      <c r="H2305" s="399"/>
    </row>
    <row r="2307" spans="1:16" s="435" customFormat="1" ht="15" customHeight="1" x14ac:dyDescent="0.25">
      <c r="B2307" s="744" t="s">
        <v>989</v>
      </c>
      <c r="C2307" s="744"/>
      <c r="D2307" s="481"/>
      <c r="E2307" s="1371" t="s">
        <v>7911</v>
      </c>
      <c r="F2307" s="1371"/>
      <c r="G2307" s="1371"/>
      <c r="H2307" s="1371"/>
      <c r="I2307" s="1371"/>
      <c r="J2307" s="437"/>
      <c r="K2307" s="940"/>
      <c r="L2307" s="438"/>
      <c r="M2307" s="449"/>
      <c r="N2307" s="892"/>
      <c r="P2307" s="732"/>
    </row>
    <row r="2308" spans="1:16" s="435" customFormat="1" ht="15" customHeight="1" x14ac:dyDescent="0.25">
      <c r="B2308" s="744" t="s">
        <v>458</v>
      </c>
      <c r="C2308" s="744"/>
      <c r="D2308" s="481"/>
      <c r="E2308" s="1371" t="s">
        <v>8264</v>
      </c>
      <c r="F2308" s="1371"/>
      <c r="G2308" s="1371"/>
      <c r="H2308" s="1371"/>
      <c r="I2308" s="1371"/>
      <c r="J2308" s="437"/>
      <c r="K2308" s="940"/>
      <c r="L2308" s="438"/>
      <c r="M2308" s="449"/>
      <c r="N2308" s="892"/>
      <c r="P2308" s="732"/>
    </row>
    <row r="2309" spans="1:16" s="435" customFormat="1" ht="15" customHeight="1" x14ac:dyDescent="0.25">
      <c r="B2309" s="745" t="s">
        <v>5764</v>
      </c>
      <c r="C2309" s="745"/>
      <c r="D2309" s="745"/>
      <c r="E2309" s="1371" t="s">
        <v>749</v>
      </c>
      <c r="F2309" s="1371"/>
      <c r="G2309" s="1371"/>
      <c r="H2309" s="1371"/>
      <c r="I2309" s="1371"/>
      <c r="J2309" s="440"/>
      <c r="K2309" s="941"/>
      <c r="L2309" s="438"/>
      <c r="M2309" s="449"/>
      <c r="N2309" s="892"/>
      <c r="P2309" s="732"/>
    </row>
    <row r="2310" spans="1:16" s="851" customFormat="1" ht="113.25" customHeight="1" x14ac:dyDescent="0.25">
      <c r="A2310" s="396"/>
      <c r="B2310" s="1400" t="s">
        <v>2296</v>
      </c>
      <c r="C2310" s="1400"/>
      <c r="D2310" s="1400"/>
      <c r="E2310" s="1384" t="s">
        <v>2297</v>
      </c>
      <c r="F2310" s="1384"/>
      <c r="G2310" s="443" t="s">
        <v>444</v>
      </c>
      <c r="H2310" s="443" t="s">
        <v>2245</v>
      </c>
      <c r="I2310" s="444" t="s">
        <v>5725</v>
      </c>
      <c r="J2310" s="849" t="s">
        <v>2275</v>
      </c>
      <c r="K2310" s="893" t="s">
        <v>11644</v>
      </c>
      <c r="L2310" s="955" t="s">
        <v>11522</v>
      </c>
      <c r="M2310" s="450" t="s">
        <v>235</v>
      </c>
      <c r="N2310" s="796"/>
      <c r="P2310" s="399"/>
    </row>
    <row r="2311" spans="1:16" s="748" customFormat="1" ht="15" customHeight="1" x14ac:dyDescent="0.25">
      <c r="B2311" s="1385" t="s">
        <v>8198</v>
      </c>
      <c r="C2311" s="1385"/>
      <c r="D2311" s="1385"/>
      <c r="E2311" s="1385"/>
      <c r="F2311" s="1385"/>
      <c r="G2311" s="401"/>
      <c r="H2311" s="401"/>
      <c r="I2311" s="426"/>
      <c r="J2311" s="411"/>
      <c r="K2311" s="402">
        <f t="shared" ref="K2311:L2313" si="391">K2312</f>
        <v>1918.5</v>
      </c>
      <c r="L2311" s="402">
        <f t="shared" si="391"/>
        <v>5580.8617827500002</v>
      </c>
      <c r="M2311" s="451">
        <f t="shared" ref="M2311:M2352" si="392">L2311/L$2355</f>
        <v>4.8272039068682618E-2</v>
      </c>
      <c r="N2311" s="796"/>
      <c r="P2311" s="399"/>
    </row>
    <row r="2312" spans="1:16" s="748" customFormat="1" ht="15" customHeight="1" x14ac:dyDescent="0.25">
      <c r="B2312" s="1386" t="s">
        <v>8231</v>
      </c>
      <c r="C2312" s="1386"/>
      <c r="D2312" s="1386"/>
      <c r="E2312" s="1386"/>
      <c r="F2312" s="1386"/>
      <c r="G2312" s="403"/>
      <c r="H2312" s="403"/>
      <c r="I2312" s="427"/>
      <c r="J2312" s="412"/>
      <c r="K2312" s="404">
        <f t="shared" si="391"/>
        <v>1918.5</v>
      </c>
      <c r="L2312" s="404">
        <f t="shared" si="391"/>
        <v>5580.8617827500002</v>
      </c>
      <c r="M2312" s="452">
        <f t="shared" si="392"/>
        <v>4.8272039068682618E-2</v>
      </c>
      <c r="N2312" s="796"/>
      <c r="P2312" s="399"/>
    </row>
    <row r="2313" spans="1:16" s="748" customFormat="1" x14ac:dyDescent="0.25">
      <c r="B2313" s="1382" t="s">
        <v>7914</v>
      </c>
      <c r="C2313" s="1382"/>
      <c r="D2313" s="1382"/>
      <c r="E2313" s="1382"/>
      <c r="F2313" s="1382"/>
      <c r="G2313" s="405"/>
      <c r="H2313" s="405"/>
      <c r="I2313" s="428"/>
      <c r="J2313" s="413"/>
      <c r="K2313" s="406">
        <f t="shared" si="391"/>
        <v>1918.5</v>
      </c>
      <c r="L2313" s="406">
        <f t="shared" si="391"/>
        <v>5580.8617827500002</v>
      </c>
      <c r="M2313" s="453">
        <f t="shared" si="392"/>
        <v>4.8272039068682618E-2</v>
      </c>
      <c r="N2313" s="796"/>
      <c r="P2313" s="399"/>
    </row>
    <row r="2314" spans="1:16" s="748" customFormat="1" x14ac:dyDescent="0.25">
      <c r="B2314" s="1383" t="s">
        <v>8199</v>
      </c>
      <c r="C2314" s="1383"/>
      <c r="D2314" s="1383"/>
      <c r="E2314" s="1383"/>
      <c r="F2314" s="1383"/>
      <c r="G2314" s="407"/>
      <c r="H2314" s="407"/>
      <c r="I2314" s="429"/>
      <c r="J2314" s="414"/>
      <c r="K2314" s="408">
        <f>SUM(K2315:K2319)</f>
        <v>1918.5</v>
      </c>
      <c r="L2314" s="408">
        <f>SUM(L2315:L2319)</f>
        <v>5580.8617827500002</v>
      </c>
      <c r="M2314" s="454">
        <f t="shared" si="392"/>
        <v>4.8272039068682618E-2</v>
      </c>
      <c r="N2314" s="796"/>
      <c r="P2314" s="399"/>
    </row>
    <row r="2315" spans="1:16" s="115" customFormat="1" x14ac:dyDescent="0.25">
      <c r="B2315" s="1398" t="s">
        <v>8242</v>
      </c>
      <c r="C2315" s="1398"/>
      <c r="D2315" s="1398"/>
      <c r="E2315" s="1022">
        <v>333904700000000</v>
      </c>
      <c r="F2315" s="989" t="s">
        <v>8283</v>
      </c>
      <c r="G2315" s="468">
        <v>1</v>
      </c>
      <c r="H2315" s="468">
        <v>0</v>
      </c>
      <c r="I2315" s="751"/>
      <c r="J2315" s="878" t="s">
        <v>7926</v>
      </c>
      <c r="K2315" s="789">
        <f>'Parâmetros financeiros Despesa'!E1124</f>
        <v>0</v>
      </c>
      <c r="L2315" s="789">
        <f>(('Parâmetros financeiros Despesa'!F1126)*(1+'Parâmetros financeiros Despesa'!F$4)*(1+'Parâmetros financeiros Despesa'!F$7))*('Parâmetros financeiros Despesa'!F$83)</f>
        <v>218.06630000000001</v>
      </c>
      <c r="M2315" s="799">
        <f t="shared" si="392"/>
        <v>1.8861791176587913E-3</v>
      </c>
      <c r="N2315" s="894"/>
      <c r="O2315" s="796"/>
      <c r="P2315" s="733"/>
    </row>
    <row r="2316" spans="1:16" s="115" customFormat="1" x14ac:dyDescent="0.25">
      <c r="B2316" s="1398" t="s">
        <v>8243</v>
      </c>
      <c r="C2316" s="1398"/>
      <c r="D2316" s="1398"/>
      <c r="E2316" s="1022">
        <v>344903000000000</v>
      </c>
      <c r="F2316" s="989" t="s">
        <v>8284</v>
      </c>
      <c r="G2316" s="468">
        <v>1</v>
      </c>
      <c r="H2316" s="468">
        <v>0</v>
      </c>
      <c r="I2316" s="751"/>
      <c r="J2316" s="878" t="s">
        <v>7926</v>
      </c>
      <c r="K2316" s="789">
        <f>('Parâmetros financeiros Despesa'!E1125)</f>
        <v>0</v>
      </c>
      <c r="L2316" s="789">
        <f>('Parâmetros financeiros Despesa'!F1125)*(1+'Parâmetros financeiros Despesa'!F$4)*(1+'Parâmetros financeiros Despesa'!F$7)</f>
        <v>1090.3315</v>
      </c>
      <c r="M2316" s="799">
        <f t="shared" si="392"/>
        <v>9.4308955882939569E-3</v>
      </c>
      <c r="N2316" s="894"/>
      <c r="O2316" s="796"/>
      <c r="P2316" s="733"/>
    </row>
    <row r="2317" spans="1:16" s="115" customFormat="1" x14ac:dyDescent="0.25">
      <c r="B2317" s="1398" t="s">
        <v>8265</v>
      </c>
      <c r="C2317" s="1398"/>
      <c r="D2317" s="1398"/>
      <c r="E2317" s="1022">
        <v>344903600000000</v>
      </c>
      <c r="F2317" s="989" t="s">
        <v>8285</v>
      </c>
      <c r="G2317" s="468">
        <v>1</v>
      </c>
      <c r="H2317" s="468">
        <v>0</v>
      </c>
      <c r="I2317" s="751"/>
      <c r="J2317" s="878" t="s">
        <v>7926</v>
      </c>
      <c r="K2317" s="789">
        <f>('Parâmetros financeiros Despesa'!E1126)</f>
        <v>0</v>
      </c>
      <c r="L2317" s="789">
        <f>('Parâmetros financeiros Despesa'!F1126)*(1+'Parâmetros financeiros Despesa'!F$4)*(1+'Parâmetros financeiros Despesa'!F$7)</f>
        <v>1090.3315</v>
      </c>
      <c r="M2317" s="799">
        <f t="shared" si="392"/>
        <v>9.4308955882939569E-3</v>
      </c>
      <c r="N2317" s="894"/>
      <c r="O2317" s="796"/>
      <c r="P2317" s="733"/>
    </row>
    <row r="2318" spans="1:16" s="115" customFormat="1" x14ac:dyDescent="0.25">
      <c r="B2318" s="1398" t="s">
        <v>8266</v>
      </c>
      <c r="C2318" s="1398"/>
      <c r="D2318" s="1398"/>
      <c r="E2318" s="1022">
        <v>344903900000000</v>
      </c>
      <c r="F2318" s="989" t="s">
        <v>8286</v>
      </c>
      <c r="G2318" s="468">
        <v>1</v>
      </c>
      <c r="H2318" s="468">
        <v>0</v>
      </c>
      <c r="I2318" s="751"/>
      <c r="J2318" s="878" t="s">
        <v>7926</v>
      </c>
      <c r="K2318" s="789">
        <f>('Parâmetros financeiros Despesa'!E1127)</f>
        <v>0</v>
      </c>
      <c r="L2318" s="789">
        <f>('Parâmetros financeiros Despesa'!F1127)*(1+'Parâmetros financeiros Despesa'!F$4)*(1+'Parâmetros financeiros Despesa'!F$7)</f>
        <v>1090.3315</v>
      </c>
      <c r="M2318" s="799">
        <f t="shared" si="392"/>
        <v>9.4308955882939569E-3</v>
      </c>
      <c r="N2318" s="894"/>
      <c r="O2318" s="796"/>
      <c r="P2318" s="733"/>
    </row>
    <row r="2319" spans="1:16" s="115" customFormat="1" x14ac:dyDescent="0.25">
      <c r="B2319" s="1398" t="s">
        <v>8267</v>
      </c>
      <c r="C2319" s="1398"/>
      <c r="D2319" s="1398"/>
      <c r="E2319" s="1022">
        <v>344905200000000</v>
      </c>
      <c r="F2319" s="989" t="s">
        <v>8287</v>
      </c>
      <c r="G2319" s="468">
        <v>1</v>
      </c>
      <c r="H2319" s="468">
        <v>0</v>
      </c>
      <c r="I2319" s="751"/>
      <c r="J2319" s="878" t="s">
        <v>7926</v>
      </c>
      <c r="K2319" s="789">
        <f>('Parâmetros financeiros Despesa'!E1128)</f>
        <v>1918.5</v>
      </c>
      <c r="L2319" s="789">
        <f>('Parâmetros financeiros Despesa'!F1128)*(1+'Parâmetros financeiros Despesa'!F$4)*(1+'Parâmetros financeiros Despesa'!F$7)</f>
        <v>2091.80098275</v>
      </c>
      <c r="M2319" s="799">
        <f t="shared" si="392"/>
        <v>1.8093173186141957E-2</v>
      </c>
      <c r="N2319" s="894"/>
      <c r="O2319" s="796"/>
      <c r="P2319" s="733"/>
    </row>
    <row r="2320" spans="1:16" s="115" customFormat="1" ht="15" customHeight="1" x14ac:dyDescent="0.25">
      <c r="A2320" s="396"/>
      <c r="B2320" s="1385" t="s">
        <v>8198</v>
      </c>
      <c r="C2320" s="1385"/>
      <c r="D2320" s="1385"/>
      <c r="E2320" s="1385"/>
      <c r="F2320" s="1385"/>
      <c r="G2320" s="401"/>
      <c r="H2320" s="401"/>
      <c r="I2320" s="426"/>
      <c r="J2320" s="411"/>
      <c r="K2320" s="402">
        <f>K2323</f>
        <v>52546.95</v>
      </c>
      <c r="L2320" s="402">
        <f>L2323</f>
        <v>68196.909813924998</v>
      </c>
      <c r="M2320" s="451">
        <f t="shared" si="392"/>
        <v>0.58987375481624271</v>
      </c>
      <c r="N2320" s="894"/>
      <c r="P2320" s="733"/>
    </row>
    <row r="2321" spans="2:16" s="748" customFormat="1" ht="15" customHeight="1" x14ac:dyDescent="0.25">
      <c r="B2321" s="1386" t="s">
        <v>8244</v>
      </c>
      <c r="C2321" s="1386"/>
      <c r="D2321" s="1386"/>
      <c r="E2321" s="1386"/>
      <c r="F2321" s="1386"/>
      <c r="G2321" s="403"/>
      <c r="H2321" s="403"/>
      <c r="I2321" s="427"/>
      <c r="J2321" s="412"/>
      <c r="K2321" s="404">
        <f t="shared" ref="K2321:L2322" si="393">K2322</f>
        <v>52546.95</v>
      </c>
      <c r="L2321" s="404">
        <f t="shared" si="393"/>
        <v>68196.909813924998</v>
      </c>
      <c r="M2321" s="452">
        <f t="shared" si="392"/>
        <v>0.58987375481624271</v>
      </c>
      <c r="N2321" s="796"/>
      <c r="P2321" s="399"/>
    </row>
    <row r="2322" spans="2:16" s="748" customFormat="1" x14ac:dyDescent="0.25">
      <c r="B2322" s="1382" t="s">
        <v>7914</v>
      </c>
      <c r="C2322" s="1382"/>
      <c r="D2322" s="1382"/>
      <c r="E2322" s="1382"/>
      <c r="F2322" s="1382"/>
      <c r="G2322" s="405"/>
      <c r="H2322" s="405"/>
      <c r="I2322" s="428"/>
      <c r="J2322" s="413"/>
      <c r="K2322" s="406">
        <f t="shared" si="393"/>
        <v>52546.95</v>
      </c>
      <c r="L2322" s="406">
        <f t="shared" si="393"/>
        <v>68196.909813924998</v>
      </c>
      <c r="M2322" s="453">
        <f t="shared" si="392"/>
        <v>0.58987375481624271</v>
      </c>
      <c r="N2322" s="796"/>
      <c r="P2322" s="399"/>
    </row>
    <row r="2323" spans="2:16" s="748" customFormat="1" x14ac:dyDescent="0.25">
      <c r="B2323" s="1383" t="s">
        <v>8199</v>
      </c>
      <c r="C2323" s="1383"/>
      <c r="D2323" s="1383"/>
      <c r="E2323" s="1383"/>
      <c r="F2323" s="1383"/>
      <c r="G2323" s="407"/>
      <c r="H2323" s="407"/>
      <c r="I2323" s="429"/>
      <c r="J2323" s="414"/>
      <c r="K2323" s="408">
        <f>SUM(K2324:K2325)</f>
        <v>52546.95</v>
      </c>
      <c r="L2323" s="408">
        <f>SUM(L2324:L2325)</f>
        <v>68196.909813924998</v>
      </c>
      <c r="M2323" s="454">
        <f t="shared" si="392"/>
        <v>0.58987375481624271</v>
      </c>
      <c r="N2323" s="796"/>
      <c r="P2323" s="399"/>
    </row>
    <row r="2324" spans="2:16" s="115" customFormat="1" x14ac:dyDescent="0.25">
      <c r="B2324" s="1398" t="s">
        <v>8268</v>
      </c>
      <c r="C2324" s="1398"/>
      <c r="D2324" s="1398"/>
      <c r="E2324" s="1020">
        <v>333903000000000</v>
      </c>
      <c r="F2324" s="1021" t="s">
        <v>8240</v>
      </c>
      <c r="G2324" s="468">
        <v>1</v>
      </c>
      <c r="H2324" s="468">
        <v>0</v>
      </c>
      <c r="I2324" s="751"/>
      <c r="J2324" s="878" t="s">
        <v>7926</v>
      </c>
      <c r="K2324" s="789">
        <f>('Parâmetros financeiros Despesa'!E1130)</f>
        <v>52546.95</v>
      </c>
      <c r="L2324" s="789">
        <f>('Parâmetros financeiros Despesa'!F1130)*(1+'Parâmetros financeiros Despesa'!F$4)*(1+'Parâmetros financeiros Despesa'!F$7)</f>
        <v>57293.594813925003</v>
      </c>
      <c r="M2324" s="799">
        <f t="shared" si="392"/>
        <v>0.49556479893330313</v>
      </c>
      <c r="N2324" s="894"/>
      <c r="O2324" s="796"/>
      <c r="P2324" s="733"/>
    </row>
    <row r="2325" spans="2:16" s="115" customFormat="1" x14ac:dyDescent="0.25">
      <c r="B2325" s="1398" t="s">
        <v>8269</v>
      </c>
      <c r="C2325" s="1398"/>
      <c r="D2325" s="1398"/>
      <c r="E2325" s="1020">
        <v>333903000000000</v>
      </c>
      <c r="F2325" s="1021" t="s">
        <v>8241</v>
      </c>
      <c r="G2325" s="468">
        <v>1</v>
      </c>
      <c r="H2325" s="468">
        <v>0</v>
      </c>
      <c r="I2325" s="751"/>
      <c r="J2325" s="878" t="s">
        <v>7926</v>
      </c>
      <c r="K2325" s="789">
        <f>('Parâmetros financeiros Despesa'!E1131)</f>
        <v>0</v>
      </c>
      <c r="L2325" s="789">
        <f>('Parâmetros financeiros Despesa'!F1131)*(1+'Parâmetros financeiros Despesa'!F$4)*(1+'Parâmetros financeiros Despesa'!F$7)</f>
        <v>10903.315000000001</v>
      </c>
      <c r="M2325" s="799">
        <f t="shared" si="392"/>
        <v>9.4308955882939569E-2</v>
      </c>
      <c r="N2325" s="894"/>
      <c r="O2325" s="796"/>
      <c r="P2325" s="733"/>
    </row>
    <row r="2326" spans="2:16" s="748" customFormat="1" ht="15" customHeight="1" x14ac:dyDescent="0.25">
      <c r="B2326" s="1385" t="s">
        <v>8198</v>
      </c>
      <c r="C2326" s="1385"/>
      <c r="D2326" s="1385"/>
      <c r="E2326" s="1385"/>
      <c r="F2326" s="1385"/>
      <c r="G2326" s="401"/>
      <c r="H2326" s="401"/>
      <c r="I2326" s="426"/>
      <c r="J2326" s="411"/>
      <c r="K2326" s="402">
        <f t="shared" ref="K2326:L2328" si="394">K2327</f>
        <v>55712.553862500004</v>
      </c>
      <c r="L2326" s="402">
        <f t="shared" si="394"/>
        <v>41834.949357776823</v>
      </c>
      <c r="M2326" s="451">
        <f t="shared" si="392"/>
        <v>0.36185420611507468</v>
      </c>
      <c r="N2326" s="796"/>
      <c r="P2326" s="399"/>
    </row>
    <row r="2327" spans="2:16" s="748" customFormat="1" ht="15" customHeight="1" x14ac:dyDescent="0.25">
      <c r="B2327" s="1386" t="s">
        <v>8245</v>
      </c>
      <c r="C2327" s="1386"/>
      <c r="D2327" s="1386"/>
      <c r="E2327" s="1386"/>
      <c r="F2327" s="1386"/>
      <c r="G2327" s="403"/>
      <c r="H2327" s="403"/>
      <c r="I2327" s="427"/>
      <c r="J2327" s="412"/>
      <c r="K2327" s="404">
        <f t="shared" si="394"/>
        <v>55712.553862500004</v>
      </c>
      <c r="L2327" s="404">
        <f t="shared" si="394"/>
        <v>41834.949357776823</v>
      </c>
      <c r="M2327" s="452">
        <f t="shared" si="392"/>
        <v>0.36185420611507468</v>
      </c>
      <c r="N2327" s="796"/>
      <c r="P2327" s="399"/>
    </row>
    <row r="2328" spans="2:16" s="748" customFormat="1" ht="15" customHeight="1" x14ac:dyDescent="0.25">
      <c r="B2328" s="1382" t="s">
        <v>7914</v>
      </c>
      <c r="C2328" s="1382"/>
      <c r="D2328" s="1382"/>
      <c r="E2328" s="1382"/>
      <c r="F2328" s="1382"/>
      <c r="G2328" s="405"/>
      <c r="H2328" s="405"/>
      <c r="I2328" s="428"/>
      <c r="J2328" s="413"/>
      <c r="K2328" s="406">
        <f t="shared" si="394"/>
        <v>55712.553862500004</v>
      </c>
      <c r="L2328" s="406">
        <f t="shared" si="394"/>
        <v>41834.949357776823</v>
      </c>
      <c r="M2328" s="453">
        <f t="shared" si="392"/>
        <v>0.36185420611507468</v>
      </c>
      <c r="N2328" s="796"/>
      <c r="P2328" s="399"/>
    </row>
    <row r="2329" spans="2:16" s="748" customFormat="1" ht="15" customHeight="1" x14ac:dyDescent="0.25">
      <c r="B2329" s="1383" t="s">
        <v>8199</v>
      </c>
      <c r="C2329" s="1383"/>
      <c r="D2329" s="1383"/>
      <c r="E2329" s="1383"/>
      <c r="F2329" s="1383"/>
      <c r="G2329" s="407"/>
      <c r="H2329" s="407"/>
      <c r="I2329" s="429"/>
      <c r="J2329" s="414"/>
      <c r="K2329" s="408">
        <f>SUM(K2330:K2341)+K2346+K2348+K2350-0.01</f>
        <v>55712.553862500004</v>
      </c>
      <c r="L2329" s="408">
        <f>SUM(L2330:L2341)+L2346+L2348+L2350-0.01</f>
        <v>41834.949357776823</v>
      </c>
      <c r="M2329" s="454">
        <f t="shared" si="392"/>
        <v>0.36185420611507468</v>
      </c>
      <c r="N2329" s="796"/>
      <c r="P2329" s="399"/>
    </row>
    <row r="2330" spans="2:16" s="115" customFormat="1" x14ac:dyDescent="0.25">
      <c r="B2330" s="1398" t="s">
        <v>8252</v>
      </c>
      <c r="C2330" s="1398"/>
      <c r="D2330" s="1398"/>
      <c r="E2330" s="854">
        <v>331900400000000</v>
      </c>
      <c r="F2330" s="855" t="s">
        <v>8288</v>
      </c>
      <c r="G2330" s="468">
        <v>1</v>
      </c>
      <c r="H2330" s="468">
        <v>0</v>
      </c>
      <c r="I2330" s="751"/>
      <c r="J2330" s="878" t="s">
        <v>7926</v>
      </c>
      <c r="K2330" s="789">
        <f>(('Parâmetros financeiros Despesa'!E$1133))</f>
        <v>0</v>
      </c>
      <c r="L2330" s="789">
        <f>(('Parâmetros financeiros Despesa'!F$1133)*2.05+(('Parâmetros financeiros Despesa'!F$1133)*11.28)*(1+'Parâmetros financeiros Despesa'!F$4)*(1+'Parâmetros financeiros Despesa'!F$8))*(1+'Parâmetros financeiros Despesa'!F$80)</f>
        <v>17.278630081629636</v>
      </c>
      <c r="M2330" s="799">
        <f t="shared" si="392"/>
        <v>1.4945267215393134E-4</v>
      </c>
      <c r="N2330" s="894"/>
      <c r="P2330" s="733"/>
    </row>
    <row r="2331" spans="2:16" s="115" customFormat="1" x14ac:dyDescent="0.25">
      <c r="B2331" s="1398" t="s">
        <v>8253</v>
      </c>
      <c r="C2331" s="1398"/>
      <c r="D2331" s="1398"/>
      <c r="E2331" s="854">
        <v>331901100000000</v>
      </c>
      <c r="F2331" s="855" t="s">
        <v>8289</v>
      </c>
      <c r="G2331" s="468">
        <v>1</v>
      </c>
      <c r="H2331" s="468">
        <v>0</v>
      </c>
      <c r="I2331" s="751"/>
      <c r="J2331" s="878" t="s">
        <v>7926</v>
      </c>
      <c r="K2331" s="789">
        <f>('Parâmetros financeiros Despesa'!E$1134)</f>
        <v>24755.87615</v>
      </c>
      <c r="L2331" s="789">
        <f>('Parâmetros financeiros Despesa'!F$1134)*2.05+(('Parâmetros financeiros Despesa'!F$1134)*11.28)*(1+'Parâmetros financeiros Despesa'!F$4)*(1+'Parâmetros financeiros Despesa'!F$8)</f>
        <v>25918.140504072297</v>
      </c>
      <c r="M2331" s="799">
        <f t="shared" si="392"/>
        <v>0.22418069819741823</v>
      </c>
      <c r="N2331" s="894"/>
      <c r="P2331" s="733"/>
    </row>
    <row r="2332" spans="2:16" s="115" customFormat="1" x14ac:dyDescent="0.25">
      <c r="B2332" s="1398" t="s">
        <v>8254</v>
      </c>
      <c r="C2332" s="1398"/>
      <c r="D2332" s="1398"/>
      <c r="E2332" s="854">
        <v>331901300000000</v>
      </c>
      <c r="F2332" s="855" t="s">
        <v>8292</v>
      </c>
      <c r="G2332" s="468">
        <v>1</v>
      </c>
      <c r="H2332" s="468">
        <v>0</v>
      </c>
      <c r="I2332" s="751"/>
      <c r="J2332" s="878" t="s">
        <v>7926</v>
      </c>
      <c r="K2332" s="789">
        <f>'Parâmetros financeiros Despesa'!E1135</f>
        <v>4852.5365625000004</v>
      </c>
      <c r="L2332" s="789">
        <f>(L2333+L2331)*'Parâmetros financeiros Despesa'!F$80</f>
        <v>6220.0439546059597</v>
      </c>
      <c r="M2332" s="799">
        <f t="shared" si="392"/>
        <v>5.3800688222332235E-2</v>
      </c>
      <c r="N2332" s="894"/>
      <c r="P2332" s="733"/>
    </row>
    <row r="2333" spans="2:16" s="115" customFormat="1" x14ac:dyDescent="0.25">
      <c r="B2333" s="1398" t="s">
        <v>8255</v>
      </c>
      <c r="C2333" s="1398"/>
      <c r="D2333" s="1398"/>
      <c r="E2333" s="854">
        <v>331901600000000</v>
      </c>
      <c r="F2333" s="855" t="s">
        <v>8290</v>
      </c>
      <c r="G2333" s="468">
        <v>1</v>
      </c>
      <c r="H2333" s="468">
        <v>0</v>
      </c>
      <c r="I2333" s="751"/>
      <c r="J2333" s="878" t="s">
        <v>7926</v>
      </c>
      <c r="K2333" s="789">
        <f>('Parâmetros financeiros Despesa'!E$1136)</f>
        <v>177.285</v>
      </c>
      <c r="L2333" s="789">
        <f>('Parâmetros financeiros Despesa'!F$1136)*2.05+(('Parâmetros financeiros Despesa'!F$1136)*11.28)*(1+'Parâmetros financeiros Despesa'!F$4)*(1+'Parâmetros financeiros Despesa'!F$8)</f>
        <v>206.17995173910526</v>
      </c>
      <c r="M2333" s="799">
        <f t="shared" si="392"/>
        <v>1.7833673495180032E-3</v>
      </c>
      <c r="N2333" s="894"/>
      <c r="P2333" s="733"/>
    </row>
    <row r="2334" spans="2:16" s="115" customFormat="1" x14ac:dyDescent="0.25">
      <c r="B2334" s="1398" t="s">
        <v>8256</v>
      </c>
      <c r="C2334" s="1398"/>
      <c r="D2334" s="1398"/>
      <c r="E2334" s="854">
        <v>333901400000000</v>
      </c>
      <c r="F2334" s="855" t="s">
        <v>8293</v>
      </c>
      <c r="G2334" s="468">
        <v>1</v>
      </c>
      <c r="H2334" s="468">
        <v>0</v>
      </c>
      <c r="I2334" s="751"/>
      <c r="J2334" s="878" t="s">
        <v>7926</v>
      </c>
      <c r="K2334" s="789">
        <f>('Parâmetros financeiros Despesa'!E$1137)</f>
        <v>0</v>
      </c>
      <c r="L2334" s="789">
        <f>('Parâmetros financeiros Despesa'!F$1137)*2+(('Parâmetros financeiros Despesa'!F$1137)*10)*(1+'Parâmetros financeiros Despesa'!F$4)*(1+'Parâmetros financeiros Despesa'!F$8)</f>
        <v>1255.4814326439473</v>
      </c>
      <c r="M2334" s="799">
        <f t="shared" si="392"/>
        <v>1.0859371030101194E-2</v>
      </c>
      <c r="N2334" s="894"/>
      <c r="O2334" s="796"/>
      <c r="P2334" s="733"/>
    </row>
    <row r="2335" spans="2:16" s="115" customFormat="1" x14ac:dyDescent="0.25">
      <c r="B2335" s="1396">
        <v>434500</v>
      </c>
      <c r="C2335" s="1396"/>
      <c r="D2335" s="1396"/>
      <c r="E2335" s="854">
        <v>333903000000000</v>
      </c>
      <c r="F2335" s="855" t="s">
        <v>8294</v>
      </c>
      <c r="G2335" s="468">
        <v>1</v>
      </c>
      <c r="H2335" s="468">
        <v>0</v>
      </c>
      <c r="I2335" s="751"/>
      <c r="J2335" s="878" t="s">
        <v>7926</v>
      </c>
      <c r="K2335" s="789">
        <f>('Parâmetros financeiros Despesa'!E1134)</f>
        <v>24755.87615</v>
      </c>
      <c r="L2335" s="789">
        <f>('Parâmetros financeiros Despesa'!F1134)*(1+'Parâmetros financeiros Despesa'!F$4)*(1+'Parâmetros financeiros Despesa'!F$7)</f>
        <v>2024.9145968825001</v>
      </c>
      <c r="M2335" s="799">
        <f t="shared" si="392"/>
        <v>1.7514634896278063E-2</v>
      </c>
      <c r="N2335" s="894"/>
      <c r="O2335" s="796"/>
      <c r="P2335" s="733"/>
    </row>
    <row r="2336" spans="2:16" s="115" customFormat="1" x14ac:dyDescent="0.25">
      <c r="B2336" s="1396">
        <v>434600</v>
      </c>
      <c r="C2336" s="1396"/>
      <c r="D2336" s="1396"/>
      <c r="E2336" s="854">
        <v>333903200000000</v>
      </c>
      <c r="F2336" s="855" t="s">
        <v>8295</v>
      </c>
      <c r="G2336" s="468">
        <v>1</v>
      </c>
      <c r="H2336" s="468">
        <v>0</v>
      </c>
      <c r="I2336" s="751"/>
      <c r="J2336" s="878" t="s">
        <v>7926</v>
      </c>
      <c r="K2336" s="789">
        <f>('Parâmetros financeiros Despesa'!E1136)</f>
        <v>177.285</v>
      </c>
      <c r="L2336" s="789">
        <f>('Parâmetros financeiros Despesa'!F1136)*(1+'Parâmetros financeiros Despesa'!F$4)*(1+'Parâmetros financeiros Despesa'!F$7)</f>
        <v>16.108284998125001</v>
      </c>
      <c r="M2336" s="799">
        <f t="shared" si="392"/>
        <v>1.3932969369755786E-4</v>
      </c>
      <c r="N2336" s="894"/>
      <c r="O2336" s="796"/>
      <c r="P2336" s="733"/>
    </row>
    <row r="2337" spans="2:16" s="115" customFormat="1" x14ac:dyDescent="0.25">
      <c r="B2337" s="1396">
        <v>434700</v>
      </c>
      <c r="C2337" s="1396"/>
      <c r="D2337" s="1396"/>
      <c r="E2337" s="854">
        <v>333903300000000</v>
      </c>
      <c r="F2337" s="855" t="s">
        <v>8296</v>
      </c>
      <c r="G2337" s="468">
        <v>1</v>
      </c>
      <c r="H2337" s="468">
        <v>0</v>
      </c>
      <c r="I2337" s="751"/>
      <c r="J2337" s="878" t="s">
        <v>7926</v>
      </c>
      <c r="K2337" s="789">
        <f>('Parâmetros financeiros Despesa'!E1140)</f>
        <v>87.15</v>
      </c>
      <c r="L2337" s="789">
        <f>('Parâmetros financeiros Despesa'!F1140)*(1+'Parâmetros financeiros Despesa'!F$4)*(1+'Parâmetros financeiros Despesa'!F$7)</f>
        <v>95.022390225000009</v>
      </c>
      <c r="M2337" s="799">
        <f t="shared" si="392"/>
        <v>8.2190255051981843E-4</v>
      </c>
      <c r="N2337" s="894"/>
      <c r="O2337" s="796"/>
      <c r="P2337" s="733"/>
    </row>
    <row r="2338" spans="2:16" s="115" customFormat="1" x14ac:dyDescent="0.25">
      <c r="B2338" s="1398" t="s">
        <v>8257</v>
      </c>
      <c r="C2338" s="1398"/>
      <c r="D2338" s="1398"/>
      <c r="E2338" s="854">
        <v>333903500000000</v>
      </c>
      <c r="F2338" s="855" t="s">
        <v>8297</v>
      </c>
      <c r="G2338" s="468">
        <v>1</v>
      </c>
      <c r="H2338" s="468">
        <v>0</v>
      </c>
      <c r="I2338" s="751"/>
      <c r="J2338" s="878" t="s">
        <v>7926</v>
      </c>
      <c r="K2338" s="789">
        <f>('Parâmetros financeiros Despesa'!E1141)</f>
        <v>0</v>
      </c>
      <c r="L2338" s="789">
        <f>('Parâmetros financeiros Despesa'!F1141)*(1+'Parâmetros financeiros Despesa'!F$4)*(1+'Parâmetros financeiros Despesa'!F$7)</f>
        <v>1090.3315</v>
      </c>
      <c r="M2338" s="799">
        <f t="shared" si="392"/>
        <v>9.4308955882939569E-3</v>
      </c>
      <c r="N2338" s="894"/>
      <c r="O2338" s="796"/>
      <c r="P2338" s="733"/>
    </row>
    <row r="2339" spans="2:16" s="115" customFormat="1" x14ac:dyDescent="0.25">
      <c r="B2339" s="1398" t="s">
        <v>8258</v>
      </c>
      <c r="C2339" s="1398"/>
      <c r="D2339" s="1398"/>
      <c r="E2339" s="854">
        <v>333903600000000</v>
      </c>
      <c r="F2339" s="855" t="s">
        <v>8298</v>
      </c>
      <c r="G2339" s="468">
        <v>1</v>
      </c>
      <c r="H2339" s="468">
        <v>0</v>
      </c>
      <c r="I2339" s="751"/>
      <c r="J2339" s="878" t="s">
        <v>7926</v>
      </c>
      <c r="K2339" s="789">
        <f>('Parâmetros financeiros Despesa'!E1142)</f>
        <v>0</v>
      </c>
      <c r="L2339" s="789">
        <f>('Parâmetros financeiros Despesa'!F1142)*(1+'Parâmetros financeiros Despesa'!F$4)*(1+'Parâmetros financeiros Despesa'!F$7)</f>
        <v>1090.3315</v>
      </c>
      <c r="M2339" s="799">
        <f t="shared" si="392"/>
        <v>9.4308955882939569E-3</v>
      </c>
      <c r="N2339" s="894"/>
      <c r="O2339" s="796"/>
      <c r="P2339" s="733"/>
    </row>
    <row r="2340" spans="2:16" s="115" customFormat="1" x14ac:dyDescent="0.25">
      <c r="B2340" s="1398" t="s">
        <v>8259</v>
      </c>
      <c r="C2340" s="1398"/>
      <c r="D2340" s="1398"/>
      <c r="E2340" s="854">
        <v>333903900000000</v>
      </c>
      <c r="F2340" s="855" t="s">
        <v>8299</v>
      </c>
      <c r="G2340" s="468">
        <v>1</v>
      </c>
      <c r="H2340" s="468">
        <v>0</v>
      </c>
      <c r="I2340" s="751"/>
      <c r="J2340" s="878" t="s">
        <v>7926</v>
      </c>
      <c r="K2340" s="789">
        <f>('Parâmetros financeiros Despesa'!E1143)</f>
        <v>502.5</v>
      </c>
      <c r="L2340" s="789">
        <f>('Parâmetros financeiros Despesa'!F1143)*(1+'Parâmetros financeiros Despesa'!F$4)*(1+'Parâmetros financeiros Despesa'!F$7)</f>
        <v>1638.22307875</v>
      </c>
      <c r="M2340" s="799">
        <f t="shared" si="392"/>
        <v>1.4169920621411669E-2</v>
      </c>
      <c r="N2340" s="894"/>
      <c r="O2340" s="796"/>
      <c r="P2340" s="733"/>
    </row>
    <row r="2341" spans="2:16" s="115" customFormat="1" x14ac:dyDescent="0.25">
      <c r="B2341" s="1398" t="s">
        <v>8260</v>
      </c>
      <c r="C2341" s="1398"/>
      <c r="D2341" s="1398"/>
      <c r="E2341" s="854">
        <v>333904700000000</v>
      </c>
      <c r="F2341" s="855" t="s">
        <v>8300</v>
      </c>
      <c r="G2341" s="468">
        <v>1</v>
      </c>
      <c r="H2341" s="468">
        <v>0</v>
      </c>
      <c r="I2341" s="751"/>
      <c r="J2341" s="878" t="s">
        <v>7926</v>
      </c>
      <c r="K2341" s="789">
        <f>'Parâmetros financeiros Despesa'!E1144</f>
        <v>0</v>
      </c>
      <c r="L2341" s="789">
        <f>(('Parâmetros financeiros Despesa'!F1142)*(1+'Parâmetros financeiros Despesa'!F$4)*(1+'Parâmetros financeiros Despesa'!F$7))*('Parâmetros financeiros Despesa'!F$83)</f>
        <v>218.06630000000001</v>
      </c>
      <c r="M2341" s="799">
        <f t="shared" si="392"/>
        <v>1.8861791176587913E-3</v>
      </c>
      <c r="N2341" s="894"/>
      <c r="O2341" s="796"/>
      <c r="P2341" s="733"/>
    </row>
    <row r="2342" spans="2:16" s="748" customFormat="1" x14ac:dyDescent="0.25">
      <c r="B2342" s="599">
        <f>B2341+1</f>
        <v>435101</v>
      </c>
      <c r="C2342" s="600" t="s">
        <v>6062</v>
      </c>
      <c r="D2342" s="528" t="str">
        <f>B2341</f>
        <v>435100</v>
      </c>
      <c r="E2342" s="417">
        <v>333904718000000</v>
      </c>
      <c r="F2342" s="418" t="s">
        <v>5904</v>
      </c>
      <c r="G2342" s="603">
        <v>1</v>
      </c>
      <c r="H2342" s="603">
        <v>0</v>
      </c>
      <c r="I2342" s="601">
        <v>372110400000000</v>
      </c>
      <c r="J2342" s="602"/>
      <c r="K2342" s="891">
        <v>0</v>
      </c>
      <c r="L2342" s="891">
        <v>0</v>
      </c>
      <c r="M2342" s="996">
        <f t="shared" si="392"/>
        <v>0</v>
      </c>
      <c r="N2342" s="796"/>
      <c r="P2342" s="399"/>
    </row>
    <row r="2343" spans="2:16" s="748" customFormat="1" x14ac:dyDescent="0.25">
      <c r="B2343" s="599">
        <f>B2342+1</f>
        <v>435102</v>
      </c>
      <c r="C2343" s="600" t="s">
        <v>6062</v>
      </c>
      <c r="D2343" s="528" t="str">
        <f>D2342</f>
        <v>435100</v>
      </c>
      <c r="E2343" s="417">
        <v>333904718000000</v>
      </c>
      <c r="F2343" s="418" t="s">
        <v>6917</v>
      </c>
      <c r="G2343" s="603">
        <v>1</v>
      </c>
      <c r="H2343" s="603">
        <v>0</v>
      </c>
      <c r="I2343" s="601">
        <v>372110400000000</v>
      </c>
      <c r="J2343" s="602"/>
      <c r="K2343" s="891">
        <v>0</v>
      </c>
      <c r="L2343" s="891">
        <v>0</v>
      </c>
      <c r="M2343" s="996">
        <f t="shared" si="392"/>
        <v>0</v>
      </c>
      <c r="N2343" s="796"/>
      <c r="P2343" s="399"/>
    </row>
    <row r="2344" spans="2:16" s="748" customFormat="1" x14ac:dyDescent="0.25">
      <c r="B2344" s="599">
        <f>B2343+1</f>
        <v>435103</v>
      </c>
      <c r="C2344" s="600" t="s">
        <v>6062</v>
      </c>
      <c r="D2344" s="528" t="str">
        <f>D2343</f>
        <v>435100</v>
      </c>
      <c r="E2344" s="417">
        <v>333904720000000</v>
      </c>
      <c r="F2344" s="418" t="s">
        <v>5905</v>
      </c>
      <c r="G2344" s="603">
        <v>1</v>
      </c>
      <c r="H2344" s="603">
        <v>0</v>
      </c>
      <c r="I2344" s="601">
        <v>372110500000000</v>
      </c>
      <c r="J2344" s="602"/>
      <c r="K2344" s="891">
        <v>0</v>
      </c>
      <c r="L2344" s="891">
        <v>0</v>
      </c>
      <c r="M2344" s="996">
        <f t="shared" si="392"/>
        <v>0</v>
      </c>
      <c r="N2344" s="796"/>
      <c r="P2344" s="399"/>
    </row>
    <row r="2345" spans="2:16" s="748" customFormat="1" x14ac:dyDescent="0.25">
      <c r="B2345" s="599">
        <f>B2344+1</f>
        <v>435104</v>
      </c>
      <c r="C2345" s="600" t="s">
        <v>6062</v>
      </c>
      <c r="D2345" s="528" t="str">
        <f>D2344</f>
        <v>435100</v>
      </c>
      <c r="E2345" s="417">
        <v>333904720000000</v>
      </c>
      <c r="F2345" s="418" t="s">
        <v>6918</v>
      </c>
      <c r="G2345" s="603">
        <v>1</v>
      </c>
      <c r="H2345" s="603">
        <v>0</v>
      </c>
      <c r="I2345" s="601">
        <v>372110500000000</v>
      </c>
      <c r="J2345" s="602"/>
      <c r="K2345" s="891">
        <v>0</v>
      </c>
      <c r="L2345" s="891">
        <v>0</v>
      </c>
      <c r="M2345" s="996">
        <f t="shared" si="392"/>
        <v>0</v>
      </c>
      <c r="N2345" s="796"/>
      <c r="P2345" s="399"/>
    </row>
    <row r="2346" spans="2:16" s="115" customFormat="1" x14ac:dyDescent="0.25">
      <c r="B2346" s="1398" t="s">
        <v>8261</v>
      </c>
      <c r="C2346" s="1398"/>
      <c r="D2346" s="1398"/>
      <c r="E2346" s="854">
        <v>333904900000000</v>
      </c>
      <c r="F2346" s="855" t="s">
        <v>8291</v>
      </c>
      <c r="G2346" s="468">
        <v>1</v>
      </c>
      <c r="H2346" s="468">
        <v>0</v>
      </c>
      <c r="I2346" s="751"/>
      <c r="J2346" s="878" t="s">
        <v>7926</v>
      </c>
      <c r="K2346" s="789">
        <f>('Parâmetros financeiros Despesa'!E$1145)</f>
        <v>404.05500000000001</v>
      </c>
      <c r="L2346" s="789">
        <f>('Parâmetros financeiros Despesa'!F$1145)*2+(('Parâmetros financeiros Despesa'!F$1145)*10)*(1+'Parâmetros financeiros Despesa'!F$4)*(1+'Parâmetros financeiros Despesa'!F$8)</f>
        <v>845.47258377825028</v>
      </c>
      <c r="M2346" s="799">
        <f t="shared" si="392"/>
        <v>7.3129719359458969E-3</v>
      </c>
      <c r="N2346" s="894"/>
      <c r="O2346" s="796"/>
      <c r="P2346" s="733"/>
    </row>
    <row r="2347" spans="2:16" s="748" customFormat="1" x14ac:dyDescent="0.25">
      <c r="B2347" s="599">
        <f>B2346+1</f>
        <v>435201</v>
      </c>
      <c r="C2347" s="600" t="s">
        <v>6062</v>
      </c>
      <c r="D2347" s="528" t="str">
        <f>B2346</f>
        <v>435200</v>
      </c>
      <c r="E2347" s="417">
        <v>333904901000000</v>
      </c>
      <c r="F2347" s="418" t="s">
        <v>6042</v>
      </c>
      <c r="G2347" s="603">
        <v>1</v>
      </c>
      <c r="H2347" s="603">
        <v>0</v>
      </c>
      <c r="I2347" s="601">
        <v>313110200000000</v>
      </c>
      <c r="J2347" s="602"/>
      <c r="K2347" s="891">
        <v>0</v>
      </c>
      <c r="L2347" s="891">
        <v>0</v>
      </c>
      <c r="M2347" s="996">
        <f t="shared" si="392"/>
        <v>0</v>
      </c>
      <c r="N2347" s="796"/>
      <c r="P2347" s="399"/>
    </row>
    <row r="2348" spans="2:16" s="115" customFormat="1" x14ac:dyDescent="0.25">
      <c r="B2348" s="1398" t="s">
        <v>8262</v>
      </c>
      <c r="C2348" s="1398"/>
      <c r="D2348" s="1398"/>
      <c r="E2348" s="854">
        <v>333909300000000</v>
      </c>
      <c r="F2348" s="855" t="s">
        <v>8301</v>
      </c>
      <c r="G2348" s="468">
        <v>1</v>
      </c>
      <c r="H2348" s="468">
        <v>0</v>
      </c>
      <c r="I2348" s="751"/>
      <c r="J2348" s="878" t="s">
        <v>7926</v>
      </c>
      <c r="K2348" s="789">
        <f>('Parâmetros financeiros Despesa'!E1146)</f>
        <v>0</v>
      </c>
      <c r="L2348" s="789">
        <f>('Parâmetros financeiros Despesa'!F1146)*(1+'Parâmetros financeiros Despesa'!F$4)*(1+'Parâmetros financeiros Despesa'!F$7)</f>
        <v>327.09944999999999</v>
      </c>
      <c r="M2348" s="799">
        <f t="shared" si="392"/>
        <v>2.8292686764881869E-3</v>
      </c>
      <c r="N2348" s="894"/>
      <c r="O2348" s="796"/>
      <c r="P2348" s="733"/>
    </row>
    <row r="2349" spans="2:16" s="748" customFormat="1" x14ac:dyDescent="0.25">
      <c r="B2349" s="599">
        <f>B2348+1</f>
        <v>435301</v>
      </c>
      <c r="C2349" s="600" t="s">
        <v>6062</v>
      </c>
      <c r="D2349" s="528" t="str">
        <f>B2348</f>
        <v>435300</v>
      </c>
      <c r="E2349" s="417">
        <v>333909399000000</v>
      </c>
      <c r="F2349" s="418" t="s">
        <v>1038</v>
      </c>
      <c r="G2349" s="603">
        <v>1</v>
      </c>
      <c r="H2349" s="603">
        <v>0</v>
      </c>
      <c r="I2349" s="601">
        <v>399910300000000</v>
      </c>
      <c r="J2349" s="602"/>
      <c r="K2349" s="891">
        <v>0</v>
      </c>
      <c r="L2349" s="891">
        <v>0</v>
      </c>
      <c r="M2349" s="996">
        <f t="shared" si="392"/>
        <v>0</v>
      </c>
      <c r="N2349" s="796"/>
      <c r="P2349" s="399"/>
    </row>
    <row r="2350" spans="2:16" s="115" customFormat="1" ht="30" x14ac:dyDescent="0.25">
      <c r="B2350" s="1398" t="s">
        <v>8263</v>
      </c>
      <c r="C2350" s="1398"/>
      <c r="D2350" s="1398"/>
      <c r="E2350" s="854">
        <v>333933000000000</v>
      </c>
      <c r="F2350" s="855" t="s">
        <v>8302</v>
      </c>
      <c r="G2350" s="468">
        <v>1</v>
      </c>
      <c r="H2350" s="468">
        <v>0</v>
      </c>
      <c r="I2350" s="751"/>
      <c r="J2350" s="878" t="s">
        <v>6197</v>
      </c>
      <c r="K2350" s="789">
        <f>('Parâmetros financeiros Despesa'!E1147)</f>
        <v>0</v>
      </c>
      <c r="L2350" s="789">
        <f>('Parâmetros financeiros Despesa'!F1147)*(1+'Parâmetros financeiros Despesa'!F$4)*(1+'Parâmetros financeiros Despesa'!F$7)</f>
        <v>872.26520000000005</v>
      </c>
      <c r="M2350" s="799">
        <f t="shared" si="392"/>
        <v>7.5447164706351653E-3</v>
      </c>
      <c r="N2350" s="894"/>
      <c r="O2350" s="796"/>
      <c r="P2350" s="733"/>
    </row>
    <row r="2351" spans="2:16" s="748" customFormat="1" x14ac:dyDescent="0.25">
      <c r="B2351" s="599">
        <f>B2350+1</f>
        <v>435401</v>
      </c>
      <c r="C2351" s="600" t="s">
        <v>6062</v>
      </c>
      <c r="D2351" s="528" t="str">
        <f>B2350</f>
        <v>435400</v>
      </c>
      <c r="E2351" s="417">
        <v>333933002000000</v>
      </c>
      <c r="F2351" s="418" t="s">
        <v>6199</v>
      </c>
      <c r="G2351" s="603">
        <v>1</v>
      </c>
      <c r="H2351" s="603">
        <v>0</v>
      </c>
      <c r="I2351" s="601">
        <v>35</v>
      </c>
      <c r="J2351" s="602"/>
      <c r="K2351" s="891">
        <v>0</v>
      </c>
      <c r="L2351" s="891">
        <v>0</v>
      </c>
      <c r="M2351" s="996">
        <f t="shared" si="392"/>
        <v>0</v>
      </c>
      <c r="N2351" s="796"/>
      <c r="P2351" s="399"/>
    </row>
    <row r="2352" spans="2:16" s="820" customFormat="1" ht="15" customHeight="1" x14ac:dyDescent="0.25">
      <c r="B2352" s="864" t="s">
        <v>22</v>
      </c>
      <c r="C2352" s="864"/>
      <c r="D2352" s="864"/>
      <c r="E2352" s="864"/>
      <c r="F2352" s="864"/>
      <c r="G2352" s="864"/>
      <c r="H2352" s="864"/>
      <c r="I2352" s="864"/>
      <c r="J2352" s="864"/>
      <c r="K2352" s="863">
        <f>K2327+K2321+K2312</f>
        <v>110178.0038625</v>
      </c>
      <c r="L2352" s="863">
        <f>L2327+L2321+L2312</f>
        <v>115612.72095445183</v>
      </c>
      <c r="M2352" s="452">
        <f t="shared" si="392"/>
        <v>1</v>
      </c>
      <c r="N2352" s="796"/>
      <c r="P2352" s="399"/>
    </row>
    <row r="2353" spans="2:16" s="820" customFormat="1" ht="15" customHeight="1" x14ac:dyDescent="0.25">
      <c r="B2353" s="864" t="s">
        <v>11469</v>
      </c>
      <c r="C2353" s="864"/>
      <c r="D2353" s="864"/>
      <c r="E2353" s="864"/>
      <c r="F2353" s="864"/>
      <c r="G2353" s="864"/>
      <c r="H2353" s="864"/>
      <c r="I2353" s="864"/>
      <c r="J2353" s="864"/>
      <c r="K2353" s="863"/>
      <c r="L2353" s="863"/>
      <c r="M2353" s="452"/>
      <c r="N2353" s="796"/>
      <c r="P2353" s="399"/>
    </row>
    <row r="2354" spans="2:16" s="31" customFormat="1" ht="15" customHeight="1" x14ac:dyDescent="0.25">
      <c r="B2354" s="869" t="s">
        <v>745</v>
      </c>
      <c r="C2354" s="869"/>
      <c r="D2354" s="869"/>
      <c r="E2354" s="869"/>
      <c r="F2354" s="869"/>
      <c r="G2354" s="869"/>
      <c r="H2354" s="869"/>
      <c r="I2354" s="869"/>
      <c r="J2354" s="869"/>
      <c r="K2354" s="870">
        <f>K2352</f>
        <v>110178.0038625</v>
      </c>
      <c r="L2354" s="870">
        <f>L2352</f>
        <v>115612.72095445183</v>
      </c>
      <c r="M2354" s="871">
        <f>L2354/L$2355</f>
        <v>1</v>
      </c>
      <c r="N2354" s="897"/>
      <c r="P2354" s="736"/>
    </row>
    <row r="2355" spans="2:16" s="115" customFormat="1" ht="15" customHeight="1" x14ac:dyDescent="0.25">
      <c r="B2355" s="864" t="s">
        <v>2172</v>
      </c>
      <c r="C2355" s="864"/>
      <c r="D2355" s="864"/>
      <c r="E2355" s="864"/>
      <c r="F2355" s="864"/>
      <c r="G2355" s="864"/>
      <c r="H2355" s="864"/>
      <c r="I2355" s="864"/>
      <c r="J2355" s="864"/>
      <c r="K2355" s="863">
        <f>K2354</f>
        <v>110178.0038625</v>
      </c>
      <c r="L2355" s="863">
        <f>L2354</f>
        <v>115612.72095445183</v>
      </c>
      <c r="M2355" s="452">
        <f>L2355/L$2355</f>
        <v>1</v>
      </c>
      <c r="O2355" s="796"/>
      <c r="P2355" s="733"/>
    </row>
    <row r="2356" spans="2:16" x14ac:dyDescent="0.25">
      <c r="F2356" s="399"/>
      <c r="G2356" s="399"/>
      <c r="H2356" s="399"/>
    </row>
    <row r="2357" spans="2:16" s="115" customFormat="1" x14ac:dyDescent="0.25">
      <c r="B2357" s="977"/>
      <c r="C2357" s="977"/>
      <c r="D2357" s="977"/>
      <c r="E2357" s="977"/>
      <c r="F2357" s="977"/>
      <c r="G2357" s="977"/>
      <c r="H2357" s="977"/>
      <c r="I2357" s="977"/>
      <c r="J2357" s="977"/>
      <c r="K2357" s="944"/>
      <c r="L2357" s="901"/>
      <c r="M2357" s="902"/>
      <c r="N2357" s="894"/>
      <c r="P2357" s="733"/>
    </row>
    <row r="2358" spans="2:16" x14ac:dyDescent="0.25">
      <c r="F2358" s="399"/>
      <c r="G2358" s="399"/>
      <c r="H2358" s="399"/>
    </row>
    <row r="2359" spans="2:16" x14ac:dyDescent="0.25">
      <c r="F2359" s="399"/>
      <c r="G2359" s="399"/>
      <c r="H2359" s="399"/>
    </row>
    <row r="2360" spans="2:16" x14ac:dyDescent="0.25">
      <c r="F2360" s="399"/>
      <c r="G2360" s="399"/>
      <c r="H2360" s="399"/>
    </row>
    <row r="2361" spans="2:16" x14ac:dyDescent="0.25">
      <c r="F2361" s="399"/>
      <c r="G2361" s="399"/>
      <c r="H2361" s="399"/>
    </row>
    <row r="2362" spans="2:16" x14ac:dyDescent="0.25">
      <c r="F2362" s="399"/>
      <c r="G2362" s="399"/>
      <c r="H2362" s="399"/>
    </row>
    <row r="2363" spans="2:16" x14ac:dyDescent="0.25">
      <c r="F2363" s="399"/>
      <c r="G2363" s="399"/>
      <c r="H2363" s="399"/>
    </row>
    <row r="2364" spans="2:16" x14ac:dyDescent="0.25">
      <c r="F2364" s="399"/>
      <c r="G2364" s="399"/>
      <c r="H2364" s="399"/>
    </row>
    <row r="2365" spans="2:16" x14ac:dyDescent="0.25">
      <c r="F2365" s="399"/>
      <c r="G2365" s="399"/>
      <c r="H2365" s="399"/>
    </row>
    <row r="2366" spans="2:16" x14ac:dyDescent="0.25">
      <c r="F2366" s="399"/>
      <c r="G2366" s="399"/>
      <c r="H2366" s="399"/>
    </row>
    <row r="2368" spans="2:16" s="435" customFormat="1" ht="15" customHeight="1" x14ac:dyDescent="0.25">
      <c r="B2368" s="744" t="s">
        <v>989</v>
      </c>
      <c r="C2368" s="744"/>
      <c r="D2368" s="481"/>
      <c r="E2368" s="1371" t="s">
        <v>7911</v>
      </c>
      <c r="F2368" s="1371"/>
      <c r="G2368" s="1371"/>
      <c r="H2368" s="1371"/>
      <c r="I2368" s="1371"/>
      <c r="J2368" s="437"/>
      <c r="K2368" s="940"/>
      <c r="L2368" s="438"/>
      <c r="M2368" s="449"/>
      <c r="N2368" s="892"/>
      <c r="P2368" s="732"/>
    </row>
    <row r="2369" spans="1:16" s="435" customFormat="1" ht="15" customHeight="1" x14ac:dyDescent="0.25">
      <c r="B2369" s="744" t="s">
        <v>458</v>
      </c>
      <c r="C2369" s="744"/>
      <c r="D2369" s="481"/>
      <c r="E2369" s="1371" t="s">
        <v>8270</v>
      </c>
      <c r="F2369" s="1371"/>
      <c r="G2369" s="1371"/>
      <c r="H2369" s="1371"/>
      <c r="I2369" s="1371"/>
      <c r="J2369" s="437"/>
      <c r="K2369" s="940"/>
      <c r="L2369" s="438"/>
      <c r="M2369" s="449"/>
      <c r="N2369" s="892"/>
      <c r="P2369" s="732"/>
    </row>
    <row r="2370" spans="1:16" s="435" customFormat="1" ht="15" customHeight="1" x14ac:dyDescent="0.25">
      <c r="B2370" s="745" t="s">
        <v>5764</v>
      </c>
      <c r="C2370" s="745"/>
      <c r="D2370" s="745"/>
      <c r="E2370" s="1371" t="s">
        <v>749</v>
      </c>
      <c r="F2370" s="1371"/>
      <c r="G2370" s="1371"/>
      <c r="H2370" s="1371"/>
      <c r="I2370" s="1371"/>
      <c r="J2370" s="440"/>
      <c r="K2370" s="941"/>
      <c r="L2370" s="438"/>
      <c r="M2370" s="449"/>
      <c r="N2370" s="892"/>
      <c r="P2370" s="732"/>
    </row>
    <row r="2371" spans="1:16" s="851" customFormat="1" ht="113.25" customHeight="1" x14ac:dyDescent="0.25">
      <c r="A2371" s="396"/>
      <c r="B2371" s="1400" t="s">
        <v>2296</v>
      </c>
      <c r="C2371" s="1400"/>
      <c r="D2371" s="1400"/>
      <c r="E2371" s="1384" t="s">
        <v>2297</v>
      </c>
      <c r="F2371" s="1384"/>
      <c r="G2371" s="443" t="s">
        <v>444</v>
      </c>
      <c r="H2371" s="443" t="s">
        <v>2245</v>
      </c>
      <c r="I2371" s="444" t="s">
        <v>5725</v>
      </c>
      <c r="J2371" s="849" t="s">
        <v>2275</v>
      </c>
      <c r="K2371" s="893" t="s">
        <v>11644</v>
      </c>
      <c r="L2371" s="955" t="s">
        <v>11522</v>
      </c>
      <c r="M2371" s="450" t="s">
        <v>235</v>
      </c>
      <c r="N2371" s="796"/>
      <c r="P2371" s="399"/>
    </row>
    <row r="2372" spans="1:16" s="115" customFormat="1" ht="15" customHeight="1" x14ac:dyDescent="0.25">
      <c r="A2372" s="396"/>
      <c r="B2372" s="1385" t="s">
        <v>5951</v>
      </c>
      <c r="C2372" s="1385"/>
      <c r="D2372" s="1385"/>
      <c r="E2372" s="1385"/>
      <c r="F2372" s="1385"/>
      <c r="G2372" s="401"/>
      <c r="H2372" s="401"/>
      <c r="I2372" s="426"/>
      <c r="J2372" s="411"/>
      <c r="K2372" s="402">
        <f t="shared" ref="K2372:L2374" si="395">K2373</f>
        <v>3179.8600000000006</v>
      </c>
      <c r="L2372" s="402">
        <f t="shared" si="395"/>
        <v>5538.7304702750007</v>
      </c>
      <c r="M2372" s="451">
        <f t="shared" ref="M2372:M2403" si="396">L2372/L$2564</f>
        <v>1.9300241426175105E-2</v>
      </c>
      <c r="N2372" s="894"/>
      <c r="P2372" s="733"/>
    </row>
    <row r="2373" spans="1:16" s="748" customFormat="1" ht="15" customHeight="1" x14ac:dyDescent="0.25">
      <c r="A2373" s="396"/>
      <c r="B2373" s="1386" t="s">
        <v>5950</v>
      </c>
      <c r="C2373" s="1386"/>
      <c r="D2373" s="1386"/>
      <c r="E2373" s="1386"/>
      <c r="F2373" s="1386"/>
      <c r="G2373" s="403"/>
      <c r="H2373" s="403"/>
      <c r="I2373" s="427"/>
      <c r="J2373" s="412"/>
      <c r="K2373" s="404">
        <f t="shared" si="395"/>
        <v>3179.8600000000006</v>
      </c>
      <c r="L2373" s="404">
        <f t="shared" si="395"/>
        <v>5538.7304702750007</v>
      </c>
      <c r="M2373" s="452">
        <f t="shared" si="396"/>
        <v>1.9300241426175105E-2</v>
      </c>
      <c r="N2373" s="796"/>
      <c r="P2373" s="399"/>
    </row>
    <row r="2374" spans="1:16" s="748" customFormat="1" ht="15" customHeight="1" x14ac:dyDescent="0.25">
      <c r="A2374" s="396"/>
      <c r="B2374" s="1382" t="s">
        <v>8309</v>
      </c>
      <c r="C2374" s="1382"/>
      <c r="D2374" s="1382"/>
      <c r="E2374" s="1382"/>
      <c r="F2374" s="1382"/>
      <c r="G2374" s="405"/>
      <c r="H2374" s="405"/>
      <c r="I2374" s="428"/>
      <c r="J2374" s="413"/>
      <c r="K2374" s="406">
        <f t="shared" si="395"/>
        <v>3179.8600000000006</v>
      </c>
      <c r="L2374" s="406">
        <f t="shared" si="395"/>
        <v>5538.7304702750007</v>
      </c>
      <c r="M2374" s="453">
        <f t="shared" si="396"/>
        <v>1.9300241426175105E-2</v>
      </c>
      <c r="N2374" s="796"/>
      <c r="P2374" s="399"/>
    </row>
    <row r="2375" spans="1:16" s="748" customFormat="1" ht="15" customHeight="1" x14ac:dyDescent="0.25">
      <c r="A2375" s="396"/>
      <c r="B2375" s="1383" t="s">
        <v>2290</v>
      </c>
      <c r="C2375" s="1383"/>
      <c r="D2375" s="1383"/>
      <c r="E2375" s="1383"/>
      <c r="F2375" s="1383"/>
      <c r="G2375" s="407"/>
      <c r="H2375" s="407"/>
      <c r="I2375" s="429"/>
      <c r="J2375" s="414"/>
      <c r="K2375" s="408">
        <f>K2376+K2377+K2378+K2379+K2380+0.01</f>
        <v>3179.8600000000006</v>
      </c>
      <c r="L2375" s="408">
        <f>L2376+L2377+L2378+L2379+L2380+0.01</f>
        <v>5538.7304702750007</v>
      </c>
      <c r="M2375" s="454">
        <f t="shared" si="396"/>
        <v>1.9300241426175105E-2</v>
      </c>
      <c r="N2375" s="796"/>
      <c r="P2375" s="399"/>
    </row>
    <row r="2376" spans="1:16" s="748" customFormat="1" ht="15" customHeight="1" x14ac:dyDescent="0.25">
      <c r="A2376" s="396"/>
      <c r="B2376" s="1396">
        <v>436000</v>
      </c>
      <c r="C2376" s="1396"/>
      <c r="D2376" s="1396"/>
      <c r="E2376" s="417">
        <v>333904700000000</v>
      </c>
      <c r="F2376" s="600" t="s">
        <v>8305</v>
      </c>
      <c r="G2376" s="468">
        <v>1</v>
      </c>
      <c r="H2376" s="468">
        <v>0</v>
      </c>
      <c r="I2376" s="751"/>
      <c r="J2376" s="878"/>
      <c r="K2376" s="789">
        <f>'Parâmetros financeiros Despesa'!E1152</f>
        <v>0</v>
      </c>
      <c r="L2376" s="789">
        <f>(('Parâmetros financeiros Despesa'!F1154)*(1+'Parâmetros financeiros Despesa'!F$4)*(1+'Parâmetros financeiros Despesa'!F$7))*('Parâmetros financeiros Despesa'!F$83)</f>
        <v>109.03315000000001</v>
      </c>
      <c r="M2376" s="799">
        <f t="shared" si="396"/>
        <v>3.7993654498083595E-4</v>
      </c>
      <c r="N2376" s="894"/>
      <c r="O2376" s="796"/>
      <c r="P2376" s="399"/>
    </row>
    <row r="2377" spans="1:16" s="115" customFormat="1" ht="15" customHeight="1" x14ac:dyDescent="0.25">
      <c r="A2377" s="396"/>
      <c r="B2377" s="1396">
        <v>436100</v>
      </c>
      <c r="C2377" s="1396"/>
      <c r="D2377" s="1396"/>
      <c r="E2377" s="854">
        <v>344903000000000</v>
      </c>
      <c r="F2377" s="855" t="s">
        <v>8306</v>
      </c>
      <c r="G2377" s="468">
        <v>1</v>
      </c>
      <c r="H2377" s="468">
        <v>0</v>
      </c>
      <c r="I2377" s="751"/>
      <c r="J2377" s="878"/>
      <c r="K2377" s="789">
        <f>('Parâmetros financeiros Despesa'!E1153)</f>
        <v>0</v>
      </c>
      <c r="L2377" s="789">
        <f>('Parâmetros financeiros Despesa'!F1153)*(1+'Parâmetros financeiros Despesa'!F$4)*(1+'Parâmetros financeiros Despesa'!F$7)</f>
        <v>872.26520000000005</v>
      </c>
      <c r="M2377" s="799">
        <f t="shared" si="396"/>
        <v>3.0394923598466876E-3</v>
      </c>
      <c r="N2377" s="894"/>
      <c r="O2377" s="796"/>
      <c r="P2377" s="733"/>
    </row>
    <row r="2378" spans="1:16" s="457" customFormat="1" ht="15" customHeight="1" x14ac:dyDescent="0.25">
      <c r="A2378" s="396"/>
      <c r="B2378" s="1398" t="s">
        <v>8310</v>
      </c>
      <c r="C2378" s="1398"/>
      <c r="D2378" s="1398"/>
      <c r="E2378" s="854">
        <v>344903600000000</v>
      </c>
      <c r="F2378" s="855" t="s">
        <v>8304</v>
      </c>
      <c r="G2378" s="468">
        <v>1</v>
      </c>
      <c r="H2378" s="468">
        <v>0</v>
      </c>
      <c r="I2378" s="751"/>
      <c r="J2378" s="878"/>
      <c r="K2378" s="789">
        <f>('Parâmetros financeiros Despesa'!E1154)</f>
        <v>0</v>
      </c>
      <c r="L2378" s="789">
        <f>('Parâmetros financeiros Despesa'!F1154*(1+'Parâmetros financeiros Despesa'!F$4)*(1+'Parâmetros financeiros Despesa'!F$7))</f>
        <v>545.16575</v>
      </c>
      <c r="M2378" s="799">
        <f t="shared" si="396"/>
        <v>1.8996827249041796E-3</v>
      </c>
      <c r="N2378" s="894"/>
      <c r="O2378" s="796"/>
      <c r="P2378" s="734"/>
    </row>
    <row r="2379" spans="1:16" s="457" customFormat="1" ht="15" customHeight="1" x14ac:dyDescent="0.25">
      <c r="A2379" s="396"/>
      <c r="B2379" s="1398" t="s">
        <v>8311</v>
      </c>
      <c r="C2379" s="1398"/>
      <c r="D2379" s="1398"/>
      <c r="E2379" s="854">
        <v>344903900000000</v>
      </c>
      <c r="F2379" s="855" t="s">
        <v>8307</v>
      </c>
      <c r="G2379" s="468">
        <v>1</v>
      </c>
      <c r="H2379" s="468">
        <v>0</v>
      </c>
      <c r="I2379" s="751"/>
      <c r="J2379" s="878"/>
      <c r="K2379" s="789">
        <f>('Parâmetros financeiros Despesa'!E1155)</f>
        <v>0</v>
      </c>
      <c r="L2379" s="789">
        <f>('Parâmetros financeiros Despesa'!F1155)*(1+'Parâmetros financeiros Despesa'!F$4)*(1+'Parâmetros financeiros Despesa'!F$7)</f>
        <v>545.16575</v>
      </c>
      <c r="M2379" s="799">
        <f t="shared" si="396"/>
        <v>1.8996827249041796E-3</v>
      </c>
      <c r="N2379" s="894"/>
      <c r="O2379" s="796"/>
      <c r="P2379" s="734"/>
    </row>
    <row r="2380" spans="1:16" s="457" customFormat="1" ht="15" customHeight="1" x14ac:dyDescent="0.25">
      <c r="A2380" s="396"/>
      <c r="B2380" s="1398" t="s">
        <v>8312</v>
      </c>
      <c r="C2380" s="1398"/>
      <c r="D2380" s="1398"/>
      <c r="E2380" s="854">
        <v>344905200000000</v>
      </c>
      <c r="F2380" s="855" t="s">
        <v>8308</v>
      </c>
      <c r="G2380" s="468">
        <v>1</v>
      </c>
      <c r="H2380" s="468">
        <v>0</v>
      </c>
      <c r="I2380" s="751"/>
      <c r="J2380" s="878"/>
      <c r="K2380" s="789">
        <f>('Parâmetros financeiros Despesa'!E1156)</f>
        <v>3179.8500000000004</v>
      </c>
      <c r="L2380" s="789">
        <f>('Parâmetros financeiros Despesa'!F1156)*(1+'Parâmetros financeiros Despesa'!F$4)*(1+'Parâmetros financeiros Despesa'!F$7)</f>
        <v>3467.0906202750007</v>
      </c>
      <c r="M2380" s="799">
        <f t="shared" si="396"/>
        <v>1.2081412225573114E-2</v>
      </c>
      <c r="N2380" s="894"/>
      <c r="O2380" s="796"/>
      <c r="P2380" s="734"/>
    </row>
    <row r="2381" spans="1:16" s="748" customFormat="1" ht="15" customHeight="1" x14ac:dyDescent="0.25">
      <c r="A2381" s="397"/>
      <c r="B2381" s="1385" t="s">
        <v>5951</v>
      </c>
      <c r="C2381" s="1385"/>
      <c r="D2381" s="1385"/>
      <c r="E2381" s="1385"/>
      <c r="F2381" s="1385"/>
      <c r="G2381" s="401"/>
      <c r="H2381" s="401"/>
      <c r="I2381" s="426"/>
      <c r="J2381" s="411"/>
      <c r="K2381" s="402">
        <f t="shared" ref="K2381:L2383" si="397">K2382</f>
        <v>38797.398187500003</v>
      </c>
      <c r="L2381" s="402">
        <f t="shared" si="397"/>
        <v>45551.203448051587</v>
      </c>
      <c r="M2381" s="451">
        <f t="shared" si="396"/>
        <v>0.1587275691637989</v>
      </c>
      <c r="N2381" s="796"/>
      <c r="P2381" s="399"/>
    </row>
    <row r="2382" spans="1:16" s="748" customFormat="1" ht="15" customHeight="1" x14ac:dyDescent="0.25">
      <c r="A2382" s="397"/>
      <c r="B2382" s="1386" t="s">
        <v>5965</v>
      </c>
      <c r="C2382" s="1386"/>
      <c r="D2382" s="1386"/>
      <c r="E2382" s="1386"/>
      <c r="F2382" s="1386"/>
      <c r="G2382" s="403"/>
      <c r="H2382" s="403"/>
      <c r="I2382" s="427"/>
      <c r="J2382" s="412"/>
      <c r="K2382" s="404">
        <f t="shared" si="397"/>
        <v>38797.398187500003</v>
      </c>
      <c r="L2382" s="404">
        <f t="shared" si="397"/>
        <v>45551.203448051587</v>
      </c>
      <c r="M2382" s="452">
        <f t="shared" si="396"/>
        <v>0.1587275691637989</v>
      </c>
      <c r="N2382" s="796"/>
      <c r="P2382" s="399"/>
    </row>
    <row r="2383" spans="1:16" s="748" customFormat="1" ht="15" customHeight="1" x14ac:dyDescent="0.25">
      <c r="A2383" s="397"/>
      <c r="B2383" s="1382" t="s">
        <v>8309</v>
      </c>
      <c r="C2383" s="1382"/>
      <c r="D2383" s="1382"/>
      <c r="E2383" s="1382"/>
      <c r="F2383" s="1382"/>
      <c r="G2383" s="405"/>
      <c r="H2383" s="405"/>
      <c r="I2383" s="428"/>
      <c r="J2383" s="413"/>
      <c r="K2383" s="406">
        <f t="shared" si="397"/>
        <v>38797.398187500003</v>
      </c>
      <c r="L2383" s="406">
        <f t="shared" si="397"/>
        <v>45551.203448051587</v>
      </c>
      <c r="M2383" s="453">
        <f t="shared" si="396"/>
        <v>0.1587275691637989</v>
      </c>
      <c r="N2383" s="796"/>
      <c r="P2383" s="399"/>
    </row>
    <row r="2384" spans="1:16" s="748" customFormat="1" ht="15" customHeight="1" x14ac:dyDescent="0.25">
      <c r="A2384" s="397"/>
      <c r="B2384" s="1383" t="s">
        <v>2290</v>
      </c>
      <c r="C2384" s="1383"/>
      <c r="D2384" s="1383"/>
      <c r="E2384" s="1383"/>
      <c r="F2384" s="1383"/>
      <c r="G2384" s="407"/>
      <c r="H2384" s="407"/>
      <c r="I2384" s="429"/>
      <c r="J2384" s="414"/>
      <c r="K2384" s="408">
        <f>SUM(K2385:K2399)</f>
        <v>38797.398187500003</v>
      </c>
      <c r="L2384" s="408">
        <f>SUM(L2385:L2399)+0.04</f>
        <v>45551.203448051587</v>
      </c>
      <c r="M2384" s="454">
        <f t="shared" si="396"/>
        <v>0.1587275691637989</v>
      </c>
      <c r="N2384" s="796"/>
      <c r="P2384" s="399"/>
    </row>
    <row r="2385" spans="1:16" s="115" customFormat="1" ht="15" customHeight="1" x14ac:dyDescent="0.25">
      <c r="A2385" s="396"/>
      <c r="B2385" s="1398" t="s">
        <v>8313</v>
      </c>
      <c r="C2385" s="1398"/>
      <c r="D2385" s="1398"/>
      <c r="E2385" s="854">
        <v>331900400000000</v>
      </c>
      <c r="F2385" s="855" t="s">
        <v>8303</v>
      </c>
      <c r="G2385" s="468">
        <v>1</v>
      </c>
      <c r="H2385" s="468">
        <v>0</v>
      </c>
      <c r="I2385" s="751"/>
      <c r="J2385" s="878"/>
      <c r="K2385" s="789">
        <f>(('Parâmetros financeiros Despesa'!E$1158))</f>
        <v>0</v>
      </c>
      <c r="L2385" s="789">
        <f>(('Parâmetros financeiros Despesa'!F$1158)*2.05+(('Parâmetros financeiros Despesa'!F$1158)*11.28)*(1+'Parâmetros financeiros Despesa'!F$4)*(1+'Parâmetros financeiros Despesa'!F$8))*(1+'Parâmetros financeiros Despesa'!F$80)</f>
        <v>17.278630081629636</v>
      </c>
      <c r="M2385" s="799">
        <f t="shared" si="396"/>
        <v>6.0209055825831892E-5</v>
      </c>
      <c r="N2385" s="894"/>
      <c r="P2385" s="733"/>
    </row>
    <row r="2386" spans="1:16" s="115" customFormat="1" ht="15" customHeight="1" x14ac:dyDescent="0.25">
      <c r="A2386" s="396"/>
      <c r="B2386" s="1398" t="s">
        <v>8314</v>
      </c>
      <c r="C2386" s="1398"/>
      <c r="D2386" s="1398"/>
      <c r="E2386" s="854">
        <v>331901100000000</v>
      </c>
      <c r="F2386" s="855" t="s">
        <v>8325</v>
      </c>
      <c r="G2386" s="468">
        <v>1</v>
      </c>
      <c r="H2386" s="468">
        <v>0</v>
      </c>
      <c r="I2386" s="751"/>
      <c r="J2386" s="878"/>
      <c r="K2386" s="789">
        <f>('Parâmetros financeiros Despesa'!E$1159)</f>
        <v>24943.3626</v>
      </c>
      <c r="L2386" s="789">
        <f>('Parâmetros financeiros Despesa'!F$1159)*2.05+(('Parâmetros financeiros Despesa'!F$1159)*11.28)*(1+'Parâmetros financeiros Despesa'!F$4)*(1+'Parâmetros financeiros Despesa'!F$8)</f>
        <v>26114.429260901841</v>
      </c>
      <c r="M2386" s="799">
        <f t="shared" si="396"/>
        <v>9.0998251701739238E-2</v>
      </c>
      <c r="N2386" s="894"/>
      <c r="P2386" s="733"/>
    </row>
    <row r="2387" spans="1:16" s="115" customFormat="1" ht="15" customHeight="1" x14ac:dyDescent="0.25">
      <c r="A2387" s="396"/>
      <c r="B2387" s="1398" t="s">
        <v>8315</v>
      </c>
      <c r="C2387" s="1398"/>
      <c r="D2387" s="1398"/>
      <c r="E2387" s="854">
        <v>331901300000000</v>
      </c>
      <c r="F2387" s="855" t="s">
        <v>8326</v>
      </c>
      <c r="G2387" s="468">
        <v>1</v>
      </c>
      <c r="H2387" s="468">
        <v>0</v>
      </c>
      <c r="I2387" s="751"/>
      <c r="J2387" s="878"/>
      <c r="K2387" s="789">
        <f>'Parâmetros financeiros Despesa'!E1160</f>
        <v>4576.5055874999998</v>
      </c>
      <c r="L2387" s="789">
        <f>(L2388+L2386)*'Parâmetros financeiros Despesa'!F$80</f>
        <v>6221.0117199665683</v>
      </c>
      <c r="M2387" s="799">
        <f t="shared" si="396"/>
        <v>2.167771635662535E-2</v>
      </c>
      <c r="N2387" s="894"/>
      <c r="P2387" s="733"/>
    </row>
    <row r="2388" spans="1:16" s="115" customFormat="1" ht="15" customHeight="1" x14ac:dyDescent="0.25">
      <c r="A2388" s="396"/>
      <c r="B2388" s="1398" t="s">
        <v>8316</v>
      </c>
      <c r="C2388" s="1398"/>
      <c r="D2388" s="1398"/>
      <c r="E2388" s="854">
        <v>331901600000000</v>
      </c>
      <c r="F2388" s="855" t="s">
        <v>8327</v>
      </c>
      <c r="G2388" s="468">
        <v>1</v>
      </c>
      <c r="H2388" s="468">
        <v>0</v>
      </c>
      <c r="I2388" s="751"/>
      <c r="J2388" s="878"/>
      <c r="K2388" s="789">
        <f>('Parâmetros financeiros Despesa'!E$1161)</f>
        <v>0</v>
      </c>
      <c r="L2388" s="789">
        <f>('Parâmetros financeiros Despesa'!F$1161)*2.05+(('Parâmetros financeiros Despesa'!F$1161)*11.28)*(1+'Parâmetros financeiros Despesa'!F$4)*(1+'Parâmetros financeiros Despesa'!F$8)</f>
        <v>13.955830560223728</v>
      </c>
      <c r="M2388" s="799">
        <f t="shared" si="396"/>
        <v>4.863043987438102E-5</v>
      </c>
      <c r="N2388" s="894"/>
      <c r="P2388" s="733"/>
    </row>
    <row r="2389" spans="1:16" s="115" customFormat="1" ht="15" customHeight="1" x14ac:dyDescent="0.25">
      <c r="A2389" s="396"/>
      <c r="B2389" s="1398" t="s">
        <v>8317</v>
      </c>
      <c r="C2389" s="1398"/>
      <c r="D2389" s="1398"/>
      <c r="E2389" s="854">
        <v>333901400000000</v>
      </c>
      <c r="F2389" s="855" t="s">
        <v>8329</v>
      </c>
      <c r="G2389" s="468">
        <v>1</v>
      </c>
      <c r="H2389" s="468">
        <v>0</v>
      </c>
      <c r="I2389" s="751"/>
      <c r="J2389" s="878"/>
      <c r="K2389" s="789">
        <f>('Parâmetros financeiros Despesa'!E$1162)</f>
        <v>358.5</v>
      </c>
      <c r="L2389" s="789">
        <f>('Parâmetros financeiros Despesa'!F$1162)*2+(('Parâmetros financeiros Despesa'!F$1162)*10)*(1+'Parâmetros financeiros Despesa'!F$4)*(1+'Parâmetros financeiros Despesa'!F$8)</f>
        <v>375.07507800237931</v>
      </c>
      <c r="M2389" s="799">
        <f t="shared" si="396"/>
        <v>1.3069853456920352E-3</v>
      </c>
      <c r="N2389" s="894"/>
      <c r="O2389" s="796"/>
      <c r="P2389" s="733"/>
    </row>
    <row r="2390" spans="1:16" s="115" customFormat="1" ht="15" customHeight="1" x14ac:dyDescent="0.25">
      <c r="A2390" s="396"/>
      <c r="B2390" s="1396">
        <v>438500</v>
      </c>
      <c r="C2390" s="1396"/>
      <c r="D2390" s="1396"/>
      <c r="E2390" s="854">
        <v>333903000000000</v>
      </c>
      <c r="F2390" s="855" t="s">
        <v>8330</v>
      </c>
      <c r="G2390" s="468">
        <v>1</v>
      </c>
      <c r="H2390" s="468">
        <v>0</v>
      </c>
      <c r="I2390" s="751"/>
      <c r="J2390" s="878"/>
      <c r="K2390" s="789">
        <f>('Parâmetros financeiros Despesa'!E1163)</f>
        <v>5777.1749999999993</v>
      </c>
      <c r="L2390" s="789">
        <f>('Parâmetros financeiros Despesa'!F1163)*(1+'Parâmetros financeiros Despesa'!F$4)*(1+'Parâmetros financeiros Despesa'!F$7)</f>
        <v>6299.0358835124998</v>
      </c>
      <c r="M2390" s="799">
        <f t="shared" si="396"/>
        <v>2.1949599092496608E-2</v>
      </c>
      <c r="N2390" s="894"/>
      <c r="O2390" s="796"/>
      <c r="P2390" s="733"/>
    </row>
    <row r="2391" spans="1:16" s="115" customFormat="1" ht="15" customHeight="1" x14ac:dyDescent="0.25">
      <c r="A2391" s="396"/>
      <c r="B2391" s="1396">
        <v>438600</v>
      </c>
      <c r="C2391" s="1396"/>
      <c r="D2391" s="1396"/>
      <c r="E2391" s="854">
        <v>333903200000000</v>
      </c>
      <c r="F2391" s="855" t="s">
        <v>8331</v>
      </c>
      <c r="G2391" s="468">
        <v>1</v>
      </c>
      <c r="H2391" s="468">
        <v>0</v>
      </c>
      <c r="I2391" s="751"/>
      <c r="J2391" s="878"/>
      <c r="K2391" s="789">
        <f>('Parâmetros financeiros Despesa'!E1164)</f>
        <v>0</v>
      </c>
      <c r="L2391" s="789">
        <f>('Parâmetros financeiros Despesa'!F1164)*(1+'Parâmetros financeiros Despesa'!F$4)*(1+'Parâmetros financeiros Despesa'!F$7)</f>
        <v>545.16575</v>
      </c>
      <c r="M2391" s="799">
        <f t="shared" si="396"/>
        <v>1.8996827249041796E-3</v>
      </c>
      <c r="N2391" s="894"/>
      <c r="O2391" s="796"/>
      <c r="P2391" s="733"/>
    </row>
    <row r="2392" spans="1:16" s="115" customFormat="1" ht="15" customHeight="1" x14ac:dyDescent="0.25">
      <c r="A2392" s="396"/>
      <c r="B2392" s="1396">
        <v>438700</v>
      </c>
      <c r="C2392" s="1396"/>
      <c r="D2392" s="1396"/>
      <c r="E2392" s="854">
        <v>333903300000000</v>
      </c>
      <c r="F2392" s="855" t="s">
        <v>8332</v>
      </c>
      <c r="G2392" s="468">
        <v>1</v>
      </c>
      <c r="H2392" s="468">
        <v>0</v>
      </c>
      <c r="I2392" s="751"/>
      <c r="J2392" s="878"/>
      <c r="K2392" s="789">
        <f>('Parâmetros financeiros Despesa'!E1165)</f>
        <v>0</v>
      </c>
      <c r="L2392" s="789">
        <f>('Parâmetros financeiros Despesa'!F1165)*(1+'Parâmetros financeiros Despesa'!F$4)*(1+'Parâmetros financeiros Despesa'!F$7)</f>
        <v>545.16575</v>
      </c>
      <c r="M2392" s="799">
        <f t="shared" si="396"/>
        <v>1.8996827249041796E-3</v>
      </c>
      <c r="N2392" s="894"/>
      <c r="O2392" s="796"/>
      <c r="P2392" s="733"/>
    </row>
    <row r="2393" spans="1:16" s="115" customFormat="1" ht="15" customHeight="1" x14ac:dyDescent="0.25">
      <c r="A2393" s="396"/>
      <c r="B2393" s="1398" t="s">
        <v>8318</v>
      </c>
      <c r="C2393" s="1398"/>
      <c r="D2393" s="1398"/>
      <c r="E2393" s="854">
        <v>333903500000000</v>
      </c>
      <c r="F2393" s="855" t="s">
        <v>8333</v>
      </c>
      <c r="G2393" s="468">
        <v>1</v>
      </c>
      <c r="H2393" s="468">
        <v>0</v>
      </c>
      <c r="I2393" s="751"/>
      <c r="J2393" s="878"/>
      <c r="K2393" s="789">
        <f>('Parâmetros financeiros Despesa'!E1166)</f>
        <v>0</v>
      </c>
      <c r="L2393" s="789">
        <f>('Parâmetros financeiros Despesa'!F1166)*(1+'Parâmetros financeiros Despesa'!F$4)*(1+'Parâmetros financeiros Despesa'!F$7)</f>
        <v>545.16575</v>
      </c>
      <c r="M2393" s="799">
        <f t="shared" si="396"/>
        <v>1.8996827249041796E-3</v>
      </c>
      <c r="N2393" s="894"/>
      <c r="O2393" s="796"/>
      <c r="P2393" s="733"/>
    </row>
    <row r="2394" spans="1:16" s="115" customFormat="1" ht="15" customHeight="1" x14ac:dyDescent="0.25">
      <c r="A2394" s="396"/>
      <c r="B2394" s="1398" t="s">
        <v>8319</v>
      </c>
      <c r="C2394" s="1398"/>
      <c r="D2394" s="1398"/>
      <c r="E2394" s="854">
        <v>333903600000000</v>
      </c>
      <c r="F2394" s="855" t="s">
        <v>8334</v>
      </c>
      <c r="G2394" s="468">
        <v>1</v>
      </c>
      <c r="H2394" s="468">
        <v>0</v>
      </c>
      <c r="I2394" s="751"/>
      <c r="J2394" s="878"/>
      <c r="K2394" s="789">
        <f>('Parâmetros financeiros Despesa'!E1167)</f>
        <v>0</v>
      </c>
      <c r="L2394" s="789">
        <f>('Parâmetros financeiros Despesa'!F1167)*(1+'Parâmetros financeiros Despesa'!F$4)*(1+'Parâmetros financeiros Despesa'!F$7)</f>
        <v>545.16575</v>
      </c>
      <c r="M2394" s="799">
        <f t="shared" si="396"/>
        <v>1.8996827249041796E-3</v>
      </c>
      <c r="N2394" s="894"/>
      <c r="O2394" s="796"/>
      <c r="P2394" s="733"/>
    </row>
    <row r="2395" spans="1:16" s="115" customFormat="1" ht="15" customHeight="1" x14ac:dyDescent="0.25">
      <c r="A2395" s="396"/>
      <c r="B2395" s="1398" t="s">
        <v>8320</v>
      </c>
      <c r="C2395" s="1398"/>
      <c r="D2395" s="1398"/>
      <c r="E2395" s="854">
        <v>333903900000000</v>
      </c>
      <c r="F2395" s="855" t="s">
        <v>8335</v>
      </c>
      <c r="G2395" s="468">
        <v>1</v>
      </c>
      <c r="H2395" s="468">
        <v>0</v>
      </c>
      <c r="I2395" s="751"/>
      <c r="J2395" s="878"/>
      <c r="K2395" s="789">
        <f>('Parâmetros financeiros Despesa'!E1168)</f>
        <v>2737.8</v>
      </c>
      <c r="L2395" s="789">
        <f>('Parâmetros financeiros Despesa'!F1168)*(1+'Parâmetros financeiros Despesa'!F$4)*(1+'Parâmetros financeiros Despesa'!F$7)</f>
        <v>2985.1095807000002</v>
      </c>
      <c r="M2395" s="799">
        <f t="shared" si="396"/>
        <v>1.0401902728485327E-2</v>
      </c>
      <c r="N2395" s="894"/>
      <c r="O2395" s="796"/>
      <c r="P2395" s="733"/>
    </row>
    <row r="2396" spans="1:16" s="115" customFormat="1" ht="15" customHeight="1" x14ac:dyDescent="0.25">
      <c r="A2396" s="396"/>
      <c r="B2396" s="1398" t="s">
        <v>8321</v>
      </c>
      <c r="C2396" s="1398"/>
      <c r="D2396" s="1398"/>
      <c r="E2396" s="854">
        <v>333904700000000</v>
      </c>
      <c r="F2396" s="855" t="s">
        <v>8336</v>
      </c>
      <c r="G2396" s="468">
        <v>1</v>
      </c>
      <c r="H2396" s="468">
        <v>0</v>
      </c>
      <c r="I2396" s="751"/>
      <c r="J2396" s="878"/>
      <c r="K2396" s="789">
        <f>'Parâmetros financeiros Despesa'!E1169</f>
        <v>0</v>
      </c>
      <c r="L2396" s="789">
        <f>(('Parâmetros financeiros Despesa'!F1167)*(1+'Parâmetros financeiros Despesa'!F$4)*(1+'Parâmetros financeiros Despesa'!F$7))*('Parâmetros financeiros Despesa'!F$83)</f>
        <v>109.03315000000001</v>
      </c>
      <c r="M2396" s="799">
        <f t="shared" si="396"/>
        <v>3.7993654498083595E-4</v>
      </c>
      <c r="N2396" s="894"/>
      <c r="O2396" s="796"/>
      <c r="P2396" s="733"/>
    </row>
    <row r="2397" spans="1:16" s="115" customFormat="1" ht="15" customHeight="1" x14ac:dyDescent="0.25">
      <c r="A2397" s="396"/>
      <c r="B2397" s="1398" t="s">
        <v>8322</v>
      </c>
      <c r="C2397" s="1398"/>
      <c r="D2397" s="1398"/>
      <c r="E2397" s="854">
        <v>333904900000000</v>
      </c>
      <c r="F2397" s="855" t="s">
        <v>8328</v>
      </c>
      <c r="G2397" s="468">
        <v>1</v>
      </c>
      <c r="H2397" s="468">
        <v>0</v>
      </c>
      <c r="I2397" s="751"/>
      <c r="J2397" s="878"/>
      <c r="K2397" s="789">
        <f>('Parâmetros financeiros Despesa'!E$1145)</f>
        <v>404.05500000000001</v>
      </c>
      <c r="L2397" s="789">
        <f>('Parâmetros financeiros Despesa'!F$1145)*2+(('Parâmetros financeiros Despesa'!F$1170)*10)*(1+'Parâmetros financeiros Despesa'!F$4)*(1+'Parâmetros financeiros Despesa'!F$8)</f>
        <v>145.23981432643947</v>
      </c>
      <c r="M2397" s="799">
        <f t="shared" si="396"/>
        <v>5.0610216478975002E-4</v>
      </c>
      <c r="N2397" s="894"/>
      <c r="O2397" s="796"/>
      <c r="P2397" s="733"/>
    </row>
    <row r="2398" spans="1:16" s="115" customFormat="1" ht="15" customHeight="1" x14ac:dyDescent="0.25">
      <c r="A2398" s="396"/>
      <c r="B2398" s="1398" t="s">
        <v>8323</v>
      </c>
      <c r="C2398" s="1398"/>
      <c r="D2398" s="1398"/>
      <c r="E2398" s="854">
        <v>333909300000000</v>
      </c>
      <c r="F2398" s="855" t="s">
        <v>8337</v>
      </c>
      <c r="G2398" s="468">
        <v>1</v>
      </c>
      <c r="H2398" s="468">
        <v>0</v>
      </c>
      <c r="I2398" s="751"/>
      <c r="J2398" s="878"/>
      <c r="K2398" s="789">
        <f>('Parâmetros financeiros Despesa'!E1171)</f>
        <v>0</v>
      </c>
      <c r="L2398" s="789">
        <f>('Parâmetros financeiros Despesa'!F1171)*(1+'Parâmetros financeiros Despesa'!F$4)*(1+'Parâmetros financeiros Despesa'!F$7)</f>
        <v>545.16575</v>
      </c>
      <c r="M2398" s="799">
        <f t="shared" si="396"/>
        <v>1.8996827249041796E-3</v>
      </c>
      <c r="N2398" s="894"/>
      <c r="O2398" s="796"/>
      <c r="P2398" s="733"/>
    </row>
    <row r="2399" spans="1:16" s="115" customFormat="1" ht="15" customHeight="1" x14ac:dyDescent="0.25">
      <c r="A2399" s="396"/>
      <c r="B2399" s="1398" t="s">
        <v>8324</v>
      </c>
      <c r="C2399" s="1398"/>
      <c r="D2399" s="1398"/>
      <c r="E2399" s="854">
        <v>333933000000000</v>
      </c>
      <c r="F2399" s="855" t="s">
        <v>10708</v>
      </c>
      <c r="G2399" s="468">
        <v>1</v>
      </c>
      <c r="H2399" s="468">
        <v>0</v>
      </c>
      <c r="I2399" s="751"/>
      <c r="J2399" s="878"/>
      <c r="K2399" s="789">
        <f>('Parâmetros financeiros Despesa'!E1172)</f>
        <v>0</v>
      </c>
      <c r="L2399" s="789">
        <f>('Parâmetros financeiros Despesa'!F1172)*(1+'Parâmetros financeiros Despesa'!F$4)*(1+'Parâmetros financeiros Despesa'!F$7)</f>
        <v>545.16575</v>
      </c>
      <c r="M2399" s="799">
        <f t="shared" si="396"/>
        <v>1.8996827249041796E-3</v>
      </c>
      <c r="N2399" s="894"/>
      <c r="O2399" s="796"/>
      <c r="P2399" s="733"/>
    </row>
    <row r="2400" spans="1:16" s="758" customFormat="1" ht="15" customHeight="1" x14ac:dyDescent="0.25">
      <c r="A2400" s="397"/>
      <c r="B2400" s="1385" t="s">
        <v>8354</v>
      </c>
      <c r="C2400" s="1385"/>
      <c r="D2400" s="1385"/>
      <c r="E2400" s="1385"/>
      <c r="F2400" s="1385"/>
      <c r="G2400" s="401"/>
      <c r="H2400" s="401"/>
      <c r="I2400" s="426"/>
      <c r="J2400" s="411"/>
      <c r="K2400" s="402">
        <f t="shared" ref="K2400:L2402" si="398">K2401</f>
        <v>18798.57</v>
      </c>
      <c r="L2400" s="402">
        <f t="shared" si="398"/>
        <v>24967.042175955001</v>
      </c>
      <c r="M2400" s="451">
        <f t="shared" si="396"/>
        <v>8.7000070553984316E-2</v>
      </c>
      <c r="N2400" s="796"/>
      <c r="P2400" s="399"/>
    </row>
    <row r="2401" spans="1:16" s="758" customFormat="1" ht="15" customHeight="1" x14ac:dyDescent="0.25">
      <c r="A2401" s="397"/>
      <c r="B2401" s="1386" t="s">
        <v>8338</v>
      </c>
      <c r="C2401" s="1386"/>
      <c r="D2401" s="1386"/>
      <c r="E2401" s="1386"/>
      <c r="F2401" s="1386"/>
      <c r="G2401" s="403"/>
      <c r="H2401" s="403"/>
      <c r="I2401" s="427"/>
      <c r="J2401" s="412"/>
      <c r="K2401" s="404">
        <f t="shared" si="398"/>
        <v>18798.57</v>
      </c>
      <c r="L2401" s="404">
        <f t="shared" si="398"/>
        <v>24967.042175955001</v>
      </c>
      <c r="M2401" s="452">
        <f t="shared" si="396"/>
        <v>8.7000070553984316E-2</v>
      </c>
      <c r="N2401" s="796"/>
      <c r="P2401" s="399"/>
    </row>
    <row r="2402" spans="1:16" s="758" customFormat="1" ht="15" customHeight="1" x14ac:dyDescent="0.25">
      <c r="A2402" s="397"/>
      <c r="B2402" s="1382" t="s">
        <v>8309</v>
      </c>
      <c r="C2402" s="1382"/>
      <c r="D2402" s="1382"/>
      <c r="E2402" s="1382"/>
      <c r="F2402" s="1382"/>
      <c r="G2402" s="405"/>
      <c r="H2402" s="405"/>
      <c r="I2402" s="428"/>
      <c r="J2402" s="413"/>
      <c r="K2402" s="406">
        <f t="shared" si="398"/>
        <v>18798.57</v>
      </c>
      <c r="L2402" s="406">
        <f t="shared" si="398"/>
        <v>24967.042175955001</v>
      </c>
      <c r="M2402" s="453">
        <f t="shared" si="396"/>
        <v>8.7000070553984316E-2</v>
      </c>
      <c r="N2402" s="796"/>
      <c r="P2402" s="399"/>
    </row>
    <row r="2403" spans="1:16" s="758" customFormat="1" ht="15" customHeight="1" x14ac:dyDescent="0.25">
      <c r="A2403" s="397"/>
      <c r="B2403" s="1383" t="s">
        <v>8355</v>
      </c>
      <c r="C2403" s="1383"/>
      <c r="D2403" s="1383"/>
      <c r="E2403" s="1383"/>
      <c r="F2403" s="1383"/>
      <c r="G2403" s="407"/>
      <c r="H2403" s="407"/>
      <c r="I2403" s="429"/>
      <c r="J2403" s="414"/>
      <c r="K2403" s="408">
        <f>SUM(K2404:K2411)</f>
        <v>18798.57</v>
      </c>
      <c r="L2403" s="408">
        <f>SUM(L2404:L2411)+0.01</f>
        <v>24967.042175955001</v>
      </c>
      <c r="M2403" s="454">
        <f t="shared" si="396"/>
        <v>8.7000070553984316E-2</v>
      </c>
      <c r="N2403" s="796"/>
      <c r="P2403" s="399"/>
    </row>
    <row r="2404" spans="1:16" s="115" customFormat="1" ht="15" customHeight="1" x14ac:dyDescent="0.25">
      <c r="A2404" s="396"/>
      <c r="B2404" s="1396">
        <v>439500</v>
      </c>
      <c r="C2404" s="1396"/>
      <c r="D2404" s="1396"/>
      <c r="E2404" s="854">
        <v>333903000000000</v>
      </c>
      <c r="F2404" s="855" t="s">
        <v>8360</v>
      </c>
      <c r="G2404" s="468">
        <v>1</v>
      </c>
      <c r="H2404" s="468">
        <v>0</v>
      </c>
      <c r="I2404" s="751"/>
      <c r="J2404" s="878"/>
      <c r="K2404" s="789">
        <f>('Parâmetros financeiros Despesa'!E1174)</f>
        <v>11604.57</v>
      </c>
      <c r="L2404" s="789">
        <f>('Parâmetros financeiros Despesa'!F1174)*(1+'Parâmetros financeiros Despesa'!F$4)*(1+'Parâmetros financeiros Despesa'!F$7)</f>
        <v>12652.828214955001</v>
      </c>
      <c r="M2404" s="799">
        <f t="shared" ref="M2404:M2427" si="399">L2404/L$2564</f>
        <v>4.4090002317882598E-2</v>
      </c>
      <c r="N2404" s="894"/>
      <c r="O2404" s="796"/>
      <c r="P2404" s="733"/>
    </row>
    <row r="2405" spans="1:16" s="115" customFormat="1" ht="15" customHeight="1" x14ac:dyDescent="0.25">
      <c r="A2405" s="396"/>
      <c r="B2405" s="1396">
        <v>439600</v>
      </c>
      <c r="C2405" s="1396"/>
      <c r="D2405" s="1396"/>
      <c r="E2405" s="854">
        <v>333903200000000</v>
      </c>
      <c r="F2405" s="855" t="s">
        <v>8361</v>
      </c>
      <c r="G2405" s="468">
        <v>1</v>
      </c>
      <c r="H2405" s="468">
        <v>0</v>
      </c>
      <c r="I2405" s="751"/>
      <c r="J2405" s="878"/>
      <c r="K2405" s="789">
        <f>('Parâmetros financeiros Despesa'!E1175)</f>
        <v>0</v>
      </c>
      <c r="L2405" s="789">
        <f>('Parâmetros financeiros Despesa'!F1175)*(1+'Parâmetros financeiros Despesa'!F$4)*(1+'Parâmetros financeiros Despesa'!F$7)</f>
        <v>545.16575</v>
      </c>
      <c r="M2405" s="799">
        <f t="shared" si="399"/>
        <v>1.8996827249041796E-3</v>
      </c>
      <c r="N2405" s="894"/>
      <c r="O2405" s="796"/>
      <c r="P2405" s="733"/>
    </row>
    <row r="2406" spans="1:16" s="115" customFormat="1" ht="15" customHeight="1" x14ac:dyDescent="0.25">
      <c r="A2406" s="396"/>
      <c r="B2406" s="1398" t="s">
        <v>8367</v>
      </c>
      <c r="C2406" s="1398"/>
      <c r="D2406" s="1398"/>
      <c r="E2406" s="854">
        <v>333903600000000</v>
      </c>
      <c r="F2406" s="855" t="s">
        <v>8362</v>
      </c>
      <c r="G2406" s="468">
        <v>1</v>
      </c>
      <c r="H2406" s="468">
        <v>0</v>
      </c>
      <c r="I2406" s="751"/>
      <c r="J2406" s="878"/>
      <c r="K2406" s="789">
        <f>('Parâmetros financeiros Despesa'!E1176)</f>
        <v>0</v>
      </c>
      <c r="L2406" s="789">
        <f>('Parâmetros financeiros Despesa'!F1176)*(1+'Parâmetros financeiros Despesa'!F$4)*(1+'Parâmetros financeiros Despesa'!F$7)</f>
        <v>545.16575</v>
      </c>
      <c r="M2406" s="799">
        <f t="shared" si="399"/>
        <v>1.8996827249041796E-3</v>
      </c>
      <c r="N2406" s="894"/>
      <c r="O2406" s="796"/>
      <c r="P2406" s="733"/>
    </row>
    <row r="2407" spans="1:16" s="115" customFormat="1" ht="15" customHeight="1" x14ac:dyDescent="0.25">
      <c r="A2407" s="396"/>
      <c r="B2407" s="1398" t="s">
        <v>8356</v>
      </c>
      <c r="C2407" s="1398"/>
      <c r="D2407" s="1398"/>
      <c r="E2407" s="854">
        <v>333903900000000</v>
      </c>
      <c r="F2407" s="855" t="s">
        <v>8363</v>
      </c>
      <c r="G2407" s="468">
        <v>1</v>
      </c>
      <c r="H2407" s="468">
        <v>0</v>
      </c>
      <c r="I2407" s="751"/>
      <c r="J2407" s="878"/>
      <c r="K2407" s="789">
        <f>('Parâmetros financeiros Despesa'!E1177)</f>
        <v>7194</v>
      </c>
      <c r="L2407" s="789">
        <f>('Parâmetros financeiros Despesa'!F1177)*(1+'Parâmetros financeiros Despesa'!F$4)*(1+'Parâmetros financeiros Despesa'!F$7)</f>
        <v>7843.8448109999999</v>
      </c>
      <c r="M2407" s="799">
        <f t="shared" si="399"/>
        <v>2.7332635045921337E-2</v>
      </c>
      <c r="N2407" s="894"/>
      <c r="O2407" s="796"/>
      <c r="P2407" s="733"/>
    </row>
    <row r="2408" spans="1:16" s="115" customFormat="1" ht="15" customHeight="1" x14ac:dyDescent="0.25">
      <c r="A2408" s="396"/>
      <c r="B2408" s="1398" t="s">
        <v>8357</v>
      </c>
      <c r="C2408" s="1398"/>
      <c r="D2408" s="1398"/>
      <c r="E2408" s="854">
        <v>333904700000000</v>
      </c>
      <c r="F2408" s="855" t="s">
        <v>8364</v>
      </c>
      <c r="G2408" s="468">
        <v>1</v>
      </c>
      <c r="H2408" s="468">
        <v>0</v>
      </c>
      <c r="I2408" s="751"/>
      <c r="J2408" s="878"/>
      <c r="K2408" s="789">
        <f>'Parâmetros financeiros Despesa'!E1178</f>
        <v>0</v>
      </c>
      <c r="L2408" s="789">
        <f>(('Parâmetros financeiros Despesa'!F1176)*(1+'Parâmetros financeiros Despesa'!F$4)*(1+'Parâmetros financeiros Despesa'!F$7))*('Parâmetros financeiros Despesa'!F$83)</f>
        <v>109.03315000000001</v>
      </c>
      <c r="M2408" s="799">
        <f t="shared" si="399"/>
        <v>3.7993654498083595E-4</v>
      </c>
      <c r="N2408" s="894"/>
      <c r="O2408" s="796"/>
      <c r="P2408" s="733"/>
    </row>
    <row r="2409" spans="1:16" s="115" customFormat="1" ht="15" customHeight="1" x14ac:dyDescent="0.25">
      <c r="A2409" s="396"/>
      <c r="B2409" s="1398" t="s">
        <v>8358</v>
      </c>
      <c r="C2409" s="1398"/>
      <c r="D2409" s="1398"/>
      <c r="E2409" s="854">
        <v>333933000000000</v>
      </c>
      <c r="F2409" s="855" t="s">
        <v>8365</v>
      </c>
      <c r="G2409" s="468">
        <v>1</v>
      </c>
      <c r="H2409" s="468">
        <v>0</v>
      </c>
      <c r="I2409" s="751"/>
      <c r="J2409" s="878"/>
      <c r="K2409" s="789">
        <f>('Parâmetros financeiros Despesa'!E1179)</f>
        <v>0</v>
      </c>
      <c r="L2409" s="789">
        <f>('Parâmetros financeiros Despesa'!F1179)*(1+'Parâmetros financeiros Despesa'!F$4)*(1+'Parâmetros financeiros Despesa'!F$7)</f>
        <v>545.16575</v>
      </c>
      <c r="M2409" s="799">
        <f t="shared" si="399"/>
        <v>1.8996827249041796E-3</v>
      </c>
      <c r="N2409" s="894"/>
      <c r="O2409" s="796"/>
      <c r="P2409" s="733"/>
    </row>
    <row r="2410" spans="1:16" s="115" customFormat="1" ht="15" customHeight="1" x14ac:dyDescent="0.25">
      <c r="A2410" s="396"/>
      <c r="B2410" s="1398" t="s">
        <v>8359</v>
      </c>
      <c r="C2410" s="1398"/>
      <c r="D2410" s="1398"/>
      <c r="E2410" s="854">
        <v>344905100000000</v>
      </c>
      <c r="F2410" s="855" t="s">
        <v>8381</v>
      </c>
      <c r="G2410" s="468">
        <v>1</v>
      </c>
      <c r="H2410" s="468">
        <v>0</v>
      </c>
      <c r="I2410" s="751"/>
      <c r="J2410" s="878"/>
      <c r="K2410" s="789">
        <f>('Parâmetros financeiros Despesa'!E1180)</f>
        <v>0</v>
      </c>
      <c r="L2410" s="789">
        <f>('Parâmetros financeiros Despesa'!F1180)*(1+'Parâmetros financeiros Despesa'!F$4)*(1+'Parâmetros financeiros Despesa'!F$7)</f>
        <v>545.16575</v>
      </c>
      <c r="M2410" s="799">
        <f t="shared" si="399"/>
        <v>1.8996827249041796E-3</v>
      </c>
      <c r="N2410" s="894"/>
      <c r="O2410" s="796"/>
      <c r="P2410" s="733"/>
    </row>
    <row r="2411" spans="1:16" s="115" customFormat="1" ht="15" customHeight="1" x14ac:dyDescent="0.25">
      <c r="A2411" s="396"/>
      <c r="B2411" s="1398" t="s">
        <v>8380</v>
      </c>
      <c r="C2411" s="1398"/>
      <c r="D2411" s="1398"/>
      <c r="E2411" s="854">
        <v>344905200000000</v>
      </c>
      <c r="F2411" s="855" t="s">
        <v>8366</v>
      </c>
      <c r="G2411" s="468">
        <v>1</v>
      </c>
      <c r="H2411" s="468">
        <v>0</v>
      </c>
      <c r="I2411" s="751"/>
      <c r="J2411" s="878"/>
      <c r="K2411" s="789">
        <f>('Parâmetros financeiros Despesa'!E1181)</f>
        <v>0</v>
      </c>
      <c r="L2411" s="789">
        <f>('Parâmetros financeiros Despesa'!F1181)*(1+'Parâmetros financeiros Despesa'!F$4)*(1+'Parâmetros financeiros Despesa'!F$7)</f>
        <v>2180.663</v>
      </c>
      <c r="M2411" s="799">
        <f t="shared" si="399"/>
        <v>7.5987308996167185E-3</v>
      </c>
      <c r="N2411" s="894"/>
      <c r="O2411" s="796"/>
      <c r="P2411" s="733"/>
    </row>
    <row r="2412" spans="1:16" s="758" customFormat="1" ht="15" customHeight="1" x14ac:dyDescent="0.25">
      <c r="A2412" s="397"/>
      <c r="B2412" s="1385" t="s">
        <v>8354</v>
      </c>
      <c r="C2412" s="1385"/>
      <c r="D2412" s="1385"/>
      <c r="E2412" s="1385"/>
      <c r="F2412" s="1385"/>
      <c r="G2412" s="401"/>
      <c r="H2412" s="401"/>
      <c r="I2412" s="426"/>
      <c r="J2412" s="411"/>
      <c r="K2412" s="402">
        <f t="shared" ref="K2412:L2414" si="400">K2413</f>
        <v>0</v>
      </c>
      <c r="L2412" s="402">
        <f t="shared" si="400"/>
        <v>5425.2034000000003</v>
      </c>
      <c r="M2412" s="451">
        <f t="shared" si="399"/>
        <v>1.8904645381833729E-2</v>
      </c>
      <c r="N2412" s="796"/>
      <c r="P2412" s="399"/>
    </row>
    <row r="2413" spans="1:16" s="758" customFormat="1" ht="15" customHeight="1" x14ac:dyDescent="0.25">
      <c r="A2413" s="397"/>
      <c r="B2413" s="1386" t="s">
        <v>8339</v>
      </c>
      <c r="C2413" s="1386"/>
      <c r="D2413" s="1386"/>
      <c r="E2413" s="1386"/>
      <c r="F2413" s="1386"/>
      <c r="G2413" s="403"/>
      <c r="H2413" s="403"/>
      <c r="I2413" s="427"/>
      <c r="J2413" s="412"/>
      <c r="K2413" s="404">
        <f t="shared" si="400"/>
        <v>0</v>
      </c>
      <c r="L2413" s="404">
        <f t="shared" si="400"/>
        <v>5425.2034000000003</v>
      </c>
      <c r="M2413" s="452">
        <f t="shared" si="399"/>
        <v>1.8904645381833729E-2</v>
      </c>
      <c r="N2413" s="796"/>
      <c r="P2413" s="399"/>
    </row>
    <row r="2414" spans="1:16" s="758" customFormat="1" ht="15" customHeight="1" x14ac:dyDescent="0.25">
      <c r="A2414" s="397"/>
      <c r="B2414" s="1382" t="s">
        <v>8309</v>
      </c>
      <c r="C2414" s="1382"/>
      <c r="D2414" s="1382"/>
      <c r="E2414" s="1382"/>
      <c r="F2414" s="1382"/>
      <c r="G2414" s="405"/>
      <c r="H2414" s="405"/>
      <c r="I2414" s="428"/>
      <c r="J2414" s="413"/>
      <c r="K2414" s="406">
        <f t="shared" si="400"/>
        <v>0</v>
      </c>
      <c r="L2414" s="406">
        <f t="shared" si="400"/>
        <v>5425.2034000000003</v>
      </c>
      <c r="M2414" s="453">
        <f t="shared" si="399"/>
        <v>1.8904645381833729E-2</v>
      </c>
      <c r="N2414" s="796"/>
      <c r="P2414" s="399"/>
    </row>
    <row r="2415" spans="1:16" s="758" customFormat="1" ht="15" customHeight="1" x14ac:dyDescent="0.25">
      <c r="A2415" s="397"/>
      <c r="B2415" s="1383" t="s">
        <v>8355</v>
      </c>
      <c r="C2415" s="1383"/>
      <c r="D2415" s="1383"/>
      <c r="E2415" s="1383"/>
      <c r="F2415" s="1383"/>
      <c r="G2415" s="407"/>
      <c r="H2415" s="407"/>
      <c r="I2415" s="429"/>
      <c r="J2415" s="414"/>
      <c r="K2415" s="408">
        <f>SUM(K2416:K2422)</f>
        <v>0</v>
      </c>
      <c r="L2415" s="408">
        <f>SUM(L2416:L2422)+0.01</f>
        <v>5425.2034000000003</v>
      </c>
      <c r="M2415" s="454">
        <f t="shared" si="399"/>
        <v>1.8904645381833729E-2</v>
      </c>
      <c r="N2415" s="796"/>
      <c r="P2415" s="399"/>
    </row>
    <row r="2416" spans="1:16" s="115" customFormat="1" ht="15" customHeight="1" x14ac:dyDescent="0.25">
      <c r="A2416" s="396"/>
      <c r="B2416" s="1396">
        <v>440200</v>
      </c>
      <c r="C2416" s="1396"/>
      <c r="D2416" s="1396"/>
      <c r="E2416" s="854">
        <v>333903000000000</v>
      </c>
      <c r="F2416" s="855" t="s">
        <v>8368</v>
      </c>
      <c r="G2416" s="468">
        <v>1</v>
      </c>
      <c r="H2416" s="468">
        <v>0</v>
      </c>
      <c r="I2416" s="751"/>
      <c r="J2416" s="878"/>
      <c r="K2416" s="789">
        <f>('Parâmetros financeiros Despesa'!E1183)</f>
        <v>0</v>
      </c>
      <c r="L2416" s="789">
        <f>('Parâmetros financeiros Despesa'!F1183)*(1+'Parâmetros financeiros Despesa'!F$4)*(1+'Parâmetros financeiros Despesa'!F$7)</f>
        <v>545.16575</v>
      </c>
      <c r="M2416" s="799">
        <f t="shared" si="399"/>
        <v>1.8996827249041796E-3</v>
      </c>
      <c r="N2416" s="894"/>
      <c r="O2416" s="796"/>
      <c r="P2416" s="733"/>
    </row>
    <row r="2417" spans="1:16" s="115" customFormat="1" ht="15" customHeight="1" x14ac:dyDescent="0.25">
      <c r="A2417" s="396"/>
      <c r="B2417" s="1396">
        <v>440300</v>
      </c>
      <c r="C2417" s="1396"/>
      <c r="D2417" s="1396"/>
      <c r="E2417" s="854">
        <v>333903200000000</v>
      </c>
      <c r="F2417" s="855" t="s">
        <v>8369</v>
      </c>
      <c r="G2417" s="468">
        <v>1</v>
      </c>
      <c r="H2417" s="468">
        <v>0</v>
      </c>
      <c r="I2417" s="751"/>
      <c r="J2417" s="878"/>
      <c r="K2417" s="789">
        <f>('Parâmetros financeiros Despesa'!E1184)</f>
        <v>0</v>
      </c>
      <c r="L2417" s="789">
        <f>('Parâmetros financeiros Despesa'!F1184)*(1+'Parâmetros financeiros Despesa'!F$4)*(1+'Parâmetros financeiros Despesa'!F$7)</f>
        <v>545.16575</v>
      </c>
      <c r="M2417" s="799">
        <f t="shared" si="399"/>
        <v>1.8996827249041796E-3</v>
      </c>
      <c r="N2417" s="894"/>
      <c r="O2417" s="796"/>
      <c r="P2417" s="733"/>
    </row>
    <row r="2418" spans="1:16" s="115" customFormat="1" ht="15" customHeight="1" x14ac:dyDescent="0.25">
      <c r="A2418" s="396"/>
      <c r="B2418" s="1398" t="s">
        <v>8375</v>
      </c>
      <c r="C2418" s="1398"/>
      <c r="D2418" s="1398"/>
      <c r="E2418" s="854">
        <v>333903600000000</v>
      </c>
      <c r="F2418" s="855" t="s">
        <v>8370</v>
      </c>
      <c r="G2418" s="468">
        <v>1</v>
      </c>
      <c r="H2418" s="468">
        <v>0</v>
      </c>
      <c r="I2418" s="751"/>
      <c r="J2418" s="878"/>
      <c r="K2418" s="789">
        <f>('Parâmetros financeiros Despesa'!E1185)</f>
        <v>0</v>
      </c>
      <c r="L2418" s="789">
        <f>('Parâmetros financeiros Despesa'!F1185)*(1+'Parâmetros financeiros Despesa'!F$4)*(1+'Parâmetros financeiros Despesa'!F$7)</f>
        <v>545.16575</v>
      </c>
      <c r="M2418" s="799">
        <f t="shared" si="399"/>
        <v>1.8996827249041796E-3</v>
      </c>
      <c r="N2418" s="894"/>
      <c r="O2418" s="796"/>
      <c r="P2418" s="733"/>
    </row>
    <row r="2419" spans="1:16" s="115" customFormat="1" ht="15" customHeight="1" x14ac:dyDescent="0.25">
      <c r="A2419" s="396"/>
      <c r="B2419" s="1398" t="s">
        <v>8376</v>
      </c>
      <c r="C2419" s="1398"/>
      <c r="D2419" s="1398"/>
      <c r="E2419" s="854">
        <v>333903900000000</v>
      </c>
      <c r="F2419" s="855" t="s">
        <v>8371</v>
      </c>
      <c r="G2419" s="468">
        <v>1</v>
      </c>
      <c r="H2419" s="468">
        <v>0</v>
      </c>
      <c r="I2419" s="751"/>
      <c r="J2419" s="878"/>
      <c r="K2419" s="789">
        <f>('Parâmetros financeiros Despesa'!E1186)</f>
        <v>0</v>
      </c>
      <c r="L2419" s="789">
        <f>('Parâmetros financeiros Despesa'!F1186)*(1+'Parâmetros financeiros Despesa'!F$4)*(1+'Parâmetros financeiros Despesa'!F$7)</f>
        <v>2180.663</v>
      </c>
      <c r="M2419" s="799">
        <f t="shared" si="399"/>
        <v>7.5987308996167185E-3</v>
      </c>
      <c r="N2419" s="894"/>
      <c r="O2419" s="796"/>
      <c r="P2419" s="733"/>
    </row>
    <row r="2420" spans="1:16" s="115" customFormat="1" ht="15" customHeight="1" x14ac:dyDescent="0.25">
      <c r="A2420" s="396"/>
      <c r="B2420" s="1398" t="s">
        <v>8377</v>
      </c>
      <c r="C2420" s="1398"/>
      <c r="D2420" s="1398"/>
      <c r="E2420" s="854">
        <v>333904700000000</v>
      </c>
      <c r="F2420" s="855" t="s">
        <v>8374</v>
      </c>
      <c r="G2420" s="468">
        <v>1</v>
      </c>
      <c r="H2420" s="468">
        <v>0</v>
      </c>
      <c r="I2420" s="751"/>
      <c r="J2420" s="878"/>
      <c r="K2420" s="789">
        <f>'Parâmetros financeiros Despesa'!E1187</f>
        <v>0</v>
      </c>
      <c r="L2420" s="789">
        <f>(('Parâmetros financeiros Despesa'!F1185)*(1+'Parâmetros financeiros Despesa'!F$4)*(1+'Parâmetros financeiros Despesa'!F$7))*('Parâmetros financeiros Despesa'!F$83)</f>
        <v>109.03315000000001</v>
      </c>
      <c r="M2420" s="799">
        <f t="shared" si="399"/>
        <v>3.7993654498083595E-4</v>
      </c>
      <c r="N2420" s="894"/>
      <c r="O2420" s="796"/>
      <c r="P2420" s="733"/>
    </row>
    <row r="2421" spans="1:16" s="115" customFormat="1" ht="15" customHeight="1" x14ac:dyDescent="0.25">
      <c r="A2421" s="396"/>
      <c r="B2421" s="1398" t="s">
        <v>8378</v>
      </c>
      <c r="C2421" s="1398"/>
      <c r="D2421" s="1398"/>
      <c r="E2421" s="854">
        <v>333933000000000</v>
      </c>
      <c r="F2421" s="855" t="s">
        <v>8372</v>
      </c>
      <c r="G2421" s="468">
        <v>1</v>
      </c>
      <c r="H2421" s="468">
        <v>0</v>
      </c>
      <c r="I2421" s="751"/>
      <c r="J2421" s="878"/>
      <c r="K2421" s="789">
        <f>('Parâmetros financeiros Despesa'!E1188)</f>
        <v>0</v>
      </c>
      <c r="L2421" s="789">
        <f>('Parâmetros financeiros Despesa'!F1188)*((1+'Parâmetros financeiros Despesa'!F3264)*(1+'Parâmetros financeiros Despesa'!F3267)*(1+'Parâmetros financeiros Despesa'!F3337))</f>
        <v>500</v>
      </c>
      <c r="M2421" s="799">
        <f t="shared" si="399"/>
        <v>1.7422983055191744E-3</v>
      </c>
      <c r="N2421" s="894"/>
      <c r="O2421" s="796"/>
      <c r="P2421" s="733"/>
    </row>
    <row r="2422" spans="1:16" s="115" customFormat="1" ht="15" customHeight="1" x14ac:dyDescent="0.25">
      <c r="A2422" s="396"/>
      <c r="B2422" s="1398" t="s">
        <v>8379</v>
      </c>
      <c r="C2422" s="1398"/>
      <c r="D2422" s="1398"/>
      <c r="E2422" s="854">
        <v>344905200000000</v>
      </c>
      <c r="F2422" s="855" t="s">
        <v>8373</v>
      </c>
      <c r="G2422" s="468">
        <v>1</v>
      </c>
      <c r="H2422" s="468">
        <v>0</v>
      </c>
      <c r="I2422" s="751"/>
      <c r="J2422" s="878"/>
      <c r="K2422" s="789">
        <f>('Parâmetros financeiros Despesa'!E1189)</f>
        <v>0</v>
      </c>
      <c r="L2422" s="789">
        <f>('Parâmetros financeiros Despesa'!F1189)*((1+'Parâmetros financeiros Despesa'!F3265)*(1+'Parâmetros financeiros Despesa'!F3268)*(1+'Parâmetros financeiros Despesa'!F3338))</f>
        <v>1000</v>
      </c>
      <c r="M2422" s="799">
        <f t="shared" si="399"/>
        <v>3.4845966110383488E-3</v>
      </c>
      <c r="N2422" s="894"/>
      <c r="O2422" s="796"/>
      <c r="P2422" s="733"/>
    </row>
    <row r="2423" spans="1:16" s="758" customFormat="1" ht="15" customHeight="1" x14ac:dyDescent="0.25">
      <c r="A2423" s="397"/>
      <c r="B2423" s="1385" t="s">
        <v>8354</v>
      </c>
      <c r="C2423" s="1385"/>
      <c r="D2423" s="1385"/>
      <c r="E2423" s="1385"/>
      <c r="F2423" s="1385"/>
      <c r="G2423" s="401"/>
      <c r="H2423" s="401"/>
      <c r="I2423" s="426"/>
      <c r="J2423" s="411"/>
      <c r="K2423" s="402">
        <f t="shared" ref="K2423:L2425" si="401">K2424</f>
        <v>0</v>
      </c>
      <c r="L2423" s="402">
        <f t="shared" si="401"/>
        <v>5015.5349000000006</v>
      </c>
      <c r="M2423" s="451">
        <f t="shared" si="399"/>
        <v>1.7477115915084565E-2</v>
      </c>
      <c r="N2423" s="796"/>
      <c r="P2423" s="399"/>
    </row>
    <row r="2424" spans="1:16" s="758" customFormat="1" ht="15" customHeight="1" x14ac:dyDescent="0.25">
      <c r="A2424" s="397"/>
      <c r="B2424" s="1386" t="s">
        <v>8341</v>
      </c>
      <c r="C2424" s="1386"/>
      <c r="D2424" s="1386"/>
      <c r="E2424" s="1386"/>
      <c r="F2424" s="1386"/>
      <c r="G2424" s="403"/>
      <c r="H2424" s="403"/>
      <c r="I2424" s="427"/>
      <c r="J2424" s="412"/>
      <c r="K2424" s="404">
        <f t="shared" si="401"/>
        <v>0</v>
      </c>
      <c r="L2424" s="404">
        <f t="shared" si="401"/>
        <v>5015.5349000000006</v>
      </c>
      <c r="M2424" s="452">
        <f t="shared" si="399"/>
        <v>1.7477115915084565E-2</v>
      </c>
      <c r="N2424" s="796"/>
      <c r="P2424" s="399"/>
    </row>
    <row r="2425" spans="1:16" s="758" customFormat="1" ht="15" customHeight="1" x14ac:dyDescent="0.25">
      <c r="A2425" s="397"/>
      <c r="B2425" s="1382" t="s">
        <v>8309</v>
      </c>
      <c r="C2425" s="1382"/>
      <c r="D2425" s="1382"/>
      <c r="E2425" s="1382"/>
      <c r="F2425" s="1382"/>
      <c r="G2425" s="405"/>
      <c r="H2425" s="405"/>
      <c r="I2425" s="428"/>
      <c r="J2425" s="413"/>
      <c r="K2425" s="406">
        <f t="shared" si="401"/>
        <v>0</v>
      </c>
      <c r="L2425" s="406">
        <f t="shared" si="401"/>
        <v>5015.5349000000006</v>
      </c>
      <c r="M2425" s="453">
        <f t="shared" si="399"/>
        <v>1.7477115915084565E-2</v>
      </c>
      <c r="N2425" s="796"/>
      <c r="P2425" s="399"/>
    </row>
    <row r="2426" spans="1:16" s="758" customFormat="1" ht="15" customHeight="1" x14ac:dyDescent="0.25">
      <c r="A2426" s="397"/>
      <c r="B2426" s="1383" t="s">
        <v>8355</v>
      </c>
      <c r="C2426" s="1383"/>
      <c r="D2426" s="1383"/>
      <c r="E2426" s="1383"/>
      <c r="F2426" s="1383"/>
      <c r="G2426" s="407"/>
      <c r="H2426" s="407"/>
      <c r="I2426" s="429"/>
      <c r="J2426" s="414"/>
      <c r="K2426" s="408">
        <f>SUM(K2427:K2434)</f>
        <v>0</v>
      </c>
      <c r="L2426" s="408">
        <f>SUM(L2427:L2434)+0.01</f>
        <v>5015.5349000000006</v>
      </c>
      <c r="M2426" s="454">
        <f t="shared" si="399"/>
        <v>1.7477115915084565E-2</v>
      </c>
      <c r="N2426" s="796"/>
      <c r="P2426" s="399"/>
    </row>
    <row r="2427" spans="1:16" s="115" customFormat="1" ht="15" customHeight="1" x14ac:dyDescent="0.25">
      <c r="A2427" s="396"/>
      <c r="B2427" s="1396">
        <v>441600</v>
      </c>
      <c r="C2427" s="1396"/>
      <c r="D2427" s="1396"/>
      <c r="E2427" s="854">
        <v>333903000000000</v>
      </c>
      <c r="F2427" s="855" t="s">
        <v>8382</v>
      </c>
      <c r="G2427" s="468">
        <v>1</v>
      </c>
      <c r="H2427" s="468">
        <v>0</v>
      </c>
      <c r="I2427" s="751"/>
      <c r="J2427" s="878"/>
      <c r="K2427" s="789">
        <f>('Parâmetros financeiros Despesa'!E1199)</f>
        <v>0</v>
      </c>
      <c r="L2427" s="789">
        <f>('Parâmetros financeiros Despesa'!F1199)*(1+'Parâmetros financeiros Despesa'!F$4)*(1+'Parâmetros financeiros Despesa'!F$7)</f>
        <v>545.16575</v>
      </c>
      <c r="M2427" s="799">
        <f t="shared" si="399"/>
        <v>1.8996827249041796E-3</v>
      </c>
      <c r="N2427" s="894"/>
      <c r="O2427" s="796"/>
      <c r="P2427" s="733"/>
    </row>
    <row r="2428" spans="1:16" s="115" customFormat="1" ht="15" customHeight="1" x14ac:dyDescent="0.25">
      <c r="A2428" s="396"/>
      <c r="B2428" s="1396">
        <v>441700</v>
      </c>
      <c r="C2428" s="1396"/>
      <c r="D2428" s="1396"/>
      <c r="E2428" s="854">
        <v>333903100000000</v>
      </c>
      <c r="F2428" s="855" t="s">
        <v>8389</v>
      </c>
      <c r="G2428" s="468">
        <v>1</v>
      </c>
      <c r="H2428" s="468">
        <v>0</v>
      </c>
      <c r="I2428" s="751"/>
      <c r="J2428" s="878"/>
      <c r="K2428" s="789">
        <f>('Parâmetros financeiros Despesa'!E1200)</f>
        <v>0</v>
      </c>
      <c r="L2428" s="789">
        <f>('Parâmetros financeiros Despesa'!F1200)*(1+'Parâmetros financeiros Despesa'!F$4)*(1+'Parâmetros financeiros Despesa'!F$7)</f>
        <v>1090.3315</v>
      </c>
      <c r="M2428" s="799">
        <f t="shared" ref="M2428:M2434" si="402">L2428/L$2564</f>
        <v>3.7993654498083593E-3</v>
      </c>
      <c r="N2428" s="894"/>
      <c r="O2428" s="796"/>
      <c r="P2428" s="733"/>
    </row>
    <row r="2429" spans="1:16" s="115" customFormat="1" ht="15" customHeight="1" x14ac:dyDescent="0.25">
      <c r="A2429" s="396"/>
      <c r="B2429" s="1396">
        <v>441800</v>
      </c>
      <c r="C2429" s="1396"/>
      <c r="D2429" s="1396"/>
      <c r="E2429" s="854">
        <v>333903200000000</v>
      </c>
      <c r="F2429" s="855" t="s">
        <v>8383</v>
      </c>
      <c r="G2429" s="468">
        <v>1</v>
      </c>
      <c r="H2429" s="468">
        <v>0</v>
      </c>
      <c r="I2429" s="751"/>
      <c r="J2429" s="878"/>
      <c r="K2429" s="789">
        <f>('Parâmetros financeiros Despesa'!E1201)</f>
        <v>0</v>
      </c>
      <c r="L2429" s="789">
        <f>('Parâmetros financeiros Despesa'!F1201)*(1+'Parâmetros financeiros Despesa'!F$4)*(1+'Parâmetros financeiros Despesa'!F$7)</f>
        <v>545.16575</v>
      </c>
      <c r="M2429" s="799">
        <f t="shared" si="402"/>
        <v>1.8996827249041796E-3</v>
      </c>
      <c r="N2429" s="894"/>
      <c r="O2429" s="796"/>
      <c r="P2429" s="733"/>
    </row>
    <row r="2430" spans="1:16" s="115" customFormat="1" ht="15" customHeight="1" x14ac:dyDescent="0.25">
      <c r="A2430" s="396"/>
      <c r="B2430" s="1398" t="s">
        <v>8390</v>
      </c>
      <c r="C2430" s="1398"/>
      <c r="D2430" s="1398"/>
      <c r="E2430" s="854">
        <v>333903600000000</v>
      </c>
      <c r="F2430" s="855" t="s">
        <v>8384</v>
      </c>
      <c r="G2430" s="468">
        <v>1</v>
      </c>
      <c r="H2430" s="468">
        <v>0</v>
      </c>
      <c r="I2430" s="751"/>
      <c r="J2430" s="878"/>
      <c r="K2430" s="789">
        <f>('Parâmetros financeiros Despesa'!E1202)</f>
        <v>0</v>
      </c>
      <c r="L2430" s="789">
        <f>('Parâmetros financeiros Despesa'!F1202)*(1+'Parâmetros financeiros Despesa'!F$4)*(1+'Parâmetros financeiros Despesa'!F$7)</f>
        <v>545.16575</v>
      </c>
      <c r="M2430" s="799">
        <f t="shared" si="402"/>
        <v>1.8996827249041796E-3</v>
      </c>
      <c r="N2430" s="894"/>
      <c r="O2430" s="796"/>
      <c r="P2430" s="733"/>
    </row>
    <row r="2431" spans="1:16" s="115" customFormat="1" ht="15" customHeight="1" x14ac:dyDescent="0.25">
      <c r="A2431" s="396"/>
      <c r="B2431" s="1398" t="s">
        <v>8391</v>
      </c>
      <c r="C2431" s="1398"/>
      <c r="D2431" s="1398"/>
      <c r="E2431" s="854">
        <v>333903900000000</v>
      </c>
      <c r="F2431" s="855" t="s">
        <v>8385</v>
      </c>
      <c r="G2431" s="468">
        <v>1</v>
      </c>
      <c r="H2431" s="468">
        <v>0</v>
      </c>
      <c r="I2431" s="751"/>
      <c r="J2431" s="878"/>
      <c r="K2431" s="789">
        <f>('Parâmetros financeiros Despesa'!E1204)</f>
        <v>0</v>
      </c>
      <c r="L2431" s="789">
        <f>('Parâmetros financeiros Despesa'!F1204)*(1+'Parâmetros financeiros Despesa'!F$4)*(1+'Parâmetros financeiros Despesa'!F$7)</f>
        <v>1090.3315</v>
      </c>
      <c r="M2431" s="799">
        <f t="shared" si="402"/>
        <v>3.7993654498083593E-3</v>
      </c>
      <c r="N2431" s="894"/>
      <c r="O2431" s="796"/>
      <c r="P2431" s="733"/>
    </row>
    <row r="2432" spans="1:16" s="115" customFormat="1" ht="15" customHeight="1" x14ac:dyDescent="0.25">
      <c r="A2432" s="396"/>
      <c r="B2432" s="1398" t="s">
        <v>8392</v>
      </c>
      <c r="C2432" s="1398"/>
      <c r="D2432" s="1398"/>
      <c r="E2432" s="854">
        <v>333904700000000</v>
      </c>
      <c r="F2432" s="855" t="s">
        <v>8386</v>
      </c>
      <c r="G2432" s="468">
        <v>1</v>
      </c>
      <c r="H2432" s="468">
        <v>0</v>
      </c>
      <c r="I2432" s="751"/>
      <c r="J2432" s="878"/>
      <c r="K2432" s="789">
        <f>'Parâmetros financeiros Despesa'!E1203</f>
        <v>0</v>
      </c>
      <c r="L2432" s="789">
        <f>(('Parâmetros financeiros Despesa'!F1202)*(1+'Parâmetros financeiros Despesa'!F$4)*(1+'Parâmetros financeiros Despesa'!F$7))*('Parâmetros financeiros Despesa'!F$83)</f>
        <v>109.03315000000001</v>
      </c>
      <c r="M2432" s="799">
        <f t="shared" si="402"/>
        <v>3.7993654498083595E-4</v>
      </c>
      <c r="N2432" s="894"/>
      <c r="O2432" s="796"/>
      <c r="P2432" s="733"/>
    </row>
    <row r="2433" spans="1:16" s="115" customFormat="1" ht="15" customHeight="1" x14ac:dyDescent="0.25">
      <c r="A2433" s="396"/>
      <c r="B2433" s="1398" t="s">
        <v>8393</v>
      </c>
      <c r="C2433" s="1398"/>
      <c r="D2433" s="1398"/>
      <c r="E2433" s="854">
        <v>333933000000000</v>
      </c>
      <c r="F2433" s="855" t="s">
        <v>8387</v>
      </c>
      <c r="G2433" s="468">
        <v>1</v>
      </c>
      <c r="H2433" s="468">
        <v>0</v>
      </c>
      <c r="I2433" s="751"/>
      <c r="J2433" s="878"/>
      <c r="K2433" s="789">
        <f>('Parâmetros financeiros Despesa'!E1205)</f>
        <v>0</v>
      </c>
      <c r="L2433" s="789">
        <f>('Parâmetros financeiros Despesa'!F1205)*(1+'Parâmetros financeiros Despesa'!F$4)*(1+'Parâmetros financeiros Despesa'!F$7)</f>
        <v>545.16575</v>
      </c>
      <c r="M2433" s="799">
        <f t="shared" si="402"/>
        <v>1.8996827249041796E-3</v>
      </c>
      <c r="N2433" s="894"/>
      <c r="O2433" s="796"/>
      <c r="P2433" s="733"/>
    </row>
    <row r="2434" spans="1:16" s="115" customFormat="1" ht="15" customHeight="1" x14ac:dyDescent="0.25">
      <c r="A2434" s="396"/>
      <c r="B2434" s="1398" t="s">
        <v>8394</v>
      </c>
      <c r="C2434" s="1398"/>
      <c r="D2434" s="1398"/>
      <c r="E2434" s="854">
        <v>344905200000000</v>
      </c>
      <c r="F2434" s="855" t="s">
        <v>8388</v>
      </c>
      <c r="G2434" s="468">
        <v>1</v>
      </c>
      <c r="H2434" s="468">
        <v>0</v>
      </c>
      <c r="I2434" s="751"/>
      <c r="J2434" s="878"/>
      <c r="K2434" s="789">
        <f>('Parâmetros financeiros Despesa'!E1206)</f>
        <v>0</v>
      </c>
      <c r="L2434" s="789">
        <f>('Parâmetros financeiros Despesa'!F1206)*(1+'Parâmetros financeiros Despesa'!F$4)*(1+'Parâmetros financeiros Despesa'!F$7)</f>
        <v>545.16575</v>
      </c>
      <c r="M2434" s="799">
        <f t="shared" si="402"/>
        <v>1.8996827249041796E-3</v>
      </c>
      <c r="N2434" s="894"/>
      <c r="O2434" s="796"/>
      <c r="P2434" s="733"/>
    </row>
    <row r="2435" spans="1:16" s="758" customFormat="1" ht="15" customHeight="1" x14ac:dyDescent="0.25">
      <c r="A2435" s="397"/>
      <c r="B2435" s="1385" t="s">
        <v>8354</v>
      </c>
      <c r="C2435" s="1385"/>
      <c r="D2435" s="1385"/>
      <c r="E2435" s="1385"/>
      <c r="F2435" s="1385"/>
      <c r="G2435" s="401"/>
      <c r="H2435" s="401"/>
      <c r="I2435" s="426"/>
      <c r="J2435" s="411"/>
      <c r="K2435" s="402">
        <f t="shared" ref="K2435:L2437" si="403">K2436</f>
        <v>0</v>
      </c>
      <c r="L2435" s="402">
        <f t="shared" si="403"/>
        <v>16027.873050000002</v>
      </c>
      <c r="M2435" s="451">
        <f>L2435/L$2564</f>
        <v>5.5850672112182885E-2</v>
      </c>
      <c r="N2435" s="796"/>
      <c r="P2435" s="399"/>
    </row>
    <row r="2436" spans="1:16" s="758" customFormat="1" ht="15" customHeight="1" x14ac:dyDescent="0.25">
      <c r="A2436" s="397"/>
      <c r="B2436" s="1386" t="s">
        <v>8342</v>
      </c>
      <c r="C2436" s="1386"/>
      <c r="D2436" s="1386"/>
      <c r="E2436" s="1386"/>
      <c r="F2436" s="1386"/>
      <c r="G2436" s="403"/>
      <c r="H2436" s="403"/>
      <c r="I2436" s="427"/>
      <c r="J2436" s="412"/>
      <c r="K2436" s="404">
        <f t="shared" si="403"/>
        <v>0</v>
      </c>
      <c r="L2436" s="404">
        <f t="shared" si="403"/>
        <v>16027.873050000002</v>
      </c>
      <c r="M2436" s="452">
        <f>L2436/L$2564</f>
        <v>5.5850672112182885E-2</v>
      </c>
      <c r="N2436" s="796"/>
      <c r="P2436" s="399"/>
    </row>
    <row r="2437" spans="1:16" s="758" customFormat="1" ht="15" customHeight="1" x14ac:dyDescent="0.25">
      <c r="A2437" s="397"/>
      <c r="B2437" s="1382" t="s">
        <v>8309</v>
      </c>
      <c r="C2437" s="1382"/>
      <c r="D2437" s="1382"/>
      <c r="E2437" s="1382"/>
      <c r="F2437" s="1382"/>
      <c r="G2437" s="405"/>
      <c r="H2437" s="405"/>
      <c r="I2437" s="428"/>
      <c r="J2437" s="413"/>
      <c r="K2437" s="406">
        <f t="shared" si="403"/>
        <v>0</v>
      </c>
      <c r="L2437" s="406">
        <f t="shared" si="403"/>
        <v>16027.873050000002</v>
      </c>
      <c r="M2437" s="453">
        <f>L2437/L$2564</f>
        <v>5.5850672112182885E-2</v>
      </c>
      <c r="N2437" s="796"/>
      <c r="P2437" s="399"/>
    </row>
    <row r="2438" spans="1:16" s="758" customFormat="1" ht="15" customHeight="1" x14ac:dyDescent="0.25">
      <c r="A2438" s="397"/>
      <c r="B2438" s="1383" t="s">
        <v>8355</v>
      </c>
      <c r="C2438" s="1383"/>
      <c r="D2438" s="1383"/>
      <c r="E2438" s="1383"/>
      <c r="F2438" s="1383"/>
      <c r="G2438" s="407"/>
      <c r="H2438" s="407"/>
      <c r="I2438" s="429"/>
      <c r="J2438" s="414"/>
      <c r="K2438" s="408">
        <f>SUM(K2439:K2446)</f>
        <v>0</v>
      </c>
      <c r="L2438" s="408">
        <f>SUM(L2439:L2446)</f>
        <v>16027.873050000002</v>
      </c>
      <c r="M2438" s="454">
        <f>L2438/L$2564</f>
        <v>5.5850672112182885E-2</v>
      </c>
      <c r="N2438" s="796"/>
      <c r="P2438" s="399"/>
    </row>
    <row r="2439" spans="1:16" s="115" customFormat="1" ht="15" customHeight="1" x14ac:dyDescent="0.25">
      <c r="A2439" s="396"/>
      <c r="B2439" s="1396">
        <v>442400</v>
      </c>
      <c r="C2439" s="1396"/>
      <c r="D2439" s="1396"/>
      <c r="E2439" s="854">
        <v>333903000000000</v>
      </c>
      <c r="F2439" s="855" t="s">
        <v>8400</v>
      </c>
      <c r="G2439" s="468">
        <v>1</v>
      </c>
      <c r="H2439" s="468">
        <v>0</v>
      </c>
      <c r="I2439" s="751"/>
      <c r="J2439" s="878"/>
      <c r="K2439" s="789">
        <f>('Parâmetros financeiros Despesa'!E1208)</f>
        <v>0</v>
      </c>
      <c r="L2439" s="789">
        <f>('Parâmetros financeiros Despesa'!F1208)*(1+'Parâmetros financeiros Despesa'!F$4)*(1+'Parâmetros financeiros Despesa'!F$7)</f>
        <v>3270.9945000000002</v>
      </c>
      <c r="M2439" s="799">
        <f>L2439/L$2564</f>
        <v>1.1398096349425079E-2</v>
      </c>
      <c r="N2439" s="894"/>
      <c r="O2439" s="796"/>
      <c r="P2439" s="733"/>
    </row>
    <row r="2440" spans="1:16" s="115" customFormat="1" ht="15" customHeight="1" x14ac:dyDescent="0.25">
      <c r="A2440" s="396"/>
      <c r="B2440" s="1396">
        <v>442500</v>
      </c>
      <c r="C2440" s="1396"/>
      <c r="D2440" s="1396"/>
      <c r="E2440" s="854">
        <v>333903100000000</v>
      </c>
      <c r="F2440" s="855" t="s">
        <v>8401</v>
      </c>
      <c r="G2440" s="468">
        <v>1</v>
      </c>
      <c r="H2440" s="468">
        <v>0</v>
      </c>
      <c r="I2440" s="751"/>
      <c r="J2440" s="878"/>
      <c r="K2440" s="789">
        <f>('Parâmetros financeiros Despesa'!E1209)</f>
        <v>0</v>
      </c>
      <c r="L2440" s="789">
        <f>('Parâmetros financeiros Despesa'!F1209)*(1+'Parâmetros financeiros Despesa'!F$4)*(1+'Parâmetros financeiros Despesa'!F$7)</f>
        <v>2180.663</v>
      </c>
      <c r="M2440" s="799">
        <f t="shared" ref="M2440:M2446" si="404">L2440/L$2564</f>
        <v>7.5987308996167185E-3</v>
      </c>
      <c r="N2440" s="894"/>
      <c r="O2440" s="796"/>
      <c r="P2440" s="733"/>
    </row>
    <row r="2441" spans="1:16" s="115" customFormat="1" ht="15" customHeight="1" x14ac:dyDescent="0.25">
      <c r="A2441" s="396"/>
      <c r="B2441" s="1396">
        <v>442600</v>
      </c>
      <c r="C2441" s="1396"/>
      <c r="D2441" s="1396"/>
      <c r="E2441" s="854">
        <v>333903200000000</v>
      </c>
      <c r="F2441" s="855" t="s">
        <v>8402</v>
      </c>
      <c r="G2441" s="468">
        <v>1</v>
      </c>
      <c r="H2441" s="468">
        <v>0</v>
      </c>
      <c r="I2441" s="751"/>
      <c r="J2441" s="878"/>
      <c r="K2441" s="789">
        <f>('Parâmetros financeiros Despesa'!E1210)</f>
        <v>0</v>
      </c>
      <c r="L2441" s="789">
        <f>('Parâmetros financeiros Despesa'!F1210)*(1+'Parâmetros financeiros Despesa'!F$4)*(1+'Parâmetros financeiros Despesa'!F$7)</f>
        <v>1090.3315</v>
      </c>
      <c r="M2441" s="799">
        <f t="shared" si="404"/>
        <v>3.7993654498083593E-3</v>
      </c>
      <c r="N2441" s="894"/>
      <c r="O2441" s="796"/>
      <c r="P2441" s="733"/>
    </row>
    <row r="2442" spans="1:16" s="115" customFormat="1" ht="15" customHeight="1" x14ac:dyDescent="0.25">
      <c r="A2442" s="396"/>
      <c r="B2442" s="1398" t="s">
        <v>8395</v>
      </c>
      <c r="C2442" s="1398"/>
      <c r="D2442" s="1398"/>
      <c r="E2442" s="854">
        <v>333903600000000</v>
      </c>
      <c r="F2442" s="855" t="s">
        <v>8403</v>
      </c>
      <c r="G2442" s="468">
        <v>1</v>
      </c>
      <c r="H2442" s="468">
        <v>0</v>
      </c>
      <c r="I2442" s="751"/>
      <c r="J2442" s="878"/>
      <c r="K2442" s="789">
        <f>('Parâmetros financeiros Despesa'!E1211)</f>
        <v>0</v>
      </c>
      <c r="L2442" s="789">
        <f>('Parâmetros financeiros Despesa'!F1211)*(1+'Parâmetros financeiros Despesa'!F$4)*(1+'Parâmetros financeiros Despesa'!F$7)</f>
        <v>1090.3315</v>
      </c>
      <c r="M2442" s="799">
        <f t="shared" si="404"/>
        <v>3.7993654498083593E-3</v>
      </c>
      <c r="N2442" s="894"/>
      <c r="O2442" s="796"/>
      <c r="P2442" s="733"/>
    </row>
    <row r="2443" spans="1:16" s="115" customFormat="1" ht="15" customHeight="1" x14ac:dyDescent="0.25">
      <c r="A2443" s="396"/>
      <c r="B2443" s="1398" t="s">
        <v>8396</v>
      </c>
      <c r="C2443" s="1398"/>
      <c r="D2443" s="1398"/>
      <c r="E2443" s="854">
        <v>333903900000000</v>
      </c>
      <c r="F2443" s="855" t="s">
        <v>8404</v>
      </c>
      <c r="G2443" s="468">
        <v>1</v>
      </c>
      <c r="H2443" s="468">
        <v>0</v>
      </c>
      <c r="I2443" s="751"/>
      <c r="J2443" s="878"/>
      <c r="K2443" s="789">
        <f>('Parâmetros financeiros Despesa'!E1212)</f>
        <v>0</v>
      </c>
      <c r="L2443" s="789">
        <f>('Parâmetros financeiros Despesa'!F1212)*(1+'Parâmetros financeiros Despesa'!F$4)*(1+'Parâmetros financeiros Despesa'!F$7)</f>
        <v>6541.9890000000005</v>
      </c>
      <c r="M2443" s="799">
        <f t="shared" si="404"/>
        <v>2.2796192698850158E-2</v>
      </c>
      <c r="N2443" s="894"/>
      <c r="O2443" s="796"/>
      <c r="P2443" s="733"/>
    </row>
    <row r="2444" spans="1:16" s="115" customFormat="1" ht="15" customHeight="1" x14ac:dyDescent="0.25">
      <c r="A2444" s="396"/>
      <c r="B2444" s="1398" t="s">
        <v>8397</v>
      </c>
      <c r="C2444" s="1398"/>
      <c r="D2444" s="1398"/>
      <c r="E2444" s="854">
        <v>333904700000000</v>
      </c>
      <c r="F2444" s="855" t="s">
        <v>8405</v>
      </c>
      <c r="G2444" s="468">
        <v>1</v>
      </c>
      <c r="H2444" s="468">
        <v>0</v>
      </c>
      <c r="I2444" s="751"/>
      <c r="J2444" s="878"/>
      <c r="K2444" s="789">
        <f>'Parâmetros financeiros Despesa'!E1213</f>
        <v>0</v>
      </c>
      <c r="L2444" s="789">
        <f>('Parâmetros financeiros Despesa'!F1213)*(1+'Parâmetros financeiros Despesa'!F$4)*(1+'Parâmetros financeiros Despesa'!F$7)</f>
        <v>218.06630000000001</v>
      </c>
      <c r="M2444" s="799">
        <f t="shared" si="404"/>
        <v>7.5987308996167189E-4</v>
      </c>
      <c r="N2444" s="894"/>
      <c r="O2444" s="796"/>
      <c r="P2444" s="733"/>
    </row>
    <row r="2445" spans="1:16" s="115" customFormat="1" ht="15" customHeight="1" x14ac:dyDescent="0.25">
      <c r="A2445" s="396"/>
      <c r="B2445" s="1398" t="s">
        <v>8398</v>
      </c>
      <c r="C2445" s="1398"/>
      <c r="D2445" s="1398"/>
      <c r="E2445" s="854">
        <v>333933000000000</v>
      </c>
      <c r="F2445" s="855" t="s">
        <v>8406</v>
      </c>
      <c r="G2445" s="468">
        <v>1</v>
      </c>
      <c r="H2445" s="468">
        <v>0</v>
      </c>
      <c r="I2445" s="751"/>
      <c r="J2445" s="878"/>
      <c r="K2445" s="789">
        <f>('Parâmetros financeiros Despesa'!E1214)</f>
        <v>0</v>
      </c>
      <c r="L2445" s="789">
        <f>('Parâmetros financeiros Despesa'!F1214)*(1+'Parâmetros financeiros Despesa'!F$4)*(1+'Parâmetros financeiros Despesa'!F$7)</f>
        <v>545.16575</v>
      </c>
      <c r="M2445" s="799">
        <f t="shared" si="404"/>
        <v>1.8996827249041796E-3</v>
      </c>
      <c r="N2445" s="894"/>
      <c r="O2445" s="796"/>
      <c r="P2445" s="733"/>
    </row>
    <row r="2446" spans="1:16" s="115" customFormat="1" ht="15" customHeight="1" x14ac:dyDescent="0.25">
      <c r="A2446" s="396"/>
      <c r="B2446" s="1398" t="s">
        <v>8399</v>
      </c>
      <c r="C2446" s="1398"/>
      <c r="D2446" s="1398"/>
      <c r="E2446" s="854">
        <v>344905200000000</v>
      </c>
      <c r="F2446" s="855" t="s">
        <v>8407</v>
      </c>
      <c r="G2446" s="468">
        <v>1</v>
      </c>
      <c r="H2446" s="468">
        <v>0</v>
      </c>
      <c r="I2446" s="751"/>
      <c r="J2446" s="878"/>
      <c r="K2446" s="789">
        <f>('Parâmetros financeiros Despesa'!E1215)</f>
        <v>0</v>
      </c>
      <c r="L2446" s="789">
        <f>('Parâmetros financeiros Despesa'!F1215)*(1+'Parâmetros financeiros Despesa'!F$4)*(1+'Parâmetros financeiros Despesa'!F$7)</f>
        <v>1090.3315</v>
      </c>
      <c r="M2446" s="799">
        <f t="shared" si="404"/>
        <v>3.7993654498083593E-3</v>
      </c>
      <c r="N2446" s="894"/>
      <c r="O2446" s="796"/>
      <c r="P2446" s="733"/>
    </row>
    <row r="2447" spans="1:16" s="758" customFormat="1" ht="15" customHeight="1" x14ac:dyDescent="0.25">
      <c r="A2447" s="397"/>
      <c r="B2447" s="1385" t="s">
        <v>8354</v>
      </c>
      <c r="C2447" s="1385"/>
      <c r="D2447" s="1385"/>
      <c r="E2447" s="1385"/>
      <c r="F2447" s="1385"/>
      <c r="G2447" s="401"/>
      <c r="H2447" s="401"/>
      <c r="I2447" s="426"/>
      <c r="J2447" s="411"/>
      <c r="K2447" s="402">
        <f t="shared" ref="K2447:L2449" si="405">K2448</f>
        <v>0</v>
      </c>
      <c r="L2447" s="402">
        <f t="shared" si="405"/>
        <v>3925.1934000000006</v>
      </c>
      <c r="M2447" s="451">
        <f>L2447/L$2564</f>
        <v>1.3677715619310095E-2</v>
      </c>
      <c r="N2447" s="796"/>
      <c r="P2447" s="399"/>
    </row>
    <row r="2448" spans="1:16" s="758" customFormat="1" ht="15" customHeight="1" x14ac:dyDescent="0.25">
      <c r="A2448" s="397"/>
      <c r="B2448" s="1386" t="s">
        <v>8344</v>
      </c>
      <c r="C2448" s="1386"/>
      <c r="D2448" s="1386"/>
      <c r="E2448" s="1386"/>
      <c r="F2448" s="1386"/>
      <c r="G2448" s="403"/>
      <c r="H2448" s="403"/>
      <c r="I2448" s="427"/>
      <c r="J2448" s="412"/>
      <c r="K2448" s="404">
        <f t="shared" si="405"/>
        <v>0</v>
      </c>
      <c r="L2448" s="404">
        <f t="shared" si="405"/>
        <v>3925.1934000000006</v>
      </c>
      <c r="M2448" s="452">
        <f>L2448/L$2564</f>
        <v>1.3677715619310095E-2</v>
      </c>
      <c r="N2448" s="796"/>
      <c r="P2448" s="399"/>
    </row>
    <row r="2449" spans="1:16" s="758" customFormat="1" ht="15" customHeight="1" x14ac:dyDescent="0.25">
      <c r="A2449" s="397"/>
      <c r="B2449" s="1382" t="s">
        <v>8309</v>
      </c>
      <c r="C2449" s="1382"/>
      <c r="D2449" s="1382"/>
      <c r="E2449" s="1382"/>
      <c r="F2449" s="1382"/>
      <c r="G2449" s="405"/>
      <c r="H2449" s="405"/>
      <c r="I2449" s="428"/>
      <c r="J2449" s="413"/>
      <c r="K2449" s="406">
        <f t="shared" si="405"/>
        <v>0</v>
      </c>
      <c r="L2449" s="406">
        <f t="shared" si="405"/>
        <v>3925.1934000000006</v>
      </c>
      <c r="M2449" s="453">
        <f>L2449/L$2564</f>
        <v>1.3677715619310095E-2</v>
      </c>
      <c r="N2449" s="796"/>
      <c r="P2449" s="399"/>
    </row>
    <row r="2450" spans="1:16" s="758" customFormat="1" ht="15" customHeight="1" x14ac:dyDescent="0.25">
      <c r="A2450" s="397"/>
      <c r="B2450" s="1383" t="s">
        <v>8355</v>
      </c>
      <c r="C2450" s="1383"/>
      <c r="D2450" s="1383"/>
      <c r="E2450" s="1383"/>
      <c r="F2450" s="1383"/>
      <c r="G2450" s="407"/>
      <c r="H2450" s="407"/>
      <c r="I2450" s="429"/>
      <c r="J2450" s="414"/>
      <c r="K2450" s="408">
        <f>SUM(K2451:K2458)</f>
        <v>0</v>
      </c>
      <c r="L2450" s="408">
        <f>SUM(L2451:L2458)</f>
        <v>3925.1934000000006</v>
      </c>
      <c r="M2450" s="454">
        <f>L2450/L$2564</f>
        <v>1.3677715619310095E-2</v>
      </c>
      <c r="N2450" s="796"/>
      <c r="P2450" s="399"/>
    </row>
    <row r="2451" spans="1:16" s="115" customFormat="1" ht="15" customHeight="1" x14ac:dyDescent="0.25">
      <c r="A2451" s="396"/>
      <c r="B2451" s="1396">
        <v>443200</v>
      </c>
      <c r="C2451" s="1396"/>
      <c r="D2451" s="1396"/>
      <c r="E2451" s="854">
        <v>333903000000000</v>
      </c>
      <c r="F2451" s="855" t="s">
        <v>8408</v>
      </c>
      <c r="G2451" s="468">
        <v>1</v>
      </c>
      <c r="H2451" s="468">
        <v>0</v>
      </c>
      <c r="I2451" s="751"/>
      <c r="J2451" s="878"/>
      <c r="K2451" s="789">
        <f>('Parâmetros financeiros Despesa'!E1217)</f>
        <v>0</v>
      </c>
      <c r="L2451" s="789">
        <f>('Parâmetros financeiros Despesa'!F1217)*(1+'Parâmetros financeiros Despesa'!F$4)*(1+'Parâmetros financeiros Despesa'!F$7)</f>
        <v>545.16575</v>
      </c>
      <c r="M2451" s="799">
        <f>L2451/L$2564</f>
        <v>1.8996827249041796E-3</v>
      </c>
      <c r="N2451" s="894"/>
      <c r="O2451" s="796"/>
      <c r="P2451" s="733"/>
    </row>
    <row r="2452" spans="1:16" s="115" customFormat="1" ht="15" customHeight="1" x14ac:dyDescent="0.25">
      <c r="A2452" s="396"/>
      <c r="B2452" s="1396">
        <v>443300</v>
      </c>
      <c r="C2452" s="1396"/>
      <c r="D2452" s="1396"/>
      <c r="E2452" s="854">
        <v>333903100000000</v>
      </c>
      <c r="F2452" s="855" t="s">
        <v>8409</v>
      </c>
      <c r="G2452" s="468">
        <v>1</v>
      </c>
      <c r="H2452" s="468">
        <v>0</v>
      </c>
      <c r="I2452" s="751"/>
      <c r="J2452" s="878"/>
      <c r="K2452" s="789">
        <f>('Parâmetros financeiros Despesa'!E1218)</f>
        <v>0</v>
      </c>
      <c r="L2452" s="789">
        <f>('Parâmetros financeiros Despesa'!F1218)*(1+'Parâmetros financeiros Despesa'!F$4)*(1+'Parâmetros financeiros Despesa'!F$7)</f>
        <v>545.16575</v>
      </c>
      <c r="M2452" s="799">
        <f t="shared" ref="M2452:M2458" si="406">L2452/L$2564</f>
        <v>1.8996827249041796E-3</v>
      </c>
      <c r="N2452" s="894"/>
      <c r="O2452" s="796"/>
      <c r="P2452" s="733"/>
    </row>
    <row r="2453" spans="1:16" s="115" customFormat="1" ht="15" customHeight="1" x14ac:dyDescent="0.25">
      <c r="A2453" s="396"/>
      <c r="B2453" s="1396">
        <v>443400</v>
      </c>
      <c r="C2453" s="1396"/>
      <c r="D2453" s="1396"/>
      <c r="E2453" s="854">
        <v>333903200000000</v>
      </c>
      <c r="F2453" s="855" t="s">
        <v>8410</v>
      </c>
      <c r="G2453" s="468">
        <v>1</v>
      </c>
      <c r="H2453" s="468">
        <v>0</v>
      </c>
      <c r="I2453" s="751"/>
      <c r="J2453" s="878"/>
      <c r="K2453" s="789">
        <f>('Parâmetros financeiros Despesa'!E1219)</f>
        <v>0</v>
      </c>
      <c r="L2453" s="789">
        <f>('Parâmetros financeiros Despesa'!F1219)*(1+'Parâmetros financeiros Despesa'!F$4)*(1+'Parâmetros financeiros Despesa'!F$7)</f>
        <v>545.16575</v>
      </c>
      <c r="M2453" s="799">
        <f t="shared" si="406"/>
        <v>1.8996827249041796E-3</v>
      </c>
      <c r="N2453" s="894"/>
      <c r="O2453" s="796"/>
      <c r="P2453" s="733"/>
    </row>
    <row r="2454" spans="1:16" s="115" customFormat="1" ht="15" customHeight="1" x14ac:dyDescent="0.25">
      <c r="A2454" s="396"/>
      <c r="B2454" s="1398" t="s">
        <v>8416</v>
      </c>
      <c r="C2454" s="1398"/>
      <c r="D2454" s="1398"/>
      <c r="E2454" s="854">
        <v>333903600000000</v>
      </c>
      <c r="F2454" s="855" t="s">
        <v>8411</v>
      </c>
      <c r="G2454" s="468">
        <v>1</v>
      </c>
      <c r="H2454" s="468">
        <v>0</v>
      </c>
      <c r="I2454" s="751"/>
      <c r="J2454" s="878"/>
      <c r="K2454" s="789">
        <f>('Parâmetros financeiros Despesa'!E1220)</f>
        <v>0</v>
      </c>
      <c r="L2454" s="789">
        <f>('Parâmetros financeiros Despesa'!F1220)*(1+'Parâmetros financeiros Despesa'!F$4)*(1+'Parâmetros financeiros Despesa'!F$7)</f>
        <v>545.16575</v>
      </c>
      <c r="M2454" s="799">
        <f t="shared" si="406"/>
        <v>1.8996827249041796E-3</v>
      </c>
      <c r="N2454" s="894"/>
      <c r="O2454" s="796"/>
      <c r="P2454" s="733"/>
    </row>
    <row r="2455" spans="1:16" s="115" customFormat="1" ht="15" customHeight="1" x14ac:dyDescent="0.25">
      <c r="A2455" s="396"/>
      <c r="B2455" s="1398" t="s">
        <v>8417</v>
      </c>
      <c r="C2455" s="1398"/>
      <c r="D2455" s="1398"/>
      <c r="E2455" s="854">
        <v>333903900000000</v>
      </c>
      <c r="F2455" s="855" t="s">
        <v>8412</v>
      </c>
      <c r="G2455" s="468">
        <v>1</v>
      </c>
      <c r="H2455" s="468">
        <v>0</v>
      </c>
      <c r="I2455" s="751"/>
      <c r="J2455" s="878"/>
      <c r="K2455" s="789">
        <f>('Parâmetros financeiros Despesa'!E1221)</f>
        <v>0</v>
      </c>
      <c r="L2455" s="789">
        <f>('Parâmetros financeiros Despesa'!F1221)*(1+'Parâmetros financeiros Despesa'!F$4)*(1+'Parâmetros financeiros Despesa'!F$7)</f>
        <v>545.16575</v>
      </c>
      <c r="M2455" s="799">
        <f t="shared" si="406"/>
        <v>1.8996827249041796E-3</v>
      </c>
      <c r="N2455" s="894"/>
      <c r="O2455" s="796"/>
      <c r="P2455" s="733"/>
    </row>
    <row r="2456" spans="1:16" s="115" customFormat="1" ht="15" customHeight="1" x14ac:dyDescent="0.25">
      <c r="A2456" s="396"/>
      <c r="B2456" s="1398" t="s">
        <v>8418</v>
      </c>
      <c r="C2456" s="1398"/>
      <c r="D2456" s="1398"/>
      <c r="E2456" s="854">
        <v>333904700000000</v>
      </c>
      <c r="F2456" s="855" t="s">
        <v>8413</v>
      </c>
      <c r="G2456" s="468">
        <v>1</v>
      </c>
      <c r="H2456" s="468">
        <v>0</v>
      </c>
      <c r="I2456" s="751"/>
      <c r="J2456" s="878"/>
      <c r="K2456" s="789">
        <f>'Parâmetros financeiros Despesa'!E1222</f>
        <v>0</v>
      </c>
      <c r="L2456" s="789">
        <f>('Parâmetros financeiros Despesa'!F1222)*(1+'Parâmetros financeiros Despesa'!F$4)*(1+'Parâmetros financeiros Despesa'!F$7)</f>
        <v>109.03315000000001</v>
      </c>
      <c r="M2456" s="799">
        <f t="shared" si="406"/>
        <v>3.7993654498083595E-4</v>
      </c>
      <c r="N2456" s="894"/>
      <c r="O2456" s="796"/>
      <c r="P2456" s="733"/>
    </row>
    <row r="2457" spans="1:16" s="115" customFormat="1" ht="15" customHeight="1" x14ac:dyDescent="0.25">
      <c r="A2457" s="396"/>
      <c r="B2457" s="1398" t="s">
        <v>8419</v>
      </c>
      <c r="C2457" s="1398"/>
      <c r="D2457" s="1398"/>
      <c r="E2457" s="854">
        <v>333933000000000</v>
      </c>
      <c r="F2457" s="855" t="s">
        <v>8414</v>
      </c>
      <c r="G2457" s="468">
        <v>1</v>
      </c>
      <c r="H2457" s="468">
        <v>0</v>
      </c>
      <c r="I2457" s="751"/>
      <c r="J2457" s="878"/>
      <c r="K2457" s="789">
        <f>('Parâmetros financeiros Despesa'!E1223)</f>
        <v>0</v>
      </c>
      <c r="L2457" s="789">
        <f>('Parâmetros financeiros Despesa'!F1223)*(1+'Parâmetros financeiros Despesa'!F$4)*(1+'Parâmetros financeiros Despesa'!F$7)</f>
        <v>545.16575</v>
      </c>
      <c r="M2457" s="799">
        <f t="shared" si="406"/>
        <v>1.8996827249041796E-3</v>
      </c>
      <c r="N2457" s="894"/>
      <c r="O2457" s="796"/>
      <c r="P2457" s="733"/>
    </row>
    <row r="2458" spans="1:16" s="115" customFormat="1" ht="15" customHeight="1" x14ac:dyDescent="0.25">
      <c r="A2458" s="396"/>
      <c r="B2458" s="1398" t="s">
        <v>8420</v>
      </c>
      <c r="C2458" s="1398"/>
      <c r="D2458" s="1398"/>
      <c r="E2458" s="854">
        <v>344905200000000</v>
      </c>
      <c r="F2458" s="855" t="s">
        <v>8415</v>
      </c>
      <c r="G2458" s="468">
        <v>1</v>
      </c>
      <c r="H2458" s="468">
        <v>0</v>
      </c>
      <c r="I2458" s="751"/>
      <c r="J2458" s="878"/>
      <c r="K2458" s="789">
        <f>('Parâmetros financeiros Despesa'!E1224)</f>
        <v>0</v>
      </c>
      <c r="L2458" s="789">
        <f>('Parâmetros financeiros Despesa'!F1224)*(1+'Parâmetros financeiros Despesa'!F$4)*(1+'Parâmetros financeiros Despesa'!F$7)</f>
        <v>545.16575</v>
      </c>
      <c r="M2458" s="799">
        <f t="shared" si="406"/>
        <v>1.8996827249041796E-3</v>
      </c>
      <c r="N2458" s="894"/>
      <c r="O2458" s="796"/>
      <c r="P2458" s="733"/>
    </row>
    <row r="2459" spans="1:16" s="758" customFormat="1" ht="15" customHeight="1" x14ac:dyDescent="0.25">
      <c r="A2459" s="397"/>
      <c r="B2459" s="1385" t="s">
        <v>8354</v>
      </c>
      <c r="C2459" s="1385"/>
      <c r="D2459" s="1385"/>
      <c r="E2459" s="1385"/>
      <c r="F2459" s="1385"/>
      <c r="G2459" s="401"/>
      <c r="H2459" s="401"/>
      <c r="I2459" s="426"/>
      <c r="J2459" s="411"/>
      <c r="K2459" s="402">
        <f t="shared" ref="K2459:L2461" si="407">K2460</f>
        <v>5904.79</v>
      </c>
      <c r="L2459" s="402">
        <f t="shared" si="407"/>
        <v>7196.197900000001</v>
      </c>
      <c r="M2459" s="451">
        <f>L2459/L$2564</f>
        <v>2.5075846814701284E-2</v>
      </c>
      <c r="N2459" s="796"/>
      <c r="P2459" s="399"/>
    </row>
    <row r="2460" spans="1:16" s="758" customFormat="1" ht="15" customHeight="1" x14ac:dyDescent="0.25">
      <c r="A2460" s="397"/>
      <c r="B2460" s="1386" t="s">
        <v>8345</v>
      </c>
      <c r="C2460" s="1386"/>
      <c r="D2460" s="1386"/>
      <c r="E2460" s="1386"/>
      <c r="F2460" s="1386"/>
      <c r="G2460" s="403"/>
      <c r="H2460" s="403"/>
      <c r="I2460" s="427"/>
      <c r="J2460" s="412"/>
      <c r="K2460" s="404">
        <f t="shared" si="407"/>
        <v>5904.79</v>
      </c>
      <c r="L2460" s="404">
        <f t="shared" si="407"/>
        <v>7196.197900000001</v>
      </c>
      <c r="M2460" s="452">
        <f>L2460/L$2564</f>
        <v>2.5075846814701284E-2</v>
      </c>
      <c r="N2460" s="796"/>
      <c r="P2460" s="399"/>
    </row>
    <row r="2461" spans="1:16" s="758" customFormat="1" ht="15" customHeight="1" x14ac:dyDescent="0.25">
      <c r="A2461" s="397"/>
      <c r="B2461" s="1382" t="s">
        <v>8309</v>
      </c>
      <c r="C2461" s="1382"/>
      <c r="D2461" s="1382"/>
      <c r="E2461" s="1382"/>
      <c r="F2461" s="1382"/>
      <c r="G2461" s="405"/>
      <c r="H2461" s="405"/>
      <c r="I2461" s="428"/>
      <c r="J2461" s="413"/>
      <c r="K2461" s="406">
        <f t="shared" si="407"/>
        <v>5904.79</v>
      </c>
      <c r="L2461" s="406">
        <f t="shared" si="407"/>
        <v>7196.197900000001</v>
      </c>
      <c r="M2461" s="453">
        <f>L2461/L$2564</f>
        <v>2.5075846814701284E-2</v>
      </c>
      <c r="N2461" s="796"/>
      <c r="P2461" s="399"/>
    </row>
    <row r="2462" spans="1:16" s="758" customFormat="1" ht="15" customHeight="1" x14ac:dyDescent="0.25">
      <c r="A2462" s="397"/>
      <c r="B2462" s="1383" t="s">
        <v>8355</v>
      </c>
      <c r="C2462" s="1383"/>
      <c r="D2462" s="1383"/>
      <c r="E2462" s="1383"/>
      <c r="F2462" s="1383"/>
      <c r="G2462" s="407"/>
      <c r="H2462" s="407"/>
      <c r="I2462" s="429"/>
      <c r="J2462" s="414"/>
      <c r="K2462" s="408">
        <f>SUM(K2463:K2469)-0.01</f>
        <v>5904.79</v>
      </c>
      <c r="L2462" s="408">
        <f>SUM(L2463:L2469)+0.01</f>
        <v>7196.197900000001</v>
      </c>
      <c r="M2462" s="454">
        <f>L2462/L$2564</f>
        <v>2.5075846814701284E-2</v>
      </c>
      <c r="N2462" s="796"/>
      <c r="P2462" s="399"/>
    </row>
    <row r="2463" spans="1:16" s="115" customFormat="1" ht="15" customHeight="1" x14ac:dyDescent="0.25">
      <c r="A2463" s="396"/>
      <c r="B2463" s="1396">
        <v>444000</v>
      </c>
      <c r="C2463" s="1396"/>
      <c r="D2463" s="1396"/>
      <c r="E2463" s="854">
        <v>333903000000000</v>
      </c>
      <c r="F2463" s="855" t="s">
        <v>8426</v>
      </c>
      <c r="G2463" s="468">
        <v>1</v>
      </c>
      <c r="H2463" s="468">
        <v>0</v>
      </c>
      <c r="I2463" s="751"/>
      <c r="J2463" s="878"/>
      <c r="K2463" s="789">
        <f>('Parâmetros financeiros Despesa'!E1226)</f>
        <v>3904.8</v>
      </c>
      <c r="L2463" s="789">
        <f>('Parâmetros financeiros Despesa'!F1226)*(1+'Parâmetros financeiros Despesa'!F$4)*(1+'Parâmetros financeiros Despesa'!F$7)</f>
        <v>2180.663</v>
      </c>
      <c r="M2463" s="799">
        <f>L2463/L$2564</f>
        <v>7.5987308996167185E-3</v>
      </c>
      <c r="N2463" s="894"/>
      <c r="O2463" s="796"/>
      <c r="P2463" s="733"/>
    </row>
    <row r="2464" spans="1:16" s="115" customFormat="1" ht="15" customHeight="1" x14ac:dyDescent="0.25">
      <c r="A2464" s="396"/>
      <c r="B2464" s="1396">
        <v>444100</v>
      </c>
      <c r="C2464" s="1396"/>
      <c r="D2464" s="1396"/>
      <c r="E2464" s="854">
        <v>333903200000000</v>
      </c>
      <c r="F2464" s="855" t="s">
        <v>8427</v>
      </c>
      <c r="G2464" s="468">
        <v>1</v>
      </c>
      <c r="H2464" s="468">
        <v>0</v>
      </c>
      <c r="I2464" s="751"/>
      <c r="J2464" s="878"/>
      <c r="K2464" s="789">
        <f>('Parâmetros financeiros Despesa'!E1227)</f>
        <v>0</v>
      </c>
      <c r="L2464" s="789">
        <f>('Parâmetros financeiros Despesa'!F1227)*(1+'Parâmetros financeiros Despesa'!F$4)*(1+'Parâmetros financeiros Despesa'!F$7)</f>
        <v>545.16575</v>
      </c>
      <c r="M2464" s="799">
        <f t="shared" ref="M2464:M2469" si="408">L2464/L$2564</f>
        <v>1.8996827249041796E-3</v>
      </c>
      <c r="N2464" s="894"/>
      <c r="O2464" s="796"/>
      <c r="P2464" s="733"/>
    </row>
    <row r="2465" spans="1:16" s="115" customFormat="1" ht="15" customHeight="1" x14ac:dyDescent="0.25">
      <c r="A2465" s="396"/>
      <c r="B2465" s="1398" t="s">
        <v>8421</v>
      </c>
      <c r="C2465" s="1398"/>
      <c r="D2465" s="1398"/>
      <c r="E2465" s="854">
        <v>333903600000000</v>
      </c>
      <c r="F2465" s="855" t="s">
        <v>8428</v>
      </c>
      <c r="G2465" s="468">
        <v>1</v>
      </c>
      <c r="H2465" s="468">
        <v>0</v>
      </c>
      <c r="I2465" s="751"/>
      <c r="J2465" s="878"/>
      <c r="K2465" s="789">
        <f>('Parâmetros financeiros Despesa'!E1228)</f>
        <v>0</v>
      </c>
      <c r="L2465" s="789">
        <f>('Parâmetros financeiros Despesa'!F1228)*(1+'Parâmetros financeiros Despesa'!F$4)*(1+'Parâmetros financeiros Despesa'!F$7)</f>
        <v>545.16575</v>
      </c>
      <c r="M2465" s="799">
        <f t="shared" si="408"/>
        <v>1.8996827249041796E-3</v>
      </c>
      <c r="N2465" s="894"/>
      <c r="O2465" s="796"/>
      <c r="P2465" s="733"/>
    </row>
    <row r="2466" spans="1:16" s="115" customFormat="1" ht="15" customHeight="1" x14ac:dyDescent="0.25">
      <c r="A2466" s="396"/>
      <c r="B2466" s="1398" t="s">
        <v>8422</v>
      </c>
      <c r="C2466" s="1398"/>
      <c r="D2466" s="1398"/>
      <c r="E2466" s="854">
        <v>333903900000000</v>
      </c>
      <c r="F2466" s="855" t="s">
        <v>8429</v>
      </c>
      <c r="G2466" s="468">
        <v>1</v>
      </c>
      <c r="H2466" s="468">
        <v>0</v>
      </c>
      <c r="I2466" s="751"/>
      <c r="J2466" s="878"/>
      <c r="K2466" s="789">
        <f>('Parâmetros financeiros Despesa'!E1229)</f>
        <v>2000</v>
      </c>
      <c r="L2466" s="789">
        <f>('Parâmetros financeiros Despesa'!F1229)*(1+'Parâmetros financeiros Despesa'!F$4)*(1+'Parâmetros financeiros Despesa'!F$7)</f>
        <v>2180.663</v>
      </c>
      <c r="M2466" s="799">
        <f t="shared" si="408"/>
        <v>7.5987308996167185E-3</v>
      </c>
      <c r="N2466" s="894"/>
      <c r="O2466" s="796"/>
      <c r="P2466" s="733"/>
    </row>
    <row r="2467" spans="1:16" s="115" customFormat="1" ht="15" customHeight="1" x14ac:dyDescent="0.25">
      <c r="A2467" s="396"/>
      <c r="B2467" s="1398" t="s">
        <v>8423</v>
      </c>
      <c r="C2467" s="1398"/>
      <c r="D2467" s="1398"/>
      <c r="E2467" s="854">
        <v>333904700000000</v>
      </c>
      <c r="F2467" s="855" t="s">
        <v>8430</v>
      </c>
      <c r="G2467" s="468">
        <v>1</v>
      </c>
      <c r="H2467" s="468">
        <v>0</v>
      </c>
      <c r="I2467" s="751"/>
      <c r="J2467" s="878"/>
      <c r="K2467" s="789">
        <f>'Parâmetros financeiros Despesa'!E1230</f>
        <v>0</v>
      </c>
      <c r="L2467" s="789">
        <f>('Parâmetros financeiros Despesa'!F1230)*(1+'Parâmetros financeiros Despesa'!F$4)*(1+'Parâmetros financeiros Despesa'!F$7)</f>
        <v>109.03315000000001</v>
      </c>
      <c r="M2467" s="799">
        <f t="shared" si="408"/>
        <v>3.7993654498083595E-4</v>
      </c>
      <c r="N2467" s="894"/>
      <c r="O2467" s="796"/>
      <c r="P2467" s="733"/>
    </row>
    <row r="2468" spans="1:16" s="115" customFormat="1" ht="15" customHeight="1" x14ac:dyDescent="0.25">
      <c r="A2468" s="396"/>
      <c r="B2468" s="1398" t="s">
        <v>8424</v>
      </c>
      <c r="C2468" s="1398"/>
      <c r="D2468" s="1398"/>
      <c r="E2468" s="854">
        <v>333933000000000</v>
      </c>
      <c r="F2468" s="855" t="s">
        <v>8431</v>
      </c>
      <c r="G2468" s="468">
        <v>1</v>
      </c>
      <c r="H2468" s="468">
        <v>0</v>
      </c>
      <c r="I2468" s="751"/>
      <c r="J2468" s="878"/>
      <c r="K2468" s="789">
        <f>('Parâmetros financeiros Despesa'!E1231)</f>
        <v>0</v>
      </c>
      <c r="L2468" s="789">
        <f>('Parâmetros financeiros Despesa'!F1231)*(1+'Parâmetros financeiros Despesa'!F$4)*(1+'Parâmetros financeiros Despesa'!F$7)</f>
        <v>545.16575</v>
      </c>
      <c r="M2468" s="799">
        <f t="shared" si="408"/>
        <v>1.8996827249041796E-3</v>
      </c>
      <c r="N2468" s="894"/>
      <c r="O2468" s="796"/>
      <c r="P2468" s="733"/>
    </row>
    <row r="2469" spans="1:16" s="115" customFormat="1" ht="15" customHeight="1" x14ac:dyDescent="0.25">
      <c r="A2469" s="396"/>
      <c r="B2469" s="1398" t="s">
        <v>8425</v>
      </c>
      <c r="C2469" s="1398"/>
      <c r="D2469" s="1398"/>
      <c r="E2469" s="854">
        <v>344905200000000</v>
      </c>
      <c r="F2469" s="855" t="s">
        <v>8432</v>
      </c>
      <c r="G2469" s="468">
        <v>1</v>
      </c>
      <c r="H2469" s="468">
        <v>0</v>
      </c>
      <c r="I2469" s="751"/>
      <c r="J2469" s="878"/>
      <c r="K2469" s="789">
        <f>('Parâmetros financeiros Despesa'!E1232)</f>
        <v>0</v>
      </c>
      <c r="L2469" s="789">
        <f>('Parâmetros financeiros Despesa'!F1232)*(1+'Parâmetros financeiros Despesa'!F$4)*(1+'Parâmetros financeiros Despesa'!F$7)</f>
        <v>1090.3315</v>
      </c>
      <c r="M2469" s="799">
        <f t="shared" si="408"/>
        <v>3.7993654498083593E-3</v>
      </c>
      <c r="N2469" s="894"/>
      <c r="O2469" s="796"/>
      <c r="P2469" s="733"/>
    </row>
    <row r="2470" spans="1:16" s="758" customFormat="1" ht="15" customHeight="1" x14ac:dyDescent="0.25">
      <c r="A2470" s="397"/>
      <c r="B2470" s="1385" t="s">
        <v>8354</v>
      </c>
      <c r="C2470" s="1385"/>
      <c r="D2470" s="1385"/>
      <c r="E2470" s="1385"/>
      <c r="F2470" s="1385"/>
      <c r="G2470" s="401"/>
      <c r="H2470" s="401"/>
      <c r="I2470" s="426"/>
      <c r="J2470" s="411"/>
      <c r="K2470" s="402">
        <f t="shared" ref="K2470:L2472" si="409">K2471</f>
        <v>0</v>
      </c>
      <c r="L2470" s="402">
        <f t="shared" si="409"/>
        <v>23115.0278</v>
      </c>
      <c r="M2470" s="451">
        <f>L2470/L$2564</f>
        <v>8.0546547535937207E-2</v>
      </c>
      <c r="N2470" s="796"/>
      <c r="P2470" s="399"/>
    </row>
    <row r="2471" spans="1:16" s="758" customFormat="1" ht="15" customHeight="1" x14ac:dyDescent="0.25">
      <c r="A2471" s="397"/>
      <c r="B2471" s="1386" t="s">
        <v>8346</v>
      </c>
      <c r="C2471" s="1386"/>
      <c r="D2471" s="1386"/>
      <c r="E2471" s="1386"/>
      <c r="F2471" s="1386"/>
      <c r="G2471" s="403"/>
      <c r="H2471" s="403"/>
      <c r="I2471" s="427"/>
      <c r="J2471" s="412"/>
      <c r="K2471" s="404">
        <f t="shared" si="409"/>
        <v>0</v>
      </c>
      <c r="L2471" s="404">
        <f t="shared" si="409"/>
        <v>23115.0278</v>
      </c>
      <c r="M2471" s="452">
        <f>L2471/L$2564</f>
        <v>8.0546547535937207E-2</v>
      </c>
      <c r="N2471" s="796"/>
      <c r="P2471" s="399"/>
    </row>
    <row r="2472" spans="1:16" s="758" customFormat="1" ht="15" customHeight="1" x14ac:dyDescent="0.25">
      <c r="A2472" s="397"/>
      <c r="B2472" s="1382" t="s">
        <v>8309</v>
      </c>
      <c r="C2472" s="1382"/>
      <c r="D2472" s="1382"/>
      <c r="E2472" s="1382"/>
      <c r="F2472" s="1382"/>
      <c r="G2472" s="405"/>
      <c r="H2472" s="405"/>
      <c r="I2472" s="428"/>
      <c r="J2472" s="413"/>
      <c r="K2472" s="406">
        <f t="shared" si="409"/>
        <v>0</v>
      </c>
      <c r="L2472" s="406">
        <f t="shared" si="409"/>
        <v>23115.0278</v>
      </c>
      <c r="M2472" s="453">
        <f>L2472/L$2564</f>
        <v>8.0546547535937207E-2</v>
      </c>
      <c r="N2472" s="796"/>
      <c r="P2472" s="399"/>
    </row>
    <row r="2473" spans="1:16" s="758" customFormat="1" ht="15" customHeight="1" x14ac:dyDescent="0.25">
      <c r="A2473" s="397"/>
      <c r="B2473" s="1383" t="s">
        <v>8355</v>
      </c>
      <c r="C2473" s="1383"/>
      <c r="D2473" s="1383"/>
      <c r="E2473" s="1383"/>
      <c r="F2473" s="1383"/>
      <c r="G2473" s="407"/>
      <c r="H2473" s="407"/>
      <c r="I2473" s="429"/>
      <c r="J2473" s="414"/>
      <c r="K2473" s="408">
        <f>SUM(K2474:K2480)</f>
        <v>0</v>
      </c>
      <c r="L2473" s="408">
        <f>SUM(L2474:L2480)</f>
        <v>23115.0278</v>
      </c>
      <c r="M2473" s="454">
        <f>L2473/L$2564</f>
        <v>8.0546547535937207E-2</v>
      </c>
      <c r="N2473" s="796"/>
      <c r="P2473" s="399"/>
    </row>
    <row r="2474" spans="1:16" s="115" customFormat="1" ht="15" customHeight="1" x14ac:dyDescent="0.25">
      <c r="A2474" s="396"/>
      <c r="B2474" s="1396">
        <v>444700</v>
      </c>
      <c r="C2474" s="1396"/>
      <c r="D2474" s="1396"/>
      <c r="E2474" s="854">
        <v>333903000000000</v>
      </c>
      <c r="F2474" s="855" t="s">
        <v>8433</v>
      </c>
      <c r="G2474" s="468">
        <v>1</v>
      </c>
      <c r="H2474" s="468">
        <v>0</v>
      </c>
      <c r="I2474" s="751"/>
      <c r="J2474" s="878"/>
      <c r="K2474" s="789">
        <f>('Parâmetros financeiros Despesa'!E1234)</f>
        <v>0</v>
      </c>
      <c r="L2474" s="789">
        <f>('Parâmetros financeiros Despesa'!F1234)*(1+'Parâmetros financeiros Despesa'!F$4)*(1+'Parâmetros financeiros Despesa'!F$7)</f>
        <v>1090.3315</v>
      </c>
      <c r="M2474" s="799">
        <f>L2474/L$2564</f>
        <v>3.7993654498083593E-3</v>
      </c>
      <c r="N2474" s="894"/>
      <c r="O2474" s="796"/>
      <c r="P2474" s="733"/>
    </row>
    <row r="2475" spans="1:16" s="115" customFormat="1" ht="15" customHeight="1" x14ac:dyDescent="0.25">
      <c r="A2475" s="396"/>
      <c r="B2475" s="1396">
        <v>444800</v>
      </c>
      <c r="C2475" s="1396"/>
      <c r="D2475" s="1396"/>
      <c r="E2475" s="854">
        <v>333903200000000</v>
      </c>
      <c r="F2475" s="855" t="s">
        <v>8434</v>
      </c>
      <c r="G2475" s="468">
        <v>1</v>
      </c>
      <c r="H2475" s="468">
        <v>0</v>
      </c>
      <c r="I2475" s="751"/>
      <c r="J2475" s="878"/>
      <c r="K2475" s="789">
        <f>('Parâmetros financeiros Despesa'!E1235)</f>
        <v>0</v>
      </c>
      <c r="L2475" s="789">
        <f>('Parâmetros financeiros Despesa'!F1235)*(1+'Parâmetros financeiros Despesa'!F$4)*(1+'Parâmetros financeiros Despesa'!F$7)</f>
        <v>545.16575</v>
      </c>
      <c r="M2475" s="799">
        <f t="shared" ref="M2475:M2480" si="410">L2475/L$2564</f>
        <v>1.8996827249041796E-3</v>
      </c>
      <c r="N2475" s="894"/>
      <c r="O2475" s="796"/>
      <c r="P2475" s="733"/>
    </row>
    <row r="2476" spans="1:16" s="115" customFormat="1" ht="15" customHeight="1" x14ac:dyDescent="0.25">
      <c r="A2476" s="396"/>
      <c r="B2476" s="1398" t="s">
        <v>8440</v>
      </c>
      <c r="C2476" s="1398"/>
      <c r="D2476" s="1398"/>
      <c r="E2476" s="854">
        <v>333903600000000</v>
      </c>
      <c r="F2476" s="855" t="s">
        <v>8435</v>
      </c>
      <c r="G2476" s="468">
        <v>1</v>
      </c>
      <c r="H2476" s="468">
        <v>0</v>
      </c>
      <c r="I2476" s="751"/>
      <c r="J2476" s="878"/>
      <c r="K2476" s="789">
        <f>('Parâmetros financeiros Despesa'!E1236)</f>
        <v>0</v>
      </c>
      <c r="L2476" s="789">
        <f>('Parâmetros financeiros Despesa'!F1236)*(1+'Parâmetros financeiros Despesa'!F$4)*(1+'Parâmetros financeiros Despesa'!F$7)</f>
        <v>1090.3315</v>
      </c>
      <c r="M2476" s="799">
        <f t="shared" si="410"/>
        <v>3.7993654498083593E-3</v>
      </c>
      <c r="N2476" s="894"/>
      <c r="O2476" s="796"/>
      <c r="P2476" s="733"/>
    </row>
    <row r="2477" spans="1:16" s="115" customFormat="1" ht="15" customHeight="1" x14ac:dyDescent="0.25">
      <c r="A2477" s="396"/>
      <c r="B2477" s="1398" t="s">
        <v>8441</v>
      </c>
      <c r="C2477" s="1398"/>
      <c r="D2477" s="1398"/>
      <c r="E2477" s="854">
        <v>333903900000000</v>
      </c>
      <c r="F2477" s="855" t="s">
        <v>8436</v>
      </c>
      <c r="G2477" s="468">
        <v>1</v>
      </c>
      <c r="H2477" s="468">
        <v>0</v>
      </c>
      <c r="I2477" s="751"/>
      <c r="J2477" s="878"/>
      <c r="K2477" s="789">
        <f>('Parâmetros financeiros Despesa'!E1237)</f>
        <v>0</v>
      </c>
      <c r="L2477" s="789">
        <f>('Parâmetros financeiros Despesa'!F1237)*(1+'Parâmetros financeiros Despesa'!F$4)*(1+'Parâmetros financeiros Despesa'!F$7)</f>
        <v>1090.3315</v>
      </c>
      <c r="M2477" s="799">
        <f t="shared" si="410"/>
        <v>3.7993654498083593E-3</v>
      </c>
      <c r="N2477" s="894"/>
      <c r="O2477" s="796"/>
      <c r="P2477" s="733"/>
    </row>
    <row r="2478" spans="1:16" s="115" customFormat="1" ht="15" customHeight="1" x14ac:dyDescent="0.25">
      <c r="A2478" s="396"/>
      <c r="B2478" s="1398" t="s">
        <v>8442</v>
      </c>
      <c r="C2478" s="1398"/>
      <c r="D2478" s="1398"/>
      <c r="E2478" s="854">
        <v>333904700000000</v>
      </c>
      <c r="F2478" s="855" t="s">
        <v>8437</v>
      </c>
      <c r="G2478" s="468">
        <v>1</v>
      </c>
      <c r="H2478" s="468">
        <v>0</v>
      </c>
      <c r="I2478" s="751"/>
      <c r="J2478" s="878"/>
      <c r="K2478" s="789">
        <f>'Parâmetros financeiros Despesa'!E1238</f>
        <v>0</v>
      </c>
      <c r="L2478" s="789">
        <f>('Parâmetros financeiros Despesa'!F1238)*(1+'Parâmetros financeiros Despesa'!F$4)*(1+'Parâmetros financeiros Despesa'!F$7)</f>
        <v>218.06630000000001</v>
      </c>
      <c r="M2478" s="799">
        <f t="shared" si="410"/>
        <v>7.5987308996167189E-4</v>
      </c>
      <c r="N2478" s="894"/>
      <c r="O2478" s="796"/>
      <c r="P2478" s="733"/>
    </row>
    <row r="2479" spans="1:16" s="115" customFormat="1" ht="15" customHeight="1" x14ac:dyDescent="0.25">
      <c r="A2479" s="396"/>
      <c r="B2479" s="1398" t="s">
        <v>8443</v>
      </c>
      <c r="C2479" s="1398"/>
      <c r="D2479" s="1398"/>
      <c r="E2479" s="854">
        <v>333933000000000</v>
      </c>
      <c r="F2479" s="855" t="s">
        <v>8438</v>
      </c>
      <c r="G2479" s="468">
        <v>1</v>
      </c>
      <c r="H2479" s="468">
        <v>0</v>
      </c>
      <c r="I2479" s="751"/>
      <c r="J2479" s="878"/>
      <c r="K2479" s="789">
        <f>('Parâmetros financeiros Despesa'!E1239)</f>
        <v>0</v>
      </c>
      <c r="L2479" s="789">
        <f>('Parâmetros financeiros Despesa'!F1239)*(1+'Parâmetros financeiros Despesa'!F$4)*(1+'Parâmetros financeiros Despesa'!F$7)</f>
        <v>2725.8287500000001</v>
      </c>
      <c r="M2479" s="799">
        <f t="shared" si="410"/>
        <v>9.4984136245208992E-3</v>
      </c>
      <c r="N2479" s="894"/>
      <c r="O2479" s="796"/>
      <c r="P2479" s="733"/>
    </row>
    <row r="2480" spans="1:16" s="115" customFormat="1" ht="15" customHeight="1" x14ac:dyDescent="0.25">
      <c r="A2480" s="396"/>
      <c r="B2480" s="1398" t="s">
        <v>8444</v>
      </c>
      <c r="C2480" s="1398"/>
      <c r="D2480" s="1398"/>
      <c r="E2480" s="854">
        <v>344905200000000</v>
      </c>
      <c r="F2480" s="855" t="s">
        <v>8439</v>
      </c>
      <c r="G2480" s="468">
        <v>1</v>
      </c>
      <c r="H2480" s="468">
        <v>0</v>
      </c>
      <c r="I2480" s="751"/>
      <c r="J2480" s="878"/>
      <c r="K2480" s="789">
        <f>('Parâmetros financeiros Despesa'!E1240)</f>
        <v>0</v>
      </c>
      <c r="L2480" s="789">
        <f>('Parâmetros financeiros Despesa'!F1240)*(1+'Parâmetros financeiros Despesa'!F$4)*(1+'Parâmetros financeiros Despesa'!F$7)</f>
        <v>16354.9725</v>
      </c>
      <c r="M2480" s="799">
        <f t="shared" si="410"/>
        <v>5.6990481747125385E-2</v>
      </c>
      <c r="N2480" s="894"/>
      <c r="O2480" s="796"/>
      <c r="P2480" s="733"/>
    </row>
    <row r="2481" spans="1:16" s="758" customFormat="1" ht="15" customHeight="1" x14ac:dyDescent="0.25">
      <c r="A2481" s="397"/>
      <c r="B2481" s="1385" t="s">
        <v>8354</v>
      </c>
      <c r="C2481" s="1385"/>
      <c r="D2481" s="1385"/>
      <c r="E2481" s="1385"/>
      <c r="F2481" s="1385"/>
      <c r="G2481" s="401"/>
      <c r="H2481" s="401"/>
      <c r="I2481" s="426"/>
      <c r="J2481" s="411"/>
      <c r="K2481" s="402">
        <f t="shared" ref="K2481:L2483" si="411">K2482</f>
        <v>2315.0899999999997</v>
      </c>
      <c r="L2481" s="402">
        <f t="shared" si="411"/>
        <v>19343.541141500002</v>
      </c>
      <c r="M2481" s="451">
        <f>L2481/L$2564</f>
        <v>6.7404437907151782E-2</v>
      </c>
      <c r="N2481" s="796"/>
      <c r="P2481" s="399"/>
    </row>
    <row r="2482" spans="1:16" s="758" customFormat="1" ht="15" customHeight="1" x14ac:dyDescent="0.25">
      <c r="A2482" s="397"/>
      <c r="B2482" s="1386" t="s">
        <v>8347</v>
      </c>
      <c r="C2482" s="1386"/>
      <c r="D2482" s="1386"/>
      <c r="E2482" s="1386"/>
      <c r="F2482" s="1386"/>
      <c r="G2482" s="403"/>
      <c r="H2482" s="403"/>
      <c r="I2482" s="427"/>
      <c r="J2482" s="412"/>
      <c r="K2482" s="404">
        <f t="shared" si="411"/>
        <v>2315.0899999999997</v>
      </c>
      <c r="L2482" s="404">
        <f t="shared" si="411"/>
        <v>19343.541141500002</v>
      </c>
      <c r="M2482" s="452">
        <f>L2482/L$2564</f>
        <v>6.7404437907151782E-2</v>
      </c>
      <c r="N2482" s="796"/>
      <c r="P2482" s="399"/>
    </row>
    <row r="2483" spans="1:16" s="758" customFormat="1" ht="15" customHeight="1" x14ac:dyDescent="0.25">
      <c r="A2483" s="397"/>
      <c r="B2483" s="1382" t="s">
        <v>8309</v>
      </c>
      <c r="C2483" s="1382"/>
      <c r="D2483" s="1382"/>
      <c r="E2483" s="1382"/>
      <c r="F2483" s="1382"/>
      <c r="G2483" s="405"/>
      <c r="H2483" s="405"/>
      <c r="I2483" s="428"/>
      <c r="J2483" s="413"/>
      <c r="K2483" s="406">
        <f t="shared" si="411"/>
        <v>2315.0899999999997</v>
      </c>
      <c r="L2483" s="406">
        <f t="shared" si="411"/>
        <v>19343.541141500002</v>
      </c>
      <c r="M2483" s="453">
        <f>L2483/L$2564</f>
        <v>6.7404437907151782E-2</v>
      </c>
      <c r="N2483" s="796"/>
      <c r="P2483" s="399"/>
    </row>
    <row r="2484" spans="1:16" s="758" customFormat="1" ht="15" customHeight="1" x14ac:dyDescent="0.25">
      <c r="A2484" s="397"/>
      <c r="B2484" s="1383" t="s">
        <v>8355</v>
      </c>
      <c r="C2484" s="1383"/>
      <c r="D2484" s="1383"/>
      <c r="E2484" s="1383"/>
      <c r="F2484" s="1383"/>
      <c r="G2484" s="407"/>
      <c r="H2484" s="407"/>
      <c r="I2484" s="429"/>
      <c r="J2484" s="414"/>
      <c r="K2484" s="408">
        <f>SUM(K2485:K2491)-0.01</f>
        <v>2315.0899999999997</v>
      </c>
      <c r="L2484" s="408">
        <f>SUM(L2485:L2491)</f>
        <v>19343.541141500002</v>
      </c>
      <c r="M2484" s="454">
        <f>L2484/L$2564</f>
        <v>6.7404437907151782E-2</v>
      </c>
      <c r="N2484" s="796"/>
      <c r="P2484" s="399"/>
    </row>
    <row r="2485" spans="1:16" s="115" customFormat="1" ht="15" customHeight="1" x14ac:dyDescent="0.25">
      <c r="A2485" s="396"/>
      <c r="B2485" s="1396">
        <v>445400</v>
      </c>
      <c r="C2485" s="1396"/>
      <c r="D2485" s="1396"/>
      <c r="E2485" s="854">
        <v>333903000000000</v>
      </c>
      <c r="F2485" s="855" t="s">
        <v>8445</v>
      </c>
      <c r="G2485" s="468">
        <v>1</v>
      </c>
      <c r="H2485" s="468">
        <v>0</v>
      </c>
      <c r="I2485" s="751"/>
      <c r="J2485" s="878"/>
      <c r="K2485" s="789">
        <f>('Parâmetros financeiros Despesa'!E1242)</f>
        <v>0</v>
      </c>
      <c r="L2485" s="789">
        <f>('Parâmetros financeiros Despesa'!F1242)*(1+'Parâmetros financeiros Despesa'!F$4)*(1+'Parâmetros financeiros Despesa'!F$7)</f>
        <v>5451.6575000000003</v>
      </c>
      <c r="M2485" s="799">
        <f>L2485/L$2564</f>
        <v>1.8996827249041798E-2</v>
      </c>
      <c r="N2485" s="894"/>
      <c r="O2485" s="796"/>
      <c r="P2485" s="733"/>
    </row>
    <row r="2486" spans="1:16" s="115" customFormat="1" ht="15" customHeight="1" x14ac:dyDescent="0.25">
      <c r="A2486" s="396"/>
      <c r="B2486" s="1396">
        <v>445500</v>
      </c>
      <c r="C2486" s="1396"/>
      <c r="D2486" s="1396"/>
      <c r="E2486" s="854">
        <v>333903200000000</v>
      </c>
      <c r="F2486" s="855" t="s">
        <v>8446</v>
      </c>
      <c r="G2486" s="468">
        <v>1</v>
      </c>
      <c r="H2486" s="468">
        <v>0</v>
      </c>
      <c r="I2486" s="751"/>
      <c r="J2486" s="878"/>
      <c r="K2486" s="789">
        <f>('Parâmetros financeiros Despesa'!E1243)</f>
        <v>0</v>
      </c>
      <c r="L2486" s="789">
        <f>('Parâmetros financeiros Despesa'!F1243)*(1+'Parâmetros financeiros Despesa'!F$4)*(1+'Parâmetros financeiros Despesa'!F$7)</f>
        <v>2180.663</v>
      </c>
      <c r="M2486" s="799">
        <f t="shared" ref="M2486:M2491" si="412">L2486/L$2564</f>
        <v>7.5987308996167185E-3</v>
      </c>
      <c r="N2486" s="894"/>
      <c r="O2486" s="796"/>
      <c r="P2486" s="733"/>
    </row>
    <row r="2487" spans="1:16" s="115" customFormat="1" ht="15" customHeight="1" x14ac:dyDescent="0.25">
      <c r="A2487" s="396"/>
      <c r="B2487" s="1398" t="s">
        <v>8451</v>
      </c>
      <c r="C2487" s="1398"/>
      <c r="D2487" s="1398"/>
      <c r="E2487" s="854">
        <v>333903600000000</v>
      </c>
      <c r="F2487" s="855" t="s">
        <v>8447</v>
      </c>
      <c r="G2487" s="468">
        <v>1</v>
      </c>
      <c r="H2487" s="468">
        <v>0</v>
      </c>
      <c r="I2487" s="751"/>
      <c r="J2487" s="878"/>
      <c r="K2487" s="789">
        <f>('Parâmetros financeiros Despesa'!E1244)</f>
        <v>2241</v>
      </c>
      <c r="L2487" s="789">
        <f>('Parâmetros financeiros Despesa'!F1244)*(1+'Parâmetros financeiros Despesa'!F$4)*(1+'Parâmetros financeiros Despesa'!F$7)-0.03</f>
        <v>2443.4028914999999</v>
      </c>
      <c r="M2487" s="799">
        <f t="shared" si="412"/>
        <v>8.5142734351222014E-3</v>
      </c>
      <c r="N2487" s="894"/>
      <c r="O2487" s="796"/>
      <c r="P2487" s="733"/>
    </row>
    <row r="2488" spans="1:16" s="115" customFormat="1" ht="15" customHeight="1" x14ac:dyDescent="0.25">
      <c r="A2488" s="396"/>
      <c r="B2488" s="1398" t="s">
        <v>8452</v>
      </c>
      <c r="C2488" s="1398"/>
      <c r="D2488" s="1398"/>
      <c r="E2488" s="854">
        <v>333903900000000</v>
      </c>
      <c r="F2488" s="855" t="s">
        <v>8448</v>
      </c>
      <c r="G2488" s="468">
        <v>1</v>
      </c>
      <c r="H2488" s="468">
        <v>0</v>
      </c>
      <c r="I2488" s="751"/>
      <c r="J2488" s="878"/>
      <c r="K2488" s="789">
        <f>('Parâmetros financeiros Despesa'!E1245)</f>
        <v>0</v>
      </c>
      <c r="L2488" s="789">
        <f>('Parâmetros financeiros Despesa'!F1245)*(1+'Parâmetros financeiros Despesa'!F$4)*(1+'Parâmetros financeiros Despesa'!F$7)</f>
        <v>5451.6575000000003</v>
      </c>
      <c r="M2488" s="799">
        <f t="shared" si="412"/>
        <v>1.8996827249041798E-2</v>
      </c>
      <c r="N2488" s="894"/>
      <c r="O2488" s="796"/>
      <c r="P2488" s="733"/>
    </row>
    <row r="2489" spans="1:16" s="115" customFormat="1" ht="15" customHeight="1" x14ac:dyDescent="0.25">
      <c r="A2489" s="396"/>
      <c r="B2489" s="1398" t="s">
        <v>8453</v>
      </c>
      <c r="C2489" s="1398"/>
      <c r="D2489" s="1398"/>
      <c r="E2489" s="854">
        <v>333904700000000</v>
      </c>
      <c r="F2489" s="855" t="s">
        <v>8449</v>
      </c>
      <c r="G2489" s="468">
        <v>1</v>
      </c>
      <c r="H2489" s="468">
        <v>0</v>
      </c>
      <c r="I2489" s="751"/>
      <c r="J2489" s="878"/>
      <c r="K2489" s="789">
        <f>'Parâmetros financeiros Despesa'!E1246</f>
        <v>74.099999999999994</v>
      </c>
      <c r="L2489" s="789">
        <f>('Parâmetros financeiros Despesa'!F1246)*(1+'Parâmetros financeiros Despesa'!F$4)*(1+'Parâmetros financeiros Despesa'!F$7)</f>
        <v>1090.3315</v>
      </c>
      <c r="M2489" s="799">
        <f t="shared" si="412"/>
        <v>3.7993654498083593E-3</v>
      </c>
      <c r="N2489" s="894"/>
      <c r="O2489" s="796"/>
      <c r="P2489" s="733"/>
    </row>
    <row r="2490" spans="1:16" s="115" customFormat="1" ht="15" customHeight="1" x14ac:dyDescent="0.25">
      <c r="A2490" s="396"/>
      <c r="B2490" s="1398" t="s">
        <v>8454</v>
      </c>
      <c r="C2490" s="1398"/>
      <c r="D2490" s="1398"/>
      <c r="E2490" s="854">
        <v>333933000000000</v>
      </c>
      <c r="F2490" s="855" t="s">
        <v>8450</v>
      </c>
      <c r="G2490" s="468">
        <v>1</v>
      </c>
      <c r="H2490" s="468">
        <v>0</v>
      </c>
      <c r="I2490" s="751"/>
      <c r="J2490" s="878"/>
      <c r="K2490" s="789">
        <f>('Parâmetros financeiros Despesa'!E1247)</f>
        <v>0</v>
      </c>
      <c r="L2490" s="789">
        <f>('Parâmetros financeiros Despesa'!F1247)*(1+'Parâmetros financeiros Despesa'!F$4)*(1+'Parâmetros financeiros Despesa'!F$7)</f>
        <v>545.16575</v>
      </c>
      <c r="M2490" s="799">
        <f t="shared" si="412"/>
        <v>1.8996827249041796E-3</v>
      </c>
      <c r="N2490" s="894"/>
      <c r="O2490" s="796"/>
      <c r="P2490" s="733"/>
    </row>
    <row r="2491" spans="1:16" s="115" customFormat="1" ht="15" customHeight="1" x14ac:dyDescent="0.25">
      <c r="A2491" s="396"/>
      <c r="B2491" s="1398" t="s">
        <v>8455</v>
      </c>
      <c r="C2491" s="1398"/>
      <c r="D2491" s="1398"/>
      <c r="E2491" s="854">
        <v>344905200000000</v>
      </c>
      <c r="F2491" s="855" t="s">
        <v>8463</v>
      </c>
      <c r="G2491" s="468">
        <v>1</v>
      </c>
      <c r="H2491" s="468">
        <v>0</v>
      </c>
      <c r="I2491" s="751"/>
      <c r="J2491" s="878"/>
      <c r="K2491" s="789">
        <f>('Parâmetros financeiros Despesa'!E1248)</f>
        <v>0</v>
      </c>
      <c r="L2491" s="789">
        <f>('Parâmetros financeiros Despesa'!F1248)*(1+'Parâmetros financeiros Despesa'!F$4)*(1+'Parâmetros financeiros Despesa'!F$7)</f>
        <v>2180.663</v>
      </c>
      <c r="M2491" s="799">
        <f t="shared" si="412"/>
        <v>7.5987308996167185E-3</v>
      </c>
      <c r="N2491" s="894"/>
      <c r="O2491" s="796"/>
      <c r="P2491" s="733"/>
    </row>
    <row r="2492" spans="1:16" s="758" customFormat="1" ht="15" customHeight="1" x14ac:dyDescent="0.25">
      <c r="A2492" s="397"/>
      <c r="B2492" s="1385" t="s">
        <v>8354</v>
      </c>
      <c r="C2492" s="1385"/>
      <c r="D2492" s="1385"/>
      <c r="E2492" s="1385"/>
      <c r="F2492" s="1385"/>
      <c r="G2492" s="401"/>
      <c r="H2492" s="401"/>
      <c r="I2492" s="426"/>
      <c r="J2492" s="411"/>
      <c r="K2492" s="402">
        <f t="shared" ref="K2492:L2494" si="413">K2493</f>
        <v>69747.55</v>
      </c>
      <c r="L2492" s="402">
        <f t="shared" si="413"/>
        <v>78963.244660950018</v>
      </c>
      <c r="M2492" s="451">
        <f>L2492/L$2564</f>
        <v>0.27515505474213842</v>
      </c>
      <c r="N2492" s="796"/>
      <c r="P2492" s="399"/>
    </row>
    <row r="2493" spans="1:16" s="758" customFormat="1" ht="15" customHeight="1" x14ac:dyDescent="0.25">
      <c r="A2493" s="397"/>
      <c r="B2493" s="1386" t="s">
        <v>8348</v>
      </c>
      <c r="C2493" s="1386"/>
      <c r="D2493" s="1386"/>
      <c r="E2493" s="1386"/>
      <c r="F2493" s="1386"/>
      <c r="G2493" s="403"/>
      <c r="H2493" s="403"/>
      <c r="I2493" s="427"/>
      <c r="J2493" s="412"/>
      <c r="K2493" s="404">
        <f t="shared" si="413"/>
        <v>69747.55</v>
      </c>
      <c r="L2493" s="404">
        <f t="shared" si="413"/>
        <v>78963.244660950018</v>
      </c>
      <c r="M2493" s="452">
        <f>L2493/L$2564</f>
        <v>0.27515505474213842</v>
      </c>
      <c r="N2493" s="796"/>
      <c r="P2493" s="399"/>
    </row>
    <row r="2494" spans="1:16" s="758" customFormat="1" ht="15" customHeight="1" x14ac:dyDescent="0.25">
      <c r="A2494" s="397"/>
      <c r="B2494" s="1382" t="s">
        <v>8309</v>
      </c>
      <c r="C2494" s="1382"/>
      <c r="D2494" s="1382"/>
      <c r="E2494" s="1382"/>
      <c r="F2494" s="1382"/>
      <c r="G2494" s="405"/>
      <c r="H2494" s="405"/>
      <c r="I2494" s="428"/>
      <c r="J2494" s="413"/>
      <c r="K2494" s="406">
        <f t="shared" si="413"/>
        <v>69747.55</v>
      </c>
      <c r="L2494" s="406">
        <f t="shared" si="413"/>
        <v>78963.244660950018</v>
      </c>
      <c r="M2494" s="453">
        <f>L2494/L$2564</f>
        <v>0.27515505474213842</v>
      </c>
      <c r="N2494" s="796"/>
      <c r="P2494" s="399"/>
    </row>
    <row r="2495" spans="1:16" s="758" customFormat="1" ht="15" customHeight="1" x14ac:dyDescent="0.25">
      <c r="A2495" s="397"/>
      <c r="B2495" s="1383" t="s">
        <v>8355</v>
      </c>
      <c r="C2495" s="1383"/>
      <c r="D2495" s="1383"/>
      <c r="E2495" s="1383"/>
      <c r="F2495" s="1383"/>
      <c r="G2495" s="407"/>
      <c r="H2495" s="407"/>
      <c r="I2495" s="429"/>
      <c r="J2495" s="414"/>
      <c r="K2495" s="408">
        <f>SUM(K2496:K2503)+0.01</f>
        <v>69747.55</v>
      </c>
      <c r="L2495" s="408">
        <f>SUM(L2496:L2503)+0.02</f>
        <v>78963.244660950018</v>
      </c>
      <c r="M2495" s="454">
        <f>L2495/L$2564</f>
        <v>0.27515505474213842</v>
      </c>
      <c r="N2495" s="796"/>
      <c r="P2495" s="399"/>
    </row>
    <row r="2496" spans="1:16" s="115" customFormat="1" ht="15" customHeight="1" x14ac:dyDescent="0.25">
      <c r="A2496" s="396"/>
      <c r="B2496" s="1396">
        <v>446100</v>
      </c>
      <c r="C2496" s="1396"/>
      <c r="D2496" s="1396"/>
      <c r="E2496" s="854">
        <v>333903000000000</v>
      </c>
      <c r="F2496" s="855" t="s">
        <v>8456</v>
      </c>
      <c r="G2496" s="468">
        <v>1</v>
      </c>
      <c r="H2496" s="468">
        <v>0</v>
      </c>
      <c r="I2496" s="751"/>
      <c r="J2496" s="878"/>
      <c r="K2496" s="789">
        <f>('Parâmetros financeiros Despesa'!E1250)</f>
        <v>18122.04</v>
      </c>
      <c r="L2496" s="789">
        <f>('Parâmetros financeiros Despesa'!F1250)*(1+'Parâmetros financeiros Despesa'!F$4)*(1+'Parâmetros financeiros Despesa'!F$7)</f>
        <v>19759.031056260003</v>
      </c>
      <c r="M2496" s="799">
        <f>L2496/L$2564</f>
        <v>6.8852252656045082E-2</v>
      </c>
      <c r="N2496" s="894"/>
      <c r="O2496" s="796"/>
      <c r="P2496" s="733"/>
    </row>
    <row r="2497" spans="1:16" s="115" customFormat="1" ht="15" customHeight="1" x14ac:dyDescent="0.25">
      <c r="A2497" s="396"/>
      <c r="B2497" s="1396">
        <v>446200</v>
      </c>
      <c r="C2497" s="1396"/>
      <c r="D2497" s="1396"/>
      <c r="E2497" s="854">
        <v>333903200000000</v>
      </c>
      <c r="F2497" s="855" t="s">
        <v>8457</v>
      </c>
      <c r="G2497" s="468">
        <v>1</v>
      </c>
      <c r="H2497" s="468">
        <v>0</v>
      </c>
      <c r="I2497" s="751"/>
      <c r="J2497" s="878"/>
      <c r="K2497" s="789">
        <f>('Parâmetros financeiros Despesa'!E1252)</f>
        <v>0</v>
      </c>
      <c r="L2497" s="789">
        <f>('Parâmetros financeiros Despesa'!F1252)*(1+'Parâmetros financeiros Despesa'!F$4)*(1+'Parâmetros financeiros Despesa'!F$7)</f>
        <v>545.16575</v>
      </c>
      <c r="M2497" s="799">
        <f t="shared" ref="M2497:M2503" si="414">L2497/L$2564</f>
        <v>1.8996827249041796E-3</v>
      </c>
      <c r="N2497" s="894"/>
      <c r="O2497" s="796"/>
      <c r="P2497" s="733"/>
    </row>
    <row r="2498" spans="1:16" s="115" customFormat="1" ht="15" customHeight="1" x14ac:dyDescent="0.25">
      <c r="A2498" s="396"/>
      <c r="B2498" s="1398" t="s">
        <v>8464</v>
      </c>
      <c r="C2498" s="1398"/>
      <c r="D2498" s="1398"/>
      <c r="E2498" s="854">
        <v>333903600000000</v>
      </c>
      <c r="F2498" s="855" t="s">
        <v>8458</v>
      </c>
      <c r="G2498" s="468">
        <v>1</v>
      </c>
      <c r="H2498" s="468">
        <v>0</v>
      </c>
      <c r="I2498" s="751"/>
      <c r="J2498" s="878"/>
      <c r="K2498" s="789">
        <f>('Parâmetros financeiros Despesa'!E1253)</f>
        <v>664.5</v>
      </c>
      <c r="L2498" s="789">
        <f>('Parâmetros financeiros Despesa'!F1253)*(1+'Parâmetros financeiros Despesa'!F$4)*(1+'Parâmetros financeiros Despesa'!F$7)</f>
        <v>724.52528174999998</v>
      </c>
      <c r="M2498" s="799">
        <f t="shared" si="414"/>
        <v>2.5246783413976548E-3</v>
      </c>
      <c r="N2498" s="894"/>
      <c r="O2498" s="796"/>
      <c r="P2498" s="733"/>
    </row>
    <row r="2499" spans="1:16" s="115" customFormat="1" ht="15" customHeight="1" x14ac:dyDescent="0.25">
      <c r="A2499" s="396"/>
      <c r="B2499" s="1398" t="s">
        <v>8465</v>
      </c>
      <c r="C2499" s="1398"/>
      <c r="D2499" s="1398"/>
      <c r="E2499" s="854">
        <v>333903900000000</v>
      </c>
      <c r="F2499" s="855" t="s">
        <v>8459</v>
      </c>
      <c r="G2499" s="468">
        <v>1</v>
      </c>
      <c r="H2499" s="468">
        <v>0</v>
      </c>
      <c r="I2499" s="751"/>
      <c r="J2499" s="878"/>
      <c r="K2499" s="789">
        <f>('Parâmetros financeiros Despesa'!E1254)</f>
        <v>46282.5</v>
      </c>
      <c r="L2499" s="789">
        <f>('Parâmetros financeiros Despesa'!F1254)*(1+'Parâmetros financeiros Despesa'!F$4)*(1+'Parâmetros financeiros Despesa'!F$7)</f>
        <v>50463.267648749999</v>
      </c>
      <c r="M2499" s="799">
        <f t="shared" si="414"/>
        <v>0.17584413143075539</v>
      </c>
      <c r="N2499" s="894"/>
      <c r="O2499" s="796"/>
      <c r="P2499" s="733"/>
    </row>
    <row r="2500" spans="1:16" s="115" customFormat="1" ht="15" customHeight="1" x14ac:dyDescent="0.25">
      <c r="A2500" s="396"/>
      <c r="B2500" s="1398" t="s">
        <v>8466</v>
      </c>
      <c r="C2500" s="1398"/>
      <c r="D2500" s="1398"/>
      <c r="E2500" s="854">
        <v>333904700000000</v>
      </c>
      <c r="F2500" s="855" t="s">
        <v>8460</v>
      </c>
      <c r="G2500" s="468">
        <v>1</v>
      </c>
      <c r="H2500" s="468">
        <v>0</v>
      </c>
      <c r="I2500" s="751"/>
      <c r="J2500" s="878"/>
      <c r="K2500" s="789">
        <f>('Parâmetros financeiros Despesa'!E1256)</f>
        <v>1459.1399999999999</v>
      </c>
      <c r="L2500" s="789">
        <f>('Parâmetros financeiros Despesa'!F1256)*(1+'Parâmetros financeiros Despesa'!F$4)*(1+'Parâmetros financeiros Despesa'!F$7)</f>
        <v>1235.23655635</v>
      </c>
      <c r="M2500" s="799">
        <f t="shared" si="414"/>
        <v>4.3043011180878901E-3</v>
      </c>
      <c r="N2500" s="894"/>
      <c r="O2500" s="796"/>
      <c r="P2500" s="733"/>
    </row>
    <row r="2501" spans="1:16" s="115" customFormat="1" ht="15" customHeight="1" x14ac:dyDescent="0.25">
      <c r="A2501" s="396"/>
      <c r="B2501" s="1398" t="s">
        <v>8467</v>
      </c>
      <c r="C2501" s="1398"/>
      <c r="D2501" s="1398"/>
      <c r="E2501" s="854">
        <v>333933000000000</v>
      </c>
      <c r="F2501" s="855" t="s">
        <v>8461</v>
      </c>
      <c r="G2501" s="468">
        <v>1</v>
      </c>
      <c r="H2501" s="468">
        <v>0</v>
      </c>
      <c r="I2501" s="751"/>
      <c r="J2501" s="878"/>
      <c r="K2501" s="789">
        <f>('Parâmetros financeiros Despesa'!E1257)</f>
        <v>0</v>
      </c>
      <c r="L2501" s="789">
        <f>('Parâmetros financeiros Despesa'!F1257)*(1+'Parâmetros financeiros Despesa'!F$4)*(1+'Parâmetros financeiros Despesa'!F$7)</f>
        <v>1635.4972500000001</v>
      </c>
      <c r="M2501" s="799">
        <f t="shared" si="414"/>
        <v>5.6990481747125395E-3</v>
      </c>
      <c r="N2501" s="894"/>
      <c r="O2501" s="796"/>
      <c r="P2501" s="733"/>
    </row>
    <row r="2502" spans="1:16" s="115" customFormat="1" ht="15" customHeight="1" x14ac:dyDescent="0.25">
      <c r="A2502" s="396"/>
      <c r="B2502" s="1398" t="s">
        <v>8468</v>
      </c>
      <c r="C2502" s="1398"/>
      <c r="D2502" s="1398"/>
      <c r="E2502" s="854">
        <v>344905100000000</v>
      </c>
      <c r="F2502" s="855" t="s">
        <v>8557</v>
      </c>
      <c r="G2502" s="468">
        <v>1</v>
      </c>
      <c r="H2502" s="468">
        <v>0</v>
      </c>
      <c r="I2502" s="751"/>
      <c r="J2502" s="878"/>
      <c r="K2502" s="789">
        <f>('Parâmetros financeiros Despesa'!E1258)</f>
        <v>0</v>
      </c>
      <c r="L2502" s="789">
        <f>('Parâmetros financeiros Despesa'!F1258)*(1+'Parâmetros financeiros Despesa'!F$4)*(1+'Parâmetros financeiros Despesa'!F$7)</f>
        <v>1090.3315</v>
      </c>
      <c r="M2502" s="799">
        <f t="shared" si="414"/>
        <v>3.7993654498083593E-3</v>
      </c>
      <c r="N2502" s="894"/>
      <c r="O2502" s="796"/>
      <c r="P2502" s="733"/>
    </row>
    <row r="2503" spans="1:16" s="115" customFormat="1" ht="15" customHeight="1" x14ac:dyDescent="0.25">
      <c r="A2503" s="396"/>
      <c r="B2503" s="1398" t="s">
        <v>8558</v>
      </c>
      <c r="C2503" s="1398"/>
      <c r="D2503" s="1398"/>
      <c r="E2503" s="854">
        <v>344905200000000</v>
      </c>
      <c r="F2503" s="855" t="s">
        <v>8462</v>
      </c>
      <c r="G2503" s="468">
        <v>1</v>
      </c>
      <c r="H2503" s="468">
        <v>0</v>
      </c>
      <c r="I2503" s="751"/>
      <c r="J2503" s="878"/>
      <c r="K2503" s="789">
        <f>('Parâmetros financeiros Despesa'!E1259)</f>
        <v>3219.3599999999997</v>
      </c>
      <c r="L2503" s="789">
        <f>('Parâmetros financeiros Despesa'!F1259)*(1+'Parâmetros financeiros Despesa'!F$4)*(1+'Parâmetros financeiros Despesa'!F$7)</f>
        <v>3510.1696178399993</v>
      </c>
      <c r="M2503" s="799">
        <f t="shared" si="414"/>
        <v>1.2231525154495037E-2</v>
      </c>
      <c r="N2503" s="894"/>
      <c r="O2503" s="796"/>
      <c r="P2503" s="733"/>
    </row>
    <row r="2504" spans="1:16" s="758" customFormat="1" ht="15" customHeight="1" x14ac:dyDescent="0.25">
      <c r="A2504" s="397"/>
      <c r="B2504" s="1385" t="s">
        <v>8354</v>
      </c>
      <c r="C2504" s="1385"/>
      <c r="D2504" s="1385"/>
      <c r="E2504" s="1385"/>
      <c r="F2504" s="1385"/>
      <c r="G2504" s="401"/>
      <c r="H2504" s="401"/>
      <c r="I2504" s="426"/>
      <c r="J2504" s="411"/>
      <c r="K2504" s="402">
        <f t="shared" ref="K2504:L2506" si="415">K2505</f>
        <v>0</v>
      </c>
      <c r="L2504" s="402">
        <f t="shared" si="415"/>
        <v>3380.0376500000007</v>
      </c>
      <c r="M2504" s="451">
        <f>L2504/L$2564</f>
        <v>1.1778067740372026E-2</v>
      </c>
      <c r="N2504" s="796"/>
      <c r="P2504" s="399"/>
    </row>
    <row r="2505" spans="1:16" s="758" customFormat="1" ht="15" customHeight="1" x14ac:dyDescent="0.25">
      <c r="A2505" s="397"/>
      <c r="B2505" s="1386" t="s">
        <v>8349</v>
      </c>
      <c r="C2505" s="1386"/>
      <c r="D2505" s="1386"/>
      <c r="E2505" s="1386"/>
      <c r="F2505" s="1386"/>
      <c r="G2505" s="403"/>
      <c r="H2505" s="403"/>
      <c r="I2505" s="427"/>
      <c r="J2505" s="412"/>
      <c r="K2505" s="404">
        <f t="shared" si="415"/>
        <v>0</v>
      </c>
      <c r="L2505" s="404">
        <f t="shared" si="415"/>
        <v>3380.0376500000007</v>
      </c>
      <c r="M2505" s="452">
        <f>L2505/L$2564</f>
        <v>1.1778067740372026E-2</v>
      </c>
      <c r="N2505" s="796"/>
      <c r="P2505" s="399"/>
    </row>
    <row r="2506" spans="1:16" s="758" customFormat="1" ht="15" customHeight="1" x14ac:dyDescent="0.25">
      <c r="A2506" s="397"/>
      <c r="B2506" s="1382" t="s">
        <v>8309</v>
      </c>
      <c r="C2506" s="1382"/>
      <c r="D2506" s="1382"/>
      <c r="E2506" s="1382"/>
      <c r="F2506" s="1382"/>
      <c r="G2506" s="405"/>
      <c r="H2506" s="405"/>
      <c r="I2506" s="428"/>
      <c r="J2506" s="413"/>
      <c r="K2506" s="406">
        <f t="shared" si="415"/>
        <v>0</v>
      </c>
      <c r="L2506" s="406">
        <f t="shared" si="415"/>
        <v>3380.0376500000007</v>
      </c>
      <c r="M2506" s="453">
        <f>L2506/L$2564</f>
        <v>1.1778067740372026E-2</v>
      </c>
      <c r="N2506" s="796"/>
      <c r="P2506" s="399"/>
    </row>
    <row r="2507" spans="1:16" s="758" customFormat="1" ht="15" customHeight="1" x14ac:dyDescent="0.25">
      <c r="A2507" s="397"/>
      <c r="B2507" s="1383" t="s">
        <v>8355</v>
      </c>
      <c r="C2507" s="1383"/>
      <c r="D2507" s="1383"/>
      <c r="E2507" s="1383"/>
      <c r="F2507" s="1383"/>
      <c r="G2507" s="407"/>
      <c r="H2507" s="407"/>
      <c r="I2507" s="429"/>
      <c r="J2507" s="414"/>
      <c r="K2507" s="408">
        <f>SUM(K2508:K2514)</f>
        <v>0</v>
      </c>
      <c r="L2507" s="408">
        <f>SUM(L2508:L2514)+0.01</f>
        <v>3380.0376500000007</v>
      </c>
      <c r="M2507" s="454">
        <f>L2507/L$2564</f>
        <v>1.1778067740372026E-2</v>
      </c>
      <c r="N2507" s="796"/>
      <c r="P2507" s="399"/>
    </row>
    <row r="2508" spans="1:16" s="115" customFormat="1" ht="15" customHeight="1" x14ac:dyDescent="0.25">
      <c r="A2508" s="396"/>
      <c r="B2508" s="1396">
        <v>446900</v>
      </c>
      <c r="C2508" s="1396"/>
      <c r="D2508" s="1396"/>
      <c r="E2508" s="854">
        <v>333903000000000</v>
      </c>
      <c r="F2508" s="855" t="s">
        <v>8469</v>
      </c>
      <c r="G2508" s="468">
        <v>1</v>
      </c>
      <c r="H2508" s="468">
        <v>0</v>
      </c>
      <c r="I2508" s="751"/>
      <c r="J2508" s="878"/>
      <c r="K2508" s="789">
        <f>('Parâmetros financeiros Despesa'!E1261)</f>
        <v>0</v>
      </c>
      <c r="L2508" s="789">
        <f>('Parâmetros financeiros Despesa'!F1261)*(1+'Parâmetros financeiros Despesa'!F$4)*(1+'Parâmetros financeiros Despesa'!F$7)</f>
        <v>545.16575</v>
      </c>
      <c r="M2508" s="799">
        <f>L2508/L$2564</f>
        <v>1.8996827249041796E-3</v>
      </c>
      <c r="N2508" s="894"/>
      <c r="O2508" s="796"/>
      <c r="P2508" s="733"/>
    </row>
    <row r="2509" spans="1:16" s="115" customFormat="1" ht="15" customHeight="1" x14ac:dyDescent="0.25">
      <c r="A2509" s="396"/>
      <c r="B2509" s="1396">
        <v>447000</v>
      </c>
      <c r="C2509" s="1396"/>
      <c r="D2509" s="1396"/>
      <c r="E2509" s="854">
        <v>333903200000000</v>
      </c>
      <c r="F2509" s="855" t="s">
        <v>8470</v>
      </c>
      <c r="G2509" s="468">
        <v>1</v>
      </c>
      <c r="H2509" s="468">
        <v>0</v>
      </c>
      <c r="I2509" s="751"/>
      <c r="J2509" s="878"/>
      <c r="K2509" s="789">
        <f>('Parâmetros financeiros Despesa'!E1262)</f>
        <v>0</v>
      </c>
      <c r="L2509" s="789">
        <f>('Parâmetros financeiros Despesa'!F1262)*(1+'Parâmetros financeiros Despesa'!F$4)*(1+'Parâmetros financeiros Despesa'!F$7)</f>
        <v>545.16575</v>
      </c>
      <c r="M2509" s="799">
        <f t="shared" ref="M2509:M2514" si="416">L2509/L$2564</f>
        <v>1.8996827249041796E-3</v>
      </c>
      <c r="N2509" s="894"/>
      <c r="O2509" s="796"/>
      <c r="P2509" s="733"/>
    </row>
    <row r="2510" spans="1:16" s="115" customFormat="1" ht="15" customHeight="1" x14ac:dyDescent="0.25">
      <c r="A2510" s="396"/>
      <c r="B2510" s="1398" t="s">
        <v>8476</v>
      </c>
      <c r="C2510" s="1398"/>
      <c r="D2510" s="1398"/>
      <c r="E2510" s="854">
        <v>333903600000000</v>
      </c>
      <c r="F2510" s="855" t="s">
        <v>8471</v>
      </c>
      <c r="G2510" s="468">
        <v>1</v>
      </c>
      <c r="H2510" s="468">
        <v>0</v>
      </c>
      <c r="I2510" s="751"/>
      <c r="J2510" s="878"/>
      <c r="K2510" s="789">
        <f>('Parâmetros financeiros Despesa'!E1263)</f>
        <v>0</v>
      </c>
      <c r="L2510" s="789">
        <f>('Parâmetros financeiros Despesa'!F1263)*(1+'Parâmetros financeiros Despesa'!F$4)*(1+'Parâmetros financeiros Despesa'!F$7)</f>
        <v>545.16575</v>
      </c>
      <c r="M2510" s="799">
        <f t="shared" si="416"/>
        <v>1.8996827249041796E-3</v>
      </c>
      <c r="N2510" s="894"/>
      <c r="O2510" s="796"/>
      <c r="P2510" s="733"/>
    </row>
    <row r="2511" spans="1:16" s="115" customFormat="1" ht="15" customHeight="1" x14ac:dyDescent="0.25">
      <c r="A2511" s="396"/>
      <c r="B2511" s="1398" t="s">
        <v>8477</v>
      </c>
      <c r="C2511" s="1398"/>
      <c r="D2511" s="1398"/>
      <c r="E2511" s="854">
        <v>333903900000000</v>
      </c>
      <c r="F2511" s="855" t="s">
        <v>8472</v>
      </c>
      <c r="G2511" s="468">
        <v>1</v>
      </c>
      <c r="H2511" s="468">
        <v>0</v>
      </c>
      <c r="I2511" s="751"/>
      <c r="J2511" s="878"/>
      <c r="K2511" s="789">
        <f>('Parâmetros financeiros Despesa'!E1264)</f>
        <v>0</v>
      </c>
      <c r="L2511" s="789">
        <f>('Parâmetros financeiros Despesa'!F1264)*(1+'Parâmetros financeiros Despesa'!F$4)*(1+'Parâmetros financeiros Despesa'!F$7)</f>
        <v>545.16575</v>
      </c>
      <c r="M2511" s="799">
        <f t="shared" si="416"/>
        <v>1.8996827249041796E-3</v>
      </c>
      <c r="N2511" s="894"/>
      <c r="O2511" s="796"/>
      <c r="P2511" s="733"/>
    </row>
    <row r="2512" spans="1:16" s="115" customFormat="1" ht="15" customHeight="1" x14ac:dyDescent="0.25">
      <c r="A2512" s="396"/>
      <c r="B2512" s="1398" t="s">
        <v>8478</v>
      </c>
      <c r="C2512" s="1398"/>
      <c r="D2512" s="1398"/>
      <c r="E2512" s="854">
        <v>333904700000000</v>
      </c>
      <c r="F2512" s="855" t="s">
        <v>8473</v>
      </c>
      <c r="G2512" s="468">
        <v>1</v>
      </c>
      <c r="H2512" s="468">
        <v>0</v>
      </c>
      <c r="I2512" s="751"/>
      <c r="J2512" s="878"/>
      <c r="K2512" s="789">
        <f>'Parâmetros financeiros Despesa'!E1265</f>
        <v>0</v>
      </c>
      <c r="L2512" s="789">
        <f>('Parâmetros financeiros Despesa'!F1265)*(1+'Parâmetros financeiros Despesa'!F$4)*(1+'Parâmetros financeiros Despesa'!F$7)</f>
        <v>109.03315000000001</v>
      </c>
      <c r="M2512" s="799">
        <f t="shared" si="416"/>
        <v>3.7993654498083595E-4</v>
      </c>
      <c r="N2512" s="894"/>
      <c r="O2512" s="796"/>
      <c r="P2512" s="733"/>
    </row>
    <row r="2513" spans="1:16" s="115" customFormat="1" ht="15" customHeight="1" x14ac:dyDescent="0.25">
      <c r="A2513" s="396"/>
      <c r="B2513" s="1398" t="s">
        <v>8479</v>
      </c>
      <c r="C2513" s="1398"/>
      <c r="D2513" s="1398"/>
      <c r="E2513" s="854">
        <v>333933000000000</v>
      </c>
      <c r="F2513" s="855" t="s">
        <v>8474</v>
      </c>
      <c r="G2513" s="468">
        <v>1</v>
      </c>
      <c r="H2513" s="468">
        <v>0</v>
      </c>
      <c r="I2513" s="751"/>
      <c r="J2513" s="878"/>
      <c r="K2513" s="789">
        <f>('Parâmetros financeiros Despesa'!E1266)</f>
        <v>0</v>
      </c>
      <c r="L2513" s="789">
        <f>('Parâmetros financeiros Despesa'!F1266)*(1+'Parâmetros financeiros Despesa'!F$4)*(1+'Parâmetros financeiros Despesa'!F$7)</f>
        <v>545.16575</v>
      </c>
      <c r="M2513" s="799">
        <f t="shared" si="416"/>
        <v>1.8996827249041796E-3</v>
      </c>
      <c r="N2513" s="894"/>
      <c r="O2513" s="796"/>
      <c r="P2513" s="733"/>
    </row>
    <row r="2514" spans="1:16" s="115" customFormat="1" ht="14.25" customHeight="1" x14ac:dyDescent="0.25">
      <c r="A2514" s="396"/>
      <c r="B2514" s="1398" t="s">
        <v>8559</v>
      </c>
      <c r="C2514" s="1398"/>
      <c r="D2514" s="1398"/>
      <c r="E2514" s="854">
        <v>344905200000000</v>
      </c>
      <c r="F2514" s="855" t="s">
        <v>8475</v>
      </c>
      <c r="G2514" s="468">
        <v>1</v>
      </c>
      <c r="H2514" s="468">
        <v>0</v>
      </c>
      <c r="I2514" s="751"/>
      <c r="J2514" s="878"/>
      <c r="K2514" s="789">
        <f>('Parâmetros financeiros Despesa'!E1267)</f>
        <v>0</v>
      </c>
      <c r="L2514" s="789">
        <f>('Parâmetros financeiros Despesa'!F1267)*(1+'Parâmetros financeiros Despesa'!F$4)*(1+'Parâmetros financeiros Despesa'!F$7)</f>
        <v>545.16575</v>
      </c>
      <c r="M2514" s="799">
        <f t="shared" si="416"/>
        <v>1.8996827249041796E-3</v>
      </c>
      <c r="N2514" s="894"/>
      <c r="O2514" s="796"/>
      <c r="P2514" s="733"/>
    </row>
    <row r="2515" spans="1:16" s="758" customFormat="1" ht="15" customHeight="1" x14ac:dyDescent="0.25">
      <c r="A2515" s="397"/>
      <c r="B2515" s="1385" t="s">
        <v>8354</v>
      </c>
      <c r="C2515" s="1385"/>
      <c r="D2515" s="1385"/>
      <c r="E2515" s="1385"/>
      <c r="F2515" s="1385"/>
      <c r="G2515" s="401"/>
      <c r="H2515" s="401"/>
      <c r="I2515" s="426"/>
      <c r="J2515" s="411"/>
      <c r="K2515" s="402">
        <f t="shared" ref="K2515:L2517" si="417">K2516</f>
        <v>0</v>
      </c>
      <c r="L2515" s="402">
        <f t="shared" si="417"/>
        <v>8940.7083000000002</v>
      </c>
      <c r="M2515" s="451">
        <f>L2515/L$2564</f>
        <v>3.1154761842462436E-2</v>
      </c>
      <c r="N2515" s="796"/>
      <c r="P2515" s="399"/>
    </row>
    <row r="2516" spans="1:16" s="758" customFormat="1" ht="15" customHeight="1" x14ac:dyDescent="0.25">
      <c r="A2516" s="397"/>
      <c r="B2516" s="1386" t="s">
        <v>8350</v>
      </c>
      <c r="C2516" s="1386"/>
      <c r="D2516" s="1386"/>
      <c r="E2516" s="1386"/>
      <c r="F2516" s="1386"/>
      <c r="G2516" s="403"/>
      <c r="H2516" s="403"/>
      <c r="I2516" s="427"/>
      <c r="J2516" s="412"/>
      <c r="K2516" s="404">
        <f t="shared" si="417"/>
        <v>0</v>
      </c>
      <c r="L2516" s="404">
        <f t="shared" si="417"/>
        <v>8940.7083000000002</v>
      </c>
      <c r="M2516" s="452">
        <f>L2516/L$2564</f>
        <v>3.1154761842462436E-2</v>
      </c>
      <c r="N2516" s="796"/>
      <c r="P2516" s="399"/>
    </row>
    <row r="2517" spans="1:16" s="758" customFormat="1" ht="15" customHeight="1" x14ac:dyDescent="0.25">
      <c r="A2517" s="397"/>
      <c r="B2517" s="1382" t="s">
        <v>8309</v>
      </c>
      <c r="C2517" s="1382"/>
      <c r="D2517" s="1382"/>
      <c r="E2517" s="1382"/>
      <c r="F2517" s="1382"/>
      <c r="G2517" s="405"/>
      <c r="H2517" s="405"/>
      <c r="I2517" s="428"/>
      <c r="J2517" s="413"/>
      <c r="K2517" s="406">
        <f t="shared" si="417"/>
        <v>0</v>
      </c>
      <c r="L2517" s="406">
        <f t="shared" si="417"/>
        <v>8940.7083000000002</v>
      </c>
      <c r="M2517" s="453">
        <f>L2517/L$2564</f>
        <v>3.1154761842462436E-2</v>
      </c>
      <c r="N2517" s="796"/>
      <c r="P2517" s="399"/>
    </row>
    <row r="2518" spans="1:16" s="758" customFormat="1" ht="15" customHeight="1" x14ac:dyDescent="0.25">
      <c r="A2518" s="397"/>
      <c r="B2518" s="1383" t="s">
        <v>8355</v>
      </c>
      <c r="C2518" s="1383"/>
      <c r="D2518" s="1383"/>
      <c r="E2518" s="1383"/>
      <c r="F2518" s="1383"/>
      <c r="G2518" s="407"/>
      <c r="H2518" s="407"/>
      <c r="I2518" s="429"/>
      <c r="J2518" s="414"/>
      <c r="K2518" s="408">
        <f>SUM(K2519:K2525)</f>
        <v>0</v>
      </c>
      <c r="L2518" s="408">
        <f>SUM(L2519:L2525)-0.01</f>
        <v>8940.7083000000002</v>
      </c>
      <c r="M2518" s="454">
        <f>L2518/L$2564</f>
        <v>3.1154761842462436E-2</v>
      </c>
      <c r="N2518" s="796"/>
      <c r="P2518" s="399"/>
    </row>
    <row r="2519" spans="1:16" s="115" customFormat="1" ht="15" customHeight="1" x14ac:dyDescent="0.25">
      <c r="A2519" s="396"/>
      <c r="B2519" s="876"/>
      <c r="C2519" s="995"/>
      <c r="D2519" s="995">
        <v>447600</v>
      </c>
      <c r="E2519" s="854">
        <v>333903000000000</v>
      </c>
      <c r="F2519" s="855" t="s">
        <v>8485</v>
      </c>
      <c r="G2519" s="468">
        <v>1</v>
      </c>
      <c r="H2519" s="468">
        <v>0</v>
      </c>
      <c r="I2519" s="751"/>
      <c r="J2519" s="878"/>
      <c r="K2519" s="789">
        <f>('Parâmetros financeiros Despesa'!E1269)</f>
        <v>0</v>
      </c>
      <c r="L2519" s="789">
        <f>('Parâmetros financeiros Despesa'!F1269)*(1+'Parâmetros financeiros Despesa'!F$4)*(1+'Parâmetros financeiros Despesa'!F$7)</f>
        <v>1090.3315</v>
      </c>
      <c r="M2519" s="799">
        <f>L2519/L$2564</f>
        <v>3.7993654498083593E-3</v>
      </c>
      <c r="N2519" s="894"/>
      <c r="O2519" s="796"/>
      <c r="P2519" s="733"/>
    </row>
    <row r="2520" spans="1:16" s="115" customFormat="1" ht="15" customHeight="1" x14ac:dyDescent="0.25">
      <c r="A2520" s="396"/>
      <c r="B2520" s="876"/>
      <c r="C2520" s="994"/>
      <c r="D2520" s="994" t="s">
        <v>8480</v>
      </c>
      <c r="E2520" s="854">
        <v>333903200000000</v>
      </c>
      <c r="F2520" s="855" t="s">
        <v>8486</v>
      </c>
      <c r="G2520" s="468">
        <v>1</v>
      </c>
      <c r="H2520" s="468">
        <v>0</v>
      </c>
      <c r="I2520" s="751"/>
      <c r="J2520" s="878"/>
      <c r="K2520" s="789">
        <f>('Parâmetros financeiros Despesa'!E1270)</f>
        <v>0</v>
      </c>
      <c r="L2520" s="789">
        <f>('Parâmetros financeiros Despesa'!F1270)*(1+'Parâmetros financeiros Despesa'!F$4)*(1+'Parâmetros financeiros Despesa'!F$7)</f>
        <v>1090.3315</v>
      </c>
      <c r="M2520" s="799">
        <f t="shared" ref="M2520:M2525" si="418">L2520/L$2564</f>
        <v>3.7993654498083593E-3</v>
      </c>
      <c r="N2520" s="894"/>
      <c r="O2520" s="796"/>
      <c r="P2520" s="733"/>
    </row>
    <row r="2521" spans="1:16" s="115" customFormat="1" ht="15" customHeight="1" x14ac:dyDescent="0.25">
      <c r="A2521" s="396"/>
      <c r="B2521" s="876"/>
      <c r="C2521" s="994"/>
      <c r="D2521" s="994" t="s">
        <v>8481</v>
      </c>
      <c r="E2521" s="854">
        <v>333903600000000</v>
      </c>
      <c r="F2521" s="855" t="s">
        <v>8487</v>
      </c>
      <c r="G2521" s="468">
        <v>1</v>
      </c>
      <c r="H2521" s="468">
        <v>0</v>
      </c>
      <c r="I2521" s="751"/>
      <c r="J2521" s="878"/>
      <c r="K2521" s="789">
        <f>('Parâmetros financeiros Despesa'!E1271)</f>
        <v>0</v>
      </c>
      <c r="L2521" s="789">
        <f>('Parâmetros financeiros Despesa'!F1271)*(1+'Parâmetros financeiros Despesa'!F$4)*(1+'Parâmetros financeiros Despesa'!F$7)</f>
        <v>1090.3315</v>
      </c>
      <c r="M2521" s="799">
        <f t="shared" si="418"/>
        <v>3.7993654498083593E-3</v>
      </c>
      <c r="N2521" s="894"/>
      <c r="O2521" s="796"/>
      <c r="P2521" s="733"/>
    </row>
    <row r="2522" spans="1:16" s="115" customFormat="1" ht="15" customHeight="1" x14ac:dyDescent="0.25">
      <c r="A2522" s="396"/>
      <c r="B2522" s="876"/>
      <c r="C2522" s="994"/>
      <c r="D2522" s="994" t="s">
        <v>8482</v>
      </c>
      <c r="E2522" s="854">
        <v>333903900000000</v>
      </c>
      <c r="F2522" s="855" t="s">
        <v>8488</v>
      </c>
      <c r="G2522" s="468">
        <v>1</v>
      </c>
      <c r="H2522" s="468">
        <v>0</v>
      </c>
      <c r="I2522" s="751"/>
      <c r="J2522" s="878"/>
      <c r="K2522" s="789">
        <f>('Parâmetros financeiros Despesa'!E1272)</f>
        <v>0</v>
      </c>
      <c r="L2522" s="789">
        <f>('Parâmetros financeiros Despesa'!F1272)*(1+'Parâmetros financeiros Despesa'!F$4)*(1+'Parâmetros financeiros Despesa'!F$7)</f>
        <v>3270.9945000000002</v>
      </c>
      <c r="M2522" s="799">
        <f t="shared" si="418"/>
        <v>1.1398096349425079E-2</v>
      </c>
      <c r="N2522" s="894"/>
      <c r="O2522" s="796"/>
      <c r="P2522" s="733"/>
    </row>
    <row r="2523" spans="1:16" s="115" customFormat="1" ht="15" customHeight="1" x14ac:dyDescent="0.25">
      <c r="A2523" s="396"/>
      <c r="B2523" s="876"/>
      <c r="C2523" s="994"/>
      <c r="D2523" s="994" t="s">
        <v>8483</v>
      </c>
      <c r="E2523" s="854">
        <v>333904700000000</v>
      </c>
      <c r="F2523" s="855" t="s">
        <v>8489</v>
      </c>
      <c r="G2523" s="468">
        <v>1</v>
      </c>
      <c r="H2523" s="468">
        <v>0</v>
      </c>
      <c r="I2523" s="751"/>
      <c r="J2523" s="878"/>
      <c r="K2523" s="789">
        <f>'Parâmetros financeiros Despesa'!E1273</f>
        <v>0</v>
      </c>
      <c r="L2523" s="789">
        <f>('Parâmetros financeiros Despesa'!F1273)*(1+'Parâmetros financeiros Despesa'!F$4)*(1+'Parâmetros financeiros Despesa'!F$7)</f>
        <v>218.06630000000001</v>
      </c>
      <c r="M2523" s="799">
        <f t="shared" si="418"/>
        <v>7.5987308996167189E-4</v>
      </c>
      <c r="N2523" s="894"/>
      <c r="O2523" s="796"/>
      <c r="P2523" s="733"/>
    </row>
    <row r="2524" spans="1:16" s="115" customFormat="1" ht="15" customHeight="1" x14ac:dyDescent="0.25">
      <c r="A2524" s="396"/>
      <c r="B2524" s="876"/>
      <c r="C2524" s="876"/>
      <c r="D2524" s="994" t="s">
        <v>8484</v>
      </c>
      <c r="E2524" s="854">
        <v>333933000000000</v>
      </c>
      <c r="F2524" s="855" t="s">
        <v>8490</v>
      </c>
      <c r="G2524" s="468">
        <v>1</v>
      </c>
      <c r="H2524" s="468">
        <v>0</v>
      </c>
      <c r="I2524" s="751"/>
      <c r="J2524" s="878"/>
      <c r="K2524" s="789">
        <f>('Parâmetros financeiros Despesa'!E1274)</f>
        <v>0</v>
      </c>
      <c r="L2524" s="789">
        <f>('Parâmetros financeiros Despesa'!F1274)*(1+'Parâmetros financeiros Despesa'!F$4)*(1+'Parâmetros financeiros Despesa'!F$7)</f>
        <v>1090.3315</v>
      </c>
      <c r="M2524" s="799">
        <f t="shared" si="418"/>
        <v>3.7993654498083593E-3</v>
      </c>
      <c r="N2524" s="894"/>
      <c r="O2524" s="796"/>
      <c r="P2524" s="733"/>
    </row>
    <row r="2525" spans="1:16" s="115" customFormat="1" ht="15" customHeight="1" x14ac:dyDescent="0.25">
      <c r="A2525" s="396"/>
      <c r="B2525" s="876"/>
      <c r="C2525" s="876"/>
      <c r="D2525" s="994" t="s">
        <v>8560</v>
      </c>
      <c r="E2525" s="854">
        <v>344905200000000</v>
      </c>
      <c r="F2525" s="855" t="s">
        <v>8491</v>
      </c>
      <c r="G2525" s="468">
        <v>1</v>
      </c>
      <c r="H2525" s="468">
        <v>0</v>
      </c>
      <c r="I2525" s="751"/>
      <c r="J2525" s="878"/>
      <c r="K2525" s="789">
        <f>('Parâmetros financeiros Despesa'!E1275)</f>
        <v>0</v>
      </c>
      <c r="L2525" s="789">
        <f>('Parâmetros financeiros Despesa'!F1275)*(1+'Parâmetros financeiros Despesa'!F$4)*(1+'Parâmetros financeiros Despesa'!F$7)</f>
        <v>1090.3315</v>
      </c>
      <c r="M2525" s="799">
        <f t="shared" si="418"/>
        <v>3.7993654498083593E-3</v>
      </c>
      <c r="N2525" s="894"/>
      <c r="O2525" s="796"/>
      <c r="P2525" s="733"/>
    </row>
    <row r="2526" spans="1:16" s="758" customFormat="1" ht="15" customHeight="1" x14ac:dyDescent="0.25">
      <c r="A2526" s="397"/>
      <c r="B2526" s="1385" t="s">
        <v>8354</v>
      </c>
      <c r="C2526" s="1385"/>
      <c r="D2526" s="1385"/>
      <c r="E2526" s="1385"/>
      <c r="F2526" s="1385"/>
      <c r="G2526" s="401"/>
      <c r="H2526" s="401"/>
      <c r="I2526" s="426"/>
      <c r="J2526" s="411"/>
      <c r="K2526" s="402">
        <f t="shared" ref="K2526:L2528" si="419">K2527</f>
        <v>0</v>
      </c>
      <c r="L2526" s="402">
        <f t="shared" si="419"/>
        <v>24205.3593</v>
      </c>
      <c r="M2526" s="451">
        <f>L2526/L$2564</f>
        <v>8.4345912985745577E-2</v>
      </c>
      <c r="N2526" s="796"/>
      <c r="P2526" s="399"/>
    </row>
    <row r="2527" spans="1:16" s="758" customFormat="1" ht="15" customHeight="1" x14ac:dyDescent="0.25">
      <c r="A2527" s="397"/>
      <c r="B2527" s="1386" t="s">
        <v>8351</v>
      </c>
      <c r="C2527" s="1386"/>
      <c r="D2527" s="1386"/>
      <c r="E2527" s="1386"/>
      <c r="F2527" s="1386"/>
      <c r="G2527" s="403"/>
      <c r="H2527" s="403"/>
      <c r="I2527" s="427"/>
      <c r="J2527" s="412"/>
      <c r="K2527" s="404">
        <f t="shared" si="419"/>
        <v>0</v>
      </c>
      <c r="L2527" s="404">
        <f t="shared" si="419"/>
        <v>24205.3593</v>
      </c>
      <c r="M2527" s="452">
        <f>L2527/L$2564</f>
        <v>8.4345912985745577E-2</v>
      </c>
      <c r="N2527" s="796"/>
      <c r="P2527" s="399"/>
    </row>
    <row r="2528" spans="1:16" s="758" customFormat="1" ht="15" customHeight="1" x14ac:dyDescent="0.25">
      <c r="A2528" s="397"/>
      <c r="B2528" s="1382" t="s">
        <v>8309</v>
      </c>
      <c r="C2528" s="1382"/>
      <c r="D2528" s="1382"/>
      <c r="E2528" s="1382"/>
      <c r="F2528" s="1382"/>
      <c r="G2528" s="405"/>
      <c r="H2528" s="405"/>
      <c r="I2528" s="428"/>
      <c r="J2528" s="413"/>
      <c r="K2528" s="406">
        <f t="shared" si="419"/>
        <v>0</v>
      </c>
      <c r="L2528" s="406">
        <f t="shared" si="419"/>
        <v>24205.3593</v>
      </c>
      <c r="M2528" s="453">
        <f>L2528/L$2564</f>
        <v>8.4345912985745577E-2</v>
      </c>
      <c r="N2528" s="796"/>
      <c r="P2528" s="399"/>
    </row>
    <row r="2529" spans="1:16" s="758" customFormat="1" ht="15" customHeight="1" x14ac:dyDescent="0.25">
      <c r="A2529" s="397"/>
      <c r="B2529" s="1383" t="s">
        <v>8355</v>
      </c>
      <c r="C2529" s="1383"/>
      <c r="D2529" s="1383"/>
      <c r="E2529" s="1383"/>
      <c r="F2529" s="1383"/>
      <c r="G2529" s="407"/>
      <c r="H2529" s="407"/>
      <c r="I2529" s="429"/>
      <c r="J2529" s="414"/>
      <c r="K2529" s="408">
        <f>SUM(K2530:K2536)</f>
        <v>0</v>
      </c>
      <c r="L2529" s="408">
        <f>SUM(L2530:L2536)</f>
        <v>24205.3593</v>
      </c>
      <c r="M2529" s="454">
        <f>L2529/L$2564</f>
        <v>8.4345912985745577E-2</v>
      </c>
      <c r="N2529" s="796"/>
      <c r="P2529" s="399"/>
    </row>
    <row r="2530" spans="1:16" s="115" customFormat="1" ht="15" customHeight="1" x14ac:dyDescent="0.25">
      <c r="A2530" s="396"/>
      <c r="B2530" s="995"/>
      <c r="C2530" s="995"/>
      <c r="D2530" s="995">
        <v>448300</v>
      </c>
      <c r="E2530" s="854">
        <v>333903000000000</v>
      </c>
      <c r="F2530" s="855" t="s">
        <v>8492</v>
      </c>
      <c r="G2530" s="468">
        <v>1</v>
      </c>
      <c r="H2530" s="468">
        <v>0</v>
      </c>
      <c r="I2530" s="751"/>
      <c r="J2530" s="878"/>
      <c r="K2530" s="789">
        <f>('Parâmetros financeiros Despesa'!E1277)</f>
        <v>0</v>
      </c>
      <c r="L2530" s="789">
        <f>('Parâmetros financeiros Despesa'!F1277)*(1+'Parâmetros financeiros Despesa'!F$4)*(1+'Parâmetros financeiros Despesa'!F$7)</f>
        <v>3270.9945000000002</v>
      </c>
      <c r="M2530" s="799">
        <f>L2530/L$2564</f>
        <v>1.1398096349425079E-2</v>
      </c>
      <c r="N2530" s="894"/>
      <c r="O2530" s="796"/>
      <c r="P2530" s="733"/>
    </row>
    <row r="2531" spans="1:16" s="115" customFormat="1" ht="15" customHeight="1" x14ac:dyDescent="0.25">
      <c r="A2531" s="396"/>
      <c r="B2531" s="994"/>
      <c r="C2531" s="994"/>
      <c r="D2531" s="994" t="s">
        <v>8506</v>
      </c>
      <c r="E2531" s="854">
        <v>333903200000000</v>
      </c>
      <c r="F2531" s="855" t="s">
        <v>8493</v>
      </c>
      <c r="G2531" s="468">
        <v>1</v>
      </c>
      <c r="H2531" s="468">
        <v>0</v>
      </c>
      <c r="I2531" s="751"/>
      <c r="J2531" s="878"/>
      <c r="K2531" s="789">
        <f>('Parâmetros financeiros Despesa'!E1278)</f>
        <v>0</v>
      </c>
      <c r="L2531" s="789">
        <f>('Parâmetros financeiros Despesa'!F1278)*(1+'Parâmetros financeiros Despesa'!F$4)*(1+'Parâmetros financeiros Despesa'!F$7)</f>
        <v>1635.4972500000001</v>
      </c>
      <c r="M2531" s="799">
        <f t="shared" ref="M2531:M2536" si="420">L2531/L$2564</f>
        <v>5.6990481747125395E-3</v>
      </c>
      <c r="N2531" s="894"/>
      <c r="O2531" s="796"/>
      <c r="P2531" s="733"/>
    </row>
    <row r="2532" spans="1:16" s="115" customFormat="1" ht="15" customHeight="1" x14ac:dyDescent="0.25">
      <c r="A2532" s="396"/>
      <c r="B2532" s="994"/>
      <c r="C2532" s="994"/>
      <c r="D2532" s="994" t="s">
        <v>8507</v>
      </c>
      <c r="E2532" s="854">
        <v>333903600000000</v>
      </c>
      <c r="F2532" s="855" t="s">
        <v>8494</v>
      </c>
      <c r="G2532" s="468">
        <v>1</v>
      </c>
      <c r="H2532" s="468">
        <v>0</v>
      </c>
      <c r="I2532" s="751"/>
      <c r="J2532" s="878"/>
      <c r="K2532" s="789">
        <f>('Parâmetros financeiros Despesa'!E1279)</f>
        <v>0</v>
      </c>
      <c r="L2532" s="789">
        <f>('Parâmetros financeiros Despesa'!F1279)*(1+'Parâmetros financeiros Despesa'!F$4)*(1+'Parâmetros financeiros Despesa'!F$7)</f>
        <v>1090.3315</v>
      </c>
      <c r="M2532" s="799">
        <f t="shared" si="420"/>
        <v>3.7993654498083593E-3</v>
      </c>
      <c r="N2532" s="894"/>
      <c r="O2532" s="796"/>
      <c r="P2532" s="733"/>
    </row>
    <row r="2533" spans="1:16" s="115" customFormat="1" ht="15" customHeight="1" x14ac:dyDescent="0.25">
      <c r="A2533" s="396"/>
      <c r="B2533" s="994"/>
      <c r="C2533" s="994"/>
      <c r="D2533" s="994" t="s">
        <v>8508</v>
      </c>
      <c r="E2533" s="854">
        <v>333903900000000</v>
      </c>
      <c r="F2533" s="855" t="s">
        <v>8495</v>
      </c>
      <c r="G2533" s="468">
        <v>1</v>
      </c>
      <c r="H2533" s="468">
        <v>0</v>
      </c>
      <c r="I2533" s="751"/>
      <c r="J2533" s="878"/>
      <c r="K2533" s="789">
        <f>('Parâmetros financeiros Despesa'!E1280)</f>
        <v>0</v>
      </c>
      <c r="L2533" s="789">
        <f>('Parâmetros financeiros Despesa'!F1280)*(1+'Parâmetros financeiros Despesa'!F$4)*(1+'Parâmetros financeiros Despesa'!F$7)</f>
        <v>16354.9725</v>
      </c>
      <c r="M2533" s="799">
        <f t="shared" si="420"/>
        <v>5.6990481747125385E-2</v>
      </c>
      <c r="N2533" s="894"/>
      <c r="O2533" s="796"/>
      <c r="P2533" s="733"/>
    </row>
    <row r="2534" spans="1:16" s="115" customFormat="1" ht="15" customHeight="1" x14ac:dyDescent="0.25">
      <c r="A2534" s="396"/>
      <c r="B2534" s="876"/>
      <c r="C2534" s="876"/>
      <c r="D2534" s="994" t="s">
        <v>8509</v>
      </c>
      <c r="E2534" s="854">
        <v>333904700000000</v>
      </c>
      <c r="F2534" s="855" t="s">
        <v>8496</v>
      </c>
      <c r="G2534" s="468">
        <v>1</v>
      </c>
      <c r="H2534" s="468">
        <v>0</v>
      </c>
      <c r="I2534" s="751"/>
      <c r="J2534" s="878"/>
      <c r="K2534" s="789">
        <f>'Parâmetros financeiros Despesa'!E1281</f>
        <v>0</v>
      </c>
      <c r="L2534" s="789">
        <f>('Parâmetros financeiros Despesa'!F1281)*(1+'Parâmetros financeiros Despesa'!F$4)*(1+'Parâmetros financeiros Despesa'!F$7)</f>
        <v>218.06630000000001</v>
      </c>
      <c r="M2534" s="799">
        <f t="shared" si="420"/>
        <v>7.5987308996167189E-4</v>
      </c>
      <c r="N2534" s="894"/>
      <c r="O2534" s="796"/>
      <c r="P2534" s="733"/>
    </row>
    <row r="2535" spans="1:16" s="115" customFormat="1" ht="15" customHeight="1" x14ac:dyDescent="0.25">
      <c r="A2535" s="396"/>
      <c r="B2535" s="876"/>
      <c r="C2535" s="876"/>
      <c r="D2535" s="994" t="s">
        <v>8510</v>
      </c>
      <c r="E2535" s="854">
        <v>333933000000000</v>
      </c>
      <c r="F2535" s="855" t="s">
        <v>8497</v>
      </c>
      <c r="G2535" s="468">
        <v>1</v>
      </c>
      <c r="H2535" s="468">
        <v>0</v>
      </c>
      <c r="I2535" s="751"/>
      <c r="J2535" s="878"/>
      <c r="K2535" s="789">
        <f>('Parâmetros financeiros Despesa'!E1282)</f>
        <v>0</v>
      </c>
      <c r="L2535" s="789">
        <f>('Parâmetros financeiros Despesa'!F1282)*(1+'Parâmetros financeiros Despesa'!F$4)*(1+'Parâmetros financeiros Despesa'!F$7)</f>
        <v>545.16575</v>
      </c>
      <c r="M2535" s="799">
        <f t="shared" si="420"/>
        <v>1.8996827249041796E-3</v>
      </c>
      <c r="N2535" s="894"/>
      <c r="O2535" s="796"/>
      <c r="P2535" s="733"/>
    </row>
    <row r="2536" spans="1:16" s="115" customFormat="1" ht="15" customHeight="1" x14ac:dyDescent="0.25">
      <c r="A2536" s="396"/>
      <c r="B2536" s="876"/>
      <c r="C2536" s="876"/>
      <c r="D2536" s="994" t="s">
        <v>8561</v>
      </c>
      <c r="E2536" s="854">
        <v>344905200000000</v>
      </c>
      <c r="F2536" s="855" t="s">
        <v>8498</v>
      </c>
      <c r="G2536" s="468">
        <v>1</v>
      </c>
      <c r="H2536" s="468">
        <v>0</v>
      </c>
      <c r="I2536" s="751"/>
      <c r="J2536" s="878"/>
      <c r="K2536" s="789">
        <f>('Parâmetros financeiros Despesa'!E1283)</f>
        <v>0</v>
      </c>
      <c r="L2536" s="789">
        <f>('Parâmetros financeiros Despesa'!F1283)*(1+'Parâmetros financeiros Despesa'!F$4)*(1+'Parâmetros financeiros Despesa'!F$7)</f>
        <v>1090.3315</v>
      </c>
      <c r="M2536" s="799">
        <f t="shared" si="420"/>
        <v>3.7993654498083593E-3</v>
      </c>
      <c r="N2536" s="894"/>
      <c r="O2536" s="796"/>
      <c r="P2536" s="733"/>
    </row>
    <row r="2537" spans="1:16" s="758" customFormat="1" ht="15" customHeight="1" x14ac:dyDescent="0.25">
      <c r="A2537" s="397"/>
      <c r="B2537" s="1385" t="s">
        <v>8354</v>
      </c>
      <c r="C2537" s="1385"/>
      <c r="D2537" s="1385"/>
      <c r="E2537" s="1385"/>
      <c r="F2537" s="1385"/>
      <c r="G2537" s="401"/>
      <c r="H2537" s="401"/>
      <c r="I2537" s="426"/>
      <c r="J2537" s="411"/>
      <c r="K2537" s="402">
        <f t="shared" ref="K2537:L2539" si="421">K2538</f>
        <v>0</v>
      </c>
      <c r="L2537" s="402">
        <f t="shared" si="421"/>
        <v>12320.74595</v>
      </c>
      <c r="M2537" s="451">
        <f>L2537/L$2564</f>
        <v>4.293282958283446E-2</v>
      </c>
      <c r="N2537" s="796"/>
      <c r="P2537" s="399"/>
    </row>
    <row r="2538" spans="1:16" s="758" customFormat="1" ht="15" customHeight="1" x14ac:dyDescent="0.25">
      <c r="A2538" s="397"/>
      <c r="B2538" s="1386" t="s">
        <v>8352</v>
      </c>
      <c r="C2538" s="1386"/>
      <c r="D2538" s="1386"/>
      <c r="E2538" s="1386"/>
      <c r="F2538" s="1386"/>
      <c r="G2538" s="403"/>
      <c r="H2538" s="403"/>
      <c r="I2538" s="427"/>
      <c r="J2538" s="412"/>
      <c r="K2538" s="404">
        <f t="shared" si="421"/>
        <v>0</v>
      </c>
      <c r="L2538" s="404">
        <f t="shared" si="421"/>
        <v>12320.74595</v>
      </c>
      <c r="M2538" s="452">
        <f>L2538/L$2564</f>
        <v>4.293282958283446E-2</v>
      </c>
      <c r="N2538" s="796"/>
      <c r="P2538" s="399"/>
    </row>
    <row r="2539" spans="1:16" s="758" customFormat="1" ht="15" customHeight="1" x14ac:dyDescent="0.25">
      <c r="A2539" s="397"/>
      <c r="B2539" s="1382" t="s">
        <v>8309</v>
      </c>
      <c r="C2539" s="1382"/>
      <c r="D2539" s="1382"/>
      <c r="E2539" s="1382"/>
      <c r="F2539" s="1382"/>
      <c r="G2539" s="405"/>
      <c r="H2539" s="405"/>
      <c r="I2539" s="428"/>
      <c r="J2539" s="413"/>
      <c r="K2539" s="406">
        <f t="shared" si="421"/>
        <v>0</v>
      </c>
      <c r="L2539" s="406">
        <f t="shared" si="421"/>
        <v>12320.74595</v>
      </c>
      <c r="M2539" s="453">
        <f>L2539/L$2564</f>
        <v>4.293282958283446E-2</v>
      </c>
      <c r="N2539" s="796"/>
      <c r="P2539" s="399"/>
    </row>
    <row r="2540" spans="1:16" s="758" customFormat="1" ht="15" customHeight="1" x14ac:dyDescent="0.25">
      <c r="A2540" s="397"/>
      <c r="B2540" s="1383" t="s">
        <v>8355</v>
      </c>
      <c r="C2540" s="1383"/>
      <c r="D2540" s="1383"/>
      <c r="E2540" s="1383"/>
      <c r="F2540" s="1383"/>
      <c r="G2540" s="407"/>
      <c r="H2540" s="407"/>
      <c r="I2540" s="429"/>
      <c r="J2540" s="414"/>
      <c r="K2540" s="408">
        <f>SUM(K2541:K2547)</f>
        <v>0</v>
      </c>
      <c r="L2540" s="408">
        <f>SUM(L2541:L2547)</f>
        <v>12320.74595</v>
      </c>
      <c r="M2540" s="454">
        <f>L2540/L$2564</f>
        <v>4.293282958283446E-2</v>
      </c>
      <c r="N2540" s="796"/>
      <c r="P2540" s="399"/>
    </row>
    <row r="2541" spans="1:16" s="115" customFormat="1" ht="15" customHeight="1" x14ac:dyDescent="0.25">
      <c r="A2541" s="396"/>
      <c r="B2541" s="1396">
        <v>449000</v>
      </c>
      <c r="C2541" s="1396"/>
      <c r="D2541" s="1396"/>
      <c r="E2541" s="854">
        <v>333903000000000</v>
      </c>
      <c r="F2541" s="855" t="s">
        <v>8499</v>
      </c>
      <c r="G2541" s="468">
        <v>1</v>
      </c>
      <c r="H2541" s="468">
        <v>0</v>
      </c>
      <c r="I2541" s="751"/>
      <c r="J2541" s="878"/>
      <c r="K2541" s="789">
        <f>('Parâmetros financeiros Despesa'!E1285)</f>
        <v>0</v>
      </c>
      <c r="L2541" s="789">
        <f>('Parâmetros financeiros Despesa'!F1285)*(1+'Parâmetros financeiros Despesa'!F$4)*(1+'Parâmetros financeiros Despesa'!F$7)</f>
        <v>1090.3315</v>
      </c>
      <c r="M2541" s="799">
        <f>L2541/L$2564</f>
        <v>3.7993654498083593E-3</v>
      </c>
      <c r="N2541" s="894"/>
      <c r="O2541" s="796"/>
      <c r="P2541" s="733"/>
    </row>
    <row r="2542" spans="1:16" s="115" customFormat="1" ht="15" customHeight="1" x14ac:dyDescent="0.25">
      <c r="A2542" s="396"/>
      <c r="B2542" s="1396">
        <v>449100</v>
      </c>
      <c r="C2542" s="1396"/>
      <c r="D2542" s="1396"/>
      <c r="E2542" s="854">
        <v>333903200000000</v>
      </c>
      <c r="F2542" s="855" t="s">
        <v>8500</v>
      </c>
      <c r="G2542" s="468">
        <v>1</v>
      </c>
      <c r="H2542" s="468">
        <v>0</v>
      </c>
      <c r="I2542" s="751"/>
      <c r="J2542" s="878"/>
      <c r="K2542" s="789">
        <f>('Parâmetros financeiros Despesa'!E1286)</f>
        <v>0</v>
      </c>
      <c r="L2542" s="789">
        <f>('Parâmetros financeiros Despesa'!F1286)*(1+'Parâmetros financeiros Despesa'!F$4)*(1+'Parâmetros financeiros Despesa'!F$7)</f>
        <v>2180.663</v>
      </c>
      <c r="M2542" s="799">
        <f t="shared" ref="M2542:M2547" si="422">L2542/L$2564</f>
        <v>7.5987308996167185E-3</v>
      </c>
      <c r="N2542" s="894"/>
      <c r="O2542" s="796"/>
      <c r="P2542" s="733"/>
    </row>
    <row r="2543" spans="1:16" s="115" customFormat="1" ht="15" customHeight="1" x14ac:dyDescent="0.25">
      <c r="A2543" s="396"/>
      <c r="B2543" s="1398" t="s">
        <v>8511</v>
      </c>
      <c r="C2543" s="1398"/>
      <c r="D2543" s="1398"/>
      <c r="E2543" s="854">
        <v>333903600000000</v>
      </c>
      <c r="F2543" s="855" t="s">
        <v>8501</v>
      </c>
      <c r="G2543" s="468">
        <v>1</v>
      </c>
      <c r="H2543" s="468">
        <v>0</v>
      </c>
      <c r="I2543" s="751"/>
      <c r="J2543" s="878"/>
      <c r="K2543" s="789">
        <f>('Parâmetros financeiros Despesa'!E1287)</f>
        <v>0</v>
      </c>
      <c r="L2543" s="789">
        <f>('Parâmetros financeiros Despesa'!F1287)*(1+'Parâmetros financeiros Despesa'!F$4)*(1+'Parâmetros financeiros Despesa'!F$7)</f>
        <v>1635.4972500000001</v>
      </c>
      <c r="M2543" s="799">
        <f t="shared" si="422"/>
        <v>5.6990481747125395E-3</v>
      </c>
      <c r="N2543" s="894"/>
      <c r="O2543" s="796"/>
      <c r="P2543" s="733"/>
    </row>
    <row r="2544" spans="1:16" s="115" customFormat="1" ht="15" customHeight="1" x14ac:dyDescent="0.25">
      <c r="A2544" s="396"/>
      <c r="B2544" s="1398" t="s">
        <v>8512</v>
      </c>
      <c r="C2544" s="1398"/>
      <c r="D2544" s="1398"/>
      <c r="E2544" s="854">
        <v>333903900000000</v>
      </c>
      <c r="F2544" s="855" t="s">
        <v>8502</v>
      </c>
      <c r="G2544" s="468">
        <v>1</v>
      </c>
      <c r="H2544" s="468">
        <v>0</v>
      </c>
      <c r="I2544" s="751"/>
      <c r="J2544" s="878"/>
      <c r="K2544" s="789">
        <f>('Parâmetros financeiros Despesa'!E1288)</f>
        <v>0</v>
      </c>
      <c r="L2544" s="789">
        <f>('Parâmetros financeiros Despesa'!F1288)*(1+'Parâmetros financeiros Despesa'!F$4)*(1+'Parâmetros financeiros Despesa'!F$7)</f>
        <v>5451.6575000000003</v>
      </c>
      <c r="M2544" s="799">
        <f t="shared" si="422"/>
        <v>1.8996827249041798E-2</v>
      </c>
      <c r="N2544" s="894"/>
      <c r="O2544" s="796"/>
      <c r="P2544" s="733"/>
    </row>
    <row r="2545" spans="1:16" s="115" customFormat="1" ht="15" customHeight="1" x14ac:dyDescent="0.25">
      <c r="A2545" s="396"/>
      <c r="B2545" s="1398" t="s">
        <v>8513</v>
      </c>
      <c r="C2545" s="1398"/>
      <c r="D2545" s="1398"/>
      <c r="E2545" s="854">
        <v>333904700000000</v>
      </c>
      <c r="F2545" s="855" t="s">
        <v>8503</v>
      </c>
      <c r="G2545" s="468">
        <v>1</v>
      </c>
      <c r="H2545" s="468">
        <v>0</v>
      </c>
      <c r="I2545" s="751"/>
      <c r="J2545" s="878"/>
      <c r="K2545" s="789">
        <f>'Parâmetros financeiros Despesa'!E1289</f>
        <v>0</v>
      </c>
      <c r="L2545" s="789">
        <f>('Parâmetros financeiros Despesa'!F1289)*(1+'Parâmetros financeiros Despesa'!F$4)*(1+'Parâmetros financeiros Despesa'!F$7)</f>
        <v>327.09944999999999</v>
      </c>
      <c r="M2545" s="799">
        <f t="shared" si="422"/>
        <v>1.1398096349425077E-3</v>
      </c>
      <c r="N2545" s="894"/>
      <c r="O2545" s="796"/>
      <c r="P2545" s="733"/>
    </row>
    <row r="2546" spans="1:16" s="115" customFormat="1" ht="15" customHeight="1" x14ac:dyDescent="0.25">
      <c r="A2546" s="396"/>
      <c r="B2546" s="1398" t="s">
        <v>8514</v>
      </c>
      <c r="C2546" s="1398"/>
      <c r="D2546" s="1398"/>
      <c r="E2546" s="854">
        <v>333933000000000</v>
      </c>
      <c r="F2546" s="855" t="s">
        <v>8504</v>
      </c>
      <c r="G2546" s="468">
        <v>1</v>
      </c>
      <c r="H2546" s="468">
        <v>0</v>
      </c>
      <c r="I2546" s="751"/>
      <c r="J2546" s="878"/>
      <c r="K2546" s="789">
        <f>('Parâmetros financeiros Despesa'!E1290)</f>
        <v>0</v>
      </c>
      <c r="L2546" s="789">
        <f>('Parâmetros financeiros Despesa'!F1290)*(1+'Parâmetros financeiros Despesa'!F$4)*(1+'Parâmetros financeiros Despesa'!F$7)</f>
        <v>545.16575</v>
      </c>
      <c r="M2546" s="799">
        <f t="shared" si="422"/>
        <v>1.8996827249041796E-3</v>
      </c>
      <c r="N2546" s="894"/>
      <c r="O2546" s="796"/>
      <c r="P2546" s="733"/>
    </row>
    <row r="2547" spans="1:16" s="115" customFormat="1" ht="15" customHeight="1" x14ac:dyDescent="0.25">
      <c r="A2547" s="396"/>
      <c r="B2547" s="1398" t="s">
        <v>8562</v>
      </c>
      <c r="C2547" s="1398"/>
      <c r="D2547" s="1398"/>
      <c r="E2547" s="854">
        <v>344905200000000</v>
      </c>
      <c r="F2547" s="855" t="s">
        <v>8505</v>
      </c>
      <c r="G2547" s="468">
        <v>1</v>
      </c>
      <c r="H2547" s="468">
        <v>0</v>
      </c>
      <c r="I2547" s="751"/>
      <c r="J2547" s="878"/>
      <c r="K2547" s="789">
        <f>('Parâmetros financeiros Despesa'!E1291)</f>
        <v>0</v>
      </c>
      <c r="L2547" s="789">
        <f>('Parâmetros financeiros Despesa'!F1291)*(1+'Parâmetros financeiros Despesa'!F$4)*(1+'Parâmetros financeiros Despesa'!F$7)</f>
        <v>1090.3315</v>
      </c>
      <c r="M2547" s="799">
        <f t="shared" si="422"/>
        <v>3.7993654498083593E-3</v>
      </c>
      <c r="N2547" s="894"/>
      <c r="O2547" s="796"/>
      <c r="P2547" s="733"/>
    </row>
    <row r="2548" spans="1:16" s="758" customFormat="1" ht="15" customHeight="1" x14ac:dyDescent="0.25">
      <c r="A2548" s="397"/>
      <c r="B2548" s="1385" t="s">
        <v>8354</v>
      </c>
      <c r="C2548" s="1385"/>
      <c r="D2548" s="1385"/>
      <c r="E2548" s="1385"/>
      <c r="F2548" s="1385"/>
      <c r="G2548" s="401"/>
      <c r="H2548" s="401"/>
      <c r="I2548" s="426"/>
      <c r="J2548" s="411"/>
      <c r="K2548" s="402">
        <f t="shared" ref="K2548:L2550" si="423">K2549</f>
        <v>0</v>
      </c>
      <c r="L2548" s="402">
        <f t="shared" si="423"/>
        <v>3061.62</v>
      </c>
      <c r="M2548" s="451">
        <f>L2548/L$2564</f>
        <v>1.0668510676287228E-2</v>
      </c>
      <c r="N2548" s="796"/>
      <c r="P2548" s="399"/>
    </row>
    <row r="2549" spans="1:16" s="758" customFormat="1" ht="15" customHeight="1" x14ac:dyDescent="0.25">
      <c r="A2549" s="397"/>
      <c r="B2549" s="1386" t="s">
        <v>8353</v>
      </c>
      <c r="C2549" s="1386"/>
      <c r="D2549" s="1386"/>
      <c r="E2549" s="1386"/>
      <c r="F2549" s="1386"/>
      <c r="G2549" s="403"/>
      <c r="H2549" s="403"/>
      <c r="I2549" s="427"/>
      <c r="J2549" s="412"/>
      <c r="K2549" s="404">
        <f t="shared" si="423"/>
        <v>0</v>
      </c>
      <c r="L2549" s="404">
        <f t="shared" si="423"/>
        <v>3061.62</v>
      </c>
      <c r="M2549" s="452">
        <f>L2549/L$2564</f>
        <v>1.0668510676287228E-2</v>
      </c>
      <c r="N2549" s="796"/>
      <c r="P2549" s="399"/>
    </row>
    <row r="2550" spans="1:16" s="758" customFormat="1" ht="15" customHeight="1" x14ac:dyDescent="0.25">
      <c r="A2550" s="397"/>
      <c r="B2550" s="1382" t="s">
        <v>8309</v>
      </c>
      <c r="C2550" s="1382"/>
      <c r="D2550" s="1382"/>
      <c r="E2550" s="1382"/>
      <c r="F2550" s="1382"/>
      <c r="G2550" s="405"/>
      <c r="H2550" s="405"/>
      <c r="I2550" s="428"/>
      <c r="J2550" s="413"/>
      <c r="K2550" s="406">
        <f t="shared" si="423"/>
        <v>0</v>
      </c>
      <c r="L2550" s="406">
        <f t="shared" si="423"/>
        <v>3061.62</v>
      </c>
      <c r="M2550" s="453">
        <f>L2550/L$2564</f>
        <v>1.0668510676287228E-2</v>
      </c>
      <c r="N2550" s="796"/>
      <c r="P2550" s="399"/>
    </row>
    <row r="2551" spans="1:16" s="758" customFormat="1" ht="15" customHeight="1" x14ac:dyDescent="0.25">
      <c r="A2551" s="397"/>
      <c r="B2551" s="1383" t="s">
        <v>8355</v>
      </c>
      <c r="C2551" s="1383"/>
      <c r="D2551" s="1383"/>
      <c r="E2551" s="1383"/>
      <c r="F2551" s="1383"/>
      <c r="G2551" s="407"/>
      <c r="H2551" s="407"/>
      <c r="I2551" s="429"/>
      <c r="J2551" s="414"/>
      <c r="K2551" s="408">
        <f>SUM(K2552:K2559)</f>
        <v>0</v>
      </c>
      <c r="L2551" s="408">
        <f>SUM(L2552:L2559)</f>
        <v>3061.62</v>
      </c>
      <c r="M2551" s="454">
        <f>L2551/L$2564</f>
        <v>1.0668510676287228E-2</v>
      </c>
      <c r="N2551" s="796"/>
      <c r="P2551" s="399"/>
    </row>
    <row r="2552" spans="1:16" s="115" customFormat="1" ht="15" customHeight="1" x14ac:dyDescent="0.25">
      <c r="A2552" s="396"/>
      <c r="B2552" s="1396">
        <v>449700</v>
      </c>
      <c r="C2552" s="1396"/>
      <c r="D2552" s="1396"/>
      <c r="E2552" s="854">
        <v>333309300000000</v>
      </c>
      <c r="F2552" s="855" t="s">
        <v>8519</v>
      </c>
      <c r="G2552" s="468">
        <v>1146</v>
      </c>
      <c r="H2552" s="468">
        <v>0</v>
      </c>
      <c r="I2552" s="751"/>
      <c r="J2552" s="878"/>
      <c r="K2552" s="789">
        <f>'Parâmetros financeiros Despesa'!E1293</f>
        <v>0</v>
      </c>
      <c r="L2552" s="789">
        <f>'Parâmetros financeiros Despesa'!F1293</f>
        <v>1</v>
      </c>
      <c r="M2552" s="799">
        <f>L2552/L$2564</f>
        <v>3.4845966110383487E-6</v>
      </c>
      <c r="N2552" s="894"/>
      <c r="P2552" s="733"/>
    </row>
    <row r="2553" spans="1:16" s="115" customFormat="1" ht="15" customHeight="1" x14ac:dyDescent="0.25">
      <c r="A2553" s="396"/>
      <c r="B2553" s="1396">
        <v>449800</v>
      </c>
      <c r="C2553" s="1396"/>
      <c r="D2553" s="1396"/>
      <c r="E2553" s="854">
        <v>333903200000000</v>
      </c>
      <c r="F2553" s="855" t="s">
        <v>8520</v>
      </c>
      <c r="G2553" s="468">
        <v>1146</v>
      </c>
      <c r="H2553" s="468">
        <v>0</v>
      </c>
      <c r="I2553" s="751"/>
      <c r="J2553" s="878"/>
      <c r="K2553" s="789">
        <f>'Parâmetros financeiros Despesa'!E1294</f>
        <v>0</v>
      </c>
      <c r="L2553" s="789">
        <f>'Parâmetros financeiros Despesa'!F1294</f>
        <v>1</v>
      </c>
      <c r="M2553" s="799">
        <f t="shared" ref="M2553:M2559" si="424">L2553/L$2564</f>
        <v>3.4845966110383487E-6</v>
      </c>
      <c r="N2553" s="894"/>
      <c r="P2553" s="733"/>
    </row>
    <row r="2554" spans="1:16" s="115" customFormat="1" ht="15" customHeight="1" x14ac:dyDescent="0.25">
      <c r="A2554" s="396"/>
      <c r="B2554" s="1398" t="s">
        <v>8515</v>
      </c>
      <c r="C2554" s="1398"/>
      <c r="D2554" s="1398"/>
      <c r="E2554" s="854">
        <v>333903600000000</v>
      </c>
      <c r="F2554" s="855" t="s">
        <v>10826</v>
      </c>
      <c r="G2554" s="468">
        <v>1146</v>
      </c>
      <c r="H2554" s="468">
        <v>0</v>
      </c>
      <c r="I2554" s="751"/>
      <c r="J2554" s="878"/>
      <c r="K2554" s="789">
        <f>'Parâmetros financeiros Despesa'!E1295</f>
        <v>0</v>
      </c>
      <c r="L2554" s="789">
        <f>'Parâmetros financeiros Despesa'!F1295</f>
        <v>1</v>
      </c>
      <c r="M2554" s="799">
        <f t="shared" si="424"/>
        <v>3.4845966110383487E-6</v>
      </c>
      <c r="N2554" s="894"/>
      <c r="P2554" s="733"/>
    </row>
    <row r="2555" spans="1:16" s="115" customFormat="1" ht="15" customHeight="1" x14ac:dyDescent="0.25">
      <c r="A2555" s="396"/>
      <c r="B2555" s="1398" t="s">
        <v>8516</v>
      </c>
      <c r="C2555" s="1398"/>
      <c r="D2555" s="1398"/>
      <c r="E2555" s="854">
        <v>333903900000000</v>
      </c>
      <c r="F2555" s="855" t="s">
        <v>10827</v>
      </c>
      <c r="G2555" s="468">
        <v>1146</v>
      </c>
      <c r="H2555" s="468">
        <v>0</v>
      </c>
      <c r="I2555" s="751"/>
      <c r="J2555" s="878"/>
      <c r="K2555" s="789">
        <f>'Parâmetros financeiros Despesa'!E1296</f>
        <v>0</v>
      </c>
      <c r="L2555" s="789">
        <f>'Parâmetros financeiros Despesa'!F1296</f>
        <v>1</v>
      </c>
      <c r="M2555" s="799">
        <f t="shared" si="424"/>
        <v>3.4845966110383487E-6</v>
      </c>
      <c r="N2555" s="894"/>
      <c r="P2555" s="733"/>
    </row>
    <row r="2556" spans="1:16" s="115" customFormat="1" ht="15" customHeight="1" x14ac:dyDescent="0.25">
      <c r="A2556" s="396"/>
      <c r="B2556" s="1398" t="s">
        <v>8517</v>
      </c>
      <c r="C2556" s="1398"/>
      <c r="D2556" s="1398"/>
      <c r="E2556" s="854">
        <v>333903900000000</v>
      </c>
      <c r="F2556" s="855" t="s">
        <v>10827</v>
      </c>
      <c r="G2556" s="468">
        <v>1</v>
      </c>
      <c r="H2556" s="468">
        <v>0</v>
      </c>
      <c r="I2556" s="751"/>
      <c r="J2556" s="878"/>
      <c r="K2556" s="789">
        <f>'Parâmetros financeiros Despesa'!E1297</f>
        <v>0</v>
      </c>
      <c r="L2556" s="789">
        <f>'Parâmetros financeiros Despesa'!F1297</f>
        <v>3055.42</v>
      </c>
      <c r="M2556" s="799">
        <f t="shared" si="424"/>
        <v>1.0646906177298791E-2</v>
      </c>
      <c r="N2556" s="894"/>
      <c r="O2556" s="796"/>
      <c r="P2556" s="733"/>
    </row>
    <row r="2557" spans="1:16" s="115" customFormat="1" ht="15" customHeight="1" x14ac:dyDescent="0.25">
      <c r="A2557" s="396"/>
      <c r="B2557" s="1398" t="s">
        <v>8518</v>
      </c>
      <c r="C2557" s="1398"/>
      <c r="D2557" s="1398"/>
      <c r="E2557" s="854">
        <v>333904700000000</v>
      </c>
      <c r="F2557" s="855" t="s">
        <v>10828</v>
      </c>
      <c r="G2557" s="468">
        <v>1146</v>
      </c>
      <c r="H2557" s="468">
        <v>0</v>
      </c>
      <c r="I2557" s="751"/>
      <c r="J2557" s="878"/>
      <c r="K2557" s="789">
        <f>'Parâmetros financeiros Despesa'!E1298</f>
        <v>0</v>
      </c>
      <c r="L2557" s="789">
        <f>'Parâmetros financeiros Despesa'!F1298</f>
        <v>0.2</v>
      </c>
      <c r="M2557" s="799">
        <f t="shared" si="424"/>
        <v>6.9691932220766977E-7</v>
      </c>
      <c r="N2557" s="894"/>
      <c r="P2557" s="733"/>
    </row>
    <row r="2558" spans="1:16" s="115" customFormat="1" ht="15" customHeight="1" x14ac:dyDescent="0.25">
      <c r="A2558" s="396"/>
      <c r="B2558" s="1398" t="s">
        <v>8563</v>
      </c>
      <c r="C2558" s="1398"/>
      <c r="D2558" s="1398"/>
      <c r="E2558" s="854">
        <v>333933000000000</v>
      </c>
      <c r="F2558" s="855" t="s">
        <v>10829</v>
      </c>
      <c r="G2558" s="468">
        <v>1146</v>
      </c>
      <c r="H2558" s="468">
        <v>0</v>
      </c>
      <c r="I2558" s="751"/>
      <c r="J2558" s="878"/>
      <c r="K2558" s="789">
        <f>'Parâmetros financeiros Despesa'!E1299</f>
        <v>0</v>
      </c>
      <c r="L2558" s="789">
        <f>'Parâmetros financeiros Despesa'!F1299</f>
        <v>1</v>
      </c>
      <c r="M2558" s="799">
        <f t="shared" si="424"/>
        <v>3.4845966110383487E-6</v>
      </c>
      <c r="N2558" s="894"/>
      <c r="P2558" s="733"/>
    </row>
    <row r="2559" spans="1:16" s="115" customFormat="1" ht="15" customHeight="1" x14ac:dyDescent="0.25">
      <c r="A2559" s="396"/>
      <c r="B2559" s="1398" t="s">
        <v>8564</v>
      </c>
      <c r="C2559" s="1398"/>
      <c r="D2559" s="1398"/>
      <c r="E2559" s="854">
        <v>344905200000000</v>
      </c>
      <c r="F2559" s="855" t="s">
        <v>10830</v>
      </c>
      <c r="G2559" s="468">
        <v>1146</v>
      </c>
      <c r="H2559" s="468">
        <v>0</v>
      </c>
      <c r="I2559" s="751"/>
      <c r="J2559" s="878"/>
      <c r="K2559" s="789">
        <f>'Parâmetros financeiros Despesa'!E1300</f>
        <v>0</v>
      </c>
      <c r="L2559" s="789">
        <f>'Parâmetros financeiros Despesa'!F1300</f>
        <v>1</v>
      </c>
      <c r="M2559" s="799">
        <f t="shared" si="424"/>
        <v>3.4845966110383487E-6</v>
      </c>
      <c r="N2559" s="894"/>
      <c r="P2559" s="733"/>
    </row>
    <row r="2560" spans="1:16" s="820" customFormat="1" ht="15" customHeight="1" x14ac:dyDescent="0.25">
      <c r="B2560" s="864" t="s">
        <v>22</v>
      </c>
      <c r="C2560" s="864"/>
      <c r="D2560" s="864"/>
      <c r="E2560" s="864"/>
      <c r="F2560" s="864"/>
      <c r="G2560" s="864"/>
      <c r="H2560" s="864"/>
      <c r="I2560" s="864"/>
      <c r="J2560" s="864"/>
      <c r="K2560" s="863">
        <f>K2549+K2538+K2527+K2516+K2505+K2493+K2482+K2471+K2460+K2448+K2436+K2424+K2413+K2401+K2382+K2373</f>
        <v>138743.2581875</v>
      </c>
      <c r="L2560" s="863">
        <f>L2549+L2538+L2527+L2516+L2505+L2493+L2482+L2471+L2460+L2448+L2436+L2424+L2413+L2401+L2382+L2373</f>
        <v>286977.26354673161</v>
      </c>
      <c r="M2560" s="452">
        <f>L2560/L$2564</f>
        <v>1</v>
      </c>
      <c r="N2560" s="796"/>
      <c r="P2560" s="399"/>
    </row>
    <row r="2561" spans="2:16" s="820" customFormat="1" ht="15" customHeight="1" x14ac:dyDescent="0.25">
      <c r="B2561" s="864" t="s">
        <v>11469</v>
      </c>
      <c r="C2561" s="864"/>
      <c r="D2561" s="864"/>
      <c r="E2561" s="864"/>
      <c r="F2561" s="864"/>
      <c r="G2561" s="864"/>
      <c r="H2561" s="864"/>
      <c r="I2561" s="864"/>
      <c r="J2561" s="864"/>
      <c r="K2561" s="863"/>
      <c r="L2561" s="863"/>
      <c r="M2561" s="452"/>
      <c r="N2561" s="796"/>
      <c r="P2561" s="399"/>
    </row>
    <row r="2562" spans="2:16" s="31" customFormat="1" ht="15" customHeight="1" x14ac:dyDescent="0.25">
      <c r="B2562" s="869" t="s">
        <v>745</v>
      </c>
      <c r="C2562" s="869"/>
      <c r="D2562" s="869"/>
      <c r="E2562" s="869"/>
      <c r="F2562" s="869"/>
      <c r="G2562" s="869"/>
      <c r="H2562" s="869"/>
      <c r="I2562" s="869"/>
      <c r="J2562" s="869"/>
      <c r="K2562" s="870">
        <f>K2560</f>
        <v>138743.2581875</v>
      </c>
      <c r="L2562" s="870">
        <f>L2560-L2563</f>
        <v>283916.64354673162</v>
      </c>
      <c r="M2562" s="871">
        <f t="shared" ref="M2562:M2563" si="425">L2562/L$2564</f>
        <v>0.98933497392032388</v>
      </c>
      <c r="N2562" s="897"/>
      <c r="P2562" s="736"/>
    </row>
    <row r="2563" spans="2:16" s="31" customFormat="1" ht="15" customHeight="1" x14ac:dyDescent="0.25">
      <c r="B2563" s="869" t="s">
        <v>11510</v>
      </c>
      <c r="C2563" s="869"/>
      <c r="D2563" s="869"/>
      <c r="E2563" s="869"/>
      <c r="F2563" s="869"/>
      <c r="G2563" s="869"/>
      <c r="H2563" s="869"/>
      <c r="I2563" s="869"/>
      <c r="J2563" s="869"/>
      <c r="K2563" s="870">
        <v>0</v>
      </c>
      <c r="L2563" s="870">
        <v>3060.62</v>
      </c>
      <c r="M2563" s="871">
        <f t="shared" si="425"/>
        <v>1.066502607967619E-2</v>
      </c>
      <c r="N2563" s="897"/>
      <c r="P2563" s="736"/>
    </row>
    <row r="2564" spans="2:16" s="115" customFormat="1" ht="15" customHeight="1" x14ac:dyDescent="0.25">
      <c r="B2564" s="864" t="s">
        <v>2172</v>
      </c>
      <c r="C2564" s="864"/>
      <c r="D2564" s="864"/>
      <c r="E2564" s="864"/>
      <c r="F2564" s="864"/>
      <c r="G2564" s="864"/>
      <c r="H2564" s="864"/>
      <c r="I2564" s="864"/>
      <c r="J2564" s="864"/>
      <c r="K2564" s="863">
        <f>K2563+K2562</f>
        <v>138743.2581875</v>
      </c>
      <c r="L2564" s="863">
        <f>L2563+L2562</f>
        <v>286977.26354673161</v>
      </c>
      <c r="M2564" s="452">
        <f>L2564/L$2564</f>
        <v>1</v>
      </c>
      <c r="O2564" s="796"/>
      <c r="P2564" s="733"/>
    </row>
    <row r="2565" spans="2:16" x14ac:dyDescent="0.25">
      <c r="F2565" s="820"/>
      <c r="G2565" s="820"/>
      <c r="H2565" s="820"/>
      <c r="I2565" s="820"/>
    </row>
    <row r="2566" spans="2:16" x14ac:dyDescent="0.25">
      <c r="F2566" s="820"/>
      <c r="G2566" s="820"/>
      <c r="H2566" s="820"/>
      <c r="I2566" s="820"/>
    </row>
    <row r="2567" spans="2:16" x14ac:dyDescent="0.25">
      <c r="F2567" s="820"/>
      <c r="G2567" s="820"/>
      <c r="H2567" s="820"/>
      <c r="I2567" s="820"/>
    </row>
    <row r="2568" spans="2:16" x14ac:dyDescent="0.25">
      <c r="F2568" s="820"/>
      <c r="G2568" s="820"/>
      <c r="H2568" s="820"/>
      <c r="I2568" s="820"/>
    </row>
    <row r="2569" spans="2:16" x14ac:dyDescent="0.25">
      <c r="F2569" s="820"/>
      <c r="G2569" s="820"/>
      <c r="H2569" s="820"/>
      <c r="I2569" s="820"/>
    </row>
    <row r="2570" spans="2:16" x14ac:dyDescent="0.25">
      <c r="F2570" s="820"/>
      <c r="G2570" s="820"/>
      <c r="H2570" s="820"/>
      <c r="I2570" s="820"/>
    </row>
    <row r="2571" spans="2:16" x14ac:dyDescent="0.25">
      <c r="F2571" s="820"/>
      <c r="G2571" s="820"/>
      <c r="H2571" s="820"/>
      <c r="I2571" s="820"/>
    </row>
    <row r="2572" spans="2:16" x14ac:dyDescent="0.25">
      <c r="F2572" s="820"/>
      <c r="G2572" s="820"/>
      <c r="H2572" s="820"/>
      <c r="I2572" s="820"/>
    </row>
    <row r="2573" spans="2:16" x14ac:dyDescent="0.25">
      <c r="F2573" s="820"/>
      <c r="G2573" s="820"/>
      <c r="H2573" s="820"/>
      <c r="I2573" s="820"/>
    </row>
    <row r="2574" spans="2:16" x14ac:dyDescent="0.25">
      <c r="F2574" s="820"/>
      <c r="G2574" s="820"/>
      <c r="H2574" s="820"/>
      <c r="I2574" s="820"/>
    </row>
    <row r="2575" spans="2:16" x14ac:dyDescent="0.25">
      <c r="F2575" s="820"/>
      <c r="G2575" s="820"/>
      <c r="H2575" s="820"/>
      <c r="I2575" s="820"/>
    </row>
    <row r="2576" spans="2:16" x14ac:dyDescent="0.25">
      <c r="F2576" s="820"/>
      <c r="G2576" s="820"/>
      <c r="H2576" s="820"/>
      <c r="I2576" s="820"/>
    </row>
    <row r="2577" spans="1:16" x14ac:dyDescent="0.25">
      <c r="I2577" s="820"/>
    </row>
    <row r="2579" spans="1:16" s="435" customFormat="1" ht="15" customHeight="1" x14ac:dyDescent="0.25">
      <c r="B2579" s="756" t="s">
        <v>989</v>
      </c>
      <c r="C2579" s="756"/>
      <c r="D2579" s="481"/>
      <c r="E2579" s="1371" t="s">
        <v>7911</v>
      </c>
      <c r="F2579" s="1371"/>
      <c r="G2579" s="1371"/>
      <c r="H2579" s="1371"/>
      <c r="I2579" s="1371"/>
      <c r="J2579" s="437"/>
      <c r="K2579" s="940"/>
      <c r="L2579" s="438"/>
      <c r="M2579" s="449"/>
      <c r="N2579" s="892"/>
      <c r="P2579" s="732"/>
    </row>
    <row r="2580" spans="1:16" s="435" customFormat="1" ht="15" customHeight="1" x14ac:dyDescent="0.25">
      <c r="B2580" s="756" t="s">
        <v>458</v>
      </c>
      <c r="C2580" s="756"/>
      <c r="D2580" s="481"/>
      <c r="E2580" s="1371" t="s">
        <v>8521</v>
      </c>
      <c r="F2580" s="1371"/>
      <c r="G2580" s="1371"/>
      <c r="H2580" s="1371"/>
      <c r="I2580" s="1371"/>
      <c r="J2580" s="437"/>
      <c r="K2580" s="940"/>
      <c r="L2580" s="438"/>
      <c r="M2580" s="449"/>
      <c r="N2580" s="892"/>
      <c r="P2580" s="732"/>
    </row>
    <row r="2581" spans="1:16" s="435" customFormat="1" ht="15" customHeight="1" x14ac:dyDescent="0.25">
      <c r="B2581" s="757" t="s">
        <v>5764</v>
      </c>
      <c r="C2581" s="757"/>
      <c r="D2581" s="757"/>
      <c r="E2581" s="1371" t="s">
        <v>749</v>
      </c>
      <c r="F2581" s="1371"/>
      <c r="G2581" s="1371"/>
      <c r="H2581" s="1371"/>
      <c r="I2581" s="1371"/>
      <c r="J2581" s="440"/>
      <c r="K2581" s="941"/>
      <c r="L2581" s="438"/>
      <c r="M2581" s="449"/>
      <c r="N2581" s="892"/>
      <c r="P2581" s="732"/>
    </row>
    <row r="2582" spans="1:16" s="851" customFormat="1" ht="113.25" customHeight="1" x14ac:dyDescent="0.25">
      <c r="A2582" s="396"/>
      <c r="B2582" s="1400" t="s">
        <v>2296</v>
      </c>
      <c r="C2582" s="1400"/>
      <c r="D2582" s="1400"/>
      <c r="E2582" s="1384" t="s">
        <v>2297</v>
      </c>
      <c r="F2582" s="1384"/>
      <c r="G2582" s="443" t="s">
        <v>444</v>
      </c>
      <c r="H2582" s="443" t="s">
        <v>2245</v>
      </c>
      <c r="I2582" s="444" t="s">
        <v>5725</v>
      </c>
      <c r="J2582" s="849" t="s">
        <v>2275</v>
      </c>
      <c r="K2582" s="893" t="s">
        <v>11644</v>
      </c>
      <c r="L2582" s="955" t="s">
        <v>11522</v>
      </c>
      <c r="M2582" s="450" t="s">
        <v>235</v>
      </c>
      <c r="N2582" s="796"/>
      <c r="P2582" s="399"/>
    </row>
    <row r="2583" spans="1:16" s="115" customFormat="1" ht="15" customHeight="1" x14ac:dyDescent="0.25">
      <c r="A2583" s="396"/>
      <c r="B2583" s="1385" t="s">
        <v>5951</v>
      </c>
      <c r="C2583" s="1385"/>
      <c r="D2583" s="1385"/>
      <c r="E2583" s="1385"/>
      <c r="F2583" s="1385"/>
      <c r="G2583" s="401"/>
      <c r="H2583" s="401"/>
      <c r="I2583" s="426"/>
      <c r="J2583" s="411"/>
      <c r="K2583" s="402">
        <f t="shared" ref="K2583:L2585" si="426">K2584</f>
        <v>643.5</v>
      </c>
      <c r="L2583" s="402">
        <f t="shared" si="426"/>
        <v>5408.0542400000004</v>
      </c>
      <c r="M2583" s="451">
        <f>L2583/L$2711</f>
        <v>4.7425473418583823E-2</v>
      </c>
      <c r="N2583" s="894"/>
      <c r="P2583" s="733"/>
    </row>
    <row r="2584" spans="1:16" s="758" customFormat="1" ht="15" customHeight="1" x14ac:dyDescent="0.25">
      <c r="A2584" s="396"/>
      <c r="B2584" s="1386" t="s">
        <v>5950</v>
      </c>
      <c r="C2584" s="1386"/>
      <c r="D2584" s="1386"/>
      <c r="E2584" s="1386"/>
      <c r="F2584" s="1386"/>
      <c r="G2584" s="403"/>
      <c r="H2584" s="403"/>
      <c r="I2584" s="427"/>
      <c r="J2584" s="412"/>
      <c r="K2584" s="404">
        <f t="shared" si="426"/>
        <v>643.5</v>
      </c>
      <c r="L2584" s="404">
        <f t="shared" si="426"/>
        <v>5408.0542400000004</v>
      </c>
      <c r="M2584" s="452">
        <f>L2584/L$2711</f>
        <v>4.7425473418583823E-2</v>
      </c>
      <c r="N2584" s="796"/>
      <c r="P2584" s="399"/>
    </row>
    <row r="2585" spans="1:16" s="758" customFormat="1" ht="15" customHeight="1" x14ac:dyDescent="0.25">
      <c r="A2585" s="396"/>
      <c r="B2585" s="1382" t="s">
        <v>8565</v>
      </c>
      <c r="C2585" s="1382"/>
      <c r="D2585" s="1382"/>
      <c r="E2585" s="1382"/>
      <c r="F2585" s="1382"/>
      <c r="G2585" s="405"/>
      <c r="H2585" s="405"/>
      <c r="I2585" s="428"/>
      <c r="J2585" s="413"/>
      <c r="K2585" s="406">
        <f t="shared" si="426"/>
        <v>643.5</v>
      </c>
      <c r="L2585" s="406">
        <f t="shared" si="426"/>
        <v>5408.0542400000004</v>
      </c>
      <c r="M2585" s="453">
        <f>L2585/L$2711</f>
        <v>4.7425473418583823E-2</v>
      </c>
      <c r="N2585" s="796"/>
      <c r="P2585" s="399"/>
    </row>
    <row r="2586" spans="1:16" s="758" customFormat="1" ht="15" customHeight="1" x14ac:dyDescent="0.25">
      <c r="A2586" s="396"/>
      <c r="B2586" s="1383" t="s">
        <v>2290</v>
      </c>
      <c r="C2586" s="1383"/>
      <c r="D2586" s="1383"/>
      <c r="E2586" s="1383"/>
      <c r="F2586" s="1383"/>
      <c r="G2586" s="407"/>
      <c r="H2586" s="407"/>
      <c r="I2586" s="429"/>
      <c r="J2586" s="414"/>
      <c r="K2586" s="408">
        <f>K2587+K2588+K2589+K2590+K2591</f>
        <v>643.5</v>
      </c>
      <c r="L2586" s="408">
        <f>L2587+L2588+L2589+L2590+L2591+0.01</f>
        <v>5408.0542400000004</v>
      </c>
      <c r="M2586" s="454">
        <f>L2586/L$2711</f>
        <v>4.7425473418583823E-2</v>
      </c>
      <c r="N2586" s="796"/>
      <c r="P2586" s="399"/>
    </row>
    <row r="2587" spans="1:16" s="758" customFormat="1" ht="15" customHeight="1" x14ac:dyDescent="0.25">
      <c r="A2587" s="396"/>
      <c r="B2587" s="1396">
        <v>461000</v>
      </c>
      <c r="C2587" s="1396"/>
      <c r="D2587" s="1396"/>
      <c r="E2587" s="417">
        <v>333904700000000</v>
      </c>
      <c r="F2587" s="600" t="s">
        <v>8522</v>
      </c>
      <c r="G2587" s="468">
        <v>1</v>
      </c>
      <c r="H2587" s="468">
        <v>0</v>
      </c>
      <c r="I2587" s="751"/>
      <c r="J2587" s="878"/>
      <c r="K2587" s="789">
        <f>'Parâmetros financeiros Despesa'!F1306</f>
        <v>0</v>
      </c>
      <c r="L2587" s="789">
        <f>('Parâmetros financeiros Despesa'!F1307)*(1+'Parâmetros financeiros Despesa'!F$4)*(1+'Parâmetros financeiros Despesa'!F$7)</f>
        <v>174.45304000000002</v>
      </c>
      <c r="M2587" s="799">
        <f>L2587/L$2711</f>
        <v>1.5298511524010048E-3</v>
      </c>
      <c r="N2587" s="894"/>
      <c r="O2587" s="796"/>
      <c r="P2587" s="399"/>
    </row>
    <row r="2588" spans="1:16" s="115" customFormat="1" ht="15" customHeight="1" x14ac:dyDescent="0.25">
      <c r="A2588" s="396"/>
      <c r="B2588" s="1396">
        <v>461100</v>
      </c>
      <c r="C2588" s="1396"/>
      <c r="D2588" s="1396"/>
      <c r="E2588" s="854">
        <v>344903000000000</v>
      </c>
      <c r="F2588" s="855" t="s">
        <v>8523</v>
      </c>
      <c r="G2588" s="468">
        <v>1</v>
      </c>
      <c r="H2588" s="468">
        <v>0</v>
      </c>
      <c r="I2588" s="751"/>
      <c r="J2588" s="878"/>
      <c r="K2588" s="789">
        <f>('Parâmetros financeiros Despesa'!E1308)</f>
        <v>0</v>
      </c>
      <c r="L2588" s="789">
        <f>('Parâmetros financeiros Despesa'!F1308)*(1+'Parâmetros financeiros Despesa'!F$4)*(1+'Parâmetros financeiros Despesa'!F$7)</f>
        <v>545.16575</v>
      </c>
      <c r="M2588" s="799">
        <f t="shared" ref="M2588:M2591" si="427">L2588/L$2711</f>
        <v>4.7807848512531398E-3</v>
      </c>
      <c r="N2588" s="894"/>
      <c r="O2588" s="796"/>
      <c r="P2588" s="733"/>
    </row>
    <row r="2589" spans="1:16" s="457" customFormat="1" ht="15" customHeight="1" x14ac:dyDescent="0.25">
      <c r="A2589" s="396"/>
      <c r="B2589" s="1398" t="s">
        <v>8542</v>
      </c>
      <c r="C2589" s="1398"/>
      <c r="D2589" s="1398"/>
      <c r="E2589" s="854">
        <v>344903600000000</v>
      </c>
      <c r="F2589" s="855" t="s">
        <v>8524</v>
      </c>
      <c r="G2589" s="468">
        <v>1</v>
      </c>
      <c r="H2589" s="468">
        <v>0</v>
      </c>
      <c r="I2589" s="751"/>
      <c r="J2589" s="878"/>
      <c r="K2589" s="789">
        <f>('Parâmetros financeiros Despesa'!E1309)</f>
        <v>0</v>
      </c>
      <c r="L2589" s="789">
        <f>('Parâmetros financeiros Despesa'!F1309)*(1+'Parâmetros financeiros Despesa'!F$4)*(1+'Parâmetros financeiros Despesa'!F$7)</f>
        <v>872.26520000000005</v>
      </c>
      <c r="M2589" s="799">
        <f t="shared" si="427"/>
        <v>7.649255762005024E-3</v>
      </c>
      <c r="N2589" s="894"/>
      <c r="O2589" s="796"/>
      <c r="P2589" s="734"/>
    </row>
    <row r="2590" spans="1:16" s="457" customFormat="1" ht="15" customHeight="1" x14ac:dyDescent="0.25">
      <c r="A2590" s="396"/>
      <c r="B2590" s="1398" t="s">
        <v>8543</v>
      </c>
      <c r="C2590" s="1398"/>
      <c r="D2590" s="1398"/>
      <c r="E2590" s="854">
        <v>344903900000000</v>
      </c>
      <c r="F2590" s="855" t="s">
        <v>8525</v>
      </c>
      <c r="G2590" s="468">
        <v>1</v>
      </c>
      <c r="H2590" s="468">
        <v>0</v>
      </c>
      <c r="I2590" s="751"/>
      <c r="J2590" s="878"/>
      <c r="K2590" s="789">
        <f>('Parâmetros financeiros Despesa'!E1310)</f>
        <v>0</v>
      </c>
      <c r="L2590" s="789">
        <f>('Parâmetros financeiros Despesa'!F1310)*(1+'Parâmetros financeiros Despesa'!F$4)*(1+'Parâmetros financeiros Despesa'!F$7)</f>
        <v>1090.3315</v>
      </c>
      <c r="M2590" s="799">
        <f t="shared" si="427"/>
        <v>9.5615697025062795E-3</v>
      </c>
      <c r="N2590" s="894"/>
      <c r="O2590" s="796"/>
      <c r="P2590" s="734"/>
    </row>
    <row r="2591" spans="1:16" s="457" customFormat="1" ht="15" customHeight="1" x14ac:dyDescent="0.25">
      <c r="A2591" s="396"/>
      <c r="B2591" s="1398" t="s">
        <v>8544</v>
      </c>
      <c r="C2591" s="1398"/>
      <c r="D2591" s="1398"/>
      <c r="E2591" s="854">
        <v>344905200000000</v>
      </c>
      <c r="F2591" s="855" t="s">
        <v>8526</v>
      </c>
      <c r="G2591" s="468">
        <v>1</v>
      </c>
      <c r="H2591" s="468">
        <v>0</v>
      </c>
      <c r="I2591" s="751"/>
      <c r="J2591" s="878"/>
      <c r="K2591" s="789">
        <f>('Parâmetros financeiros Despesa'!E1311)</f>
        <v>643.5</v>
      </c>
      <c r="L2591" s="789">
        <f>('Parâmetros financeiros Despesa'!F1311)*(1+'Parâmetros financeiros Despesa'!F$4)*(1+'Parâmetros financeiros Despesa'!F$7)</f>
        <v>2725.8287500000001</v>
      </c>
      <c r="M2591" s="799">
        <f t="shared" si="427"/>
        <v>2.39039242562657E-2</v>
      </c>
      <c r="N2591" s="894"/>
      <c r="O2591" s="796"/>
      <c r="P2591" s="734"/>
    </row>
    <row r="2592" spans="1:16" s="758" customFormat="1" ht="15" customHeight="1" x14ac:dyDescent="0.25">
      <c r="A2592" s="397"/>
      <c r="B2592" s="1385" t="s">
        <v>5951</v>
      </c>
      <c r="C2592" s="1385"/>
      <c r="D2592" s="1385"/>
      <c r="E2592" s="1385"/>
      <c r="F2592" s="1385"/>
      <c r="G2592" s="401"/>
      <c r="H2592" s="401"/>
      <c r="I2592" s="426"/>
      <c r="J2592" s="411"/>
      <c r="K2592" s="402">
        <f t="shared" ref="K2592:L2594" si="428">K2593</f>
        <v>22721.0189125</v>
      </c>
      <c r="L2592" s="402">
        <f t="shared" si="428"/>
        <v>40080.287541796512</v>
      </c>
      <c r="M2592" s="451">
        <f>L2592/L$2711</f>
        <v>0.3514806854863694</v>
      </c>
      <c r="N2592" s="796"/>
      <c r="P2592" s="399"/>
    </row>
    <row r="2593" spans="1:16" s="758" customFormat="1" ht="15" customHeight="1" x14ac:dyDescent="0.25">
      <c r="A2593" s="397"/>
      <c r="B2593" s="1386" t="s">
        <v>5965</v>
      </c>
      <c r="C2593" s="1386"/>
      <c r="D2593" s="1386"/>
      <c r="E2593" s="1386"/>
      <c r="F2593" s="1386"/>
      <c r="G2593" s="403"/>
      <c r="H2593" s="403"/>
      <c r="I2593" s="427"/>
      <c r="J2593" s="412"/>
      <c r="K2593" s="404">
        <f t="shared" si="428"/>
        <v>22721.0189125</v>
      </c>
      <c r="L2593" s="404">
        <f t="shared" si="428"/>
        <v>40080.287541796512</v>
      </c>
      <c r="M2593" s="452">
        <f>L2593/L$2711</f>
        <v>0.3514806854863694</v>
      </c>
      <c r="N2593" s="796"/>
      <c r="P2593" s="399"/>
    </row>
    <row r="2594" spans="1:16" s="758" customFormat="1" ht="15" customHeight="1" x14ac:dyDescent="0.25">
      <c r="A2594" s="397"/>
      <c r="B2594" s="1382" t="s">
        <v>8565</v>
      </c>
      <c r="C2594" s="1382"/>
      <c r="D2594" s="1382"/>
      <c r="E2594" s="1382"/>
      <c r="F2594" s="1382"/>
      <c r="G2594" s="405"/>
      <c r="H2594" s="405"/>
      <c r="I2594" s="428"/>
      <c r="J2594" s="413"/>
      <c r="K2594" s="406">
        <f t="shared" si="428"/>
        <v>22721.0189125</v>
      </c>
      <c r="L2594" s="406">
        <f t="shared" si="428"/>
        <v>40080.287541796512</v>
      </c>
      <c r="M2594" s="453">
        <f>L2594/L$2711</f>
        <v>0.3514806854863694</v>
      </c>
      <c r="N2594" s="796"/>
      <c r="P2594" s="399"/>
    </row>
    <row r="2595" spans="1:16" s="758" customFormat="1" ht="15" customHeight="1" x14ac:dyDescent="0.25">
      <c r="A2595" s="397"/>
      <c r="B2595" s="1383" t="s">
        <v>2290</v>
      </c>
      <c r="C2595" s="1383"/>
      <c r="D2595" s="1383"/>
      <c r="E2595" s="1383"/>
      <c r="F2595" s="1383"/>
      <c r="G2595" s="407"/>
      <c r="H2595" s="407"/>
      <c r="I2595" s="429"/>
      <c r="J2595" s="414"/>
      <c r="K2595" s="408">
        <f>SUM(K2596:K2610)</f>
        <v>22721.0189125</v>
      </c>
      <c r="L2595" s="408">
        <f>SUM(L2596:L2610)+0.02</f>
        <v>40080.287541796512</v>
      </c>
      <c r="M2595" s="454">
        <f>L2595/L$2711</f>
        <v>0.3514806854863694</v>
      </c>
      <c r="N2595" s="796"/>
      <c r="P2595" s="399"/>
    </row>
    <row r="2596" spans="1:16" s="115" customFormat="1" ht="15" customHeight="1" x14ac:dyDescent="0.25">
      <c r="A2596" s="396"/>
      <c r="B2596" s="1398" t="s">
        <v>8545</v>
      </c>
      <c r="C2596" s="1398"/>
      <c r="D2596" s="1398"/>
      <c r="E2596" s="854">
        <v>331900400000000</v>
      </c>
      <c r="F2596" s="855" t="s">
        <v>8527</v>
      </c>
      <c r="G2596" s="468">
        <v>1</v>
      </c>
      <c r="H2596" s="468">
        <v>0</v>
      </c>
      <c r="I2596" s="751"/>
      <c r="J2596" s="878"/>
      <c r="K2596" s="789">
        <f>(('Parâmetros financeiros Despesa'!E$1313))</f>
        <v>0</v>
      </c>
      <c r="L2596" s="789">
        <f>(('Parâmetros financeiros Despesa'!F$1313)*2.05+(('Parâmetros financeiros Despesa'!F$1313)*11.28)*(1+'Parâmetros financeiros Despesa'!F$4)*(1+'Parâmetros financeiros Despesa'!F$8))*(1+'Parâmetros financeiros Despesa'!F$80)</f>
        <v>17.278630081629636</v>
      </c>
      <c r="M2596" s="799">
        <f>L2596/L$2711</f>
        <v>1.5152348243568451E-4</v>
      </c>
      <c r="N2596" s="894"/>
      <c r="P2596" s="733"/>
    </row>
    <row r="2597" spans="1:16" s="115" customFormat="1" ht="15" customHeight="1" x14ac:dyDescent="0.25">
      <c r="A2597" s="396"/>
      <c r="B2597" s="1398" t="s">
        <v>8546</v>
      </c>
      <c r="C2597" s="1398"/>
      <c r="D2597" s="1398"/>
      <c r="E2597" s="854">
        <v>331901100000000</v>
      </c>
      <c r="F2597" s="855" t="s">
        <v>8529</v>
      </c>
      <c r="G2597" s="468">
        <v>1</v>
      </c>
      <c r="H2597" s="468">
        <v>0</v>
      </c>
      <c r="I2597" s="751"/>
      <c r="J2597" s="878"/>
      <c r="K2597" s="789">
        <f>('Parâmetros financeiros Despesa'!E$1314)</f>
        <v>22632.023912500001</v>
      </c>
      <c r="L2597" s="789">
        <f>('Parâmetros financeiros Despesa'!F$1314)*2.05+(('Parâmetros financeiros Despesa'!F$1314)*11.28)*(1+'Parâmetros financeiros Despesa'!F$4)*(1+'Parâmetros financeiros Despesa'!F$8)</f>
        <v>23694.575465700051</v>
      </c>
      <c r="M2597" s="799">
        <f t="shared" ref="M2597:M2610" si="429">L2597/L$2711</f>
        <v>0.20778757184084493</v>
      </c>
      <c r="N2597" s="894"/>
      <c r="P2597" s="733"/>
    </row>
    <row r="2598" spans="1:16" s="115" customFormat="1" ht="15" customHeight="1" x14ac:dyDescent="0.25">
      <c r="A2598" s="396"/>
      <c r="B2598" s="1398" t="s">
        <v>8547</v>
      </c>
      <c r="C2598" s="1398"/>
      <c r="D2598" s="1398"/>
      <c r="E2598" s="854">
        <v>331901300000000</v>
      </c>
      <c r="F2598" s="855" t="s">
        <v>8528</v>
      </c>
      <c r="G2598" s="468">
        <v>1</v>
      </c>
      <c r="H2598" s="468">
        <v>0</v>
      </c>
      <c r="I2598" s="751"/>
      <c r="J2598" s="878"/>
      <c r="K2598" s="789">
        <f>'Parâmetros financeiros Despesa'!F1315</f>
        <v>0</v>
      </c>
      <c r="L2598" s="789">
        <f>(L2599+L2597)*'Parâmetros financeiros Despesa'!F$80</f>
        <v>5644.8590504517933</v>
      </c>
      <c r="M2598" s="799">
        <f t="shared" si="429"/>
        <v>4.9502113138727287E-2</v>
      </c>
      <c r="N2598" s="894"/>
      <c r="P2598" s="733"/>
    </row>
    <row r="2599" spans="1:16" s="115" customFormat="1" ht="15" customHeight="1" x14ac:dyDescent="0.25">
      <c r="A2599" s="396"/>
      <c r="B2599" s="1398" t="s">
        <v>8548</v>
      </c>
      <c r="C2599" s="1398"/>
      <c r="D2599" s="1398"/>
      <c r="E2599" s="854">
        <v>331901600000000</v>
      </c>
      <c r="F2599" s="855" t="s">
        <v>8530</v>
      </c>
      <c r="G2599" s="468">
        <v>1</v>
      </c>
      <c r="H2599" s="468">
        <v>0</v>
      </c>
      <c r="I2599" s="751"/>
      <c r="J2599" s="878"/>
      <c r="K2599" s="789">
        <f>('Parâmetros financeiros Despesa'!E$1316)</f>
        <v>0</v>
      </c>
      <c r="L2599" s="789">
        <f>('Parâmetros financeiros Despesa'!F$1316)*2.05+(('Parâmetros financeiros Despesa'!F$1316)*11.28)*(1+'Parâmetros financeiros Despesa'!F$4)*(1+'Parâmetros financeiros Despesa'!F$8)</f>
        <v>13.955830560223728</v>
      </c>
      <c r="M2599" s="799">
        <f t="shared" si="429"/>
        <v>1.2238447358252645E-4</v>
      </c>
      <c r="N2599" s="894"/>
      <c r="P2599" s="733"/>
    </row>
    <row r="2600" spans="1:16" s="115" customFormat="1" ht="15" customHeight="1" x14ac:dyDescent="0.25">
      <c r="A2600" s="396"/>
      <c r="B2600" s="1398" t="s">
        <v>8549</v>
      </c>
      <c r="C2600" s="1398"/>
      <c r="D2600" s="1398"/>
      <c r="E2600" s="854">
        <v>333901400000000</v>
      </c>
      <c r="F2600" s="855" t="s">
        <v>8531</v>
      </c>
      <c r="G2600" s="468">
        <v>1</v>
      </c>
      <c r="H2600" s="468">
        <v>0</v>
      </c>
      <c r="I2600" s="751"/>
      <c r="J2600" s="878"/>
      <c r="K2600" s="789">
        <f>('Parâmetros financeiros Despesa'!E$1317)</f>
        <v>0</v>
      </c>
      <c r="L2600" s="789">
        <f>('Parâmetros financeiros Despesa'!F$1317)*2+(('Parâmetros financeiros Despesa'!F$1317)*10)*(1+'Parâmetros financeiros Despesa'!F$4)*(1+'Parâmetros financeiros Despesa'!F$8)</f>
        <v>2410.5243506763791</v>
      </c>
      <c r="M2600" s="799">
        <f t="shared" si="429"/>
        <v>2.1138889042993703E-2</v>
      </c>
      <c r="N2600" s="894"/>
      <c r="O2600" s="796"/>
      <c r="P2600" s="733"/>
    </row>
    <row r="2601" spans="1:16" s="115" customFormat="1" ht="15" customHeight="1" x14ac:dyDescent="0.25">
      <c r="A2601" s="396"/>
      <c r="B2601" s="1396">
        <v>462500</v>
      </c>
      <c r="C2601" s="1396"/>
      <c r="D2601" s="1396"/>
      <c r="E2601" s="854">
        <v>333903000000000</v>
      </c>
      <c r="F2601" s="855" t="s">
        <v>8533</v>
      </c>
      <c r="G2601" s="468">
        <v>1</v>
      </c>
      <c r="H2601" s="468">
        <v>0</v>
      </c>
      <c r="I2601" s="751"/>
      <c r="J2601" s="878"/>
      <c r="K2601" s="789">
        <f>('Parâmetros financeiros Despesa'!E1318)</f>
        <v>88.995000000000005</v>
      </c>
      <c r="L2601" s="789">
        <f>('Parâmetros financeiros Despesa'!F1318)*(1+'Parâmetros financeiros Despesa'!F$4)*(1+'Parâmetros financeiros Despesa'!F$7)</f>
        <v>1090.3315</v>
      </c>
      <c r="M2601" s="799">
        <f t="shared" si="429"/>
        <v>9.5615697025062795E-3</v>
      </c>
      <c r="N2601" s="894"/>
      <c r="O2601" s="796"/>
      <c r="P2601" s="733"/>
    </row>
    <row r="2602" spans="1:16" s="115" customFormat="1" ht="15" customHeight="1" x14ac:dyDescent="0.25">
      <c r="A2602" s="396"/>
      <c r="B2602" s="1396">
        <v>462600</v>
      </c>
      <c r="C2602" s="1396"/>
      <c r="D2602" s="1396"/>
      <c r="E2602" s="854">
        <v>333903200000000</v>
      </c>
      <c r="F2602" s="855" t="s">
        <v>8532</v>
      </c>
      <c r="G2602" s="468">
        <v>1</v>
      </c>
      <c r="H2602" s="468">
        <v>0</v>
      </c>
      <c r="I2602" s="751"/>
      <c r="J2602" s="878"/>
      <c r="K2602" s="789">
        <f>('Parâmetros financeiros Despesa'!E1319)</f>
        <v>0</v>
      </c>
      <c r="L2602" s="789">
        <f>('Parâmetros financeiros Despesa'!F1319)*(1+'Parâmetros financeiros Despesa'!F$4)*(1+'Parâmetros financeiros Despesa'!F$7)</f>
        <v>872.26520000000005</v>
      </c>
      <c r="M2602" s="799">
        <f t="shared" si="429"/>
        <v>7.649255762005024E-3</v>
      </c>
      <c r="N2602" s="894"/>
      <c r="O2602" s="796"/>
      <c r="P2602" s="733"/>
    </row>
    <row r="2603" spans="1:16" s="115" customFormat="1" ht="15" customHeight="1" x14ac:dyDescent="0.25">
      <c r="A2603" s="396"/>
      <c r="B2603" s="1396">
        <v>462700</v>
      </c>
      <c r="C2603" s="1396"/>
      <c r="D2603" s="1396"/>
      <c r="E2603" s="854">
        <v>333903300000000</v>
      </c>
      <c r="F2603" s="855" t="s">
        <v>8535</v>
      </c>
      <c r="G2603" s="468">
        <v>1</v>
      </c>
      <c r="H2603" s="468">
        <v>0</v>
      </c>
      <c r="I2603" s="751"/>
      <c r="J2603" s="878"/>
      <c r="K2603" s="789">
        <f>('Parâmetros financeiros Despesa'!E1320)</f>
        <v>0</v>
      </c>
      <c r="L2603" s="789">
        <f>('Parâmetros financeiros Despesa'!F1320)*(1+'Parâmetros financeiros Despesa'!F$4)*(1+'Parâmetros financeiros Despesa'!F$7)</f>
        <v>545.16575</v>
      </c>
      <c r="M2603" s="799">
        <f t="shared" si="429"/>
        <v>4.7807848512531398E-3</v>
      </c>
      <c r="N2603" s="894"/>
      <c r="O2603" s="796"/>
      <c r="P2603" s="733"/>
    </row>
    <row r="2604" spans="1:16" s="115" customFormat="1" ht="15" customHeight="1" x14ac:dyDescent="0.25">
      <c r="A2604" s="396"/>
      <c r="B2604" s="1398" t="s">
        <v>8550</v>
      </c>
      <c r="C2604" s="1398"/>
      <c r="D2604" s="1398"/>
      <c r="E2604" s="854">
        <v>333903500000000</v>
      </c>
      <c r="F2604" s="855" t="s">
        <v>8534</v>
      </c>
      <c r="G2604" s="468">
        <v>1</v>
      </c>
      <c r="H2604" s="468">
        <v>0</v>
      </c>
      <c r="I2604" s="751"/>
      <c r="J2604" s="878"/>
      <c r="K2604" s="789">
        <f>('Parâmetros financeiros Despesa'!E1321)</f>
        <v>0</v>
      </c>
      <c r="L2604" s="789">
        <f>('Parâmetros financeiros Despesa'!F1321)*(1+'Parâmetros financeiros Despesa'!F$4)*(1+'Parâmetros financeiros Despesa'!F$7)</f>
        <v>545.16575</v>
      </c>
      <c r="M2604" s="799">
        <f t="shared" si="429"/>
        <v>4.7807848512531398E-3</v>
      </c>
      <c r="N2604" s="894"/>
      <c r="O2604" s="796"/>
      <c r="P2604" s="733"/>
    </row>
    <row r="2605" spans="1:16" s="115" customFormat="1" ht="15" customHeight="1" x14ac:dyDescent="0.25">
      <c r="A2605" s="396"/>
      <c r="B2605" s="1398" t="s">
        <v>8551</v>
      </c>
      <c r="C2605" s="1398"/>
      <c r="D2605" s="1398"/>
      <c r="E2605" s="854">
        <v>333903600000000</v>
      </c>
      <c r="F2605" s="855" t="s">
        <v>8536</v>
      </c>
      <c r="G2605" s="468">
        <v>1</v>
      </c>
      <c r="H2605" s="468">
        <v>0</v>
      </c>
      <c r="I2605" s="751"/>
      <c r="J2605" s="878"/>
      <c r="K2605" s="789">
        <f>('Parâmetros financeiros Despesa'!E1322)</f>
        <v>0</v>
      </c>
      <c r="L2605" s="789">
        <f>('Parâmetros financeiros Despesa'!F1322)*(1+'Parâmetros financeiros Despesa'!F$4)*(1+'Parâmetros financeiros Despesa'!F$7)</f>
        <v>1635.4972500000001</v>
      </c>
      <c r="M2605" s="799">
        <f t="shared" si="429"/>
        <v>1.434235455375942E-2</v>
      </c>
      <c r="N2605" s="894"/>
      <c r="O2605" s="796"/>
      <c r="P2605" s="733"/>
    </row>
    <row r="2606" spans="1:16" s="115" customFormat="1" ht="15" customHeight="1" x14ac:dyDescent="0.25">
      <c r="A2606" s="396"/>
      <c r="B2606" s="1398" t="s">
        <v>8552</v>
      </c>
      <c r="C2606" s="1398"/>
      <c r="D2606" s="1398"/>
      <c r="E2606" s="854">
        <v>333903900000000</v>
      </c>
      <c r="F2606" s="855" t="s">
        <v>8537</v>
      </c>
      <c r="G2606" s="468">
        <v>1</v>
      </c>
      <c r="H2606" s="468">
        <v>0</v>
      </c>
      <c r="I2606" s="751"/>
      <c r="J2606" s="878"/>
      <c r="K2606" s="789">
        <f>('Parâmetros financeiros Despesa'!E1323)</f>
        <v>0</v>
      </c>
      <c r="L2606" s="789">
        <f>('Parâmetros financeiros Despesa'!F1323)*(1+'Parâmetros financeiros Despesa'!F$4)*(1+'Parâmetros financeiros Despesa'!F$7)</f>
        <v>2180.663</v>
      </c>
      <c r="M2606" s="799">
        <f t="shared" si="429"/>
        <v>1.9123139405012559E-2</v>
      </c>
      <c r="N2606" s="894"/>
      <c r="O2606" s="796"/>
      <c r="P2606" s="733"/>
    </row>
    <row r="2607" spans="1:16" s="115" customFormat="1" ht="15" customHeight="1" x14ac:dyDescent="0.25">
      <c r="A2607" s="396"/>
      <c r="B2607" s="1398" t="s">
        <v>8553</v>
      </c>
      <c r="C2607" s="1398"/>
      <c r="D2607" s="1398"/>
      <c r="E2607" s="854">
        <v>333904700000000</v>
      </c>
      <c r="F2607" s="855" t="s">
        <v>8538</v>
      </c>
      <c r="G2607" s="468">
        <v>1</v>
      </c>
      <c r="H2607" s="468">
        <v>0</v>
      </c>
      <c r="I2607" s="751"/>
      <c r="J2607" s="878"/>
      <c r="K2607" s="789">
        <f>('Parâmetros financeiros Despesa'!E1324)</f>
        <v>0</v>
      </c>
      <c r="L2607" s="789">
        <f>('Parâmetros financeiros Despesa'!F1324)*(1+'Parâmetros financeiros Despesa'!F$4)*(1+'Parâmetros financeiros Despesa'!F$7)</f>
        <v>327.09944999999999</v>
      </c>
      <c r="M2607" s="799">
        <f t="shared" si="429"/>
        <v>2.8684709107518838E-3</v>
      </c>
      <c r="N2607" s="894"/>
      <c r="O2607" s="796"/>
      <c r="P2607" s="733"/>
    </row>
    <row r="2608" spans="1:16" s="115" customFormat="1" ht="15" customHeight="1" x14ac:dyDescent="0.25">
      <c r="A2608" s="396"/>
      <c r="B2608" s="1398" t="s">
        <v>8554</v>
      </c>
      <c r="C2608" s="1398"/>
      <c r="D2608" s="1398"/>
      <c r="E2608" s="854">
        <v>333904900000000</v>
      </c>
      <c r="F2608" s="855" t="s">
        <v>8539</v>
      </c>
      <c r="G2608" s="468">
        <v>1</v>
      </c>
      <c r="H2608" s="468">
        <v>0</v>
      </c>
      <c r="I2608" s="751"/>
      <c r="J2608" s="878"/>
      <c r="K2608" s="789">
        <f>('Parâmetros financeiros Despesa'!E$1325)</f>
        <v>0</v>
      </c>
      <c r="L2608" s="789">
        <f>('Parâmetros financeiros Despesa'!F$1325)*2+(('Parâmetros financeiros Despesa'!F$1325)*10)*(1+'Parâmetros financeiros Despesa'!F$4)*(1+'Parâmetros financeiros Despesa'!F$8)</f>
        <v>12.554814326439475</v>
      </c>
      <c r="M2608" s="799">
        <f t="shared" si="429"/>
        <v>1.1009838043225887E-4</v>
      </c>
      <c r="N2608" s="894"/>
      <c r="O2608" s="796"/>
      <c r="P2608" s="733"/>
    </row>
    <row r="2609" spans="1:16" s="115" customFormat="1" ht="15" customHeight="1" x14ac:dyDescent="0.25">
      <c r="A2609" s="396"/>
      <c r="B2609" s="1398" t="s">
        <v>8555</v>
      </c>
      <c r="C2609" s="1398"/>
      <c r="D2609" s="1398"/>
      <c r="E2609" s="854">
        <v>333909300000000</v>
      </c>
      <c r="F2609" s="855" t="s">
        <v>8540</v>
      </c>
      <c r="G2609" s="468">
        <v>1</v>
      </c>
      <c r="H2609" s="468">
        <v>0</v>
      </c>
      <c r="I2609" s="751"/>
      <c r="J2609" s="878"/>
      <c r="K2609" s="789">
        <f>('Parâmetros financeiros Despesa'!E1326)</f>
        <v>0</v>
      </c>
      <c r="L2609" s="789">
        <f>('Parâmetros financeiros Despesa'!F1326)*(1+'Parâmetros financeiros Despesa'!F$4)*(1+'Parâmetros financeiros Despesa'!F$7)</f>
        <v>545.16575</v>
      </c>
      <c r="M2609" s="799">
        <f t="shared" si="429"/>
        <v>4.7807848512531398E-3</v>
      </c>
      <c r="N2609" s="894"/>
      <c r="O2609" s="796"/>
      <c r="P2609" s="733"/>
    </row>
    <row r="2610" spans="1:16" s="115" customFormat="1" ht="15" customHeight="1" x14ac:dyDescent="0.25">
      <c r="A2610" s="396"/>
      <c r="B2610" s="1398" t="s">
        <v>8556</v>
      </c>
      <c r="C2610" s="1398"/>
      <c r="D2610" s="1398"/>
      <c r="E2610" s="854">
        <v>333933000000000</v>
      </c>
      <c r="F2610" s="855" t="s">
        <v>8541</v>
      </c>
      <c r="G2610" s="468">
        <v>1</v>
      </c>
      <c r="H2610" s="468">
        <v>0</v>
      </c>
      <c r="I2610" s="751"/>
      <c r="J2610" s="878"/>
      <c r="K2610" s="789">
        <f>('Parâmetros financeiros Despesa'!E1327)</f>
        <v>0</v>
      </c>
      <c r="L2610" s="789">
        <f>('Parâmetros financeiros Despesa'!F1327)*(1+'Parâmetros financeiros Despesa'!F$4)*(1+'Parâmetros financeiros Despesa'!F$7)</f>
        <v>545.16575</v>
      </c>
      <c r="M2610" s="799">
        <f t="shared" si="429"/>
        <v>4.7807848512531398E-3</v>
      </c>
      <c r="N2610" s="894"/>
      <c r="O2610" s="796"/>
      <c r="P2610" s="733"/>
    </row>
    <row r="2611" spans="1:16" s="761" customFormat="1" ht="15" customHeight="1" x14ac:dyDescent="0.25">
      <c r="A2611" s="397"/>
      <c r="B2611" s="1385" t="s">
        <v>8566</v>
      </c>
      <c r="C2611" s="1385"/>
      <c r="D2611" s="1385"/>
      <c r="E2611" s="1385"/>
      <c r="F2611" s="1385"/>
      <c r="G2611" s="401"/>
      <c r="H2611" s="401"/>
      <c r="I2611" s="426"/>
      <c r="J2611" s="411"/>
      <c r="K2611" s="402">
        <f t="shared" ref="K2611:L2613" si="430">K2612</f>
        <v>17600.099999999999</v>
      </c>
      <c r="L2611" s="402">
        <f t="shared" si="430"/>
        <v>55443.356775</v>
      </c>
      <c r="M2611" s="451">
        <f t="shared" ref="M2611:M2616" si="431">L2611/L$2711</f>
        <v>0.48620581937244434</v>
      </c>
      <c r="N2611" s="796"/>
      <c r="P2611" s="399"/>
    </row>
    <row r="2612" spans="1:16" s="761" customFormat="1" ht="15" customHeight="1" x14ac:dyDescent="0.25">
      <c r="A2612" s="397"/>
      <c r="B2612" s="1386" t="s">
        <v>8567</v>
      </c>
      <c r="C2612" s="1386"/>
      <c r="D2612" s="1386"/>
      <c r="E2612" s="1386"/>
      <c r="F2612" s="1386"/>
      <c r="G2612" s="403"/>
      <c r="H2612" s="403"/>
      <c r="I2612" s="427"/>
      <c r="J2612" s="412"/>
      <c r="K2612" s="404">
        <f t="shared" si="430"/>
        <v>17600.099999999999</v>
      </c>
      <c r="L2612" s="404">
        <f t="shared" si="430"/>
        <v>55443.356775</v>
      </c>
      <c r="M2612" s="452">
        <f t="shared" si="431"/>
        <v>0.48620581937244434</v>
      </c>
      <c r="N2612" s="796"/>
      <c r="P2612" s="399"/>
    </row>
    <row r="2613" spans="1:16" s="761" customFormat="1" ht="15" customHeight="1" x14ac:dyDescent="0.25">
      <c r="A2613" s="397"/>
      <c r="B2613" s="1382" t="s">
        <v>8565</v>
      </c>
      <c r="C2613" s="1382"/>
      <c r="D2613" s="1382"/>
      <c r="E2613" s="1382"/>
      <c r="F2613" s="1382"/>
      <c r="G2613" s="405"/>
      <c r="H2613" s="405"/>
      <c r="I2613" s="428"/>
      <c r="J2613" s="413"/>
      <c r="K2613" s="406">
        <f t="shared" si="430"/>
        <v>17600.099999999999</v>
      </c>
      <c r="L2613" s="406">
        <f t="shared" si="430"/>
        <v>55443.356775</v>
      </c>
      <c r="M2613" s="453">
        <f t="shared" si="431"/>
        <v>0.48620581937244434</v>
      </c>
      <c r="N2613" s="796"/>
      <c r="P2613" s="399"/>
    </row>
    <row r="2614" spans="1:16" s="761" customFormat="1" ht="15" customHeight="1" x14ac:dyDescent="0.25">
      <c r="A2614" s="397"/>
      <c r="B2614" s="1383" t="s">
        <v>8568</v>
      </c>
      <c r="C2614" s="1383"/>
      <c r="D2614" s="1383"/>
      <c r="E2614" s="1383"/>
      <c r="F2614" s="1383"/>
      <c r="G2614" s="407"/>
      <c r="H2614" s="407"/>
      <c r="I2614" s="429"/>
      <c r="J2614" s="414"/>
      <c r="K2614" s="408">
        <f>K2615+K2626+K2637+K2638+K2649+K2660+K2681+K2683</f>
        <v>17600.099999999999</v>
      </c>
      <c r="L2614" s="408">
        <f>L2615+L2626+L2637+L2638+L2649+L2660+L2681+L2683</f>
        <v>55443.356775</v>
      </c>
      <c r="M2614" s="454">
        <f t="shared" si="431"/>
        <v>0.48620581937244434</v>
      </c>
      <c r="N2614" s="796"/>
      <c r="P2614" s="399"/>
    </row>
    <row r="2615" spans="1:16" s="115" customFormat="1" ht="15" customHeight="1" x14ac:dyDescent="0.25">
      <c r="A2615" s="396"/>
      <c r="B2615" s="1396">
        <v>464000</v>
      </c>
      <c r="C2615" s="1396"/>
      <c r="D2615" s="1396"/>
      <c r="E2615" s="854">
        <v>333903000000000</v>
      </c>
      <c r="F2615" s="855" t="s">
        <v>8632</v>
      </c>
      <c r="G2615" s="468">
        <v>1</v>
      </c>
      <c r="H2615" s="468">
        <v>0</v>
      </c>
      <c r="I2615" s="751"/>
      <c r="J2615" s="878"/>
      <c r="K2615" s="789">
        <f>('Parâmetros financeiros Despesa'!E1329)</f>
        <v>8340</v>
      </c>
      <c r="L2615" s="789">
        <f>('Parâmetros financeiros Despesa'!F1329)*(1+'Parâmetros financeiros Despesa'!F$4)*(1+'Parâmetros financeiros Despesa'!F$7)</f>
        <v>7959.4199499999995</v>
      </c>
      <c r="M2615" s="799">
        <f t="shared" si="431"/>
        <v>6.9799458828295829E-2</v>
      </c>
      <c r="N2615" s="894"/>
      <c r="O2615" s="796"/>
      <c r="P2615" s="733"/>
    </row>
    <row r="2616" spans="1:16" s="761" customFormat="1" x14ac:dyDescent="0.25">
      <c r="B2616" s="599">
        <f t="shared" ref="B2616:B2625" si="432">B2615+1</f>
        <v>464001</v>
      </c>
      <c r="C2616" s="600" t="s">
        <v>6062</v>
      </c>
      <c r="D2616" s="528">
        <f>B2615</f>
        <v>464000</v>
      </c>
      <c r="E2616" s="417">
        <v>333903099000000</v>
      </c>
      <c r="F2616" s="418" t="s">
        <v>8569</v>
      </c>
      <c r="G2616" s="603">
        <v>1</v>
      </c>
      <c r="H2616" s="603">
        <v>0</v>
      </c>
      <c r="I2616" s="601">
        <v>331119900000000</v>
      </c>
      <c r="J2616" s="602"/>
      <c r="K2616" s="891">
        <v>0</v>
      </c>
      <c r="L2616" s="891">
        <v>0</v>
      </c>
      <c r="M2616" s="996">
        <f t="shared" si="431"/>
        <v>0</v>
      </c>
      <c r="N2616" s="796"/>
      <c r="P2616" s="399"/>
    </row>
    <row r="2617" spans="1:16" s="761" customFormat="1" x14ac:dyDescent="0.25">
      <c r="B2617" s="599">
        <f t="shared" si="432"/>
        <v>464002</v>
      </c>
      <c r="C2617" s="600" t="s">
        <v>6062</v>
      </c>
      <c r="D2617" s="528">
        <f t="shared" ref="D2617:D2625" si="433">D2616</f>
        <v>464000</v>
      </c>
      <c r="E2617" s="417">
        <v>333903099000000</v>
      </c>
      <c r="F2617" s="418" t="s">
        <v>8570</v>
      </c>
      <c r="G2617" s="603">
        <v>1</v>
      </c>
      <c r="H2617" s="603">
        <v>0</v>
      </c>
      <c r="I2617" s="601">
        <v>331119900000000</v>
      </c>
      <c r="J2617" s="602"/>
      <c r="K2617" s="891">
        <v>0</v>
      </c>
      <c r="L2617" s="891">
        <v>0</v>
      </c>
      <c r="M2617" s="996">
        <f t="shared" ref="M2617:M2625" si="434">L2617/L$2711</f>
        <v>0</v>
      </c>
      <c r="N2617" s="796"/>
      <c r="P2617" s="399"/>
    </row>
    <row r="2618" spans="1:16" s="761" customFormat="1" x14ac:dyDescent="0.25">
      <c r="B2618" s="599">
        <f t="shared" si="432"/>
        <v>464003</v>
      </c>
      <c r="C2618" s="600" t="s">
        <v>6062</v>
      </c>
      <c r="D2618" s="528">
        <f t="shared" si="433"/>
        <v>464000</v>
      </c>
      <c r="E2618" s="417">
        <v>333903099000000</v>
      </c>
      <c r="F2618" s="418" t="s">
        <v>8571</v>
      </c>
      <c r="G2618" s="603">
        <v>1</v>
      </c>
      <c r="H2618" s="603">
        <v>0</v>
      </c>
      <c r="I2618" s="601">
        <v>331119900000000</v>
      </c>
      <c r="J2618" s="602"/>
      <c r="K2618" s="891">
        <v>0</v>
      </c>
      <c r="L2618" s="891">
        <v>0</v>
      </c>
      <c r="M2618" s="996">
        <f t="shared" si="434"/>
        <v>0</v>
      </c>
      <c r="N2618" s="796"/>
      <c r="P2618" s="399"/>
    </row>
    <row r="2619" spans="1:16" s="761" customFormat="1" x14ac:dyDescent="0.25">
      <c r="B2619" s="599">
        <f t="shared" si="432"/>
        <v>464004</v>
      </c>
      <c r="C2619" s="600" t="s">
        <v>6062</v>
      </c>
      <c r="D2619" s="528">
        <f t="shared" si="433"/>
        <v>464000</v>
      </c>
      <c r="E2619" s="417">
        <v>333903099000000</v>
      </c>
      <c r="F2619" s="418" t="s">
        <v>8572</v>
      </c>
      <c r="G2619" s="603">
        <v>1</v>
      </c>
      <c r="H2619" s="603">
        <v>0</v>
      </c>
      <c r="I2619" s="601">
        <v>331119900000000</v>
      </c>
      <c r="J2619" s="602"/>
      <c r="K2619" s="891">
        <v>0</v>
      </c>
      <c r="L2619" s="891">
        <v>0</v>
      </c>
      <c r="M2619" s="996">
        <f t="shared" si="434"/>
        <v>0</v>
      </c>
      <c r="N2619" s="796"/>
      <c r="P2619" s="399"/>
    </row>
    <row r="2620" spans="1:16" s="761" customFormat="1" x14ac:dyDescent="0.25">
      <c r="B2620" s="599">
        <f t="shared" si="432"/>
        <v>464005</v>
      </c>
      <c r="C2620" s="600" t="s">
        <v>6062</v>
      </c>
      <c r="D2620" s="528">
        <f t="shared" si="433"/>
        <v>464000</v>
      </c>
      <c r="E2620" s="417">
        <v>333903099000000</v>
      </c>
      <c r="F2620" s="418" t="s">
        <v>8573</v>
      </c>
      <c r="G2620" s="603">
        <v>1</v>
      </c>
      <c r="H2620" s="603">
        <v>0</v>
      </c>
      <c r="I2620" s="601">
        <v>331119900000000</v>
      </c>
      <c r="J2620" s="602"/>
      <c r="K2620" s="891">
        <v>0</v>
      </c>
      <c r="L2620" s="891">
        <v>0</v>
      </c>
      <c r="M2620" s="996">
        <f t="shared" si="434"/>
        <v>0</v>
      </c>
      <c r="N2620" s="796"/>
      <c r="P2620" s="399"/>
    </row>
    <row r="2621" spans="1:16" s="761" customFormat="1" x14ac:dyDescent="0.25">
      <c r="B2621" s="599">
        <f t="shared" si="432"/>
        <v>464006</v>
      </c>
      <c r="C2621" s="600" t="s">
        <v>6062</v>
      </c>
      <c r="D2621" s="528">
        <f t="shared" si="433"/>
        <v>464000</v>
      </c>
      <c r="E2621" s="417">
        <v>333903099000000</v>
      </c>
      <c r="F2621" s="418" t="s">
        <v>8574</v>
      </c>
      <c r="G2621" s="603">
        <v>1</v>
      </c>
      <c r="H2621" s="603">
        <v>0</v>
      </c>
      <c r="I2621" s="601">
        <v>331119900000000</v>
      </c>
      <c r="J2621" s="602"/>
      <c r="K2621" s="891">
        <v>0</v>
      </c>
      <c r="L2621" s="891">
        <v>0</v>
      </c>
      <c r="M2621" s="996">
        <f t="shared" si="434"/>
        <v>0</v>
      </c>
      <c r="N2621" s="796"/>
      <c r="P2621" s="399"/>
    </row>
    <row r="2622" spans="1:16" s="761" customFormat="1" x14ac:dyDescent="0.25">
      <c r="B2622" s="599">
        <f t="shared" si="432"/>
        <v>464007</v>
      </c>
      <c r="C2622" s="600" t="s">
        <v>6062</v>
      </c>
      <c r="D2622" s="528">
        <f t="shared" si="433"/>
        <v>464000</v>
      </c>
      <c r="E2622" s="417">
        <v>333903099000000</v>
      </c>
      <c r="F2622" s="418" t="s">
        <v>8575</v>
      </c>
      <c r="G2622" s="603">
        <v>1</v>
      </c>
      <c r="H2622" s="603">
        <v>0</v>
      </c>
      <c r="I2622" s="601">
        <v>331119900000000</v>
      </c>
      <c r="J2622" s="602"/>
      <c r="K2622" s="891">
        <v>0</v>
      </c>
      <c r="L2622" s="891">
        <v>0</v>
      </c>
      <c r="M2622" s="996">
        <f t="shared" si="434"/>
        <v>0</v>
      </c>
      <c r="N2622" s="796"/>
      <c r="P2622" s="399"/>
    </row>
    <row r="2623" spans="1:16" s="761" customFormat="1" x14ac:dyDescent="0.25">
      <c r="B2623" s="599">
        <f t="shared" si="432"/>
        <v>464008</v>
      </c>
      <c r="C2623" s="600" t="s">
        <v>6062</v>
      </c>
      <c r="D2623" s="528">
        <f t="shared" si="433"/>
        <v>464000</v>
      </c>
      <c r="E2623" s="417">
        <v>333903099000000</v>
      </c>
      <c r="F2623" s="418" t="s">
        <v>8576</v>
      </c>
      <c r="G2623" s="603">
        <v>1</v>
      </c>
      <c r="H2623" s="603">
        <v>0</v>
      </c>
      <c r="I2623" s="601">
        <v>331119900000000</v>
      </c>
      <c r="J2623" s="602"/>
      <c r="K2623" s="891">
        <v>0</v>
      </c>
      <c r="L2623" s="891">
        <v>0</v>
      </c>
      <c r="M2623" s="996">
        <f t="shared" si="434"/>
        <v>0</v>
      </c>
      <c r="N2623" s="796"/>
      <c r="P2623" s="399"/>
    </row>
    <row r="2624" spans="1:16" s="761" customFormat="1" x14ac:dyDescent="0.25">
      <c r="B2624" s="599">
        <f t="shared" si="432"/>
        <v>464009</v>
      </c>
      <c r="C2624" s="600" t="s">
        <v>6062</v>
      </c>
      <c r="D2624" s="528">
        <f t="shared" si="433"/>
        <v>464000</v>
      </c>
      <c r="E2624" s="417">
        <v>333903099000000</v>
      </c>
      <c r="F2624" s="418" t="s">
        <v>8577</v>
      </c>
      <c r="G2624" s="603">
        <v>1</v>
      </c>
      <c r="H2624" s="603">
        <v>0</v>
      </c>
      <c r="I2624" s="601">
        <v>331119900000000</v>
      </c>
      <c r="J2624" s="602"/>
      <c r="K2624" s="891">
        <v>0</v>
      </c>
      <c r="L2624" s="891">
        <v>0</v>
      </c>
      <c r="M2624" s="996">
        <f t="shared" si="434"/>
        <v>0</v>
      </c>
      <c r="N2624" s="796"/>
      <c r="P2624" s="399"/>
    </row>
    <row r="2625" spans="1:16" s="761" customFormat="1" x14ac:dyDescent="0.25">
      <c r="B2625" s="599">
        <f t="shared" si="432"/>
        <v>464010</v>
      </c>
      <c r="C2625" s="600" t="s">
        <v>6062</v>
      </c>
      <c r="D2625" s="528">
        <f t="shared" si="433"/>
        <v>464000</v>
      </c>
      <c r="E2625" s="417">
        <v>333903099000000</v>
      </c>
      <c r="F2625" s="418" t="s">
        <v>8578</v>
      </c>
      <c r="G2625" s="603">
        <v>1</v>
      </c>
      <c r="H2625" s="603">
        <v>0</v>
      </c>
      <c r="I2625" s="601">
        <v>331119900000000</v>
      </c>
      <c r="J2625" s="602"/>
      <c r="K2625" s="891">
        <v>0</v>
      </c>
      <c r="L2625" s="891">
        <v>0</v>
      </c>
      <c r="M2625" s="996">
        <f t="shared" si="434"/>
        <v>0</v>
      </c>
      <c r="N2625" s="796"/>
      <c r="P2625" s="399"/>
    </row>
    <row r="2626" spans="1:16" s="115" customFormat="1" ht="15" customHeight="1" x14ac:dyDescent="0.25">
      <c r="A2626" s="396"/>
      <c r="B2626" s="1396">
        <v>464100</v>
      </c>
      <c r="C2626" s="1396"/>
      <c r="D2626" s="1396"/>
      <c r="E2626" s="854">
        <v>333903100000000</v>
      </c>
      <c r="F2626" s="855" t="s">
        <v>8631</v>
      </c>
      <c r="G2626" s="468">
        <v>1</v>
      </c>
      <c r="H2626" s="468">
        <v>0</v>
      </c>
      <c r="I2626" s="751"/>
      <c r="J2626" s="878"/>
      <c r="K2626" s="789">
        <f>('Parâmetros financeiros Despesa'!E1330)</f>
        <v>770.09999999999991</v>
      </c>
      <c r="L2626" s="789">
        <f>('Parâmetros financeiros Despesa'!F1330)*(1+'Parâmetros financeiros Despesa'!F$4)*(1+'Parâmetros financeiros Despesa'!F$7)</f>
        <v>5397.1409249999997</v>
      </c>
      <c r="M2626" s="799">
        <f>L2626/L$2711</f>
        <v>4.7329770027406078E-2</v>
      </c>
      <c r="N2626" s="894"/>
      <c r="O2626" s="796"/>
      <c r="P2626" s="733"/>
    </row>
    <row r="2627" spans="1:16" s="761" customFormat="1" x14ac:dyDescent="0.25">
      <c r="B2627" s="599">
        <f t="shared" ref="B2627:B2636" si="435">B2626+1</f>
        <v>464101</v>
      </c>
      <c r="C2627" s="600" t="s">
        <v>6062</v>
      </c>
      <c r="D2627" s="528">
        <f>B2626</f>
        <v>464100</v>
      </c>
      <c r="E2627" s="417">
        <v>333903104000000</v>
      </c>
      <c r="F2627" s="418" t="s">
        <v>8579</v>
      </c>
      <c r="G2627" s="603">
        <v>1</v>
      </c>
      <c r="H2627" s="603">
        <v>0</v>
      </c>
      <c r="I2627" s="601">
        <v>391410100000000</v>
      </c>
      <c r="J2627" s="602"/>
      <c r="K2627" s="891">
        <v>0</v>
      </c>
      <c r="L2627" s="891">
        <v>0</v>
      </c>
      <c r="M2627" s="996">
        <f>L2627/L$2711</f>
        <v>0</v>
      </c>
      <c r="N2627" s="796"/>
      <c r="P2627" s="399"/>
    </row>
    <row r="2628" spans="1:16" s="761" customFormat="1" x14ac:dyDescent="0.25">
      <c r="B2628" s="599">
        <f t="shared" si="435"/>
        <v>464102</v>
      </c>
      <c r="C2628" s="600" t="s">
        <v>6062</v>
      </c>
      <c r="D2628" s="528">
        <f>D2627</f>
        <v>464100</v>
      </c>
      <c r="E2628" s="417">
        <v>333903104000000</v>
      </c>
      <c r="F2628" s="418" t="s">
        <v>8580</v>
      </c>
      <c r="G2628" s="603">
        <v>1</v>
      </c>
      <c r="H2628" s="603">
        <v>0</v>
      </c>
      <c r="I2628" s="601">
        <v>391410100000000</v>
      </c>
      <c r="J2628" s="602"/>
      <c r="K2628" s="891">
        <v>0</v>
      </c>
      <c r="L2628" s="891">
        <v>0</v>
      </c>
      <c r="M2628" s="996">
        <f t="shared" ref="M2628:M2636" si="436">L2628/L$2711</f>
        <v>0</v>
      </c>
      <c r="N2628" s="796"/>
      <c r="P2628" s="399"/>
    </row>
    <row r="2629" spans="1:16" s="761" customFormat="1" x14ac:dyDescent="0.25">
      <c r="B2629" s="599">
        <f t="shared" si="435"/>
        <v>464103</v>
      </c>
      <c r="C2629" s="600" t="s">
        <v>6062</v>
      </c>
      <c r="D2629" s="528">
        <f t="shared" ref="D2629:D2636" si="437">D2628</f>
        <v>464100</v>
      </c>
      <c r="E2629" s="417">
        <v>333903104000000</v>
      </c>
      <c r="F2629" s="418" t="s">
        <v>8581</v>
      </c>
      <c r="G2629" s="603">
        <v>1</v>
      </c>
      <c r="H2629" s="603">
        <v>0</v>
      </c>
      <c r="I2629" s="601">
        <v>391410100000000</v>
      </c>
      <c r="J2629" s="602"/>
      <c r="K2629" s="891">
        <v>0</v>
      </c>
      <c r="L2629" s="891">
        <v>0</v>
      </c>
      <c r="M2629" s="996">
        <f t="shared" si="436"/>
        <v>0</v>
      </c>
      <c r="N2629" s="796"/>
      <c r="P2629" s="399"/>
    </row>
    <row r="2630" spans="1:16" s="761" customFormat="1" x14ac:dyDescent="0.25">
      <c r="B2630" s="599">
        <f t="shared" si="435"/>
        <v>464104</v>
      </c>
      <c r="C2630" s="600" t="s">
        <v>6062</v>
      </c>
      <c r="D2630" s="528">
        <f t="shared" si="437"/>
        <v>464100</v>
      </c>
      <c r="E2630" s="417">
        <v>333903104000000</v>
      </c>
      <c r="F2630" s="418" t="s">
        <v>8582</v>
      </c>
      <c r="G2630" s="603">
        <v>1</v>
      </c>
      <c r="H2630" s="603">
        <v>0</v>
      </c>
      <c r="I2630" s="601">
        <v>391410100000000</v>
      </c>
      <c r="J2630" s="602"/>
      <c r="K2630" s="891">
        <v>0</v>
      </c>
      <c r="L2630" s="891">
        <v>0</v>
      </c>
      <c r="M2630" s="996">
        <f t="shared" si="436"/>
        <v>0</v>
      </c>
      <c r="N2630" s="796"/>
      <c r="P2630" s="399"/>
    </row>
    <row r="2631" spans="1:16" s="761" customFormat="1" x14ac:dyDescent="0.25">
      <c r="B2631" s="599">
        <f t="shared" si="435"/>
        <v>464105</v>
      </c>
      <c r="C2631" s="600" t="s">
        <v>6062</v>
      </c>
      <c r="D2631" s="528">
        <f t="shared" si="437"/>
        <v>464100</v>
      </c>
      <c r="E2631" s="417">
        <v>333903104000000</v>
      </c>
      <c r="F2631" s="418" t="s">
        <v>8583</v>
      </c>
      <c r="G2631" s="603">
        <v>1</v>
      </c>
      <c r="H2631" s="603">
        <v>0</v>
      </c>
      <c r="I2631" s="601">
        <v>391410100000000</v>
      </c>
      <c r="J2631" s="602"/>
      <c r="K2631" s="891">
        <v>0</v>
      </c>
      <c r="L2631" s="891">
        <v>0</v>
      </c>
      <c r="M2631" s="996">
        <f t="shared" si="436"/>
        <v>0</v>
      </c>
      <c r="N2631" s="796"/>
      <c r="P2631" s="399"/>
    </row>
    <row r="2632" spans="1:16" s="761" customFormat="1" x14ac:dyDescent="0.25">
      <c r="B2632" s="599">
        <f t="shared" si="435"/>
        <v>464106</v>
      </c>
      <c r="C2632" s="600" t="s">
        <v>6062</v>
      </c>
      <c r="D2632" s="528">
        <f t="shared" si="437"/>
        <v>464100</v>
      </c>
      <c r="E2632" s="417">
        <v>333903104000000</v>
      </c>
      <c r="F2632" s="418" t="s">
        <v>8584</v>
      </c>
      <c r="G2632" s="603">
        <v>1</v>
      </c>
      <c r="H2632" s="603">
        <v>0</v>
      </c>
      <c r="I2632" s="601">
        <v>391410100000000</v>
      </c>
      <c r="J2632" s="602"/>
      <c r="K2632" s="891">
        <v>0</v>
      </c>
      <c r="L2632" s="891">
        <v>0</v>
      </c>
      <c r="M2632" s="996">
        <f t="shared" si="436"/>
        <v>0</v>
      </c>
      <c r="N2632" s="796"/>
      <c r="P2632" s="399"/>
    </row>
    <row r="2633" spans="1:16" s="761" customFormat="1" x14ac:dyDescent="0.25">
      <c r="B2633" s="599">
        <f t="shared" si="435"/>
        <v>464107</v>
      </c>
      <c r="C2633" s="600" t="s">
        <v>6062</v>
      </c>
      <c r="D2633" s="528">
        <f t="shared" si="437"/>
        <v>464100</v>
      </c>
      <c r="E2633" s="417">
        <v>333903104000000</v>
      </c>
      <c r="F2633" s="418" t="s">
        <v>8585</v>
      </c>
      <c r="G2633" s="603">
        <v>1</v>
      </c>
      <c r="H2633" s="603">
        <v>0</v>
      </c>
      <c r="I2633" s="601">
        <v>391410100000000</v>
      </c>
      <c r="J2633" s="602"/>
      <c r="K2633" s="891">
        <v>0</v>
      </c>
      <c r="L2633" s="891">
        <v>0</v>
      </c>
      <c r="M2633" s="996">
        <f t="shared" si="436"/>
        <v>0</v>
      </c>
      <c r="N2633" s="796"/>
      <c r="P2633" s="399"/>
    </row>
    <row r="2634" spans="1:16" s="761" customFormat="1" x14ac:dyDescent="0.25">
      <c r="B2634" s="599">
        <f t="shared" si="435"/>
        <v>464108</v>
      </c>
      <c r="C2634" s="600" t="s">
        <v>6062</v>
      </c>
      <c r="D2634" s="528">
        <f t="shared" si="437"/>
        <v>464100</v>
      </c>
      <c r="E2634" s="417">
        <v>333903104000000</v>
      </c>
      <c r="F2634" s="418" t="s">
        <v>8586</v>
      </c>
      <c r="G2634" s="603">
        <v>1</v>
      </c>
      <c r="H2634" s="603">
        <v>0</v>
      </c>
      <c r="I2634" s="601">
        <v>391410100000000</v>
      </c>
      <c r="J2634" s="602"/>
      <c r="K2634" s="891">
        <v>0</v>
      </c>
      <c r="L2634" s="891">
        <v>0</v>
      </c>
      <c r="M2634" s="996">
        <f t="shared" si="436"/>
        <v>0</v>
      </c>
      <c r="N2634" s="796"/>
      <c r="P2634" s="399"/>
    </row>
    <row r="2635" spans="1:16" s="761" customFormat="1" x14ac:dyDescent="0.25">
      <c r="B2635" s="599">
        <f t="shared" si="435"/>
        <v>464109</v>
      </c>
      <c r="C2635" s="600" t="s">
        <v>6062</v>
      </c>
      <c r="D2635" s="528">
        <f t="shared" si="437"/>
        <v>464100</v>
      </c>
      <c r="E2635" s="417">
        <v>333903104000000</v>
      </c>
      <c r="F2635" s="418" t="s">
        <v>8587</v>
      </c>
      <c r="G2635" s="603">
        <v>1</v>
      </c>
      <c r="H2635" s="603">
        <v>0</v>
      </c>
      <c r="I2635" s="601">
        <v>391410100000000</v>
      </c>
      <c r="J2635" s="602"/>
      <c r="K2635" s="891">
        <v>0</v>
      </c>
      <c r="L2635" s="891">
        <v>0</v>
      </c>
      <c r="M2635" s="996">
        <f t="shared" si="436"/>
        <v>0</v>
      </c>
      <c r="N2635" s="796"/>
      <c r="P2635" s="399"/>
    </row>
    <row r="2636" spans="1:16" s="761" customFormat="1" x14ac:dyDescent="0.25">
      <c r="B2636" s="599">
        <f t="shared" si="435"/>
        <v>464110</v>
      </c>
      <c r="C2636" s="600" t="s">
        <v>6062</v>
      </c>
      <c r="D2636" s="528">
        <f t="shared" si="437"/>
        <v>464100</v>
      </c>
      <c r="E2636" s="417">
        <v>333903104000000</v>
      </c>
      <c r="F2636" s="418" t="s">
        <v>8588</v>
      </c>
      <c r="G2636" s="603">
        <v>1</v>
      </c>
      <c r="H2636" s="603">
        <v>0</v>
      </c>
      <c r="I2636" s="601">
        <v>391410100000000</v>
      </c>
      <c r="J2636" s="602"/>
      <c r="K2636" s="891">
        <v>0</v>
      </c>
      <c r="L2636" s="891">
        <v>0</v>
      </c>
      <c r="M2636" s="996">
        <f t="shared" si="436"/>
        <v>0</v>
      </c>
      <c r="N2636" s="796"/>
      <c r="P2636" s="399"/>
    </row>
    <row r="2637" spans="1:16" s="115" customFormat="1" ht="15" customHeight="1" x14ac:dyDescent="0.25">
      <c r="A2637" s="396"/>
      <c r="B2637" s="1396">
        <v>464150</v>
      </c>
      <c r="C2637" s="1396"/>
      <c r="D2637" s="1396"/>
      <c r="E2637" s="854">
        <v>333903200000000</v>
      </c>
      <c r="F2637" s="855" t="s">
        <v>10863</v>
      </c>
      <c r="G2637" s="468">
        <v>1</v>
      </c>
      <c r="H2637" s="468">
        <v>0</v>
      </c>
      <c r="I2637" s="751"/>
      <c r="J2637" s="878"/>
      <c r="K2637" s="789">
        <f>('Parâmetros financeiros Despesa'!E1331)</f>
        <v>0</v>
      </c>
      <c r="L2637" s="789">
        <f>('Parâmetros financeiros Despesa'!F1331)*(1+'Parâmetros financeiros Despesa'!F$4)*(1+'Parâmetros financeiros Despesa'!F$7)</f>
        <v>2180.663</v>
      </c>
      <c r="M2637" s="799">
        <f>L2637/L$2711</f>
        <v>1.9123139405012559E-2</v>
      </c>
      <c r="N2637" s="894"/>
      <c r="O2637" s="796"/>
      <c r="P2637" s="733"/>
    </row>
    <row r="2638" spans="1:16" s="115" customFormat="1" ht="15" customHeight="1" x14ac:dyDescent="0.25">
      <c r="A2638" s="396"/>
      <c r="B2638" s="1396">
        <v>464200</v>
      </c>
      <c r="C2638" s="1396"/>
      <c r="D2638" s="1396"/>
      <c r="E2638" s="854">
        <v>333903600000000</v>
      </c>
      <c r="F2638" s="855" t="s">
        <v>8589</v>
      </c>
      <c r="G2638" s="468">
        <v>1</v>
      </c>
      <c r="H2638" s="468">
        <v>0</v>
      </c>
      <c r="I2638" s="751"/>
      <c r="J2638" s="878"/>
      <c r="K2638" s="789">
        <f>('Parâmetros financeiros Despesa'!E1332)</f>
        <v>0</v>
      </c>
      <c r="L2638" s="789">
        <f>('Parâmetros financeiros Despesa'!F1332)*(1+'Parâmetros financeiros Despesa'!F$4)*(1+'Parâmetros financeiros Despesa'!F$7)</f>
        <v>3270.9945000000002</v>
      </c>
      <c r="M2638" s="799">
        <f>L2638/L$2711</f>
        <v>2.868470910751884E-2</v>
      </c>
      <c r="N2638" s="894"/>
      <c r="O2638" s="796"/>
      <c r="P2638" s="733"/>
    </row>
    <row r="2639" spans="1:16" s="761" customFormat="1" x14ac:dyDescent="0.25">
      <c r="B2639" s="599">
        <f t="shared" ref="B2639:B2648" si="438">B2638+1</f>
        <v>464201</v>
      </c>
      <c r="C2639" s="600" t="s">
        <v>6062</v>
      </c>
      <c r="D2639" s="528">
        <f>B2638</f>
        <v>464200</v>
      </c>
      <c r="E2639" s="417">
        <v>333903606000000</v>
      </c>
      <c r="F2639" s="418" t="s">
        <v>8590</v>
      </c>
      <c r="G2639" s="603">
        <v>1</v>
      </c>
      <c r="H2639" s="603">
        <v>0</v>
      </c>
      <c r="I2639" s="601">
        <v>332211500000000</v>
      </c>
      <c r="J2639" s="602"/>
      <c r="K2639" s="891">
        <v>0</v>
      </c>
      <c r="L2639" s="891">
        <v>0</v>
      </c>
      <c r="M2639" s="996">
        <f>L2639/L$2711</f>
        <v>0</v>
      </c>
      <c r="N2639" s="796"/>
      <c r="P2639" s="399"/>
    </row>
    <row r="2640" spans="1:16" s="761" customFormat="1" x14ac:dyDescent="0.25">
      <c r="B2640" s="599">
        <f t="shared" si="438"/>
        <v>464202</v>
      </c>
      <c r="C2640" s="600" t="s">
        <v>6062</v>
      </c>
      <c r="D2640" s="528">
        <f>D2639</f>
        <v>464200</v>
      </c>
      <c r="E2640" s="417">
        <v>333903606000000</v>
      </c>
      <c r="F2640" s="418" t="s">
        <v>8591</v>
      </c>
      <c r="G2640" s="603">
        <v>1</v>
      </c>
      <c r="H2640" s="603">
        <v>0</v>
      </c>
      <c r="I2640" s="601">
        <v>332211500000000</v>
      </c>
      <c r="J2640" s="602"/>
      <c r="K2640" s="891">
        <v>0</v>
      </c>
      <c r="L2640" s="891">
        <v>0</v>
      </c>
      <c r="M2640" s="996">
        <f t="shared" ref="M2640:M2648" si="439">L2640/L$2711</f>
        <v>0</v>
      </c>
      <c r="N2640" s="796"/>
      <c r="P2640" s="399"/>
    </row>
    <row r="2641" spans="1:16" s="761" customFormat="1" x14ac:dyDescent="0.25">
      <c r="B2641" s="599">
        <f t="shared" si="438"/>
        <v>464203</v>
      </c>
      <c r="C2641" s="600" t="s">
        <v>6062</v>
      </c>
      <c r="D2641" s="528">
        <f t="shared" ref="D2641:D2648" si="440">D2640</f>
        <v>464200</v>
      </c>
      <c r="E2641" s="417">
        <v>333903606000000</v>
      </c>
      <c r="F2641" s="418" t="s">
        <v>8592</v>
      </c>
      <c r="G2641" s="603">
        <v>1</v>
      </c>
      <c r="H2641" s="603">
        <v>0</v>
      </c>
      <c r="I2641" s="601">
        <v>332211500000000</v>
      </c>
      <c r="J2641" s="602"/>
      <c r="K2641" s="891">
        <v>0</v>
      </c>
      <c r="L2641" s="891">
        <v>0</v>
      </c>
      <c r="M2641" s="996">
        <f t="shared" si="439"/>
        <v>0</v>
      </c>
      <c r="N2641" s="796"/>
      <c r="P2641" s="399"/>
    </row>
    <row r="2642" spans="1:16" s="761" customFormat="1" x14ac:dyDescent="0.25">
      <c r="B2642" s="599">
        <f t="shared" si="438"/>
        <v>464204</v>
      </c>
      <c r="C2642" s="600" t="s">
        <v>6062</v>
      </c>
      <c r="D2642" s="528">
        <f t="shared" si="440"/>
        <v>464200</v>
      </c>
      <c r="E2642" s="417">
        <v>333903606000000</v>
      </c>
      <c r="F2642" s="418" t="s">
        <v>8593</v>
      </c>
      <c r="G2642" s="603">
        <v>1</v>
      </c>
      <c r="H2642" s="603">
        <v>0</v>
      </c>
      <c r="I2642" s="601">
        <v>332211500000000</v>
      </c>
      <c r="J2642" s="602"/>
      <c r="K2642" s="891">
        <v>0</v>
      </c>
      <c r="L2642" s="891">
        <v>0</v>
      </c>
      <c r="M2642" s="996">
        <f t="shared" si="439"/>
        <v>0</v>
      </c>
      <c r="N2642" s="796"/>
      <c r="P2642" s="399"/>
    </row>
    <row r="2643" spans="1:16" s="761" customFormat="1" x14ac:dyDescent="0.25">
      <c r="B2643" s="599">
        <f t="shared" si="438"/>
        <v>464205</v>
      </c>
      <c r="C2643" s="600" t="s">
        <v>6062</v>
      </c>
      <c r="D2643" s="528">
        <f t="shared" si="440"/>
        <v>464200</v>
      </c>
      <c r="E2643" s="417">
        <v>333903606000000</v>
      </c>
      <c r="F2643" s="418" t="s">
        <v>8594</v>
      </c>
      <c r="G2643" s="603">
        <v>1</v>
      </c>
      <c r="H2643" s="603">
        <v>0</v>
      </c>
      <c r="I2643" s="601">
        <v>332211500000000</v>
      </c>
      <c r="J2643" s="602"/>
      <c r="K2643" s="891">
        <v>0</v>
      </c>
      <c r="L2643" s="891">
        <v>0</v>
      </c>
      <c r="M2643" s="996">
        <f t="shared" si="439"/>
        <v>0</v>
      </c>
      <c r="N2643" s="796"/>
      <c r="P2643" s="399"/>
    </row>
    <row r="2644" spans="1:16" s="761" customFormat="1" x14ac:dyDescent="0.25">
      <c r="B2644" s="599">
        <f t="shared" si="438"/>
        <v>464206</v>
      </c>
      <c r="C2644" s="600" t="s">
        <v>6062</v>
      </c>
      <c r="D2644" s="528">
        <f t="shared" si="440"/>
        <v>464200</v>
      </c>
      <c r="E2644" s="417">
        <v>333903606000000</v>
      </c>
      <c r="F2644" s="418" t="s">
        <v>8595</v>
      </c>
      <c r="G2644" s="603">
        <v>1</v>
      </c>
      <c r="H2644" s="603">
        <v>0</v>
      </c>
      <c r="I2644" s="601">
        <v>332211500000000</v>
      </c>
      <c r="J2644" s="602"/>
      <c r="K2644" s="891">
        <v>0</v>
      </c>
      <c r="L2644" s="891">
        <v>0</v>
      </c>
      <c r="M2644" s="996">
        <f t="shared" si="439"/>
        <v>0</v>
      </c>
      <c r="N2644" s="796"/>
      <c r="P2644" s="399"/>
    </row>
    <row r="2645" spans="1:16" s="761" customFormat="1" x14ac:dyDescent="0.25">
      <c r="B2645" s="599">
        <f t="shared" si="438"/>
        <v>464207</v>
      </c>
      <c r="C2645" s="600" t="s">
        <v>6062</v>
      </c>
      <c r="D2645" s="528">
        <f t="shared" si="440"/>
        <v>464200</v>
      </c>
      <c r="E2645" s="417">
        <v>333903606000000</v>
      </c>
      <c r="F2645" s="418" t="s">
        <v>8596</v>
      </c>
      <c r="G2645" s="603">
        <v>1</v>
      </c>
      <c r="H2645" s="603">
        <v>0</v>
      </c>
      <c r="I2645" s="601">
        <v>332211500000000</v>
      </c>
      <c r="J2645" s="602"/>
      <c r="K2645" s="891">
        <v>0</v>
      </c>
      <c r="L2645" s="891">
        <v>0</v>
      </c>
      <c r="M2645" s="996">
        <f t="shared" si="439"/>
        <v>0</v>
      </c>
      <c r="N2645" s="796"/>
      <c r="P2645" s="399"/>
    </row>
    <row r="2646" spans="1:16" s="761" customFormat="1" x14ac:dyDescent="0.25">
      <c r="B2646" s="599">
        <f t="shared" si="438"/>
        <v>464208</v>
      </c>
      <c r="C2646" s="600" t="s">
        <v>6062</v>
      </c>
      <c r="D2646" s="528">
        <f t="shared" si="440"/>
        <v>464200</v>
      </c>
      <c r="E2646" s="417">
        <v>333903606000000</v>
      </c>
      <c r="F2646" s="418" t="s">
        <v>8597</v>
      </c>
      <c r="G2646" s="603">
        <v>1</v>
      </c>
      <c r="H2646" s="603">
        <v>0</v>
      </c>
      <c r="I2646" s="601">
        <v>332211500000000</v>
      </c>
      <c r="J2646" s="602"/>
      <c r="K2646" s="891">
        <v>0</v>
      </c>
      <c r="L2646" s="891">
        <v>0</v>
      </c>
      <c r="M2646" s="996">
        <f t="shared" si="439"/>
        <v>0</v>
      </c>
      <c r="N2646" s="796"/>
      <c r="P2646" s="399"/>
    </row>
    <row r="2647" spans="1:16" s="761" customFormat="1" x14ac:dyDescent="0.25">
      <c r="B2647" s="599">
        <f t="shared" si="438"/>
        <v>464209</v>
      </c>
      <c r="C2647" s="600" t="s">
        <v>6062</v>
      </c>
      <c r="D2647" s="528">
        <f t="shared" si="440"/>
        <v>464200</v>
      </c>
      <c r="E2647" s="417">
        <v>333903606000000</v>
      </c>
      <c r="F2647" s="418" t="s">
        <v>8598</v>
      </c>
      <c r="G2647" s="603">
        <v>1</v>
      </c>
      <c r="H2647" s="603">
        <v>0</v>
      </c>
      <c r="I2647" s="601">
        <v>332211500000000</v>
      </c>
      <c r="J2647" s="602"/>
      <c r="K2647" s="891">
        <v>0</v>
      </c>
      <c r="L2647" s="891">
        <v>0</v>
      </c>
      <c r="M2647" s="996">
        <f t="shared" si="439"/>
        <v>0</v>
      </c>
      <c r="N2647" s="796"/>
      <c r="P2647" s="399"/>
    </row>
    <row r="2648" spans="1:16" s="761" customFormat="1" x14ac:dyDescent="0.25">
      <c r="B2648" s="599">
        <f t="shared" si="438"/>
        <v>464210</v>
      </c>
      <c r="C2648" s="600" t="s">
        <v>6062</v>
      </c>
      <c r="D2648" s="528">
        <f t="shared" si="440"/>
        <v>464200</v>
      </c>
      <c r="E2648" s="417">
        <v>333903606000000</v>
      </c>
      <c r="F2648" s="418" t="s">
        <v>8599</v>
      </c>
      <c r="G2648" s="603">
        <v>1</v>
      </c>
      <c r="H2648" s="603">
        <v>0</v>
      </c>
      <c r="I2648" s="601">
        <v>332211500000000</v>
      </c>
      <c r="J2648" s="602"/>
      <c r="K2648" s="891">
        <v>0</v>
      </c>
      <c r="L2648" s="891">
        <v>0</v>
      </c>
      <c r="M2648" s="996">
        <f t="shared" si="439"/>
        <v>0</v>
      </c>
      <c r="N2648" s="796"/>
      <c r="P2648" s="399"/>
    </row>
    <row r="2649" spans="1:16" s="115" customFormat="1" ht="15" customHeight="1" x14ac:dyDescent="0.25">
      <c r="A2649" s="396"/>
      <c r="B2649" s="1396">
        <v>464300</v>
      </c>
      <c r="C2649" s="1396"/>
      <c r="D2649" s="1396"/>
      <c r="E2649" s="854">
        <v>333903600000000</v>
      </c>
      <c r="F2649" s="855" t="s">
        <v>8630</v>
      </c>
      <c r="G2649" s="468">
        <v>1</v>
      </c>
      <c r="H2649" s="468">
        <v>0</v>
      </c>
      <c r="I2649" s="751"/>
      <c r="J2649" s="878"/>
      <c r="K2649" s="789">
        <f>('Parâmetros financeiros Despesa'!E1334)</f>
        <v>8490</v>
      </c>
      <c r="L2649" s="789">
        <f>('Parâmetros financeiros Despesa'!F1334)*(1+'Parâmetros financeiros Despesa'!F$4)*(1+'Parâmetros financeiros Despesa'!F$7)</f>
        <v>10903.315000000001</v>
      </c>
      <c r="M2649" s="799">
        <f>L2649/L$2711</f>
        <v>9.5615697025062799E-2</v>
      </c>
      <c r="N2649" s="894"/>
      <c r="O2649" s="796"/>
      <c r="P2649" s="733"/>
    </row>
    <row r="2650" spans="1:16" s="761" customFormat="1" x14ac:dyDescent="0.25">
      <c r="B2650" s="599">
        <f t="shared" ref="B2650:B2659" si="441">B2649+1</f>
        <v>464301</v>
      </c>
      <c r="C2650" s="600" t="s">
        <v>6062</v>
      </c>
      <c r="D2650" s="528">
        <f>B2649</f>
        <v>464300</v>
      </c>
      <c r="E2650" s="417">
        <v>333903905000000</v>
      </c>
      <c r="F2650" s="418" t="s">
        <v>8600</v>
      </c>
      <c r="G2650" s="603">
        <v>1</v>
      </c>
      <c r="H2650" s="603">
        <v>0</v>
      </c>
      <c r="I2650" s="601">
        <v>332315100000000</v>
      </c>
      <c r="J2650" s="602"/>
      <c r="K2650" s="891">
        <v>0</v>
      </c>
      <c r="L2650" s="891">
        <v>0</v>
      </c>
      <c r="M2650" s="996">
        <f>L2650/L$2711</f>
        <v>0</v>
      </c>
      <c r="N2650" s="796"/>
      <c r="P2650" s="399"/>
    </row>
    <row r="2651" spans="1:16" s="761" customFormat="1" x14ac:dyDescent="0.25">
      <c r="B2651" s="599">
        <f t="shared" si="441"/>
        <v>464302</v>
      </c>
      <c r="C2651" s="600" t="s">
        <v>6062</v>
      </c>
      <c r="D2651" s="528">
        <f>D2650</f>
        <v>464300</v>
      </c>
      <c r="E2651" s="417">
        <v>333903905000000</v>
      </c>
      <c r="F2651" s="418" t="s">
        <v>8601</v>
      </c>
      <c r="G2651" s="603">
        <v>1</v>
      </c>
      <c r="H2651" s="603">
        <v>0</v>
      </c>
      <c r="I2651" s="601">
        <v>332315100000000</v>
      </c>
      <c r="J2651" s="602"/>
      <c r="K2651" s="891">
        <v>0</v>
      </c>
      <c r="L2651" s="891">
        <v>0</v>
      </c>
      <c r="M2651" s="996">
        <f t="shared" ref="M2651:M2658" si="442">L2651/L$2711</f>
        <v>0</v>
      </c>
      <c r="N2651" s="796"/>
      <c r="P2651" s="399"/>
    </row>
    <row r="2652" spans="1:16" s="761" customFormat="1" x14ac:dyDescent="0.25">
      <c r="B2652" s="599">
        <f t="shared" si="441"/>
        <v>464303</v>
      </c>
      <c r="C2652" s="600" t="s">
        <v>6062</v>
      </c>
      <c r="D2652" s="528">
        <f t="shared" ref="D2652:D2659" si="443">D2651</f>
        <v>464300</v>
      </c>
      <c r="E2652" s="417">
        <v>333903905000000</v>
      </c>
      <c r="F2652" s="418" t="s">
        <v>8602</v>
      </c>
      <c r="G2652" s="603">
        <v>1</v>
      </c>
      <c r="H2652" s="603">
        <v>0</v>
      </c>
      <c r="I2652" s="601">
        <v>332315100000000</v>
      </c>
      <c r="J2652" s="602"/>
      <c r="K2652" s="891">
        <v>0</v>
      </c>
      <c r="L2652" s="891">
        <v>0</v>
      </c>
      <c r="M2652" s="996">
        <f t="shared" si="442"/>
        <v>0</v>
      </c>
      <c r="N2652" s="796"/>
      <c r="P2652" s="399"/>
    </row>
    <row r="2653" spans="1:16" s="761" customFormat="1" x14ac:dyDescent="0.25">
      <c r="B2653" s="599">
        <f t="shared" si="441"/>
        <v>464304</v>
      </c>
      <c r="C2653" s="600" t="s">
        <v>6062</v>
      </c>
      <c r="D2653" s="528">
        <f t="shared" si="443"/>
        <v>464300</v>
      </c>
      <c r="E2653" s="417">
        <v>333903905000000</v>
      </c>
      <c r="F2653" s="418" t="s">
        <v>8603</v>
      </c>
      <c r="G2653" s="603">
        <v>1</v>
      </c>
      <c r="H2653" s="603">
        <v>0</v>
      </c>
      <c r="I2653" s="601">
        <v>332315100000000</v>
      </c>
      <c r="J2653" s="602"/>
      <c r="K2653" s="891">
        <v>0</v>
      </c>
      <c r="L2653" s="891">
        <v>0</v>
      </c>
      <c r="M2653" s="996">
        <f t="shared" si="442"/>
        <v>0</v>
      </c>
      <c r="N2653" s="796"/>
      <c r="P2653" s="399"/>
    </row>
    <row r="2654" spans="1:16" s="761" customFormat="1" x14ac:dyDescent="0.25">
      <c r="B2654" s="599">
        <f t="shared" si="441"/>
        <v>464305</v>
      </c>
      <c r="C2654" s="600" t="s">
        <v>6062</v>
      </c>
      <c r="D2654" s="528">
        <f t="shared" si="443"/>
        <v>464300</v>
      </c>
      <c r="E2654" s="417">
        <v>333903905000000</v>
      </c>
      <c r="F2654" s="418" t="s">
        <v>8604</v>
      </c>
      <c r="G2654" s="603">
        <v>1</v>
      </c>
      <c r="H2654" s="603">
        <v>0</v>
      </c>
      <c r="I2654" s="601">
        <v>332315100000000</v>
      </c>
      <c r="J2654" s="602"/>
      <c r="K2654" s="891">
        <v>0</v>
      </c>
      <c r="L2654" s="891">
        <v>0</v>
      </c>
      <c r="M2654" s="996">
        <f t="shared" si="442"/>
        <v>0</v>
      </c>
      <c r="N2654" s="796"/>
      <c r="P2654" s="399"/>
    </row>
    <row r="2655" spans="1:16" s="761" customFormat="1" x14ac:dyDescent="0.25">
      <c r="B2655" s="599">
        <f t="shared" si="441"/>
        <v>464306</v>
      </c>
      <c r="C2655" s="600" t="s">
        <v>6062</v>
      </c>
      <c r="D2655" s="528">
        <f t="shared" si="443"/>
        <v>464300</v>
      </c>
      <c r="E2655" s="417">
        <v>333903905000000</v>
      </c>
      <c r="F2655" s="418" t="s">
        <v>8605</v>
      </c>
      <c r="G2655" s="603">
        <v>1</v>
      </c>
      <c r="H2655" s="603">
        <v>0</v>
      </c>
      <c r="I2655" s="601">
        <v>332315100000000</v>
      </c>
      <c r="J2655" s="602"/>
      <c r="K2655" s="891">
        <v>0</v>
      </c>
      <c r="L2655" s="891">
        <v>0</v>
      </c>
      <c r="M2655" s="996">
        <f t="shared" si="442"/>
        <v>0</v>
      </c>
      <c r="N2655" s="796"/>
      <c r="P2655" s="399"/>
    </row>
    <row r="2656" spans="1:16" s="761" customFormat="1" x14ac:dyDescent="0.25">
      <c r="B2656" s="599">
        <f t="shared" si="441"/>
        <v>464307</v>
      </c>
      <c r="C2656" s="600" t="s">
        <v>6062</v>
      </c>
      <c r="D2656" s="528">
        <f t="shared" si="443"/>
        <v>464300</v>
      </c>
      <c r="E2656" s="417">
        <v>333903905000000</v>
      </c>
      <c r="F2656" s="418" t="s">
        <v>8606</v>
      </c>
      <c r="G2656" s="603">
        <v>1</v>
      </c>
      <c r="H2656" s="603">
        <v>0</v>
      </c>
      <c r="I2656" s="601">
        <v>332315100000000</v>
      </c>
      <c r="J2656" s="602"/>
      <c r="K2656" s="891">
        <v>0</v>
      </c>
      <c r="L2656" s="891">
        <v>0</v>
      </c>
      <c r="M2656" s="996">
        <f t="shared" si="442"/>
        <v>0</v>
      </c>
      <c r="N2656" s="796"/>
      <c r="P2656" s="399"/>
    </row>
    <row r="2657" spans="1:16" s="761" customFormat="1" x14ac:dyDescent="0.25">
      <c r="B2657" s="599">
        <f t="shared" si="441"/>
        <v>464308</v>
      </c>
      <c r="C2657" s="600" t="s">
        <v>6062</v>
      </c>
      <c r="D2657" s="528">
        <f t="shared" si="443"/>
        <v>464300</v>
      </c>
      <c r="E2657" s="417">
        <v>333903905000000</v>
      </c>
      <c r="F2657" s="418" t="s">
        <v>8607</v>
      </c>
      <c r="G2657" s="603">
        <v>1</v>
      </c>
      <c r="H2657" s="603">
        <v>0</v>
      </c>
      <c r="I2657" s="601">
        <v>332315100000000</v>
      </c>
      <c r="J2657" s="602"/>
      <c r="K2657" s="891">
        <v>0</v>
      </c>
      <c r="L2657" s="891">
        <v>0</v>
      </c>
      <c r="M2657" s="996">
        <f t="shared" si="442"/>
        <v>0</v>
      </c>
      <c r="N2657" s="796"/>
      <c r="P2657" s="399"/>
    </row>
    <row r="2658" spans="1:16" s="761" customFormat="1" x14ac:dyDescent="0.25">
      <c r="B2658" s="599">
        <f t="shared" si="441"/>
        <v>464309</v>
      </c>
      <c r="C2658" s="600" t="s">
        <v>6062</v>
      </c>
      <c r="D2658" s="528">
        <f t="shared" si="443"/>
        <v>464300</v>
      </c>
      <c r="E2658" s="417">
        <v>333903905000000</v>
      </c>
      <c r="F2658" s="418" t="s">
        <v>8608</v>
      </c>
      <c r="G2658" s="603">
        <v>1</v>
      </c>
      <c r="H2658" s="603">
        <v>0</v>
      </c>
      <c r="I2658" s="601">
        <v>332315100000000</v>
      </c>
      <c r="J2658" s="602"/>
      <c r="K2658" s="891">
        <v>0</v>
      </c>
      <c r="L2658" s="891">
        <v>0</v>
      </c>
      <c r="M2658" s="996">
        <f t="shared" si="442"/>
        <v>0</v>
      </c>
      <c r="N2658" s="796"/>
      <c r="P2658" s="399"/>
    </row>
    <row r="2659" spans="1:16" s="761" customFormat="1" x14ac:dyDescent="0.25">
      <c r="B2659" s="599">
        <f t="shared" si="441"/>
        <v>464310</v>
      </c>
      <c r="C2659" s="600" t="s">
        <v>6062</v>
      </c>
      <c r="D2659" s="528">
        <f t="shared" si="443"/>
        <v>464300</v>
      </c>
      <c r="E2659" s="417">
        <v>333903905000000</v>
      </c>
      <c r="F2659" s="418" t="s">
        <v>8609</v>
      </c>
      <c r="G2659" s="603">
        <v>1</v>
      </c>
      <c r="H2659" s="603">
        <v>0</v>
      </c>
      <c r="I2659" s="601">
        <v>332315100000000</v>
      </c>
      <c r="J2659" s="602"/>
      <c r="K2659" s="891">
        <v>0</v>
      </c>
      <c r="L2659" s="891">
        <v>0</v>
      </c>
      <c r="M2659" s="996" t="e">
        <f>L2659/#REF!</f>
        <v>#REF!</v>
      </c>
      <c r="N2659" s="796"/>
      <c r="P2659" s="399"/>
    </row>
    <row r="2660" spans="1:16" s="115" customFormat="1" ht="15" customHeight="1" x14ac:dyDescent="0.25">
      <c r="A2660" s="396"/>
      <c r="B2660" s="1396">
        <v>464400</v>
      </c>
      <c r="C2660" s="1396"/>
      <c r="D2660" s="1396"/>
      <c r="E2660" s="854">
        <v>333904700000000</v>
      </c>
      <c r="F2660" s="855" t="s">
        <v>8629</v>
      </c>
      <c r="G2660" s="468">
        <v>1</v>
      </c>
      <c r="H2660" s="468">
        <v>0</v>
      </c>
      <c r="I2660" s="751"/>
      <c r="J2660" s="878"/>
      <c r="K2660" s="789">
        <f>(('Parâmetros financeiros Despesa'!E1332))</f>
        <v>0</v>
      </c>
      <c r="L2660" s="789">
        <f>(('Parâmetros financeiros Despesa'!F1332)*(1+'Parâmetros financeiros Despesa'!F$4)*(1+'Parâmetros financeiros Despesa'!F$7))*('Parâmetros financeiros Despesa'!F$83)</f>
        <v>654.19890000000009</v>
      </c>
      <c r="M2660" s="799">
        <f>L2660/L$2711</f>
        <v>5.7369418215037684E-3</v>
      </c>
      <c r="N2660" s="894"/>
      <c r="O2660" s="796"/>
      <c r="P2660" s="733"/>
    </row>
    <row r="2661" spans="1:16" s="761" customFormat="1" x14ac:dyDescent="0.25">
      <c r="B2661" s="762">
        <f t="shared" ref="B2661:B2680" si="444">B2660+1</f>
        <v>464401</v>
      </c>
      <c r="C2661" s="763" t="s">
        <v>6062</v>
      </c>
      <c r="D2661" s="764">
        <f>B2660</f>
        <v>464400</v>
      </c>
      <c r="E2661" s="765">
        <v>333904718000000</v>
      </c>
      <c r="F2661" s="766" t="s">
        <v>8610</v>
      </c>
      <c r="G2661" s="767">
        <v>1</v>
      </c>
      <c r="H2661" s="767">
        <v>0</v>
      </c>
      <c r="I2661" s="768">
        <v>372110400000000</v>
      </c>
      <c r="J2661" s="769"/>
      <c r="K2661" s="770">
        <v>0</v>
      </c>
      <c r="L2661" s="770">
        <v>0</v>
      </c>
      <c r="M2661" s="771">
        <f>L2661/L$2711</f>
        <v>0</v>
      </c>
      <c r="N2661" s="796"/>
      <c r="P2661" s="399"/>
    </row>
    <row r="2662" spans="1:16" s="761" customFormat="1" x14ac:dyDescent="0.25">
      <c r="B2662" s="762">
        <f t="shared" si="444"/>
        <v>464402</v>
      </c>
      <c r="C2662" s="763" t="s">
        <v>6062</v>
      </c>
      <c r="D2662" s="764">
        <f>D2661</f>
        <v>464400</v>
      </c>
      <c r="E2662" s="765">
        <v>333904718000000</v>
      </c>
      <c r="F2662" s="766" t="s">
        <v>8611</v>
      </c>
      <c r="G2662" s="767">
        <v>1</v>
      </c>
      <c r="H2662" s="767">
        <v>0</v>
      </c>
      <c r="I2662" s="768">
        <v>372110400000000</v>
      </c>
      <c r="J2662" s="769"/>
      <c r="K2662" s="770">
        <v>0</v>
      </c>
      <c r="L2662" s="770">
        <v>0</v>
      </c>
      <c r="M2662" s="771">
        <f t="shared" ref="M2662:M2670" si="445">L2662/L$2711</f>
        <v>0</v>
      </c>
      <c r="N2662" s="796"/>
      <c r="P2662" s="399"/>
    </row>
    <row r="2663" spans="1:16" s="761" customFormat="1" x14ac:dyDescent="0.25">
      <c r="B2663" s="762">
        <f t="shared" si="444"/>
        <v>464403</v>
      </c>
      <c r="C2663" s="763" t="s">
        <v>6062</v>
      </c>
      <c r="D2663" s="764">
        <f t="shared" ref="D2663:D2670" si="446">D2662</f>
        <v>464400</v>
      </c>
      <c r="E2663" s="765">
        <v>333904718000000</v>
      </c>
      <c r="F2663" s="766" t="s">
        <v>8633</v>
      </c>
      <c r="G2663" s="767">
        <v>1</v>
      </c>
      <c r="H2663" s="767">
        <v>0</v>
      </c>
      <c r="I2663" s="768">
        <v>372110400000000</v>
      </c>
      <c r="J2663" s="769"/>
      <c r="K2663" s="770">
        <v>0</v>
      </c>
      <c r="L2663" s="770">
        <v>0</v>
      </c>
      <c r="M2663" s="771">
        <f t="shared" si="445"/>
        <v>0</v>
      </c>
      <c r="N2663" s="796"/>
      <c r="P2663" s="399"/>
    </row>
    <row r="2664" spans="1:16" s="761" customFormat="1" x14ac:dyDescent="0.25">
      <c r="B2664" s="762">
        <f t="shared" si="444"/>
        <v>464404</v>
      </c>
      <c r="C2664" s="763" t="s">
        <v>6062</v>
      </c>
      <c r="D2664" s="764">
        <f t="shared" si="446"/>
        <v>464400</v>
      </c>
      <c r="E2664" s="765">
        <v>333904718000000</v>
      </c>
      <c r="F2664" s="766" t="s">
        <v>8612</v>
      </c>
      <c r="G2664" s="767">
        <v>1</v>
      </c>
      <c r="H2664" s="767">
        <v>0</v>
      </c>
      <c r="I2664" s="768">
        <v>372110400000000</v>
      </c>
      <c r="J2664" s="769"/>
      <c r="K2664" s="770">
        <v>0</v>
      </c>
      <c r="L2664" s="770">
        <v>0</v>
      </c>
      <c r="M2664" s="771">
        <f t="shared" si="445"/>
        <v>0</v>
      </c>
      <c r="N2664" s="796"/>
      <c r="P2664" s="399"/>
    </row>
    <row r="2665" spans="1:16" s="761" customFormat="1" x14ac:dyDescent="0.25">
      <c r="B2665" s="762">
        <f t="shared" si="444"/>
        <v>464405</v>
      </c>
      <c r="C2665" s="763" t="s">
        <v>6062</v>
      </c>
      <c r="D2665" s="764">
        <f t="shared" si="446"/>
        <v>464400</v>
      </c>
      <c r="E2665" s="765">
        <v>333904718000000</v>
      </c>
      <c r="F2665" s="766" t="s">
        <v>8613</v>
      </c>
      <c r="G2665" s="767">
        <v>1</v>
      </c>
      <c r="H2665" s="767">
        <v>0</v>
      </c>
      <c r="I2665" s="768">
        <v>372110400000000</v>
      </c>
      <c r="J2665" s="769"/>
      <c r="K2665" s="770">
        <v>0</v>
      </c>
      <c r="L2665" s="770">
        <v>0</v>
      </c>
      <c r="M2665" s="771">
        <f t="shared" si="445"/>
        <v>0</v>
      </c>
      <c r="N2665" s="796"/>
      <c r="P2665" s="399"/>
    </row>
    <row r="2666" spans="1:16" s="761" customFormat="1" x14ac:dyDescent="0.25">
      <c r="B2666" s="762">
        <f t="shared" si="444"/>
        <v>464406</v>
      </c>
      <c r="C2666" s="763" t="s">
        <v>6062</v>
      </c>
      <c r="D2666" s="764">
        <f t="shared" si="446"/>
        <v>464400</v>
      </c>
      <c r="E2666" s="765">
        <v>333904718000000</v>
      </c>
      <c r="F2666" s="766" t="s">
        <v>8614</v>
      </c>
      <c r="G2666" s="767">
        <v>1</v>
      </c>
      <c r="H2666" s="767">
        <v>0</v>
      </c>
      <c r="I2666" s="768">
        <v>372110400000000</v>
      </c>
      <c r="J2666" s="769"/>
      <c r="K2666" s="770">
        <v>0</v>
      </c>
      <c r="L2666" s="770">
        <v>0</v>
      </c>
      <c r="M2666" s="771">
        <f t="shared" si="445"/>
        <v>0</v>
      </c>
      <c r="N2666" s="796"/>
      <c r="P2666" s="399"/>
    </row>
    <row r="2667" spans="1:16" s="761" customFormat="1" x14ac:dyDescent="0.25">
      <c r="B2667" s="762">
        <f t="shared" si="444"/>
        <v>464407</v>
      </c>
      <c r="C2667" s="763" t="s">
        <v>6062</v>
      </c>
      <c r="D2667" s="764">
        <f t="shared" si="446"/>
        <v>464400</v>
      </c>
      <c r="E2667" s="765">
        <v>333904718000000</v>
      </c>
      <c r="F2667" s="766" t="s">
        <v>8615</v>
      </c>
      <c r="G2667" s="767">
        <v>1</v>
      </c>
      <c r="H2667" s="767">
        <v>0</v>
      </c>
      <c r="I2667" s="768">
        <v>372110400000000</v>
      </c>
      <c r="J2667" s="769"/>
      <c r="K2667" s="770">
        <v>0</v>
      </c>
      <c r="L2667" s="770">
        <v>0</v>
      </c>
      <c r="M2667" s="771">
        <f t="shared" si="445"/>
        <v>0</v>
      </c>
      <c r="N2667" s="796"/>
      <c r="P2667" s="399"/>
    </row>
    <row r="2668" spans="1:16" s="761" customFormat="1" x14ac:dyDescent="0.25">
      <c r="B2668" s="762">
        <f t="shared" si="444"/>
        <v>464408</v>
      </c>
      <c r="C2668" s="763" t="s">
        <v>6062</v>
      </c>
      <c r="D2668" s="764">
        <f t="shared" si="446"/>
        <v>464400</v>
      </c>
      <c r="E2668" s="765">
        <v>333904718000000</v>
      </c>
      <c r="F2668" s="766" t="s">
        <v>8616</v>
      </c>
      <c r="G2668" s="767">
        <v>1</v>
      </c>
      <c r="H2668" s="767">
        <v>0</v>
      </c>
      <c r="I2668" s="768">
        <v>372110400000000</v>
      </c>
      <c r="J2668" s="769"/>
      <c r="K2668" s="770">
        <v>0</v>
      </c>
      <c r="L2668" s="770">
        <v>0</v>
      </c>
      <c r="M2668" s="771">
        <f t="shared" si="445"/>
        <v>0</v>
      </c>
      <c r="N2668" s="796"/>
      <c r="P2668" s="399"/>
    </row>
    <row r="2669" spans="1:16" s="761" customFormat="1" x14ac:dyDescent="0.25">
      <c r="B2669" s="762">
        <f t="shared" si="444"/>
        <v>464409</v>
      </c>
      <c r="C2669" s="763" t="s">
        <v>6062</v>
      </c>
      <c r="D2669" s="764">
        <f t="shared" si="446"/>
        <v>464400</v>
      </c>
      <c r="E2669" s="765">
        <v>333904718000000</v>
      </c>
      <c r="F2669" s="766" t="s">
        <v>8617</v>
      </c>
      <c r="G2669" s="767">
        <v>1</v>
      </c>
      <c r="H2669" s="767">
        <v>0</v>
      </c>
      <c r="I2669" s="768">
        <v>372110400000000</v>
      </c>
      <c r="J2669" s="769"/>
      <c r="K2669" s="770">
        <v>0</v>
      </c>
      <c r="L2669" s="770">
        <v>0</v>
      </c>
      <c r="M2669" s="771">
        <f t="shared" si="445"/>
        <v>0</v>
      </c>
      <c r="N2669" s="796"/>
      <c r="P2669" s="399"/>
    </row>
    <row r="2670" spans="1:16" s="761" customFormat="1" x14ac:dyDescent="0.25">
      <c r="B2670" s="762">
        <f t="shared" si="444"/>
        <v>464410</v>
      </c>
      <c r="C2670" s="763" t="s">
        <v>6062</v>
      </c>
      <c r="D2670" s="764">
        <f t="shared" si="446"/>
        <v>464400</v>
      </c>
      <c r="E2670" s="765">
        <v>333904718000000</v>
      </c>
      <c r="F2670" s="766" t="s">
        <v>8618</v>
      </c>
      <c r="G2670" s="767">
        <v>1</v>
      </c>
      <c r="H2670" s="767">
        <v>0</v>
      </c>
      <c r="I2670" s="768">
        <v>372110400000000</v>
      </c>
      <c r="J2670" s="769"/>
      <c r="K2670" s="770">
        <v>0</v>
      </c>
      <c r="L2670" s="770">
        <v>0</v>
      </c>
      <c r="M2670" s="771">
        <f t="shared" si="445"/>
        <v>0</v>
      </c>
      <c r="N2670" s="796"/>
      <c r="P2670" s="399"/>
    </row>
    <row r="2671" spans="1:16" s="761" customFormat="1" x14ac:dyDescent="0.25">
      <c r="B2671" s="599">
        <f t="shared" si="444"/>
        <v>464411</v>
      </c>
      <c r="C2671" s="600" t="s">
        <v>6062</v>
      </c>
      <c r="D2671" s="528">
        <f>B2670</f>
        <v>464410</v>
      </c>
      <c r="E2671" s="417">
        <v>333904720000000</v>
      </c>
      <c r="F2671" s="418" t="s">
        <v>8619</v>
      </c>
      <c r="G2671" s="603">
        <v>1</v>
      </c>
      <c r="H2671" s="603">
        <v>0</v>
      </c>
      <c r="I2671" s="471">
        <v>372110500000000</v>
      </c>
      <c r="J2671" s="602"/>
      <c r="K2671" s="891">
        <v>0</v>
      </c>
      <c r="L2671" s="891">
        <v>0</v>
      </c>
      <c r="M2671" s="996">
        <f t="shared" ref="M2671:M2680" si="447">L2671/L$2711</f>
        <v>0</v>
      </c>
      <c r="N2671" s="796"/>
      <c r="P2671" s="399"/>
    </row>
    <row r="2672" spans="1:16" s="761" customFormat="1" x14ac:dyDescent="0.25">
      <c r="B2672" s="599">
        <f t="shared" si="444"/>
        <v>464412</v>
      </c>
      <c r="C2672" s="600" t="s">
        <v>6062</v>
      </c>
      <c r="D2672" s="528">
        <f>D2671</f>
        <v>464410</v>
      </c>
      <c r="E2672" s="417">
        <v>333904720000000</v>
      </c>
      <c r="F2672" s="418" t="s">
        <v>8620</v>
      </c>
      <c r="G2672" s="603">
        <v>1</v>
      </c>
      <c r="H2672" s="603">
        <v>0</v>
      </c>
      <c r="I2672" s="471">
        <v>372110500000000</v>
      </c>
      <c r="J2672" s="602"/>
      <c r="K2672" s="891">
        <v>0</v>
      </c>
      <c r="L2672" s="891">
        <v>0</v>
      </c>
      <c r="M2672" s="996">
        <f t="shared" si="447"/>
        <v>0</v>
      </c>
      <c r="N2672" s="796"/>
      <c r="P2672" s="399"/>
    </row>
    <row r="2673" spans="1:16" s="761" customFormat="1" x14ac:dyDescent="0.25">
      <c r="B2673" s="599">
        <f t="shared" si="444"/>
        <v>464413</v>
      </c>
      <c r="C2673" s="600" t="s">
        <v>6062</v>
      </c>
      <c r="D2673" s="528">
        <f t="shared" ref="D2673:D2680" si="448">D2672</f>
        <v>464410</v>
      </c>
      <c r="E2673" s="417">
        <v>333904720000000</v>
      </c>
      <c r="F2673" s="418" t="s">
        <v>8621</v>
      </c>
      <c r="G2673" s="603">
        <v>1</v>
      </c>
      <c r="H2673" s="603">
        <v>0</v>
      </c>
      <c r="I2673" s="471">
        <v>372110500000000</v>
      </c>
      <c r="J2673" s="602"/>
      <c r="K2673" s="891">
        <v>0</v>
      </c>
      <c r="L2673" s="891">
        <v>0</v>
      </c>
      <c r="M2673" s="996">
        <f t="shared" si="447"/>
        <v>0</v>
      </c>
      <c r="N2673" s="796"/>
      <c r="P2673" s="399"/>
    </row>
    <row r="2674" spans="1:16" s="761" customFormat="1" x14ac:dyDescent="0.25">
      <c r="B2674" s="599">
        <f t="shared" si="444"/>
        <v>464414</v>
      </c>
      <c r="C2674" s="600" t="s">
        <v>6062</v>
      </c>
      <c r="D2674" s="528">
        <f t="shared" si="448"/>
        <v>464410</v>
      </c>
      <c r="E2674" s="417">
        <v>333904720000000</v>
      </c>
      <c r="F2674" s="418" t="s">
        <v>8622</v>
      </c>
      <c r="G2674" s="603">
        <v>1</v>
      </c>
      <c r="H2674" s="603">
        <v>0</v>
      </c>
      <c r="I2674" s="471">
        <v>372110500000000</v>
      </c>
      <c r="J2674" s="602"/>
      <c r="K2674" s="891">
        <v>0</v>
      </c>
      <c r="L2674" s="891">
        <v>0</v>
      </c>
      <c r="M2674" s="996">
        <f t="shared" si="447"/>
        <v>0</v>
      </c>
      <c r="N2674" s="796"/>
      <c r="P2674" s="399"/>
    </row>
    <row r="2675" spans="1:16" s="761" customFormat="1" x14ac:dyDescent="0.25">
      <c r="B2675" s="599">
        <f t="shared" si="444"/>
        <v>464415</v>
      </c>
      <c r="C2675" s="600" t="s">
        <v>6062</v>
      </c>
      <c r="D2675" s="528">
        <f t="shared" si="448"/>
        <v>464410</v>
      </c>
      <c r="E2675" s="417">
        <v>333904720000000</v>
      </c>
      <c r="F2675" s="418" t="s">
        <v>8623</v>
      </c>
      <c r="G2675" s="603">
        <v>1</v>
      </c>
      <c r="H2675" s="603">
        <v>0</v>
      </c>
      <c r="I2675" s="471">
        <v>372110500000000</v>
      </c>
      <c r="J2675" s="602"/>
      <c r="K2675" s="891">
        <v>0</v>
      </c>
      <c r="L2675" s="891">
        <v>0</v>
      </c>
      <c r="M2675" s="996">
        <f t="shared" si="447"/>
        <v>0</v>
      </c>
      <c r="N2675" s="796"/>
      <c r="P2675" s="399"/>
    </row>
    <row r="2676" spans="1:16" s="761" customFormat="1" x14ac:dyDescent="0.25">
      <c r="B2676" s="599">
        <f t="shared" si="444"/>
        <v>464416</v>
      </c>
      <c r="C2676" s="600" t="s">
        <v>6062</v>
      </c>
      <c r="D2676" s="528">
        <f t="shared" si="448"/>
        <v>464410</v>
      </c>
      <c r="E2676" s="417">
        <v>333904720000000</v>
      </c>
      <c r="F2676" s="418" t="s">
        <v>8624</v>
      </c>
      <c r="G2676" s="603">
        <v>1</v>
      </c>
      <c r="H2676" s="603">
        <v>0</v>
      </c>
      <c r="I2676" s="471">
        <v>372110500000000</v>
      </c>
      <c r="J2676" s="602"/>
      <c r="K2676" s="891">
        <v>0</v>
      </c>
      <c r="L2676" s="891">
        <v>0</v>
      </c>
      <c r="M2676" s="996">
        <f t="shared" si="447"/>
        <v>0</v>
      </c>
      <c r="N2676" s="796"/>
      <c r="P2676" s="399"/>
    </row>
    <row r="2677" spans="1:16" s="761" customFormat="1" x14ac:dyDescent="0.25">
      <c r="B2677" s="599">
        <f t="shared" si="444"/>
        <v>464417</v>
      </c>
      <c r="C2677" s="600" t="s">
        <v>6062</v>
      </c>
      <c r="D2677" s="528">
        <f t="shared" si="448"/>
        <v>464410</v>
      </c>
      <c r="E2677" s="417">
        <v>333904720000000</v>
      </c>
      <c r="F2677" s="418" t="s">
        <v>8625</v>
      </c>
      <c r="G2677" s="603">
        <v>1</v>
      </c>
      <c r="H2677" s="603">
        <v>0</v>
      </c>
      <c r="I2677" s="471">
        <v>372110500000000</v>
      </c>
      <c r="J2677" s="602"/>
      <c r="K2677" s="891">
        <v>0</v>
      </c>
      <c r="L2677" s="891">
        <v>0</v>
      </c>
      <c r="M2677" s="996">
        <f t="shared" si="447"/>
        <v>0</v>
      </c>
      <c r="N2677" s="796"/>
      <c r="P2677" s="399"/>
    </row>
    <row r="2678" spans="1:16" s="761" customFormat="1" x14ac:dyDescent="0.25">
      <c r="B2678" s="599">
        <f t="shared" si="444"/>
        <v>464418</v>
      </c>
      <c r="C2678" s="600" t="s">
        <v>6062</v>
      </c>
      <c r="D2678" s="528">
        <f t="shared" si="448"/>
        <v>464410</v>
      </c>
      <c r="E2678" s="417">
        <v>333904720000000</v>
      </c>
      <c r="F2678" s="418" t="s">
        <v>8626</v>
      </c>
      <c r="G2678" s="603">
        <v>1</v>
      </c>
      <c r="H2678" s="603">
        <v>0</v>
      </c>
      <c r="I2678" s="471">
        <v>372110500000000</v>
      </c>
      <c r="J2678" s="602"/>
      <c r="K2678" s="891">
        <v>0</v>
      </c>
      <c r="L2678" s="891">
        <v>0</v>
      </c>
      <c r="M2678" s="996">
        <f t="shared" si="447"/>
        <v>0</v>
      </c>
      <c r="N2678" s="796"/>
      <c r="P2678" s="399"/>
    </row>
    <row r="2679" spans="1:16" s="761" customFormat="1" x14ac:dyDescent="0.25">
      <c r="B2679" s="599">
        <f t="shared" si="444"/>
        <v>464419</v>
      </c>
      <c r="C2679" s="600" t="s">
        <v>6062</v>
      </c>
      <c r="D2679" s="528">
        <f t="shared" si="448"/>
        <v>464410</v>
      </c>
      <c r="E2679" s="417">
        <v>333904720000000</v>
      </c>
      <c r="F2679" s="418" t="s">
        <v>8627</v>
      </c>
      <c r="G2679" s="603">
        <v>1</v>
      </c>
      <c r="H2679" s="603">
        <v>0</v>
      </c>
      <c r="I2679" s="471">
        <v>372110500000000</v>
      </c>
      <c r="J2679" s="602"/>
      <c r="K2679" s="891">
        <v>0</v>
      </c>
      <c r="L2679" s="891">
        <v>0</v>
      </c>
      <c r="M2679" s="996">
        <f t="shared" si="447"/>
        <v>0</v>
      </c>
      <c r="N2679" s="796"/>
      <c r="P2679" s="399"/>
    </row>
    <row r="2680" spans="1:16" s="761" customFormat="1" x14ac:dyDescent="0.25">
      <c r="B2680" s="599">
        <f t="shared" si="444"/>
        <v>464420</v>
      </c>
      <c r="C2680" s="600" t="s">
        <v>6062</v>
      </c>
      <c r="D2680" s="528">
        <f t="shared" si="448"/>
        <v>464410</v>
      </c>
      <c r="E2680" s="417">
        <v>333904720000000</v>
      </c>
      <c r="F2680" s="418" t="s">
        <v>8628</v>
      </c>
      <c r="G2680" s="603">
        <v>1</v>
      </c>
      <c r="H2680" s="603">
        <v>0</v>
      </c>
      <c r="I2680" s="471">
        <v>372110500000000</v>
      </c>
      <c r="J2680" s="602"/>
      <c r="K2680" s="891">
        <v>0</v>
      </c>
      <c r="L2680" s="891">
        <v>0</v>
      </c>
      <c r="M2680" s="996">
        <f t="shared" si="447"/>
        <v>0</v>
      </c>
      <c r="N2680" s="796"/>
      <c r="P2680" s="399"/>
    </row>
    <row r="2681" spans="1:16" s="115" customFormat="1" ht="15" customHeight="1" x14ac:dyDescent="0.25">
      <c r="A2681" s="396"/>
      <c r="B2681" s="1396">
        <v>464500</v>
      </c>
      <c r="C2681" s="1396"/>
      <c r="D2681" s="1396"/>
      <c r="E2681" s="854">
        <v>344905100000000</v>
      </c>
      <c r="F2681" s="855" t="s">
        <v>8647</v>
      </c>
      <c r="G2681" s="468">
        <v>1</v>
      </c>
      <c r="H2681" s="468">
        <v>0</v>
      </c>
      <c r="I2681" s="751"/>
      <c r="J2681" s="878"/>
      <c r="K2681" s="789">
        <f>('Parâmetros financeiros Despesa'!E1335)</f>
        <v>0</v>
      </c>
      <c r="L2681" s="789">
        <f>('Parâmetros financeiros Despesa'!F1335)*(1+'Parâmetros financeiros Despesa'!F$4)*(1+'Parâmetros financeiros Despesa'!F$7)</f>
        <v>21806.63</v>
      </c>
      <c r="M2681" s="799">
        <f>L2681/L$2711</f>
        <v>0.1912313940501256</v>
      </c>
      <c r="N2681" s="894"/>
      <c r="O2681" s="796"/>
      <c r="P2681" s="733"/>
    </row>
    <row r="2682" spans="1:16" s="761" customFormat="1" x14ac:dyDescent="0.25">
      <c r="B2682" s="599">
        <f>B2681+1</f>
        <v>464501</v>
      </c>
      <c r="C2682" s="600" t="s">
        <v>6062</v>
      </c>
      <c r="D2682" s="528">
        <f>B2681</f>
        <v>464500</v>
      </c>
      <c r="E2682" s="417">
        <v>344905199000000</v>
      </c>
      <c r="F2682" s="418" t="s">
        <v>8648</v>
      </c>
      <c r="G2682" s="603">
        <v>1</v>
      </c>
      <c r="H2682" s="603">
        <v>0</v>
      </c>
      <c r="I2682" s="601"/>
      <c r="J2682" s="602"/>
      <c r="K2682" s="891">
        <v>0</v>
      </c>
      <c r="L2682" s="891">
        <v>0</v>
      </c>
      <c r="M2682" s="996">
        <f>L2682/L$2711</f>
        <v>0</v>
      </c>
      <c r="N2682" s="796"/>
      <c r="P2682" s="399"/>
    </row>
    <row r="2683" spans="1:16" s="115" customFormat="1" ht="15" customHeight="1" x14ac:dyDescent="0.25">
      <c r="A2683" s="396"/>
      <c r="B2683" s="1396">
        <v>465000</v>
      </c>
      <c r="C2683" s="1396"/>
      <c r="D2683" s="1396"/>
      <c r="E2683" s="854">
        <v>344905200000000</v>
      </c>
      <c r="F2683" s="855" t="s">
        <v>8634</v>
      </c>
      <c r="G2683" s="468">
        <v>1</v>
      </c>
      <c r="H2683" s="468">
        <v>0</v>
      </c>
      <c r="I2683" s="751"/>
      <c r="J2683" s="878"/>
      <c r="K2683" s="789">
        <f>('Parâmetros financeiros Despesa'!E1336)</f>
        <v>0</v>
      </c>
      <c r="L2683" s="789">
        <f>('Parâmetros financeiros Despesa'!F1336)*(1+'Parâmetros financeiros Despesa'!F$4)*(1+'Parâmetros financeiros Despesa'!F$7)</f>
        <v>3270.9945000000002</v>
      </c>
      <c r="M2683" s="799">
        <f>L2683/L$2711</f>
        <v>2.868470910751884E-2</v>
      </c>
      <c r="N2683" s="894"/>
      <c r="O2683" s="796"/>
      <c r="P2683" s="733"/>
    </row>
    <row r="2684" spans="1:16" s="761" customFormat="1" x14ac:dyDescent="0.25">
      <c r="B2684" s="599">
        <f t="shared" ref="B2684:B2695" si="449">B2683+1</f>
        <v>465001</v>
      </c>
      <c r="C2684" s="600" t="s">
        <v>6062</v>
      </c>
      <c r="D2684" s="528">
        <f>B2683</f>
        <v>465000</v>
      </c>
      <c r="E2684" s="417">
        <v>344905234000000</v>
      </c>
      <c r="F2684" s="418" t="s">
        <v>8635</v>
      </c>
      <c r="G2684" s="603">
        <v>1</v>
      </c>
      <c r="H2684" s="603">
        <v>0</v>
      </c>
      <c r="I2684" s="601"/>
      <c r="J2684" s="602"/>
      <c r="K2684" s="891">
        <v>0</v>
      </c>
      <c r="L2684" s="891">
        <v>0</v>
      </c>
      <c r="M2684" s="996">
        <f>L2684/L$2711</f>
        <v>0</v>
      </c>
      <c r="N2684" s="796"/>
      <c r="P2684" s="399"/>
    </row>
    <row r="2685" spans="1:16" s="761" customFormat="1" x14ac:dyDescent="0.25">
      <c r="B2685" s="599">
        <f t="shared" si="449"/>
        <v>465002</v>
      </c>
      <c r="C2685" s="600" t="s">
        <v>6062</v>
      </c>
      <c r="D2685" s="528">
        <f>D2684</f>
        <v>465000</v>
      </c>
      <c r="E2685" s="417">
        <v>344905234000000</v>
      </c>
      <c r="F2685" s="418" t="s">
        <v>8644</v>
      </c>
      <c r="G2685" s="603">
        <v>1</v>
      </c>
      <c r="H2685" s="603">
        <v>0</v>
      </c>
      <c r="I2685" s="601"/>
      <c r="J2685" s="602"/>
      <c r="K2685" s="891">
        <v>0</v>
      </c>
      <c r="L2685" s="891">
        <v>0</v>
      </c>
      <c r="M2685" s="996">
        <f t="shared" ref="M2685:M2695" si="450">L2685/L$2711</f>
        <v>0</v>
      </c>
      <c r="N2685" s="796"/>
      <c r="P2685" s="399"/>
    </row>
    <row r="2686" spans="1:16" s="761" customFormat="1" x14ac:dyDescent="0.25">
      <c r="B2686" s="599">
        <f t="shared" si="449"/>
        <v>465003</v>
      </c>
      <c r="C2686" s="600" t="s">
        <v>6062</v>
      </c>
      <c r="D2686" s="528">
        <f t="shared" ref="D2686:D2693" si="451">D2685</f>
        <v>465000</v>
      </c>
      <c r="E2686" s="417">
        <v>344905234000000</v>
      </c>
      <c r="F2686" s="418" t="s">
        <v>8636</v>
      </c>
      <c r="G2686" s="603">
        <v>1</v>
      </c>
      <c r="H2686" s="603">
        <v>0</v>
      </c>
      <c r="I2686" s="601"/>
      <c r="J2686" s="602"/>
      <c r="K2686" s="891">
        <v>0</v>
      </c>
      <c r="L2686" s="891">
        <v>0</v>
      </c>
      <c r="M2686" s="996">
        <f t="shared" si="450"/>
        <v>0</v>
      </c>
      <c r="N2686" s="796"/>
      <c r="P2686" s="399"/>
    </row>
    <row r="2687" spans="1:16" s="761" customFormat="1" x14ac:dyDescent="0.25">
      <c r="B2687" s="599">
        <f t="shared" si="449"/>
        <v>465004</v>
      </c>
      <c r="C2687" s="600" t="s">
        <v>6062</v>
      </c>
      <c r="D2687" s="528">
        <f t="shared" si="451"/>
        <v>465000</v>
      </c>
      <c r="E2687" s="417">
        <v>344905234000000</v>
      </c>
      <c r="F2687" s="418" t="s">
        <v>8637</v>
      </c>
      <c r="G2687" s="603">
        <v>1</v>
      </c>
      <c r="H2687" s="603">
        <v>0</v>
      </c>
      <c r="I2687" s="601"/>
      <c r="J2687" s="602"/>
      <c r="K2687" s="891">
        <v>0</v>
      </c>
      <c r="L2687" s="891">
        <v>0</v>
      </c>
      <c r="M2687" s="996">
        <f t="shared" si="450"/>
        <v>0</v>
      </c>
      <c r="N2687" s="796"/>
      <c r="P2687" s="399"/>
    </row>
    <row r="2688" spans="1:16" s="761" customFormat="1" x14ac:dyDescent="0.25">
      <c r="B2688" s="599">
        <f t="shared" si="449"/>
        <v>465005</v>
      </c>
      <c r="C2688" s="600" t="s">
        <v>6062</v>
      </c>
      <c r="D2688" s="528">
        <f t="shared" si="451"/>
        <v>465000</v>
      </c>
      <c r="E2688" s="417">
        <v>344905234000000</v>
      </c>
      <c r="F2688" s="418" t="s">
        <v>8638</v>
      </c>
      <c r="G2688" s="603">
        <v>1</v>
      </c>
      <c r="H2688" s="603">
        <v>0</v>
      </c>
      <c r="I2688" s="601"/>
      <c r="J2688" s="602"/>
      <c r="K2688" s="891">
        <v>0</v>
      </c>
      <c r="L2688" s="891">
        <v>0</v>
      </c>
      <c r="M2688" s="996">
        <f t="shared" si="450"/>
        <v>0</v>
      </c>
      <c r="N2688" s="796"/>
      <c r="P2688" s="399"/>
    </row>
    <row r="2689" spans="1:16" s="761" customFormat="1" x14ac:dyDescent="0.25">
      <c r="B2689" s="599">
        <f t="shared" si="449"/>
        <v>465006</v>
      </c>
      <c r="C2689" s="600" t="s">
        <v>6062</v>
      </c>
      <c r="D2689" s="528">
        <f t="shared" si="451"/>
        <v>465000</v>
      </c>
      <c r="E2689" s="417">
        <v>344905234000000</v>
      </c>
      <c r="F2689" s="418" t="s">
        <v>8639</v>
      </c>
      <c r="G2689" s="603">
        <v>1</v>
      </c>
      <c r="H2689" s="603">
        <v>0</v>
      </c>
      <c r="I2689" s="601"/>
      <c r="J2689" s="602"/>
      <c r="K2689" s="891">
        <v>0</v>
      </c>
      <c r="L2689" s="891">
        <v>0</v>
      </c>
      <c r="M2689" s="996">
        <f t="shared" si="450"/>
        <v>0</v>
      </c>
      <c r="N2689" s="796"/>
      <c r="P2689" s="399"/>
    </row>
    <row r="2690" spans="1:16" s="761" customFormat="1" x14ac:dyDescent="0.25">
      <c r="B2690" s="599">
        <f t="shared" si="449"/>
        <v>465007</v>
      </c>
      <c r="C2690" s="600" t="s">
        <v>6062</v>
      </c>
      <c r="D2690" s="528">
        <f t="shared" si="451"/>
        <v>465000</v>
      </c>
      <c r="E2690" s="417">
        <v>344905234000000</v>
      </c>
      <c r="F2690" s="418" t="s">
        <v>8640</v>
      </c>
      <c r="G2690" s="603">
        <v>1</v>
      </c>
      <c r="H2690" s="603">
        <v>0</v>
      </c>
      <c r="I2690" s="601"/>
      <c r="J2690" s="602"/>
      <c r="K2690" s="891">
        <v>0</v>
      </c>
      <c r="L2690" s="891">
        <v>0</v>
      </c>
      <c r="M2690" s="996">
        <f t="shared" si="450"/>
        <v>0</v>
      </c>
      <c r="N2690" s="796"/>
      <c r="P2690" s="399"/>
    </row>
    <row r="2691" spans="1:16" s="761" customFormat="1" x14ac:dyDescent="0.25">
      <c r="B2691" s="599">
        <f t="shared" si="449"/>
        <v>465008</v>
      </c>
      <c r="C2691" s="600" t="s">
        <v>6062</v>
      </c>
      <c r="D2691" s="528">
        <f t="shared" si="451"/>
        <v>465000</v>
      </c>
      <c r="E2691" s="417">
        <v>344905234000000</v>
      </c>
      <c r="F2691" s="418" t="s">
        <v>8641</v>
      </c>
      <c r="G2691" s="603">
        <v>1</v>
      </c>
      <c r="H2691" s="603">
        <v>0</v>
      </c>
      <c r="I2691" s="601"/>
      <c r="J2691" s="602"/>
      <c r="K2691" s="891">
        <v>0</v>
      </c>
      <c r="L2691" s="891">
        <v>0</v>
      </c>
      <c r="M2691" s="996">
        <f t="shared" si="450"/>
        <v>0</v>
      </c>
      <c r="N2691" s="796"/>
      <c r="P2691" s="399"/>
    </row>
    <row r="2692" spans="1:16" s="761" customFormat="1" x14ac:dyDescent="0.25">
      <c r="B2692" s="599">
        <f t="shared" si="449"/>
        <v>465009</v>
      </c>
      <c r="C2692" s="600" t="s">
        <v>6062</v>
      </c>
      <c r="D2692" s="528">
        <f t="shared" si="451"/>
        <v>465000</v>
      </c>
      <c r="E2692" s="417">
        <v>344905234000000</v>
      </c>
      <c r="F2692" s="418" t="s">
        <v>8642</v>
      </c>
      <c r="G2692" s="603">
        <v>1</v>
      </c>
      <c r="H2692" s="603">
        <v>0</v>
      </c>
      <c r="I2692" s="601"/>
      <c r="J2692" s="602"/>
      <c r="K2692" s="891">
        <v>0</v>
      </c>
      <c r="L2692" s="891">
        <v>0</v>
      </c>
      <c r="M2692" s="996">
        <f t="shared" si="450"/>
        <v>0</v>
      </c>
      <c r="N2692" s="796"/>
      <c r="P2692" s="399"/>
    </row>
    <row r="2693" spans="1:16" s="761" customFormat="1" x14ac:dyDescent="0.25">
      <c r="B2693" s="599">
        <f t="shared" si="449"/>
        <v>465010</v>
      </c>
      <c r="C2693" s="600" t="s">
        <v>6062</v>
      </c>
      <c r="D2693" s="528">
        <f t="shared" si="451"/>
        <v>465000</v>
      </c>
      <c r="E2693" s="417">
        <v>344905234000000</v>
      </c>
      <c r="F2693" s="418" t="s">
        <v>8643</v>
      </c>
      <c r="G2693" s="603">
        <v>1</v>
      </c>
      <c r="H2693" s="603">
        <v>0</v>
      </c>
      <c r="I2693" s="601"/>
      <c r="J2693" s="602"/>
      <c r="K2693" s="891">
        <v>0</v>
      </c>
      <c r="L2693" s="891">
        <v>0</v>
      </c>
      <c r="M2693" s="996">
        <f t="shared" si="450"/>
        <v>0</v>
      </c>
      <c r="N2693" s="796"/>
      <c r="P2693" s="399"/>
    </row>
    <row r="2694" spans="1:16" s="761" customFormat="1" x14ac:dyDescent="0.25">
      <c r="B2694" s="599">
        <f t="shared" si="449"/>
        <v>465011</v>
      </c>
      <c r="C2694" s="600" t="s">
        <v>6062</v>
      </c>
      <c r="D2694" s="528">
        <f>D2693</f>
        <v>465000</v>
      </c>
      <c r="E2694" s="417">
        <v>344905234000000</v>
      </c>
      <c r="F2694" s="418" t="s">
        <v>8645</v>
      </c>
      <c r="G2694" s="603">
        <v>1</v>
      </c>
      <c r="H2694" s="603">
        <v>0</v>
      </c>
      <c r="I2694" s="601"/>
      <c r="J2694" s="602"/>
      <c r="K2694" s="891">
        <v>0</v>
      </c>
      <c r="L2694" s="891">
        <v>0</v>
      </c>
      <c r="M2694" s="996">
        <f t="shared" si="450"/>
        <v>0</v>
      </c>
      <c r="N2694" s="796"/>
      <c r="P2694" s="399"/>
    </row>
    <row r="2695" spans="1:16" s="761" customFormat="1" x14ac:dyDescent="0.25">
      <c r="B2695" s="599">
        <f t="shared" si="449"/>
        <v>465012</v>
      </c>
      <c r="C2695" s="600" t="s">
        <v>6062</v>
      </c>
      <c r="D2695" s="528">
        <f>D2694</f>
        <v>465000</v>
      </c>
      <c r="E2695" s="417">
        <v>344905234000000</v>
      </c>
      <c r="F2695" s="418" t="s">
        <v>8646</v>
      </c>
      <c r="G2695" s="603">
        <v>1</v>
      </c>
      <c r="H2695" s="603">
        <v>0</v>
      </c>
      <c r="I2695" s="601"/>
      <c r="J2695" s="602"/>
      <c r="K2695" s="891">
        <v>0</v>
      </c>
      <c r="L2695" s="891">
        <v>0</v>
      </c>
      <c r="M2695" s="996">
        <f t="shared" si="450"/>
        <v>0</v>
      </c>
      <c r="N2695" s="796"/>
      <c r="P2695" s="399"/>
    </row>
    <row r="2696" spans="1:16" s="761" customFormat="1" ht="15" customHeight="1" x14ac:dyDescent="0.25">
      <c r="A2696" s="397"/>
      <c r="B2696" s="1385" t="s">
        <v>8566</v>
      </c>
      <c r="C2696" s="1385"/>
      <c r="D2696" s="1385"/>
      <c r="E2696" s="1385"/>
      <c r="F2696" s="1385"/>
      <c r="G2696" s="401"/>
      <c r="H2696" s="401"/>
      <c r="I2696" s="426"/>
      <c r="J2696" s="411"/>
      <c r="K2696" s="402">
        <f t="shared" ref="K2696:L2698" si="452">K2697</f>
        <v>0</v>
      </c>
      <c r="L2696" s="402">
        <f t="shared" si="452"/>
        <v>13101</v>
      </c>
      <c r="M2696" s="451">
        <f>L2696/L$2711</f>
        <v>0.11488810941675515</v>
      </c>
      <c r="N2696" s="796"/>
      <c r="P2696" s="399"/>
    </row>
    <row r="2697" spans="1:16" s="761" customFormat="1" ht="15" customHeight="1" x14ac:dyDescent="0.25">
      <c r="A2697" s="397"/>
      <c r="B2697" s="1386" t="s">
        <v>8649</v>
      </c>
      <c r="C2697" s="1386"/>
      <c r="D2697" s="1386"/>
      <c r="E2697" s="1386"/>
      <c r="F2697" s="1386"/>
      <c r="G2697" s="403"/>
      <c r="H2697" s="403"/>
      <c r="I2697" s="427"/>
      <c r="J2697" s="412"/>
      <c r="K2697" s="404">
        <f t="shared" si="452"/>
        <v>0</v>
      </c>
      <c r="L2697" s="404">
        <f t="shared" si="452"/>
        <v>13101</v>
      </c>
      <c r="M2697" s="452">
        <f>L2697/L$2711</f>
        <v>0.11488810941675515</v>
      </c>
      <c r="N2697" s="796"/>
      <c r="P2697" s="399"/>
    </row>
    <row r="2698" spans="1:16" s="761" customFormat="1" ht="15" customHeight="1" x14ac:dyDescent="0.25">
      <c r="A2698" s="397"/>
      <c r="B2698" s="1382" t="s">
        <v>8565</v>
      </c>
      <c r="C2698" s="1382"/>
      <c r="D2698" s="1382"/>
      <c r="E2698" s="1382"/>
      <c r="F2698" s="1382"/>
      <c r="G2698" s="405"/>
      <c r="H2698" s="405"/>
      <c r="I2698" s="428"/>
      <c r="J2698" s="413"/>
      <c r="K2698" s="406">
        <f t="shared" si="452"/>
        <v>0</v>
      </c>
      <c r="L2698" s="406">
        <f t="shared" si="452"/>
        <v>13101</v>
      </c>
      <c r="M2698" s="453">
        <f>L2698/L$2711</f>
        <v>0.11488810941675515</v>
      </c>
      <c r="N2698" s="796"/>
      <c r="P2698" s="399"/>
    </row>
    <row r="2699" spans="1:16" s="761" customFormat="1" ht="15" customHeight="1" x14ac:dyDescent="0.25">
      <c r="A2699" s="397"/>
      <c r="B2699" s="1383" t="s">
        <v>8568</v>
      </c>
      <c r="C2699" s="1383"/>
      <c r="D2699" s="1383"/>
      <c r="E2699" s="1383"/>
      <c r="F2699" s="1383"/>
      <c r="G2699" s="407"/>
      <c r="H2699" s="407"/>
      <c r="I2699" s="429"/>
      <c r="J2699" s="414"/>
      <c r="K2699" s="408">
        <f>SUM(K2700:K2707)</f>
        <v>0</v>
      </c>
      <c r="L2699" s="408">
        <f>SUM(L2700:L2707)</f>
        <v>13101</v>
      </c>
      <c r="M2699" s="454">
        <f>L2699/L$2711</f>
        <v>0.11488810941675515</v>
      </c>
      <c r="N2699" s="796"/>
      <c r="P2699" s="399"/>
    </row>
    <row r="2700" spans="1:16" s="115" customFormat="1" ht="15" customHeight="1" x14ac:dyDescent="0.25">
      <c r="A2700" s="396"/>
      <c r="B2700" s="1396">
        <v>466000</v>
      </c>
      <c r="C2700" s="1396"/>
      <c r="D2700" s="1396"/>
      <c r="E2700" s="854">
        <v>333309300000000</v>
      </c>
      <c r="F2700" s="855" t="s">
        <v>8656</v>
      </c>
      <c r="G2700" s="468">
        <v>1159</v>
      </c>
      <c r="H2700" s="468">
        <v>0</v>
      </c>
      <c r="I2700" s="751"/>
      <c r="J2700" s="878"/>
      <c r="K2700" s="789">
        <f>'Parâmetros financeiros Despesa'!E1338</f>
        <v>0</v>
      </c>
      <c r="L2700" s="789">
        <f>'Parâmetros financeiros Despesa'!F1338</f>
        <v>1</v>
      </c>
      <c r="M2700" s="799">
        <f>L2700/L$2711</f>
        <v>8.7694152672891498E-6</v>
      </c>
      <c r="N2700" s="894"/>
      <c r="P2700" s="733"/>
    </row>
    <row r="2701" spans="1:16" s="115" customFormat="1" ht="15" customHeight="1" x14ac:dyDescent="0.25">
      <c r="A2701" s="396"/>
      <c r="B2701" s="1396">
        <v>466100</v>
      </c>
      <c r="C2701" s="1396"/>
      <c r="D2701" s="1396"/>
      <c r="E2701" s="854">
        <v>333903000000000</v>
      </c>
      <c r="F2701" s="855" t="s">
        <v>8657</v>
      </c>
      <c r="G2701" s="468">
        <v>1159</v>
      </c>
      <c r="H2701" s="468">
        <v>0</v>
      </c>
      <c r="I2701" s="751"/>
      <c r="J2701" s="878"/>
      <c r="K2701" s="789">
        <f>'Parâmetros financeiros Despesa'!E1339</f>
        <v>0</v>
      </c>
      <c r="L2701" s="789">
        <f>'Parâmetros financeiros Despesa'!F1339</f>
        <v>1</v>
      </c>
      <c r="M2701" s="799">
        <f t="shared" ref="M2701:M2706" si="453">L2701/L$2711</f>
        <v>8.7694152672891498E-6</v>
      </c>
      <c r="N2701" s="894"/>
      <c r="P2701" s="733"/>
    </row>
    <row r="2702" spans="1:16" s="115" customFormat="1" ht="15" customHeight="1" x14ac:dyDescent="0.25">
      <c r="A2702" s="396"/>
      <c r="B2702" s="1398" t="s">
        <v>8650</v>
      </c>
      <c r="C2702" s="1398"/>
      <c r="D2702" s="1398"/>
      <c r="E2702" s="854">
        <v>333903600000000</v>
      </c>
      <c r="F2702" s="855" t="s">
        <v>8658</v>
      </c>
      <c r="G2702" s="468">
        <v>1159</v>
      </c>
      <c r="H2702" s="468">
        <v>0</v>
      </c>
      <c r="I2702" s="751"/>
      <c r="J2702" s="878"/>
      <c r="K2702" s="789">
        <f>'Parâmetros financeiros Despesa'!E1340</f>
        <v>0</v>
      </c>
      <c r="L2702" s="789">
        <f>'Parâmetros financeiros Despesa'!F1340</f>
        <v>1</v>
      </c>
      <c r="M2702" s="799">
        <f t="shared" si="453"/>
        <v>8.7694152672891498E-6</v>
      </c>
      <c r="N2702" s="894"/>
      <c r="P2702" s="733"/>
    </row>
    <row r="2703" spans="1:16" s="115" customFormat="1" ht="15" customHeight="1" x14ac:dyDescent="0.25">
      <c r="A2703" s="396"/>
      <c r="B2703" s="1398" t="s">
        <v>8651</v>
      </c>
      <c r="C2703" s="1398"/>
      <c r="D2703" s="1398"/>
      <c r="E2703" s="854">
        <v>333903900000000</v>
      </c>
      <c r="F2703" s="855" t="s">
        <v>8659</v>
      </c>
      <c r="G2703" s="468">
        <v>1</v>
      </c>
      <c r="H2703" s="468">
        <v>0</v>
      </c>
      <c r="I2703" s="751"/>
      <c r="J2703" s="878"/>
      <c r="K2703" s="789">
        <f>'Parâmetros financeiros Despesa'!E1341</f>
        <v>0</v>
      </c>
      <c r="L2703" s="789">
        <f>'Parâmetros financeiros Despesa'!F1341</f>
        <v>1</v>
      </c>
      <c r="M2703" s="799">
        <f t="shared" si="453"/>
        <v>8.7694152672891498E-6</v>
      </c>
      <c r="N2703" s="894"/>
      <c r="P2703" s="733"/>
    </row>
    <row r="2704" spans="1:16" s="115" customFormat="1" ht="15" customHeight="1" x14ac:dyDescent="0.25">
      <c r="A2704" s="396"/>
      <c r="B2704" s="1398" t="s">
        <v>8652</v>
      </c>
      <c r="C2704" s="1398"/>
      <c r="D2704" s="1398"/>
      <c r="E2704" s="854">
        <v>333903900000000</v>
      </c>
      <c r="F2704" s="855" t="s">
        <v>8660</v>
      </c>
      <c r="G2704" s="468">
        <v>1159</v>
      </c>
      <c r="H2704" s="468">
        <v>0</v>
      </c>
      <c r="I2704" s="751"/>
      <c r="J2704" s="878"/>
      <c r="K2704" s="789">
        <f>'Parâmetros financeiros Despesa'!E1342</f>
        <v>0</v>
      </c>
      <c r="L2704" s="789">
        <f>'Parâmetros financeiros Despesa'!F1342</f>
        <v>5000</v>
      </c>
      <c r="M2704" s="799">
        <f t="shared" si="453"/>
        <v>4.3847076336445745E-2</v>
      </c>
      <c r="N2704" s="894"/>
      <c r="P2704" s="733"/>
    </row>
    <row r="2705" spans="1:16" s="115" customFormat="1" ht="15" customHeight="1" x14ac:dyDescent="0.25">
      <c r="A2705" s="396"/>
      <c r="B2705" s="1398" t="s">
        <v>8653</v>
      </c>
      <c r="C2705" s="1398"/>
      <c r="D2705" s="1398"/>
      <c r="E2705" s="854">
        <v>333904700000000</v>
      </c>
      <c r="F2705" s="855" t="s">
        <v>8661</v>
      </c>
      <c r="G2705" s="468">
        <v>1159</v>
      </c>
      <c r="H2705" s="468">
        <v>0</v>
      </c>
      <c r="I2705" s="751"/>
      <c r="J2705" s="878"/>
      <c r="K2705" s="789">
        <f>'Parâmetros financeiros Despesa'!E1343</f>
        <v>0</v>
      </c>
      <c r="L2705" s="789">
        <f>'Parâmetros financeiros Despesa'!F1343</f>
        <v>0.2</v>
      </c>
      <c r="M2705" s="799">
        <f t="shared" si="453"/>
        <v>1.7538830534578301E-6</v>
      </c>
      <c r="N2705" s="894"/>
      <c r="P2705" s="733"/>
    </row>
    <row r="2706" spans="1:16" s="115" customFormat="1" ht="30.75" customHeight="1" x14ac:dyDescent="0.25">
      <c r="A2706" s="396"/>
      <c r="B2706" s="1398" t="s">
        <v>8654</v>
      </c>
      <c r="C2706" s="1398"/>
      <c r="D2706" s="1398"/>
      <c r="E2706" s="854">
        <v>333933000000000</v>
      </c>
      <c r="F2706" s="855" t="s">
        <v>8663</v>
      </c>
      <c r="G2706" s="468">
        <v>1159</v>
      </c>
      <c r="H2706" s="468">
        <v>0</v>
      </c>
      <c r="I2706" s="751"/>
      <c r="J2706" s="878"/>
      <c r="K2706" s="789">
        <f>'Parâmetros financeiros Despesa'!E1344</f>
        <v>0</v>
      </c>
      <c r="L2706" s="789">
        <f>'Parâmetros financeiros Despesa'!F1344</f>
        <v>1</v>
      </c>
      <c r="M2706" s="799">
        <f t="shared" si="453"/>
        <v>8.7694152672891498E-6</v>
      </c>
      <c r="N2706" s="894"/>
      <c r="P2706" s="733"/>
    </row>
    <row r="2707" spans="1:16" s="115" customFormat="1" ht="15" customHeight="1" x14ac:dyDescent="0.25">
      <c r="A2707" s="396"/>
      <c r="B2707" s="1398" t="s">
        <v>8655</v>
      </c>
      <c r="C2707" s="1398"/>
      <c r="D2707" s="1398"/>
      <c r="E2707" s="854">
        <v>344905200000000</v>
      </c>
      <c r="F2707" s="855" t="s">
        <v>8662</v>
      </c>
      <c r="G2707" s="468">
        <v>1159</v>
      </c>
      <c r="H2707" s="468">
        <v>0</v>
      </c>
      <c r="I2707" s="751"/>
      <c r="J2707" s="878"/>
      <c r="K2707" s="789">
        <f>'Parâmetros financeiros Despesa'!E1345</f>
        <v>0</v>
      </c>
      <c r="L2707" s="789">
        <f>'Parâmetros financeiros Despesa'!F1345</f>
        <v>8095.8</v>
      </c>
      <c r="M2707" s="799">
        <f>L2707/L$2711</f>
        <v>7.0995432120919494E-2</v>
      </c>
      <c r="N2707" s="894"/>
      <c r="P2707" s="733"/>
    </row>
    <row r="2708" spans="1:16" s="820" customFormat="1" ht="15" customHeight="1" x14ac:dyDescent="0.25">
      <c r="B2708" s="864" t="s">
        <v>11469</v>
      </c>
      <c r="C2708" s="864"/>
      <c r="D2708" s="864"/>
      <c r="E2708" s="864"/>
      <c r="F2708" s="864"/>
      <c r="G2708" s="864"/>
      <c r="H2708" s="864"/>
      <c r="I2708" s="864"/>
      <c r="J2708" s="864"/>
      <c r="K2708" s="863">
        <f>K2697+K2612+K2593+K2584</f>
        <v>40964.618912499995</v>
      </c>
      <c r="L2708" s="863">
        <f>L2697+L2612+L2593+L2584</f>
        <v>114032.6985567965</v>
      </c>
      <c r="M2708" s="452">
        <f>L2708/L$2711</f>
        <v>1.0000000876941526</v>
      </c>
      <c r="N2708" s="796"/>
      <c r="P2708" s="399"/>
    </row>
    <row r="2709" spans="1:16" s="31" customFormat="1" ht="15" customHeight="1" x14ac:dyDescent="0.25">
      <c r="B2709" s="869" t="s">
        <v>745</v>
      </c>
      <c r="C2709" s="869"/>
      <c r="D2709" s="869"/>
      <c r="E2709" s="869"/>
      <c r="F2709" s="869"/>
      <c r="G2709" s="869"/>
      <c r="H2709" s="869"/>
      <c r="I2709" s="869"/>
      <c r="J2709" s="869"/>
      <c r="K2709" s="870">
        <f>K2708</f>
        <v>40964.618912499995</v>
      </c>
      <c r="L2709" s="870">
        <f>L2708-L2710-0.01</f>
        <v>100932.68855679651</v>
      </c>
      <c r="M2709" s="871">
        <f t="shared" ref="M2709:M2710" si="454">L2709/L$2711</f>
        <v>0.88512065999851219</v>
      </c>
      <c r="N2709" s="897"/>
      <c r="P2709" s="736"/>
    </row>
    <row r="2710" spans="1:16" s="31" customFormat="1" ht="15" customHeight="1" x14ac:dyDescent="0.25">
      <c r="B2710" s="869" t="s">
        <v>11509</v>
      </c>
      <c r="C2710" s="869"/>
      <c r="D2710" s="869"/>
      <c r="E2710" s="869"/>
      <c r="F2710" s="869"/>
      <c r="G2710" s="869"/>
      <c r="H2710" s="869"/>
      <c r="I2710" s="869"/>
      <c r="J2710" s="869"/>
      <c r="K2710" s="870">
        <v>0</v>
      </c>
      <c r="L2710" s="870">
        <v>13100</v>
      </c>
      <c r="M2710" s="871">
        <f t="shared" si="454"/>
        <v>0.11487934000148786</v>
      </c>
      <c r="N2710" s="897"/>
      <c r="P2710" s="736"/>
    </row>
    <row r="2711" spans="1:16" s="115" customFormat="1" ht="15" customHeight="1" x14ac:dyDescent="0.25">
      <c r="B2711" s="864" t="s">
        <v>2172</v>
      </c>
      <c r="C2711" s="864"/>
      <c r="D2711" s="864"/>
      <c r="E2711" s="864"/>
      <c r="F2711" s="864"/>
      <c r="G2711" s="864"/>
      <c r="H2711" s="864"/>
      <c r="I2711" s="864"/>
      <c r="J2711" s="864"/>
      <c r="K2711" s="863">
        <f>K2710+K2709</f>
        <v>40964.618912499995</v>
      </c>
      <c r="L2711" s="863">
        <f>L2710+L2709</f>
        <v>114032.68855679651</v>
      </c>
      <c r="M2711" s="452">
        <f>L2711/L$2711</f>
        <v>1</v>
      </c>
      <c r="O2711" s="796"/>
      <c r="P2711" s="733"/>
    </row>
    <row r="2713" spans="1:16" s="435" customFormat="1" ht="15" customHeight="1" x14ac:dyDescent="0.25">
      <c r="B2713" s="759" t="s">
        <v>989</v>
      </c>
      <c r="C2713" s="759"/>
      <c r="D2713" s="481"/>
      <c r="E2713" s="1371" t="s">
        <v>7911</v>
      </c>
      <c r="F2713" s="1371"/>
      <c r="G2713" s="1371"/>
      <c r="H2713" s="1371"/>
      <c r="I2713" s="1371"/>
      <c r="J2713" s="437"/>
      <c r="K2713" s="940"/>
      <c r="L2713" s="438"/>
      <c r="M2713" s="449"/>
      <c r="N2713" s="892"/>
      <c r="P2713" s="732"/>
    </row>
    <row r="2714" spans="1:16" s="435" customFormat="1" ht="15" customHeight="1" x14ac:dyDescent="0.25">
      <c r="B2714" s="759" t="s">
        <v>458</v>
      </c>
      <c r="C2714" s="759"/>
      <c r="D2714" s="481"/>
      <c r="E2714" s="1371" t="s">
        <v>8664</v>
      </c>
      <c r="F2714" s="1371"/>
      <c r="G2714" s="1371"/>
      <c r="H2714" s="1371"/>
      <c r="I2714" s="1371"/>
      <c r="J2714" s="437"/>
      <c r="K2714" s="940"/>
      <c r="L2714" s="438"/>
      <c r="M2714" s="449"/>
      <c r="N2714" s="892"/>
      <c r="P2714" s="732"/>
    </row>
    <row r="2715" spans="1:16" s="435" customFormat="1" ht="15" customHeight="1" x14ac:dyDescent="0.25">
      <c r="B2715" s="760" t="s">
        <v>5764</v>
      </c>
      <c r="C2715" s="760"/>
      <c r="D2715" s="760"/>
      <c r="E2715" s="1371" t="s">
        <v>749</v>
      </c>
      <c r="F2715" s="1371"/>
      <c r="G2715" s="1371"/>
      <c r="H2715" s="1371"/>
      <c r="I2715" s="1371"/>
      <c r="J2715" s="440"/>
      <c r="K2715" s="941"/>
      <c r="L2715" s="438"/>
      <c r="M2715" s="449"/>
      <c r="N2715" s="892"/>
      <c r="P2715" s="732"/>
    </row>
    <row r="2716" spans="1:16" s="435" customFormat="1" ht="15" customHeight="1" x14ac:dyDescent="0.25">
      <c r="B2716" s="850"/>
      <c r="C2716" s="850"/>
      <c r="D2716" s="850"/>
      <c r="E2716" s="848"/>
      <c r="F2716" s="848"/>
      <c r="G2716" s="848"/>
      <c r="H2716" s="848"/>
      <c r="I2716" s="848"/>
      <c r="J2716" s="440"/>
      <c r="K2716" s="941"/>
      <c r="L2716" s="438"/>
      <c r="M2716" s="449"/>
      <c r="N2716" s="892"/>
      <c r="P2716" s="732"/>
    </row>
    <row r="2717" spans="1:16" s="851" customFormat="1" ht="113.25" customHeight="1" x14ac:dyDescent="0.25">
      <c r="A2717" s="396"/>
      <c r="B2717" s="1400" t="s">
        <v>2296</v>
      </c>
      <c r="C2717" s="1400"/>
      <c r="D2717" s="1400"/>
      <c r="E2717" s="1384" t="s">
        <v>2297</v>
      </c>
      <c r="F2717" s="1384"/>
      <c r="G2717" s="443" t="s">
        <v>444</v>
      </c>
      <c r="H2717" s="443" t="s">
        <v>2245</v>
      </c>
      <c r="I2717" s="444" t="s">
        <v>5725</v>
      </c>
      <c r="J2717" s="849" t="s">
        <v>2275</v>
      </c>
      <c r="K2717" s="893" t="s">
        <v>11644</v>
      </c>
      <c r="L2717" s="972" t="s">
        <v>11522</v>
      </c>
      <c r="M2717" s="450" t="s">
        <v>235</v>
      </c>
      <c r="N2717" s="796"/>
      <c r="P2717" s="399"/>
    </row>
    <row r="2718" spans="1:16" s="761" customFormat="1" ht="15" customHeight="1" x14ac:dyDescent="0.25">
      <c r="A2718" s="397"/>
      <c r="B2718" s="1385" t="s">
        <v>8666</v>
      </c>
      <c r="C2718" s="1385"/>
      <c r="D2718" s="1385"/>
      <c r="E2718" s="1385"/>
      <c r="F2718" s="1385"/>
      <c r="G2718" s="401"/>
      <c r="H2718" s="401"/>
      <c r="I2718" s="426"/>
      <c r="J2718" s="411"/>
      <c r="K2718" s="402">
        <f t="shared" ref="K2718:L2720" si="455">K2719</f>
        <v>107333.12999999999</v>
      </c>
      <c r="L2718" s="402">
        <f t="shared" si="455"/>
        <v>141501.16</v>
      </c>
      <c r="M2718" s="451">
        <f>L2718/L$2748</f>
        <v>0.99297554507243957</v>
      </c>
      <c r="N2718" s="796"/>
      <c r="P2718" s="399"/>
    </row>
    <row r="2719" spans="1:16" s="761" customFormat="1" ht="15" customHeight="1" x14ac:dyDescent="0.25">
      <c r="A2719" s="397"/>
      <c r="B2719" s="1386" t="s">
        <v>8665</v>
      </c>
      <c r="C2719" s="1386"/>
      <c r="D2719" s="1386"/>
      <c r="E2719" s="1386"/>
      <c r="F2719" s="1386"/>
      <c r="G2719" s="403"/>
      <c r="H2719" s="403"/>
      <c r="I2719" s="427"/>
      <c r="J2719" s="412"/>
      <c r="K2719" s="404">
        <f t="shared" si="455"/>
        <v>107333.12999999999</v>
      </c>
      <c r="L2719" s="404">
        <f t="shared" si="455"/>
        <v>141501.16</v>
      </c>
      <c r="M2719" s="452">
        <f>L2719/L$2748</f>
        <v>0.99297554507243957</v>
      </c>
      <c r="N2719" s="796"/>
      <c r="P2719" s="399"/>
    </row>
    <row r="2720" spans="1:16" s="761" customFormat="1" ht="15" customHeight="1" x14ac:dyDescent="0.25">
      <c r="A2720" s="397"/>
      <c r="B2720" s="1382" t="s">
        <v>8565</v>
      </c>
      <c r="C2720" s="1382"/>
      <c r="D2720" s="1382"/>
      <c r="E2720" s="1382"/>
      <c r="F2720" s="1382"/>
      <c r="G2720" s="405"/>
      <c r="H2720" s="405"/>
      <c r="I2720" s="428"/>
      <c r="J2720" s="413"/>
      <c r="K2720" s="406">
        <f t="shared" si="455"/>
        <v>107333.12999999999</v>
      </c>
      <c r="L2720" s="406">
        <f t="shared" si="455"/>
        <v>141501.16</v>
      </c>
      <c r="M2720" s="453">
        <f>L2720/L$2748</f>
        <v>0.99297554507243957</v>
      </c>
      <c r="N2720" s="796"/>
      <c r="P2720" s="399"/>
    </row>
    <row r="2721" spans="1:16" s="761" customFormat="1" ht="15" customHeight="1" x14ac:dyDescent="0.25">
      <c r="A2721" s="397"/>
      <c r="B2721" s="1383" t="s">
        <v>8667</v>
      </c>
      <c r="C2721" s="1383"/>
      <c r="D2721" s="1383"/>
      <c r="E2721" s="1383"/>
      <c r="F2721" s="1383"/>
      <c r="G2721" s="407"/>
      <c r="H2721" s="407"/>
      <c r="I2721" s="429"/>
      <c r="J2721" s="414"/>
      <c r="K2721" s="408">
        <f>SUM(K2722:K2733)</f>
        <v>107333.12999999999</v>
      </c>
      <c r="L2721" s="408">
        <f>SUM(L2722:L2733)</f>
        <v>141501.16</v>
      </c>
      <c r="M2721" s="454">
        <f>L2721/L$2748</f>
        <v>0.99297554507243957</v>
      </c>
      <c r="N2721" s="796"/>
      <c r="P2721" s="399"/>
    </row>
    <row r="2722" spans="1:16" s="115" customFormat="1" ht="15" customHeight="1" x14ac:dyDescent="0.25">
      <c r="A2722" s="396"/>
      <c r="B2722" s="1396">
        <v>470000</v>
      </c>
      <c r="C2722" s="1396"/>
      <c r="D2722" s="1396"/>
      <c r="E2722" s="854">
        <v>333901400000000</v>
      </c>
      <c r="F2722" s="855" t="s">
        <v>8690</v>
      </c>
      <c r="G2722" s="468">
        <v>1</v>
      </c>
      <c r="H2722" s="468">
        <v>0</v>
      </c>
      <c r="I2722" s="751"/>
      <c r="J2722" s="878"/>
      <c r="K2722" s="789">
        <f>('Parâmetros financeiros Despesa'!E1351)</f>
        <v>0</v>
      </c>
      <c r="L2722" s="789">
        <f>('Parâmetros financeiros Despesa'!F1351)</f>
        <v>2000</v>
      </c>
      <c r="M2722" s="799">
        <f>L2722/L$2748</f>
        <v>1.4034874980140652E-2</v>
      </c>
      <c r="N2722" s="894"/>
      <c r="O2722" s="796"/>
      <c r="P2722" s="733"/>
    </row>
    <row r="2723" spans="1:16" s="115" customFormat="1" ht="15" customHeight="1" x14ac:dyDescent="0.25">
      <c r="A2723" s="396"/>
      <c r="B2723" s="1396">
        <v>470100</v>
      </c>
      <c r="C2723" s="1396"/>
      <c r="D2723" s="1396"/>
      <c r="E2723" s="854">
        <v>333903000000000</v>
      </c>
      <c r="F2723" s="855" t="s">
        <v>8668</v>
      </c>
      <c r="G2723" s="468">
        <v>1</v>
      </c>
      <c r="H2723" s="468">
        <v>0</v>
      </c>
      <c r="I2723" s="751"/>
      <c r="J2723" s="878"/>
      <c r="K2723" s="789">
        <f>('Parâmetros financeiros Despesa'!E1352)</f>
        <v>11477.07</v>
      </c>
      <c r="L2723" s="789">
        <f>('Parâmetros financeiros Despesa'!F1352)</f>
        <v>15000</v>
      </c>
      <c r="M2723" s="799">
        <f t="shared" ref="M2723:M2733" si="456">L2723/L$2748</f>
        <v>0.10526156235105488</v>
      </c>
      <c r="N2723" s="894"/>
      <c r="O2723" s="796"/>
      <c r="P2723" s="733"/>
    </row>
    <row r="2724" spans="1:16" s="115" customFormat="1" ht="15" customHeight="1" x14ac:dyDescent="0.25">
      <c r="A2724" s="396"/>
      <c r="B2724" s="1396">
        <v>470180</v>
      </c>
      <c r="C2724" s="1396"/>
      <c r="D2724" s="1396"/>
      <c r="E2724" s="854">
        <v>333903100000000</v>
      </c>
      <c r="F2724" s="855" t="s">
        <v>11595</v>
      </c>
      <c r="G2724" s="468">
        <v>1</v>
      </c>
      <c r="H2724" s="468">
        <v>0</v>
      </c>
      <c r="I2724" s="751"/>
      <c r="J2724" s="878"/>
      <c r="K2724" s="789">
        <f>('Parâmetros financeiros Despesa'!E1353)</f>
        <v>5700</v>
      </c>
      <c r="L2724" s="789">
        <f>('Parâmetros financeiros Despesa'!F1353)</f>
        <v>6000</v>
      </c>
      <c r="M2724" s="799">
        <f t="shared" si="456"/>
        <v>4.2104624940421956E-2</v>
      </c>
      <c r="N2724" s="894"/>
      <c r="O2724" s="796"/>
      <c r="P2724" s="733"/>
    </row>
    <row r="2725" spans="1:16" s="115" customFormat="1" ht="15" customHeight="1" x14ac:dyDescent="0.25">
      <c r="A2725" s="396"/>
      <c r="B2725" s="1396">
        <v>470200</v>
      </c>
      <c r="C2725" s="1396"/>
      <c r="D2725" s="1396"/>
      <c r="E2725" s="854">
        <v>333903200000000</v>
      </c>
      <c r="F2725" s="855" t="s">
        <v>8669</v>
      </c>
      <c r="G2725" s="468">
        <v>1</v>
      </c>
      <c r="H2725" s="468">
        <v>0</v>
      </c>
      <c r="I2725" s="751"/>
      <c r="J2725" s="878"/>
      <c r="K2725" s="789">
        <f>('Parâmetros financeiros Despesa'!E1354)</f>
        <v>0</v>
      </c>
      <c r="L2725" s="789">
        <f>('Parâmetros financeiros Despesa'!F1354)</f>
        <v>2500</v>
      </c>
      <c r="M2725" s="799">
        <f t="shared" si="456"/>
        <v>1.7543593725175815E-2</v>
      </c>
      <c r="N2725" s="894"/>
      <c r="O2725" s="796"/>
      <c r="P2725" s="733"/>
    </row>
    <row r="2726" spans="1:16" s="115" customFormat="1" ht="15" customHeight="1" x14ac:dyDescent="0.25">
      <c r="A2726" s="396"/>
      <c r="B2726" s="1396">
        <v>470300</v>
      </c>
      <c r="C2726" s="1396"/>
      <c r="D2726" s="1396"/>
      <c r="E2726" s="854">
        <v>333903300000000</v>
      </c>
      <c r="F2726" s="855" t="s">
        <v>8691</v>
      </c>
      <c r="G2726" s="468">
        <v>1</v>
      </c>
      <c r="H2726" s="468">
        <v>0</v>
      </c>
      <c r="I2726" s="751"/>
      <c r="J2726" s="878"/>
      <c r="K2726" s="789">
        <f>('Parâmetros financeiros Despesa'!E1355)</f>
        <v>0</v>
      </c>
      <c r="L2726" s="789">
        <f>('Parâmetros financeiros Despesa'!F1355)</f>
        <v>500</v>
      </c>
      <c r="M2726" s="799">
        <f t="shared" si="456"/>
        <v>3.508718745035163E-3</v>
      </c>
      <c r="N2726" s="894"/>
      <c r="O2726" s="796"/>
      <c r="P2726" s="733"/>
    </row>
    <row r="2727" spans="1:16" s="115" customFormat="1" ht="15" customHeight="1" x14ac:dyDescent="0.25">
      <c r="A2727" s="396"/>
      <c r="B2727" s="1398" t="s">
        <v>8676</v>
      </c>
      <c r="C2727" s="1398"/>
      <c r="D2727" s="1398"/>
      <c r="E2727" s="854">
        <v>333903600000000</v>
      </c>
      <c r="F2727" s="855" t="s">
        <v>8670</v>
      </c>
      <c r="G2727" s="468">
        <v>1</v>
      </c>
      <c r="H2727" s="468">
        <v>0</v>
      </c>
      <c r="I2727" s="751"/>
      <c r="J2727" s="878"/>
      <c r="K2727" s="789">
        <f>('Parâmetros financeiros Despesa'!E1356)</f>
        <v>14681</v>
      </c>
      <c r="L2727" s="789">
        <f>('Parâmetros financeiros Despesa'!F1356)</f>
        <v>18000</v>
      </c>
      <c r="M2727" s="799">
        <f t="shared" si="456"/>
        <v>0.12631387482126585</v>
      </c>
      <c r="N2727" s="894"/>
      <c r="O2727" s="796"/>
      <c r="P2727" s="733"/>
    </row>
    <row r="2728" spans="1:16" s="115" customFormat="1" ht="15" customHeight="1" x14ac:dyDescent="0.25">
      <c r="A2728" s="396"/>
      <c r="B2728" s="1398" t="s">
        <v>8677</v>
      </c>
      <c r="C2728" s="1398"/>
      <c r="D2728" s="1398"/>
      <c r="E2728" s="854">
        <v>333903900000000</v>
      </c>
      <c r="F2728" s="855" t="s">
        <v>8671</v>
      </c>
      <c r="G2728" s="468">
        <v>1</v>
      </c>
      <c r="H2728" s="468">
        <v>0</v>
      </c>
      <c r="I2728" s="751"/>
      <c r="J2728" s="878"/>
      <c r="K2728" s="789">
        <f>('Parâmetros financeiros Despesa'!E1357)</f>
        <v>72602.8</v>
      </c>
      <c r="L2728" s="789">
        <f>('Parâmetros financeiros Despesa'!F1357)</f>
        <v>78401.16</v>
      </c>
      <c r="M2728" s="799">
        <f t="shared" si="456"/>
        <v>0.55017523944900204</v>
      </c>
      <c r="N2728" s="894"/>
      <c r="O2728" s="796"/>
      <c r="P2728" s="733"/>
    </row>
    <row r="2729" spans="1:16" s="115" customFormat="1" ht="15" customHeight="1" x14ac:dyDescent="0.25">
      <c r="A2729" s="396"/>
      <c r="B2729" s="1398" t="s">
        <v>11507</v>
      </c>
      <c r="C2729" s="1398"/>
      <c r="D2729" s="1398"/>
      <c r="E2729" s="854">
        <v>333904700000000</v>
      </c>
      <c r="F2729" s="855" t="s">
        <v>8672</v>
      </c>
      <c r="G2729" s="468">
        <v>1</v>
      </c>
      <c r="H2729" s="468">
        <v>0</v>
      </c>
      <c r="I2729" s="751"/>
      <c r="J2729" s="878"/>
      <c r="K2729" s="789">
        <f>('Parâmetros financeiros Despesa'!E1358)</f>
        <v>2872.26</v>
      </c>
      <c r="L2729" s="789">
        <f>('Parâmetros financeiros Despesa'!F1358)</f>
        <v>3600</v>
      </c>
      <c r="M2729" s="799">
        <f t="shared" si="456"/>
        <v>2.5262774964253172E-2</v>
      </c>
      <c r="N2729" s="894"/>
      <c r="O2729" s="796"/>
      <c r="P2729" s="733"/>
    </row>
    <row r="2730" spans="1:16" s="115" customFormat="1" ht="15" customHeight="1" x14ac:dyDescent="0.25">
      <c r="A2730" s="396"/>
      <c r="B2730" s="1398" t="s">
        <v>8678</v>
      </c>
      <c r="C2730" s="1398"/>
      <c r="D2730" s="1398"/>
      <c r="E2730" s="854">
        <v>333909300000000</v>
      </c>
      <c r="F2730" s="855" t="s">
        <v>8692</v>
      </c>
      <c r="G2730" s="468">
        <v>1</v>
      </c>
      <c r="H2730" s="468">
        <v>0</v>
      </c>
      <c r="I2730" s="751"/>
      <c r="J2730" s="878"/>
      <c r="K2730" s="789">
        <f>('Parâmetros financeiros Despesa'!E1359)</f>
        <v>0</v>
      </c>
      <c r="L2730" s="789">
        <f>('Parâmetros financeiros Despesa'!F1359)</f>
        <v>1500</v>
      </c>
      <c r="M2730" s="799">
        <f t="shared" si="456"/>
        <v>1.0526156235105489E-2</v>
      </c>
      <c r="N2730" s="894"/>
      <c r="O2730" s="796"/>
      <c r="P2730" s="733"/>
    </row>
    <row r="2731" spans="1:16" s="115" customFormat="1" ht="15" customHeight="1" x14ac:dyDescent="0.25">
      <c r="A2731" s="396"/>
      <c r="B2731" s="1398" t="s">
        <v>8679</v>
      </c>
      <c r="C2731" s="1398"/>
      <c r="D2731" s="1398"/>
      <c r="E2731" s="854">
        <v>333933000000000</v>
      </c>
      <c r="F2731" s="855" t="s">
        <v>8673</v>
      </c>
      <c r="G2731" s="468">
        <v>1</v>
      </c>
      <c r="H2731" s="468">
        <v>0</v>
      </c>
      <c r="I2731" s="751"/>
      <c r="J2731" s="878"/>
      <c r="K2731" s="789">
        <f>('Parâmetros financeiros Despesa'!E1360)</f>
        <v>0</v>
      </c>
      <c r="L2731" s="789">
        <f>('Parâmetros financeiros Despesa'!F1360)</f>
        <v>1000</v>
      </c>
      <c r="M2731" s="799">
        <f t="shared" si="456"/>
        <v>7.017437490070326E-3</v>
      </c>
      <c r="N2731" s="894"/>
      <c r="O2731" s="796"/>
      <c r="P2731" s="733"/>
    </row>
    <row r="2732" spans="1:16" s="115" customFormat="1" ht="15" customHeight="1" x14ac:dyDescent="0.25">
      <c r="A2732" s="396"/>
      <c r="B2732" s="1398" t="s">
        <v>8693</v>
      </c>
      <c r="C2732" s="1398"/>
      <c r="D2732" s="1398"/>
      <c r="E2732" s="854">
        <v>344905100000000</v>
      </c>
      <c r="F2732" s="855" t="s">
        <v>8675</v>
      </c>
      <c r="G2732" s="468">
        <v>1</v>
      </c>
      <c r="H2732" s="468">
        <v>0</v>
      </c>
      <c r="I2732" s="751"/>
      <c r="J2732" s="878"/>
      <c r="K2732" s="789">
        <f>('Parâmetros financeiros Despesa'!E1361)</f>
        <v>0</v>
      </c>
      <c r="L2732" s="789">
        <f>('Parâmetros financeiros Despesa'!F1361)</f>
        <v>8000</v>
      </c>
      <c r="M2732" s="799">
        <f t="shared" si="456"/>
        <v>5.6139499920562608E-2</v>
      </c>
      <c r="N2732" s="894"/>
      <c r="O2732" s="796"/>
      <c r="P2732" s="733"/>
    </row>
    <row r="2733" spans="1:16" s="115" customFormat="1" ht="15" customHeight="1" x14ac:dyDescent="0.25">
      <c r="A2733" s="396"/>
      <c r="B2733" s="1398" t="s">
        <v>8694</v>
      </c>
      <c r="C2733" s="1398"/>
      <c r="D2733" s="1398"/>
      <c r="E2733" s="854">
        <v>344905200000000</v>
      </c>
      <c r="F2733" s="855" t="s">
        <v>8674</v>
      </c>
      <c r="G2733" s="468">
        <v>1</v>
      </c>
      <c r="H2733" s="468">
        <v>0</v>
      </c>
      <c r="I2733" s="751"/>
      <c r="J2733" s="878"/>
      <c r="K2733" s="789">
        <f>('Parâmetros financeiros Despesa'!E1362)</f>
        <v>0</v>
      </c>
      <c r="L2733" s="789">
        <f>('Parâmetros financeiros Despesa'!F1362)</f>
        <v>5000</v>
      </c>
      <c r="M2733" s="799">
        <f t="shared" si="456"/>
        <v>3.508718745035163E-2</v>
      </c>
      <c r="N2733" s="894"/>
      <c r="O2733" s="796"/>
      <c r="P2733" s="733"/>
    </row>
    <row r="2734" spans="1:16" s="761" customFormat="1" ht="15" customHeight="1" x14ac:dyDescent="0.25">
      <c r="A2734" s="397"/>
      <c r="B2734" s="1385" t="s">
        <v>8666</v>
      </c>
      <c r="C2734" s="1385"/>
      <c r="D2734" s="1385"/>
      <c r="E2734" s="1385"/>
      <c r="F2734" s="1385"/>
      <c r="G2734" s="401"/>
      <c r="H2734" s="401"/>
      <c r="I2734" s="426"/>
      <c r="J2734" s="411"/>
      <c r="K2734" s="402">
        <f t="shared" ref="K2734:L2736" si="457">K2735</f>
        <v>0</v>
      </c>
      <c r="L2734" s="402">
        <f t="shared" si="457"/>
        <v>1001</v>
      </c>
      <c r="M2734" s="451">
        <f>L2734/L$2748</f>
        <v>7.024454927560396E-3</v>
      </c>
      <c r="N2734" s="796"/>
      <c r="P2734" s="399"/>
    </row>
    <row r="2735" spans="1:16" s="761" customFormat="1" ht="15" customHeight="1" x14ac:dyDescent="0.25">
      <c r="A2735" s="397"/>
      <c r="B2735" s="1386" t="s">
        <v>8680</v>
      </c>
      <c r="C2735" s="1386"/>
      <c r="D2735" s="1386"/>
      <c r="E2735" s="1386"/>
      <c r="F2735" s="1386"/>
      <c r="G2735" s="403"/>
      <c r="H2735" s="403"/>
      <c r="I2735" s="427"/>
      <c r="J2735" s="412"/>
      <c r="K2735" s="404">
        <f t="shared" si="457"/>
        <v>0</v>
      </c>
      <c r="L2735" s="404">
        <f t="shared" si="457"/>
        <v>1001</v>
      </c>
      <c r="M2735" s="452">
        <f>L2735/L$2748</f>
        <v>7.024454927560396E-3</v>
      </c>
      <c r="N2735" s="796"/>
      <c r="P2735" s="399"/>
    </row>
    <row r="2736" spans="1:16" s="761" customFormat="1" ht="15" customHeight="1" x14ac:dyDescent="0.25">
      <c r="A2736" s="397"/>
      <c r="B2736" s="1382" t="s">
        <v>8565</v>
      </c>
      <c r="C2736" s="1382"/>
      <c r="D2736" s="1382"/>
      <c r="E2736" s="1382"/>
      <c r="F2736" s="1382"/>
      <c r="G2736" s="405"/>
      <c r="H2736" s="405"/>
      <c r="I2736" s="428"/>
      <c r="J2736" s="413"/>
      <c r="K2736" s="406">
        <f t="shared" si="457"/>
        <v>0</v>
      </c>
      <c r="L2736" s="406">
        <f t="shared" si="457"/>
        <v>1001</v>
      </c>
      <c r="M2736" s="453">
        <f>L2736/L$2748</f>
        <v>7.024454927560396E-3</v>
      </c>
      <c r="N2736" s="796"/>
      <c r="P2736" s="399"/>
    </row>
    <row r="2737" spans="1:16" s="761" customFormat="1" ht="15" customHeight="1" x14ac:dyDescent="0.25">
      <c r="A2737" s="397"/>
      <c r="B2737" s="1383" t="s">
        <v>8667</v>
      </c>
      <c r="C2737" s="1383"/>
      <c r="D2737" s="1383"/>
      <c r="E2737" s="1383"/>
      <c r="F2737" s="1383"/>
      <c r="G2737" s="407"/>
      <c r="H2737" s="407"/>
      <c r="I2737" s="429"/>
      <c r="J2737" s="414"/>
      <c r="K2737" s="408">
        <f>SUM(K2738:K2744)</f>
        <v>0</v>
      </c>
      <c r="L2737" s="408">
        <f>SUM(L2738:L2744)</f>
        <v>1001</v>
      </c>
      <c r="M2737" s="454">
        <f>L2737/L$2748</f>
        <v>7.024454927560396E-3</v>
      </c>
      <c r="N2737" s="796"/>
      <c r="P2737" s="399"/>
    </row>
    <row r="2738" spans="1:16" s="115" customFormat="1" ht="15" customHeight="1" x14ac:dyDescent="0.25">
      <c r="A2738" s="396"/>
      <c r="B2738" s="1398" t="s">
        <v>8695</v>
      </c>
      <c r="C2738" s="1398"/>
      <c r="D2738" s="1398"/>
      <c r="E2738" s="854">
        <v>333904700000000</v>
      </c>
      <c r="F2738" s="855" t="s">
        <v>8685</v>
      </c>
      <c r="G2738" s="468">
        <v>1091</v>
      </c>
      <c r="H2738" s="468">
        <v>0</v>
      </c>
      <c r="I2738" s="751"/>
      <c r="J2738" s="878"/>
      <c r="K2738" s="789">
        <f>'Parâmetros financeiros Despesa'!E1364</f>
        <v>0</v>
      </c>
      <c r="L2738" s="789">
        <f>'Parâmetros financeiros Despesa'!F1364</f>
        <v>1</v>
      </c>
      <c r="M2738" s="799">
        <f>L2738/L$2748</f>
        <v>7.0174374900703259E-6</v>
      </c>
      <c r="N2738" s="894"/>
      <c r="P2738" s="733"/>
    </row>
    <row r="2739" spans="1:16" s="115" customFormat="1" ht="15" customHeight="1" x14ac:dyDescent="0.25">
      <c r="A2739" s="396"/>
      <c r="B2739" s="1396">
        <v>471100</v>
      </c>
      <c r="C2739" s="1396"/>
      <c r="D2739" s="1396"/>
      <c r="E2739" s="854">
        <v>344209300000000</v>
      </c>
      <c r="F2739" s="855" t="s">
        <v>8681</v>
      </c>
      <c r="G2739" s="468">
        <v>1091</v>
      </c>
      <c r="H2739" s="468">
        <v>0</v>
      </c>
      <c r="I2739" s="751"/>
      <c r="J2739" s="878"/>
      <c r="K2739" s="789">
        <f>'Parâmetros financeiros Despesa'!E1365</f>
        <v>0</v>
      </c>
      <c r="L2739" s="789">
        <f>'Parâmetros financeiros Despesa'!F1365</f>
        <v>1</v>
      </c>
      <c r="M2739" s="799">
        <f t="shared" ref="M2739:M2744" si="458">L2739/L$2748</f>
        <v>7.0174374900703259E-6</v>
      </c>
      <c r="N2739" s="894"/>
      <c r="P2739" s="733"/>
    </row>
    <row r="2740" spans="1:16" s="115" customFormat="1" ht="15" customHeight="1" x14ac:dyDescent="0.25">
      <c r="A2740" s="396"/>
      <c r="B2740" s="1396">
        <v>471200</v>
      </c>
      <c r="C2740" s="1396"/>
      <c r="D2740" s="1396"/>
      <c r="E2740" s="854">
        <v>344903000000000</v>
      </c>
      <c r="F2740" s="855" t="s">
        <v>8682</v>
      </c>
      <c r="G2740" s="468">
        <v>1091</v>
      </c>
      <c r="H2740" s="468">
        <v>0</v>
      </c>
      <c r="I2740" s="751"/>
      <c r="J2740" s="878"/>
      <c r="K2740" s="789">
        <f>'Parâmetros financeiros Despesa'!E1366</f>
        <v>0</v>
      </c>
      <c r="L2740" s="789">
        <f>'Parâmetros financeiros Despesa'!F1366</f>
        <v>1</v>
      </c>
      <c r="M2740" s="799">
        <f t="shared" si="458"/>
        <v>7.0174374900703259E-6</v>
      </c>
      <c r="N2740" s="894"/>
      <c r="P2740" s="733"/>
    </row>
    <row r="2741" spans="1:16" s="115" customFormat="1" ht="15" customHeight="1" x14ac:dyDescent="0.25">
      <c r="A2741" s="396"/>
      <c r="B2741" s="1398" t="s">
        <v>8686</v>
      </c>
      <c r="C2741" s="1398"/>
      <c r="D2741" s="1398"/>
      <c r="E2741" s="854">
        <v>344903600000000</v>
      </c>
      <c r="F2741" s="855" t="s">
        <v>8683</v>
      </c>
      <c r="G2741" s="468">
        <v>1091</v>
      </c>
      <c r="H2741" s="468">
        <v>0</v>
      </c>
      <c r="I2741" s="751"/>
      <c r="J2741" s="878"/>
      <c r="K2741" s="789">
        <f>'Parâmetros financeiros Despesa'!E1367</f>
        <v>0</v>
      </c>
      <c r="L2741" s="789">
        <f>'Parâmetros financeiros Despesa'!F1367</f>
        <v>1</v>
      </c>
      <c r="M2741" s="799">
        <f t="shared" si="458"/>
        <v>7.0174374900703259E-6</v>
      </c>
      <c r="N2741" s="894"/>
      <c r="P2741" s="733"/>
    </row>
    <row r="2742" spans="1:16" s="115" customFormat="1" ht="15" customHeight="1" x14ac:dyDescent="0.25">
      <c r="A2742" s="396"/>
      <c r="B2742" s="1398" t="s">
        <v>8687</v>
      </c>
      <c r="C2742" s="1398"/>
      <c r="D2742" s="1398"/>
      <c r="E2742" s="854">
        <v>344903900000000</v>
      </c>
      <c r="F2742" s="855" t="s">
        <v>8684</v>
      </c>
      <c r="G2742" s="468">
        <v>1</v>
      </c>
      <c r="H2742" s="468">
        <v>0</v>
      </c>
      <c r="I2742" s="751"/>
      <c r="J2742" s="878"/>
      <c r="K2742" s="789">
        <f>'Parâmetros financeiros Despesa'!E1368</f>
        <v>0</v>
      </c>
      <c r="L2742" s="789">
        <f>'Parâmetros financeiros Despesa'!F1368</f>
        <v>1</v>
      </c>
      <c r="M2742" s="799">
        <f t="shared" si="458"/>
        <v>7.0174374900703259E-6</v>
      </c>
      <c r="N2742" s="894"/>
      <c r="P2742" s="733"/>
    </row>
    <row r="2743" spans="1:16" s="115" customFormat="1" ht="15" customHeight="1" x14ac:dyDescent="0.25">
      <c r="A2743" s="396"/>
      <c r="B2743" s="1398" t="s">
        <v>8688</v>
      </c>
      <c r="C2743" s="1398"/>
      <c r="D2743" s="1398"/>
      <c r="E2743" s="854">
        <v>344903900000000</v>
      </c>
      <c r="F2743" s="855" t="s">
        <v>8684</v>
      </c>
      <c r="G2743" s="468">
        <v>1091</v>
      </c>
      <c r="H2743" s="468">
        <v>0</v>
      </c>
      <c r="I2743" s="751"/>
      <c r="J2743" s="878"/>
      <c r="K2743" s="789">
        <f>'Parâmetros financeiros Despesa'!E1369</f>
        <v>0</v>
      </c>
      <c r="L2743" s="789">
        <f>'Parâmetros financeiros Despesa'!F1369</f>
        <v>1</v>
      </c>
      <c r="M2743" s="799">
        <f t="shared" si="458"/>
        <v>7.0174374900703259E-6</v>
      </c>
      <c r="N2743" s="894"/>
      <c r="P2743" s="733"/>
    </row>
    <row r="2744" spans="1:16" s="115" customFormat="1" ht="15" customHeight="1" x14ac:dyDescent="0.25">
      <c r="A2744" s="396"/>
      <c r="B2744" s="1398" t="s">
        <v>8689</v>
      </c>
      <c r="C2744" s="1398"/>
      <c r="D2744" s="1398"/>
      <c r="E2744" s="854">
        <v>344905100000000</v>
      </c>
      <c r="F2744" s="855" t="s">
        <v>8696</v>
      </c>
      <c r="G2744" s="468">
        <v>1091</v>
      </c>
      <c r="H2744" s="468">
        <v>0</v>
      </c>
      <c r="I2744" s="751"/>
      <c r="J2744" s="878"/>
      <c r="K2744" s="789">
        <f>'Parâmetros financeiros Despesa'!E1370</f>
        <v>0</v>
      </c>
      <c r="L2744" s="789">
        <f>'Parâmetros financeiros Despesa'!F1370</f>
        <v>995</v>
      </c>
      <c r="M2744" s="799">
        <f t="shared" si="458"/>
        <v>6.9823503026199742E-3</v>
      </c>
      <c r="N2744" s="894"/>
      <c r="P2744" s="733"/>
    </row>
    <row r="2745" spans="1:16" s="820" customFormat="1" ht="15" customHeight="1" x14ac:dyDescent="0.25">
      <c r="B2745" s="864" t="s">
        <v>11469</v>
      </c>
      <c r="C2745" s="864"/>
      <c r="D2745" s="864"/>
      <c r="E2745" s="864"/>
      <c r="F2745" s="864"/>
      <c r="G2745" s="864"/>
      <c r="H2745" s="864"/>
      <c r="I2745" s="864"/>
      <c r="J2745" s="864"/>
      <c r="K2745" s="863">
        <f>K2735+K2719</f>
        <v>107333.12999999999</v>
      </c>
      <c r="L2745" s="863">
        <f>L2735+L2719</f>
        <v>142502.16</v>
      </c>
      <c r="M2745" s="452">
        <f>L2745/L$2748</f>
        <v>1</v>
      </c>
      <c r="N2745" s="796"/>
      <c r="P2745" s="399"/>
    </row>
    <row r="2746" spans="1:16" s="31" customFormat="1" ht="15" customHeight="1" x14ac:dyDescent="0.25">
      <c r="B2746" s="869" t="s">
        <v>745</v>
      </c>
      <c r="C2746" s="869"/>
      <c r="D2746" s="869"/>
      <c r="E2746" s="869"/>
      <c r="F2746" s="869"/>
      <c r="G2746" s="869"/>
      <c r="H2746" s="869"/>
      <c r="I2746" s="869"/>
      <c r="J2746" s="869"/>
      <c r="K2746" s="870">
        <f>K2745</f>
        <v>107333.12999999999</v>
      </c>
      <c r="L2746" s="870">
        <f>L2745-L2747</f>
        <v>141502.16</v>
      </c>
      <c r="M2746" s="871">
        <f>L2746/L$2748</f>
        <v>0.99298256250992967</v>
      </c>
      <c r="N2746" s="897"/>
      <c r="P2746" s="736"/>
    </row>
    <row r="2747" spans="1:16" s="31" customFormat="1" ht="15" customHeight="1" x14ac:dyDescent="0.25">
      <c r="B2747" s="869" t="s">
        <v>11508</v>
      </c>
      <c r="C2747" s="869"/>
      <c r="D2747" s="869"/>
      <c r="E2747" s="869"/>
      <c r="F2747" s="869"/>
      <c r="G2747" s="869"/>
      <c r="H2747" s="869"/>
      <c r="I2747" s="869"/>
      <c r="J2747" s="869"/>
      <c r="K2747" s="870">
        <v>0</v>
      </c>
      <c r="L2747" s="870">
        <v>1000</v>
      </c>
      <c r="M2747" s="871">
        <f>L2747/L$2748</f>
        <v>7.017437490070326E-3</v>
      </c>
      <c r="N2747" s="897"/>
      <c r="P2747" s="736"/>
    </row>
    <row r="2748" spans="1:16" s="115" customFormat="1" ht="15" customHeight="1" x14ac:dyDescent="0.25">
      <c r="B2748" s="864" t="s">
        <v>2172</v>
      </c>
      <c r="C2748" s="864"/>
      <c r="D2748" s="864"/>
      <c r="E2748" s="864"/>
      <c r="F2748" s="864"/>
      <c r="G2748" s="864"/>
      <c r="H2748" s="864"/>
      <c r="I2748" s="864"/>
      <c r="J2748" s="864"/>
      <c r="K2748" s="863">
        <f>K2747+K2746</f>
        <v>107333.12999999999</v>
      </c>
      <c r="L2748" s="863">
        <f>L2747+L2746</f>
        <v>142502.16</v>
      </c>
      <c r="M2748" s="452">
        <f>L2748/L$2748</f>
        <v>1</v>
      </c>
      <c r="O2748" s="796"/>
      <c r="P2748" s="733"/>
    </row>
    <row r="2750" spans="1:16" s="435" customFormat="1" ht="15" customHeight="1" x14ac:dyDescent="0.25">
      <c r="B2750" s="759" t="s">
        <v>989</v>
      </c>
      <c r="C2750" s="759"/>
      <c r="D2750" s="481"/>
      <c r="E2750" s="1371" t="s">
        <v>9485</v>
      </c>
      <c r="F2750" s="1371"/>
      <c r="G2750" s="1371"/>
      <c r="H2750" s="1371"/>
      <c r="I2750" s="1371"/>
      <c r="J2750" s="437"/>
      <c r="K2750" s="940"/>
      <c r="L2750" s="438"/>
      <c r="M2750" s="449"/>
      <c r="N2750" s="892"/>
      <c r="P2750" s="732"/>
    </row>
    <row r="2751" spans="1:16" s="435" customFormat="1" ht="15" customHeight="1" x14ac:dyDescent="0.25">
      <c r="B2751" s="759" t="s">
        <v>458</v>
      </c>
      <c r="C2751" s="759"/>
      <c r="D2751" s="481"/>
      <c r="E2751" s="1371" t="s">
        <v>8697</v>
      </c>
      <c r="F2751" s="1371"/>
      <c r="G2751" s="1371"/>
      <c r="H2751" s="1371"/>
      <c r="I2751" s="1371"/>
      <c r="J2751" s="437"/>
      <c r="K2751" s="940"/>
      <c r="L2751" s="438"/>
      <c r="M2751" s="449"/>
      <c r="N2751" s="892"/>
      <c r="P2751" s="732"/>
    </row>
    <row r="2752" spans="1:16" s="435" customFormat="1" ht="15" customHeight="1" x14ac:dyDescent="0.25">
      <c r="B2752" s="760" t="s">
        <v>5764</v>
      </c>
      <c r="C2752" s="760"/>
      <c r="D2752" s="760"/>
      <c r="E2752" s="1371" t="s">
        <v>749</v>
      </c>
      <c r="F2752" s="1371"/>
      <c r="G2752" s="1371"/>
      <c r="H2752" s="1371"/>
      <c r="I2752" s="1371"/>
      <c r="J2752" s="440"/>
      <c r="K2752" s="941"/>
      <c r="L2752" s="438"/>
      <c r="M2752" s="449"/>
      <c r="N2752" s="892"/>
      <c r="P2752" s="732"/>
    </row>
    <row r="2753" spans="1:16" s="851" customFormat="1" ht="113.25" customHeight="1" x14ac:dyDescent="0.25">
      <c r="A2753" s="396"/>
      <c r="B2753" s="1400" t="s">
        <v>2296</v>
      </c>
      <c r="C2753" s="1400"/>
      <c r="D2753" s="1400"/>
      <c r="E2753" s="1384" t="s">
        <v>2297</v>
      </c>
      <c r="F2753" s="1384"/>
      <c r="G2753" s="443" t="s">
        <v>444</v>
      </c>
      <c r="H2753" s="443" t="s">
        <v>2245</v>
      </c>
      <c r="I2753" s="444" t="s">
        <v>5725</v>
      </c>
      <c r="J2753" s="849" t="s">
        <v>2275</v>
      </c>
      <c r="K2753" s="893" t="s">
        <v>11644</v>
      </c>
      <c r="L2753" s="972" t="s">
        <v>11522</v>
      </c>
      <c r="M2753" s="450" t="s">
        <v>235</v>
      </c>
      <c r="N2753" s="796"/>
      <c r="P2753" s="399"/>
    </row>
    <row r="2754" spans="1:16" s="761" customFormat="1" ht="15" customHeight="1" x14ac:dyDescent="0.25">
      <c r="A2754" s="397"/>
      <c r="B2754" s="1382" t="s">
        <v>8699</v>
      </c>
      <c r="C2754" s="1382"/>
      <c r="D2754" s="1382"/>
      <c r="E2754" s="1382"/>
      <c r="F2754" s="1382"/>
      <c r="G2754" s="405"/>
      <c r="H2754" s="405"/>
      <c r="I2754" s="428"/>
      <c r="J2754" s="413"/>
      <c r="K2754" s="406">
        <f t="shared" ref="K2754:L2756" si="459">K2755</f>
        <v>6399.9600000000009</v>
      </c>
      <c r="L2754" s="406">
        <f t="shared" si="459"/>
        <v>8068.4094867400017</v>
      </c>
      <c r="M2754" s="453">
        <f>L2754/L$2828</f>
        <v>1.4833830766121362E-2</v>
      </c>
      <c r="N2754" s="796"/>
      <c r="P2754" s="399"/>
    </row>
    <row r="2755" spans="1:16" s="761" customFormat="1" ht="15" customHeight="1" x14ac:dyDescent="0.25">
      <c r="A2755" s="397"/>
      <c r="B2755" s="1383" t="s">
        <v>2290</v>
      </c>
      <c r="C2755" s="1383"/>
      <c r="D2755" s="1383"/>
      <c r="E2755" s="1383"/>
      <c r="F2755" s="1383"/>
      <c r="G2755" s="407"/>
      <c r="H2755" s="407"/>
      <c r="I2755" s="429"/>
      <c r="J2755" s="414"/>
      <c r="K2755" s="408">
        <f t="shared" si="459"/>
        <v>6399.9600000000009</v>
      </c>
      <c r="L2755" s="408">
        <f t="shared" si="459"/>
        <v>8068.4094867400017</v>
      </c>
      <c r="M2755" s="454">
        <f>L2755/L$2828</f>
        <v>1.4833830766121362E-2</v>
      </c>
      <c r="N2755" s="796"/>
      <c r="P2755" s="399"/>
    </row>
    <row r="2756" spans="1:16" s="761" customFormat="1" ht="15" customHeight="1" x14ac:dyDescent="0.25">
      <c r="A2756" s="397"/>
      <c r="B2756" s="1386" t="s">
        <v>8700</v>
      </c>
      <c r="C2756" s="1386"/>
      <c r="D2756" s="1386"/>
      <c r="E2756" s="1386"/>
      <c r="F2756" s="1386"/>
      <c r="G2756" s="403"/>
      <c r="H2756" s="403"/>
      <c r="I2756" s="427"/>
      <c r="J2756" s="412"/>
      <c r="K2756" s="404">
        <f t="shared" si="459"/>
        <v>6399.9600000000009</v>
      </c>
      <c r="L2756" s="404">
        <f t="shared" si="459"/>
        <v>8068.4094867400017</v>
      </c>
      <c r="M2756" s="452">
        <f>L2756/L$2828</f>
        <v>1.4833830766121362E-2</v>
      </c>
      <c r="N2756" s="796"/>
      <c r="P2756" s="399"/>
    </row>
    <row r="2757" spans="1:16" s="761" customFormat="1" ht="15" customHeight="1" x14ac:dyDescent="0.25">
      <c r="A2757" s="397"/>
      <c r="B2757" s="1385" t="s">
        <v>8698</v>
      </c>
      <c r="C2757" s="1385"/>
      <c r="D2757" s="1385"/>
      <c r="E2757" s="1385"/>
      <c r="F2757" s="1385"/>
      <c r="G2757" s="401"/>
      <c r="H2757" s="401"/>
      <c r="I2757" s="426"/>
      <c r="J2757" s="411"/>
      <c r="K2757" s="402">
        <f>SUM(K2758:K2762)</f>
        <v>6399.9600000000009</v>
      </c>
      <c r="L2757" s="402">
        <f>SUM(L2758:L2762)</f>
        <v>8068.4094867400017</v>
      </c>
      <c r="M2757" s="451">
        <f>L2757/L$2828</f>
        <v>1.4833830766121362E-2</v>
      </c>
      <c r="N2757" s="796"/>
      <c r="P2757" s="399"/>
    </row>
    <row r="2758" spans="1:16" s="761" customFormat="1" ht="15" customHeight="1" x14ac:dyDescent="0.25">
      <c r="A2758" s="396"/>
      <c r="B2758" s="1396">
        <v>500000</v>
      </c>
      <c r="C2758" s="1396"/>
      <c r="D2758" s="1396"/>
      <c r="E2758" s="854">
        <v>333904700000000</v>
      </c>
      <c r="F2758" s="600" t="s">
        <v>8726</v>
      </c>
      <c r="G2758" s="468">
        <v>40</v>
      </c>
      <c r="H2758" s="468">
        <v>0</v>
      </c>
      <c r="I2758" s="751"/>
      <c r="J2758" s="878"/>
      <c r="K2758" s="789">
        <f>('Parâmetros financeiros Despesa'!E1376)</f>
        <v>120</v>
      </c>
      <c r="L2758" s="789">
        <f>('Parâmetros financeiros Despesa'!F1376)*(1+'Parâmetros financeiros Despesa'!F$4)*(1+'Parâmetros financeiros Despesa'!F$7)</f>
        <v>130.83977999999999</v>
      </c>
      <c r="M2758" s="799">
        <f t="shared" ref="M2758:M2762" si="460">L2758/L$2828</f>
        <v>2.4054990728795329E-4</v>
      </c>
      <c r="N2758" s="796"/>
      <c r="P2758" s="399"/>
    </row>
    <row r="2759" spans="1:16" s="115" customFormat="1" ht="15" customHeight="1" x14ac:dyDescent="0.25">
      <c r="A2759" s="396"/>
      <c r="B2759" s="1396">
        <v>500100</v>
      </c>
      <c r="C2759" s="1396"/>
      <c r="D2759" s="1396"/>
      <c r="E2759" s="854">
        <v>344903000000000</v>
      </c>
      <c r="F2759" s="855" t="s">
        <v>8727</v>
      </c>
      <c r="G2759" s="468">
        <v>40</v>
      </c>
      <c r="H2759" s="468">
        <v>0</v>
      </c>
      <c r="I2759" s="751"/>
      <c r="J2759" s="878"/>
      <c r="K2759" s="789">
        <f>('Parâmetros financeiros Despesa'!E1377)</f>
        <v>1429.26</v>
      </c>
      <c r="L2759" s="789">
        <f>('Parâmetros financeiros Despesa'!F1377)*(1+'Parâmetros financeiros Despesa'!F$4)*(1+'Parâmetros financeiros Despesa'!F$7)</f>
        <v>1558.3671996900002</v>
      </c>
      <c r="M2759" s="799">
        <f t="shared" si="460"/>
        <v>2.8650696707531683E-3</v>
      </c>
      <c r="N2759" s="894"/>
      <c r="P2759" s="733"/>
    </row>
    <row r="2760" spans="1:16" s="457" customFormat="1" ht="15" customHeight="1" x14ac:dyDescent="0.25">
      <c r="A2760" s="396"/>
      <c r="B2760" s="1398" t="s">
        <v>8707</v>
      </c>
      <c r="C2760" s="1398"/>
      <c r="D2760" s="1398"/>
      <c r="E2760" s="854">
        <v>344903600000000</v>
      </c>
      <c r="F2760" s="855" t="s">
        <v>8728</v>
      </c>
      <c r="G2760" s="468">
        <v>40</v>
      </c>
      <c r="H2760" s="468">
        <v>0</v>
      </c>
      <c r="I2760" s="751"/>
      <c r="J2760" s="878"/>
      <c r="K2760" s="789">
        <f>('Parâmetros financeiros Despesa'!E1378)</f>
        <v>600</v>
      </c>
      <c r="L2760" s="789">
        <f>('Parâmetros financeiros Despesa'!F1378)*(1+'Parâmetros financeiros Despesa'!F$4)*(1+'Parâmetros financeiros Despesa'!F$7)</f>
        <v>654.19889999999998</v>
      </c>
      <c r="M2760" s="799">
        <f t="shared" si="460"/>
        <v>1.2027495364397664E-3</v>
      </c>
      <c r="N2760" s="895"/>
      <c r="P2760" s="734"/>
    </row>
    <row r="2761" spans="1:16" s="457" customFormat="1" ht="15" customHeight="1" x14ac:dyDescent="0.25">
      <c r="A2761" s="396"/>
      <c r="B2761" s="1398" t="s">
        <v>8708</v>
      </c>
      <c r="C2761" s="1398"/>
      <c r="D2761" s="1398"/>
      <c r="E2761" s="854">
        <v>344903900000000</v>
      </c>
      <c r="F2761" s="855" t="s">
        <v>8729</v>
      </c>
      <c r="G2761" s="468">
        <v>40</v>
      </c>
      <c r="H2761" s="468">
        <v>0</v>
      </c>
      <c r="I2761" s="751"/>
      <c r="J2761" s="878"/>
      <c r="K2761" s="789">
        <f>('Parâmetros financeiros Despesa'!E1379)</f>
        <v>0</v>
      </c>
      <c r="L2761" s="789">
        <f>('Parâmetros financeiros Despesa'!F1379)*(1+'Parâmetros financeiros Despesa'!F$4)*(1+'Parâmetros financeiros Despesa'!F$7)</f>
        <v>1090.3315</v>
      </c>
      <c r="M2761" s="799">
        <f t="shared" si="460"/>
        <v>2.0045825607329444E-3</v>
      </c>
      <c r="N2761" s="895"/>
      <c r="P2761" s="734"/>
    </row>
    <row r="2762" spans="1:16" s="457" customFormat="1" ht="15" customHeight="1" x14ac:dyDescent="0.25">
      <c r="A2762" s="396"/>
      <c r="B2762" s="1398" t="s">
        <v>8709</v>
      </c>
      <c r="C2762" s="1398"/>
      <c r="D2762" s="1398"/>
      <c r="E2762" s="854">
        <v>344905200000000</v>
      </c>
      <c r="F2762" s="855" t="s">
        <v>8730</v>
      </c>
      <c r="G2762" s="468">
        <v>40</v>
      </c>
      <c r="H2762" s="468">
        <v>0</v>
      </c>
      <c r="I2762" s="751"/>
      <c r="J2762" s="878"/>
      <c r="K2762" s="789">
        <f>('Parâmetros financeiros Despesa'!E1380)</f>
        <v>4250.7000000000007</v>
      </c>
      <c r="L2762" s="789">
        <f>('Parâmetros financeiros Despesa'!F1380)*(1+'Parâmetros financeiros Despesa'!F$4)*(1+'Parâmetros financeiros Despesa'!F$7)</f>
        <v>4634.6721070500016</v>
      </c>
      <c r="M2762" s="799">
        <f t="shared" si="460"/>
        <v>8.5208790909075283E-3</v>
      </c>
      <c r="N2762" s="895"/>
      <c r="P2762" s="734"/>
    </row>
    <row r="2763" spans="1:16" s="761" customFormat="1" ht="15" customHeight="1" x14ac:dyDescent="0.25">
      <c r="A2763" s="397"/>
      <c r="B2763" s="1382" t="s">
        <v>8699</v>
      </c>
      <c r="C2763" s="1382"/>
      <c r="D2763" s="1382"/>
      <c r="E2763" s="1382"/>
      <c r="F2763" s="1382"/>
      <c r="G2763" s="405"/>
      <c r="H2763" s="405"/>
      <c r="I2763" s="428"/>
      <c r="J2763" s="413"/>
      <c r="K2763" s="406">
        <f t="shared" ref="K2763:L2765" si="461">K2764</f>
        <v>0</v>
      </c>
      <c r="L2763" s="406">
        <f t="shared" si="461"/>
        <v>8940.7183000000005</v>
      </c>
      <c r="M2763" s="453">
        <f>L2763/L$2828</f>
        <v>1.6437576998010142E-2</v>
      </c>
      <c r="N2763" s="796"/>
      <c r="P2763" s="399"/>
    </row>
    <row r="2764" spans="1:16" s="761" customFormat="1" ht="15" customHeight="1" x14ac:dyDescent="0.25">
      <c r="A2764" s="397"/>
      <c r="B2764" s="1383" t="s">
        <v>2290</v>
      </c>
      <c r="C2764" s="1383"/>
      <c r="D2764" s="1383"/>
      <c r="E2764" s="1383"/>
      <c r="F2764" s="1383"/>
      <c r="G2764" s="407"/>
      <c r="H2764" s="407"/>
      <c r="I2764" s="429"/>
      <c r="J2764" s="414"/>
      <c r="K2764" s="408">
        <f t="shared" si="461"/>
        <v>0</v>
      </c>
      <c r="L2764" s="408">
        <f t="shared" si="461"/>
        <v>8940.7183000000005</v>
      </c>
      <c r="M2764" s="454">
        <f>L2764/L$2828</f>
        <v>1.6437576998010142E-2</v>
      </c>
      <c r="N2764" s="796"/>
      <c r="P2764" s="399"/>
    </row>
    <row r="2765" spans="1:16" s="761" customFormat="1" ht="15" customHeight="1" x14ac:dyDescent="0.25">
      <c r="A2765" s="397"/>
      <c r="B2765" s="1386" t="s">
        <v>8701</v>
      </c>
      <c r="C2765" s="1386"/>
      <c r="D2765" s="1386"/>
      <c r="E2765" s="1386"/>
      <c r="F2765" s="1386"/>
      <c r="G2765" s="403"/>
      <c r="H2765" s="403"/>
      <c r="I2765" s="427"/>
      <c r="J2765" s="412"/>
      <c r="K2765" s="404">
        <f t="shared" si="461"/>
        <v>0</v>
      </c>
      <c r="L2765" s="404">
        <f t="shared" si="461"/>
        <v>8940.7183000000005</v>
      </c>
      <c r="M2765" s="452">
        <f>L2765/L$2828</f>
        <v>1.6437576998010142E-2</v>
      </c>
      <c r="N2765" s="796"/>
      <c r="P2765" s="399"/>
    </row>
    <row r="2766" spans="1:16" s="761" customFormat="1" ht="15" customHeight="1" x14ac:dyDescent="0.25">
      <c r="A2766" s="397"/>
      <c r="B2766" s="1385" t="s">
        <v>8698</v>
      </c>
      <c r="C2766" s="1385"/>
      <c r="D2766" s="1385"/>
      <c r="E2766" s="1385"/>
      <c r="F2766" s="1385"/>
      <c r="G2766" s="401"/>
      <c r="H2766" s="401"/>
      <c r="I2766" s="426"/>
      <c r="J2766" s="411"/>
      <c r="K2766" s="402">
        <f>SUM(K2767:K2771)</f>
        <v>0</v>
      </c>
      <c r="L2766" s="402">
        <f>SUM(L2767:L2771)</f>
        <v>8940.7183000000005</v>
      </c>
      <c r="M2766" s="451">
        <f>L2766/L$2828</f>
        <v>1.6437576998010142E-2</v>
      </c>
      <c r="N2766" s="796"/>
      <c r="P2766" s="399"/>
    </row>
    <row r="2767" spans="1:16" s="761" customFormat="1" ht="15" customHeight="1" x14ac:dyDescent="0.25">
      <c r="A2767" s="396"/>
      <c r="B2767" s="1396">
        <v>501000</v>
      </c>
      <c r="C2767" s="1396"/>
      <c r="D2767" s="1396"/>
      <c r="E2767" s="854">
        <v>333904700000000</v>
      </c>
      <c r="F2767" s="600" t="s">
        <v>8713</v>
      </c>
      <c r="G2767" s="468">
        <v>40</v>
      </c>
      <c r="H2767" s="468">
        <v>0</v>
      </c>
      <c r="I2767" s="751"/>
      <c r="J2767" s="878"/>
      <c r="K2767" s="789">
        <f>('Parâmetros financeiros Despesa'!E1382)</f>
        <v>0</v>
      </c>
      <c r="L2767" s="789">
        <f>('Parâmetros financeiros Despesa'!F1382)*(1+'Parâmetros financeiros Despesa'!F$4)*(1+'Parâmetros financeiros Despesa'!F$7)</f>
        <v>218.06630000000001</v>
      </c>
      <c r="M2767" s="799">
        <f t="shared" ref="M2767:M2771" si="462">L2767/L$2828</f>
        <v>4.0091651214658889E-4</v>
      </c>
      <c r="N2767" s="796"/>
      <c r="P2767" s="399"/>
    </row>
    <row r="2768" spans="1:16" s="115" customFormat="1" ht="15" customHeight="1" x14ac:dyDescent="0.25">
      <c r="A2768" s="396"/>
      <c r="B2768" s="1396">
        <v>501100</v>
      </c>
      <c r="C2768" s="1396"/>
      <c r="D2768" s="1396"/>
      <c r="E2768" s="854">
        <v>344903000000000</v>
      </c>
      <c r="F2768" s="855" t="s">
        <v>8714</v>
      </c>
      <c r="G2768" s="468">
        <v>40</v>
      </c>
      <c r="H2768" s="468">
        <v>0</v>
      </c>
      <c r="I2768" s="751"/>
      <c r="J2768" s="878"/>
      <c r="K2768" s="789">
        <f>('Parâmetros financeiros Despesa'!E1383)</f>
        <v>0</v>
      </c>
      <c r="L2768" s="789">
        <f>('Parâmetros financeiros Despesa'!F1383)*(1+'Parâmetros financeiros Despesa'!F$4)*(1+'Parâmetros financeiros Despesa'!F$7)</f>
        <v>1090.3315</v>
      </c>
      <c r="M2768" s="799">
        <f t="shared" si="462"/>
        <v>2.0045825607329444E-3</v>
      </c>
      <c r="N2768" s="894"/>
      <c r="P2768" s="733"/>
    </row>
    <row r="2769" spans="1:16" s="457" customFormat="1" ht="15" customHeight="1" x14ac:dyDescent="0.25">
      <c r="A2769" s="396"/>
      <c r="B2769" s="1398" t="s">
        <v>8710</v>
      </c>
      <c r="C2769" s="1398"/>
      <c r="D2769" s="1398"/>
      <c r="E2769" s="854">
        <v>344903600000000</v>
      </c>
      <c r="F2769" s="855" t="s">
        <v>8715</v>
      </c>
      <c r="G2769" s="468">
        <v>40</v>
      </c>
      <c r="H2769" s="468">
        <v>0</v>
      </c>
      <c r="I2769" s="751"/>
      <c r="J2769" s="878"/>
      <c r="K2769" s="789">
        <f>('Parâmetros financeiros Despesa'!E1384)</f>
        <v>0</v>
      </c>
      <c r="L2769" s="789">
        <f>('Parâmetros financeiros Despesa'!F1384)*(1+'Parâmetros financeiros Despesa'!F$4)*(1+'Parâmetros financeiros Despesa'!F$7)</f>
        <v>1090.3315</v>
      </c>
      <c r="M2769" s="799">
        <f t="shared" si="462"/>
        <v>2.0045825607329444E-3</v>
      </c>
      <c r="N2769" s="895"/>
      <c r="P2769" s="734"/>
    </row>
    <row r="2770" spans="1:16" s="457" customFormat="1" ht="15" customHeight="1" x14ac:dyDescent="0.25">
      <c r="A2770" s="396"/>
      <c r="B2770" s="1398" t="s">
        <v>8711</v>
      </c>
      <c r="C2770" s="1398"/>
      <c r="D2770" s="1398"/>
      <c r="E2770" s="854">
        <v>344903900000000</v>
      </c>
      <c r="F2770" s="855" t="s">
        <v>8717</v>
      </c>
      <c r="G2770" s="468">
        <v>40</v>
      </c>
      <c r="H2770" s="468">
        <v>0</v>
      </c>
      <c r="I2770" s="751"/>
      <c r="J2770" s="878"/>
      <c r="K2770" s="789">
        <f>('Parâmetros financeiros Despesa'!E1385)</f>
        <v>0</v>
      </c>
      <c r="L2770" s="789">
        <f>('Parâmetros financeiros Despesa'!F1385)*(1+'Parâmetros financeiros Despesa'!F$4)*(1+'Parâmetros financeiros Despesa'!F$7)</f>
        <v>1090.3315</v>
      </c>
      <c r="M2770" s="799">
        <f t="shared" si="462"/>
        <v>2.0045825607329444E-3</v>
      </c>
      <c r="N2770" s="895"/>
      <c r="P2770" s="734"/>
    </row>
    <row r="2771" spans="1:16" s="457" customFormat="1" ht="15" customHeight="1" x14ac:dyDescent="0.25">
      <c r="A2771" s="396"/>
      <c r="B2771" s="1398" t="s">
        <v>8712</v>
      </c>
      <c r="C2771" s="1398"/>
      <c r="D2771" s="1398"/>
      <c r="E2771" s="854">
        <v>344905100000000</v>
      </c>
      <c r="F2771" s="855" t="s">
        <v>8716</v>
      </c>
      <c r="G2771" s="468">
        <v>40</v>
      </c>
      <c r="H2771" s="468">
        <v>0</v>
      </c>
      <c r="I2771" s="751"/>
      <c r="J2771" s="878"/>
      <c r="K2771" s="789">
        <f>('Parâmetros financeiros Despesa'!E1386)</f>
        <v>0</v>
      </c>
      <c r="L2771" s="789">
        <f>('Parâmetros financeiros Despesa'!F1386)*(1+'Parâmetros financeiros Despesa'!F$4)*(1+'Parâmetros financeiros Despesa'!F$7)</f>
        <v>5451.6575000000003</v>
      </c>
      <c r="M2771" s="799">
        <f t="shared" si="462"/>
        <v>1.0022912803664722E-2</v>
      </c>
      <c r="N2771" s="895"/>
      <c r="P2771" s="734"/>
    </row>
    <row r="2772" spans="1:16" s="761" customFormat="1" ht="15" customHeight="1" x14ac:dyDescent="0.25">
      <c r="A2772" s="397"/>
      <c r="B2772" s="1382" t="s">
        <v>8699</v>
      </c>
      <c r="C2772" s="1382"/>
      <c r="D2772" s="1382"/>
      <c r="E2772" s="1382"/>
      <c r="F2772" s="1382"/>
      <c r="G2772" s="405"/>
      <c r="H2772" s="405"/>
      <c r="I2772" s="428"/>
      <c r="J2772" s="413"/>
      <c r="K2772" s="406">
        <f t="shared" ref="K2772:L2774" si="463">K2773</f>
        <v>36331.51</v>
      </c>
      <c r="L2772" s="406">
        <f t="shared" si="463"/>
        <v>10685.2587</v>
      </c>
      <c r="M2772" s="453">
        <f>L2772/L$2828</f>
        <v>1.9644927480257125E-2</v>
      </c>
      <c r="N2772" s="796"/>
      <c r="P2772" s="399"/>
    </row>
    <row r="2773" spans="1:16" s="761" customFormat="1" ht="15" customHeight="1" x14ac:dyDescent="0.25">
      <c r="A2773" s="397"/>
      <c r="B2773" s="1383" t="s">
        <v>2290</v>
      </c>
      <c r="C2773" s="1383"/>
      <c r="D2773" s="1383"/>
      <c r="E2773" s="1383"/>
      <c r="F2773" s="1383"/>
      <c r="G2773" s="407"/>
      <c r="H2773" s="407"/>
      <c r="I2773" s="429"/>
      <c r="J2773" s="414"/>
      <c r="K2773" s="408">
        <f t="shared" si="463"/>
        <v>36331.51</v>
      </c>
      <c r="L2773" s="408">
        <f t="shared" si="463"/>
        <v>10685.2587</v>
      </c>
      <c r="M2773" s="454">
        <f>L2773/L$2828</f>
        <v>1.9644927480257125E-2</v>
      </c>
      <c r="N2773" s="796"/>
      <c r="P2773" s="399"/>
    </row>
    <row r="2774" spans="1:16" s="761" customFormat="1" ht="15" customHeight="1" x14ac:dyDescent="0.25">
      <c r="A2774" s="397"/>
      <c r="B2774" s="1386" t="s">
        <v>8702</v>
      </c>
      <c r="C2774" s="1386"/>
      <c r="D2774" s="1386"/>
      <c r="E2774" s="1386"/>
      <c r="F2774" s="1386"/>
      <c r="G2774" s="403"/>
      <c r="H2774" s="403"/>
      <c r="I2774" s="427"/>
      <c r="J2774" s="412"/>
      <c r="K2774" s="404">
        <f t="shared" si="463"/>
        <v>36331.51</v>
      </c>
      <c r="L2774" s="404">
        <f t="shared" si="463"/>
        <v>10685.2587</v>
      </c>
      <c r="M2774" s="452">
        <f>L2774/L$2828</f>
        <v>1.9644927480257125E-2</v>
      </c>
      <c r="N2774" s="796"/>
      <c r="P2774" s="399"/>
    </row>
    <row r="2775" spans="1:16" s="761" customFormat="1" ht="15" customHeight="1" x14ac:dyDescent="0.25">
      <c r="A2775" s="397"/>
      <c r="B2775" s="1385" t="s">
        <v>8698</v>
      </c>
      <c r="C2775" s="1385"/>
      <c r="D2775" s="1385"/>
      <c r="E2775" s="1385"/>
      <c r="F2775" s="1385"/>
      <c r="G2775" s="401"/>
      <c r="H2775" s="401"/>
      <c r="I2775" s="426"/>
      <c r="J2775" s="411"/>
      <c r="K2775" s="402">
        <f>SUM(K2776:K2780)+0.01</f>
        <v>36331.51</v>
      </c>
      <c r="L2775" s="402">
        <f>SUM(L2776:L2780)+0.01</f>
        <v>10685.2587</v>
      </c>
      <c r="M2775" s="451">
        <f>L2775/L$2828</f>
        <v>1.9644927480257125E-2</v>
      </c>
      <c r="N2775" s="796"/>
      <c r="P2775" s="399"/>
    </row>
    <row r="2776" spans="1:16" s="761" customFormat="1" ht="15" customHeight="1" x14ac:dyDescent="0.25">
      <c r="A2776" s="396"/>
      <c r="B2776" s="1396">
        <v>502000</v>
      </c>
      <c r="C2776" s="1396"/>
      <c r="D2776" s="1396"/>
      <c r="E2776" s="854">
        <v>333904700000000</v>
      </c>
      <c r="F2776" s="600" t="s">
        <v>8721</v>
      </c>
      <c r="G2776" s="468">
        <v>40</v>
      </c>
      <c r="H2776" s="468">
        <v>0</v>
      </c>
      <c r="I2776" s="751"/>
      <c r="J2776" s="878"/>
      <c r="K2776" s="789">
        <f>('Parâmetros financeiros Despesa'!E1388)</f>
        <v>0</v>
      </c>
      <c r="L2776" s="789">
        <f>('Parâmetros financeiros Despesa'!F1388)*(1+'Parâmetros financeiros Despesa'!F$4)*(1+'Parâmetros financeiros Despesa'!F$7)</f>
        <v>327.09944999999999</v>
      </c>
      <c r="M2776" s="799">
        <f t="shared" ref="M2776:M2780" si="464">L2776/L$2828</f>
        <v>6.0137476821988322E-4</v>
      </c>
      <c r="N2776" s="796"/>
      <c r="P2776" s="399"/>
    </row>
    <row r="2777" spans="1:16" s="115" customFormat="1" ht="15" customHeight="1" x14ac:dyDescent="0.25">
      <c r="A2777" s="396"/>
      <c r="B2777" s="1396">
        <v>502100</v>
      </c>
      <c r="C2777" s="1396"/>
      <c r="D2777" s="1396"/>
      <c r="E2777" s="854">
        <v>344903000000000</v>
      </c>
      <c r="F2777" s="855" t="s">
        <v>8722</v>
      </c>
      <c r="G2777" s="468">
        <v>40</v>
      </c>
      <c r="H2777" s="468">
        <v>0</v>
      </c>
      <c r="I2777" s="751"/>
      <c r="J2777" s="878"/>
      <c r="K2777" s="789">
        <f>('Parâmetros financeiros Despesa'!E1389)</f>
        <v>0</v>
      </c>
      <c r="L2777" s="789">
        <f>('Parâmetros financeiros Despesa'!F1389)*(1+'Parâmetros financeiros Despesa'!F$4)*(1+'Parâmetros financeiros Despesa'!F$7)</f>
        <v>1635.4972500000001</v>
      </c>
      <c r="M2777" s="799">
        <f t="shared" si="464"/>
        <v>3.0068738410994164E-3</v>
      </c>
      <c r="N2777" s="894"/>
      <c r="P2777" s="733"/>
    </row>
    <row r="2778" spans="1:16" s="457" customFormat="1" ht="15" customHeight="1" x14ac:dyDescent="0.25">
      <c r="A2778" s="396"/>
      <c r="B2778" s="1398" t="s">
        <v>8718</v>
      </c>
      <c r="C2778" s="1398"/>
      <c r="D2778" s="1398"/>
      <c r="E2778" s="854">
        <v>344903600000000</v>
      </c>
      <c r="F2778" s="855" t="s">
        <v>8723</v>
      </c>
      <c r="G2778" s="468">
        <v>40</v>
      </c>
      <c r="H2778" s="468">
        <v>0</v>
      </c>
      <c r="I2778" s="751"/>
      <c r="J2778" s="878"/>
      <c r="K2778" s="789">
        <f>('Parâmetros financeiros Despesa'!E1390)</f>
        <v>0</v>
      </c>
      <c r="L2778" s="789">
        <f>('Parâmetros financeiros Despesa'!F1390)*(1+'Parâmetros financeiros Despesa'!F$4)*(1+'Parâmetros financeiros Despesa'!F$7)</f>
        <v>1635.4972500000001</v>
      </c>
      <c r="M2778" s="799">
        <f t="shared" si="464"/>
        <v>3.0068738410994164E-3</v>
      </c>
      <c r="N2778" s="895"/>
      <c r="P2778" s="734"/>
    </row>
    <row r="2779" spans="1:16" s="457" customFormat="1" ht="15" customHeight="1" x14ac:dyDescent="0.25">
      <c r="A2779" s="396"/>
      <c r="B2779" s="1398" t="s">
        <v>8719</v>
      </c>
      <c r="C2779" s="1398"/>
      <c r="D2779" s="1398"/>
      <c r="E2779" s="854">
        <v>344903900000000</v>
      </c>
      <c r="F2779" s="855" t="s">
        <v>8724</v>
      </c>
      <c r="G2779" s="468">
        <v>40</v>
      </c>
      <c r="H2779" s="468">
        <v>0</v>
      </c>
      <c r="I2779" s="751"/>
      <c r="J2779" s="878"/>
      <c r="K2779" s="789">
        <f>('Parâmetros financeiros Despesa'!E1391)</f>
        <v>0</v>
      </c>
      <c r="L2779" s="789">
        <f>('Parâmetros financeiros Despesa'!F1391)*(1+'Parâmetros financeiros Despesa'!F$4)*(1+'Parâmetros financeiros Despesa'!F$7)</f>
        <v>1635.4972500000001</v>
      </c>
      <c r="M2779" s="799">
        <f t="shared" si="464"/>
        <v>3.0068738410994164E-3</v>
      </c>
      <c r="N2779" s="895"/>
      <c r="P2779" s="734"/>
    </row>
    <row r="2780" spans="1:16" s="457" customFormat="1" ht="15" customHeight="1" x14ac:dyDescent="0.25">
      <c r="A2780" s="396"/>
      <c r="B2780" s="1398" t="s">
        <v>8720</v>
      </c>
      <c r="C2780" s="1398"/>
      <c r="D2780" s="1398"/>
      <c r="E2780" s="854">
        <v>344905200000000</v>
      </c>
      <c r="F2780" s="855" t="s">
        <v>8725</v>
      </c>
      <c r="G2780" s="468">
        <v>40</v>
      </c>
      <c r="H2780" s="468">
        <v>0</v>
      </c>
      <c r="I2780" s="751"/>
      <c r="J2780" s="878"/>
      <c r="K2780" s="789">
        <f>('Parâmetros financeiros Despesa'!E1392)</f>
        <v>36331.5</v>
      </c>
      <c r="L2780" s="789">
        <f>('Parâmetros financeiros Despesa'!F1392)*(1+'Parâmetros financeiros Despesa'!F$4)*(1+'Parâmetros financeiros Despesa'!F$7)</f>
        <v>5451.6575000000003</v>
      </c>
      <c r="M2780" s="799">
        <f t="shared" si="464"/>
        <v>1.0022912803664722E-2</v>
      </c>
      <c r="N2780" s="895"/>
      <c r="P2780" s="734"/>
    </row>
    <row r="2781" spans="1:16" s="761" customFormat="1" ht="15" customHeight="1" x14ac:dyDescent="0.25">
      <c r="A2781" s="397"/>
      <c r="B2781" s="1382" t="s">
        <v>8699</v>
      </c>
      <c r="C2781" s="1382"/>
      <c r="D2781" s="1382"/>
      <c r="E2781" s="1382"/>
      <c r="F2781" s="1382"/>
      <c r="G2781" s="405"/>
      <c r="H2781" s="405"/>
      <c r="I2781" s="428"/>
      <c r="J2781" s="413"/>
      <c r="K2781" s="406">
        <f t="shared" ref="K2781:L2783" si="465">K2782</f>
        <v>1947.01</v>
      </c>
      <c r="L2781" s="406">
        <f t="shared" si="465"/>
        <v>10685.2587</v>
      </c>
      <c r="M2781" s="453">
        <f>L2781/L$2828</f>
        <v>1.9644927480257125E-2</v>
      </c>
      <c r="N2781" s="796"/>
      <c r="P2781" s="399"/>
    </row>
    <row r="2782" spans="1:16" s="761" customFormat="1" ht="15" customHeight="1" x14ac:dyDescent="0.25">
      <c r="A2782" s="397"/>
      <c r="B2782" s="1383" t="s">
        <v>2290</v>
      </c>
      <c r="C2782" s="1383"/>
      <c r="D2782" s="1383"/>
      <c r="E2782" s="1383"/>
      <c r="F2782" s="1383"/>
      <c r="G2782" s="407"/>
      <c r="H2782" s="407"/>
      <c r="I2782" s="429"/>
      <c r="J2782" s="414"/>
      <c r="K2782" s="408">
        <f t="shared" si="465"/>
        <v>1947.01</v>
      </c>
      <c r="L2782" s="408">
        <f t="shared" si="465"/>
        <v>10685.2587</v>
      </c>
      <c r="M2782" s="454">
        <f>L2782/L$2828</f>
        <v>1.9644927480257125E-2</v>
      </c>
      <c r="N2782" s="796"/>
      <c r="P2782" s="399"/>
    </row>
    <row r="2783" spans="1:16" s="761" customFormat="1" ht="15" customHeight="1" x14ac:dyDescent="0.25">
      <c r="A2783" s="397"/>
      <c r="B2783" s="1386" t="s">
        <v>8731</v>
      </c>
      <c r="C2783" s="1386"/>
      <c r="D2783" s="1386"/>
      <c r="E2783" s="1386"/>
      <c r="F2783" s="1386"/>
      <c r="G2783" s="403"/>
      <c r="H2783" s="403"/>
      <c r="I2783" s="427"/>
      <c r="J2783" s="412"/>
      <c r="K2783" s="404">
        <f t="shared" si="465"/>
        <v>1947.01</v>
      </c>
      <c r="L2783" s="404">
        <f t="shared" si="465"/>
        <v>10685.2587</v>
      </c>
      <c r="M2783" s="452">
        <f>L2783/L$2828</f>
        <v>1.9644927480257125E-2</v>
      </c>
      <c r="N2783" s="796"/>
      <c r="P2783" s="399"/>
    </row>
    <row r="2784" spans="1:16" s="761" customFormat="1" ht="15" customHeight="1" x14ac:dyDescent="0.25">
      <c r="A2784" s="397"/>
      <c r="B2784" s="1385" t="s">
        <v>8698</v>
      </c>
      <c r="C2784" s="1385"/>
      <c r="D2784" s="1385"/>
      <c r="E2784" s="1385"/>
      <c r="F2784" s="1385"/>
      <c r="G2784" s="401"/>
      <c r="H2784" s="401"/>
      <c r="I2784" s="426"/>
      <c r="J2784" s="411"/>
      <c r="K2784" s="402">
        <f>SUM(K2785:K2789)+0.01</f>
        <v>1947.01</v>
      </c>
      <c r="L2784" s="402">
        <f>SUM(L2785:L2789)+0.01</f>
        <v>10685.2587</v>
      </c>
      <c r="M2784" s="451">
        <f>L2784/L$2828</f>
        <v>1.9644927480257125E-2</v>
      </c>
      <c r="N2784" s="796"/>
      <c r="P2784" s="399"/>
    </row>
    <row r="2785" spans="1:16" s="761" customFormat="1" ht="15" customHeight="1" x14ac:dyDescent="0.25">
      <c r="A2785" s="396"/>
      <c r="B2785" s="1396">
        <v>503000</v>
      </c>
      <c r="C2785" s="1396"/>
      <c r="D2785" s="1396"/>
      <c r="E2785" s="854">
        <v>333904700000000</v>
      </c>
      <c r="F2785" s="600" t="s">
        <v>8735</v>
      </c>
      <c r="G2785" s="468">
        <v>40</v>
      </c>
      <c r="H2785" s="468">
        <v>0</v>
      </c>
      <c r="I2785" s="751"/>
      <c r="J2785" s="878"/>
      <c r="K2785" s="789">
        <f>('Parâmetros financeiros Despesa'!E1394)</f>
        <v>0</v>
      </c>
      <c r="L2785" s="789">
        <f>('Parâmetros financeiros Despesa'!F1394)*(1+'Parâmetros financeiros Despesa'!F$4)*(1+'Parâmetros financeiros Despesa'!F$7)</f>
        <v>327.09944999999999</v>
      </c>
      <c r="M2785" s="799">
        <f t="shared" ref="M2785:M2789" si="466">L2785/L$2828</f>
        <v>6.0137476821988322E-4</v>
      </c>
      <c r="N2785" s="796"/>
      <c r="P2785" s="399"/>
    </row>
    <row r="2786" spans="1:16" s="115" customFormat="1" ht="15" customHeight="1" x14ac:dyDescent="0.25">
      <c r="A2786" s="396"/>
      <c r="B2786" s="1396">
        <v>503100</v>
      </c>
      <c r="C2786" s="1396"/>
      <c r="D2786" s="1396"/>
      <c r="E2786" s="854">
        <v>344903000000000</v>
      </c>
      <c r="F2786" s="855" t="s">
        <v>8736</v>
      </c>
      <c r="G2786" s="468">
        <v>40</v>
      </c>
      <c r="H2786" s="468">
        <v>0</v>
      </c>
      <c r="I2786" s="751"/>
      <c r="J2786" s="878"/>
      <c r="K2786" s="789">
        <f>('Parâmetros financeiros Despesa'!E1395)</f>
        <v>0</v>
      </c>
      <c r="L2786" s="789">
        <f>('Parâmetros financeiros Despesa'!F1395)*(1+'Parâmetros financeiros Despesa'!F$4)*(1+'Parâmetros financeiros Despesa'!F$7)</f>
        <v>1635.4972500000001</v>
      </c>
      <c r="M2786" s="799">
        <f t="shared" si="466"/>
        <v>3.0068738410994164E-3</v>
      </c>
      <c r="N2786" s="894"/>
      <c r="P2786" s="733"/>
    </row>
    <row r="2787" spans="1:16" s="457" customFormat="1" ht="15" customHeight="1" x14ac:dyDescent="0.25">
      <c r="A2787" s="396"/>
      <c r="B2787" s="1398" t="s">
        <v>8732</v>
      </c>
      <c r="C2787" s="1398"/>
      <c r="D2787" s="1398"/>
      <c r="E2787" s="854">
        <v>344903600000000</v>
      </c>
      <c r="F2787" s="855" t="s">
        <v>8737</v>
      </c>
      <c r="G2787" s="468">
        <v>40</v>
      </c>
      <c r="H2787" s="468">
        <v>0</v>
      </c>
      <c r="I2787" s="751"/>
      <c r="J2787" s="878"/>
      <c r="K2787" s="789">
        <f>('Parâmetros financeiros Despesa'!E1396)</f>
        <v>0</v>
      </c>
      <c r="L2787" s="789">
        <f>('Parâmetros financeiros Despesa'!F1396)*(1+'Parâmetros financeiros Despesa'!F$4)*(1+'Parâmetros financeiros Despesa'!F$7)</f>
        <v>1635.4972500000001</v>
      </c>
      <c r="M2787" s="799">
        <f t="shared" si="466"/>
        <v>3.0068738410994164E-3</v>
      </c>
      <c r="N2787" s="895"/>
      <c r="P2787" s="734"/>
    </row>
    <row r="2788" spans="1:16" s="457" customFormat="1" ht="15" customHeight="1" x14ac:dyDescent="0.25">
      <c r="A2788" s="396"/>
      <c r="B2788" s="1398" t="s">
        <v>8733</v>
      </c>
      <c r="C2788" s="1398"/>
      <c r="D2788" s="1398"/>
      <c r="E2788" s="854">
        <v>344903900000000</v>
      </c>
      <c r="F2788" s="855" t="s">
        <v>8738</v>
      </c>
      <c r="G2788" s="468">
        <v>40</v>
      </c>
      <c r="H2788" s="468">
        <v>0</v>
      </c>
      <c r="I2788" s="751"/>
      <c r="J2788" s="878"/>
      <c r="K2788" s="789">
        <f>('Parâmetros financeiros Despesa'!E1397)</f>
        <v>0</v>
      </c>
      <c r="L2788" s="789">
        <f>('Parâmetros financeiros Despesa'!F1397)*(1+'Parâmetros financeiros Despesa'!F$4)*(1+'Parâmetros financeiros Despesa'!F$7)</f>
        <v>1635.4972500000001</v>
      </c>
      <c r="M2788" s="799">
        <f t="shared" si="466"/>
        <v>3.0068738410994164E-3</v>
      </c>
      <c r="N2788" s="895"/>
      <c r="P2788" s="734"/>
    </row>
    <row r="2789" spans="1:16" s="457" customFormat="1" ht="15" customHeight="1" x14ac:dyDescent="0.25">
      <c r="A2789" s="396"/>
      <c r="B2789" s="1398" t="s">
        <v>8734</v>
      </c>
      <c r="C2789" s="1398"/>
      <c r="D2789" s="1398"/>
      <c r="E2789" s="854">
        <v>344905200000000</v>
      </c>
      <c r="F2789" s="855" t="s">
        <v>8739</v>
      </c>
      <c r="G2789" s="468">
        <v>40</v>
      </c>
      <c r="H2789" s="468">
        <v>0</v>
      </c>
      <c r="I2789" s="751"/>
      <c r="J2789" s="878"/>
      <c r="K2789" s="789">
        <f>('Parâmetros financeiros Despesa'!E1398)</f>
        <v>1947</v>
      </c>
      <c r="L2789" s="789">
        <f>('Parâmetros financeiros Despesa'!F1398)*(1+'Parâmetros financeiros Despesa'!F$4)*(1+'Parâmetros financeiros Despesa'!F$7)</f>
        <v>5451.6575000000003</v>
      </c>
      <c r="M2789" s="799">
        <f t="shared" si="466"/>
        <v>1.0022912803664722E-2</v>
      </c>
      <c r="N2789" s="895"/>
      <c r="P2789" s="734"/>
    </row>
    <row r="2790" spans="1:16" s="761" customFormat="1" ht="15" customHeight="1" x14ac:dyDescent="0.25">
      <c r="A2790" s="397"/>
      <c r="B2790" s="1382" t="s">
        <v>8699</v>
      </c>
      <c r="C2790" s="1382"/>
      <c r="D2790" s="1382"/>
      <c r="E2790" s="1382"/>
      <c r="F2790" s="1382"/>
      <c r="G2790" s="405"/>
      <c r="H2790" s="405"/>
      <c r="I2790" s="428"/>
      <c r="J2790" s="413"/>
      <c r="K2790" s="406">
        <f t="shared" ref="K2790:L2792" si="467">K2791</f>
        <v>473090.84389999998</v>
      </c>
      <c r="L2790" s="406">
        <f t="shared" si="467"/>
        <v>483350.38195111707</v>
      </c>
      <c r="M2790" s="453">
        <f>L2790/L$2828</f>
        <v>0.88864326710070918</v>
      </c>
      <c r="N2790" s="796"/>
      <c r="P2790" s="399"/>
    </row>
    <row r="2791" spans="1:16" s="761" customFormat="1" ht="15" customHeight="1" x14ac:dyDescent="0.25">
      <c r="A2791" s="397"/>
      <c r="B2791" s="1383" t="s">
        <v>2290</v>
      </c>
      <c r="C2791" s="1383"/>
      <c r="D2791" s="1383"/>
      <c r="E2791" s="1383"/>
      <c r="F2791" s="1383"/>
      <c r="G2791" s="407"/>
      <c r="H2791" s="407"/>
      <c r="I2791" s="429"/>
      <c r="J2791" s="414"/>
      <c r="K2791" s="408">
        <f t="shared" si="467"/>
        <v>473090.84389999998</v>
      </c>
      <c r="L2791" s="408">
        <f t="shared" si="467"/>
        <v>483350.38195111707</v>
      </c>
      <c r="M2791" s="454">
        <f>L2791/L$2828</f>
        <v>0.88864326710070918</v>
      </c>
      <c r="N2791" s="796"/>
      <c r="P2791" s="399"/>
    </row>
    <row r="2792" spans="1:16" s="761" customFormat="1" ht="15" customHeight="1" x14ac:dyDescent="0.25">
      <c r="A2792" s="397"/>
      <c r="B2792" s="1385" t="s">
        <v>8698</v>
      </c>
      <c r="C2792" s="1385"/>
      <c r="D2792" s="1385"/>
      <c r="E2792" s="1385"/>
      <c r="F2792" s="1385"/>
      <c r="G2792" s="401"/>
      <c r="H2792" s="401"/>
      <c r="I2792" s="426"/>
      <c r="J2792" s="411"/>
      <c r="K2792" s="402">
        <f t="shared" si="467"/>
        <v>473090.84389999998</v>
      </c>
      <c r="L2792" s="402">
        <f t="shared" si="467"/>
        <v>483350.38195111707</v>
      </c>
      <c r="M2792" s="451">
        <f>L2792/L$2828</f>
        <v>0.88864326710070918</v>
      </c>
      <c r="N2792" s="796"/>
      <c r="P2792" s="399"/>
    </row>
    <row r="2793" spans="1:16" s="761" customFormat="1" ht="15" customHeight="1" x14ac:dyDescent="0.25">
      <c r="A2793" s="397"/>
      <c r="B2793" s="1386" t="s">
        <v>10915</v>
      </c>
      <c r="C2793" s="1386"/>
      <c r="D2793" s="1386"/>
      <c r="E2793" s="1386"/>
      <c r="F2793" s="1386"/>
      <c r="G2793" s="403"/>
      <c r="H2793" s="403"/>
      <c r="I2793" s="427"/>
      <c r="J2793" s="412"/>
      <c r="K2793" s="404">
        <f>SUM(K2794:K2809)+0.01</f>
        <v>473090.84389999998</v>
      </c>
      <c r="L2793" s="404">
        <f>SUM(L2794:L2809)+0.01</f>
        <v>483350.38195111707</v>
      </c>
      <c r="M2793" s="452">
        <f>L2793/L$2828</f>
        <v>0.88864326710070918</v>
      </c>
      <c r="N2793" s="796"/>
      <c r="P2793" s="399"/>
    </row>
    <row r="2794" spans="1:16" s="115" customFormat="1" ht="15" customHeight="1" x14ac:dyDescent="0.25">
      <c r="A2794" s="396"/>
      <c r="B2794" s="1398" t="s">
        <v>8753</v>
      </c>
      <c r="C2794" s="1398"/>
      <c r="D2794" s="1398"/>
      <c r="E2794" s="854">
        <v>331900400000000</v>
      </c>
      <c r="F2794" s="855" t="s">
        <v>8740</v>
      </c>
      <c r="G2794" s="468">
        <v>40</v>
      </c>
      <c r="H2794" s="468">
        <v>0</v>
      </c>
      <c r="I2794" s="751"/>
      <c r="J2794" s="878"/>
      <c r="K2794" s="789">
        <f>(('Parâmetros financeiros Despesa'!E1400))</f>
        <v>29881.0612</v>
      </c>
      <c r="L2794" s="789">
        <f>(('Parâmetros financeiros Despesa'!F1400)*2.05+(('Parâmetros financeiros Despesa'!F1400)*11.28)*(1+'Parâmetros financeiros Despesa'!F$4)*(1+'Parâmetros financeiros Despesa'!F$8))*(1+'Parâmetros financeiros Despesa'!F$80)</f>
        <v>38732.468336184247</v>
      </c>
      <c r="M2794" s="799">
        <f t="shared" ref="M2794:M2809" si="468">L2794/L$2828</f>
        <v>7.1209930705345939E-2</v>
      </c>
      <c r="N2794" s="894"/>
      <c r="P2794" s="733"/>
    </row>
    <row r="2795" spans="1:16" s="115" customFormat="1" ht="15" customHeight="1" x14ac:dyDescent="0.25">
      <c r="A2795" s="396"/>
      <c r="B2795" s="973"/>
      <c r="C2795" s="973"/>
      <c r="D2795" s="973" t="s">
        <v>11561</v>
      </c>
      <c r="E2795" s="854">
        <v>331900800000000</v>
      </c>
      <c r="F2795" s="855" t="s">
        <v>11562</v>
      </c>
      <c r="G2795" s="468">
        <v>1</v>
      </c>
      <c r="H2795" s="468">
        <v>0</v>
      </c>
      <c r="I2795" s="751"/>
      <c r="J2795" s="878"/>
      <c r="K2795" s="789">
        <f>'Parâmetros financeiros Despesa'!E1401</f>
        <v>10178.788</v>
      </c>
      <c r="L2795" s="789">
        <f>(('Parâmetros financeiros Despesa'!F1401)*2.05+(('Parâmetros financeiros Despesa'!F1401)*11.28)*(1+'Parâmetros financeiros Despesa'!F$4)*(1+'Parâmetros financeiros Despesa'!F$8))</f>
        <v>10656.672215786837</v>
      </c>
      <c r="M2795" s="799">
        <f t="shared" si="468"/>
        <v>1.9592371016717024E-2</v>
      </c>
      <c r="N2795" s="894"/>
      <c r="P2795" s="733"/>
    </row>
    <row r="2796" spans="1:16" s="115" customFormat="1" ht="15" customHeight="1" x14ac:dyDescent="0.25">
      <c r="A2796" s="396"/>
      <c r="B2796" s="1398" t="s">
        <v>8754</v>
      </c>
      <c r="C2796" s="1398"/>
      <c r="D2796" s="1398"/>
      <c r="E2796" s="854">
        <v>331901100000000</v>
      </c>
      <c r="F2796" s="855" t="s">
        <v>8765</v>
      </c>
      <c r="G2796" s="468">
        <v>40</v>
      </c>
      <c r="H2796" s="468">
        <v>0</v>
      </c>
      <c r="I2796" s="751"/>
      <c r="J2796" s="878"/>
      <c r="K2796" s="789">
        <f>('Parâmetros financeiros Despesa'!E1402)</f>
        <v>274399.24969999999</v>
      </c>
      <c r="L2796" s="789">
        <f>('Parâmetros financeiros Despesa'!F1402)*2.05+(('Parâmetros financeiros Despesa'!F1402)*11.28)*(1+'Parâmetros financeiros Despesa'!F$4)*(1+'Parâmetros financeiros Despesa'!F$8)</f>
        <v>287282.02810695581</v>
      </c>
      <c r="M2796" s="799">
        <f t="shared" si="468"/>
        <v>0.52817014234220983</v>
      </c>
      <c r="N2796" s="894"/>
      <c r="P2796" s="733"/>
    </row>
    <row r="2797" spans="1:16" s="115" customFormat="1" ht="15" customHeight="1" x14ac:dyDescent="0.25">
      <c r="A2797" s="396"/>
      <c r="B2797" s="1398" t="s">
        <v>8755</v>
      </c>
      <c r="C2797" s="1398"/>
      <c r="D2797" s="1398"/>
      <c r="E2797" s="854">
        <v>331901300000000</v>
      </c>
      <c r="F2797" s="855" t="s">
        <v>8741</v>
      </c>
      <c r="G2797" s="468">
        <v>40</v>
      </c>
      <c r="H2797" s="468">
        <v>0</v>
      </c>
      <c r="I2797" s="751"/>
      <c r="J2797" s="878"/>
      <c r="K2797" s="789">
        <f>'Parâmetros financeiros Despesa'!E1403</f>
        <v>60307.604999999996</v>
      </c>
      <c r="L2797" s="789">
        <f>(L2798+L2796)*'Parâmetros financeiros Despesa'!F80</f>
        <v>72277.003541697879</v>
      </c>
      <c r="M2797" s="799">
        <f t="shared" si="468"/>
        <v>0.13288180781874212</v>
      </c>
      <c r="N2797" s="894"/>
      <c r="P2797" s="733"/>
    </row>
    <row r="2798" spans="1:16" s="115" customFormat="1" ht="15" customHeight="1" x14ac:dyDescent="0.25">
      <c r="A2798" s="396"/>
      <c r="B2798" s="1398" t="s">
        <v>8756</v>
      </c>
      <c r="C2798" s="1398"/>
      <c r="D2798" s="1398"/>
      <c r="E2798" s="854">
        <v>331901600000000</v>
      </c>
      <c r="F2798" s="855" t="s">
        <v>8742</v>
      </c>
      <c r="G2798" s="468">
        <v>40</v>
      </c>
      <c r="H2798" s="468">
        <v>0</v>
      </c>
      <c r="I2798" s="751"/>
      <c r="J2798" s="878"/>
      <c r="K2798" s="789">
        <f>('Parâmetros financeiros Despesa'!E1404)</f>
        <v>14001</v>
      </c>
      <c r="L2798" s="789">
        <f>('Parâmetros financeiros Despesa'!F1404)*2.05+(('Parâmetros financeiros Despesa'!F1404)*11.28)*(1+'Parâmetros financeiros Despesa'!F$4)*(1+'Parâmetros financeiros Despesa'!F$8)</f>
        <v>16282.965306141034</v>
      </c>
      <c r="M2798" s="799">
        <f t="shared" si="468"/>
        <v>2.9936352650281023E-2</v>
      </c>
      <c r="N2798" s="894"/>
      <c r="P2798" s="733"/>
    </row>
    <row r="2799" spans="1:16" s="115" customFormat="1" ht="15" customHeight="1" x14ac:dyDescent="0.25">
      <c r="A2799" s="396"/>
      <c r="B2799" s="1398" t="s">
        <v>8757</v>
      </c>
      <c r="C2799" s="1398"/>
      <c r="D2799" s="1398"/>
      <c r="E2799" s="854">
        <v>333901400000000</v>
      </c>
      <c r="F2799" s="855" t="s">
        <v>8752</v>
      </c>
      <c r="G2799" s="468">
        <v>40</v>
      </c>
      <c r="H2799" s="468">
        <v>0</v>
      </c>
      <c r="I2799" s="751"/>
      <c r="J2799" s="878"/>
      <c r="K2799" s="789">
        <f>('Parâmetros financeiros Despesa'!E1405)</f>
        <v>50601</v>
      </c>
      <c r="L2799" s="789">
        <f>('Parâmetros financeiros Despesa'!F1405)*2+(('Parâmetros financeiros Despesa'!F1405)*10)*(1+'Parâmetros financeiros Despesa'!F$4)*(1+'Parâmetros financeiros Despesa'!F$8)</f>
        <v>15065.777191727371</v>
      </c>
      <c r="M2799" s="799">
        <f t="shared" si="468"/>
        <v>2.7698543261773911E-2</v>
      </c>
      <c r="N2799" s="894"/>
      <c r="P2799" s="733"/>
    </row>
    <row r="2800" spans="1:16" s="115" customFormat="1" ht="15" customHeight="1" x14ac:dyDescent="0.25">
      <c r="A2800" s="396"/>
      <c r="B2800" s="1396">
        <v>510500</v>
      </c>
      <c r="C2800" s="1396"/>
      <c r="D2800" s="1396"/>
      <c r="E2800" s="854">
        <v>333903000000000</v>
      </c>
      <c r="F2800" s="855" t="s">
        <v>8743</v>
      </c>
      <c r="G2800" s="468">
        <v>40</v>
      </c>
      <c r="H2800" s="468">
        <v>0</v>
      </c>
      <c r="I2800" s="751"/>
      <c r="J2800" s="878"/>
      <c r="K2800" s="789">
        <f>('Parâmetros financeiros Despesa'!E1406)</f>
        <v>6743.7750000000005</v>
      </c>
      <c r="L2800" s="789">
        <f>('Parâmetros financeiros Despesa'!F1406)*(1+'Parâmetros financeiros Despesa'!F$4)*(1+'Parâmetros financeiros Despesa'!F$7)</f>
        <v>7352.9503114125009</v>
      </c>
      <c r="M2800" s="799">
        <f t="shared" si="468"/>
        <v>1.3518453758506813E-2</v>
      </c>
      <c r="N2800" s="894"/>
      <c r="P2800" s="733"/>
    </row>
    <row r="2801" spans="1:21" s="115" customFormat="1" ht="15" customHeight="1" x14ac:dyDescent="0.25">
      <c r="A2801" s="396"/>
      <c r="B2801" s="1396">
        <v>510600</v>
      </c>
      <c r="C2801" s="1396"/>
      <c r="D2801" s="1396"/>
      <c r="E2801" s="854">
        <v>333903200000000</v>
      </c>
      <c r="F2801" s="855" t="s">
        <v>8746</v>
      </c>
      <c r="G2801" s="468">
        <v>40</v>
      </c>
      <c r="H2801" s="468">
        <v>0</v>
      </c>
      <c r="I2801" s="751"/>
      <c r="J2801" s="878"/>
      <c r="K2801" s="789">
        <f>('Parâmetros financeiros Despesa'!E1407)</f>
        <v>0</v>
      </c>
      <c r="L2801" s="789">
        <f>('Parâmetros financeiros Despesa'!F1407)*(1+'Parâmetros financeiros Despesa'!F$4)*(1+'Parâmetros financeiros Despesa'!F$7)</f>
        <v>545.16575</v>
      </c>
      <c r="M2801" s="799">
        <f t="shared" si="468"/>
        <v>1.0022912803664722E-3</v>
      </c>
      <c r="N2801" s="894"/>
      <c r="P2801" s="733"/>
    </row>
    <row r="2802" spans="1:21" s="115" customFormat="1" ht="15" customHeight="1" x14ac:dyDescent="0.25">
      <c r="A2802" s="396"/>
      <c r="B2802" s="1396">
        <v>510700</v>
      </c>
      <c r="C2802" s="1396"/>
      <c r="D2802" s="1396"/>
      <c r="E2802" s="854">
        <v>333903300000000</v>
      </c>
      <c r="F2802" s="855" t="s">
        <v>8744</v>
      </c>
      <c r="G2802" s="468">
        <v>40</v>
      </c>
      <c r="H2802" s="468">
        <v>0</v>
      </c>
      <c r="I2802" s="751"/>
      <c r="J2802" s="878"/>
      <c r="K2802" s="789">
        <f>('Parâmetros financeiros Despesa'!E1408)</f>
        <v>42</v>
      </c>
      <c r="L2802" s="789">
        <f>('Parâmetros financeiros Despesa'!F1408)*(1+'Parâmetros financeiros Despesa'!F$4)*(1+'Parâmetros financeiros Despesa'!F$7)</f>
        <v>545.16575</v>
      </c>
      <c r="M2802" s="799">
        <f t="shared" si="468"/>
        <v>1.0022912803664722E-3</v>
      </c>
      <c r="N2802" s="894"/>
      <c r="P2802" s="733"/>
    </row>
    <row r="2803" spans="1:21" s="115" customFormat="1" ht="15" customHeight="1" x14ac:dyDescent="0.25">
      <c r="A2803" s="396"/>
      <c r="B2803" s="1398" t="s">
        <v>8758</v>
      </c>
      <c r="C2803" s="1398"/>
      <c r="D2803" s="1398"/>
      <c r="E2803" s="854">
        <v>333903500000000</v>
      </c>
      <c r="F2803" s="855" t="s">
        <v>8747</v>
      </c>
      <c r="G2803" s="468">
        <v>40</v>
      </c>
      <c r="H2803" s="468">
        <v>0</v>
      </c>
      <c r="I2803" s="751"/>
      <c r="J2803" s="878"/>
      <c r="K2803" s="789">
        <f>('Parâmetros financeiros Despesa'!E1409)</f>
        <v>0</v>
      </c>
      <c r="L2803" s="789">
        <f>('Parâmetros financeiros Despesa'!F1409)*(1+'Parâmetros financeiros Despesa'!F$4)*(1+'Parâmetros financeiros Despesa'!F$7)</f>
        <v>1635.4972500000001</v>
      </c>
      <c r="M2803" s="799">
        <f t="shared" si="468"/>
        <v>3.0068738410994164E-3</v>
      </c>
      <c r="N2803" s="894"/>
      <c r="P2803" s="733"/>
    </row>
    <row r="2804" spans="1:21" s="115" customFormat="1" ht="15" customHeight="1" x14ac:dyDescent="0.25">
      <c r="A2804" s="396"/>
      <c r="B2804" s="1398" t="s">
        <v>8759</v>
      </c>
      <c r="C2804" s="1398"/>
      <c r="D2804" s="1398"/>
      <c r="E2804" s="854">
        <v>333903600000000</v>
      </c>
      <c r="F2804" s="855" t="s">
        <v>8748</v>
      </c>
      <c r="G2804" s="468">
        <v>40</v>
      </c>
      <c r="H2804" s="468">
        <v>0</v>
      </c>
      <c r="I2804" s="751"/>
      <c r="J2804" s="878"/>
      <c r="K2804" s="789">
        <f>('Parâmetros financeiros Despesa'!E1410)</f>
        <v>1575</v>
      </c>
      <c r="L2804" s="789">
        <f>('Parâmetros financeiros Despesa'!F1410)*(1+'Parâmetros financeiros Despesa'!F$4)*(1+'Parâmetros financeiros Despesa'!F$7)</f>
        <v>1717.2721125</v>
      </c>
      <c r="M2804" s="799">
        <f t="shared" si="468"/>
        <v>3.1572175331543873E-3</v>
      </c>
      <c r="N2804" s="894"/>
      <c r="P2804" s="733"/>
    </row>
    <row r="2805" spans="1:21" s="115" customFormat="1" ht="15" customHeight="1" x14ac:dyDescent="0.25">
      <c r="A2805" s="396"/>
      <c r="B2805" s="1398" t="s">
        <v>8760</v>
      </c>
      <c r="C2805" s="1398"/>
      <c r="D2805" s="1398"/>
      <c r="E2805" s="854">
        <v>333903900000000</v>
      </c>
      <c r="F2805" s="855" t="s">
        <v>8745</v>
      </c>
      <c r="G2805" s="468">
        <v>40</v>
      </c>
      <c r="H2805" s="468">
        <v>0</v>
      </c>
      <c r="I2805" s="751"/>
      <c r="J2805" s="878"/>
      <c r="K2805" s="789">
        <f>('Parâmetros financeiros Despesa'!E1411)</f>
        <v>19308.165000000001</v>
      </c>
      <c r="L2805" s="789">
        <f>('Parâmetros financeiros Despesa'!F1411)*(1+'Parâmetros financeiros Despesa'!F$4)*(1+'Parâmetros financeiros Despesa'!F$7)</f>
        <v>21052.300506697502</v>
      </c>
      <c r="M2805" s="799">
        <f t="shared" si="468"/>
        <v>3.8704810838754211E-2</v>
      </c>
      <c r="N2805" s="894"/>
      <c r="P2805" s="733"/>
    </row>
    <row r="2806" spans="1:21" s="115" customFormat="1" ht="15" customHeight="1" x14ac:dyDescent="0.25">
      <c r="A2806" s="396"/>
      <c r="B2806" s="1398" t="s">
        <v>8761</v>
      </c>
      <c r="C2806" s="1398"/>
      <c r="D2806" s="1398"/>
      <c r="E2806" s="854">
        <v>333904700000000</v>
      </c>
      <c r="F2806" s="855" t="s">
        <v>8749</v>
      </c>
      <c r="G2806" s="468">
        <v>40</v>
      </c>
      <c r="H2806" s="468">
        <v>0</v>
      </c>
      <c r="I2806" s="751"/>
      <c r="J2806" s="878"/>
      <c r="K2806" s="789">
        <f>('Parâmetros financeiros Despesa'!E1412)</f>
        <v>315</v>
      </c>
      <c r="L2806" s="789">
        <f>('Parâmetros financeiros Despesa'!F1412)*(1+'Parâmetros financeiros Despesa'!F$4)*(1+'Parâmetros financeiros Despesa'!F$7)</f>
        <v>343.45442249999996</v>
      </c>
      <c r="M2806" s="799">
        <f t="shared" si="468"/>
        <v>6.3144350663087742E-4</v>
      </c>
      <c r="N2806" s="894"/>
      <c r="P2806" s="733"/>
    </row>
    <row r="2807" spans="1:21" s="115" customFormat="1" ht="15" customHeight="1" x14ac:dyDescent="0.25">
      <c r="A2807" s="396"/>
      <c r="B2807" s="1398" t="s">
        <v>8762</v>
      </c>
      <c r="C2807" s="1398"/>
      <c r="D2807" s="1398"/>
      <c r="E2807" s="854">
        <v>333904900000000</v>
      </c>
      <c r="F2807" s="855" t="s">
        <v>8766</v>
      </c>
      <c r="G2807" s="468">
        <v>40</v>
      </c>
      <c r="H2807" s="468">
        <v>0</v>
      </c>
      <c r="I2807" s="751"/>
      <c r="J2807" s="878"/>
      <c r="K2807" s="789">
        <f>('Parâmetros financeiros Despesa'!E1413)</f>
        <v>4785.78</v>
      </c>
      <c r="L2807" s="789">
        <f>('Parâmetros financeiros Despesa'!F1413)*2+(('Parâmetros financeiros Despesa'!F1413)*10)*(1+'Parâmetros financeiros Despesa'!F$4)*(1+'Parâmetros financeiros Despesa'!F$8)</f>
        <v>5007.0482755989588</v>
      </c>
      <c r="M2807" s="799">
        <f t="shared" si="468"/>
        <v>9.2054954424536338E-3</v>
      </c>
      <c r="N2807" s="894"/>
      <c r="P2807" s="733"/>
    </row>
    <row r="2808" spans="1:21" s="115" customFormat="1" ht="15" customHeight="1" x14ac:dyDescent="0.25">
      <c r="A2808" s="396"/>
      <c r="B2808" s="1398" t="s">
        <v>8763</v>
      </c>
      <c r="C2808" s="1398"/>
      <c r="D2808" s="1398"/>
      <c r="E2808" s="854">
        <v>333909300000000</v>
      </c>
      <c r="F2808" s="855" t="s">
        <v>8750</v>
      </c>
      <c r="G2808" s="468">
        <v>40</v>
      </c>
      <c r="H2808" s="468">
        <v>0</v>
      </c>
      <c r="I2808" s="751"/>
      <c r="J2808" s="878"/>
      <c r="K2808" s="789">
        <f>('Parâmetros financeiros Despesa'!E1414)</f>
        <v>952.41000000000008</v>
      </c>
      <c r="L2808" s="789">
        <f>('Parâmetros financeiros Despesa'!F1414)*(1+'Parâmetros financeiros Despesa'!F$4)*(1+'Parâmetros financeiros Despesa'!F$7)</f>
        <v>1038.442623915</v>
      </c>
      <c r="M2808" s="799">
        <f t="shared" si="468"/>
        <v>1.9091844766676634E-3</v>
      </c>
      <c r="N2808" s="894"/>
      <c r="P2808" s="733"/>
    </row>
    <row r="2809" spans="1:21" s="115" customFormat="1" ht="15" customHeight="1" x14ac:dyDescent="0.25">
      <c r="A2809" s="396"/>
      <c r="B2809" s="1398" t="s">
        <v>8764</v>
      </c>
      <c r="C2809" s="1398"/>
      <c r="D2809" s="1398"/>
      <c r="E2809" s="854">
        <v>333933000000000</v>
      </c>
      <c r="F2809" s="855" t="s">
        <v>8751</v>
      </c>
      <c r="G2809" s="468">
        <v>40</v>
      </c>
      <c r="H2809" s="468">
        <v>0</v>
      </c>
      <c r="I2809" s="751"/>
      <c r="J2809" s="878"/>
      <c r="K2809" s="789">
        <f>('Parâmetros financeiros Despesa'!E1415)</f>
        <v>0</v>
      </c>
      <c r="L2809" s="789">
        <f>('Parâmetros financeiros Despesa'!F1415)*(1+'Parâmetros financeiros Despesa'!F$4)*(1+'Parâmetros financeiros Despesa'!F$7)</f>
        <v>3816.1602500000004</v>
      </c>
      <c r="M2809" s="799">
        <f t="shared" si="468"/>
        <v>7.0160389625653057E-3</v>
      </c>
      <c r="N2809" s="894"/>
      <c r="P2809" s="733"/>
    </row>
    <row r="2810" spans="1:21" s="761" customFormat="1" ht="15" customHeight="1" x14ac:dyDescent="0.25">
      <c r="A2810" s="397"/>
      <c r="B2810" s="1382" t="s">
        <v>8699</v>
      </c>
      <c r="C2810" s="1382"/>
      <c r="D2810" s="1382"/>
      <c r="E2810" s="1382"/>
      <c r="F2810" s="1382"/>
      <c r="G2810" s="405"/>
      <c r="H2810" s="405"/>
      <c r="I2810" s="428"/>
      <c r="J2810" s="413"/>
      <c r="K2810" s="406">
        <f t="shared" ref="K2810:L2813" si="469">K2811</f>
        <v>0</v>
      </c>
      <c r="L2810" s="406">
        <f t="shared" si="469"/>
        <v>6541.9890000000005</v>
      </c>
      <c r="M2810" s="453">
        <f>L2810/L$2828</f>
        <v>1.2027495364397666E-2</v>
      </c>
      <c r="N2810" s="796"/>
      <c r="P2810" s="399"/>
    </row>
    <row r="2811" spans="1:21" s="761" customFormat="1" ht="15" customHeight="1" x14ac:dyDescent="0.25">
      <c r="A2811" s="397"/>
      <c r="B2811" s="1383" t="s">
        <v>2290</v>
      </c>
      <c r="C2811" s="1383"/>
      <c r="D2811" s="1383"/>
      <c r="E2811" s="1383"/>
      <c r="F2811" s="1383"/>
      <c r="G2811" s="407"/>
      <c r="H2811" s="407"/>
      <c r="I2811" s="429"/>
      <c r="J2811" s="414"/>
      <c r="K2811" s="408">
        <f t="shared" si="469"/>
        <v>0</v>
      </c>
      <c r="L2811" s="408">
        <f t="shared" si="469"/>
        <v>6541.9890000000005</v>
      </c>
      <c r="M2811" s="454">
        <f>L2811/L$2828</f>
        <v>1.2027495364397666E-2</v>
      </c>
      <c r="N2811" s="796"/>
      <c r="P2811" s="399"/>
    </row>
    <row r="2812" spans="1:21" s="761" customFormat="1" ht="15" customHeight="1" x14ac:dyDescent="0.25">
      <c r="A2812" s="397"/>
      <c r="B2812" s="1385" t="s">
        <v>8698</v>
      </c>
      <c r="C2812" s="1385"/>
      <c r="D2812" s="1385"/>
      <c r="E2812" s="1385"/>
      <c r="F2812" s="1385"/>
      <c r="G2812" s="401"/>
      <c r="H2812" s="401"/>
      <c r="I2812" s="426"/>
      <c r="J2812" s="411"/>
      <c r="K2812" s="402">
        <f t="shared" si="469"/>
        <v>0</v>
      </c>
      <c r="L2812" s="402">
        <f t="shared" si="469"/>
        <v>6541.9890000000005</v>
      </c>
      <c r="M2812" s="451">
        <f>L2812/L$2828</f>
        <v>1.2027495364397666E-2</v>
      </c>
      <c r="N2812" s="796"/>
      <c r="P2812" s="399"/>
    </row>
    <row r="2813" spans="1:21" s="761" customFormat="1" ht="15" customHeight="1" x14ac:dyDescent="0.25">
      <c r="A2813" s="397"/>
      <c r="B2813" s="1386" t="s">
        <v>8704</v>
      </c>
      <c r="C2813" s="1386"/>
      <c r="D2813" s="1386"/>
      <c r="E2813" s="1386"/>
      <c r="F2813" s="1386"/>
      <c r="G2813" s="403"/>
      <c r="H2813" s="403"/>
      <c r="I2813" s="427"/>
      <c r="J2813" s="412"/>
      <c r="K2813" s="404">
        <f t="shared" si="469"/>
        <v>0</v>
      </c>
      <c r="L2813" s="404">
        <f t="shared" si="469"/>
        <v>6541.9890000000005</v>
      </c>
      <c r="M2813" s="452">
        <f>L2813/L$2828</f>
        <v>1.2027495364397666E-2</v>
      </c>
      <c r="N2813" s="796"/>
      <c r="P2813" s="399"/>
    </row>
    <row r="2814" spans="1:21" s="115" customFormat="1" ht="15" customHeight="1" x14ac:dyDescent="0.25">
      <c r="B2814" s="1398" t="s">
        <v>8767</v>
      </c>
      <c r="C2814" s="1398"/>
      <c r="D2814" s="1398"/>
      <c r="E2814" s="854">
        <v>333710000000000</v>
      </c>
      <c r="F2814" s="855" t="s">
        <v>5033</v>
      </c>
      <c r="G2814" s="468">
        <v>40</v>
      </c>
      <c r="H2814" s="468">
        <v>0</v>
      </c>
      <c r="I2814" s="751"/>
      <c r="J2814" s="878"/>
      <c r="K2814" s="789">
        <f>('Parâmetros financeiros Despesa'!E1417)</f>
        <v>0</v>
      </c>
      <c r="L2814" s="789">
        <f>('Parâmetros financeiros Despesa'!F1417)*(1+'Parâmetros financeiros Despesa'!F$4)*(1+'Parâmetros financeiros Despesa'!F$7)</f>
        <v>6541.9890000000005</v>
      </c>
      <c r="M2814" s="799">
        <f t="shared" ref="M2814" si="470">L2814/L$2828</f>
        <v>1.2027495364397666E-2</v>
      </c>
      <c r="N2814" s="894"/>
      <c r="O2814" s="396"/>
      <c r="P2814" s="463"/>
      <c r="S2814" s="463"/>
      <c r="T2814" s="463"/>
      <c r="U2814" s="463"/>
    </row>
    <row r="2815" spans="1:21" s="761" customFormat="1" ht="15" customHeight="1" x14ac:dyDescent="0.25">
      <c r="A2815" s="397"/>
      <c r="B2815" s="1382" t="s">
        <v>8699</v>
      </c>
      <c r="C2815" s="1382"/>
      <c r="D2815" s="1382"/>
      <c r="E2815" s="1382"/>
      <c r="F2815" s="1382"/>
      <c r="G2815" s="405"/>
      <c r="H2815" s="405"/>
      <c r="I2815" s="428"/>
      <c r="J2815" s="413"/>
      <c r="K2815" s="406">
        <f t="shared" ref="K2815:L2817" si="471">K2816</f>
        <v>6651.1049999999996</v>
      </c>
      <c r="L2815" s="406">
        <f t="shared" si="471"/>
        <v>15647.461841307502</v>
      </c>
      <c r="M2815" s="453">
        <f>L2815/L$2828</f>
        <v>2.8767974810247364E-2</v>
      </c>
      <c r="N2815" s="796"/>
      <c r="P2815" s="399"/>
    </row>
    <row r="2816" spans="1:21" s="761" customFormat="1" ht="15" customHeight="1" x14ac:dyDescent="0.25">
      <c r="A2816" s="397"/>
      <c r="B2816" s="1383" t="s">
        <v>2290</v>
      </c>
      <c r="C2816" s="1383"/>
      <c r="D2816" s="1383"/>
      <c r="E2816" s="1383"/>
      <c r="F2816" s="1383"/>
      <c r="G2816" s="407"/>
      <c r="H2816" s="407"/>
      <c r="I2816" s="429"/>
      <c r="J2816" s="414"/>
      <c r="K2816" s="408">
        <f t="shared" si="471"/>
        <v>6651.1049999999996</v>
      </c>
      <c r="L2816" s="408">
        <f t="shared" si="471"/>
        <v>15647.461841307502</v>
      </c>
      <c r="M2816" s="454">
        <f>L2816/L$2828</f>
        <v>2.8767974810247364E-2</v>
      </c>
      <c r="N2816" s="796"/>
      <c r="P2816" s="399"/>
    </row>
    <row r="2817" spans="1:16" s="761" customFormat="1" ht="15" customHeight="1" x14ac:dyDescent="0.25">
      <c r="A2817" s="397"/>
      <c r="B2817" s="1385" t="s">
        <v>8698</v>
      </c>
      <c r="C2817" s="1385"/>
      <c r="D2817" s="1385"/>
      <c r="E2817" s="1385"/>
      <c r="F2817" s="1385"/>
      <c r="G2817" s="401"/>
      <c r="H2817" s="401"/>
      <c r="I2817" s="426"/>
      <c r="J2817" s="411"/>
      <c r="K2817" s="402">
        <f t="shared" si="471"/>
        <v>6651.1049999999996</v>
      </c>
      <c r="L2817" s="402">
        <f t="shared" si="471"/>
        <v>15647.461841307502</v>
      </c>
      <c r="M2817" s="451">
        <f>L2817/L$2828</f>
        <v>2.8767974810247364E-2</v>
      </c>
      <c r="N2817" s="796"/>
      <c r="P2817" s="399"/>
    </row>
    <row r="2818" spans="1:16" s="761" customFormat="1" ht="15" customHeight="1" x14ac:dyDescent="0.25">
      <c r="A2818" s="397"/>
      <c r="B2818" s="1386" t="s">
        <v>8705</v>
      </c>
      <c r="C2818" s="1386"/>
      <c r="D2818" s="1386"/>
      <c r="E2818" s="1386"/>
      <c r="F2818" s="1386"/>
      <c r="G2818" s="403"/>
      <c r="H2818" s="403"/>
      <c r="I2818" s="427"/>
      <c r="J2818" s="412"/>
      <c r="K2818" s="404">
        <f>SUM(K2819:K2823)</f>
        <v>6651.1049999999996</v>
      </c>
      <c r="L2818" s="404">
        <f>SUM(L2819:L2823)</f>
        <v>15647.461841307502</v>
      </c>
      <c r="M2818" s="452">
        <f>L2818/L$2828</f>
        <v>2.8767974810247364E-2</v>
      </c>
      <c r="N2818" s="796"/>
      <c r="P2818" s="399"/>
    </row>
    <row r="2819" spans="1:16" s="115" customFormat="1" ht="15" customHeight="1" x14ac:dyDescent="0.25">
      <c r="A2819" s="396"/>
      <c r="B2819" s="1396">
        <v>513000</v>
      </c>
      <c r="C2819" s="1396"/>
      <c r="D2819" s="1396"/>
      <c r="E2819" s="854">
        <v>333903000000000</v>
      </c>
      <c r="F2819" s="855" t="s">
        <v>8768</v>
      </c>
      <c r="G2819" s="468">
        <v>40</v>
      </c>
      <c r="H2819" s="468">
        <v>0</v>
      </c>
      <c r="I2819" s="751"/>
      <c r="J2819" s="878"/>
      <c r="K2819" s="789">
        <f>('Parâmetros financeiros Despesa'!E1419)</f>
        <v>3737.3250000000003</v>
      </c>
      <c r="L2819" s="789">
        <f>('Parâmetros financeiros Despesa'!F1419)*(1+'Parâmetros financeiros Despesa'!F$4)*(1+'Parâmetros financeiros Despesa'!F$7)</f>
        <v>4074.9231732375001</v>
      </c>
      <c r="M2819" s="799">
        <f t="shared" ref="M2819:M2823" si="472">L2819/L$2828</f>
        <v>7.4917765187912507E-3</v>
      </c>
      <c r="N2819" s="894"/>
      <c r="P2819" s="733"/>
    </row>
    <row r="2820" spans="1:16" s="115" customFormat="1" ht="15" customHeight="1" x14ac:dyDescent="0.25">
      <c r="A2820" s="396"/>
      <c r="B2820" s="1398" t="s">
        <v>8772</v>
      </c>
      <c r="C2820" s="1398"/>
      <c r="D2820" s="1398"/>
      <c r="E2820" s="854">
        <v>333903600000000</v>
      </c>
      <c r="F2820" s="855" t="s">
        <v>8769</v>
      </c>
      <c r="G2820" s="468">
        <v>40</v>
      </c>
      <c r="H2820" s="468">
        <v>0</v>
      </c>
      <c r="I2820" s="751"/>
      <c r="J2820" s="878"/>
      <c r="K2820" s="789">
        <f>('Parâmetros financeiros Despesa'!E1420)</f>
        <v>0</v>
      </c>
      <c r="L2820" s="789">
        <f>('Parâmetros financeiros Despesa'!F1420)*(1+'Parâmetros financeiros Despesa'!F$4)*(1+'Parâmetros financeiros Despesa'!F$7)</f>
        <v>3816.1602500000004</v>
      </c>
      <c r="M2820" s="799">
        <f t="shared" si="472"/>
        <v>7.0160389625653057E-3</v>
      </c>
      <c r="N2820" s="894"/>
      <c r="P2820" s="733"/>
    </row>
    <row r="2821" spans="1:16" s="115" customFormat="1" ht="15" customHeight="1" x14ac:dyDescent="0.25">
      <c r="A2821" s="396"/>
      <c r="B2821" s="1398" t="s">
        <v>8773</v>
      </c>
      <c r="C2821" s="1398"/>
      <c r="D2821" s="1398"/>
      <c r="E2821" s="854">
        <v>333903900000000</v>
      </c>
      <c r="F2821" s="855" t="s">
        <v>8770</v>
      </c>
      <c r="G2821" s="468">
        <v>40</v>
      </c>
      <c r="H2821" s="468">
        <v>0</v>
      </c>
      <c r="I2821" s="751"/>
      <c r="J2821" s="878"/>
      <c r="K2821" s="789">
        <f>('Parâmetros financeiros Despesa'!E1421)</f>
        <v>2913.7799999999997</v>
      </c>
      <c r="L2821" s="789">
        <f>('Parâmetros financeiros Despesa'!F1421)*(1+'Parâmetros financeiros Despesa'!F$4)*(1+'Parâmetros financeiros Despesa'!F$7)</f>
        <v>3176.98611807</v>
      </c>
      <c r="M2821" s="799">
        <f t="shared" si="472"/>
        <v>5.8409125738124379E-3</v>
      </c>
      <c r="N2821" s="894"/>
      <c r="P2821" s="733"/>
    </row>
    <row r="2822" spans="1:16" s="115" customFormat="1" ht="15" customHeight="1" x14ac:dyDescent="0.25">
      <c r="A2822" s="396"/>
      <c r="B2822" s="1398" t="s">
        <v>8774</v>
      </c>
      <c r="C2822" s="1398"/>
      <c r="D2822" s="1398"/>
      <c r="E2822" s="854">
        <v>333904700000000</v>
      </c>
      <c r="F2822" s="855" t="s">
        <v>8776</v>
      </c>
      <c r="G2822" s="468">
        <v>40</v>
      </c>
      <c r="H2822" s="468">
        <v>0</v>
      </c>
      <c r="I2822" s="751"/>
      <c r="J2822" s="878"/>
      <c r="K2822" s="789">
        <f>('Parâmetros financeiros Despesa'!E1422)</f>
        <v>0</v>
      </c>
      <c r="L2822" s="789">
        <f>('Parâmetros financeiros Despesa'!F1422)*(1+'Parâmetros financeiros Despesa'!F$4)*(1+'Parâmetros financeiros Despesa'!F$7)</f>
        <v>763.23204999999996</v>
      </c>
      <c r="M2822" s="799">
        <f t="shared" si="472"/>
        <v>1.4032077925130609E-3</v>
      </c>
      <c r="N2822" s="894"/>
      <c r="P2822" s="733"/>
    </row>
    <row r="2823" spans="1:16" s="115" customFormat="1" ht="15" customHeight="1" x14ac:dyDescent="0.25">
      <c r="A2823" s="396"/>
      <c r="B2823" s="1398" t="s">
        <v>8775</v>
      </c>
      <c r="C2823" s="1398"/>
      <c r="D2823" s="1398"/>
      <c r="E2823" s="854">
        <v>333933000000000</v>
      </c>
      <c r="F2823" s="855" t="s">
        <v>8771</v>
      </c>
      <c r="G2823" s="468">
        <v>40</v>
      </c>
      <c r="H2823" s="468">
        <v>0</v>
      </c>
      <c r="I2823" s="751"/>
      <c r="J2823" s="878"/>
      <c r="K2823" s="789">
        <f>('Parâmetros financeiros Despesa'!E1423)</f>
        <v>0</v>
      </c>
      <c r="L2823" s="789">
        <f>('Parâmetros financeiros Despesa'!F1423)*(1+'Parâmetros financeiros Despesa'!F$4)*(1+'Parâmetros financeiros Despesa'!F$7)</f>
        <v>3816.1602500000004</v>
      </c>
      <c r="M2823" s="799">
        <f t="shared" si="472"/>
        <v>7.0160389625653057E-3</v>
      </c>
      <c r="N2823" s="894"/>
      <c r="P2823" s="733"/>
    </row>
    <row r="2824" spans="1:16" s="115" customFormat="1" ht="16.5" customHeight="1" x14ac:dyDescent="0.25">
      <c r="A2824" s="396"/>
      <c r="B2824" s="1395" t="s">
        <v>2172</v>
      </c>
      <c r="C2824" s="1395"/>
      <c r="D2824" s="1395"/>
      <c r="E2824" s="1395"/>
      <c r="F2824" s="1395"/>
      <c r="G2824" s="1395"/>
      <c r="H2824" s="1395"/>
      <c r="I2824" s="1395"/>
      <c r="J2824" s="1395"/>
      <c r="K2824" s="1023">
        <f>K2818+K2813+K2793+K2783+K2774+K2765+K2756</f>
        <v>524420.42889999994</v>
      </c>
      <c r="L2824" s="1023">
        <f>L2818+L2813+L2793+L2783+L2774+L2765+L2756</f>
        <v>543919.47797916457</v>
      </c>
      <c r="M2824" s="452">
        <f>L2824/L$2828</f>
        <v>1</v>
      </c>
      <c r="N2824" s="894"/>
      <c r="P2824" s="733"/>
    </row>
    <row r="2825" spans="1:16" s="820" customFormat="1" ht="15" customHeight="1" x14ac:dyDescent="0.25">
      <c r="B2825" s="864" t="s">
        <v>11469</v>
      </c>
      <c r="C2825" s="864"/>
      <c r="D2825" s="864"/>
      <c r="E2825" s="864"/>
      <c r="F2825" s="864"/>
      <c r="G2825" s="864"/>
      <c r="H2825" s="864"/>
      <c r="I2825" s="864"/>
      <c r="J2825" s="864"/>
      <c r="K2825" s="863"/>
      <c r="L2825" s="863"/>
      <c r="M2825" s="452"/>
      <c r="N2825" s="796"/>
      <c r="P2825" s="399"/>
    </row>
    <row r="2826" spans="1:16" s="31" customFormat="1" ht="15" customHeight="1" x14ac:dyDescent="0.25">
      <c r="B2826" s="869" t="s">
        <v>11568</v>
      </c>
      <c r="C2826" s="869"/>
      <c r="D2826" s="869"/>
      <c r="E2826" s="869"/>
      <c r="F2826" s="869"/>
      <c r="G2826" s="869"/>
      <c r="H2826" s="869"/>
      <c r="I2826" s="869"/>
      <c r="J2826" s="869"/>
      <c r="K2826" s="870">
        <f>K2795</f>
        <v>10178.788</v>
      </c>
      <c r="L2826" s="870">
        <f>L2795</f>
        <v>10656.672215786837</v>
      </c>
      <c r="M2826" s="871">
        <f>L2826/L$2828</f>
        <v>1.9592371016717024E-2</v>
      </c>
      <c r="N2826" s="897"/>
      <c r="P2826" s="736"/>
    </row>
    <row r="2827" spans="1:16" s="31" customFormat="1" ht="15" customHeight="1" x14ac:dyDescent="0.25">
      <c r="B2827" s="869" t="s">
        <v>756</v>
      </c>
      <c r="C2827" s="869"/>
      <c r="D2827" s="869"/>
      <c r="E2827" s="869"/>
      <c r="F2827" s="869"/>
      <c r="G2827" s="869"/>
      <c r="H2827" s="869"/>
      <c r="I2827" s="869"/>
      <c r="J2827" s="869"/>
      <c r="K2827" s="870">
        <f>K2824-K2826</f>
        <v>514241.64089999994</v>
      </c>
      <c r="L2827" s="870">
        <f>L2824-L2826</f>
        <v>533262.80576337769</v>
      </c>
      <c r="M2827" s="871">
        <f>L2827/L$2828</f>
        <v>0.98040762898328293</v>
      </c>
      <c r="N2827" s="897"/>
      <c r="P2827" s="736"/>
    </row>
    <row r="2828" spans="1:16" s="115" customFormat="1" ht="15" customHeight="1" x14ac:dyDescent="0.25">
      <c r="B2828" s="864" t="s">
        <v>2172</v>
      </c>
      <c r="C2828" s="864"/>
      <c r="D2828" s="864"/>
      <c r="E2828" s="864"/>
      <c r="F2828" s="864"/>
      <c r="G2828" s="864"/>
      <c r="H2828" s="864"/>
      <c r="I2828" s="864"/>
      <c r="J2828" s="864"/>
      <c r="K2828" s="863">
        <f>SUM(K2826:K2827)</f>
        <v>524420.42889999994</v>
      </c>
      <c r="L2828" s="863">
        <f>SUM(L2826:L2827)</f>
        <v>543919.47797916457</v>
      </c>
      <c r="M2828" s="452">
        <f>L2828/L$2828</f>
        <v>1</v>
      </c>
      <c r="N2828" s="894"/>
      <c r="P2828" s="733"/>
    </row>
    <row r="2829" spans="1:16" ht="15" customHeight="1" x14ac:dyDescent="0.25"/>
    <row r="2830" spans="1:16" s="435" customFormat="1" ht="15" customHeight="1" x14ac:dyDescent="0.25">
      <c r="B2830" s="759" t="s">
        <v>989</v>
      </c>
      <c r="C2830" s="759"/>
      <c r="D2830" s="481"/>
      <c r="E2830" s="1371" t="s">
        <v>9485</v>
      </c>
      <c r="F2830" s="1371"/>
      <c r="G2830" s="1371"/>
      <c r="H2830" s="1371"/>
      <c r="I2830" s="1371"/>
      <c r="J2830" s="437"/>
      <c r="K2830" s="940"/>
      <c r="L2830" s="438"/>
      <c r="M2830" s="449"/>
      <c r="N2830" s="892"/>
      <c r="P2830" s="732"/>
    </row>
    <row r="2831" spans="1:16" s="435" customFormat="1" ht="15" customHeight="1" x14ac:dyDescent="0.25">
      <c r="B2831" s="759" t="s">
        <v>458</v>
      </c>
      <c r="C2831" s="759"/>
      <c r="D2831" s="481"/>
      <c r="E2831" s="1371" t="s">
        <v>8777</v>
      </c>
      <c r="F2831" s="1371"/>
      <c r="G2831" s="1371"/>
      <c r="H2831" s="1371"/>
      <c r="I2831" s="1371"/>
      <c r="J2831" s="437"/>
      <c r="K2831" s="940"/>
      <c r="L2831" s="438"/>
      <c r="M2831" s="449"/>
      <c r="N2831" s="892"/>
      <c r="P2831" s="732"/>
    </row>
    <row r="2832" spans="1:16" s="435" customFormat="1" ht="15" customHeight="1" x14ac:dyDescent="0.25">
      <c r="B2832" s="760" t="s">
        <v>5764</v>
      </c>
      <c r="C2832" s="760"/>
      <c r="D2832" s="760"/>
      <c r="E2832" s="1371" t="s">
        <v>749</v>
      </c>
      <c r="F2832" s="1371"/>
      <c r="G2832" s="1371"/>
      <c r="H2832" s="1371"/>
      <c r="I2832" s="1371"/>
      <c r="J2832" s="440"/>
      <c r="K2832" s="941"/>
      <c r="L2832" s="438"/>
      <c r="M2832" s="449"/>
      <c r="N2832" s="892"/>
      <c r="P2832" s="732"/>
    </row>
    <row r="2833" spans="1:16" s="851" customFormat="1" ht="113.25" customHeight="1" x14ac:dyDescent="0.25">
      <c r="A2833" s="396"/>
      <c r="B2833" s="1400" t="s">
        <v>2296</v>
      </c>
      <c r="C2833" s="1400"/>
      <c r="D2833" s="1400"/>
      <c r="E2833" s="1384" t="s">
        <v>2297</v>
      </c>
      <c r="F2833" s="1384"/>
      <c r="G2833" s="443" t="s">
        <v>444</v>
      </c>
      <c r="H2833" s="443" t="s">
        <v>2245</v>
      </c>
      <c r="I2833" s="444" t="s">
        <v>5725</v>
      </c>
      <c r="J2833" s="849" t="s">
        <v>2275</v>
      </c>
      <c r="K2833" s="893" t="s">
        <v>11644</v>
      </c>
      <c r="L2833" s="979" t="s">
        <v>11522</v>
      </c>
      <c r="M2833" s="450" t="s">
        <v>235</v>
      </c>
      <c r="N2833" s="796"/>
      <c r="P2833" s="399"/>
    </row>
    <row r="2834" spans="1:16" s="761" customFormat="1" ht="15" customHeight="1" x14ac:dyDescent="0.25">
      <c r="A2834" s="397"/>
      <c r="B2834" s="1382" t="s">
        <v>8699</v>
      </c>
      <c r="C2834" s="1382"/>
      <c r="D2834" s="1382"/>
      <c r="E2834" s="1382"/>
      <c r="F2834" s="1382"/>
      <c r="G2834" s="405"/>
      <c r="H2834" s="405"/>
      <c r="I2834" s="428"/>
      <c r="J2834" s="413"/>
      <c r="K2834" s="406">
        <f t="shared" ref="K2834:L2836" si="473">K2835</f>
        <v>0</v>
      </c>
      <c r="L2834" s="406">
        <f t="shared" si="473"/>
        <v>8940.7183000000005</v>
      </c>
      <c r="M2834" s="453">
        <f>L2834/L$3225</f>
        <v>3.4245420623182266E-3</v>
      </c>
      <c r="N2834" s="796"/>
      <c r="P2834" s="399"/>
    </row>
    <row r="2835" spans="1:16" s="761" customFormat="1" ht="15" customHeight="1" x14ac:dyDescent="0.25">
      <c r="A2835" s="397"/>
      <c r="B2835" s="1383" t="s">
        <v>8812</v>
      </c>
      <c r="C2835" s="1383"/>
      <c r="D2835" s="1383"/>
      <c r="E2835" s="1383"/>
      <c r="F2835" s="1383"/>
      <c r="G2835" s="407"/>
      <c r="H2835" s="407"/>
      <c r="I2835" s="429"/>
      <c r="J2835" s="414"/>
      <c r="K2835" s="408">
        <f t="shared" si="473"/>
        <v>0</v>
      </c>
      <c r="L2835" s="408">
        <f t="shared" si="473"/>
        <v>8940.7183000000005</v>
      </c>
      <c r="M2835" s="454">
        <f>L2835/L$3225</f>
        <v>3.4245420623182266E-3</v>
      </c>
      <c r="N2835" s="796"/>
      <c r="P2835" s="399"/>
    </row>
    <row r="2836" spans="1:16" s="761" customFormat="1" ht="15" customHeight="1" x14ac:dyDescent="0.25">
      <c r="A2836" s="397"/>
      <c r="B2836" s="1386" t="s">
        <v>8700</v>
      </c>
      <c r="C2836" s="1386"/>
      <c r="D2836" s="1386"/>
      <c r="E2836" s="1386"/>
      <c r="F2836" s="1386"/>
      <c r="G2836" s="403"/>
      <c r="H2836" s="403"/>
      <c r="I2836" s="427"/>
      <c r="J2836" s="412"/>
      <c r="K2836" s="404">
        <f t="shared" si="473"/>
        <v>0</v>
      </c>
      <c r="L2836" s="404">
        <f t="shared" si="473"/>
        <v>8940.7183000000005</v>
      </c>
      <c r="M2836" s="452">
        <f>L2836/L$3225</f>
        <v>3.4245420623182266E-3</v>
      </c>
      <c r="N2836" s="796"/>
      <c r="P2836" s="399"/>
    </row>
    <row r="2837" spans="1:16" s="761" customFormat="1" ht="15" customHeight="1" x14ac:dyDescent="0.25">
      <c r="A2837" s="397"/>
      <c r="B2837" s="1385" t="s">
        <v>8698</v>
      </c>
      <c r="C2837" s="1385"/>
      <c r="D2837" s="1385"/>
      <c r="E2837" s="1385"/>
      <c r="F2837" s="1385"/>
      <c r="G2837" s="401"/>
      <c r="H2837" s="401"/>
      <c r="I2837" s="426"/>
      <c r="J2837" s="411"/>
      <c r="K2837" s="402">
        <f>SUM(K2838:K2842)</f>
        <v>0</v>
      </c>
      <c r="L2837" s="402">
        <f>SUM(L2838:L2842)</f>
        <v>8940.7183000000005</v>
      </c>
      <c r="M2837" s="451">
        <f>L2837/L$3225</f>
        <v>3.4245420623182266E-3</v>
      </c>
      <c r="N2837" s="796"/>
      <c r="P2837" s="399"/>
    </row>
    <row r="2838" spans="1:16" s="761" customFormat="1" ht="15" customHeight="1" x14ac:dyDescent="0.25">
      <c r="A2838" s="396"/>
      <c r="B2838" s="1396">
        <v>600000</v>
      </c>
      <c r="C2838" s="1396"/>
      <c r="D2838" s="1396"/>
      <c r="E2838" s="854">
        <v>333904700000000</v>
      </c>
      <c r="F2838" s="600" t="s">
        <v>8778</v>
      </c>
      <c r="G2838" s="468">
        <v>40</v>
      </c>
      <c r="H2838" s="468">
        <v>0</v>
      </c>
      <c r="I2838" s="751"/>
      <c r="J2838" s="878"/>
      <c r="K2838" s="789">
        <f>('Parâmetros financeiros Despesa'!E1429)</f>
        <v>0</v>
      </c>
      <c r="L2838" s="789">
        <f>('Parâmetros financeiros Despesa'!F1429)*(1+'Parâmetros financeiros Despesa'!F$4)*(1+'Parâmetros financeiros Despesa'!F$7)</f>
        <v>218.06630000000001</v>
      </c>
      <c r="M2838" s="799">
        <f t="shared" ref="M2838:M2842" si="474">L2838/L$3225</f>
        <v>8.3525416154103091E-5</v>
      </c>
      <c r="N2838" s="796"/>
      <c r="P2838" s="399"/>
    </row>
    <row r="2839" spans="1:16" s="115" customFormat="1" ht="15" customHeight="1" x14ac:dyDescent="0.25">
      <c r="A2839" s="396"/>
      <c r="B2839" s="1396">
        <v>600100</v>
      </c>
      <c r="C2839" s="1396"/>
      <c r="D2839" s="1396"/>
      <c r="E2839" s="854">
        <v>344903000000000</v>
      </c>
      <c r="F2839" s="855" t="s">
        <v>8779</v>
      </c>
      <c r="G2839" s="468">
        <v>40</v>
      </c>
      <c r="H2839" s="468">
        <v>0</v>
      </c>
      <c r="I2839" s="751"/>
      <c r="J2839" s="878"/>
      <c r="K2839" s="789">
        <f>('Parâmetros financeiros Despesa'!E1430)</f>
        <v>0</v>
      </c>
      <c r="L2839" s="789">
        <f>('Parâmetros financeiros Despesa'!F1430)*(1+'Parâmetros financeiros Despesa'!F$4)*(1+'Parâmetros financeiros Despesa'!F$7)</f>
        <v>1090.3315</v>
      </c>
      <c r="M2839" s="799">
        <f t="shared" si="474"/>
        <v>4.1762708077051539E-4</v>
      </c>
      <c r="N2839" s="894"/>
      <c r="P2839" s="733"/>
    </row>
    <row r="2840" spans="1:16" s="457" customFormat="1" ht="15" customHeight="1" x14ac:dyDescent="0.25">
      <c r="A2840" s="396"/>
      <c r="B2840" s="1398" t="s">
        <v>8813</v>
      </c>
      <c r="C2840" s="1398"/>
      <c r="D2840" s="1398"/>
      <c r="E2840" s="854">
        <v>344903600000000</v>
      </c>
      <c r="F2840" s="855" t="s">
        <v>8780</v>
      </c>
      <c r="G2840" s="468">
        <v>40</v>
      </c>
      <c r="H2840" s="468">
        <v>0</v>
      </c>
      <c r="I2840" s="751"/>
      <c r="J2840" s="878"/>
      <c r="K2840" s="789">
        <f>('Parâmetros financeiros Despesa'!E1431)</f>
        <v>0</v>
      </c>
      <c r="L2840" s="789">
        <f>('Parâmetros financeiros Despesa'!F1431)*(1+'Parâmetros financeiros Despesa'!F$4)*(1+'Parâmetros financeiros Despesa'!F$7)</f>
        <v>1090.3315</v>
      </c>
      <c r="M2840" s="799">
        <f t="shared" si="474"/>
        <v>4.1762708077051539E-4</v>
      </c>
      <c r="N2840" s="895"/>
      <c r="P2840" s="734"/>
    </row>
    <row r="2841" spans="1:16" s="457" customFormat="1" ht="15" customHeight="1" x14ac:dyDescent="0.25">
      <c r="A2841" s="396"/>
      <c r="B2841" s="1398" t="s">
        <v>8814</v>
      </c>
      <c r="C2841" s="1398"/>
      <c r="D2841" s="1398"/>
      <c r="E2841" s="854">
        <v>344903900000000</v>
      </c>
      <c r="F2841" s="855" t="s">
        <v>8781</v>
      </c>
      <c r="G2841" s="468">
        <v>40</v>
      </c>
      <c r="H2841" s="468">
        <v>0</v>
      </c>
      <c r="I2841" s="751"/>
      <c r="J2841" s="878"/>
      <c r="K2841" s="789">
        <f>('Parâmetros financeiros Despesa'!E1432)</f>
        <v>0</v>
      </c>
      <c r="L2841" s="789">
        <f>('Parâmetros financeiros Despesa'!F1432)*(1+'Parâmetros financeiros Despesa'!F$4)*(1+'Parâmetros financeiros Despesa'!F$7)</f>
        <v>1090.3315</v>
      </c>
      <c r="M2841" s="799">
        <f t="shared" si="474"/>
        <v>4.1762708077051539E-4</v>
      </c>
      <c r="N2841" s="895"/>
      <c r="P2841" s="734"/>
    </row>
    <row r="2842" spans="1:16" s="457" customFormat="1" ht="15" customHeight="1" x14ac:dyDescent="0.25">
      <c r="A2842" s="396"/>
      <c r="B2842" s="1398" t="s">
        <v>8815</v>
      </c>
      <c r="C2842" s="1398"/>
      <c r="D2842" s="1398"/>
      <c r="E2842" s="854">
        <v>344905200000000</v>
      </c>
      <c r="F2842" s="855" t="s">
        <v>8782</v>
      </c>
      <c r="G2842" s="468">
        <v>40</v>
      </c>
      <c r="H2842" s="468">
        <v>0</v>
      </c>
      <c r="I2842" s="751"/>
      <c r="J2842" s="878"/>
      <c r="K2842" s="789">
        <f>('Parâmetros financeiros Despesa'!E1433)</f>
        <v>0</v>
      </c>
      <c r="L2842" s="789">
        <f>('Parâmetros financeiros Despesa'!F1433)*(1+'Parâmetros financeiros Despesa'!F$4)*(1+'Parâmetros financeiros Despesa'!F$7)</f>
        <v>5451.6575000000003</v>
      </c>
      <c r="M2842" s="799">
        <f t="shared" si="474"/>
        <v>2.0881354038525773E-3</v>
      </c>
      <c r="N2842" s="895"/>
      <c r="P2842" s="734"/>
    </row>
    <row r="2843" spans="1:16" s="761" customFormat="1" ht="15" customHeight="1" x14ac:dyDescent="0.25">
      <c r="A2843" s="397"/>
      <c r="B2843" s="1382" t="s">
        <v>8699</v>
      </c>
      <c r="C2843" s="1382"/>
      <c r="D2843" s="1382"/>
      <c r="E2843" s="1382"/>
      <c r="F2843" s="1382"/>
      <c r="G2843" s="405"/>
      <c r="H2843" s="405"/>
      <c r="I2843" s="428"/>
      <c r="J2843" s="413"/>
      <c r="K2843" s="406">
        <f t="shared" ref="K2843:L2845" si="475">K2844</f>
        <v>0</v>
      </c>
      <c r="L2843" s="406">
        <f t="shared" si="475"/>
        <v>8940.7183000000005</v>
      </c>
      <c r="M2843" s="453">
        <f>L2843/L$3225</f>
        <v>3.4245420623182266E-3</v>
      </c>
      <c r="N2843" s="796"/>
      <c r="P2843" s="399"/>
    </row>
    <row r="2844" spans="1:16" s="761" customFormat="1" ht="15" customHeight="1" x14ac:dyDescent="0.25">
      <c r="A2844" s="397"/>
      <c r="B2844" s="1383" t="s">
        <v>8812</v>
      </c>
      <c r="C2844" s="1383"/>
      <c r="D2844" s="1383"/>
      <c r="E2844" s="1383"/>
      <c r="F2844" s="1383"/>
      <c r="G2844" s="407"/>
      <c r="H2844" s="407"/>
      <c r="I2844" s="429"/>
      <c r="J2844" s="414"/>
      <c r="K2844" s="408">
        <f t="shared" si="475"/>
        <v>0</v>
      </c>
      <c r="L2844" s="408">
        <f t="shared" si="475"/>
        <v>8940.7183000000005</v>
      </c>
      <c r="M2844" s="454">
        <f>L2844/L$3225</f>
        <v>3.4245420623182266E-3</v>
      </c>
      <c r="N2844" s="796"/>
      <c r="P2844" s="399"/>
    </row>
    <row r="2845" spans="1:16" s="761" customFormat="1" ht="15" customHeight="1" x14ac:dyDescent="0.25">
      <c r="A2845" s="397"/>
      <c r="B2845" s="1386" t="s">
        <v>8701</v>
      </c>
      <c r="C2845" s="1386"/>
      <c r="D2845" s="1386"/>
      <c r="E2845" s="1386"/>
      <c r="F2845" s="1386"/>
      <c r="G2845" s="403"/>
      <c r="H2845" s="403"/>
      <c r="I2845" s="427"/>
      <c r="J2845" s="412"/>
      <c r="K2845" s="404">
        <f t="shared" si="475"/>
        <v>0</v>
      </c>
      <c r="L2845" s="404">
        <f t="shared" si="475"/>
        <v>8940.7183000000005</v>
      </c>
      <c r="M2845" s="452">
        <f>L2845/L$3225</f>
        <v>3.4245420623182266E-3</v>
      </c>
      <c r="N2845" s="796"/>
      <c r="P2845" s="399"/>
    </row>
    <row r="2846" spans="1:16" s="761" customFormat="1" ht="15" customHeight="1" x14ac:dyDescent="0.25">
      <c r="A2846" s="397"/>
      <c r="B2846" s="1385" t="s">
        <v>8698</v>
      </c>
      <c r="C2846" s="1385"/>
      <c r="D2846" s="1385"/>
      <c r="E2846" s="1385"/>
      <c r="F2846" s="1385"/>
      <c r="G2846" s="401"/>
      <c r="H2846" s="401"/>
      <c r="I2846" s="426"/>
      <c r="J2846" s="411"/>
      <c r="K2846" s="402">
        <f>SUM(K2847:K2851)</f>
        <v>0</v>
      </c>
      <c r="L2846" s="402">
        <f>SUM(L2847:L2851)</f>
        <v>8940.7183000000005</v>
      </c>
      <c r="M2846" s="451">
        <f>L2846/L$3225</f>
        <v>3.4245420623182266E-3</v>
      </c>
      <c r="N2846" s="796"/>
      <c r="P2846" s="399"/>
    </row>
    <row r="2847" spans="1:16" s="761" customFormat="1" ht="15" customHeight="1" x14ac:dyDescent="0.25">
      <c r="A2847" s="396"/>
      <c r="B2847" s="1396">
        <v>601000</v>
      </c>
      <c r="C2847" s="1396"/>
      <c r="D2847" s="1396"/>
      <c r="E2847" s="854">
        <v>333904700000000</v>
      </c>
      <c r="F2847" s="600" t="s">
        <v>8783</v>
      </c>
      <c r="G2847" s="468">
        <v>40</v>
      </c>
      <c r="H2847" s="468">
        <v>0</v>
      </c>
      <c r="I2847" s="751"/>
      <c r="J2847" s="878"/>
      <c r="K2847" s="789">
        <f>('Parâmetros financeiros Despesa'!E1435)</f>
        <v>0</v>
      </c>
      <c r="L2847" s="789">
        <f>('Parâmetros financeiros Despesa'!F1435)*(1+'Parâmetros financeiros Despesa'!F$4)*(1+'Parâmetros financeiros Despesa'!F$7)</f>
        <v>218.06630000000001</v>
      </c>
      <c r="M2847" s="799">
        <f t="shared" ref="M2847:M2851" si="476">L2847/L$3225</f>
        <v>8.3525416154103091E-5</v>
      </c>
      <c r="N2847" s="796"/>
      <c r="P2847" s="399"/>
    </row>
    <row r="2848" spans="1:16" s="115" customFormat="1" ht="15" customHeight="1" x14ac:dyDescent="0.25">
      <c r="A2848" s="396"/>
      <c r="B2848" s="1396">
        <v>601100</v>
      </c>
      <c r="C2848" s="1396"/>
      <c r="D2848" s="1396"/>
      <c r="E2848" s="854">
        <v>344903000000000</v>
      </c>
      <c r="F2848" s="855" t="s">
        <v>8784</v>
      </c>
      <c r="G2848" s="468">
        <v>40</v>
      </c>
      <c r="H2848" s="468">
        <v>0</v>
      </c>
      <c r="I2848" s="751"/>
      <c r="J2848" s="878"/>
      <c r="K2848" s="789">
        <f>('Parâmetros financeiros Despesa'!E1436)</f>
        <v>0</v>
      </c>
      <c r="L2848" s="789">
        <f>('Parâmetros financeiros Despesa'!F1436)*(1+'Parâmetros financeiros Despesa'!F$4)*(1+'Parâmetros financeiros Despesa'!F$7)</f>
        <v>1090.3315</v>
      </c>
      <c r="M2848" s="799">
        <f t="shared" si="476"/>
        <v>4.1762708077051539E-4</v>
      </c>
      <c r="N2848" s="894"/>
      <c r="P2848" s="733"/>
    </row>
    <row r="2849" spans="1:16" s="457" customFormat="1" ht="15" customHeight="1" x14ac:dyDescent="0.25">
      <c r="A2849" s="396"/>
      <c r="B2849" s="1398" t="s">
        <v>8816</v>
      </c>
      <c r="C2849" s="1398"/>
      <c r="D2849" s="1398"/>
      <c r="E2849" s="854">
        <v>344903600000000</v>
      </c>
      <c r="F2849" s="855" t="s">
        <v>8785</v>
      </c>
      <c r="G2849" s="468">
        <v>40</v>
      </c>
      <c r="H2849" s="468">
        <v>0</v>
      </c>
      <c r="I2849" s="751"/>
      <c r="J2849" s="878"/>
      <c r="K2849" s="789">
        <f>('Parâmetros financeiros Despesa'!E1437)</f>
        <v>0</v>
      </c>
      <c r="L2849" s="789">
        <f>('Parâmetros financeiros Despesa'!F1437)*(1+'Parâmetros financeiros Despesa'!F$4)*(1+'Parâmetros financeiros Despesa'!F$7)</f>
        <v>1090.3315</v>
      </c>
      <c r="M2849" s="799">
        <f t="shared" si="476"/>
        <v>4.1762708077051539E-4</v>
      </c>
      <c r="N2849" s="895"/>
      <c r="P2849" s="734"/>
    </row>
    <row r="2850" spans="1:16" s="457" customFormat="1" ht="15" customHeight="1" x14ac:dyDescent="0.25">
      <c r="A2850" s="396"/>
      <c r="B2850" s="1398" t="s">
        <v>8817</v>
      </c>
      <c r="C2850" s="1398"/>
      <c r="D2850" s="1398"/>
      <c r="E2850" s="854">
        <v>344903900000000</v>
      </c>
      <c r="F2850" s="855" t="s">
        <v>8786</v>
      </c>
      <c r="G2850" s="468">
        <v>40</v>
      </c>
      <c r="H2850" s="468">
        <v>0</v>
      </c>
      <c r="I2850" s="751"/>
      <c r="J2850" s="878"/>
      <c r="K2850" s="789">
        <f>('Parâmetros financeiros Despesa'!E1438)</f>
        <v>0</v>
      </c>
      <c r="L2850" s="789">
        <f>('Parâmetros financeiros Despesa'!F1438)*(1+'Parâmetros financeiros Despesa'!F$4)*(1+'Parâmetros financeiros Despesa'!F$7)</f>
        <v>1090.3315</v>
      </c>
      <c r="M2850" s="799">
        <f t="shared" si="476"/>
        <v>4.1762708077051539E-4</v>
      </c>
      <c r="N2850" s="895"/>
      <c r="P2850" s="734"/>
    </row>
    <row r="2851" spans="1:16" s="457" customFormat="1" ht="15" customHeight="1" x14ac:dyDescent="0.25">
      <c r="A2851" s="396"/>
      <c r="B2851" s="1398" t="s">
        <v>8818</v>
      </c>
      <c r="C2851" s="1398"/>
      <c r="D2851" s="1398"/>
      <c r="E2851" s="854">
        <v>344905100000000</v>
      </c>
      <c r="F2851" s="855" t="s">
        <v>8787</v>
      </c>
      <c r="G2851" s="468">
        <v>40</v>
      </c>
      <c r="H2851" s="468">
        <v>0</v>
      </c>
      <c r="I2851" s="751"/>
      <c r="J2851" s="878"/>
      <c r="K2851" s="789">
        <f>('Parâmetros financeiros Despesa'!E1439)</f>
        <v>0</v>
      </c>
      <c r="L2851" s="789">
        <f>('Parâmetros financeiros Despesa'!F1439)*(1+'Parâmetros financeiros Despesa'!F$4)*(1+'Parâmetros financeiros Despesa'!F$7)</f>
        <v>5451.6575000000003</v>
      </c>
      <c r="M2851" s="799">
        <f t="shared" si="476"/>
        <v>2.0881354038525773E-3</v>
      </c>
      <c r="N2851" s="895"/>
      <c r="P2851" s="734"/>
    </row>
    <row r="2852" spans="1:16" s="761" customFormat="1" ht="15" customHeight="1" x14ac:dyDescent="0.25">
      <c r="A2852" s="397"/>
      <c r="B2852" s="1382" t="s">
        <v>8699</v>
      </c>
      <c r="C2852" s="1382"/>
      <c r="D2852" s="1382"/>
      <c r="E2852" s="1382"/>
      <c r="F2852" s="1382"/>
      <c r="G2852" s="405"/>
      <c r="H2852" s="405"/>
      <c r="I2852" s="428"/>
      <c r="J2852" s="413"/>
      <c r="K2852" s="406">
        <f t="shared" ref="K2852:L2854" si="477">K2853</f>
        <v>0</v>
      </c>
      <c r="L2852" s="406">
        <f t="shared" si="477"/>
        <v>173462.9062</v>
      </c>
      <c r="M2852" s="453">
        <f>L2852/L$3225</f>
        <v>6.6441084329193226E-2</v>
      </c>
      <c r="N2852" s="796"/>
      <c r="P2852" s="399"/>
    </row>
    <row r="2853" spans="1:16" s="761" customFormat="1" ht="15" customHeight="1" x14ac:dyDescent="0.25">
      <c r="A2853" s="397"/>
      <c r="B2853" s="1383" t="s">
        <v>8812</v>
      </c>
      <c r="C2853" s="1383"/>
      <c r="D2853" s="1383"/>
      <c r="E2853" s="1383"/>
      <c r="F2853" s="1383"/>
      <c r="G2853" s="407"/>
      <c r="H2853" s="407"/>
      <c r="I2853" s="429"/>
      <c r="J2853" s="414"/>
      <c r="K2853" s="408">
        <f t="shared" si="477"/>
        <v>0</v>
      </c>
      <c r="L2853" s="408">
        <f t="shared" si="477"/>
        <v>173462.9062</v>
      </c>
      <c r="M2853" s="454">
        <f>L2853/L$3225</f>
        <v>6.6441084329193226E-2</v>
      </c>
      <c r="N2853" s="796"/>
      <c r="P2853" s="399"/>
    </row>
    <row r="2854" spans="1:16" s="761" customFormat="1" ht="15" customHeight="1" x14ac:dyDescent="0.25">
      <c r="A2854" s="397"/>
      <c r="B2854" s="1386" t="s">
        <v>8702</v>
      </c>
      <c r="C2854" s="1386"/>
      <c r="D2854" s="1386"/>
      <c r="E2854" s="1386"/>
      <c r="F2854" s="1386"/>
      <c r="G2854" s="403"/>
      <c r="H2854" s="403"/>
      <c r="I2854" s="427"/>
      <c r="J2854" s="412"/>
      <c r="K2854" s="404">
        <f t="shared" si="477"/>
        <v>0</v>
      </c>
      <c r="L2854" s="404">
        <f t="shared" si="477"/>
        <v>173462.9062</v>
      </c>
      <c r="M2854" s="452">
        <f>L2854/L$3225</f>
        <v>6.6441084329193226E-2</v>
      </c>
      <c r="N2854" s="796"/>
      <c r="P2854" s="399"/>
    </row>
    <row r="2855" spans="1:16" s="761" customFormat="1" ht="15" customHeight="1" x14ac:dyDescent="0.25">
      <c r="A2855" s="397"/>
      <c r="B2855" s="1385" t="s">
        <v>8698</v>
      </c>
      <c r="C2855" s="1385"/>
      <c r="D2855" s="1385"/>
      <c r="E2855" s="1385"/>
      <c r="F2855" s="1385"/>
      <c r="G2855" s="401"/>
      <c r="H2855" s="401"/>
      <c r="I2855" s="426"/>
      <c r="J2855" s="411"/>
      <c r="K2855" s="402">
        <f>SUM(K2856:K2860)</f>
        <v>0</v>
      </c>
      <c r="L2855" s="402">
        <f>SUM(L2856:L2860)+0.01</f>
        <v>173462.9062</v>
      </c>
      <c r="M2855" s="451">
        <f>L2855/L$3225</f>
        <v>6.6441084329193226E-2</v>
      </c>
      <c r="N2855" s="796"/>
      <c r="P2855" s="399"/>
    </row>
    <row r="2856" spans="1:16" s="761" customFormat="1" ht="15" customHeight="1" x14ac:dyDescent="0.25">
      <c r="A2856" s="396"/>
      <c r="B2856" s="1396">
        <v>602000</v>
      </c>
      <c r="C2856" s="1396"/>
      <c r="D2856" s="1396"/>
      <c r="E2856" s="854">
        <v>333904700000000</v>
      </c>
      <c r="F2856" s="600" t="s">
        <v>8788</v>
      </c>
      <c r="G2856" s="468">
        <v>40</v>
      </c>
      <c r="H2856" s="468">
        <v>0</v>
      </c>
      <c r="I2856" s="751"/>
      <c r="J2856" s="878"/>
      <c r="K2856" s="789">
        <f>('Parâmetros financeiros Despesa'!E1441)</f>
        <v>0</v>
      </c>
      <c r="L2856" s="789">
        <f>('Parâmetros financeiros Despesa'!F1441)*(1+'Parâmetros financeiros Despesa'!F$4)*(1+'Parâmetros financeiros Despesa'!F$7)</f>
        <v>327.09944999999999</v>
      </c>
      <c r="M2856" s="799">
        <f t="shared" ref="M2856:M2860" si="478">L2856/L$3225</f>
        <v>1.2528812423115462E-4</v>
      </c>
      <c r="N2856" s="796"/>
      <c r="P2856" s="399"/>
    </row>
    <row r="2857" spans="1:16" s="115" customFormat="1" ht="15" customHeight="1" x14ac:dyDescent="0.25">
      <c r="A2857" s="396"/>
      <c r="B2857" s="1396">
        <v>602100</v>
      </c>
      <c r="C2857" s="1396"/>
      <c r="D2857" s="1396"/>
      <c r="E2857" s="854">
        <v>344903000000000</v>
      </c>
      <c r="F2857" s="855" t="s">
        <v>8791</v>
      </c>
      <c r="G2857" s="468">
        <v>40</v>
      </c>
      <c r="H2857" s="468">
        <v>0</v>
      </c>
      <c r="I2857" s="751"/>
      <c r="J2857" s="878"/>
      <c r="K2857" s="789">
        <f>('Parâmetros financeiros Despesa'!E1442)</f>
        <v>0</v>
      </c>
      <c r="L2857" s="789">
        <f>('Parâmetros financeiros Despesa'!F1442)*(1+'Parâmetros financeiros Despesa'!F$4)*(1+'Parâmetros financeiros Despesa'!F$7)</f>
        <v>1635.4972500000001</v>
      </c>
      <c r="M2857" s="799">
        <f t="shared" si="478"/>
        <v>6.2644062115577311E-4</v>
      </c>
      <c r="N2857" s="894"/>
      <c r="P2857" s="733"/>
    </row>
    <row r="2858" spans="1:16" s="457" customFormat="1" ht="15" customHeight="1" x14ac:dyDescent="0.25">
      <c r="A2858" s="396"/>
      <c r="B2858" s="1398" t="s">
        <v>8819</v>
      </c>
      <c r="C2858" s="1398"/>
      <c r="D2858" s="1398"/>
      <c r="E2858" s="854">
        <v>344903600000000</v>
      </c>
      <c r="F2858" s="855" t="s">
        <v>8790</v>
      </c>
      <c r="G2858" s="468">
        <v>40</v>
      </c>
      <c r="H2858" s="468">
        <v>0</v>
      </c>
      <c r="I2858" s="751"/>
      <c r="J2858" s="878"/>
      <c r="K2858" s="789">
        <f>('Parâmetros financeiros Despesa'!E1443)</f>
        <v>0</v>
      </c>
      <c r="L2858" s="789">
        <f>('Parâmetros financeiros Despesa'!F1443)*(1+'Parâmetros financeiros Despesa'!F$4)*(1+'Parâmetros financeiros Despesa'!F$7)</f>
        <v>1635.4972500000001</v>
      </c>
      <c r="M2858" s="799">
        <f t="shared" si="478"/>
        <v>6.2644062115577311E-4</v>
      </c>
      <c r="N2858" s="895"/>
      <c r="P2858" s="734"/>
    </row>
    <row r="2859" spans="1:16" s="457" customFormat="1" ht="15" customHeight="1" x14ac:dyDescent="0.25">
      <c r="A2859" s="396"/>
      <c r="B2859" s="1398" t="s">
        <v>8820</v>
      </c>
      <c r="C2859" s="1398"/>
      <c r="D2859" s="1398"/>
      <c r="E2859" s="854">
        <v>344903900000000</v>
      </c>
      <c r="F2859" s="855" t="s">
        <v>8789</v>
      </c>
      <c r="G2859" s="468">
        <v>40</v>
      </c>
      <c r="H2859" s="468">
        <v>0</v>
      </c>
      <c r="I2859" s="751"/>
      <c r="J2859" s="878"/>
      <c r="K2859" s="789">
        <f>('Parâmetros financeiros Despesa'!E1444)</f>
        <v>0</v>
      </c>
      <c r="L2859" s="789">
        <f>('Parâmetros financeiros Despesa'!F1444)*(1+'Parâmetros financeiros Despesa'!F$4)*(1+'Parâmetros financeiros Despesa'!F$7)</f>
        <v>1635.4972500000001</v>
      </c>
      <c r="M2859" s="799">
        <f t="shared" si="478"/>
        <v>6.2644062115577311E-4</v>
      </c>
      <c r="N2859" s="895"/>
      <c r="P2859" s="734"/>
    </row>
    <row r="2860" spans="1:16" s="457" customFormat="1" ht="15" customHeight="1" x14ac:dyDescent="0.25">
      <c r="A2860" s="396"/>
      <c r="B2860" s="1398" t="s">
        <v>8821</v>
      </c>
      <c r="C2860" s="1398"/>
      <c r="D2860" s="1398"/>
      <c r="E2860" s="854">
        <v>344905200000000</v>
      </c>
      <c r="F2860" s="855" t="s">
        <v>8792</v>
      </c>
      <c r="G2860" s="468">
        <v>40</v>
      </c>
      <c r="H2860" s="468">
        <v>0</v>
      </c>
      <c r="I2860" s="751"/>
      <c r="J2860" s="878"/>
      <c r="K2860" s="789">
        <f>('Parâmetros financeiros Despesa'!E1445)</f>
        <v>0</v>
      </c>
      <c r="L2860" s="789">
        <f>('Parâmetros financeiros Despesa'!F1445)*(1+'Parâmetros financeiros Despesa'!F$4)*(1+'Parâmetros financeiros Despesa'!F$7)+'Parâmetros financeiros Despesa'!F1670</f>
        <v>168229.30499999999</v>
      </c>
      <c r="M2860" s="799">
        <f t="shared" si="478"/>
        <v>6.4436470511218535E-2</v>
      </c>
      <c r="N2860" s="895"/>
      <c r="P2860" s="734"/>
    </row>
    <row r="2861" spans="1:16" s="761" customFormat="1" ht="15" customHeight="1" x14ac:dyDescent="0.25">
      <c r="A2861" s="397"/>
      <c r="B2861" s="1382" t="s">
        <v>8699</v>
      </c>
      <c r="C2861" s="1382"/>
      <c r="D2861" s="1382"/>
      <c r="E2861" s="1382"/>
      <c r="F2861" s="1382"/>
      <c r="G2861" s="405"/>
      <c r="H2861" s="405"/>
      <c r="I2861" s="428"/>
      <c r="J2861" s="413"/>
      <c r="K2861" s="406">
        <f t="shared" ref="K2861:L2863" si="479">K2862</f>
        <v>0</v>
      </c>
      <c r="L2861" s="406">
        <f t="shared" si="479"/>
        <v>10685.2587</v>
      </c>
      <c r="M2861" s="453">
        <f>L2861/L$3225</f>
        <v>4.0927492218272628E-3</v>
      </c>
      <c r="N2861" s="796"/>
      <c r="P2861" s="399"/>
    </row>
    <row r="2862" spans="1:16" s="761" customFormat="1" ht="15" customHeight="1" x14ac:dyDescent="0.25">
      <c r="A2862" s="397"/>
      <c r="B2862" s="1383" t="s">
        <v>8812</v>
      </c>
      <c r="C2862" s="1383"/>
      <c r="D2862" s="1383"/>
      <c r="E2862" s="1383"/>
      <c r="F2862" s="1383"/>
      <c r="G2862" s="407"/>
      <c r="H2862" s="407"/>
      <c r="I2862" s="429"/>
      <c r="J2862" s="414"/>
      <c r="K2862" s="408">
        <f t="shared" si="479"/>
        <v>0</v>
      </c>
      <c r="L2862" s="408">
        <f t="shared" si="479"/>
        <v>10685.2587</v>
      </c>
      <c r="M2862" s="454">
        <f>L2862/L$3225</f>
        <v>4.0927492218272628E-3</v>
      </c>
      <c r="N2862" s="796"/>
      <c r="P2862" s="399"/>
    </row>
    <row r="2863" spans="1:16" s="761" customFormat="1" ht="15" customHeight="1" x14ac:dyDescent="0.25">
      <c r="A2863" s="397"/>
      <c r="B2863" s="1386" t="s">
        <v>8731</v>
      </c>
      <c r="C2863" s="1386"/>
      <c r="D2863" s="1386"/>
      <c r="E2863" s="1386"/>
      <c r="F2863" s="1386"/>
      <c r="G2863" s="403"/>
      <c r="H2863" s="403"/>
      <c r="I2863" s="427"/>
      <c r="J2863" s="412"/>
      <c r="K2863" s="404">
        <f t="shared" si="479"/>
        <v>0</v>
      </c>
      <c r="L2863" s="404">
        <f t="shared" si="479"/>
        <v>10685.2587</v>
      </c>
      <c r="M2863" s="452">
        <f>L2863/L$3225</f>
        <v>4.0927492218272628E-3</v>
      </c>
      <c r="N2863" s="796"/>
      <c r="P2863" s="399"/>
    </row>
    <row r="2864" spans="1:16" s="761" customFormat="1" ht="15" customHeight="1" x14ac:dyDescent="0.25">
      <c r="A2864" s="397"/>
      <c r="B2864" s="1385" t="s">
        <v>8698</v>
      </c>
      <c r="C2864" s="1385"/>
      <c r="D2864" s="1385"/>
      <c r="E2864" s="1385"/>
      <c r="F2864" s="1385"/>
      <c r="G2864" s="401"/>
      <c r="H2864" s="401"/>
      <c r="I2864" s="426"/>
      <c r="J2864" s="411"/>
      <c r="K2864" s="402">
        <f>SUM(K2865:K2869)</f>
        <v>0</v>
      </c>
      <c r="L2864" s="402">
        <f>SUM(L2865:L2869)+0.01</f>
        <v>10685.2587</v>
      </c>
      <c r="M2864" s="451">
        <f>L2864/L$3225</f>
        <v>4.0927492218272628E-3</v>
      </c>
      <c r="N2864" s="796"/>
      <c r="P2864" s="399"/>
    </row>
    <row r="2865" spans="1:16" s="761" customFormat="1" ht="15" customHeight="1" x14ac:dyDescent="0.25">
      <c r="A2865" s="396"/>
      <c r="B2865" s="1396">
        <v>603000</v>
      </c>
      <c r="C2865" s="1396"/>
      <c r="D2865" s="1396"/>
      <c r="E2865" s="854">
        <v>333904700000000</v>
      </c>
      <c r="F2865" s="600" t="s">
        <v>8793</v>
      </c>
      <c r="G2865" s="468">
        <v>40</v>
      </c>
      <c r="H2865" s="468">
        <v>0</v>
      </c>
      <c r="I2865" s="751"/>
      <c r="J2865" s="878"/>
      <c r="K2865" s="789">
        <f>('Parâmetros financeiros Despesa'!E1447)</f>
        <v>0</v>
      </c>
      <c r="L2865" s="789">
        <f>('Parâmetros financeiros Despesa'!F1447)*(1+'Parâmetros financeiros Despesa'!F$4)*(1+'Parâmetros financeiros Despesa'!F$7)</f>
        <v>327.09944999999999</v>
      </c>
      <c r="M2865" s="799">
        <f t="shared" ref="M2865:M2869" si="480">L2865/L$3225</f>
        <v>1.2528812423115462E-4</v>
      </c>
      <c r="N2865" s="796"/>
      <c r="P2865" s="399"/>
    </row>
    <row r="2866" spans="1:16" s="115" customFormat="1" ht="15" customHeight="1" x14ac:dyDescent="0.25">
      <c r="A2866" s="396"/>
      <c r="B2866" s="1396">
        <v>603100</v>
      </c>
      <c r="C2866" s="1396"/>
      <c r="D2866" s="1396"/>
      <c r="E2866" s="854">
        <v>344903000000000</v>
      </c>
      <c r="F2866" s="855" t="s">
        <v>8794</v>
      </c>
      <c r="G2866" s="468">
        <v>40</v>
      </c>
      <c r="H2866" s="468">
        <v>0</v>
      </c>
      <c r="I2866" s="751"/>
      <c r="J2866" s="878"/>
      <c r="K2866" s="789">
        <f>('Parâmetros financeiros Despesa'!E1448)</f>
        <v>0</v>
      </c>
      <c r="L2866" s="789">
        <f>('Parâmetros financeiros Despesa'!F1448)*(1+'Parâmetros financeiros Despesa'!F$4)*(1+'Parâmetros financeiros Despesa'!F$7)</f>
        <v>1635.4972500000001</v>
      </c>
      <c r="M2866" s="799">
        <f t="shared" si="480"/>
        <v>6.2644062115577311E-4</v>
      </c>
      <c r="N2866" s="894"/>
      <c r="P2866" s="733"/>
    </row>
    <row r="2867" spans="1:16" s="457" customFormat="1" ht="15" customHeight="1" x14ac:dyDescent="0.25">
      <c r="A2867" s="396"/>
      <c r="B2867" s="1398" t="s">
        <v>8822</v>
      </c>
      <c r="C2867" s="1398"/>
      <c r="D2867" s="1398"/>
      <c r="E2867" s="854">
        <v>344903600000000</v>
      </c>
      <c r="F2867" s="855" t="s">
        <v>8795</v>
      </c>
      <c r="G2867" s="468">
        <v>40</v>
      </c>
      <c r="H2867" s="468">
        <v>0</v>
      </c>
      <c r="I2867" s="751"/>
      <c r="J2867" s="878"/>
      <c r="K2867" s="789">
        <f>('Parâmetros financeiros Despesa'!E1449)</f>
        <v>0</v>
      </c>
      <c r="L2867" s="789">
        <f>('Parâmetros financeiros Despesa'!F1449)*(1+'Parâmetros financeiros Despesa'!F$4)*(1+'Parâmetros financeiros Despesa'!F$7)</f>
        <v>1635.4972500000001</v>
      </c>
      <c r="M2867" s="799">
        <f t="shared" si="480"/>
        <v>6.2644062115577311E-4</v>
      </c>
      <c r="N2867" s="895"/>
      <c r="P2867" s="734"/>
    </row>
    <row r="2868" spans="1:16" s="457" customFormat="1" ht="15" customHeight="1" x14ac:dyDescent="0.25">
      <c r="A2868" s="396"/>
      <c r="B2868" s="1398" t="s">
        <v>8823</v>
      </c>
      <c r="C2868" s="1398"/>
      <c r="D2868" s="1398"/>
      <c r="E2868" s="854">
        <v>344903900000000</v>
      </c>
      <c r="F2868" s="855" t="s">
        <v>8796</v>
      </c>
      <c r="G2868" s="468">
        <v>40</v>
      </c>
      <c r="H2868" s="468">
        <v>0</v>
      </c>
      <c r="I2868" s="751"/>
      <c r="J2868" s="878"/>
      <c r="K2868" s="789">
        <f>('Parâmetros financeiros Despesa'!E1450)</f>
        <v>0</v>
      </c>
      <c r="L2868" s="789">
        <f>('Parâmetros financeiros Despesa'!F1450)*(1+'Parâmetros financeiros Despesa'!F$4)*(1+'Parâmetros financeiros Despesa'!F$7)</f>
        <v>1635.4972500000001</v>
      </c>
      <c r="M2868" s="799">
        <f t="shared" si="480"/>
        <v>6.2644062115577311E-4</v>
      </c>
      <c r="N2868" s="895"/>
      <c r="P2868" s="734"/>
    </row>
    <row r="2869" spans="1:16" s="457" customFormat="1" ht="15" customHeight="1" x14ac:dyDescent="0.25">
      <c r="A2869" s="396"/>
      <c r="B2869" s="1398" t="s">
        <v>8824</v>
      </c>
      <c r="C2869" s="1398"/>
      <c r="D2869" s="1398"/>
      <c r="E2869" s="854">
        <v>344905200000000</v>
      </c>
      <c r="F2869" s="855" t="s">
        <v>8797</v>
      </c>
      <c r="G2869" s="468">
        <v>40</v>
      </c>
      <c r="H2869" s="468">
        <v>0</v>
      </c>
      <c r="I2869" s="751"/>
      <c r="J2869" s="878"/>
      <c r="K2869" s="789">
        <f>('Parâmetros financeiros Despesa'!E1451)</f>
        <v>0</v>
      </c>
      <c r="L2869" s="789">
        <f>('Parâmetros financeiros Despesa'!F1451)*(1+'Parâmetros financeiros Despesa'!F$4)*(1+'Parâmetros financeiros Despesa'!F$7)</f>
        <v>5451.6575000000003</v>
      </c>
      <c r="M2869" s="799">
        <f t="shared" si="480"/>
        <v>2.0881354038525773E-3</v>
      </c>
      <c r="N2869" s="895"/>
      <c r="P2869" s="734"/>
    </row>
    <row r="2870" spans="1:16" s="761" customFormat="1" ht="15" customHeight="1" x14ac:dyDescent="0.25">
      <c r="A2870" s="397"/>
      <c r="B2870" s="1382" t="s">
        <v>8699</v>
      </c>
      <c r="C2870" s="1382"/>
      <c r="D2870" s="1382"/>
      <c r="E2870" s="1382"/>
      <c r="F2870" s="1382"/>
      <c r="G2870" s="405"/>
      <c r="H2870" s="405"/>
      <c r="I2870" s="428"/>
      <c r="J2870" s="413"/>
      <c r="K2870" s="406">
        <f t="shared" ref="K2870:L2872" si="481">K2871</f>
        <v>1844097.1306000003</v>
      </c>
      <c r="L2870" s="406">
        <f t="shared" si="481"/>
        <v>1628279.9749748453</v>
      </c>
      <c r="M2870" s="453">
        <f>L2870/L$3225</f>
        <v>0.62367620547130165</v>
      </c>
      <c r="N2870" s="796"/>
      <c r="P2870" s="399"/>
    </row>
    <row r="2871" spans="1:16" s="761" customFormat="1" ht="15" customHeight="1" x14ac:dyDescent="0.25">
      <c r="A2871" s="397"/>
      <c r="B2871" s="1383" t="s">
        <v>8812</v>
      </c>
      <c r="C2871" s="1383"/>
      <c r="D2871" s="1383"/>
      <c r="E2871" s="1383"/>
      <c r="F2871" s="1383"/>
      <c r="G2871" s="407"/>
      <c r="H2871" s="407"/>
      <c r="I2871" s="429"/>
      <c r="J2871" s="414"/>
      <c r="K2871" s="408">
        <f t="shared" si="481"/>
        <v>1844097.1306000003</v>
      </c>
      <c r="L2871" s="408">
        <f t="shared" si="481"/>
        <v>1628279.9749748453</v>
      </c>
      <c r="M2871" s="454">
        <f>L2871/L$3225</f>
        <v>0.62367620547130165</v>
      </c>
      <c r="N2871" s="796"/>
      <c r="P2871" s="399"/>
    </row>
    <row r="2872" spans="1:16" s="761" customFormat="1" ht="15" customHeight="1" x14ac:dyDescent="0.25">
      <c r="A2872" s="397"/>
      <c r="B2872" s="1385" t="s">
        <v>8698</v>
      </c>
      <c r="C2872" s="1385"/>
      <c r="D2872" s="1385"/>
      <c r="E2872" s="1385"/>
      <c r="F2872" s="1385"/>
      <c r="G2872" s="401"/>
      <c r="H2872" s="401"/>
      <c r="I2872" s="426"/>
      <c r="J2872" s="411"/>
      <c r="K2872" s="402">
        <f t="shared" si="481"/>
        <v>1844097.1306000003</v>
      </c>
      <c r="L2872" s="402">
        <f t="shared" si="481"/>
        <v>1628279.9749748453</v>
      </c>
      <c r="M2872" s="451">
        <f>L2872/L$3225</f>
        <v>0.62367620547130165</v>
      </c>
      <c r="N2872" s="796"/>
      <c r="P2872" s="399"/>
    </row>
    <row r="2873" spans="1:16" s="761" customFormat="1" ht="15" customHeight="1" x14ac:dyDescent="0.25">
      <c r="A2873" s="397"/>
      <c r="B2873" s="1386" t="s">
        <v>8825</v>
      </c>
      <c r="C2873" s="1386"/>
      <c r="D2873" s="1386"/>
      <c r="E2873" s="1386"/>
      <c r="F2873" s="1386"/>
      <c r="G2873" s="403"/>
      <c r="H2873" s="403"/>
      <c r="I2873" s="427"/>
      <c r="J2873" s="412"/>
      <c r="K2873" s="404">
        <f>SUM(K2874:K2889)</f>
        <v>1844097.1306000003</v>
      </c>
      <c r="L2873" s="404">
        <f>SUM(L2874:L2889)+0.01</f>
        <v>1628279.9749748453</v>
      </c>
      <c r="M2873" s="452">
        <f>L2873/L$3225</f>
        <v>0.62367620547130165</v>
      </c>
      <c r="N2873" s="796"/>
      <c r="P2873" s="399"/>
    </row>
    <row r="2874" spans="1:16" s="115" customFormat="1" ht="15" customHeight="1" x14ac:dyDescent="0.25">
      <c r="A2874" s="396"/>
      <c r="B2874" s="1398" t="s">
        <v>8826</v>
      </c>
      <c r="C2874" s="1398"/>
      <c r="D2874" s="1398"/>
      <c r="E2874" s="854">
        <v>331900400000000</v>
      </c>
      <c r="F2874" s="855" t="s">
        <v>8798</v>
      </c>
      <c r="G2874" s="468">
        <v>40</v>
      </c>
      <c r="H2874" s="468">
        <v>0</v>
      </c>
      <c r="I2874" s="751"/>
      <c r="J2874" s="878"/>
      <c r="K2874" s="789">
        <f>(('Parâmetros financeiros Despesa'!E1453))</f>
        <v>108982.08</v>
      </c>
      <c r="L2874" s="789">
        <f>(('Parâmetros financeiros Despesa'!F1453)*2.05+(('Parâmetros financeiros Despesa'!F1453)*11.28)*(1+'Parâmetros financeiros Despesa'!F$4)*(1+'Parâmetros financeiros Despesa'!F$8))*(1+'Parâmetros financeiros Despesa'!F$80)</f>
        <v>128445.08548383461</v>
      </c>
      <c r="M2874" s="799">
        <f>L2874/L$3225</f>
        <v>4.9198015548420966E-2</v>
      </c>
      <c r="N2874" s="894"/>
      <c r="P2874" s="733"/>
    </row>
    <row r="2875" spans="1:16" s="115" customFormat="1" ht="15" customHeight="1" x14ac:dyDescent="0.25">
      <c r="A2875" s="396"/>
      <c r="B2875" s="973"/>
      <c r="C2875" s="973"/>
      <c r="D2875" s="973" t="s">
        <v>11563</v>
      </c>
      <c r="E2875" s="854">
        <v>331900800000000</v>
      </c>
      <c r="F2875" s="855" t="s">
        <v>11596</v>
      </c>
      <c r="G2875" s="468">
        <v>1</v>
      </c>
      <c r="H2875" s="468">
        <v>0</v>
      </c>
      <c r="I2875" s="751"/>
      <c r="J2875" s="878"/>
      <c r="K2875" s="789">
        <f>'Parâmetros financeiros Despesa'!E1454</f>
        <v>63969.336999999992</v>
      </c>
      <c r="L2875" s="789">
        <f>(('Parâmetros financeiros Despesa'!F1454)*2.05+(('Parâmetros financeiros Despesa'!F1454)*11.28)*(1+'Parâmetros financeiros Despesa'!F$4)*(1+'Parâmetros financeiros Despesa'!F$8))</f>
        <v>66972.635275457636</v>
      </c>
      <c r="M2875" s="799">
        <f t="shared" ref="M2875:M2889" si="482">L2875/L$3225</f>
        <v>2.565236917542767E-2</v>
      </c>
      <c r="N2875" s="894"/>
      <c r="P2875" s="733"/>
    </row>
    <row r="2876" spans="1:16" s="115" customFormat="1" ht="15" customHeight="1" x14ac:dyDescent="0.25">
      <c r="A2876" s="396"/>
      <c r="B2876" s="1398" t="s">
        <v>8828</v>
      </c>
      <c r="C2876" s="1398"/>
      <c r="D2876" s="1398"/>
      <c r="E2876" s="854">
        <v>331901100000000</v>
      </c>
      <c r="F2876" s="855" t="s">
        <v>8838</v>
      </c>
      <c r="G2876" s="468">
        <v>40</v>
      </c>
      <c r="H2876" s="468">
        <v>0</v>
      </c>
      <c r="I2876" s="751"/>
      <c r="J2876" s="878"/>
      <c r="K2876" s="789">
        <f>('Parâmetros financeiros Despesa'!E1455)</f>
        <v>807621.64409999992</v>
      </c>
      <c r="L2876" s="789">
        <f>('Parâmetros financeiros Despesa'!F1455)*2.05+(('Parâmetros financeiros Despesa'!F1455)*11.28)*(1+'Parâmetros financeiros Despesa'!F$4)*(1+'Parâmetros financeiros Despesa'!F$8)</f>
        <v>845538.69631124602</v>
      </c>
      <c r="M2876" s="799">
        <f t="shared" si="482"/>
        <v>0.32386467548536663</v>
      </c>
      <c r="N2876" s="894"/>
      <c r="P2876" s="733"/>
    </row>
    <row r="2877" spans="1:16" s="115" customFormat="1" ht="15" customHeight="1" x14ac:dyDescent="0.25">
      <c r="A2877" s="396"/>
      <c r="B2877" s="1398" t="s">
        <v>8827</v>
      </c>
      <c r="C2877" s="1398"/>
      <c r="D2877" s="1398"/>
      <c r="E2877" s="854">
        <v>331901300000000</v>
      </c>
      <c r="F2877" s="855" t="s">
        <v>8799</v>
      </c>
      <c r="G2877" s="468">
        <v>40</v>
      </c>
      <c r="H2877" s="468">
        <v>0</v>
      </c>
      <c r="I2877" s="751"/>
      <c r="J2877" s="878"/>
      <c r="K2877" s="789">
        <f>'Parâmetros financeiros Despesa'!E1456</f>
        <v>281634</v>
      </c>
      <c r="L2877" s="789">
        <f>(L2878+L2876)*'Parâmetros financeiros Despesa'!F80</f>
        <v>211286.08892374753</v>
      </c>
      <c r="M2877" s="799">
        <f t="shared" si="482"/>
        <v>8.0928408034294352E-2</v>
      </c>
      <c r="N2877" s="894"/>
      <c r="P2877" s="733"/>
    </row>
    <row r="2878" spans="1:16" s="115" customFormat="1" ht="15" customHeight="1" x14ac:dyDescent="0.25">
      <c r="A2878" s="396"/>
      <c r="B2878" s="1398" t="s">
        <v>8829</v>
      </c>
      <c r="C2878" s="1398"/>
      <c r="D2878" s="1398"/>
      <c r="E2878" s="854">
        <v>331901600000000</v>
      </c>
      <c r="F2878" s="855" t="s">
        <v>8800</v>
      </c>
      <c r="G2878" s="468">
        <v>40</v>
      </c>
      <c r="H2878" s="468">
        <v>0</v>
      </c>
      <c r="I2878" s="751"/>
      <c r="J2878" s="878"/>
      <c r="K2878" s="789">
        <f>('Parâmetros financeiros Despesa'!E1457)</f>
        <v>101314.0395</v>
      </c>
      <c r="L2878" s="789">
        <f>('Parâmetros financeiros Despesa'!F1457)*2.05+(('Parâmetros financeiros Despesa'!F1457)*11.28)*(1+'Parâmetros financeiros Despesa'!F$4)*(1+'Parâmetros financeiros Despesa'!F$8)</f>
        <v>41867.491680671184</v>
      </c>
      <c r="M2878" s="799">
        <f t="shared" si="482"/>
        <v>1.6036405744292031E-2</v>
      </c>
      <c r="N2878" s="894"/>
      <c r="P2878" s="733"/>
    </row>
    <row r="2879" spans="1:16" s="115" customFormat="1" ht="15" customHeight="1" x14ac:dyDescent="0.25">
      <c r="A2879" s="396"/>
      <c r="B2879" s="1398" t="s">
        <v>8830</v>
      </c>
      <c r="C2879" s="1398"/>
      <c r="D2879" s="1398"/>
      <c r="E2879" s="854">
        <v>333901400000000</v>
      </c>
      <c r="F2879" s="855" t="s">
        <v>8801</v>
      </c>
      <c r="G2879" s="468">
        <v>40</v>
      </c>
      <c r="H2879" s="468">
        <v>0</v>
      </c>
      <c r="I2879" s="751"/>
      <c r="J2879" s="878"/>
      <c r="K2879" s="789">
        <f>('Parâmetros financeiros Despesa'!E1458)</f>
        <v>17424</v>
      </c>
      <c r="L2879" s="789">
        <f>('Parâmetros financeiros Despesa'!F1458)*2+(('Parâmetros financeiros Despesa'!F1458)*10)*(1+'Parâmetros financeiros Despesa'!F$4)*(1+'Parâmetros financeiros Despesa'!F$8)</f>
        <v>18229.590401990121</v>
      </c>
      <c r="M2879" s="799">
        <f t="shared" si="482"/>
        <v>6.9824366472264086E-3</v>
      </c>
      <c r="N2879" s="894"/>
      <c r="P2879" s="733"/>
    </row>
    <row r="2880" spans="1:16" s="115" customFormat="1" ht="15" customHeight="1" x14ac:dyDescent="0.25">
      <c r="A2880" s="396"/>
      <c r="B2880" s="1396">
        <v>610500</v>
      </c>
      <c r="C2880" s="1396"/>
      <c r="D2880" s="1396"/>
      <c r="E2880" s="854">
        <v>333903000000000</v>
      </c>
      <c r="F2880" s="855" t="s">
        <v>8802</v>
      </c>
      <c r="G2880" s="468">
        <v>40</v>
      </c>
      <c r="H2880" s="468">
        <v>0</v>
      </c>
      <c r="I2880" s="751"/>
      <c r="J2880" s="878"/>
      <c r="K2880" s="789">
        <f>('Parâmetros financeiros Despesa'!E1459)</f>
        <v>15687.285</v>
      </c>
      <c r="L2880" s="789">
        <f>('Parâmetros financeiros Despesa'!F1459*(1+'Parâmetros financeiros Despesa'!F$4)*(1+'Parâmetros financeiros Despesa'!F$7))</f>
        <v>17104.340984977502</v>
      </c>
      <c r="M2880" s="799">
        <f t="shared" si="482"/>
        <v>6.5514350397650953E-3</v>
      </c>
      <c r="N2880" s="894"/>
      <c r="P2880" s="733"/>
    </row>
    <row r="2881" spans="1:16" s="115" customFormat="1" ht="15" customHeight="1" x14ac:dyDescent="0.25">
      <c r="A2881" s="396"/>
      <c r="B2881" s="1396">
        <v>610600</v>
      </c>
      <c r="C2881" s="1396"/>
      <c r="D2881" s="1396"/>
      <c r="E2881" s="854">
        <v>333903200000000</v>
      </c>
      <c r="F2881" s="855" t="s">
        <v>8803</v>
      </c>
      <c r="G2881" s="468">
        <v>40</v>
      </c>
      <c r="H2881" s="468">
        <v>0</v>
      </c>
      <c r="I2881" s="751"/>
      <c r="J2881" s="878"/>
      <c r="K2881" s="789">
        <f>('Parâmetros financeiros Despesa'!E1460)</f>
        <v>59794.035000000003</v>
      </c>
      <c r="L2881" s="789">
        <f>('Parâmetros financeiros Despesa'!F1460*(1+'Parâmetros financeiros Despesa'!F$4)*(1+'Parâmetros financeiros Despesa'!F$7))</f>
        <v>65419.89</v>
      </c>
      <c r="M2881" s="799">
        <f t="shared" si="482"/>
        <v>2.5057624846230926E-2</v>
      </c>
      <c r="N2881" s="894"/>
      <c r="P2881" s="733"/>
    </row>
    <row r="2882" spans="1:16" s="115" customFormat="1" ht="15" customHeight="1" x14ac:dyDescent="0.25">
      <c r="A2882" s="396"/>
      <c r="B2882" s="1396">
        <v>610700</v>
      </c>
      <c r="C2882" s="1396"/>
      <c r="D2882" s="1396"/>
      <c r="E2882" s="854">
        <v>333903300000000</v>
      </c>
      <c r="F2882" s="855" t="s">
        <v>8804</v>
      </c>
      <c r="G2882" s="468">
        <v>40</v>
      </c>
      <c r="H2882" s="468">
        <v>0</v>
      </c>
      <c r="I2882" s="751"/>
      <c r="J2882" s="878"/>
      <c r="K2882" s="789">
        <f>('Parâmetros financeiros Despesa'!E1461)</f>
        <v>333.97500000000002</v>
      </c>
      <c r="L2882" s="789">
        <f>('Parâmetros financeiros Despesa'!F1461*(1+'Parâmetros financeiros Despesa'!F$4)*(1+'Parâmetros financeiros Despesa'!F$7))</f>
        <v>364.14346271250002</v>
      </c>
      <c r="M2882" s="799">
        <f t="shared" si="482"/>
        <v>1.394770043003329E-4</v>
      </c>
      <c r="N2882" s="894"/>
      <c r="P2882" s="733"/>
    </row>
    <row r="2883" spans="1:16" s="115" customFormat="1" ht="15" customHeight="1" x14ac:dyDescent="0.25">
      <c r="A2883" s="396"/>
      <c r="B2883" s="1398" t="s">
        <v>8831</v>
      </c>
      <c r="C2883" s="1398"/>
      <c r="D2883" s="1398"/>
      <c r="E2883" s="854">
        <v>333903500000000</v>
      </c>
      <c r="F2883" s="855" t="s">
        <v>8805</v>
      </c>
      <c r="G2883" s="468">
        <v>40</v>
      </c>
      <c r="H2883" s="468">
        <v>0</v>
      </c>
      <c r="I2883" s="751"/>
      <c r="J2883" s="878"/>
      <c r="K2883" s="789">
        <f>('Parâmetros financeiros Despesa'!E1462)</f>
        <v>0</v>
      </c>
      <c r="L2883" s="789">
        <f>('Parâmetros financeiros Despesa'!F1462*(1+'Parâmetros financeiros Despesa'!F$4)*(1+'Parâmetros financeiros Despesa'!F$7))</f>
        <v>3270.9945000000002</v>
      </c>
      <c r="M2883" s="799">
        <f t="shared" si="482"/>
        <v>1.2528812423115462E-3</v>
      </c>
      <c r="N2883" s="894"/>
      <c r="P2883" s="733"/>
    </row>
    <row r="2884" spans="1:16" s="115" customFormat="1" ht="15" customHeight="1" x14ac:dyDescent="0.25">
      <c r="A2884" s="396"/>
      <c r="B2884" s="1398" t="s">
        <v>8832</v>
      </c>
      <c r="C2884" s="1398"/>
      <c r="D2884" s="1398"/>
      <c r="E2884" s="854">
        <v>333903600000000</v>
      </c>
      <c r="F2884" s="855" t="s">
        <v>8806</v>
      </c>
      <c r="G2884" s="468">
        <v>40</v>
      </c>
      <c r="H2884" s="468">
        <v>0</v>
      </c>
      <c r="I2884" s="751"/>
      <c r="J2884" s="878"/>
      <c r="K2884" s="789">
        <f>('Parâmetros financeiros Despesa'!E1463)</f>
        <v>41113.5</v>
      </c>
      <c r="L2884" s="789">
        <f>('Parâmetros financeiros Despesa'!F1463*(1+'Parâmetros financeiros Despesa'!F$4)*(1+'Parâmetros financeiros Despesa'!F$7))</f>
        <v>43613.26</v>
      </c>
      <c r="M2884" s="799">
        <f t="shared" si="482"/>
        <v>1.6705083230820619E-2</v>
      </c>
      <c r="N2884" s="894"/>
      <c r="P2884" s="733"/>
    </row>
    <row r="2885" spans="1:16" s="115" customFormat="1" ht="15" customHeight="1" x14ac:dyDescent="0.25">
      <c r="A2885" s="396"/>
      <c r="B2885" s="1398" t="s">
        <v>8833</v>
      </c>
      <c r="C2885" s="1398"/>
      <c r="D2885" s="1398"/>
      <c r="E2885" s="854">
        <v>333903900000000</v>
      </c>
      <c r="F2885" s="855" t="s">
        <v>8807</v>
      </c>
      <c r="G2885" s="468">
        <v>40</v>
      </c>
      <c r="H2885" s="468">
        <v>0</v>
      </c>
      <c r="I2885" s="751"/>
      <c r="J2885" s="878"/>
      <c r="K2885" s="789">
        <f>('Parâmetros financeiros Despesa'!E1464)</f>
        <v>316689.28500000003</v>
      </c>
      <c r="L2885" s="789">
        <f>('Parâmetros financeiros Despesa'!F1464*(1+'Parâmetros financeiros Despesa'!F$4)*(1+'Parâmetros financeiros Despesa'!F$7))</f>
        <v>152527.74922285503</v>
      </c>
      <c r="M2885" s="799">
        <f t="shared" si="482"/>
        <v>5.842234095267191E-2</v>
      </c>
      <c r="N2885" s="894"/>
      <c r="P2885" s="733"/>
    </row>
    <row r="2886" spans="1:16" s="115" customFormat="1" ht="15" customHeight="1" x14ac:dyDescent="0.25">
      <c r="A2886" s="396"/>
      <c r="B2886" s="1398" t="s">
        <v>8834</v>
      </c>
      <c r="C2886" s="1398"/>
      <c r="D2886" s="1398"/>
      <c r="E2886" s="854">
        <v>333904700000000</v>
      </c>
      <c r="F2886" s="855" t="s">
        <v>8808</v>
      </c>
      <c r="G2886" s="468">
        <v>40</v>
      </c>
      <c r="H2886" s="468">
        <v>0</v>
      </c>
      <c r="I2886" s="751"/>
      <c r="J2886" s="878"/>
      <c r="K2886" s="789">
        <f>('Parâmetros financeiros Despesa'!E1465)</f>
        <v>14575.994999999999</v>
      </c>
      <c r="L2886" s="789">
        <f>L2881*('Parâmetros financeiros Despesa'!F$83)</f>
        <v>13083.978000000001</v>
      </c>
      <c r="M2886" s="799">
        <f t="shared" si="482"/>
        <v>5.0115249692461849E-3</v>
      </c>
      <c r="N2886" s="894"/>
      <c r="P2886" s="733"/>
    </row>
    <row r="2887" spans="1:16" s="115" customFormat="1" ht="15" customHeight="1" x14ac:dyDescent="0.25">
      <c r="A2887" s="396"/>
      <c r="B2887" s="1398" t="s">
        <v>8835</v>
      </c>
      <c r="C2887" s="1398"/>
      <c r="D2887" s="1398"/>
      <c r="E2887" s="854">
        <v>333904900000000</v>
      </c>
      <c r="F2887" s="855" t="s">
        <v>8809</v>
      </c>
      <c r="G2887" s="468">
        <v>40</v>
      </c>
      <c r="H2887" s="468">
        <v>0</v>
      </c>
      <c r="I2887" s="751"/>
      <c r="J2887" s="878"/>
      <c r="K2887" s="789">
        <f>('Parâmetros financeiros Despesa'!E1466)</f>
        <v>14957.954999999998</v>
      </c>
      <c r="L2887" s="789">
        <f>('Parâmetros financeiros Despesa'!F1466)*2+(('Parâmetros financeiros Despesa'!F1466)*10)*(1+'Parâmetros financeiros Despesa'!F$4)*(1+'Parâmetros financeiros Despesa'!F$8)</f>
        <v>15649.528977353082</v>
      </c>
      <c r="M2887" s="799">
        <f t="shared" si="482"/>
        <v>5.9942018571833948E-3</v>
      </c>
      <c r="N2887" s="894"/>
      <c r="P2887" s="733"/>
    </row>
    <row r="2888" spans="1:16" s="115" customFormat="1" ht="15" customHeight="1" x14ac:dyDescent="0.25">
      <c r="A2888" s="396"/>
      <c r="B2888" s="1398" t="s">
        <v>8836</v>
      </c>
      <c r="C2888" s="1398"/>
      <c r="D2888" s="1398"/>
      <c r="E2888" s="854">
        <v>333909300000000</v>
      </c>
      <c r="F2888" s="855" t="s">
        <v>8810</v>
      </c>
      <c r="G2888" s="468">
        <v>40</v>
      </c>
      <c r="H2888" s="468">
        <v>0</v>
      </c>
      <c r="I2888" s="751"/>
      <c r="J2888" s="878"/>
      <c r="K2888" s="789">
        <f>('Parâmetros financeiros Despesa'!E1467)</f>
        <v>0</v>
      </c>
      <c r="L2888" s="789">
        <f>('Parâmetros financeiros Despesa'!F1467)*(1+'Parâmetros financeiros Despesa'!F$4)*(1+'Parâmetros financeiros Despesa'!F$7)</f>
        <v>3270.9945000000002</v>
      </c>
      <c r="M2888" s="799">
        <f t="shared" si="482"/>
        <v>1.2528812423115462E-3</v>
      </c>
      <c r="N2888" s="894"/>
      <c r="P2888" s="733"/>
    </row>
    <row r="2889" spans="1:16" s="115" customFormat="1" ht="15" customHeight="1" x14ac:dyDescent="0.25">
      <c r="A2889" s="396"/>
      <c r="B2889" s="1398" t="s">
        <v>8837</v>
      </c>
      <c r="C2889" s="1398"/>
      <c r="D2889" s="1398"/>
      <c r="E2889" s="854">
        <v>333933000000000</v>
      </c>
      <c r="F2889" s="855" t="s">
        <v>8811</v>
      </c>
      <c r="G2889" s="468">
        <v>40</v>
      </c>
      <c r="H2889" s="468">
        <v>0</v>
      </c>
      <c r="I2889" s="751"/>
      <c r="J2889" s="878"/>
      <c r="K2889" s="789">
        <f>('Parâmetros financeiros Despesa'!E1468)</f>
        <v>0</v>
      </c>
      <c r="L2889" s="789">
        <f>('Parâmetros financeiros Despesa'!F1468)*(1+'Parâmetros financeiros Despesa'!F$4)*(1+'Parâmetros financeiros Despesa'!F$7)</f>
        <v>1635.4972500000001</v>
      </c>
      <c r="M2889" s="799">
        <f t="shared" si="482"/>
        <v>6.2644062115577311E-4</v>
      </c>
      <c r="N2889" s="894"/>
      <c r="P2889" s="733"/>
    </row>
    <row r="2890" spans="1:16" s="761" customFormat="1" ht="15" customHeight="1" x14ac:dyDescent="0.25">
      <c r="A2890" s="397"/>
      <c r="B2890" s="1382" t="s">
        <v>8699</v>
      </c>
      <c r="C2890" s="1382"/>
      <c r="D2890" s="1382"/>
      <c r="E2890" s="1382"/>
      <c r="F2890" s="1382"/>
      <c r="G2890" s="405"/>
      <c r="H2890" s="405"/>
      <c r="I2890" s="428"/>
      <c r="J2890" s="413"/>
      <c r="K2890" s="406">
        <f t="shared" ref="K2890:L2892" si="483">K2891</f>
        <v>89400.759300000005</v>
      </c>
      <c r="L2890" s="406">
        <f t="shared" si="483"/>
        <v>109225.62522929133</v>
      </c>
      <c r="M2890" s="453">
        <f>L2890/L$3225</f>
        <v>4.1836431406267999E-2</v>
      </c>
      <c r="N2890" s="796"/>
      <c r="P2890" s="399"/>
    </row>
    <row r="2891" spans="1:16" s="761" customFormat="1" ht="15" customHeight="1" x14ac:dyDescent="0.25">
      <c r="A2891" s="397"/>
      <c r="B2891" s="1383" t="s">
        <v>8812</v>
      </c>
      <c r="C2891" s="1383"/>
      <c r="D2891" s="1383"/>
      <c r="E2891" s="1383"/>
      <c r="F2891" s="1383"/>
      <c r="G2891" s="407"/>
      <c r="H2891" s="407"/>
      <c r="I2891" s="429"/>
      <c r="J2891" s="414"/>
      <c r="K2891" s="408">
        <f t="shared" si="483"/>
        <v>89400.759300000005</v>
      </c>
      <c r="L2891" s="408">
        <f t="shared" si="483"/>
        <v>109225.62522929133</v>
      </c>
      <c r="M2891" s="454">
        <f>L2891/L$3225</f>
        <v>4.1836431406267999E-2</v>
      </c>
      <c r="N2891" s="796"/>
      <c r="P2891" s="399"/>
    </row>
    <row r="2892" spans="1:16" s="761" customFormat="1" ht="15" customHeight="1" x14ac:dyDescent="0.25">
      <c r="A2892" s="397"/>
      <c r="B2892" s="1385" t="s">
        <v>8698</v>
      </c>
      <c r="C2892" s="1385"/>
      <c r="D2892" s="1385"/>
      <c r="E2892" s="1385"/>
      <c r="F2892" s="1385"/>
      <c r="G2892" s="401"/>
      <c r="H2892" s="401"/>
      <c r="I2892" s="426"/>
      <c r="J2892" s="411"/>
      <c r="K2892" s="402">
        <f t="shared" si="483"/>
        <v>89400.759300000005</v>
      </c>
      <c r="L2892" s="402">
        <f t="shared" si="483"/>
        <v>109225.62522929133</v>
      </c>
      <c r="M2892" s="451">
        <f>L2892/L$3225</f>
        <v>4.1836431406267999E-2</v>
      </c>
      <c r="N2892" s="796"/>
      <c r="P2892" s="399"/>
    </row>
    <row r="2893" spans="1:16" s="761" customFormat="1" ht="15" customHeight="1" x14ac:dyDescent="0.25">
      <c r="A2893" s="397"/>
      <c r="B2893" s="1386" t="s">
        <v>9170</v>
      </c>
      <c r="C2893" s="1386"/>
      <c r="D2893" s="1386"/>
      <c r="E2893" s="1386"/>
      <c r="F2893" s="1386"/>
      <c r="G2893" s="403"/>
      <c r="H2893" s="403"/>
      <c r="I2893" s="427"/>
      <c r="J2893" s="412"/>
      <c r="K2893" s="404">
        <f>SUM(K2894:K2909)</f>
        <v>89400.759300000005</v>
      </c>
      <c r="L2893" s="404">
        <f>SUM(L2894:L2909)+0.03</f>
        <v>109225.62522929133</v>
      </c>
      <c r="M2893" s="452">
        <f>L2893/L$3225</f>
        <v>4.1836431406267999E-2</v>
      </c>
      <c r="N2893" s="796"/>
      <c r="P2893" s="399"/>
    </row>
    <row r="2894" spans="1:16" s="115" customFormat="1" ht="15" customHeight="1" x14ac:dyDescent="0.25">
      <c r="A2894" s="396"/>
      <c r="B2894" s="1398" t="s">
        <v>8913</v>
      </c>
      <c r="C2894" s="1398"/>
      <c r="D2894" s="1398"/>
      <c r="E2894" s="854">
        <v>331900400000000</v>
      </c>
      <c r="F2894" s="855" t="s">
        <v>8907</v>
      </c>
      <c r="G2894" s="468">
        <v>40</v>
      </c>
      <c r="H2894" s="468">
        <v>0</v>
      </c>
      <c r="I2894" s="751"/>
      <c r="J2894" s="878"/>
      <c r="K2894" s="789">
        <f>(('Parâmetros financeiros Despesa'!E1470))</f>
        <v>0</v>
      </c>
      <c r="L2894" s="789">
        <f>(('Parâmetros financeiros Despesa'!F1470)*2.05+(('Parâmetros financeiros Despesa'!F1470)*11.28)*(1+'Parâmetros financeiros Despesa'!F$4)*(1+'Parâmetros financeiros Despesa'!F$8))*(1+'Parâmetros financeiros Despesa'!F$80)</f>
        <v>17.278630081629636</v>
      </c>
      <c r="M2894" s="799">
        <f>L2894/L$3225</f>
        <v>6.6181925778578327E-6</v>
      </c>
      <c r="N2894" s="894"/>
      <c r="P2894" s="733"/>
    </row>
    <row r="2895" spans="1:16" s="115" customFormat="1" ht="15" customHeight="1" x14ac:dyDescent="0.25">
      <c r="A2895" s="396"/>
      <c r="B2895" s="973"/>
      <c r="C2895" s="973"/>
      <c r="D2895" s="973" t="s">
        <v>11564</v>
      </c>
      <c r="E2895" s="854">
        <v>331900800000000</v>
      </c>
      <c r="F2895" s="855" t="s">
        <v>11597</v>
      </c>
      <c r="G2895" s="468">
        <v>1</v>
      </c>
      <c r="H2895" s="468">
        <v>0</v>
      </c>
      <c r="I2895" s="751"/>
      <c r="J2895" s="878"/>
      <c r="K2895" s="789">
        <f>(('Parâmetros financeiros Despesa'!E1471))</f>
        <v>840.18989999999997</v>
      </c>
      <c r="L2895" s="789">
        <f>(('Parâmetros financeiros Despesa'!F1471)*2.05+(('Parâmetros financeiros Despesa'!F1471)*11.28)*(1+'Parâmetros financeiros Despesa'!F$4)*(1+'Parâmetros financeiros Despesa'!F$8))</f>
        <v>879.63600021090133</v>
      </c>
      <c r="M2895" s="799">
        <f t="shared" ref="M2895:M2909" si="484">L2895/L$3225</f>
        <v>3.3692488468757548E-4</v>
      </c>
      <c r="N2895" s="894"/>
      <c r="P2895" s="733"/>
    </row>
    <row r="2896" spans="1:16" s="115" customFormat="1" ht="15" customHeight="1" x14ac:dyDescent="0.25">
      <c r="A2896" s="396"/>
      <c r="B2896" s="1398" t="s">
        <v>8914</v>
      </c>
      <c r="C2896" s="1398"/>
      <c r="D2896" s="1398"/>
      <c r="E2896" s="854">
        <v>331901100000000</v>
      </c>
      <c r="F2896" s="855" t="s">
        <v>8908</v>
      </c>
      <c r="G2896" s="468">
        <v>40</v>
      </c>
      <c r="H2896" s="468">
        <v>0</v>
      </c>
      <c r="I2896" s="751"/>
      <c r="J2896" s="878"/>
      <c r="K2896" s="789">
        <f>('Parâmetros financeiros Despesa'!E1472)</f>
        <v>39732.464400000004</v>
      </c>
      <c r="L2896" s="789">
        <f>('Parâmetros financeiros Despesa'!F1472)*2.05+(('Parâmetros financeiros Despesa'!F1472)*11.28)*(1+'Parâmetros financeiros Despesa'!F$4)*(1+'Parâmetros financeiros Despesa'!F$8)</f>
        <v>41597.865034247661</v>
      </c>
      <c r="M2896" s="799">
        <f t="shared" si="484"/>
        <v>1.593313129129879E-2</v>
      </c>
      <c r="N2896" s="894"/>
      <c r="P2896" s="733"/>
    </row>
    <row r="2897" spans="1:21" s="115" customFormat="1" ht="15" customHeight="1" x14ac:dyDescent="0.25">
      <c r="A2897" s="396"/>
      <c r="B2897" s="1398" t="s">
        <v>8915</v>
      </c>
      <c r="C2897" s="1398"/>
      <c r="D2897" s="1398"/>
      <c r="E2897" s="854">
        <v>331901300000000</v>
      </c>
      <c r="F2897" s="855" t="s">
        <v>8909</v>
      </c>
      <c r="G2897" s="468">
        <v>40</v>
      </c>
      <c r="H2897" s="468">
        <v>0</v>
      </c>
      <c r="I2897" s="751"/>
      <c r="J2897" s="878"/>
      <c r="K2897" s="789">
        <f>'Parâmetros financeiros Despesa'!E1473</f>
        <v>0</v>
      </c>
      <c r="L2897" s="789">
        <f>(L2898+L2896)*'Parâmetros financeiros Despesa'!F80</f>
        <v>10070.342053534458</v>
      </c>
      <c r="M2897" s="799">
        <f t="shared" si="484"/>
        <v>3.8572191614918518E-3</v>
      </c>
      <c r="N2897" s="894"/>
      <c r="P2897" s="733"/>
    </row>
    <row r="2898" spans="1:21" s="115" customFormat="1" ht="15" customHeight="1" x14ac:dyDescent="0.25">
      <c r="A2898" s="396"/>
      <c r="B2898" s="1398" t="s">
        <v>8916</v>
      </c>
      <c r="C2898" s="1398"/>
      <c r="D2898" s="1398"/>
      <c r="E2898" s="854">
        <v>331901600000000</v>
      </c>
      <c r="F2898" s="855" t="s">
        <v>8910</v>
      </c>
      <c r="G2898" s="468">
        <v>40</v>
      </c>
      <c r="H2898" s="468">
        <v>0</v>
      </c>
      <c r="I2898" s="751"/>
      <c r="J2898" s="878"/>
      <c r="K2898" s="789">
        <f>('Parâmetros financeiros Despesa'!E1474)</f>
        <v>0</v>
      </c>
      <c r="L2898" s="789">
        <f>('Parâmetros financeiros Despesa'!F1474)*2.05+(('Parâmetros financeiros Despesa'!F1474)*11.28)*(1+'Parâmetros financeiros Despesa'!F$4)*(1+'Parâmetros financeiros Despesa'!F$8)</f>
        <v>697.7915280111863</v>
      </c>
      <c r="M2898" s="799">
        <f t="shared" si="484"/>
        <v>2.6727342907153384E-4</v>
      </c>
      <c r="N2898" s="894"/>
      <c r="P2898" s="733"/>
    </row>
    <row r="2899" spans="1:21" s="115" customFormat="1" ht="15" customHeight="1" x14ac:dyDescent="0.25">
      <c r="A2899" s="396"/>
      <c r="B2899" s="1398" t="s">
        <v>8917</v>
      </c>
      <c r="C2899" s="1398"/>
      <c r="D2899" s="1398"/>
      <c r="E2899" s="854">
        <v>333901400000000</v>
      </c>
      <c r="F2899" s="855" t="s">
        <v>8911</v>
      </c>
      <c r="G2899" s="468">
        <v>40</v>
      </c>
      <c r="H2899" s="468">
        <v>0</v>
      </c>
      <c r="I2899" s="751"/>
      <c r="J2899" s="878"/>
      <c r="K2899" s="789">
        <f>('Parâmetros financeiros Despesa'!E1475)</f>
        <v>1933.8000000000002</v>
      </c>
      <c r="L2899" s="789">
        <f>('Parâmetros financeiros Despesa'!F1475)*2+(('Parâmetros financeiros Despesa'!F1475*10)*(1+'Parâmetros financeiros Despesa'!F$4)*(1+'Parâmetros financeiros Despesa'!F$8))</f>
        <v>1205.2621753381895</v>
      </c>
      <c r="M2899" s="799">
        <f t="shared" si="484"/>
        <v>4.6164870394885336E-4</v>
      </c>
      <c r="N2899" s="894"/>
      <c r="P2899" s="733"/>
    </row>
    <row r="2900" spans="1:21" s="115" customFormat="1" ht="15" customHeight="1" x14ac:dyDescent="0.25">
      <c r="B2900" s="879"/>
      <c r="C2900" s="879"/>
      <c r="D2900" s="880">
        <v>612500</v>
      </c>
      <c r="E2900" s="854">
        <v>333903000000000</v>
      </c>
      <c r="F2900" s="855" t="s">
        <v>9166</v>
      </c>
      <c r="G2900" s="468">
        <v>40</v>
      </c>
      <c r="H2900" s="468">
        <v>0</v>
      </c>
      <c r="I2900" s="751"/>
      <c r="J2900" s="878"/>
      <c r="K2900" s="789">
        <f>('Parâmetros financeiros Despesa'!E1476)</f>
        <v>254.685</v>
      </c>
      <c r="L2900" s="789">
        <f>('Parâmetros financeiros Despesa'!F1476*(1+'Parâmetros financeiros Despesa'!F$4)*(1+'Parâmetros financeiros Despesa'!F$7))</f>
        <v>545.16575</v>
      </c>
      <c r="M2900" s="799">
        <f t="shared" si="484"/>
        <v>2.0881354038525769E-4</v>
      </c>
      <c r="N2900" s="898"/>
      <c r="O2900" s="396"/>
      <c r="P2900" s="463"/>
      <c r="S2900" s="463"/>
      <c r="T2900" s="463"/>
      <c r="U2900" s="463"/>
    </row>
    <row r="2901" spans="1:21" s="115" customFormat="1" ht="15" customHeight="1" x14ac:dyDescent="0.25">
      <c r="B2901" s="877"/>
      <c r="C2901" s="877"/>
      <c r="D2901" s="880">
        <v>612600</v>
      </c>
      <c r="E2901" s="854">
        <v>333903200000000</v>
      </c>
      <c r="F2901" s="855" t="s">
        <v>8912</v>
      </c>
      <c r="G2901" s="468">
        <v>40</v>
      </c>
      <c r="H2901" s="468">
        <v>0</v>
      </c>
      <c r="I2901" s="751"/>
      <c r="J2901" s="878"/>
      <c r="K2901" s="789">
        <f>('Parâmetros financeiros Despesa'!E1477)</f>
        <v>46176.54</v>
      </c>
      <c r="L2901" s="789">
        <f>('Parâmetros financeiros Despesa'!F1477*(1+'Parâmetros financeiros Despesa'!F$4)*(1+'Parâmetros financeiros Despesa'!F$7))</f>
        <v>50347.736123010007</v>
      </c>
      <c r="M2901" s="799">
        <f t="shared" si="484"/>
        <v>1.9284573600282937E-2</v>
      </c>
      <c r="N2901" s="898"/>
      <c r="O2901" s="396"/>
      <c r="P2901" s="463"/>
      <c r="S2901" s="463"/>
      <c r="T2901" s="463"/>
      <c r="U2901" s="463"/>
    </row>
    <row r="2902" spans="1:21" s="115" customFormat="1" ht="15" customHeight="1" x14ac:dyDescent="0.25">
      <c r="B2902" s="877"/>
      <c r="C2902" s="877"/>
      <c r="D2902" s="880">
        <v>612700</v>
      </c>
      <c r="E2902" s="854">
        <v>333903300000000</v>
      </c>
      <c r="F2902" s="855" t="s">
        <v>9163</v>
      </c>
      <c r="G2902" s="468">
        <v>40</v>
      </c>
      <c r="H2902" s="468">
        <v>0</v>
      </c>
      <c r="I2902" s="751"/>
      <c r="J2902" s="878"/>
      <c r="K2902" s="789">
        <f>('Parâmetros financeiros Despesa'!E1478)</f>
        <v>0</v>
      </c>
      <c r="L2902" s="789">
        <f>('Parâmetros financeiros Despesa'!F1478*(1+'Parâmetros financeiros Despesa'!F$4)*(1+'Parâmetros financeiros Despesa'!F$7))</f>
        <v>545.16575</v>
      </c>
      <c r="M2902" s="799">
        <f t="shared" si="484"/>
        <v>2.0881354038525769E-4</v>
      </c>
      <c r="N2902" s="898"/>
      <c r="O2902" s="396"/>
      <c r="P2902" s="463"/>
      <c r="S2902" s="463"/>
      <c r="T2902" s="463"/>
      <c r="U2902" s="463"/>
    </row>
    <row r="2903" spans="1:21" s="115" customFormat="1" ht="15" customHeight="1" x14ac:dyDescent="0.25">
      <c r="B2903" s="877"/>
      <c r="C2903" s="877"/>
      <c r="D2903" s="880">
        <v>612800</v>
      </c>
      <c r="E2903" s="854">
        <v>333903600000000</v>
      </c>
      <c r="F2903" s="855" t="s">
        <v>9164</v>
      </c>
      <c r="G2903" s="468">
        <v>40</v>
      </c>
      <c r="H2903" s="468">
        <v>0</v>
      </c>
      <c r="I2903" s="751"/>
      <c r="J2903" s="878"/>
      <c r="K2903" s="789">
        <f>('Parâmetros financeiros Despesa'!E1479)</f>
        <v>0</v>
      </c>
      <c r="L2903" s="789">
        <f>('Parâmetros financeiros Despesa'!F1479*(1+'Parâmetros financeiros Despesa'!F$4)*(1+'Parâmetros financeiros Despesa'!F$7))</f>
        <v>545.16575</v>
      </c>
      <c r="M2903" s="799">
        <f t="shared" si="484"/>
        <v>2.0881354038525769E-4</v>
      </c>
      <c r="N2903" s="898"/>
      <c r="O2903" s="396"/>
      <c r="P2903" s="463"/>
      <c r="S2903" s="463"/>
      <c r="T2903" s="463"/>
      <c r="U2903" s="463"/>
    </row>
    <row r="2904" spans="1:21" s="115" customFormat="1" ht="15" customHeight="1" x14ac:dyDescent="0.25">
      <c r="B2904" s="877"/>
      <c r="C2904" s="877"/>
      <c r="D2904" s="880">
        <v>612900</v>
      </c>
      <c r="E2904" s="854">
        <v>333903900000000</v>
      </c>
      <c r="F2904" s="855" t="s">
        <v>9165</v>
      </c>
      <c r="G2904" s="468">
        <v>40</v>
      </c>
      <c r="H2904" s="468">
        <v>0</v>
      </c>
      <c r="I2904" s="751"/>
      <c r="J2904" s="878"/>
      <c r="K2904" s="789">
        <f>('Parâmetros financeiros Despesa'!E1480)</f>
        <v>0</v>
      </c>
      <c r="L2904" s="789">
        <f>('Parâmetros financeiros Despesa'!F1480*(1+'Parâmetros financeiros Despesa'!F$4)*(1+'Parâmetros financeiros Despesa'!F$7))</f>
        <v>545.16575</v>
      </c>
      <c r="M2904" s="799">
        <f t="shared" si="484"/>
        <v>2.0881354038525769E-4</v>
      </c>
      <c r="N2904" s="898"/>
      <c r="O2904" s="396"/>
      <c r="P2904" s="463"/>
      <c r="S2904" s="463"/>
      <c r="T2904" s="463"/>
      <c r="U2904" s="463"/>
    </row>
    <row r="2905" spans="1:21" s="115" customFormat="1" ht="15" customHeight="1" x14ac:dyDescent="0.25">
      <c r="B2905" s="877"/>
      <c r="C2905" s="877"/>
      <c r="D2905" s="880">
        <v>613000</v>
      </c>
      <c r="E2905" s="854">
        <v>333904700000000</v>
      </c>
      <c r="F2905" s="855" t="s">
        <v>9167</v>
      </c>
      <c r="G2905" s="468">
        <v>40</v>
      </c>
      <c r="H2905" s="468">
        <v>0</v>
      </c>
      <c r="I2905" s="751"/>
      <c r="J2905" s="878"/>
      <c r="K2905" s="789">
        <f>('Parâmetros financeiros Despesa'!E1481)</f>
        <v>0</v>
      </c>
      <c r="L2905" s="789">
        <f>('Parâmetros financeiros Despesa'!F1481*(1+'Parâmetros financeiros Despesa'!F$4)*(1+'Parâmetros financeiros Despesa'!F$7))</f>
        <v>109.03315000000001</v>
      </c>
      <c r="M2905" s="799">
        <f t="shared" si="484"/>
        <v>4.1762708077051546E-5</v>
      </c>
      <c r="N2905" s="898"/>
      <c r="O2905" s="396"/>
      <c r="P2905" s="463"/>
      <c r="S2905" s="463"/>
      <c r="T2905" s="463"/>
      <c r="U2905" s="463"/>
    </row>
    <row r="2906" spans="1:21" s="115" customFormat="1" ht="15" customHeight="1" x14ac:dyDescent="0.25">
      <c r="A2906" s="396"/>
      <c r="B2906" s="1398" t="s">
        <v>8918</v>
      </c>
      <c r="C2906" s="1398"/>
      <c r="D2906" s="1398"/>
      <c r="E2906" s="854">
        <v>333904900000000</v>
      </c>
      <c r="F2906" s="855" t="s">
        <v>8922</v>
      </c>
      <c r="G2906" s="468">
        <v>40</v>
      </c>
      <c r="H2906" s="468">
        <v>0</v>
      </c>
      <c r="I2906" s="751"/>
      <c r="J2906" s="878"/>
      <c r="K2906" s="789">
        <f>('Parâmetros financeiros Despesa'!E1482)</f>
        <v>463.08000000000004</v>
      </c>
      <c r="L2906" s="789">
        <f>('Parâmetros financeiros Despesa'!F1482)*2+(('Parâmetros financeiros Despesa'!F1482)*10)*(1+'Parâmetros financeiros Despesa'!F$4)*(1+'Parâmetros financeiros Despesa'!F$8)</f>
        <v>484.4902848572994</v>
      </c>
      <c r="M2906" s="799">
        <f t="shared" si="484"/>
        <v>1.8557316130610681E-4</v>
      </c>
      <c r="N2906" s="894"/>
      <c r="P2906" s="733"/>
    </row>
    <row r="2907" spans="1:21" s="115" customFormat="1" ht="15" customHeight="1" x14ac:dyDescent="0.25">
      <c r="A2907" s="396"/>
      <c r="B2907" s="1398" t="s">
        <v>8919</v>
      </c>
      <c r="C2907" s="1398"/>
      <c r="D2907" s="1398"/>
      <c r="E2907" s="854">
        <v>333909300000000</v>
      </c>
      <c r="F2907" s="855" t="s">
        <v>9168</v>
      </c>
      <c r="G2907" s="468">
        <v>40</v>
      </c>
      <c r="H2907" s="468">
        <v>0</v>
      </c>
      <c r="I2907" s="751"/>
      <c r="J2907" s="878"/>
      <c r="K2907" s="789">
        <f>('Parâmetros financeiros Despesa'!E1483)</f>
        <v>0</v>
      </c>
      <c r="L2907" s="789">
        <f>('Parâmetros financeiros Despesa'!F1483)*(1+'Parâmetros financeiros Despesa'!F$4)*(1+'Parâmetros financeiros Despesa'!F$7)</f>
        <v>545.16575</v>
      </c>
      <c r="M2907" s="799">
        <f t="shared" si="484"/>
        <v>2.0881354038525769E-4</v>
      </c>
      <c r="N2907" s="894"/>
      <c r="P2907" s="733"/>
    </row>
    <row r="2908" spans="1:21" s="115" customFormat="1" ht="15" customHeight="1" x14ac:dyDescent="0.25">
      <c r="A2908" s="396"/>
      <c r="B2908" s="1398" t="s">
        <v>8920</v>
      </c>
      <c r="C2908" s="1398"/>
      <c r="D2908" s="1398"/>
      <c r="E2908" s="854">
        <v>333933000000000</v>
      </c>
      <c r="F2908" s="855" t="s">
        <v>8923</v>
      </c>
      <c r="G2908" s="468">
        <v>40</v>
      </c>
      <c r="H2908" s="468">
        <v>0</v>
      </c>
      <c r="I2908" s="751"/>
      <c r="J2908" s="878"/>
      <c r="K2908" s="789">
        <f>('Parâmetros financeiros Despesa'!E1484)</f>
        <v>0</v>
      </c>
      <c r="L2908" s="789">
        <f>('Parâmetros financeiros Despesa'!F1484)*(1+'Parâmetros financeiros Despesa'!F$4)*(1+'Parâmetros financeiros Despesa'!F$7)</f>
        <v>545.16575</v>
      </c>
      <c r="M2908" s="799">
        <f t="shared" si="484"/>
        <v>2.0881354038525769E-4</v>
      </c>
      <c r="N2908" s="894"/>
      <c r="P2908" s="733"/>
    </row>
    <row r="2909" spans="1:21" s="115" customFormat="1" ht="15" customHeight="1" x14ac:dyDescent="0.25">
      <c r="A2909" s="396"/>
      <c r="B2909" s="1398" t="s">
        <v>8921</v>
      </c>
      <c r="C2909" s="1398"/>
      <c r="D2909" s="1398"/>
      <c r="E2909" s="854">
        <v>344905200000000</v>
      </c>
      <c r="F2909" s="855" t="s">
        <v>9169</v>
      </c>
      <c r="G2909" s="468">
        <v>40</v>
      </c>
      <c r="H2909" s="468">
        <v>0</v>
      </c>
      <c r="I2909" s="751"/>
      <c r="J2909" s="878"/>
      <c r="K2909" s="789">
        <f>('Parâmetros financeiros Despesa'!E1485)</f>
        <v>0</v>
      </c>
      <c r="L2909" s="789">
        <f>('Parâmetros financeiros Despesa'!F1485)*(1+'Parâmetros financeiros Despesa'!F$4)*(1+'Parâmetros financeiros Despesa'!F$7)</f>
        <v>545.16575</v>
      </c>
      <c r="M2909" s="799">
        <f t="shared" si="484"/>
        <v>2.0881354038525769E-4</v>
      </c>
      <c r="N2909" s="894"/>
      <c r="P2909" s="733"/>
    </row>
    <row r="2910" spans="1:21" s="761" customFormat="1" ht="15" customHeight="1" x14ac:dyDescent="0.25">
      <c r="A2910" s="397"/>
      <c r="B2910" s="1382" t="s">
        <v>8699</v>
      </c>
      <c r="C2910" s="1382"/>
      <c r="D2910" s="1382"/>
      <c r="E2910" s="1382"/>
      <c r="F2910" s="1382"/>
      <c r="G2910" s="405"/>
      <c r="H2910" s="405"/>
      <c r="I2910" s="428"/>
      <c r="J2910" s="413"/>
      <c r="K2910" s="406">
        <f t="shared" ref="K2910:L2912" si="485">K2911</f>
        <v>4995</v>
      </c>
      <c r="L2910" s="406">
        <f t="shared" si="485"/>
        <v>19455.133305089457</v>
      </c>
      <c r="M2910" s="453">
        <f>L2910/L$3225</f>
        <v>7.4518534300859317E-3</v>
      </c>
      <c r="N2910" s="796"/>
      <c r="P2910" s="399"/>
    </row>
    <row r="2911" spans="1:21" s="761" customFormat="1" ht="15" customHeight="1" x14ac:dyDescent="0.25">
      <c r="A2911" s="397"/>
      <c r="B2911" s="1383" t="s">
        <v>8812</v>
      </c>
      <c r="C2911" s="1383"/>
      <c r="D2911" s="1383"/>
      <c r="E2911" s="1383"/>
      <c r="F2911" s="1383"/>
      <c r="G2911" s="407"/>
      <c r="H2911" s="407"/>
      <c r="I2911" s="429"/>
      <c r="J2911" s="414"/>
      <c r="K2911" s="408">
        <f t="shared" si="485"/>
        <v>4995</v>
      </c>
      <c r="L2911" s="408">
        <f t="shared" si="485"/>
        <v>19455.133305089457</v>
      </c>
      <c r="M2911" s="454">
        <f>L2911/L$3225</f>
        <v>7.4518534300859317E-3</v>
      </c>
      <c r="N2911" s="796"/>
      <c r="P2911" s="399"/>
    </row>
    <row r="2912" spans="1:21" s="761" customFormat="1" ht="15" customHeight="1" x14ac:dyDescent="0.25">
      <c r="A2912" s="397"/>
      <c r="B2912" s="1385" t="s">
        <v>8698</v>
      </c>
      <c r="C2912" s="1385"/>
      <c r="D2912" s="1385"/>
      <c r="E2912" s="1385"/>
      <c r="F2912" s="1385"/>
      <c r="G2912" s="401"/>
      <c r="H2912" s="401"/>
      <c r="I2912" s="426"/>
      <c r="J2912" s="411"/>
      <c r="K2912" s="402">
        <f t="shared" si="485"/>
        <v>4995</v>
      </c>
      <c r="L2912" s="402">
        <f t="shared" si="485"/>
        <v>19455.133305089457</v>
      </c>
      <c r="M2912" s="451">
        <f>L2912/L$3225</f>
        <v>7.4518534300859317E-3</v>
      </c>
      <c r="N2912" s="796"/>
      <c r="P2912" s="399"/>
    </row>
    <row r="2913" spans="1:21" s="761" customFormat="1" ht="15" customHeight="1" x14ac:dyDescent="0.25">
      <c r="A2913" s="397"/>
      <c r="B2913" s="1386" t="s">
        <v>10973</v>
      </c>
      <c r="C2913" s="1386"/>
      <c r="D2913" s="1386"/>
      <c r="E2913" s="1386"/>
      <c r="F2913" s="1386"/>
      <c r="G2913" s="403"/>
      <c r="H2913" s="403"/>
      <c r="I2913" s="427"/>
      <c r="J2913" s="412"/>
      <c r="K2913" s="404">
        <f>SUM(K2914:K2930)</f>
        <v>4995</v>
      </c>
      <c r="L2913" s="404">
        <f>SUM(L2914:L2930)+0.04</f>
        <v>19455.133305089457</v>
      </c>
      <c r="M2913" s="452">
        <f>L2913/L$3225</f>
        <v>7.4518534300859317E-3</v>
      </c>
      <c r="N2913" s="796"/>
      <c r="P2913" s="399"/>
    </row>
    <row r="2914" spans="1:21" s="115" customFormat="1" ht="15" customHeight="1" x14ac:dyDescent="0.25">
      <c r="A2914" s="396"/>
      <c r="B2914" s="1398" t="s">
        <v>8934</v>
      </c>
      <c r="C2914" s="1398"/>
      <c r="D2914" s="1398"/>
      <c r="E2914" s="854">
        <v>331900400000000</v>
      </c>
      <c r="F2914" s="855" t="s">
        <v>9152</v>
      </c>
      <c r="G2914" s="468">
        <v>40</v>
      </c>
      <c r="H2914" s="468">
        <v>0</v>
      </c>
      <c r="I2914" s="751"/>
      <c r="J2914" s="878"/>
      <c r="K2914" s="789">
        <f>(('Parâmetros financeiros Despesa'!E1487))</f>
        <v>0</v>
      </c>
      <c r="L2914" s="789">
        <f>(('Parâmetros financeiros Despesa'!F1487)*2.05+(('Parâmetros financeiros Despesa'!F1487)*11.28)*(1+'Parâmetros financeiros Despesa'!F$4)*(1+'Parâmetros financeiros Despesa'!F$8))*(1+'Parâmetros financeiros Despesa'!F$80)</f>
        <v>17.278630081629636</v>
      </c>
      <c r="M2914" s="799">
        <f>L2914/L$3225</f>
        <v>6.6181925778578327E-6</v>
      </c>
      <c r="N2914" s="894"/>
      <c r="P2914" s="733"/>
    </row>
    <row r="2915" spans="1:21" s="115" customFormat="1" ht="15" customHeight="1" x14ac:dyDescent="0.25">
      <c r="A2915" s="396"/>
      <c r="B2915" s="973"/>
      <c r="C2915" s="973"/>
      <c r="D2915" s="973" t="s">
        <v>11567</v>
      </c>
      <c r="E2915" s="854">
        <v>331900800000000</v>
      </c>
      <c r="F2915" s="855" t="s">
        <v>11598</v>
      </c>
      <c r="G2915" s="468">
        <v>1</v>
      </c>
      <c r="H2915" s="468">
        <v>0</v>
      </c>
      <c r="I2915" s="751"/>
      <c r="J2915" s="878"/>
      <c r="K2915" s="789">
        <f>(('Parâmetros financeiros Despesa'!E1527))</f>
        <v>0</v>
      </c>
      <c r="L2915" s="789">
        <f>(('Parâmetros financeiros Despesa'!F1527)*2.05+(('Parâmetros financeiros Despesa'!F1527)*11.28)*(1+'Parâmetros financeiros Despesa'!F$4)*(1+'Parâmetros financeiros Despesa'!F$8))</f>
        <v>6977.9152801118635</v>
      </c>
      <c r="M2915" s="799">
        <f t="shared" ref="M2915:M2930" si="486">L2915/L$3225</f>
        <v>2.6727342907153385E-3</v>
      </c>
      <c r="N2915" s="894"/>
      <c r="P2915" s="733"/>
    </row>
    <row r="2916" spans="1:21" s="115" customFormat="1" ht="15" customHeight="1" x14ac:dyDescent="0.25">
      <c r="A2916" s="396"/>
      <c r="B2916" s="1398" t="s">
        <v>8935</v>
      </c>
      <c r="C2916" s="1398"/>
      <c r="D2916" s="1398"/>
      <c r="E2916" s="854">
        <v>331901100000000</v>
      </c>
      <c r="F2916" s="855" t="s">
        <v>9153</v>
      </c>
      <c r="G2916" s="468">
        <v>40</v>
      </c>
      <c r="H2916" s="468">
        <v>0</v>
      </c>
      <c r="I2916" s="751"/>
      <c r="J2916" s="878"/>
      <c r="K2916" s="789">
        <f>('Parâmetros financeiros Despesa'!E1489)</f>
        <v>0</v>
      </c>
      <c r="L2916" s="789">
        <f>('Parâmetros financeiros Despesa'!F1489)*2.05+(('Parâmetros financeiros Despesa'!F11489)*11.28)*(1+'Parâmetros financeiros Despesa'!F$4)*(1+'Parâmetros financeiros Despesa'!F$8)</f>
        <v>2.0499999999999998</v>
      </c>
      <c r="M2916" s="799">
        <f t="shared" si="486"/>
        <v>7.8520662347144563E-7</v>
      </c>
      <c r="N2916" s="894"/>
      <c r="P2916" s="733"/>
    </row>
    <row r="2917" spans="1:21" s="115" customFormat="1" ht="15" customHeight="1" x14ac:dyDescent="0.25">
      <c r="A2917" s="396"/>
      <c r="B2917" s="1398" t="s">
        <v>8936</v>
      </c>
      <c r="C2917" s="1398"/>
      <c r="D2917" s="1398"/>
      <c r="E2917" s="854">
        <v>331901300000000</v>
      </c>
      <c r="F2917" s="855" t="s">
        <v>9154</v>
      </c>
      <c r="G2917" s="468">
        <v>40</v>
      </c>
      <c r="H2917" s="468">
        <v>0</v>
      </c>
      <c r="I2917" s="751"/>
      <c r="J2917" s="878"/>
      <c r="K2917" s="789">
        <f>'Parâmetros financeiros Despesa'!E1490</f>
        <v>0</v>
      </c>
      <c r="L2917" s="789">
        <f>(L2918+L2916)*'Parâmetros financeiros Despesa'!F80</f>
        <v>3.8108922214059082</v>
      </c>
      <c r="M2917" s="799">
        <f t="shared" si="486"/>
        <v>1.4596769822359659E-6</v>
      </c>
      <c r="N2917" s="894"/>
      <c r="P2917" s="733"/>
    </row>
    <row r="2918" spans="1:21" s="115" customFormat="1" ht="15" customHeight="1" x14ac:dyDescent="0.25">
      <c r="A2918" s="396"/>
      <c r="B2918" s="1398" t="s">
        <v>8937</v>
      </c>
      <c r="C2918" s="1398"/>
      <c r="D2918" s="1398"/>
      <c r="E2918" s="854">
        <v>331901600000000</v>
      </c>
      <c r="F2918" s="855" t="s">
        <v>9155</v>
      </c>
      <c r="G2918" s="468">
        <v>40</v>
      </c>
      <c r="H2918" s="468">
        <v>0</v>
      </c>
      <c r="I2918" s="751"/>
      <c r="J2918" s="878"/>
      <c r="K2918" s="789">
        <f>('Parâmetros financeiros Despesa'!E1491)</f>
        <v>0</v>
      </c>
      <c r="L2918" s="789">
        <f>('Parâmetros financeiros Despesa'!F1491)*2.05+(('Parâmetros financeiros Despesa'!F1491)*11.28)*(1+'Parâmetros financeiros Despesa'!F$4)*(1+'Parâmetros financeiros Despesa'!F$8)</f>
        <v>13.955830560223728</v>
      </c>
      <c r="M2918" s="799">
        <f t="shared" si="486"/>
        <v>5.3454685814306766E-6</v>
      </c>
      <c r="N2918" s="894"/>
      <c r="P2918" s="733"/>
    </row>
    <row r="2919" spans="1:21" s="115" customFormat="1" ht="15" customHeight="1" x14ac:dyDescent="0.25">
      <c r="A2919" s="396"/>
      <c r="B2919" s="1398" t="s">
        <v>8938</v>
      </c>
      <c r="C2919" s="1398"/>
      <c r="D2919" s="1398"/>
      <c r="E2919" s="854">
        <v>333901400000000</v>
      </c>
      <c r="F2919" s="855" t="s">
        <v>9157</v>
      </c>
      <c r="G2919" s="468">
        <v>40</v>
      </c>
      <c r="H2919" s="468">
        <v>0</v>
      </c>
      <c r="I2919" s="751"/>
      <c r="J2919" s="878"/>
      <c r="K2919" s="789">
        <f>('Parâmetros financeiros Despesa'!E1492)</f>
        <v>0</v>
      </c>
      <c r="L2919" s="789">
        <f>('Parâmetros financeiros Despesa'!F1492)*2+(('Parâmetros financeiros Despesa'!F1492)*10)*(1+'Parâmetros financeiros Despesa'!F$4)*(1+'Parâmetros financeiros Despesa'!F$8)</f>
        <v>2510.9628652878946</v>
      </c>
      <c r="M2919" s="799">
        <f t="shared" si="486"/>
        <v>9.617681332267777E-4</v>
      </c>
      <c r="N2919" s="894"/>
      <c r="P2919" s="733"/>
    </row>
    <row r="2920" spans="1:21" s="115" customFormat="1" ht="15" customHeight="1" x14ac:dyDescent="0.25">
      <c r="B2920" s="879"/>
      <c r="C2920" s="879"/>
      <c r="D2920" s="880">
        <v>614500</v>
      </c>
      <c r="E2920" s="854">
        <v>333903000000000</v>
      </c>
      <c r="F2920" s="855" t="s">
        <v>9161</v>
      </c>
      <c r="G2920" s="468">
        <v>40</v>
      </c>
      <c r="H2920" s="468">
        <v>0</v>
      </c>
      <c r="I2920" s="751"/>
      <c r="J2920" s="878"/>
      <c r="K2920" s="789">
        <f>('Parâmetros financeiros Despesa'!E1493)</f>
        <v>0</v>
      </c>
      <c r="L2920" s="789">
        <f>('Parâmetros financeiros Despesa'!F1493*(1+'Parâmetros financeiros Despesa'!F$4)*(1+'Parâmetros financeiros Despesa'!F$7))</f>
        <v>545.16575</v>
      </c>
      <c r="M2920" s="799">
        <f t="shared" si="486"/>
        <v>2.0881354038525769E-4</v>
      </c>
      <c r="N2920" s="894"/>
      <c r="O2920" s="396"/>
      <c r="P2920" s="463"/>
      <c r="S2920" s="463"/>
      <c r="T2920" s="463"/>
      <c r="U2920" s="463"/>
    </row>
    <row r="2921" spans="1:21" s="115" customFormat="1" ht="15" customHeight="1" x14ac:dyDescent="0.25">
      <c r="B2921" s="877"/>
      <c r="C2921" s="877"/>
      <c r="D2921" s="880">
        <v>614600</v>
      </c>
      <c r="E2921" s="854">
        <v>333903200000000</v>
      </c>
      <c r="F2921" s="855" t="s">
        <v>9158</v>
      </c>
      <c r="G2921" s="468">
        <v>40</v>
      </c>
      <c r="H2921" s="468">
        <v>0</v>
      </c>
      <c r="I2921" s="751"/>
      <c r="J2921" s="878"/>
      <c r="K2921" s="789">
        <f>('Parâmetros financeiros Despesa'!E1494)</f>
        <v>0</v>
      </c>
      <c r="L2921" s="789">
        <f>('Parâmetros financeiros Despesa'!F1494*(1+'Parâmetros financeiros Despesa'!F$4)*(1+'Parâmetros financeiros Despesa'!F$7))</f>
        <v>545.16575</v>
      </c>
      <c r="M2921" s="799">
        <f t="shared" si="486"/>
        <v>2.0881354038525769E-4</v>
      </c>
      <c r="N2921" s="894"/>
      <c r="O2921" s="396"/>
      <c r="P2921" s="463"/>
      <c r="S2921" s="463"/>
      <c r="T2921" s="463"/>
      <c r="U2921" s="463"/>
    </row>
    <row r="2922" spans="1:21" s="115" customFormat="1" ht="15" customHeight="1" x14ac:dyDescent="0.25">
      <c r="A2922" s="396"/>
      <c r="B2922" s="1398" t="s">
        <v>8939</v>
      </c>
      <c r="C2922" s="1398"/>
      <c r="D2922" s="1398"/>
      <c r="E2922" s="854">
        <v>333903300000000</v>
      </c>
      <c r="F2922" s="855" t="s">
        <v>9171</v>
      </c>
      <c r="G2922" s="468">
        <v>40</v>
      </c>
      <c r="H2922" s="468">
        <v>0</v>
      </c>
      <c r="I2922" s="751"/>
      <c r="J2922" s="878"/>
      <c r="K2922" s="789">
        <f>('Parâmetros financeiros Despesa'!E1495)</f>
        <v>0</v>
      </c>
      <c r="L2922" s="789">
        <f>('Parâmetros financeiros Despesa'!F1495*(1+'Parâmetros financeiros Despesa'!F$4)*(1+'Parâmetros financeiros Despesa'!F$7))</f>
        <v>545.16575</v>
      </c>
      <c r="M2922" s="799">
        <f t="shared" si="486"/>
        <v>2.0881354038525769E-4</v>
      </c>
      <c r="N2922" s="894"/>
      <c r="P2922" s="733"/>
    </row>
    <row r="2923" spans="1:21" s="115" customFormat="1" ht="15" customHeight="1" x14ac:dyDescent="0.25">
      <c r="A2923" s="396"/>
      <c r="B2923" s="1398" t="s">
        <v>8940</v>
      </c>
      <c r="C2923" s="1398"/>
      <c r="D2923" s="1398"/>
      <c r="E2923" s="854">
        <v>333903500000000</v>
      </c>
      <c r="F2923" s="855" t="s">
        <v>9172</v>
      </c>
      <c r="G2923" s="468">
        <v>40</v>
      </c>
      <c r="H2923" s="468">
        <v>0</v>
      </c>
      <c r="I2923" s="751"/>
      <c r="J2923" s="878"/>
      <c r="K2923" s="789">
        <f>('Parâmetros financeiros Despesa'!E1496)</f>
        <v>0</v>
      </c>
      <c r="L2923" s="789">
        <f>('Parâmetros financeiros Despesa'!F1496*(1+'Parâmetros financeiros Despesa'!F$4)*(1+'Parâmetros financeiros Despesa'!F$7))</f>
        <v>545.16575</v>
      </c>
      <c r="M2923" s="799">
        <f t="shared" si="486"/>
        <v>2.0881354038525769E-4</v>
      </c>
      <c r="N2923" s="894"/>
      <c r="P2923" s="733"/>
    </row>
    <row r="2924" spans="1:21" s="115" customFormat="1" ht="15" customHeight="1" x14ac:dyDescent="0.25">
      <c r="A2924" s="396"/>
      <c r="B2924" s="1398" t="s">
        <v>8942</v>
      </c>
      <c r="C2924" s="1398"/>
      <c r="D2924" s="1398"/>
      <c r="E2924" s="854">
        <v>333903600000000</v>
      </c>
      <c r="F2924" s="855" t="s">
        <v>9173</v>
      </c>
      <c r="G2924" s="468">
        <v>40</v>
      </c>
      <c r="H2924" s="468">
        <v>0</v>
      </c>
      <c r="I2924" s="751"/>
      <c r="J2924" s="878"/>
      <c r="K2924" s="789">
        <f>('Parâmetros financeiros Despesa'!E1497)</f>
        <v>0</v>
      </c>
      <c r="L2924" s="789">
        <f>('Parâmetros financeiros Despesa'!F1497*(1+'Parâmetros financeiros Despesa'!F$4)*(1+'Parâmetros financeiros Despesa'!F$7))</f>
        <v>545.16575</v>
      </c>
      <c r="M2924" s="799">
        <f t="shared" si="486"/>
        <v>2.0881354038525769E-4</v>
      </c>
      <c r="N2924" s="894"/>
      <c r="P2924" s="733"/>
    </row>
    <row r="2925" spans="1:21" s="115" customFormat="1" ht="15" customHeight="1" x14ac:dyDescent="0.25">
      <c r="A2925" s="396"/>
      <c r="B2925" s="1398" t="s">
        <v>8943</v>
      </c>
      <c r="C2925" s="1398"/>
      <c r="D2925" s="1398"/>
      <c r="E2925" s="854">
        <v>333903900000000</v>
      </c>
      <c r="F2925" s="855" t="s">
        <v>9174</v>
      </c>
      <c r="G2925" s="468">
        <v>40</v>
      </c>
      <c r="H2925" s="468">
        <v>0</v>
      </c>
      <c r="I2925" s="751"/>
      <c r="J2925" s="878"/>
      <c r="K2925" s="789">
        <f>('Parâmetros financeiros Despesa'!E1498)</f>
        <v>4995</v>
      </c>
      <c r="L2925" s="789">
        <f>('Parâmetros financeiros Despesa'!F1498*(1+'Parâmetros financeiros Despesa'!F$4)*(1+'Parâmetros financeiros Despesa'!F$7))</f>
        <v>5446.2058425000005</v>
      </c>
      <c r="M2925" s="799">
        <f t="shared" si="486"/>
        <v>2.0860472684487248E-3</v>
      </c>
      <c r="N2925" s="894"/>
      <c r="P2925" s="733"/>
    </row>
    <row r="2926" spans="1:21" s="115" customFormat="1" ht="15" customHeight="1" x14ac:dyDescent="0.25">
      <c r="A2926" s="396"/>
      <c r="B2926" s="877"/>
      <c r="C2926" s="877"/>
      <c r="D2926" s="877" t="s">
        <v>9175</v>
      </c>
      <c r="E2926" s="854">
        <v>333904700000000</v>
      </c>
      <c r="F2926" s="855" t="s">
        <v>9179</v>
      </c>
      <c r="G2926" s="468">
        <v>40</v>
      </c>
      <c r="H2926" s="468">
        <v>0</v>
      </c>
      <c r="I2926" s="751"/>
      <c r="J2926" s="878"/>
      <c r="K2926" s="789">
        <f>('Parâmetros financeiros Despesa'!E1499)</f>
        <v>0</v>
      </c>
      <c r="L2926" s="789">
        <f>('Parâmetros financeiros Despesa'!F1499*(1+'Parâmetros financeiros Despesa'!F$4)*(1+'Parâmetros financeiros Despesa'!F$7))</f>
        <v>109.03315000000001</v>
      </c>
      <c r="M2926" s="799">
        <f t="shared" si="486"/>
        <v>4.1762708077051546E-5</v>
      </c>
      <c r="N2926" s="894"/>
      <c r="P2926" s="733"/>
    </row>
    <row r="2927" spans="1:21" s="115" customFormat="1" ht="15" customHeight="1" x14ac:dyDescent="0.25">
      <c r="A2927" s="396"/>
      <c r="B2927" s="1398" t="s">
        <v>9176</v>
      </c>
      <c r="C2927" s="1398"/>
      <c r="D2927" s="1398"/>
      <c r="E2927" s="854">
        <v>333904900000000</v>
      </c>
      <c r="F2927" s="855" t="s">
        <v>9156</v>
      </c>
      <c r="G2927" s="468">
        <v>40</v>
      </c>
      <c r="H2927" s="468">
        <v>0</v>
      </c>
      <c r="I2927" s="751"/>
      <c r="J2927" s="878"/>
      <c r="K2927" s="789">
        <f>('Parâmetros financeiros Despesa'!E1500)</f>
        <v>0</v>
      </c>
      <c r="L2927" s="789">
        <f>('Parâmetros financeiros Despesa'!F1500)*2+(('Parâmetros financeiros Despesa'!F1500)*10)*(1+'Parâmetros financeiros Despesa'!F$4)*(1+'Parâmetros financeiros Despesa'!F$8)</f>
        <v>12.554814326439475</v>
      </c>
      <c r="M2927" s="799">
        <f t="shared" si="486"/>
        <v>4.8088406661338892E-6</v>
      </c>
      <c r="N2927" s="894"/>
      <c r="P2927" s="733"/>
    </row>
    <row r="2928" spans="1:21" s="115" customFormat="1" ht="15" customHeight="1" x14ac:dyDescent="0.25">
      <c r="A2928" s="396"/>
      <c r="B2928" s="1398" t="s">
        <v>9177</v>
      </c>
      <c r="C2928" s="1398"/>
      <c r="D2928" s="1398"/>
      <c r="E2928" s="854">
        <v>333909300000000</v>
      </c>
      <c r="F2928" s="855" t="s">
        <v>9159</v>
      </c>
      <c r="G2928" s="468">
        <v>40</v>
      </c>
      <c r="H2928" s="468">
        <v>0</v>
      </c>
      <c r="I2928" s="751"/>
      <c r="J2928" s="878"/>
      <c r="K2928" s="789">
        <f>('Parâmetros financeiros Despesa'!E1501)</f>
        <v>0</v>
      </c>
      <c r="L2928" s="789">
        <f>('Parâmetros financeiros Despesa'!F1501)*(1+'Parâmetros financeiros Despesa'!F$4)*(1+'Parâmetros financeiros Despesa'!F$7)</f>
        <v>545.16575</v>
      </c>
      <c r="M2928" s="799">
        <f t="shared" si="486"/>
        <v>2.0881354038525769E-4</v>
      </c>
      <c r="N2928" s="894"/>
      <c r="P2928" s="733"/>
    </row>
    <row r="2929" spans="1:21" s="115" customFormat="1" ht="15" customHeight="1" x14ac:dyDescent="0.25">
      <c r="A2929" s="396"/>
      <c r="B2929" s="1398" t="s">
        <v>9178</v>
      </c>
      <c r="C2929" s="1398"/>
      <c r="D2929" s="1398"/>
      <c r="E2929" s="854">
        <v>333933000000000</v>
      </c>
      <c r="F2929" s="855" t="s">
        <v>9162</v>
      </c>
      <c r="G2929" s="468">
        <v>40</v>
      </c>
      <c r="H2929" s="468">
        <v>0</v>
      </c>
      <c r="I2929" s="751"/>
      <c r="J2929" s="878"/>
      <c r="K2929" s="789">
        <f>('Parâmetros financeiros Despesa'!E1502)</f>
        <v>0</v>
      </c>
      <c r="L2929" s="789">
        <f>('Parâmetros financeiros Despesa'!F1502)*(1+'Parâmetros financeiros Despesa'!F$4)*(1+'Parâmetros financeiros Despesa'!F$7)</f>
        <v>545.16575</v>
      </c>
      <c r="M2929" s="799">
        <f t="shared" si="486"/>
        <v>2.0881354038525769E-4</v>
      </c>
      <c r="N2929" s="894"/>
      <c r="P2929" s="733"/>
    </row>
    <row r="2930" spans="1:21" s="115" customFormat="1" ht="15" customHeight="1" x14ac:dyDescent="0.25">
      <c r="A2930" s="396"/>
      <c r="B2930" s="1398" t="s">
        <v>9180</v>
      </c>
      <c r="C2930" s="1398"/>
      <c r="D2930" s="1398"/>
      <c r="E2930" s="854">
        <v>344905200000000</v>
      </c>
      <c r="F2930" s="855" t="s">
        <v>9160</v>
      </c>
      <c r="G2930" s="468">
        <v>40</v>
      </c>
      <c r="H2930" s="468">
        <v>0</v>
      </c>
      <c r="I2930" s="751"/>
      <c r="J2930" s="878"/>
      <c r="K2930" s="789">
        <f>('Parâmetros financeiros Despesa'!E1503)</f>
        <v>0</v>
      </c>
      <c r="L2930" s="789">
        <f>('Parâmetros financeiros Despesa'!F1503)*(1+'Parâmetros financeiros Despesa'!F$4)*(1+'Parâmetros financeiros Despesa'!F$7)</f>
        <v>545.16575</v>
      </c>
      <c r="M2930" s="799">
        <f t="shared" si="486"/>
        <v>2.0881354038525769E-4</v>
      </c>
      <c r="N2930" s="894"/>
      <c r="P2930" s="733"/>
    </row>
    <row r="2931" spans="1:21" s="774" customFormat="1" ht="15" customHeight="1" x14ac:dyDescent="0.25">
      <c r="A2931" s="397"/>
      <c r="B2931" s="1382" t="s">
        <v>8699</v>
      </c>
      <c r="C2931" s="1382"/>
      <c r="D2931" s="1382"/>
      <c r="E2931" s="1382"/>
      <c r="F2931" s="1382"/>
      <c r="G2931" s="405"/>
      <c r="H2931" s="405"/>
      <c r="I2931" s="428"/>
      <c r="J2931" s="413"/>
      <c r="K2931" s="406">
        <f t="shared" ref="K2931:L2933" si="487">K2932</f>
        <v>147387.10500000001</v>
      </c>
      <c r="L2931" s="406">
        <f t="shared" si="487"/>
        <v>207390.48911960711</v>
      </c>
      <c r="M2931" s="453">
        <f>L2931/L$3225</f>
        <v>7.943628570814551E-2</v>
      </c>
      <c r="N2931" s="796"/>
      <c r="P2931" s="399"/>
    </row>
    <row r="2932" spans="1:21" s="774" customFormat="1" ht="15" customHeight="1" x14ac:dyDescent="0.25">
      <c r="A2932" s="397"/>
      <c r="B2932" s="1383" t="s">
        <v>8812</v>
      </c>
      <c r="C2932" s="1383"/>
      <c r="D2932" s="1383"/>
      <c r="E2932" s="1383"/>
      <c r="F2932" s="1383"/>
      <c r="G2932" s="407"/>
      <c r="H2932" s="407"/>
      <c r="I2932" s="429"/>
      <c r="J2932" s="414"/>
      <c r="K2932" s="408">
        <f t="shared" si="487"/>
        <v>147387.10500000001</v>
      </c>
      <c r="L2932" s="408">
        <f t="shared" si="487"/>
        <v>207390.48911960711</v>
      </c>
      <c r="M2932" s="454">
        <f>L2932/L$3225</f>
        <v>7.943628570814551E-2</v>
      </c>
      <c r="N2932" s="796"/>
      <c r="P2932" s="399"/>
    </row>
    <row r="2933" spans="1:21" s="774" customFormat="1" ht="15" customHeight="1" x14ac:dyDescent="0.25">
      <c r="A2933" s="397"/>
      <c r="B2933" s="1385" t="s">
        <v>8698</v>
      </c>
      <c r="C2933" s="1385"/>
      <c r="D2933" s="1385"/>
      <c r="E2933" s="1385"/>
      <c r="F2933" s="1385"/>
      <c r="G2933" s="401"/>
      <c r="H2933" s="401"/>
      <c r="I2933" s="426"/>
      <c r="J2933" s="411"/>
      <c r="K2933" s="402">
        <f t="shared" si="487"/>
        <v>147387.10500000001</v>
      </c>
      <c r="L2933" s="402">
        <f t="shared" si="487"/>
        <v>207390.48911960711</v>
      </c>
      <c r="M2933" s="451">
        <f>L2933/L$3225</f>
        <v>7.943628570814551E-2</v>
      </c>
      <c r="N2933" s="796"/>
      <c r="P2933" s="399"/>
    </row>
    <row r="2934" spans="1:21" s="774" customFormat="1" ht="15" customHeight="1" x14ac:dyDescent="0.25">
      <c r="A2934" s="397"/>
      <c r="B2934" s="1386" t="s">
        <v>8924</v>
      </c>
      <c r="C2934" s="1386"/>
      <c r="D2934" s="1386"/>
      <c r="E2934" s="1386"/>
      <c r="F2934" s="1386"/>
      <c r="G2934" s="403"/>
      <c r="H2934" s="403"/>
      <c r="I2934" s="427"/>
      <c r="J2934" s="412"/>
      <c r="K2934" s="404">
        <f>SUM(K2935:K2952)</f>
        <v>147387.10500000001</v>
      </c>
      <c r="L2934" s="404">
        <f>SUM(L2935:L2952)+0.01</f>
        <v>207390.48911960711</v>
      </c>
      <c r="M2934" s="452">
        <f>L2934/L$3225</f>
        <v>7.943628570814551E-2</v>
      </c>
      <c r="N2934" s="796"/>
      <c r="P2934" s="399"/>
    </row>
    <row r="2935" spans="1:21" s="115" customFormat="1" ht="15" customHeight="1" x14ac:dyDescent="0.25">
      <c r="A2935" s="396"/>
      <c r="B2935" s="1398" t="s">
        <v>8945</v>
      </c>
      <c r="C2935" s="1398"/>
      <c r="D2935" s="1398"/>
      <c r="E2935" s="854">
        <v>331900400000000</v>
      </c>
      <c r="F2935" s="855" t="s">
        <v>8925</v>
      </c>
      <c r="G2935" s="468">
        <v>40</v>
      </c>
      <c r="H2935" s="468">
        <v>0</v>
      </c>
      <c r="I2935" s="751"/>
      <c r="J2935" s="878"/>
      <c r="K2935" s="789">
        <f>(('Parâmetros financeiros Despesa'!E1505))</f>
        <v>0</v>
      </c>
      <c r="L2935" s="789">
        <f>(('Parâmetros financeiros Despesa'!F1505)*2.05+(('Parâmetros financeiros Despesa'!F1505)*11.28)*(1+'Parâmetros financeiros Despesa'!F$4)*(1+'Parâmetros financeiros Despesa'!F$8))*(1+'Parâmetros financeiros Despesa'!F$80)</f>
        <v>17.278630081629636</v>
      </c>
      <c r="M2935" s="799">
        <f>L2935/L$3225</f>
        <v>6.6181925778578327E-6</v>
      </c>
      <c r="N2935" s="894"/>
      <c r="P2935" s="733"/>
    </row>
    <row r="2936" spans="1:21" s="115" customFormat="1" ht="15" customHeight="1" x14ac:dyDescent="0.25">
      <c r="A2936" s="396"/>
      <c r="B2936" s="973"/>
      <c r="C2936" s="973"/>
      <c r="D2936" s="973" t="s">
        <v>11566</v>
      </c>
      <c r="E2936" s="854">
        <v>331900800000000</v>
      </c>
      <c r="F2936" s="855" t="s">
        <v>11599</v>
      </c>
      <c r="G2936" s="468">
        <v>1</v>
      </c>
      <c r="H2936" s="468">
        <v>0</v>
      </c>
      <c r="I2936" s="751"/>
      <c r="J2936" s="878"/>
      <c r="K2936" s="789">
        <f>(('Parâmetros financeiros Despesa'!E1610))</f>
        <v>2673.3450000000003</v>
      </c>
      <c r="L2936" s="789">
        <f>(('Parâmetros financeiros Despesa'!F1506)*2.05+(('Parâmetros financeiros Despesa'!F1506)*11.28)*(1+'Parâmetros financeiros Despesa'!F$4)*(1+'Parâmetros financeiros Despesa'!F$8))</f>
        <v>5226.0398698869785</v>
      </c>
      <c r="M2936" s="799">
        <f t="shared" ref="M2936:M2952" si="488">L2936/L$3225</f>
        <v>2.0017176196883454E-3</v>
      </c>
      <c r="N2936" s="894"/>
      <c r="P2936" s="733"/>
    </row>
    <row r="2937" spans="1:21" s="115" customFormat="1" ht="15" customHeight="1" x14ac:dyDescent="0.25">
      <c r="A2937" s="396"/>
      <c r="B2937" s="1398" t="s">
        <v>8946</v>
      </c>
      <c r="C2937" s="1398"/>
      <c r="D2937" s="1398"/>
      <c r="E2937" s="854">
        <v>331901100000000</v>
      </c>
      <c r="F2937" s="855" t="s">
        <v>8926</v>
      </c>
      <c r="G2937" s="468">
        <v>40</v>
      </c>
      <c r="H2937" s="468">
        <v>0</v>
      </c>
      <c r="I2937" s="751"/>
      <c r="J2937" s="878"/>
      <c r="K2937" s="789">
        <f>('Parâmetros financeiros Despesa'!E1507)</f>
        <v>139565.1</v>
      </c>
      <c r="L2937" s="789">
        <f>('Parâmetros financeiros Despesa'!F1507)*2.05+(('Parâmetros financeiros Despesa'!F1507)*11.28)*(1+'Parâmetros financeiros Despesa'!F$4)*(1+'Parâmetros financeiros Despesa'!F$8)</f>
        <v>146117.54596554241</v>
      </c>
      <c r="M2937" s="799">
        <f t="shared" si="488"/>
        <v>5.5967056047579178E-2</v>
      </c>
      <c r="N2937" s="894"/>
      <c r="P2937" s="733"/>
    </row>
    <row r="2938" spans="1:21" s="115" customFormat="1" ht="15" customHeight="1" x14ac:dyDescent="0.25">
      <c r="A2938" s="396"/>
      <c r="B2938" s="1398" t="s">
        <v>9181</v>
      </c>
      <c r="C2938" s="1398"/>
      <c r="D2938" s="1398"/>
      <c r="E2938" s="854">
        <v>331901300000000</v>
      </c>
      <c r="F2938" s="855" t="s">
        <v>8927</v>
      </c>
      <c r="G2938" s="468">
        <v>40</v>
      </c>
      <c r="H2938" s="468">
        <v>0</v>
      </c>
      <c r="I2938" s="751"/>
      <c r="J2938" s="878"/>
      <c r="K2938" s="789">
        <f>('Parâmetros financeiros Despesa'!E1508)</f>
        <v>0</v>
      </c>
      <c r="L2938" s="789">
        <f>(L2939+L2937)*'Parâmetros financeiros Despesa'!F80</f>
        <v>36118.830797682211</v>
      </c>
      <c r="M2938" s="799">
        <f t="shared" si="488"/>
        <v>1.3834509841163177E-2</v>
      </c>
      <c r="N2938" s="894"/>
      <c r="P2938" s="733"/>
    </row>
    <row r="2939" spans="1:21" s="115" customFormat="1" ht="15" customHeight="1" x14ac:dyDescent="0.25">
      <c r="A2939" s="396"/>
      <c r="B2939" s="1398" t="s">
        <v>9182</v>
      </c>
      <c r="C2939" s="1398"/>
      <c r="D2939" s="1398"/>
      <c r="E2939" s="854">
        <v>331901600000000</v>
      </c>
      <c r="F2939" s="855" t="s">
        <v>8928</v>
      </c>
      <c r="G2939" s="468">
        <v>40</v>
      </c>
      <c r="H2939" s="468">
        <v>0</v>
      </c>
      <c r="I2939" s="751"/>
      <c r="J2939" s="878"/>
      <c r="K2939" s="789">
        <f>('Parâmetros financeiros Despesa'!E1509)</f>
        <v>0</v>
      </c>
      <c r="L2939" s="789">
        <f>('Parâmetros financeiros Despesa'!F1509)*2.05+(('Parâmetros financeiros Despesa'!F1509)*11.28)*(1+'Parâmetros financeiros Despesa'!F$4)*(1+'Parâmetros financeiros Despesa'!F$8)</f>
        <v>5582.3322240894904</v>
      </c>
      <c r="M2939" s="799">
        <f t="shared" si="488"/>
        <v>2.1381874325722707E-3</v>
      </c>
      <c r="N2939" s="894"/>
      <c r="P2939" s="733"/>
    </row>
    <row r="2940" spans="1:21" s="115" customFormat="1" ht="15" customHeight="1" x14ac:dyDescent="0.25">
      <c r="A2940" s="396"/>
      <c r="B2940" s="1398" t="s">
        <v>9183</v>
      </c>
      <c r="C2940" s="1398"/>
      <c r="D2940" s="1398"/>
      <c r="E2940" s="854">
        <v>333901400000000</v>
      </c>
      <c r="F2940" s="855" t="s">
        <v>8929</v>
      </c>
      <c r="G2940" s="468">
        <v>40</v>
      </c>
      <c r="H2940" s="468">
        <v>0</v>
      </c>
      <c r="I2940" s="751"/>
      <c r="J2940" s="878"/>
      <c r="K2940" s="789">
        <f>('Parâmetros financeiros Despesa'!E1510)</f>
        <v>0</v>
      </c>
      <c r="L2940" s="789">
        <f>('Parâmetros financeiros Despesa'!F1510)*2+(('Parâmetros financeiros Despesa'!F1510)*10)*(1+'Parâmetros financeiros Despesa'!F$4)*(1+'Parâmetros financeiros Despesa'!F$8)</f>
        <v>3138.7035816098692</v>
      </c>
      <c r="M2940" s="799">
        <f t="shared" si="488"/>
        <v>1.2022101665334726E-3</v>
      </c>
      <c r="N2940" s="894"/>
      <c r="P2940" s="733"/>
    </row>
    <row r="2941" spans="1:21" s="115" customFormat="1" ht="15" customHeight="1" x14ac:dyDescent="0.25">
      <c r="B2941" s="879"/>
      <c r="C2941" s="879"/>
      <c r="D2941" s="880">
        <v>616500</v>
      </c>
      <c r="E2941" s="854">
        <v>333903000000000</v>
      </c>
      <c r="F2941" s="855" t="s">
        <v>8930</v>
      </c>
      <c r="G2941" s="468">
        <v>40</v>
      </c>
      <c r="H2941" s="468">
        <v>0</v>
      </c>
      <c r="I2941" s="751"/>
      <c r="J2941" s="878"/>
      <c r="K2941" s="789">
        <f>('Parâmetros financeiros Despesa'!E1511)</f>
        <v>1048.5</v>
      </c>
      <c r="L2941" s="789">
        <f>('Parâmetros financeiros Despesa'!F1511*(1+'Parâmetros financeiros Despesa'!F$4)*(1+'Parâmetros financeiros Despesa'!F$7))</f>
        <v>1199.36465</v>
      </c>
      <c r="M2941" s="799">
        <f t="shared" si="488"/>
        <v>4.5938978884756696E-4</v>
      </c>
      <c r="N2941" s="894"/>
      <c r="O2941" s="396"/>
      <c r="P2941" s="463"/>
      <c r="S2941" s="463"/>
      <c r="T2941" s="463"/>
      <c r="U2941" s="463"/>
    </row>
    <row r="2942" spans="1:21" s="115" customFormat="1" ht="15" customHeight="1" x14ac:dyDescent="0.25">
      <c r="B2942" s="877"/>
      <c r="C2942" s="877"/>
      <c r="D2942" s="880">
        <v>616600</v>
      </c>
      <c r="E2942" s="854">
        <v>333903200000000</v>
      </c>
      <c r="F2942" s="855" t="s">
        <v>8931</v>
      </c>
      <c r="G2942" s="468">
        <v>40</v>
      </c>
      <c r="H2942" s="468">
        <v>0</v>
      </c>
      <c r="I2942" s="751"/>
      <c r="J2942" s="878"/>
      <c r="K2942" s="789">
        <f>('Parâmetros financeiros Despesa'!E1512)</f>
        <v>0</v>
      </c>
      <c r="L2942" s="789">
        <f>('Parâmetros financeiros Despesa'!F1512*(1+'Parâmetros financeiros Despesa'!F$4)*(1+'Parâmetros financeiros Despesa'!F$7))</f>
        <v>1090.3315</v>
      </c>
      <c r="M2942" s="799">
        <f t="shared" si="488"/>
        <v>4.1762708077051539E-4</v>
      </c>
      <c r="N2942" s="894"/>
      <c r="O2942" s="396"/>
      <c r="P2942" s="463"/>
      <c r="S2942" s="463"/>
      <c r="T2942" s="463"/>
      <c r="U2942" s="463"/>
    </row>
    <row r="2943" spans="1:21" s="115" customFormat="1" ht="15" customHeight="1" x14ac:dyDescent="0.25">
      <c r="B2943" s="879"/>
      <c r="C2943" s="879"/>
      <c r="D2943" s="880">
        <v>616700</v>
      </c>
      <c r="E2943" s="854">
        <v>333903300000000</v>
      </c>
      <c r="F2943" s="855" t="s">
        <v>9184</v>
      </c>
      <c r="G2943" s="468">
        <v>40</v>
      </c>
      <c r="H2943" s="468">
        <v>0</v>
      </c>
      <c r="I2943" s="751"/>
      <c r="J2943" s="878"/>
      <c r="K2943" s="789">
        <f>('Parâmetros financeiros Despesa'!E1513)</f>
        <v>0</v>
      </c>
      <c r="L2943" s="789">
        <f>('Parâmetros financeiros Despesa'!F1513*(1+'Parâmetros financeiros Despesa'!F$4)*(1+'Parâmetros financeiros Despesa'!F$7))</f>
        <v>1090.3315</v>
      </c>
      <c r="M2943" s="799">
        <f t="shared" si="488"/>
        <v>4.1762708077051539E-4</v>
      </c>
      <c r="N2943" s="894"/>
      <c r="O2943" s="396"/>
      <c r="P2943" s="463"/>
      <c r="S2943" s="463"/>
      <c r="T2943" s="463"/>
      <c r="U2943" s="463"/>
    </row>
    <row r="2944" spans="1:21" s="115" customFormat="1" ht="15" customHeight="1" x14ac:dyDescent="0.25">
      <c r="B2944" s="879"/>
      <c r="C2944" s="879"/>
      <c r="D2944" s="880">
        <v>616800</v>
      </c>
      <c r="E2944" s="854">
        <v>333903500000000</v>
      </c>
      <c r="F2944" s="855" t="s">
        <v>9185</v>
      </c>
      <c r="G2944" s="468">
        <v>40</v>
      </c>
      <c r="H2944" s="468">
        <v>0</v>
      </c>
      <c r="I2944" s="751"/>
      <c r="J2944" s="878"/>
      <c r="K2944" s="789">
        <f>('Parâmetros financeiros Despesa'!E1514)</f>
        <v>0</v>
      </c>
      <c r="L2944" s="789">
        <f>('Parâmetros financeiros Despesa'!F1514*(1+'Parâmetros financeiros Despesa'!F$4)*(1+'Parâmetros financeiros Despesa'!F$7))</f>
        <v>545.16575</v>
      </c>
      <c r="M2944" s="799">
        <f t="shared" si="488"/>
        <v>2.0881354038525769E-4</v>
      </c>
      <c r="N2944" s="894"/>
      <c r="O2944" s="396"/>
      <c r="P2944" s="463"/>
      <c r="S2944" s="463"/>
      <c r="T2944" s="463"/>
      <c r="U2944" s="463"/>
    </row>
    <row r="2945" spans="1:21" s="115" customFormat="1" ht="15" customHeight="1" x14ac:dyDescent="0.25">
      <c r="B2945" s="879"/>
      <c r="C2945" s="879"/>
      <c r="D2945" s="880">
        <v>616900</v>
      </c>
      <c r="E2945" s="854">
        <v>333903600000000</v>
      </c>
      <c r="F2945" s="855" t="s">
        <v>9186</v>
      </c>
      <c r="G2945" s="468">
        <v>40</v>
      </c>
      <c r="H2945" s="468">
        <v>0</v>
      </c>
      <c r="I2945" s="751"/>
      <c r="J2945" s="878"/>
      <c r="K2945" s="789">
        <f>('Parâmetros financeiros Despesa'!E1515)</f>
        <v>0</v>
      </c>
      <c r="L2945" s="789">
        <f>('Parâmetros financeiros Despesa'!F1515*(1+'Parâmetros financeiros Despesa'!F$4)*(1+'Parâmetros financeiros Despesa'!F$7))</f>
        <v>545.16575</v>
      </c>
      <c r="M2945" s="799">
        <f t="shared" si="488"/>
        <v>2.0881354038525769E-4</v>
      </c>
      <c r="N2945" s="894"/>
      <c r="O2945" s="396"/>
      <c r="P2945" s="463"/>
      <c r="S2945" s="463"/>
      <c r="T2945" s="463"/>
      <c r="U2945" s="463"/>
    </row>
    <row r="2946" spans="1:21" s="115" customFormat="1" ht="15" customHeight="1" x14ac:dyDescent="0.25">
      <c r="B2946" s="879"/>
      <c r="C2946" s="879"/>
      <c r="D2946" s="880">
        <v>617000</v>
      </c>
      <c r="E2946" s="854">
        <v>333903900000000</v>
      </c>
      <c r="F2946" s="855" t="s">
        <v>9187</v>
      </c>
      <c r="G2946" s="468">
        <v>40</v>
      </c>
      <c r="H2946" s="468">
        <v>0</v>
      </c>
      <c r="I2946" s="751"/>
      <c r="J2946" s="878"/>
      <c r="K2946" s="789">
        <f>('Parâmetros financeiros Despesa'!E1516)</f>
        <v>3174</v>
      </c>
      <c r="L2946" s="789">
        <f>('Parâmetros financeiros Despesa'!F1516*(1+'Parâmetros financeiros Despesa'!F$4)*(1+'Parâmetros financeiros Despesa'!F$7))</f>
        <v>3460.7121809999999</v>
      </c>
      <c r="M2946" s="799">
        <f t="shared" si="488"/>
        <v>1.3255483543656158E-3</v>
      </c>
      <c r="N2946" s="894"/>
      <c r="O2946" s="396"/>
      <c r="P2946" s="463"/>
      <c r="S2946" s="463"/>
      <c r="T2946" s="463"/>
      <c r="U2946" s="463"/>
    </row>
    <row r="2947" spans="1:21" s="115" customFormat="1" ht="15" customHeight="1" x14ac:dyDescent="0.25">
      <c r="B2947" s="877"/>
      <c r="C2947" s="877"/>
      <c r="D2947" s="880">
        <v>617100</v>
      </c>
      <c r="E2947" s="854">
        <v>333904700000000</v>
      </c>
      <c r="F2947" s="855" t="s">
        <v>9188</v>
      </c>
      <c r="G2947" s="468">
        <v>40</v>
      </c>
      <c r="H2947" s="468">
        <v>0</v>
      </c>
      <c r="I2947" s="751"/>
      <c r="J2947" s="878"/>
      <c r="K2947" s="789">
        <f>('Parâmetros financeiros Despesa'!E1517)</f>
        <v>0</v>
      </c>
      <c r="L2947" s="789">
        <f>('Parâmetros financeiros Despesa'!F1517*(1+'Parâmetros financeiros Despesa'!F$4)*(1+'Parâmetros financeiros Despesa'!F$7))</f>
        <v>109.03315000000001</v>
      </c>
      <c r="M2947" s="799">
        <f t="shared" si="488"/>
        <v>4.1762708077051546E-5</v>
      </c>
      <c r="N2947" s="894"/>
      <c r="O2947" s="396"/>
      <c r="P2947" s="463"/>
      <c r="S2947" s="463"/>
      <c r="T2947" s="463"/>
      <c r="U2947" s="463"/>
    </row>
    <row r="2948" spans="1:21" s="115" customFormat="1" ht="15" customHeight="1" x14ac:dyDescent="0.25">
      <c r="A2948" s="396"/>
      <c r="B2948" s="1398" t="s">
        <v>9190</v>
      </c>
      <c r="C2948" s="1398"/>
      <c r="D2948" s="1398"/>
      <c r="E2948" s="854">
        <v>333904900000000</v>
      </c>
      <c r="F2948" s="855" t="s">
        <v>8932</v>
      </c>
      <c r="G2948" s="468">
        <v>40</v>
      </c>
      <c r="H2948" s="468">
        <v>0</v>
      </c>
      <c r="I2948" s="751"/>
      <c r="J2948" s="878"/>
      <c r="K2948" s="789">
        <f>('Parâmetros financeiros Despesa'!E1518)</f>
        <v>926.16000000000008</v>
      </c>
      <c r="L2948" s="789">
        <f>('Parâmetros financeiros Despesa'!F1518)*2+(('Parâmetros financeiros Despesa'!F1518)*10)*(1+'Parâmetros financeiros Despesa'!F$4)*(1+'Parâmetros financeiros Despesa'!F$8)</f>
        <v>968.9805697145988</v>
      </c>
      <c r="M2948" s="799">
        <f t="shared" si="488"/>
        <v>3.7114632261221362E-4</v>
      </c>
      <c r="N2948" s="894"/>
      <c r="P2948" s="733"/>
    </row>
    <row r="2949" spans="1:21" s="115" customFormat="1" ht="15" customHeight="1" x14ac:dyDescent="0.25">
      <c r="A2949" s="396"/>
      <c r="B2949" s="1398" t="s">
        <v>9191</v>
      </c>
      <c r="C2949" s="1398"/>
      <c r="D2949" s="1398"/>
      <c r="E2949" s="854">
        <v>333909300000000</v>
      </c>
      <c r="F2949" s="855" t="s">
        <v>8933</v>
      </c>
      <c r="G2949" s="468">
        <v>40</v>
      </c>
      <c r="H2949" s="468">
        <v>0</v>
      </c>
      <c r="I2949" s="751"/>
      <c r="J2949" s="878"/>
      <c r="K2949" s="789">
        <f>('Parâmetros financeiros Despesa'!E1519)</f>
        <v>0</v>
      </c>
      <c r="L2949" s="789">
        <f>('Parâmetros financeiros Despesa'!F1519)*(1+'Parâmetros financeiros Despesa'!F$4)*(1+'Parâmetros financeiros Despesa'!F$7)</f>
        <v>545.16575</v>
      </c>
      <c r="M2949" s="799">
        <f t="shared" si="488"/>
        <v>2.0881354038525769E-4</v>
      </c>
      <c r="N2949" s="894"/>
      <c r="P2949" s="733"/>
    </row>
    <row r="2950" spans="1:21" s="115" customFormat="1" ht="15" customHeight="1" x14ac:dyDescent="0.25">
      <c r="A2950" s="396"/>
      <c r="B2950" s="877"/>
      <c r="C2950" s="877"/>
      <c r="D2950" s="877" t="s">
        <v>9192</v>
      </c>
      <c r="E2950" s="854">
        <v>333933000000000</v>
      </c>
      <c r="F2950" s="855" t="s">
        <v>9189</v>
      </c>
      <c r="G2950" s="468">
        <v>40</v>
      </c>
      <c r="H2950" s="468">
        <v>0</v>
      </c>
      <c r="I2950" s="751"/>
      <c r="J2950" s="878"/>
      <c r="K2950" s="789">
        <f>('Parâmetros financeiros Despesa'!E1520)</f>
        <v>0</v>
      </c>
      <c r="L2950" s="789">
        <f>('Parâmetros financeiros Despesa'!F1520)*(1+'Parâmetros financeiros Despesa'!F$4)*(1+'Parâmetros financeiros Despesa'!F$7)</f>
        <v>545.16575</v>
      </c>
      <c r="M2950" s="799">
        <f t="shared" si="488"/>
        <v>2.0881354038525769E-4</v>
      </c>
      <c r="N2950" s="894"/>
      <c r="P2950" s="733"/>
    </row>
    <row r="2951" spans="1:21" s="115" customFormat="1" ht="15" customHeight="1" x14ac:dyDescent="0.25">
      <c r="A2951" s="396"/>
      <c r="B2951" s="1398" t="s">
        <v>9193</v>
      </c>
      <c r="C2951" s="1398"/>
      <c r="D2951" s="1398"/>
      <c r="E2951" s="854">
        <v>344905100000000</v>
      </c>
      <c r="F2951" s="855" t="s">
        <v>8941</v>
      </c>
      <c r="G2951" s="468">
        <v>40</v>
      </c>
      <c r="H2951" s="468">
        <v>0</v>
      </c>
      <c r="I2951" s="751"/>
      <c r="J2951" s="878"/>
      <c r="K2951" s="789">
        <f>('Parâmetros financeiros Despesa'!E1521)</f>
        <v>0</v>
      </c>
      <c r="L2951" s="789">
        <f>('Parâmetros financeiros Despesa'!F1521)*(1+'Parâmetros financeiros Despesa'!F$4)*(1+'Parâmetros financeiros Despesa'!F$7)</f>
        <v>545.16575</v>
      </c>
      <c r="M2951" s="799">
        <f t="shared" si="488"/>
        <v>2.0881354038525769E-4</v>
      </c>
      <c r="N2951" s="894"/>
      <c r="P2951" s="733"/>
    </row>
    <row r="2952" spans="1:21" s="115" customFormat="1" ht="15" customHeight="1" x14ac:dyDescent="0.25">
      <c r="A2952" s="396"/>
      <c r="B2952" s="1398" t="s">
        <v>9194</v>
      </c>
      <c r="C2952" s="1398"/>
      <c r="D2952" s="1398"/>
      <c r="E2952" s="854">
        <v>344905200000000</v>
      </c>
      <c r="F2952" s="855" t="s">
        <v>8944</v>
      </c>
      <c r="G2952" s="468">
        <v>40</v>
      </c>
      <c r="H2952" s="468">
        <v>0</v>
      </c>
      <c r="I2952" s="751"/>
      <c r="J2952" s="878"/>
      <c r="K2952" s="789">
        <f>('Parâmetros financeiros Despesa'!E1522)</f>
        <v>0</v>
      </c>
      <c r="L2952" s="789">
        <f>('Parâmetros financeiros Despesa'!F1522)*(1+'Parâmetros financeiros Despesa'!F$4)*(1+'Parâmetros financeiros Despesa'!F$7)</f>
        <v>545.16575</v>
      </c>
      <c r="M2952" s="799">
        <f t="shared" si="488"/>
        <v>2.0881354038525769E-4</v>
      </c>
      <c r="N2952" s="894"/>
      <c r="P2952" s="733"/>
    </row>
    <row r="2953" spans="1:21" s="774" customFormat="1" ht="15" customHeight="1" x14ac:dyDescent="0.25">
      <c r="A2953" s="397"/>
      <c r="B2953" s="1382" t="s">
        <v>8699</v>
      </c>
      <c r="C2953" s="1382"/>
      <c r="D2953" s="1382"/>
      <c r="E2953" s="1382"/>
      <c r="F2953" s="1382"/>
      <c r="G2953" s="405"/>
      <c r="H2953" s="405"/>
      <c r="I2953" s="428"/>
      <c r="J2953" s="413"/>
      <c r="K2953" s="406">
        <f>K2954</f>
        <v>34414.47</v>
      </c>
      <c r="L2953" s="406">
        <f>L2954</f>
        <v>37523.180696805</v>
      </c>
      <c r="M2953" s="453">
        <f t="shared" ref="M2953:M2963" si="489">L2953/L$3225</f>
        <v>1.4372414642364479E-2</v>
      </c>
      <c r="N2953" s="796"/>
      <c r="P2953" s="399"/>
    </row>
    <row r="2954" spans="1:21" s="774" customFormat="1" ht="15" customHeight="1" x14ac:dyDescent="0.25">
      <c r="A2954" s="397"/>
      <c r="B2954" s="1383" t="s">
        <v>8812</v>
      </c>
      <c r="C2954" s="1383"/>
      <c r="D2954" s="1383"/>
      <c r="E2954" s="1383"/>
      <c r="F2954" s="1383"/>
      <c r="G2954" s="407"/>
      <c r="H2954" s="407"/>
      <c r="I2954" s="429"/>
      <c r="J2954" s="414"/>
      <c r="K2954" s="408">
        <f>K2956</f>
        <v>34414.47</v>
      </c>
      <c r="L2954" s="408">
        <f>L2956</f>
        <v>37523.180696805</v>
      </c>
      <c r="M2954" s="454">
        <f t="shared" si="489"/>
        <v>1.4372414642364479E-2</v>
      </c>
      <c r="N2954" s="796"/>
      <c r="P2954" s="399"/>
    </row>
    <row r="2955" spans="1:21" s="774" customFormat="1" ht="15" customHeight="1" x14ac:dyDescent="0.25">
      <c r="A2955" s="397"/>
      <c r="B2955" s="1385" t="s">
        <v>8698</v>
      </c>
      <c r="C2955" s="1385"/>
      <c r="D2955" s="1385"/>
      <c r="E2955" s="1385"/>
      <c r="F2955" s="1385"/>
      <c r="G2955" s="401"/>
      <c r="H2955" s="401"/>
      <c r="I2955" s="426"/>
      <c r="J2955" s="411"/>
      <c r="K2955" s="402">
        <f>K2956</f>
        <v>34414.47</v>
      </c>
      <c r="L2955" s="402">
        <f>L2956</f>
        <v>37523.180696805</v>
      </c>
      <c r="M2955" s="451">
        <f t="shared" si="489"/>
        <v>1.4372414642364479E-2</v>
      </c>
      <c r="N2955" s="796"/>
      <c r="P2955" s="399"/>
    </row>
    <row r="2956" spans="1:21" s="774" customFormat="1" ht="15" customHeight="1" x14ac:dyDescent="0.25">
      <c r="A2956" s="397"/>
      <c r="B2956" s="1386" t="s">
        <v>8704</v>
      </c>
      <c r="C2956" s="1386"/>
      <c r="D2956" s="1386"/>
      <c r="E2956" s="1386"/>
      <c r="F2956" s="1386"/>
      <c r="G2956" s="403"/>
      <c r="H2956" s="403"/>
      <c r="I2956" s="427"/>
      <c r="J2956" s="412"/>
      <c r="K2956" s="404">
        <f>K2957+K2958</f>
        <v>34414.47</v>
      </c>
      <c r="L2956" s="404">
        <f>L2957+L2958</f>
        <v>37523.180696805</v>
      </c>
      <c r="M2956" s="452">
        <f t="shared" si="489"/>
        <v>1.4372414642364479E-2</v>
      </c>
      <c r="N2956" s="796"/>
      <c r="P2956" s="399"/>
    </row>
    <row r="2957" spans="1:21" s="115" customFormat="1" ht="15" customHeight="1" x14ac:dyDescent="0.25">
      <c r="A2957" s="396"/>
      <c r="B2957" s="1398" t="s">
        <v>9195</v>
      </c>
      <c r="C2957" s="1398"/>
      <c r="D2957" s="1398"/>
      <c r="E2957" s="854">
        <v>333933000000000</v>
      </c>
      <c r="F2957" s="855" t="s">
        <v>8947</v>
      </c>
      <c r="G2957" s="468">
        <v>40</v>
      </c>
      <c r="H2957" s="468">
        <v>0</v>
      </c>
      <c r="I2957" s="751"/>
      <c r="J2957" s="878"/>
      <c r="K2957" s="789">
        <f>('Parâmetros financeiros Despesa'!E1524)</f>
        <v>28127.46</v>
      </c>
      <c r="L2957" s="789">
        <f>('Parâmetros financeiros Despesa'!F1524)*(1+'Parâmetros financeiros Despesa'!F$4)*(1+'Parâmetros financeiros Despesa'!F$7)</f>
        <v>30668.255652989999</v>
      </c>
      <c r="M2957" s="799">
        <f t="shared" si="489"/>
        <v>1.1746789009289441E-2</v>
      </c>
      <c r="N2957" s="894"/>
      <c r="P2957" s="733"/>
    </row>
    <row r="2958" spans="1:21" s="115" customFormat="1" ht="15" customHeight="1" x14ac:dyDescent="0.25">
      <c r="A2958" s="396"/>
      <c r="B2958" s="1398" t="s">
        <v>9196</v>
      </c>
      <c r="C2958" s="1398"/>
      <c r="D2958" s="1398"/>
      <c r="E2958" s="854">
        <v>333933900000000</v>
      </c>
      <c r="F2958" s="855" t="s">
        <v>8948</v>
      </c>
      <c r="G2958" s="468">
        <v>40</v>
      </c>
      <c r="H2958" s="468">
        <v>0</v>
      </c>
      <c r="I2958" s="751"/>
      <c r="J2958" s="878"/>
      <c r="K2958" s="789">
        <f>('Parâmetros financeiros Despesa'!E1525)</f>
        <v>6287.01</v>
      </c>
      <c r="L2958" s="789">
        <f>('Parâmetros financeiros Despesa'!F1525)*(1+'Parâmetros financeiros Despesa'!F$4)*(1+'Parâmetros financeiros Despesa'!F$7)</f>
        <v>6854.9250438150002</v>
      </c>
      <c r="M2958" s="799">
        <f t="shared" si="489"/>
        <v>2.6256256330750381E-3</v>
      </c>
      <c r="N2958" s="894"/>
      <c r="P2958" s="733"/>
    </row>
    <row r="2959" spans="1:21" s="775" customFormat="1" ht="15" customHeight="1" x14ac:dyDescent="0.25">
      <c r="A2959" s="397"/>
      <c r="B2959" s="1382" t="s">
        <v>8699</v>
      </c>
      <c r="C2959" s="1382"/>
      <c r="D2959" s="1382"/>
      <c r="E2959" s="1382"/>
      <c r="F2959" s="1382"/>
      <c r="G2959" s="405"/>
      <c r="H2959" s="405"/>
      <c r="I2959" s="428"/>
      <c r="J2959" s="413"/>
      <c r="K2959" s="406">
        <f>K2960</f>
        <v>0</v>
      </c>
      <c r="L2959" s="406">
        <f>L2960</f>
        <v>6542.0390000000007</v>
      </c>
      <c r="M2959" s="453">
        <f t="shared" si="489"/>
        <v>2.5057816360041529E-3</v>
      </c>
      <c r="N2959" s="796"/>
      <c r="P2959" s="399"/>
    </row>
    <row r="2960" spans="1:21" s="775" customFormat="1" ht="15" customHeight="1" x14ac:dyDescent="0.25">
      <c r="A2960" s="397"/>
      <c r="B2960" s="1383" t="s">
        <v>8812</v>
      </c>
      <c r="C2960" s="1383"/>
      <c r="D2960" s="1383"/>
      <c r="E2960" s="1383"/>
      <c r="F2960" s="1383"/>
      <c r="G2960" s="407"/>
      <c r="H2960" s="407"/>
      <c r="I2960" s="429"/>
      <c r="J2960" s="414"/>
      <c r="K2960" s="408">
        <f>K2962</f>
        <v>0</v>
      </c>
      <c r="L2960" s="408">
        <f>L2962</f>
        <v>6542.0390000000007</v>
      </c>
      <c r="M2960" s="454">
        <f t="shared" si="489"/>
        <v>2.5057816360041529E-3</v>
      </c>
      <c r="N2960" s="796"/>
      <c r="P2960" s="399"/>
    </row>
    <row r="2961" spans="1:16" s="775" customFormat="1" ht="15" customHeight="1" x14ac:dyDescent="0.25">
      <c r="A2961" s="397"/>
      <c r="B2961" s="1385" t="s">
        <v>8698</v>
      </c>
      <c r="C2961" s="1385"/>
      <c r="D2961" s="1385"/>
      <c r="E2961" s="1385"/>
      <c r="F2961" s="1385"/>
      <c r="G2961" s="401"/>
      <c r="H2961" s="401"/>
      <c r="I2961" s="426"/>
      <c r="J2961" s="411"/>
      <c r="K2961" s="402">
        <f>K2962</f>
        <v>0</v>
      </c>
      <c r="L2961" s="402">
        <f>L2962</f>
        <v>6542.0390000000007</v>
      </c>
      <c r="M2961" s="451">
        <f t="shared" si="489"/>
        <v>2.5057816360041529E-3</v>
      </c>
      <c r="N2961" s="796"/>
      <c r="P2961" s="399"/>
    </row>
    <row r="2962" spans="1:16" s="775" customFormat="1" ht="15" customHeight="1" x14ac:dyDescent="0.25">
      <c r="A2962" s="397"/>
      <c r="B2962" s="1386" t="s">
        <v>9325</v>
      </c>
      <c r="C2962" s="1386"/>
      <c r="D2962" s="1386"/>
      <c r="E2962" s="1386"/>
      <c r="F2962" s="1386"/>
      <c r="G2962" s="403"/>
      <c r="H2962" s="403"/>
      <c r="I2962" s="427"/>
      <c r="J2962" s="412"/>
      <c r="K2962" s="404">
        <f>SUM(K2963:K2974)</f>
        <v>0</v>
      </c>
      <c r="L2962" s="404">
        <f>SUM(L2963:L2974)+0.05</f>
        <v>6542.0390000000007</v>
      </c>
      <c r="M2962" s="452">
        <f t="shared" si="489"/>
        <v>2.5057816360041529E-3</v>
      </c>
      <c r="N2962" s="796"/>
      <c r="P2962" s="399"/>
    </row>
    <row r="2963" spans="1:16" s="115" customFormat="1" ht="15" customHeight="1" x14ac:dyDescent="0.25">
      <c r="A2963" s="396"/>
      <c r="B2963" s="1398" t="s">
        <v>9327</v>
      </c>
      <c r="C2963" s="1398"/>
      <c r="D2963" s="1398"/>
      <c r="E2963" s="854">
        <v>333933000000000</v>
      </c>
      <c r="F2963" s="855" t="s">
        <v>9326</v>
      </c>
      <c r="G2963" s="468">
        <v>40</v>
      </c>
      <c r="H2963" s="468">
        <v>0</v>
      </c>
      <c r="I2963" s="751"/>
      <c r="J2963" s="878"/>
      <c r="K2963" s="789">
        <f>('Parâmetros financeiros Despesa'!E1527)</f>
        <v>0</v>
      </c>
      <c r="L2963" s="789">
        <f>('Parâmetros financeiros Despesa'!F1527)*(1+'Parâmetros financeiros Despesa'!F$4)*(1+'Parâmetros financeiros Despesa'!F$7)</f>
        <v>545.16575</v>
      </c>
      <c r="M2963" s="799">
        <f t="shared" si="489"/>
        <v>2.0881354038525769E-4</v>
      </c>
      <c r="N2963" s="894"/>
      <c r="P2963" s="733"/>
    </row>
    <row r="2964" spans="1:16" s="115" customFormat="1" ht="15" customHeight="1" x14ac:dyDescent="0.25">
      <c r="A2964" s="396"/>
      <c r="B2964" s="877"/>
      <c r="C2964" s="877"/>
      <c r="D2964" s="877" t="s">
        <v>9334</v>
      </c>
      <c r="E2964" s="854">
        <v>333933000000000</v>
      </c>
      <c r="F2964" s="855" t="s">
        <v>9329</v>
      </c>
      <c r="G2964" s="468">
        <v>40</v>
      </c>
      <c r="H2964" s="468">
        <v>0</v>
      </c>
      <c r="I2964" s="751"/>
      <c r="J2964" s="878"/>
      <c r="K2964" s="789">
        <f>('Parâmetros financeiros Despesa'!E1528)</f>
        <v>0</v>
      </c>
      <c r="L2964" s="789">
        <f>('Parâmetros financeiros Despesa'!F1528)*(1+'Parâmetros financeiros Despesa'!F$4)*(1+'Parâmetros financeiros Despesa'!F$7)</f>
        <v>545.16575</v>
      </c>
      <c r="M2964" s="799">
        <f t="shared" ref="M2964:M2974" si="490">L2964/L$3225</f>
        <v>2.0881354038525769E-4</v>
      </c>
      <c r="N2964" s="894"/>
      <c r="P2964" s="733"/>
    </row>
    <row r="2965" spans="1:16" s="115" customFormat="1" ht="15" customHeight="1" x14ac:dyDescent="0.25">
      <c r="A2965" s="396"/>
      <c r="B2965" s="1398" t="s">
        <v>9335</v>
      </c>
      <c r="C2965" s="1398"/>
      <c r="D2965" s="1398"/>
      <c r="E2965" s="854">
        <v>333903200000000</v>
      </c>
      <c r="F2965" s="855" t="s">
        <v>9331</v>
      </c>
      <c r="G2965" s="468">
        <v>40</v>
      </c>
      <c r="H2965" s="468">
        <v>0</v>
      </c>
      <c r="I2965" s="751"/>
      <c r="J2965" s="878"/>
      <c r="K2965" s="789">
        <f>('Parâmetros financeiros Despesa'!E1529)</f>
        <v>0</v>
      </c>
      <c r="L2965" s="789">
        <f>('Parâmetros financeiros Despesa'!F1529)*(1+'Parâmetros financeiros Despesa'!F$4)*(1+'Parâmetros financeiros Despesa'!F$7)</f>
        <v>545.16575</v>
      </c>
      <c r="M2965" s="799">
        <f t="shared" si="490"/>
        <v>2.0881354038525769E-4</v>
      </c>
      <c r="N2965" s="894"/>
      <c r="P2965" s="733"/>
    </row>
    <row r="2966" spans="1:16" s="115" customFormat="1" ht="15" customHeight="1" x14ac:dyDescent="0.25">
      <c r="A2966" s="396"/>
      <c r="B2966" s="877"/>
      <c r="C2966" s="877"/>
      <c r="D2966" s="877" t="s">
        <v>9336</v>
      </c>
      <c r="E2966" s="854">
        <v>333903200000000</v>
      </c>
      <c r="F2966" s="855" t="s">
        <v>9330</v>
      </c>
      <c r="G2966" s="468">
        <v>40</v>
      </c>
      <c r="H2966" s="468">
        <v>0</v>
      </c>
      <c r="I2966" s="751"/>
      <c r="J2966" s="878"/>
      <c r="K2966" s="789">
        <f>('Parâmetros financeiros Despesa'!E1530)</f>
        <v>0</v>
      </c>
      <c r="L2966" s="789">
        <f>('Parâmetros financeiros Despesa'!F1530)*(1+'Parâmetros financeiros Despesa'!F$4)*(1+'Parâmetros financeiros Despesa'!F$7)</f>
        <v>545.16575</v>
      </c>
      <c r="M2966" s="799">
        <f t="shared" si="490"/>
        <v>2.0881354038525769E-4</v>
      </c>
      <c r="N2966" s="894"/>
      <c r="P2966" s="733"/>
    </row>
    <row r="2967" spans="1:16" s="115" customFormat="1" ht="15" customHeight="1" x14ac:dyDescent="0.25">
      <c r="A2967" s="396"/>
      <c r="B2967" s="1398" t="s">
        <v>9337</v>
      </c>
      <c r="C2967" s="1398"/>
      <c r="D2967" s="1398"/>
      <c r="E2967" s="854">
        <v>333903600000000</v>
      </c>
      <c r="F2967" s="855" t="s">
        <v>9332</v>
      </c>
      <c r="G2967" s="468">
        <v>40</v>
      </c>
      <c r="H2967" s="468">
        <v>0</v>
      </c>
      <c r="I2967" s="751"/>
      <c r="J2967" s="878"/>
      <c r="K2967" s="789">
        <f>('Parâmetros financeiros Despesa'!E1531)</f>
        <v>0</v>
      </c>
      <c r="L2967" s="789">
        <f>('Parâmetros financeiros Despesa'!F1531)*(1+'Parâmetros financeiros Despesa'!F$4)*(1+'Parâmetros financeiros Despesa'!F$7)</f>
        <v>545.16575</v>
      </c>
      <c r="M2967" s="799">
        <f t="shared" si="490"/>
        <v>2.0881354038525769E-4</v>
      </c>
      <c r="N2967" s="894"/>
      <c r="P2967" s="733"/>
    </row>
    <row r="2968" spans="1:16" s="115" customFormat="1" ht="15" customHeight="1" x14ac:dyDescent="0.25">
      <c r="A2968" s="396"/>
      <c r="B2968" s="1398" t="s">
        <v>9338</v>
      </c>
      <c r="C2968" s="1398"/>
      <c r="D2968" s="1398"/>
      <c r="E2968" s="854">
        <v>333903600000000</v>
      </c>
      <c r="F2968" s="855" t="s">
        <v>9333</v>
      </c>
      <c r="G2968" s="468">
        <v>40</v>
      </c>
      <c r="H2968" s="468">
        <v>0</v>
      </c>
      <c r="I2968" s="751"/>
      <c r="J2968" s="878"/>
      <c r="K2968" s="789">
        <f>('Parâmetros financeiros Despesa'!E1532)</f>
        <v>0</v>
      </c>
      <c r="L2968" s="789">
        <f>('Parâmetros financeiros Despesa'!F1532)*(1+'Parâmetros financeiros Despesa'!F$4)*(1+'Parâmetros financeiros Despesa'!F$7)</f>
        <v>545.16575</v>
      </c>
      <c r="M2968" s="799">
        <f t="shared" si="490"/>
        <v>2.0881354038525769E-4</v>
      </c>
      <c r="N2968" s="894"/>
      <c r="P2968" s="733"/>
    </row>
    <row r="2969" spans="1:16" s="115" customFormat="1" ht="15" customHeight="1" x14ac:dyDescent="0.25">
      <c r="A2969" s="396"/>
      <c r="B2969" s="1398" t="s">
        <v>9328</v>
      </c>
      <c r="C2969" s="1398"/>
      <c r="D2969" s="1398"/>
      <c r="E2969" s="854">
        <v>333903900000000</v>
      </c>
      <c r="F2969" s="855" t="s">
        <v>9340</v>
      </c>
      <c r="G2969" s="468">
        <v>40</v>
      </c>
      <c r="H2969" s="468">
        <v>0</v>
      </c>
      <c r="I2969" s="751"/>
      <c r="J2969" s="878"/>
      <c r="K2969" s="789">
        <f>('Parâmetros financeiros Despesa'!E1533)</f>
        <v>0</v>
      </c>
      <c r="L2969" s="789">
        <f>('Parâmetros financeiros Despesa'!F1533)*(1+'Parâmetros financeiros Despesa'!F$4)*(1+'Parâmetros financeiros Despesa'!F$7)</f>
        <v>545.16575</v>
      </c>
      <c r="M2969" s="799">
        <f t="shared" si="490"/>
        <v>2.0881354038525769E-4</v>
      </c>
      <c r="N2969" s="894"/>
      <c r="P2969" s="733"/>
    </row>
    <row r="2970" spans="1:16" s="115" customFormat="1" ht="15" customHeight="1" x14ac:dyDescent="0.25">
      <c r="A2970" s="396"/>
      <c r="B2970" s="1398" t="s">
        <v>9339</v>
      </c>
      <c r="C2970" s="1398"/>
      <c r="D2970" s="1398"/>
      <c r="E2970" s="854">
        <v>333903900000000</v>
      </c>
      <c r="F2970" s="855" t="s">
        <v>9341</v>
      </c>
      <c r="G2970" s="468">
        <v>40</v>
      </c>
      <c r="H2970" s="468">
        <v>0</v>
      </c>
      <c r="I2970" s="751"/>
      <c r="J2970" s="878"/>
      <c r="K2970" s="789">
        <f>('Parâmetros financeiros Despesa'!E1534)</f>
        <v>0</v>
      </c>
      <c r="L2970" s="789">
        <f>('Parâmetros financeiros Despesa'!F1534)*(1+'Parâmetros financeiros Despesa'!F$4)*(1+'Parâmetros financeiros Despesa'!F$7)</f>
        <v>545.16575</v>
      </c>
      <c r="M2970" s="799">
        <f t="shared" si="490"/>
        <v>2.0881354038525769E-4</v>
      </c>
      <c r="N2970" s="894"/>
      <c r="P2970" s="733"/>
    </row>
    <row r="2971" spans="1:16" s="115" customFormat="1" ht="15" customHeight="1" x14ac:dyDescent="0.25">
      <c r="A2971" s="396"/>
      <c r="B2971" s="1398" t="s">
        <v>9346</v>
      </c>
      <c r="C2971" s="1398"/>
      <c r="D2971" s="1398"/>
      <c r="E2971" s="854">
        <v>333904700000000</v>
      </c>
      <c r="F2971" s="855" t="s">
        <v>9342</v>
      </c>
      <c r="G2971" s="468">
        <v>40</v>
      </c>
      <c r="H2971" s="468">
        <v>0</v>
      </c>
      <c r="I2971" s="751"/>
      <c r="J2971" s="878"/>
      <c r="K2971" s="789">
        <f>('Parâmetros financeiros Despesa'!E1535)</f>
        <v>0</v>
      </c>
      <c r="L2971" s="789">
        <f>('Parâmetros financeiros Despesa'!F1535)*(1+'Parâmetros financeiros Despesa'!F$4)*(1+'Parâmetros financeiros Despesa'!F$7)</f>
        <v>545.16575</v>
      </c>
      <c r="M2971" s="799">
        <f t="shared" si="490"/>
        <v>2.0881354038525769E-4</v>
      </c>
      <c r="N2971" s="894"/>
      <c r="P2971" s="733"/>
    </row>
    <row r="2972" spans="1:16" s="115" customFormat="1" ht="15" customHeight="1" x14ac:dyDescent="0.25">
      <c r="A2972" s="396"/>
      <c r="B2972" s="1398" t="s">
        <v>9354</v>
      </c>
      <c r="C2972" s="1398"/>
      <c r="D2972" s="1398"/>
      <c r="E2972" s="854">
        <v>333904700000000</v>
      </c>
      <c r="F2972" s="855" t="s">
        <v>9343</v>
      </c>
      <c r="G2972" s="468">
        <v>40</v>
      </c>
      <c r="H2972" s="468">
        <v>0</v>
      </c>
      <c r="I2972" s="751"/>
      <c r="J2972" s="878"/>
      <c r="K2972" s="789">
        <f>('Parâmetros financeiros Despesa'!E1536)</f>
        <v>0</v>
      </c>
      <c r="L2972" s="789">
        <f>('Parâmetros financeiros Despesa'!F1536)*(1+'Parâmetros financeiros Despesa'!F$4)*(1+'Parâmetros financeiros Despesa'!F$7)</f>
        <v>545.16575</v>
      </c>
      <c r="M2972" s="799">
        <f t="shared" si="490"/>
        <v>2.0881354038525769E-4</v>
      </c>
      <c r="N2972" s="894"/>
      <c r="P2972" s="733"/>
    </row>
    <row r="2973" spans="1:16" s="115" customFormat="1" ht="15" customHeight="1" x14ac:dyDescent="0.25">
      <c r="A2973" s="396"/>
      <c r="B2973" s="1398" t="s">
        <v>9355</v>
      </c>
      <c r="C2973" s="1398"/>
      <c r="D2973" s="1398"/>
      <c r="E2973" s="854">
        <v>344905200000000</v>
      </c>
      <c r="F2973" s="855" t="s">
        <v>9345</v>
      </c>
      <c r="G2973" s="468">
        <v>40</v>
      </c>
      <c r="H2973" s="468">
        <v>0</v>
      </c>
      <c r="I2973" s="751"/>
      <c r="J2973" s="878"/>
      <c r="K2973" s="789">
        <f>('Parâmetros financeiros Despesa'!E1537)</f>
        <v>0</v>
      </c>
      <c r="L2973" s="789">
        <f>('Parâmetros financeiros Despesa'!F1537)*(1+'Parâmetros financeiros Despesa'!F$4)*(1+'Parâmetros financeiros Despesa'!F$7)</f>
        <v>545.16575</v>
      </c>
      <c r="M2973" s="799">
        <f t="shared" si="490"/>
        <v>2.0881354038525769E-4</v>
      </c>
      <c r="N2973" s="894"/>
      <c r="P2973" s="733"/>
    </row>
    <row r="2974" spans="1:16" s="115" customFormat="1" ht="15" customHeight="1" x14ac:dyDescent="0.25">
      <c r="A2974" s="396"/>
      <c r="B2974" s="1398" t="s">
        <v>9356</v>
      </c>
      <c r="C2974" s="1398"/>
      <c r="D2974" s="1398"/>
      <c r="E2974" s="854">
        <v>344905200000000</v>
      </c>
      <c r="F2974" s="855" t="s">
        <v>9344</v>
      </c>
      <c r="G2974" s="468">
        <v>40</v>
      </c>
      <c r="H2974" s="468">
        <v>0</v>
      </c>
      <c r="I2974" s="751"/>
      <c r="J2974" s="878"/>
      <c r="K2974" s="789">
        <f>('Parâmetros financeiros Despesa'!E1538)</f>
        <v>0</v>
      </c>
      <c r="L2974" s="789">
        <f>('Parâmetros financeiros Despesa'!F1538)*(1+'Parâmetros financeiros Despesa'!F$4)*(1+'Parâmetros financeiros Despesa'!F$7)</f>
        <v>545.16575</v>
      </c>
      <c r="M2974" s="799">
        <f t="shared" si="490"/>
        <v>2.0881354038525769E-4</v>
      </c>
      <c r="N2974" s="894"/>
      <c r="P2974" s="733"/>
    </row>
    <row r="2975" spans="1:16" s="774" customFormat="1" ht="15" customHeight="1" x14ac:dyDescent="0.25">
      <c r="A2975" s="397"/>
      <c r="B2975" s="1382" t="s">
        <v>8699</v>
      </c>
      <c r="C2975" s="1382"/>
      <c r="D2975" s="1382"/>
      <c r="E2975" s="1382"/>
      <c r="F2975" s="1382"/>
      <c r="G2975" s="405"/>
      <c r="H2975" s="405"/>
      <c r="I2975" s="428"/>
      <c r="J2975" s="413"/>
      <c r="K2975" s="406">
        <f t="shared" ref="K2975:L2977" si="491">K2976</f>
        <v>25929.01</v>
      </c>
      <c r="L2975" s="406">
        <f t="shared" si="491"/>
        <v>44460.990500048705</v>
      </c>
      <c r="M2975" s="453">
        <f>L2975/L$3225</f>
        <v>1.7029787427677693E-2</v>
      </c>
      <c r="N2975" s="796"/>
      <c r="P2975" s="399"/>
    </row>
    <row r="2976" spans="1:16" s="774" customFormat="1" ht="15" customHeight="1" x14ac:dyDescent="0.25">
      <c r="A2976" s="397"/>
      <c r="B2976" s="1383" t="s">
        <v>8812</v>
      </c>
      <c r="C2976" s="1383"/>
      <c r="D2976" s="1383"/>
      <c r="E2976" s="1383"/>
      <c r="F2976" s="1383"/>
      <c r="G2976" s="407"/>
      <c r="H2976" s="407"/>
      <c r="I2976" s="429"/>
      <c r="J2976" s="414"/>
      <c r="K2976" s="408">
        <f t="shared" si="491"/>
        <v>25929.01</v>
      </c>
      <c r="L2976" s="408">
        <f t="shared" si="491"/>
        <v>44460.990500048705</v>
      </c>
      <c r="M2976" s="454">
        <f>L2976/L$3225</f>
        <v>1.7029787427677693E-2</v>
      </c>
      <c r="N2976" s="796"/>
      <c r="P2976" s="399"/>
    </row>
    <row r="2977" spans="1:21" s="774" customFormat="1" ht="15" customHeight="1" x14ac:dyDescent="0.25">
      <c r="A2977" s="397"/>
      <c r="B2977" s="1385" t="s">
        <v>8698</v>
      </c>
      <c r="C2977" s="1385"/>
      <c r="D2977" s="1385"/>
      <c r="E2977" s="1385"/>
      <c r="F2977" s="1385"/>
      <c r="G2977" s="401"/>
      <c r="H2977" s="401"/>
      <c r="I2977" s="426"/>
      <c r="J2977" s="411"/>
      <c r="K2977" s="402">
        <f t="shared" si="491"/>
        <v>25929.01</v>
      </c>
      <c r="L2977" s="402">
        <f t="shared" si="491"/>
        <v>44460.990500048705</v>
      </c>
      <c r="M2977" s="451">
        <f>L2977/L$3225</f>
        <v>1.7029787427677693E-2</v>
      </c>
      <c r="N2977" s="796"/>
      <c r="P2977" s="399"/>
    </row>
    <row r="2978" spans="1:21" s="774" customFormat="1" ht="15" customHeight="1" x14ac:dyDescent="0.25">
      <c r="A2978" s="397"/>
      <c r="B2978" s="1386" t="s">
        <v>8949</v>
      </c>
      <c r="C2978" s="1386"/>
      <c r="D2978" s="1386"/>
      <c r="E2978" s="1386"/>
      <c r="F2978" s="1386"/>
      <c r="G2978" s="403"/>
      <c r="H2978" s="403"/>
      <c r="I2978" s="427"/>
      <c r="J2978" s="412"/>
      <c r="K2978" s="404">
        <f>SUM(K2979:K2996)+0.01</f>
        <v>25929.01</v>
      </c>
      <c r="L2978" s="404">
        <f>SUM(L2979:L2996)+0.04</f>
        <v>44460.990500048705</v>
      </c>
      <c r="M2978" s="452">
        <f>L2978/L$3225</f>
        <v>1.7029787427677693E-2</v>
      </c>
      <c r="N2978" s="796"/>
      <c r="P2978" s="399"/>
    </row>
    <row r="2979" spans="1:21" s="115" customFormat="1" ht="15" customHeight="1" x14ac:dyDescent="0.25">
      <c r="A2979" s="396"/>
      <c r="B2979" s="1398" t="s">
        <v>9197</v>
      </c>
      <c r="C2979" s="1398"/>
      <c r="D2979" s="1398"/>
      <c r="E2979" s="854">
        <v>331900400000000</v>
      </c>
      <c r="F2979" s="855" t="s">
        <v>8951</v>
      </c>
      <c r="G2979" s="468">
        <v>40</v>
      </c>
      <c r="H2979" s="468">
        <v>0</v>
      </c>
      <c r="I2979" s="751"/>
      <c r="J2979" s="878"/>
      <c r="K2979" s="789">
        <f>(('Parâmetros financeiros Despesa'!E1540))</f>
        <v>0</v>
      </c>
      <c r="L2979" s="789">
        <f>(('Parâmetros financeiros Despesa'!F1540)*2.05+(('Parâmetros financeiros Despesa'!F1540)*11.28)*(1+'Parâmetros financeiros Despesa'!F$4)*(1+'Parâmetros financeiros Despesa'!F$8))*(1+'Parâmetros financeiros Despesa'!F$80)</f>
        <v>17.278630081629636</v>
      </c>
      <c r="M2979" s="799">
        <f>L2979/L$3225</f>
        <v>6.6181925778578327E-6</v>
      </c>
      <c r="N2979" s="894"/>
      <c r="P2979" s="733"/>
    </row>
    <row r="2980" spans="1:21" s="115" customFormat="1" ht="15" customHeight="1" x14ac:dyDescent="0.25">
      <c r="A2980" s="396"/>
      <c r="B2980" s="973"/>
      <c r="C2980" s="973"/>
      <c r="D2980" s="973" t="s">
        <v>11565</v>
      </c>
      <c r="E2980" s="854">
        <v>331900800000000</v>
      </c>
      <c r="F2980" s="855" t="s">
        <v>11600</v>
      </c>
      <c r="G2980" s="468">
        <v>1</v>
      </c>
      <c r="H2980" s="468">
        <v>0</v>
      </c>
      <c r="I2980" s="751"/>
      <c r="J2980" s="878"/>
      <c r="K2980" s="789">
        <f>(('Parâmetros financeiros Despesa'!E1541))</f>
        <v>0</v>
      </c>
      <c r="L2980" s="789">
        <f>(('Parâmetros financeiros Despesa'!F1541)*2.05+(('Parâmetros financeiros Despesa'!F1541)*11.28)*(1+'Parâmetros financeiros Despesa'!F$4)*(1+'Parâmetros financeiros Despesa'!F$8))</f>
        <v>13.955830560223728</v>
      </c>
      <c r="M2980" s="799">
        <f t="shared" ref="M2980:M2996" si="492">L2980/L$3225</f>
        <v>5.3454685814306766E-6</v>
      </c>
      <c r="N2980" s="894"/>
      <c r="P2980" s="733"/>
    </row>
    <row r="2981" spans="1:21" s="115" customFormat="1" ht="15" customHeight="1" x14ac:dyDescent="0.25">
      <c r="A2981" s="396"/>
      <c r="B2981" s="1398" t="s">
        <v>9198</v>
      </c>
      <c r="C2981" s="1398"/>
      <c r="D2981" s="1398"/>
      <c r="E2981" s="854">
        <v>331901100000000</v>
      </c>
      <c r="F2981" s="855" t="s">
        <v>8952</v>
      </c>
      <c r="G2981" s="468">
        <v>40</v>
      </c>
      <c r="H2981" s="468">
        <v>0</v>
      </c>
      <c r="I2981" s="751"/>
      <c r="J2981" s="878"/>
      <c r="K2981" s="789">
        <f>(('Parâmetros financeiros Despesa'!E1542))</f>
        <v>0</v>
      </c>
      <c r="L2981" s="789">
        <f>('Parâmetros financeiros Despesa'!F1542)*2.05+(('Parâmetros financeiros Despesa'!F11538)*11.28)*(1+'Parâmetros financeiros Despesa'!F$4)*(1+'Parâmetros financeiros Despesa'!F$8)</f>
        <v>2.0499999999999998</v>
      </c>
      <c r="M2981" s="799">
        <f t="shared" si="492"/>
        <v>7.8520662347144563E-7</v>
      </c>
      <c r="N2981" s="894"/>
      <c r="P2981" s="733"/>
    </row>
    <row r="2982" spans="1:21" s="115" customFormat="1" ht="15" customHeight="1" x14ac:dyDescent="0.25">
      <c r="A2982" s="396"/>
      <c r="B2982" s="1398" t="s">
        <v>9199</v>
      </c>
      <c r="C2982" s="1398"/>
      <c r="D2982" s="1398"/>
      <c r="E2982" s="854">
        <v>331901300000000</v>
      </c>
      <c r="F2982" s="855" t="s">
        <v>8953</v>
      </c>
      <c r="G2982" s="468">
        <v>40</v>
      </c>
      <c r="H2982" s="468">
        <v>0</v>
      </c>
      <c r="I2982" s="751"/>
      <c r="J2982" s="878"/>
      <c r="K2982" s="789">
        <f>(('Parâmetros financeiros Despesa'!E1543))</f>
        <v>25929</v>
      </c>
      <c r="L2982" s="789">
        <f>(L2983+L2981)*'Parâmetros financeiros Despesa'!F80</f>
        <v>7180.2271585778153</v>
      </c>
      <c r="M2982" s="799">
        <f t="shared" si="492"/>
        <v>2.750225328265785E-3</v>
      </c>
      <c r="N2982" s="894"/>
      <c r="P2982" s="733"/>
    </row>
    <row r="2983" spans="1:21" s="115" customFormat="1" ht="15" customHeight="1" x14ac:dyDescent="0.25">
      <c r="A2983" s="396"/>
      <c r="B2983" s="1398" t="s">
        <v>9200</v>
      </c>
      <c r="C2983" s="1398"/>
      <c r="D2983" s="1398"/>
      <c r="E2983" s="854">
        <v>331901600000000</v>
      </c>
      <c r="F2983" s="855" t="s">
        <v>8955</v>
      </c>
      <c r="G2983" s="468">
        <v>40</v>
      </c>
      <c r="H2983" s="468">
        <v>0</v>
      </c>
      <c r="I2983" s="751"/>
      <c r="J2983" s="878"/>
      <c r="K2983" s="789">
        <f>(('Parâmetros financeiros Despesa'!E1544))</f>
        <v>0</v>
      </c>
      <c r="L2983" s="789">
        <f>('Parâmetros financeiros Despesa'!F1543)*2.05+(('Parâmetros financeiros Despesa'!F1543)*11.28)*(1+'Parâmetros financeiros Despesa'!F$4)*(1+'Parâmetros financeiros Despesa'!F$8)</f>
        <v>30155.060883003418</v>
      </c>
      <c r="M2983" s="799">
        <f t="shared" si="492"/>
        <v>1.1550221237326335E-2</v>
      </c>
      <c r="N2983" s="894"/>
      <c r="P2983" s="733"/>
    </row>
    <row r="2984" spans="1:21" s="115" customFormat="1" ht="15" customHeight="1" x14ac:dyDescent="0.25">
      <c r="A2984" s="396"/>
      <c r="B2984" s="1398" t="s">
        <v>9201</v>
      </c>
      <c r="C2984" s="1398"/>
      <c r="D2984" s="1398"/>
      <c r="E2984" s="854">
        <v>333901400000000</v>
      </c>
      <c r="F2984" s="855" t="s">
        <v>8954</v>
      </c>
      <c r="G2984" s="468">
        <v>40</v>
      </c>
      <c r="H2984" s="468">
        <v>0</v>
      </c>
      <c r="I2984" s="751"/>
      <c r="J2984" s="878"/>
      <c r="K2984" s="789">
        <f>(('Parâmetros financeiros Despesa'!E1545))</f>
        <v>0</v>
      </c>
      <c r="L2984" s="789">
        <f>('Parâmetros financeiros Despesa'!F1544)*2+(('Parâmetros financeiros Despesa'!F1544)*10)*(1+'Parâmetros financeiros Despesa'!F$4)*(1+'Parâmetros financeiros Despesa'!F$8)</f>
        <v>1519.1325334991766</v>
      </c>
      <c r="M2984" s="799">
        <f t="shared" si="492"/>
        <v>5.8186972060220068E-4</v>
      </c>
      <c r="N2984" s="894"/>
      <c r="P2984" s="733"/>
    </row>
    <row r="2985" spans="1:21" s="115" customFormat="1" ht="15" customHeight="1" x14ac:dyDescent="0.25">
      <c r="B2985" s="879"/>
      <c r="C2985" s="879"/>
      <c r="D2985" s="880">
        <v>619500</v>
      </c>
      <c r="E2985" s="854">
        <v>333903000000000</v>
      </c>
      <c r="F2985" s="855" t="s">
        <v>8956</v>
      </c>
      <c r="G2985" s="468">
        <v>40</v>
      </c>
      <c r="H2985" s="468">
        <v>0</v>
      </c>
      <c r="I2985" s="751"/>
      <c r="J2985" s="878"/>
      <c r="K2985" s="789">
        <f>(('Parâmetros financeiros Despesa'!E1546))</f>
        <v>0</v>
      </c>
      <c r="L2985" s="789">
        <f>('Parâmetros financeiros Despesa'!F1545*(1+'Parâmetros financeiros Despesa'!F$4)*(1+'Parâmetros financeiros Despesa'!F$7))</f>
        <v>545.16575</v>
      </c>
      <c r="M2985" s="799">
        <f t="shared" si="492"/>
        <v>2.0881354038525769E-4</v>
      </c>
      <c r="N2985" s="894"/>
      <c r="O2985" s="396"/>
      <c r="P2985" s="463"/>
      <c r="S2985" s="463"/>
      <c r="T2985" s="463"/>
      <c r="U2985" s="463"/>
    </row>
    <row r="2986" spans="1:21" s="115" customFormat="1" ht="15" customHeight="1" x14ac:dyDescent="0.25">
      <c r="B2986" s="879"/>
      <c r="C2986" s="879"/>
      <c r="D2986" s="880">
        <v>619600</v>
      </c>
      <c r="E2986" s="854">
        <v>333903200000000</v>
      </c>
      <c r="F2986" s="855" t="s">
        <v>9202</v>
      </c>
      <c r="G2986" s="468">
        <v>40</v>
      </c>
      <c r="H2986" s="468">
        <v>0</v>
      </c>
      <c r="I2986" s="751"/>
      <c r="J2986" s="878"/>
      <c r="K2986" s="789">
        <f>(('Parâmetros financeiros Despesa'!E1547))</f>
        <v>0</v>
      </c>
      <c r="L2986" s="789">
        <f>('Parâmetros financeiros Despesa'!F1546*(1+'Parâmetros financeiros Despesa'!F$4)*(1+'Parâmetros financeiros Despesa'!F$7))</f>
        <v>545.16575</v>
      </c>
      <c r="M2986" s="799">
        <f t="shared" si="492"/>
        <v>2.0881354038525769E-4</v>
      </c>
      <c r="N2986" s="894"/>
      <c r="O2986" s="396"/>
      <c r="P2986" s="463"/>
      <c r="S2986" s="463"/>
      <c r="T2986" s="463"/>
      <c r="U2986" s="463"/>
    </row>
    <row r="2987" spans="1:21" s="115" customFormat="1" ht="15" customHeight="1" x14ac:dyDescent="0.25">
      <c r="B2987" s="879"/>
      <c r="C2987" s="879"/>
      <c r="D2987" s="880">
        <v>619700</v>
      </c>
      <c r="E2987" s="854">
        <v>333903300000000</v>
      </c>
      <c r="F2987" s="855" t="s">
        <v>9204</v>
      </c>
      <c r="G2987" s="468">
        <v>40</v>
      </c>
      <c r="H2987" s="468">
        <v>0</v>
      </c>
      <c r="I2987" s="751"/>
      <c r="J2987" s="878"/>
      <c r="K2987" s="789">
        <f>(('Parâmetros financeiros Despesa'!E1548))</f>
        <v>0</v>
      </c>
      <c r="L2987" s="789">
        <f>('Parâmetros financeiros Despesa'!F1547*(1+'Parâmetros financeiros Despesa'!F$4)*(1+'Parâmetros financeiros Despesa'!F$7))</f>
        <v>545.16575</v>
      </c>
      <c r="M2987" s="799">
        <f t="shared" si="492"/>
        <v>2.0881354038525769E-4</v>
      </c>
      <c r="N2987" s="894"/>
      <c r="O2987" s="396"/>
      <c r="P2987" s="463"/>
      <c r="S2987" s="463"/>
      <c r="T2987" s="463"/>
      <c r="U2987" s="463"/>
    </row>
    <row r="2988" spans="1:21" s="115" customFormat="1" ht="15" customHeight="1" x14ac:dyDescent="0.25">
      <c r="B2988" s="879"/>
      <c r="C2988" s="879"/>
      <c r="D2988" s="880">
        <v>619800</v>
      </c>
      <c r="E2988" s="854">
        <v>333903500000000</v>
      </c>
      <c r="F2988" s="855" t="s">
        <v>9208</v>
      </c>
      <c r="G2988" s="468">
        <v>40</v>
      </c>
      <c r="H2988" s="468">
        <v>0</v>
      </c>
      <c r="I2988" s="751"/>
      <c r="J2988" s="878"/>
      <c r="K2988" s="789">
        <f>(('Parâmetros financeiros Despesa'!E1549))</f>
        <v>0</v>
      </c>
      <c r="L2988" s="789">
        <f>('Parâmetros financeiros Despesa'!F1548*(1+'Parâmetros financeiros Despesa'!F$4)*(1+'Parâmetros financeiros Despesa'!F$7))</f>
        <v>545.16575</v>
      </c>
      <c r="M2988" s="799">
        <f t="shared" si="492"/>
        <v>2.0881354038525769E-4</v>
      </c>
      <c r="N2988" s="894"/>
      <c r="O2988" s="396"/>
      <c r="P2988" s="463"/>
      <c r="S2988" s="463"/>
      <c r="T2988" s="463"/>
      <c r="U2988" s="463"/>
    </row>
    <row r="2989" spans="1:21" s="115" customFormat="1" ht="15" customHeight="1" x14ac:dyDescent="0.25">
      <c r="B2989" s="879"/>
      <c r="C2989" s="879"/>
      <c r="D2989" s="880">
        <v>619900</v>
      </c>
      <c r="E2989" s="854">
        <v>333903600000000</v>
      </c>
      <c r="F2989" s="855" t="s">
        <v>9205</v>
      </c>
      <c r="G2989" s="468">
        <v>40</v>
      </c>
      <c r="H2989" s="468">
        <v>0</v>
      </c>
      <c r="I2989" s="751"/>
      <c r="J2989" s="878"/>
      <c r="K2989" s="789">
        <f>(('Parâmetros financeiros Despesa'!E1550))</f>
        <v>0</v>
      </c>
      <c r="L2989" s="789">
        <f>('Parâmetros financeiros Despesa'!F1549*(1+'Parâmetros financeiros Despesa'!F$4)*(1+'Parâmetros financeiros Despesa'!F$7))</f>
        <v>545.16575</v>
      </c>
      <c r="M2989" s="799">
        <f t="shared" si="492"/>
        <v>2.0881354038525769E-4</v>
      </c>
      <c r="N2989" s="894"/>
      <c r="O2989" s="396"/>
      <c r="P2989" s="463"/>
      <c r="S2989" s="463"/>
      <c r="T2989" s="463"/>
      <c r="U2989" s="463"/>
    </row>
    <row r="2990" spans="1:21" s="115" customFormat="1" ht="15" customHeight="1" x14ac:dyDescent="0.25">
      <c r="B2990" s="879"/>
      <c r="C2990" s="879"/>
      <c r="D2990" s="880">
        <v>620000</v>
      </c>
      <c r="E2990" s="854">
        <v>333903900000000</v>
      </c>
      <c r="F2990" s="855" t="s">
        <v>9206</v>
      </c>
      <c r="G2990" s="468">
        <v>40</v>
      </c>
      <c r="H2990" s="468">
        <v>0</v>
      </c>
      <c r="I2990" s="751"/>
      <c r="J2990" s="878"/>
      <c r="K2990" s="789">
        <f>(('Parâmetros financeiros Despesa'!E1551))</f>
        <v>0</v>
      </c>
      <c r="L2990" s="789">
        <f>('Parâmetros financeiros Despesa'!F1550*(1+'Parâmetros financeiros Despesa'!F$4)*(1+'Parâmetros financeiros Despesa'!F$7))</f>
        <v>545.16575</v>
      </c>
      <c r="M2990" s="799">
        <f t="shared" si="492"/>
        <v>2.0881354038525769E-4</v>
      </c>
      <c r="N2990" s="894"/>
      <c r="O2990" s="396"/>
      <c r="P2990" s="463"/>
      <c r="S2990" s="463"/>
      <c r="T2990" s="463"/>
      <c r="U2990" s="463"/>
    </row>
    <row r="2991" spans="1:21" s="115" customFormat="1" ht="15" customHeight="1" x14ac:dyDescent="0.25">
      <c r="B2991" s="879"/>
      <c r="C2991" s="879"/>
      <c r="D2991" s="880">
        <v>620100</v>
      </c>
      <c r="E2991" s="854">
        <v>333904700000000</v>
      </c>
      <c r="F2991" s="855" t="s">
        <v>9207</v>
      </c>
      <c r="G2991" s="468">
        <v>40</v>
      </c>
      <c r="H2991" s="468">
        <v>0</v>
      </c>
      <c r="I2991" s="751"/>
      <c r="J2991" s="878"/>
      <c r="K2991" s="789">
        <f>(('Parâmetros financeiros Despesa'!E1552))</f>
        <v>0</v>
      </c>
      <c r="L2991" s="789">
        <f>('Parâmetros financeiros Despesa'!F1551*(1+'Parâmetros financeiros Despesa'!F$4)*(1+'Parâmetros financeiros Despesa'!F$7))</f>
        <v>109.03315000000001</v>
      </c>
      <c r="M2991" s="799">
        <f t="shared" si="492"/>
        <v>4.1762708077051546E-5</v>
      </c>
      <c r="N2991" s="894"/>
      <c r="O2991" s="396"/>
      <c r="P2991" s="463"/>
      <c r="S2991" s="463"/>
      <c r="T2991" s="463"/>
      <c r="U2991" s="463"/>
    </row>
    <row r="2992" spans="1:21" s="115" customFormat="1" ht="15" customHeight="1" x14ac:dyDescent="0.25">
      <c r="A2992" s="396"/>
      <c r="B2992" s="1398" t="s">
        <v>9209</v>
      </c>
      <c r="C2992" s="1398"/>
      <c r="D2992" s="1398"/>
      <c r="E2992" s="854">
        <v>333904900000000</v>
      </c>
      <c r="F2992" s="855" t="s">
        <v>8975</v>
      </c>
      <c r="G2992" s="468">
        <v>40</v>
      </c>
      <c r="H2992" s="468">
        <v>0</v>
      </c>
      <c r="I2992" s="751"/>
      <c r="J2992" s="878"/>
      <c r="K2992" s="789">
        <f>(('Parâmetros financeiros Despesa'!E1553))</f>
        <v>0</v>
      </c>
      <c r="L2992" s="789">
        <f>('Parâmetros financeiros Despesa'!F1552)*2+(('Parâmetros financeiros Despesa'!F1552)*10)*(1+'Parâmetros financeiros Despesa'!F$4)*(1+'Parâmetros financeiros Despesa'!F$8)</f>
        <v>12.554814326439475</v>
      </c>
      <c r="M2992" s="799">
        <f t="shared" si="492"/>
        <v>4.8088406661338892E-6</v>
      </c>
      <c r="N2992" s="894"/>
      <c r="P2992" s="733"/>
    </row>
    <row r="2993" spans="1:16" s="115" customFormat="1" ht="15" customHeight="1" x14ac:dyDescent="0.25">
      <c r="A2993" s="396"/>
      <c r="B2993" s="1398" t="s">
        <v>9210</v>
      </c>
      <c r="C2993" s="1398"/>
      <c r="D2993" s="1398"/>
      <c r="E2993" s="854">
        <v>333909300000000</v>
      </c>
      <c r="F2993" s="855" t="s">
        <v>8957</v>
      </c>
      <c r="G2993" s="468">
        <v>40</v>
      </c>
      <c r="H2993" s="468">
        <v>0</v>
      </c>
      <c r="I2993" s="751"/>
      <c r="J2993" s="878"/>
      <c r="K2993" s="789">
        <f>(('Parâmetros financeiros Despesa'!E1554))</f>
        <v>0</v>
      </c>
      <c r="L2993" s="789">
        <f>('Parâmetros financeiros Despesa'!F1553)*(1+'Parâmetros financeiros Despesa'!F$4)*(1+'Parâmetros financeiros Despesa'!F$7)</f>
        <v>545.16575</v>
      </c>
      <c r="M2993" s="799">
        <f t="shared" si="492"/>
        <v>2.0881354038525769E-4</v>
      </c>
      <c r="N2993" s="894"/>
      <c r="P2993" s="733"/>
    </row>
    <row r="2994" spans="1:16" s="115" customFormat="1" ht="15" customHeight="1" x14ac:dyDescent="0.25">
      <c r="A2994" s="396"/>
      <c r="B2994" s="877"/>
      <c r="C2994" s="877"/>
      <c r="D2994" s="877" t="s">
        <v>9211</v>
      </c>
      <c r="E2994" s="854">
        <v>333933000000000</v>
      </c>
      <c r="F2994" s="855" t="s">
        <v>9203</v>
      </c>
      <c r="G2994" s="468">
        <v>40</v>
      </c>
      <c r="H2994" s="468">
        <v>0</v>
      </c>
      <c r="I2994" s="751"/>
      <c r="J2994" s="878"/>
      <c r="K2994" s="789">
        <f>(('Parâmetros financeiros Despesa'!E1555))</f>
        <v>0</v>
      </c>
      <c r="L2994" s="789">
        <f>('Parâmetros financeiros Despesa'!F1554)*(1+'Parâmetros financeiros Despesa'!F$4)*(1+'Parâmetros financeiros Despesa'!F$7)</f>
        <v>545.16575</v>
      </c>
      <c r="M2994" s="799">
        <f t="shared" si="492"/>
        <v>2.0881354038525769E-4</v>
      </c>
      <c r="N2994" s="894"/>
      <c r="P2994" s="733"/>
    </row>
    <row r="2995" spans="1:16" s="115" customFormat="1" ht="15" customHeight="1" x14ac:dyDescent="0.25">
      <c r="A2995" s="396"/>
      <c r="B2995" s="877"/>
      <c r="C2995" s="877"/>
      <c r="D2995" s="877" t="s">
        <v>9212</v>
      </c>
      <c r="E2995" s="854">
        <v>344905100000000</v>
      </c>
      <c r="F2995" s="855" t="s">
        <v>9213</v>
      </c>
      <c r="G2995" s="468">
        <v>40</v>
      </c>
      <c r="H2995" s="468">
        <v>0</v>
      </c>
      <c r="I2995" s="751"/>
      <c r="J2995" s="878"/>
      <c r="K2995" s="789">
        <f>(('Parâmetros financeiros Despesa'!E1556))</f>
        <v>0</v>
      </c>
      <c r="L2995" s="789">
        <f>('Parâmetros financeiros Despesa'!F1555)*(1+'Parâmetros financeiros Despesa'!F$4)*(1+'Parâmetros financeiros Despesa'!F$7)</f>
        <v>545.16575</v>
      </c>
      <c r="M2995" s="799">
        <f t="shared" si="492"/>
        <v>2.0881354038525769E-4</v>
      </c>
      <c r="N2995" s="894"/>
      <c r="P2995" s="733"/>
    </row>
    <row r="2996" spans="1:16" s="115" customFormat="1" ht="15" customHeight="1" x14ac:dyDescent="0.25">
      <c r="A2996" s="396"/>
      <c r="B2996" s="1398" t="s">
        <v>9214</v>
      </c>
      <c r="C2996" s="1398"/>
      <c r="D2996" s="1398"/>
      <c r="E2996" s="854">
        <v>344905200000000</v>
      </c>
      <c r="F2996" s="855" t="s">
        <v>8958</v>
      </c>
      <c r="G2996" s="468">
        <v>40</v>
      </c>
      <c r="H2996" s="468">
        <v>0</v>
      </c>
      <c r="I2996" s="751"/>
      <c r="J2996" s="878"/>
      <c r="K2996" s="789">
        <f>(('Parâmetros financeiros Despesa'!E1557))</f>
        <v>0</v>
      </c>
      <c r="L2996" s="789">
        <f>('Parâmetros financeiros Despesa'!F1556)*(1+'Parâmetros financeiros Despesa'!F$4)*(1+'Parâmetros financeiros Despesa'!F$7)</f>
        <v>545.16575</v>
      </c>
      <c r="M2996" s="799">
        <f t="shared" si="492"/>
        <v>2.0881354038525769E-4</v>
      </c>
      <c r="N2996" s="894"/>
      <c r="P2996" s="733"/>
    </row>
    <row r="2997" spans="1:16" s="774" customFormat="1" ht="15" customHeight="1" x14ac:dyDescent="0.25">
      <c r="A2997" s="397"/>
      <c r="B2997" s="1382" t="s">
        <v>8699</v>
      </c>
      <c r="C2997" s="1382"/>
      <c r="D2997" s="1382"/>
      <c r="E2997" s="1382"/>
      <c r="F2997" s="1382"/>
      <c r="G2997" s="405"/>
      <c r="H2997" s="405"/>
      <c r="I2997" s="428"/>
      <c r="J2997" s="413"/>
      <c r="K2997" s="406">
        <f t="shared" ref="K2997:L2999" si="493">K2998</f>
        <v>136082.845</v>
      </c>
      <c r="L2997" s="406">
        <f t="shared" si="493"/>
        <v>165714.01136166704</v>
      </c>
      <c r="M2997" s="453">
        <f>L2997/L$3225</f>
        <v>6.347304357229433E-2</v>
      </c>
      <c r="N2997" s="796"/>
      <c r="P2997" s="399"/>
    </row>
    <row r="2998" spans="1:16" s="774" customFormat="1" ht="15" customHeight="1" x14ac:dyDescent="0.25">
      <c r="A2998" s="397"/>
      <c r="B2998" s="1383" t="s">
        <v>8812</v>
      </c>
      <c r="C2998" s="1383"/>
      <c r="D2998" s="1383"/>
      <c r="E2998" s="1383"/>
      <c r="F2998" s="1383"/>
      <c r="G2998" s="407"/>
      <c r="H2998" s="407"/>
      <c r="I2998" s="429"/>
      <c r="J2998" s="414"/>
      <c r="K2998" s="408">
        <f t="shared" si="493"/>
        <v>136082.845</v>
      </c>
      <c r="L2998" s="408">
        <f t="shared" si="493"/>
        <v>165714.01136166704</v>
      </c>
      <c r="M2998" s="454">
        <f>L2998/L$3225</f>
        <v>6.347304357229433E-2</v>
      </c>
      <c r="N2998" s="796"/>
      <c r="P2998" s="399"/>
    </row>
    <row r="2999" spans="1:16" s="774" customFormat="1" ht="15" customHeight="1" x14ac:dyDescent="0.25">
      <c r="A2999" s="397"/>
      <c r="B2999" s="1385" t="s">
        <v>8698</v>
      </c>
      <c r="C2999" s="1385"/>
      <c r="D2999" s="1385"/>
      <c r="E2999" s="1385"/>
      <c r="F2999" s="1385"/>
      <c r="G2999" s="401"/>
      <c r="H2999" s="401"/>
      <c r="I2999" s="426"/>
      <c r="J2999" s="411"/>
      <c r="K2999" s="402">
        <f t="shared" si="493"/>
        <v>136082.845</v>
      </c>
      <c r="L2999" s="402">
        <f>L3000+0.01</f>
        <v>165714.01136166704</v>
      </c>
      <c r="M2999" s="451">
        <f>L2999/L$3225</f>
        <v>6.347304357229433E-2</v>
      </c>
      <c r="N2999" s="796"/>
      <c r="P2999" s="399"/>
    </row>
    <row r="3000" spans="1:16" s="774" customFormat="1" ht="15" customHeight="1" x14ac:dyDescent="0.25">
      <c r="A3000" s="397"/>
      <c r="B3000" s="1386" t="s">
        <v>9215</v>
      </c>
      <c r="C3000" s="1386"/>
      <c r="D3000" s="1386"/>
      <c r="E3000" s="1386"/>
      <c r="F3000" s="1386"/>
      <c r="G3000" s="403"/>
      <c r="H3000" s="403"/>
      <c r="I3000" s="427"/>
      <c r="J3000" s="412"/>
      <c r="K3000" s="404">
        <f>K3001+K3002+K3047+K3048+K3076+K3085+K3086+K3089+K3090+K3049+0.01</f>
        <v>136082.845</v>
      </c>
      <c r="L3000" s="404">
        <f>L3001+L3002+L3047+L3048+L3076+L3085+L3086+L3089+L3090+L3049+0.01</f>
        <v>165714.00136166703</v>
      </c>
      <c r="M3000" s="452">
        <f>L3000/L$3225</f>
        <v>6.3473039742018109E-2</v>
      </c>
      <c r="N3000" s="796"/>
      <c r="P3000" s="399"/>
    </row>
    <row r="3001" spans="1:16" s="115" customFormat="1" x14ac:dyDescent="0.25">
      <c r="B3001" s="879"/>
      <c r="C3001" s="879"/>
      <c r="D3001" s="880">
        <v>621000</v>
      </c>
      <c r="E3001" s="854">
        <v>333901400000000</v>
      </c>
      <c r="F3001" s="855" t="s">
        <v>9216</v>
      </c>
      <c r="G3001" s="468">
        <v>40</v>
      </c>
      <c r="H3001" s="468">
        <v>0</v>
      </c>
      <c r="I3001" s="751"/>
      <c r="J3001" s="878"/>
      <c r="K3001" s="789">
        <f>('Parâmetros financeiros Despesa'!E1558)</f>
        <v>0</v>
      </c>
      <c r="L3001" s="789">
        <f>('Parâmetros financeiros Despesa'!F1558)*2+(('Parâmetros financeiros Despesa'!F1558)*10)*(1+'Parâmetros financeiros Despesa'!F$4)*(1+'Parâmetros financeiros Despesa'!F$8)</f>
        <v>3615.7865260145686</v>
      </c>
      <c r="M3001" s="799">
        <f>L3001/L$3225</f>
        <v>1.38494611184656E-3</v>
      </c>
      <c r="N3001" s="894"/>
      <c r="P3001" s="733"/>
    </row>
    <row r="3002" spans="1:16" s="115" customFormat="1" ht="30" x14ac:dyDescent="0.25">
      <c r="B3002" s="879"/>
      <c r="C3002" s="879"/>
      <c r="D3002" s="880">
        <v>621100</v>
      </c>
      <c r="E3002" s="854">
        <v>333903000000000</v>
      </c>
      <c r="F3002" s="855" t="s">
        <v>9217</v>
      </c>
      <c r="G3002" s="468">
        <v>40</v>
      </c>
      <c r="H3002" s="468">
        <v>0</v>
      </c>
      <c r="I3002" s="751"/>
      <c r="J3002" s="878"/>
      <c r="K3002" s="789">
        <f>('Parâmetros financeiros Despesa'!E1559)</f>
        <v>104133.495</v>
      </c>
      <c r="L3002" s="789">
        <f>('Parâmetros financeiros Despesa'!F1559)*(1+'Parâmetros financeiros Despesa'!F$4)*(1+'Parâmetros financeiros Despesa'!F$7)</f>
        <v>113540.02980359249</v>
      </c>
      <c r="M3002" s="799">
        <f t="shared" ref="M3002" si="494">L3002/L$3225</f>
        <v>4.3488967527281062E-2</v>
      </c>
      <c r="N3002" s="894"/>
      <c r="P3002" s="733"/>
    </row>
    <row r="3003" spans="1:16" x14ac:dyDescent="0.25">
      <c r="B3003" s="599" t="s">
        <v>9218</v>
      </c>
      <c r="C3003" s="879" t="s">
        <v>6062</v>
      </c>
      <c r="D3003" s="880">
        <v>621100</v>
      </c>
      <c r="E3003" s="417">
        <v>333903001012400</v>
      </c>
      <c r="F3003" s="418" t="s">
        <v>8842</v>
      </c>
      <c r="G3003" s="873">
        <v>40</v>
      </c>
      <c r="H3003" s="873">
        <v>0</v>
      </c>
      <c r="I3003" s="751"/>
      <c r="J3003" s="878"/>
      <c r="K3003" s="476">
        <v>0</v>
      </c>
      <c r="L3003" s="476">
        <v>0</v>
      </c>
      <c r="M3003" s="477">
        <f t="shared" ref="M3003:M3046" si="495">L3003/L$3225</f>
        <v>0</v>
      </c>
    </row>
    <row r="3004" spans="1:16" x14ac:dyDescent="0.25">
      <c r="B3004" s="599" t="s">
        <v>9219</v>
      </c>
      <c r="C3004" s="879" t="s">
        <v>6062</v>
      </c>
      <c r="D3004" s="880">
        <v>621100</v>
      </c>
      <c r="E3004" s="417">
        <v>333903039030000</v>
      </c>
      <c r="F3004" s="418" t="s">
        <v>8843</v>
      </c>
      <c r="G3004" s="873">
        <v>40</v>
      </c>
      <c r="H3004" s="873">
        <v>0</v>
      </c>
      <c r="I3004" s="751"/>
      <c r="J3004" s="878"/>
      <c r="K3004" s="476">
        <v>0</v>
      </c>
      <c r="L3004" s="476">
        <v>0</v>
      </c>
      <c r="M3004" s="477">
        <f t="shared" si="495"/>
        <v>0</v>
      </c>
    </row>
    <row r="3005" spans="1:16" x14ac:dyDescent="0.25">
      <c r="B3005" s="879"/>
      <c r="C3005" s="879"/>
      <c r="D3005" s="879"/>
      <c r="E3005" s="417">
        <v>333903001030300</v>
      </c>
      <c r="F3005" s="418" t="s">
        <v>8844</v>
      </c>
      <c r="G3005" s="873">
        <v>40</v>
      </c>
      <c r="H3005" s="873">
        <v>0</v>
      </c>
      <c r="I3005" s="751"/>
      <c r="J3005" s="878"/>
      <c r="K3005" s="476">
        <v>0</v>
      </c>
      <c r="L3005" s="476">
        <v>0</v>
      </c>
      <c r="M3005" s="477">
        <f t="shared" si="495"/>
        <v>0</v>
      </c>
    </row>
    <row r="3006" spans="1:16" x14ac:dyDescent="0.25">
      <c r="B3006" s="879"/>
      <c r="C3006" s="879"/>
      <c r="D3006" s="879"/>
      <c r="E3006" s="417">
        <v>333903001020200</v>
      </c>
      <c r="F3006" s="418" t="s">
        <v>8845</v>
      </c>
      <c r="G3006" s="873">
        <v>40</v>
      </c>
      <c r="H3006" s="873">
        <v>0</v>
      </c>
      <c r="I3006" s="751"/>
      <c r="J3006" s="878"/>
      <c r="K3006" s="476">
        <v>0</v>
      </c>
      <c r="L3006" s="476">
        <v>0</v>
      </c>
      <c r="M3006" s="477">
        <f t="shared" si="495"/>
        <v>0</v>
      </c>
    </row>
    <row r="3007" spans="1:16" x14ac:dyDescent="0.25">
      <c r="B3007" s="879"/>
      <c r="C3007" s="879"/>
      <c r="D3007" s="879"/>
      <c r="E3007" s="417">
        <v>333903001030500</v>
      </c>
      <c r="F3007" s="418" t="s">
        <v>8846</v>
      </c>
      <c r="G3007" s="873">
        <v>40</v>
      </c>
      <c r="H3007" s="873">
        <v>0</v>
      </c>
      <c r="I3007" s="751"/>
      <c r="J3007" s="878"/>
      <c r="K3007" s="476">
        <v>0</v>
      </c>
      <c r="L3007" s="476">
        <v>0</v>
      </c>
      <c r="M3007" s="477">
        <f t="shared" si="495"/>
        <v>0</v>
      </c>
    </row>
    <row r="3008" spans="1:16" x14ac:dyDescent="0.25">
      <c r="B3008" s="879"/>
      <c r="C3008" s="879"/>
      <c r="D3008" s="879"/>
      <c r="E3008" s="417">
        <v>333903001030300</v>
      </c>
      <c r="F3008" s="418" t="s">
        <v>8847</v>
      </c>
      <c r="G3008" s="873">
        <v>40</v>
      </c>
      <c r="H3008" s="873">
        <v>0</v>
      </c>
      <c r="I3008" s="751"/>
      <c r="J3008" s="878"/>
      <c r="K3008" s="476">
        <v>0</v>
      </c>
      <c r="L3008" s="476">
        <v>0</v>
      </c>
      <c r="M3008" s="477">
        <f t="shared" si="495"/>
        <v>0</v>
      </c>
    </row>
    <row r="3009" spans="2:16" x14ac:dyDescent="0.25">
      <c r="B3009" s="879"/>
      <c r="C3009" s="879"/>
      <c r="D3009" s="879"/>
      <c r="E3009" s="417">
        <v>333903001023500</v>
      </c>
      <c r="F3009" s="418" t="s">
        <v>5079</v>
      </c>
      <c r="G3009" s="873">
        <v>40</v>
      </c>
      <c r="H3009" s="873">
        <v>0</v>
      </c>
      <c r="I3009" s="751"/>
      <c r="J3009" s="878"/>
      <c r="K3009" s="476">
        <v>0</v>
      </c>
      <c r="L3009" s="476">
        <v>0</v>
      </c>
      <c r="M3009" s="477">
        <f t="shared" si="495"/>
        <v>0</v>
      </c>
    </row>
    <row r="3010" spans="2:16" x14ac:dyDescent="0.25">
      <c r="B3010" s="879"/>
      <c r="C3010" s="879"/>
      <c r="D3010" s="879"/>
      <c r="E3010" s="417">
        <v>333903001035000</v>
      </c>
      <c r="F3010" s="418" t="s">
        <v>5628</v>
      </c>
      <c r="G3010" s="873">
        <v>40</v>
      </c>
      <c r="H3010" s="873">
        <v>0</v>
      </c>
      <c r="I3010" s="751"/>
      <c r="J3010" s="878"/>
      <c r="K3010" s="476">
        <v>0</v>
      </c>
      <c r="L3010" s="476">
        <v>0</v>
      </c>
      <c r="M3010" s="477">
        <f t="shared" si="495"/>
        <v>0</v>
      </c>
    </row>
    <row r="3011" spans="2:16" x14ac:dyDescent="0.25">
      <c r="B3011" s="879"/>
      <c r="C3011" s="879"/>
      <c r="D3011" s="879"/>
      <c r="E3011" s="417">
        <v>333903039400000</v>
      </c>
      <c r="F3011" s="418" t="s">
        <v>5143</v>
      </c>
      <c r="G3011" s="873">
        <v>40</v>
      </c>
      <c r="H3011" s="873">
        <v>0</v>
      </c>
      <c r="I3011" s="751"/>
      <c r="J3011" s="878"/>
      <c r="K3011" s="476">
        <v>0</v>
      </c>
      <c r="L3011" s="476">
        <v>0</v>
      </c>
      <c r="M3011" s="477">
        <f t="shared" si="495"/>
        <v>0</v>
      </c>
    </row>
    <row r="3012" spans="2:16" x14ac:dyDescent="0.25">
      <c r="B3012" s="879"/>
      <c r="C3012" s="879"/>
      <c r="D3012" s="879"/>
      <c r="E3012" s="417">
        <v>333903001010500</v>
      </c>
      <c r="F3012" s="418" t="s">
        <v>8848</v>
      </c>
      <c r="G3012" s="873">
        <v>40</v>
      </c>
      <c r="H3012" s="873">
        <v>0</v>
      </c>
      <c r="I3012" s="751"/>
      <c r="J3012" s="878"/>
      <c r="K3012" s="476">
        <v>0</v>
      </c>
      <c r="L3012" s="476">
        <v>0</v>
      </c>
      <c r="M3012" s="477">
        <f t="shared" si="495"/>
        <v>0</v>
      </c>
    </row>
    <row r="3013" spans="2:16" x14ac:dyDescent="0.25">
      <c r="B3013" s="879"/>
      <c r="C3013" s="879"/>
      <c r="D3013" s="879"/>
      <c r="E3013" s="417">
        <v>333903039360000</v>
      </c>
      <c r="F3013" s="418" t="s">
        <v>8849</v>
      </c>
      <c r="G3013" s="873">
        <v>40</v>
      </c>
      <c r="H3013" s="873">
        <v>0</v>
      </c>
      <c r="I3013" s="751"/>
      <c r="J3013" s="878"/>
      <c r="K3013" s="476">
        <v>0</v>
      </c>
      <c r="L3013" s="476">
        <v>0</v>
      </c>
      <c r="M3013" s="477">
        <f t="shared" si="495"/>
        <v>0</v>
      </c>
      <c r="N3013" s="461"/>
      <c r="P3013" s="461"/>
    </row>
    <row r="3014" spans="2:16" x14ac:dyDescent="0.25">
      <c r="B3014" s="879"/>
      <c r="C3014" s="879"/>
      <c r="D3014" s="879"/>
      <c r="E3014" s="417">
        <v>333903039360000</v>
      </c>
      <c r="F3014" s="418" t="s">
        <v>8850</v>
      </c>
      <c r="G3014" s="873">
        <v>40</v>
      </c>
      <c r="H3014" s="873">
        <v>0</v>
      </c>
      <c r="I3014" s="751"/>
      <c r="J3014" s="878"/>
      <c r="K3014" s="476">
        <v>0</v>
      </c>
      <c r="L3014" s="476">
        <v>0</v>
      </c>
      <c r="M3014" s="477">
        <f t="shared" si="495"/>
        <v>0</v>
      </c>
      <c r="N3014" s="461"/>
      <c r="P3014" s="461"/>
    </row>
    <row r="3015" spans="2:16" x14ac:dyDescent="0.25">
      <c r="B3015" s="879"/>
      <c r="C3015" s="879"/>
      <c r="D3015" s="879"/>
      <c r="E3015" s="417">
        <v>333903001033900</v>
      </c>
      <c r="F3015" s="418" t="s">
        <v>8851</v>
      </c>
      <c r="G3015" s="873">
        <v>40</v>
      </c>
      <c r="H3015" s="873">
        <v>0</v>
      </c>
      <c r="I3015" s="751"/>
      <c r="J3015" s="878"/>
      <c r="K3015" s="476">
        <v>0</v>
      </c>
      <c r="L3015" s="476">
        <v>0</v>
      </c>
      <c r="M3015" s="477">
        <f t="shared" si="495"/>
        <v>0</v>
      </c>
      <c r="N3015" s="461"/>
      <c r="P3015" s="461"/>
    </row>
    <row r="3016" spans="2:16" x14ac:dyDescent="0.25">
      <c r="B3016" s="879"/>
      <c r="C3016" s="879"/>
      <c r="D3016" s="879"/>
      <c r="E3016" s="417">
        <v>333903001030400</v>
      </c>
      <c r="F3016" s="418" t="s">
        <v>8852</v>
      </c>
      <c r="G3016" s="873">
        <v>40</v>
      </c>
      <c r="H3016" s="873">
        <v>0</v>
      </c>
      <c r="I3016" s="751"/>
      <c r="J3016" s="878"/>
      <c r="K3016" s="476">
        <v>0</v>
      </c>
      <c r="L3016" s="476">
        <v>0</v>
      </c>
      <c r="M3016" s="477">
        <f t="shared" si="495"/>
        <v>0</v>
      </c>
      <c r="N3016" s="461"/>
      <c r="P3016" s="461"/>
    </row>
    <row r="3017" spans="2:16" x14ac:dyDescent="0.25">
      <c r="B3017" s="879"/>
      <c r="C3017" s="879"/>
      <c r="D3017" s="879"/>
      <c r="E3017" s="417">
        <v>333903001030400</v>
      </c>
      <c r="F3017" s="418" t="s">
        <v>8853</v>
      </c>
      <c r="G3017" s="873">
        <v>40</v>
      </c>
      <c r="H3017" s="873">
        <v>0</v>
      </c>
      <c r="I3017" s="751"/>
      <c r="J3017" s="878"/>
      <c r="K3017" s="476">
        <v>0</v>
      </c>
      <c r="L3017" s="476">
        <v>0</v>
      </c>
      <c r="M3017" s="477">
        <f t="shared" si="495"/>
        <v>0</v>
      </c>
      <c r="N3017" s="461"/>
      <c r="P3017" s="461"/>
    </row>
    <row r="3018" spans="2:16" x14ac:dyDescent="0.25">
      <c r="B3018" s="879"/>
      <c r="C3018" s="879"/>
      <c r="D3018" s="879"/>
      <c r="E3018" s="417">
        <v>333903039040000</v>
      </c>
      <c r="F3018" s="418" t="s">
        <v>8854</v>
      </c>
      <c r="G3018" s="873">
        <v>40</v>
      </c>
      <c r="H3018" s="873">
        <v>0</v>
      </c>
      <c r="I3018" s="751"/>
      <c r="J3018" s="878"/>
      <c r="K3018" s="476">
        <v>0</v>
      </c>
      <c r="L3018" s="476">
        <v>0</v>
      </c>
      <c r="M3018" s="477">
        <f t="shared" si="495"/>
        <v>0</v>
      </c>
      <c r="N3018" s="461"/>
      <c r="P3018" s="461"/>
    </row>
    <row r="3019" spans="2:16" x14ac:dyDescent="0.25">
      <c r="B3019" s="879"/>
      <c r="C3019" s="879"/>
      <c r="D3019" s="879"/>
      <c r="E3019" s="417">
        <v>333903039030000</v>
      </c>
      <c r="F3019" s="418" t="s">
        <v>8855</v>
      </c>
      <c r="G3019" s="873">
        <v>40</v>
      </c>
      <c r="H3019" s="873">
        <v>0</v>
      </c>
      <c r="I3019" s="751"/>
      <c r="J3019" s="878"/>
      <c r="K3019" s="476">
        <v>0</v>
      </c>
      <c r="L3019" s="476">
        <v>0</v>
      </c>
      <c r="M3019" s="477">
        <f t="shared" si="495"/>
        <v>0</v>
      </c>
      <c r="N3019" s="461"/>
      <c r="P3019" s="461"/>
    </row>
    <row r="3020" spans="2:16" x14ac:dyDescent="0.25">
      <c r="B3020" s="879"/>
      <c r="C3020" s="879"/>
      <c r="D3020" s="879"/>
      <c r="E3020" s="417">
        <v>333903001034000</v>
      </c>
      <c r="F3020" s="418" t="s">
        <v>8856</v>
      </c>
      <c r="G3020" s="873">
        <v>40</v>
      </c>
      <c r="H3020" s="873">
        <v>0</v>
      </c>
      <c r="I3020" s="751"/>
      <c r="J3020" s="878"/>
      <c r="K3020" s="476">
        <v>0</v>
      </c>
      <c r="L3020" s="476">
        <v>0</v>
      </c>
      <c r="M3020" s="477">
        <f t="shared" si="495"/>
        <v>0</v>
      </c>
      <c r="N3020" s="461"/>
      <c r="P3020" s="461"/>
    </row>
    <row r="3021" spans="2:16" x14ac:dyDescent="0.25">
      <c r="B3021" s="879"/>
      <c r="C3021" s="879"/>
      <c r="D3021" s="879"/>
      <c r="E3021" s="417">
        <v>333903039380000</v>
      </c>
      <c r="F3021" s="418" t="s">
        <v>8857</v>
      </c>
      <c r="G3021" s="873">
        <v>40</v>
      </c>
      <c r="H3021" s="873">
        <v>0</v>
      </c>
      <c r="I3021" s="751"/>
      <c r="J3021" s="878"/>
      <c r="K3021" s="476">
        <v>0</v>
      </c>
      <c r="L3021" s="476">
        <v>0</v>
      </c>
      <c r="M3021" s="477">
        <f t="shared" si="495"/>
        <v>0</v>
      </c>
      <c r="N3021" s="461"/>
      <c r="P3021" s="461"/>
    </row>
    <row r="3022" spans="2:16" x14ac:dyDescent="0.25">
      <c r="B3022" s="879"/>
      <c r="C3022" s="879"/>
      <c r="D3022" s="879"/>
      <c r="E3022" s="417">
        <v>333903039380000</v>
      </c>
      <c r="F3022" s="418" t="s">
        <v>8858</v>
      </c>
      <c r="G3022" s="873">
        <v>40</v>
      </c>
      <c r="H3022" s="873">
        <v>0</v>
      </c>
      <c r="I3022" s="751"/>
      <c r="J3022" s="878"/>
      <c r="K3022" s="476">
        <v>0</v>
      </c>
      <c r="L3022" s="476">
        <v>0</v>
      </c>
      <c r="M3022" s="477">
        <f t="shared" si="495"/>
        <v>0</v>
      </c>
      <c r="N3022" s="461"/>
      <c r="P3022" s="461"/>
    </row>
    <row r="3023" spans="2:16" x14ac:dyDescent="0.25">
      <c r="B3023" s="879"/>
      <c r="C3023" s="879"/>
      <c r="D3023" s="879"/>
      <c r="E3023" s="417">
        <v>333903001034000</v>
      </c>
      <c r="F3023" s="418" t="s">
        <v>8859</v>
      </c>
      <c r="G3023" s="873">
        <v>40</v>
      </c>
      <c r="H3023" s="873">
        <v>0</v>
      </c>
      <c r="I3023" s="751"/>
      <c r="J3023" s="878"/>
      <c r="K3023" s="476">
        <v>0</v>
      </c>
      <c r="L3023" s="476">
        <v>0</v>
      </c>
      <c r="M3023" s="477">
        <f t="shared" si="495"/>
        <v>0</v>
      </c>
      <c r="N3023" s="461"/>
      <c r="P3023" s="461"/>
    </row>
    <row r="3024" spans="2:16" x14ac:dyDescent="0.25">
      <c r="B3024" s="879"/>
      <c r="C3024" s="879"/>
      <c r="D3024" s="879"/>
      <c r="E3024" s="417">
        <v>333903039040000</v>
      </c>
      <c r="F3024" s="418" t="s">
        <v>8860</v>
      </c>
      <c r="G3024" s="873">
        <v>40</v>
      </c>
      <c r="H3024" s="873">
        <v>0</v>
      </c>
      <c r="I3024" s="751"/>
      <c r="J3024" s="878"/>
      <c r="K3024" s="476">
        <v>0</v>
      </c>
      <c r="L3024" s="476">
        <v>0</v>
      </c>
      <c r="M3024" s="477">
        <f t="shared" si="495"/>
        <v>0</v>
      </c>
      <c r="N3024" s="461"/>
      <c r="P3024" s="461"/>
    </row>
    <row r="3025" spans="2:16" x14ac:dyDescent="0.25">
      <c r="B3025" s="879"/>
      <c r="C3025" s="879"/>
      <c r="D3025" s="879"/>
      <c r="E3025" s="417">
        <v>333903039410000</v>
      </c>
      <c r="F3025" s="418" t="s">
        <v>8861</v>
      </c>
      <c r="G3025" s="873">
        <v>40</v>
      </c>
      <c r="H3025" s="873">
        <v>0</v>
      </c>
      <c r="I3025" s="751"/>
      <c r="J3025" s="878"/>
      <c r="K3025" s="476">
        <v>0</v>
      </c>
      <c r="L3025" s="476">
        <v>0</v>
      </c>
      <c r="M3025" s="477">
        <f t="shared" si="495"/>
        <v>0</v>
      </c>
      <c r="N3025" s="461"/>
      <c r="P3025" s="461"/>
    </row>
    <row r="3026" spans="2:16" x14ac:dyDescent="0.25">
      <c r="B3026" s="879"/>
      <c r="C3026" s="879"/>
      <c r="D3026" s="879"/>
      <c r="E3026" s="417">
        <v>333903039410000</v>
      </c>
      <c r="F3026" s="418" t="s">
        <v>8862</v>
      </c>
      <c r="G3026" s="873">
        <v>40</v>
      </c>
      <c r="H3026" s="873">
        <v>0</v>
      </c>
      <c r="I3026" s="751"/>
      <c r="J3026" s="878"/>
      <c r="K3026" s="476">
        <v>0</v>
      </c>
      <c r="L3026" s="476">
        <v>0</v>
      </c>
      <c r="M3026" s="477">
        <f t="shared" si="495"/>
        <v>0</v>
      </c>
      <c r="N3026" s="461"/>
      <c r="P3026" s="461"/>
    </row>
    <row r="3027" spans="2:16" x14ac:dyDescent="0.25">
      <c r="B3027" s="879"/>
      <c r="C3027" s="879"/>
      <c r="D3027" s="879"/>
      <c r="E3027" s="417">
        <v>333903001010300</v>
      </c>
      <c r="F3027" s="418" t="s">
        <v>8863</v>
      </c>
      <c r="G3027" s="873">
        <v>40</v>
      </c>
      <c r="H3027" s="873">
        <v>0</v>
      </c>
      <c r="I3027" s="751"/>
      <c r="J3027" s="878"/>
      <c r="K3027" s="476">
        <v>0</v>
      </c>
      <c r="L3027" s="476">
        <v>0</v>
      </c>
      <c r="M3027" s="477">
        <f t="shared" si="495"/>
        <v>0</v>
      </c>
      <c r="N3027" s="461"/>
      <c r="P3027" s="461"/>
    </row>
    <row r="3028" spans="2:16" x14ac:dyDescent="0.25">
      <c r="B3028" s="879"/>
      <c r="C3028" s="879"/>
      <c r="D3028" s="879"/>
      <c r="E3028" s="417">
        <v>333903001010300</v>
      </c>
      <c r="F3028" s="418" t="s">
        <v>8864</v>
      </c>
      <c r="G3028" s="873">
        <v>40</v>
      </c>
      <c r="H3028" s="873">
        <v>0</v>
      </c>
      <c r="I3028" s="751"/>
      <c r="J3028" s="878"/>
      <c r="K3028" s="476">
        <v>0</v>
      </c>
      <c r="L3028" s="476">
        <v>0</v>
      </c>
      <c r="M3028" s="477">
        <f t="shared" si="495"/>
        <v>0</v>
      </c>
      <c r="N3028" s="461"/>
      <c r="P3028" s="461"/>
    </row>
    <row r="3029" spans="2:16" x14ac:dyDescent="0.25">
      <c r="B3029" s="879"/>
      <c r="C3029" s="879"/>
      <c r="D3029" s="879"/>
      <c r="E3029" s="417">
        <v>333903001012300</v>
      </c>
      <c r="F3029" s="418" t="s">
        <v>8865</v>
      </c>
      <c r="G3029" s="873">
        <v>40</v>
      </c>
      <c r="H3029" s="873">
        <v>0</v>
      </c>
      <c r="I3029" s="751"/>
      <c r="J3029" s="878"/>
      <c r="K3029" s="476">
        <v>0</v>
      </c>
      <c r="L3029" s="476">
        <v>0</v>
      </c>
      <c r="M3029" s="477">
        <f t="shared" si="495"/>
        <v>0</v>
      </c>
      <c r="N3029" s="461"/>
      <c r="P3029" s="461"/>
    </row>
    <row r="3030" spans="2:16" x14ac:dyDescent="0.25">
      <c r="B3030" s="879"/>
      <c r="C3030" s="879"/>
      <c r="D3030" s="879"/>
      <c r="E3030" s="417">
        <v>333903001034200</v>
      </c>
      <c r="F3030" s="418" t="s">
        <v>8866</v>
      </c>
      <c r="G3030" s="873">
        <v>40</v>
      </c>
      <c r="H3030" s="873">
        <v>0</v>
      </c>
      <c r="I3030" s="751"/>
      <c r="J3030" s="878"/>
      <c r="K3030" s="476">
        <v>0</v>
      </c>
      <c r="L3030" s="476">
        <v>0</v>
      </c>
      <c r="M3030" s="477">
        <f t="shared" si="495"/>
        <v>0</v>
      </c>
      <c r="N3030" s="461"/>
      <c r="P3030" s="461"/>
    </row>
    <row r="3031" spans="2:16" x14ac:dyDescent="0.25">
      <c r="B3031" s="879"/>
      <c r="C3031" s="879"/>
      <c r="D3031" s="879"/>
      <c r="E3031" s="417">
        <v>333903001020200</v>
      </c>
      <c r="F3031" s="418" t="s">
        <v>8867</v>
      </c>
      <c r="G3031" s="873">
        <v>40</v>
      </c>
      <c r="H3031" s="873">
        <v>0</v>
      </c>
      <c r="I3031" s="751"/>
      <c r="J3031" s="878"/>
      <c r="K3031" s="476">
        <v>0</v>
      </c>
      <c r="L3031" s="476">
        <v>0</v>
      </c>
      <c r="M3031" s="477">
        <f t="shared" si="495"/>
        <v>0</v>
      </c>
      <c r="N3031" s="461"/>
      <c r="P3031" s="461"/>
    </row>
    <row r="3032" spans="2:16" x14ac:dyDescent="0.25">
      <c r="B3032" s="879"/>
      <c r="C3032" s="879"/>
      <c r="D3032" s="879"/>
      <c r="E3032" s="417">
        <v>333903001033900</v>
      </c>
      <c r="F3032" s="418" t="s">
        <v>8868</v>
      </c>
      <c r="G3032" s="873">
        <v>40</v>
      </c>
      <c r="H3032" s="873">
        <v>0</v>
      </c>
      <c r="I3032" s="751"/>
      <c r="J3032" s="878"/>
      <c r="K3032" s="476">
        <v>0</v>
      </c>
      <c r="L3032" s="476">
        <v>0</v>
      </c>
      <c r="M3032" s="477">
        <f t="shared" si="495"/>
        <v>0</v>
      </c>
      <c r="N3032" s="461"/>
      <c r="P3032" s="461"/>
    </row>
    <row r="3033" spans="2:16" x14ac:dyDescent="0.25">
      <c r="B3033" s="879"/>
      <c r="C3033" s="879"/>
      <c r="D3033" s="879"/>
      <c r="E3033" s="417">
        <v>333903001012300</v>
      </c>
      <c r="F3033" s="418" t="s">
        <v>8869</v>
      </c>
      <c r="G3033" s="873">
        <v>40</v>
      </c>
      <c r="H3033" s="873">
        <v>0</v>
      </c>
      <c r="I3033" s="751"/>
      <c r="J3033" s="878"/>
      <c r="K3033" s="476">
        <v>0</v>
      </c>
      <c r="L3033" s="476">
        <v>0</v>
      </c>
      <c r="M3033" s="477">
        <f t="shared" si="495"/>
        <v>0</v>
      </c>
      <c r="N3033" s="461"/>
      <c r="P3033" s="461"/>
    </row>
    <row r="3034" spans="2:16" x14ac:dyDescent="0.25">
      <c r="B3034" s="879"/>
      <c r="C3034" s="879"/>
      <c r="D3034" s="879"/>
      <c r="E3034" s="417">
        <v>333903001023300</v>
      </c>
      <c r="F3034" s="418" t="s">
        <v>8870</v>
      </c>
      <c r="G3034" s="873">
        <v>40</v>
      </c>
      <c r="H3034" s="873">
        <v>0</v>
      </c>
      <c r="I3034" s="751"/>
      <c r="J3034" s="878"/>
      <c r="K3034" s="476">
        <v>0</v>
      </c>
      <c r="L3034" s="476">
        <v>0</v>
      </c>
      <c r="M3034" s="477">
        <f t="shared" si="495"/>
        <v>0</v>
      </c>
      <c r="N3034" s="461"/>
      <c r="P3034" s="461"/>
    </row>
    <row r="3035" spans="2:16" x14ac:dyDescent="0.25">
      <c r="B3035" s="879"/>
      <c r="C3035" s="879"/>
      <c r="D3035" s="879"/>
      <c r="E3035" s="417">
        <v>333903001023300</v>
      </c>
      <c r="F3035" s="418" t="s">
        <v>8871</v>
      </c>
      <c r="G3035" s="873">
        <v>40</v>
      </c>
      <c r="H3035" s="873">
        <v>0</v>
      </c>
      <c r="I3035" s="751"/>
      <c r="J3035" s="878"/>
      <c r="K3035" s="476">
        <v>0</v>
      </c>
      <c r="L3035" s="476">
        <v>0</v>
      </c>
      <c r="M3035" s="477">
        <f t="shared" si="495"/>
        <v>0</v>
      </c>
      <c r="N3035" s="461"/>
      <c r="P3035" s="461"/>
    </row>
    <row r="3036" spans="2:16" x14ac:dyDescent="0.25">
      <c r="B3036" s="879"/>
      <c r="C3036" s="879"/>
      <c r="D3036" s="879"/>
      <c r="E3036" s="417">
        <v>333903001023400</v>
      </c>
      <c r="F3036" s="418" t="s">
        <v>8872</v>
      </c>
      <c r="G3036" s="873">
        <v>40</v>
      </c>
      <c r="H3036" s="873">
        <v>0</v>
      </c>
      <c r="I3036" s="751"/>
      <c r="J3036" s="878"/>
      <c r="K3036" s="476">
        <v>0</v>
      </c>
      <c r="L3036" s="476">
        <v>0</v>
      </c>
      <c r="M3036" s="477">
        <f t="shared" si="495"/>
        <v>0</v>
      </c>
      <c r="N3036" s="461"/>
      <c r="P3036" s="461"/>
    </row>
    <row r="3037" spans="2:16" x14ac:dyDescent="0.25">
      <c r="B3037" s="879"/>
      <c r="C3037" s="879"/>
      <c r="D3037" s="879"/>
      <c r="E3037" s="417">
        <v>333903001034200</v>
      </c>
      <c r="F3037" s="418" t="s">
        <v>8873</v>
      </c>
      <c r="G3037" s="873">
        <v>40</v>
      </c>
      <c r="H3037" s="873">
        <v>0</v>
      </c>
      <c r="I3037" s="751"/>
      <c r="J3037" s="878"/>
      <c r="K3037" s="476">
        <v>0</v>
      </c>
      <c r="L3037" s="476">
        <v>0</v>
      </c>
      <c r="M3037" s="477">
        <f t="shared" si="495"/>
        <v>0</v>
      </c>
      <c r="N3037" s="461"/>
      <c r="P3037" s="461"/>
    </row>
    <row r="3038" spans="2:16" x14ac:dyDescent="0.25">
      <c r="B3038" s="879"/>
      <c r="C3038" s="879"/>
      <c r="D3038" s="879"/>
      <c r="E3038" s="417">
        <v>333903001020100</v>
      </c>
      <c r="F3038" s="418" t="s">
        <v>8874</v>
      </c>
      <c r="G3038" s="873">
        <v>40</v>
      </c>
      <c r="H3038" s="873">
        <v>0</v>
      </c>
      <c r="I3038" s="751"/>
      <c r="J3038" s="878"/>
      <c r="K3038" s="476">
        <v>0</v>
      </c>
      <c r="L3038" s="476">
        <v>0</v>
      </c>
      <c r="M3038" s="477">
        <f t="shared" si="495"/>
        <v>0</v>
      </c>
      <c r="N3038" s="461"/>
      <c r="P3038" s="461"/>
    </row>
    <row r="3039" spans="2:16" x14ac:dyDescent="0.25">
      <c r="B3039" s="879"/>
      <c r="C3039" s="879"/>
      <c r="D3039" s="879"/>
      <c r="E3039" s="417">
        <v>333903001012400</v>
      </c>
      <c r="F3039" s="418" t="s">
        <v>8842</v>
      </c>
      <c r="G3039" s="873">
        <v>40</v>
      </c>
      <c r="H3039" s="873">
        <v>0</v>
      </c>
      <c r="I3039" s="751"/>
      <c r="J3039" s="878"/>
      <c r="K3039" s="476">
        <v>0</v>
      </c>
      <c r="L3039" s="476">
        <v>0</v>
      </c>
      <c r="M3039" s="477">
        <f t="shared" si="495"/>
        <v>0</v>
      </c>
      <c r="N3039" s="461"/>
      <c r="P3039" s="461"/>
    </row>
    <row r="3040" spans="2:16" x14ac:dyDescent="0.25">
      <c r="B3040" s="879"/>
      <c r="C3040" s="879"/>
      <c r="D3040" s="879"/>
      <c r="E3040" s="417">
        <v>333903001012400</v>
      </c>
      <c r="F3040" s="418" t="s">
        <v>8839</v>
      </c>
      <c r="G3040" s="873">
        <v>40</v>
      </c>
      <c r="H3040" s="873">
        <v>0</v>
      </c>
      <c r="I3040" s="751"/>
      <c r="J3040" s="878"/>
      <c r="K3040" s="476">
        <v>0</v>
      </c>
      <c r="L3040" s="476">
        <v>0</v>
      </c>
      <c r="M3040" s="477">
        <f t="shared" si="495"/>
        <v>0</v>
      </c>
      <c r="N3040" s="461"/>
      <c r="P3040" s="461"/>
    </row>
    <row r="3041" spans="2:16" x14ac:dyDescent="0.25">
      <c r="B3041" s="879"/>
      <c r="C3041" s="879"/>
      <c r="D3041" s="879"/>
      <c r="E3041" s="417">
        <v>333903039050000</v>
      </c>
      <c r="F3041" s="418" t="s">
        <v>8875</v>
      </c>
      <c r="G3041" s="873">
        <v>40</v>
      </c>
      <c r="H3041" s="873">
        <v>0</v>
      </c>
      <c r="I3041" s="751"/>
      <c r="J3041" s="878"/>
      <c r="K3041" s="476">
        <v>0</v>
      </c>
      <c r="L3041" s="476">
        <v>0</v>
      </c>
      <c r="M3041" s="477">
        <f t="shared" si="495"/>
        <v>0</v>
      </c>
      <c r="N3041" s="461"/>
      <c r="P3041" s="461"/>
    </row>
    <row r="3042" spans="2:16" x14ac:dyDescent="0.25">
      <c r="B3042" s="879"/>
      <c r="C3042" s="879"/>
      <c r="D3042" s="879"/>
      <c r="E3042" s="417">
        <v>333903039050000</v>
      </c>
      <c r="F3042" s="418" t="s">
        <v>8876</v>
      </c>
      <c r="G3042" s="873">
        <v>40</v>
      </c>
      <c r="H3042" s="873">
        <v>0</v>
      </c>
      <c r="I3042" s="751"/>
      <c r="J3042" s="878"/>
      <c r="K3042" s="476">
        <v>0</v>
      </c>
      <c r="L3042" s="476">
        <v>0</v>
      </c>
      <c r="M3042" s="477">
        <f t="shared" si="495"/>
        <v>0</v>
      </c>
      <c r="N3042" s="461"/>
      <c r="P3042" s="461"/>
    </row>
    <row r="3043" spans="2:16" x14ac:dyDescent="0.25">
      <c r="B3043" s="879"/>
      <c r="C3043" s="879"/>
      <c r="D3043" s="879"/>
      <c r="E3043" s="417">
        <v>333903001012400</v>
      </c>
      <c r="F3043" s="418" t="s">
        <v>8839</v>
      </c>
      <c r="G3043" s="873">
        <v>40</v>
      </c>
      <c r="H3043" s="873">
        <v>0</v>
      </c>
      <c r="I3043" s="751"/>
      <c r="J3043" s="878"/>
      <c r="K3043" s="476">
        <v>0</v>
      </c>
      <c r="L3043" s="476">
        <v>0</v>
      </c>
      <c r="M3043" s="477">
        <f t="shared" si="495"/>
        <v>0</v>
      </c>
      <c r="N3043" s="461"/>
      <c r="P3043" s="461"/>
    </row>
    <row r="3044" spans="2:16" x14ac:dyDescent="0.25">
      <c r="B3044" s="879"/>
      <c r="C3044" s="879"/>
      <c r="D3044" s="879"/>
      <c r="E3044" s="417">
        <v>333903001020100</v>
      </c>
      <c r="F3044" s="418" t="s">
        <v>8877</v>
      </c>
      <c r="G3044" s="873">
        <v>40</v>
      </c>
      <c r="H3044" s="873">
        <v>0</v>
      </c>
      <c r="I3044" s="751"/>
      <c r="J3044" s="878"/>
      <c r="K3044" s="476">
        <v>0</v>
      </c>
      <c r="L3044" s="476">
        <v>0</v>
      </c>
      <c r="M3044" s="477">
        <f t="shared" si="495"/>
        <v>0</v>
      </c>
      <c r="N3044" s="461"/>
      <c r="P3044" s="461"/>
    </row>
    <row r="3045" spans="2:16" x14ac:dyDescent="0.25">
      <c r="B3045" s="879"/>
      <c r="C3045" s="879"/>
      <c r="D3045" s="879"/>
      <c r="E3045" s="417">
        <v>333903001023400</v>
      </c>
      <c r="F3045" s="418" t="s">
        <v>8878</v>
      </c>
      <c r="G3045" s="873">
        <v>40</v>
      </c>
      <c r="H3045" s="873">
        <v>0</v>
      </c>
      <c r="I3045" s="751"/>
      <c r="J3045" s="878"/>
      <c r="K3045" s="476">
        <v>0</v>
      </c>
      <c r="L3045" s="476">
        <v>0</v>
      </c>
      <c r="M3045" s="477">
        <f t="shared" si="495"/>
        <v>0</v>
      </c>
    </row>
    <row r="3046" spans="2:16" s="115" customFormat="1" x14ac:dyDescent="0.25">
      <c r="B3046" s="879"/>
      <c r="C3046" s="879"/>
      <c r="D3046" s="879" t="s">
        <v>9223</v>
      </c>
      <c r="E3046" s="854">
        <v>333903300000000</v>
      </c>
      <c r="F3046" s="855" t="s">
        <v>9222</v>
      </c>
      <c r="G3046" s="468">
        <v>40</v>
      </c>
      <c r="H3046" s="468">
        <v>0</v>
      </c>
      <c r="I3046" s="751"/>
      <c r="J3046" s="878"/>
      <c r="K3046" s="476">
        <v>0</v>
      </c>
      <c r="L3046" s="476">
        <v>0</v>
      </c>
      <c r="M3046" s="477">
        <f t="shared" si="495"/>
        <v>0</v>
      </c>
      <c r="N3046" s="894"/>
      <c r="P3046" s="733"/>
    </row>
    <row r="3047" spans="2:16" s="115" customFormat="1" x14ac:dyDescent="0.25">
      <c r="B3047" s="599"/>
      <c r="C3047" s="879"/>
      <c r="D3047" s="880">
        <v>621300</v>
      </c>
      <c r="E3047" s="854">
        <v>333903600000000</v>
      </c>
      <c r="F3047" s="855" t="s">
        <v>9220</v>
      </c>
      <c r="G3047" s="468">
        <v>40</v>
      </c>
      <c r="H3047" s="468">
        <v>0</v>
      </c>
      <c r="I3047" s="751"/>
      <c r="J3047" s="878"/>
      <c r="K3047" s="789">
        <f>('Parâmetros financeiros Despesa'!E1560)</f>
        <v>0</v>
      </c>
      <c r="L3047" s="789">
        <f>('Parâmetros financeiros Despesa'!F1560)*(1+'Parâmetros financeiros Despesa'!F$4)*(1+'Parâmetros financeiros Despesa'!F$7)</f>
        <v>5451.6575000000003</v>
      </c>
      <c r="M3047" s="799">
        <f t="shared" ref="M3047:M3049" si="496">L3047/L$3225</f>
        <v>2.0881354038525773E-3</v>
      </c>
      <c r="N3047" s="894"/>
      <c r="P3047" s="733"/>
    </row>
    <row r="3048" spans="2:16" s="115" customFormat="1" x14ac:dyDescent="0.25">
      <c r="B3048" s="879"/>
      <c r="C3048" s="879"/>
      <c r="D3048" s="880">
        <v>621400</v>
      </c>
      <c r="E3048" s="854">
        <v>333903900000000</v>
      </c>
      <c r="F3048" s="855" t="s">
        <v>9221</v>
      </c>
      <c r="G3048" s="468">
        <v>40</v>
      </c>
      <c r="H3048" s="468">
        <v>0</v>
      </c>
      <c r="I3048" s="751"/>
      <c r="J3048" s="878"/>
      <c r="K3048" s="789">
        <f>('Parâmetros financeiros Despesa'!E1561)</f>
        <v>0</v>
      </c>
      <c r="L3048" s="789">
        <f>('Parâmetros financeiros Despesa'!F1561)*(1+'Parâmetros financeiros Despesa'!F$4)*(1+'Parâmetros financeiros Despesa'!F$7)</f>
        <v>5451.6575000000003</v>
      </c>
      <c r="M3048" s="799">
        <f t="shared" si="496"/>
        <v>2.0881354038525773E-3</v>
      </c>
      <c r="N3048" s="894"/>
      <c r="P3048" s="733"/>
    </row>
    <row r="3049" spans="2:16" x14ac:dyDescent="0.25">
      <c r="B3049" s="599" t="s">
        <v>9224</v>
      </c>
      <c r="C3049" s="879" t="s">
        <v>6062</v>
      </c>
      <c r="D3049" s="880">
        <v>621400</v>
      </c>
      <c r="E3049" s="417">
        <v>333903919250000</v>
      </c>
      <c r="F3049" s="418" t="s">
        <v>8879</v>
      </c>
      <c r="G3049" s="873">
        <v>40</v>
      </c>
      <c r="H3049" s="873">
        <v>0</v>
      </c>
      <c r="I3049" s="751"/>
      <c r="J3049" s="878"/>
      <c r="K3049" s="789">
        <f>('Parâmetros financeiros Despesa'!E1562)</f>
        <v>31035.239999999998</v>
      </c>
      <c r="L3049" s="789">
        <f>('Parâmetros financeiros Despesa'!F1562)*(1+'Parâmetros financeiros Despesa'!F$4)*(1+'Parâmetros financeiros Despesa'!F$7)</f>
        <v>33838.699782060001</v>
      </c>
      <c r="M3049" s="799">
        <f t="shared" si="496"/>
        <v>1.2961156682212331E-2</v>
      </c>
    </row>
    <row r="3050" spans="2:16" x14ac:dyDescent="0.25">
      <c r="B3050" s="879"/>
      <c r="C3050" s="879"/>
      <c r="D3050" s="879"/>
      <c r="E3050" s="417">
        <v>333903969240000</v>
      </c>
      <c r="F3050" s="418" t="s">
        <v>8880</v>
      </c>
      <c r="G3050" s="873">
        <v>40</v>
      </c>
      <c r="H3050" s="873">
        <v>0</v>
      </c>
      <c r="I3050" s="751"/>
      <c r="J3050" s="878"/>
      <c r="K3050" s="476">
        <v>0</v>
      </c>
      <c r="L3050" s="476">
        <v>0</v>
      </c>
      <c r="M3050" s="477">
        <f t="shared" ref="M3050:M3075" si="497">L3050/L$3225</f>
        <v>0</v>
      </c>
    </row>
    <row r="3051" spans="2:16" x14ac:dyDescent="0.25">
      <c r="B3051" s="879"/>
      <c r="C3051" s="879"/>
      <c r="D3051" s="879"/>
      <c r="E3051" s="417">
        <v>333903919240000</v>
      </c>
      <c r="F3051" s="418" t="s">
        <v>8881</v>
      </c>
      <c r="G3051" s="873">
        <v>40</v>
      </c>
      <c r="H3051" s="873">
        <v>0</v>
      </c>
      <c r="I3051" s="751"/>
      <c r="J3051" s="878"/>
      <c r="K3051" s="476">
        <v>0</v>
      </c>
      <c r="L3051" s="476">
        <v>0</v>
      </c>
      <c r="M3051" s="477">
        <f t="shared" si="497"/>
        <v>0</v>
      </c>
    </row>
    <row r="3052" spans="2:16" x14ac:dyDescent="0.25">
      <c r="B3052" s="879"/>
      <c r="C3052" s="879"/>
      <c r="D3052" s="879"/>
      <c r="E3052" s="417">
        <v>333903969250000</v>
      </c>
      <c r="F3052" s="418" t="s">
        <v>4245</v>
      </c>
      <c r="G3052" s="873">
        <v>40</v>
      </c>
      <c r="H3052" s="873">
        <v>0</v>
      </c>
      <c r="I3052" s="751"/>
      <c r="J3052" s="878"/>
      <c r="K3052" s="476">
        <v>0</v>
      </c>
      <c r="L3052" s="476">
        <v>0</v>
      </c>
      <c r="M3052" s="477">
        <f t="shared" si="497"/>
        <v>0</v>
      </c>
    </row>
    <row r="3053" spans="2:16" x14ac:dyDescent="0.25">
      <c r="B3053" s="879"/>
      <c r="C3053" s="879"/>
      <c r="D3053" s="879"/>
      <c r="E3053" s="417">
        <v>333903969230000</v>
      </c>
      <c r="F3053" s="418" t="s">
        <v>4163</v>
      </c>
      <c r="G3053" s="873">
        <v>40</v>
      </c>
      <c r="H3053" s="873">
        <v>0</v>
      </c>
      <c r="I3053" s="751"/>
      <c r="J3053" s="878"/>
      <c r="K3053" s="476">
        <v>0</v>
      </c>
      <c r="L3053" s="476">
        <v>0</v>
      </c>
      <c r="M3053" s="477">
        <f t="shared" si="497"/>
        <v>0</v>
      </c>
    </row>
    <row r="3054" spans="2:16" x14ac:dyDescent="0.25">
      <c r="B3054" s="879"/>
      <c r="C3054" s="879"/>
      <c r="D3054" s="879"/>
      <c r="E3054" s="417">
        <v>333903969030000</v>
      </c>
      <c r="F3054" s="418" t="s">
        <v>8882</v>
      </c>
      <c r="G3054" s="873">
        <v>40</v>
      </c>
      <c r="H3054" s="873">
        <v>0</v>
      </c>
      <c r="I3054" s="751"/>
      <c r="J3054" s="878"/>
      <c r="K3054" s="476">
        <v>0</v>
      </c>
      <c r="L3054" s="476">
        <v>0</v>
      </c>
      <c r="M3054" s="477">
        <f t="shared" si="497"/>
        <v>0</v>
      </c>
    </row>
    <row r="3055" spans="2:16" x14ac:dyDescent="0.25">
      <c r="B3055" s="879"/>
      <c r="C3055" s="879"/>
      <c r="D3055" s="879"/>
      <c r="E3055" s="417">
        <v>333903919500000</v>
      </c>
      <c r="F3055" s="418" t="s">
        <v>8883</v>
      </c>
      <c r="G3055" s="873">
        <v>40</v>
      </c>
      <c r="H3055" s="873">
        <v>0</v>
      </c>
      <c r="I3055" s="751"/>
      <c r="J3055" s="878"/>
      <c r="K3055" s="476">
        <v>0</v>
      </c>
      <c r="L3055" s="476">
        <v>0</v>
      </c>
      <c r="M3055" s="477">
        <f t="shared" si="497"/>
        <v>0</v>
      </c>
    </row>
    <row r="3056" spans="2:16" x14ac:dyDescent="0.25">
      <c r="B3056" s="879"/>
      <c r="C3056" s="879"/>
      <c r="D3056" s="879"/>
      <c r="E3056" s="417">
        <v>333903919480000</v>
      </c>
      <c r="F3056" s="418" t="s">
        <v>8884</v>
      </c>
      <c r="G3056" s="873">
        <v>40</v>
      </c>
      <c r="H3056" s="873">
        <v>0</v>
      </c>
      <c r="I3056" s="751"/>
      <c r="J3056" s="878"/>
      <c r="K3056" s="476">
        <v>0</v>
      </c>
      <c r="L3056" s="476">
        <v>0</v>
      </c>
      <c r="M3056" s="477">
        <f t="shared" si="497"/>
        <v>0</v>
      </c>
    </row>
    <row r="3057" spans="2:13" x14ac:dyDescent="0.25">
      <c r="B3057" s="879"/>
      <c r="C3057" s="879"/>
      <c r="D3057" s="879"/>
      <c r="E3057" s="417">
        <v>333903969050000</v>
      </c>
      <c r="F3057" s="418" t="s">
        <v>4058</v>
      </c>
      <c r="G3057" s="873">
        <v>40</v>
      </c>
      <c r="H3057" s="873">
        <v>0</v>
      </c>
      <c r="I3057" s="751"/>
      <c r="J3057" s="878"/>
      <c r="K3057" s="476">
        <v>0</v>
      </c>
      <c r="L3057" s="476">
        <v>0</v>
      </c>
      <c r="M3057" s="477">
        <f t="shared" si="497"/>
        <v>0</v>
      </c>
    </row>
    <row r="3058" spans="2:13" x14ac:dyDescent="0.25">
      <c r="B3058" s="879"/>
      <c r="C3058" s="879"/>
      <c r="D3058" s="879"/>
      <c r="E3058" s="417">
        <v>333903969040000</v>
      </c>
      <c r="F3058" s="418" t="s">
        <v>8885</v>
      </c>
      <c r="G3058" s="873">
        <v>40</v>
      </c>
      <c r="H3058" s="873">
        <v>0</v>
      </c>
      <c r="I3058" s="751"/>
      <c r="J3058" s="878"/>
      <c r="K3058" s="476">
        <v>0</v>
      </c>
      <c r="L3058" s="476">
        <v>0</v>
      </c>
      <c r="M3058" s="477">
        <f t="shared" si="497"/>
        <v>0</v>
      </c>
    </row>
    <row r="3059" spans="2:13" x14ac:dyDescent="0.25">
      <c r="B3059" s="879"/>
      <c r="C3059" s="879"/>
      <c r="D3059" s="879"/>
      <c r="E3059" s="417">
        <v>333903919470000</v>
      </c>
      <c r="F3059" s="418" t="s">
        <v>8886</v>
      </c>
      <c r="G3059" s="873">
        <v>40</v>
      </c>
      <c r="H3059" s="873">
        <v>0</v>
      </c>
      <c r="I3059" s="751"/>
      <c r="J3059" s="878"/>
      <c r="K3059" s="476">
        <v>0</v>
      </c>
      <c r="L3059" s="476">
        <v>0</v>
      </c>
      <c r="M3059" s="477">
        <f t="shared" si="497"/>
        <v>0</v>
      </c>
    </row>
    <row r="3060" spans="2:13" x14ac:dyDescent="0.25">
      <c r="B3060" s="879"/>
      <c r="C3060" s="879"/>
      <c r="D3060" s="879"/>
      <c r="E3060" s="417">
        <v>333903969200000</v>
      </c>
      <c r="F3060" s="418" t="s">
        <v>4088</v>
      </c>
      <c r="G3060" s="873">
        <v>40</v>
      </c>
      <c r="H3060" s="873">
        <v>0</v>
      </c>
      <c r="I3060" s="751"/>
      <c r="J3060" s="878"/>
      <c r="K3060" s="476">
        <v>0</v>
      </c>
      <c r="L3060" s="476">
        <v>0</v>
      </c>
      <c r="M3060" s="477">
        <f t="shared" si="497"/>
        <v>0</v>
      </c>
    </row>
    <row r="3061" spans="2:13" x14ac:dyDescent="0.25">
      <c r="B3061" s="879"/>
      <c r="C3061" s="879"/>
      <c r="D3061" s="879"/>
      <c r="E3061" s="417">
        <v>333903999070400</v>
      </c>
      <c r="F3061" s="418" t="s">
        <v>4098</v>
      </c>
      <c r="G3061" s="873">
        <v>40</v>
      </c>
      <c r="H3061" s="873">
        <v>0</v>
      </c>
      <c r="I3061" s="751"/>
      <c r="J3061" s="878"/>
      <c r="K3061" s="476">
        <v>0</v>
      </c>
      <c r="L3061" s="476">
        <v>0</v>
      </c>
      <c r="M3061" s="477">
        <f t="shared" si="497"/>
        <v>0</v>
      </c>
    </row>
    <row r="3062" spans="2:13" x14ac:dyDescent="0.25">
      <c r="B3062" s="879"/>
      <c r="C3062" s="879"/>
      <c r="D3062" s="879"/>
      <c r="E3062" s="417">
        <v>333903969090000</v>
      </c>
      <c r="F3062" s="418" t="s">
        <v>8887</v>
      </c>
      <c r="G3062" s="873">
        <v>40</v>
      </c>
      <c r="H3062" s="873">
        <v>0</v>
      </c>
      <c r="I3062" s="751"/>
      <c r="J3062" s="878"/>
      <c r="K3062" s="476">
        <v>0</v>
      </c>
      <c r="L3062" s="476">
        <v>0</v>
      </c>
      <c r="M3062" s="477">
        <f t="shared" si="497"/>
        <v>0</v>
      </c>
    </row>
    <row r="3063" spans="2:13" x14ac:dyDescent="0.25">
      <c r="B3063" s="879"/>
      <c r="C3063" s="879"/>
      <c r="D3063" s="879"/>
      <c r="E3063" s="417">
        <v>333903969250000</v>
      </c>
      <c r="F3063" s="418" t="s">
        <v>8888</v>
      </c>
      <c r="G3063" s="873">
        <v>40</v>
      </c>
      <c r="H3063" s="873">
        <v>0</v>
      </c>
      <c r="I3063" s="751"/>
      <c r="J3063" s="878"/>
      <c r="K3063" s="476">
        <v>0</v>
      </c>
      <c r="L3063" s="476">
        <v>0</v>
      </c>
      <c r="M3063" s="477">
        <f t="shared" si="497"/>
        <v>0</v>
      </c>
    </row>
    <row r="3064" spans="2:13" x14ac:dyDescent="0.25">
      <c r="B3064" s="879"/>
      <c r="C3064" s="879"/>
      <c r="D3064" s="879"/>
      <c r="E3064" s="417">
        <v>333903969050000</v>
      </c>
      <c r="F3064" s="418" t="s">
        <v>8889</v>
      </c>
      <c r="G3064" s="873">
        <v>40</v>
      </c>
      <c r="H3064" s="873">
        <v>0</v>
      </c>
      <c r="I3064" s="751"/>
      <c r="J3064" s="878"/>
      <c r="K3064" s="476">
        <v>0</v>
      </c>
      <c r="L3064" s="476">
        <v>0</v>
      </c>
      <c r="M3064" s="477">
        <f t="shared" si="497"/>
        <v>0</v>
      </c>
    </row>
    <row r="3065" spans="2:13" x14ac:dyDescent="0.25">
      <c r="B3065" s="879"/>
      <c r="C3065" s="879"/>
      <c r="D3065" s="879"/>
      <c r="E3065" s="417">
        <v>333903919490000</v>
      </c>
      <c r="F3065" s="418" t="s">
        <v>8890</v>
      </c>
      <c r="G3065" s="873">
        <v>40</v>
      </c>
      <c r="H3065" s="873">
        <v>0</v>
      </c>
      <c r="I3065" s="751"/>
      <c r="J3065" s="878"/>
      <c r="K3065" s="476">
        <v>0</v>
      </c>
      <c r="L3065" s="476">
        <v>0</v>
      </c>
      <c r="M3065" s="477">
        <f t="shared" si="497"/>
        <v>0</v>
      </c>
    </row>
    <row r="3066" spans="2:13" x14ac:dyDescent="0.25">
      <c r="B3066" s="879"/>
      <c r="C3066" s="879"/>
      <c r="D3066" s="879"/>
      <c r="E3066" s="417">
        <v>333903919230000</v>
      </c>
      <c r="F3066" s="418" t="s">
        <v>8891</v>
      </c>
      <c r="G3066" s="873">
        <v>40</v>
      </c>
      <c r="H3066" s="873">
        <v>0</v>
      </c>
      <c r="I3066" s="751"/>
      <c r="J3066" s="878"/>
      <c r="K3066" s="476">
        <v>0</v>
      </c>
      <c r="L3066" s="476">
        <v>0</v>
      </c>
      <c r="M3066" s="477">
        <f t="shared" si="497"/>
        <v>0</v>
      </c>
    </row>
    <row r="3067" spans="2:13" x14ac:dyDescent="0.25">
      <c r="B3067" s="879"/>
      <c r="C3067" s="879"/>
      <c r="D3067" s="879"/>
      <c r="E3067" s="417">
        <v>333903919520000</v>
      </c>
      <c r="F3067" s="418" t="s">
        <v>5286</v>
      </c>
      <c r="G3067" s="873">
        <v>40</v>
      </c>
      <c r="H3067" s="873">
        <v>0</v>
      </c>
      <c r="I3067" s="751"/>
      <c r="J3067" s="878"/>
      <c r="K3067" s="476">
        <v>0</v>
      </c>
      <c r="L3067" s="476">
        <v>0</v>
      </c>
      <c r="M3067" s="477">
        <f t="shared" si="497"/>
        <v>0</v>
      </c>
    </row>
    <row r="3068" spans="2:13" x14ac:dyDescent="0.25">
      <c r="B3068" s="879"/>
      <c r="C3068" s="879"/>
      <c r="D3068" s="879"/>
      <c r="E3068" s="417">
        <v>333903919530000</v>
      </c>
      <c r="F3068" s="418" t="s">
        <v>5682</v>
      </c>
      <c r="G3068" s="873">
        <v>40</v>
      </c>
      <c r="H3068" s="873">
        <v>0</v>
      </c>
      <c r="I3068" s="751"/>
      <c r="J3068" s="878"/>
      <c r="K3068" s="476">
        <v>0</v>
      </c>
      <c r="L3068" s="476">
        <v>0</v>
      </c>
      <c r="M3068" s="477">
        <f t="shared" si="497"/>
        <v>0</v>
      </c>
    </row>
    <row r="3069" spans="2:13" x14ac:dyDescent="0.25">
      <c r="B3069" s="879"/>
      <c r="C3069" s="879"/>
      <c r="D3069" s="879"/>
      <c r="E3069" s="417">
        <v>333903969260000</v>
      </c>
      <c r="F3069" s="418" t="s">
        <v>5322</v>
      </c>
      <c r="G3069" s="873">
        <v>40</v>
      </c>
      <c r="H3069" s="873">
        <v>0</v>
      </c>
      <c r="I3069" s="751"/>
      <c r="J3069" s="878"/>
      <c r="K3069" s="476">
        <v>0</v>
      </c>
      <c r="L3069" s="476">
        <v>0</v>
      </c>
      <c r="M3069" s="477">
        <f t="shared" si="497"/>
        <v>0</v>
      </c>
    </row>
    <row r="3070" spans="2:13" x14ac:dyDescent="0.25">
      <c r="B3070" s="879"/>
      <c r="C3070" s="879"/>
      <c r="D3070" s="879"/>
      <c r="E3070" s="417">
        <v>333903919540000</v>
      </c>
      <c r="F3070" s="418" t="s">
        <v>8892</v>
      </c>
      <c r="G3070" s="873">
        <v>40</v>
      </c>
      <c r="H3070" s="873">
        <v>0</v>
      </c>
      <c r="I3070" s="751"/>
      <c r="J3070" s="878"/>
      <c r="K3070" s="476">
        <v>0</v>
      </c>
      <c r="L3070" s="476">
        <v>0</v>
      </c>
      <c r="M3070" s="477">
        <f t="shared" si="497"/>
        <v>0</v>
      </c>
    </row>
    <row r="3071" spans="2:13" x14ac:dyDescent="0.25">
      <c r="B3071" s="879"/>
      <c r="C3071" s="879"/>
      <c r="D3071" s="879"/>
      <c r="E3071" s="417">
        <v>333903919550000</v>
      </c>
      <c r="F3071" s="418" t="s">
        <v>8893</v>
      </c>
      <c r="G3071" s="873">
        <v>40</v>
      </c>
      <c r="H3071" s="873">
        <v>0</v>
      </c>
      <c r="I3071" s="751"/>
      <c r="J3071" s="878"/>
      <c r="K3071" s="476">
        <v>0</v>
      </c>
      <c r="L3071" s="476">
        <v>0</v>
      </c>
      <c r="M3071" s="477">
        <f t="shared" si="497"/>
        <v>0</v>
      </c>
    </row>
    <row r="3072" spans="2:13" x14ac:dyDescent="0.25">
      <c r="B3072" s="879"/>
      <c r="C3072" s="879"/>
      <c r="D3072" s="879"/>
      <c r="E3072" s="417">
        <v>333903919050000</v>
      </c>
      <c r="F3072" s="418" t="s">
        <v>8894</v>
      </c>
      <c r="G3072" s="873">
        <v>40</v>
      </c>
      <c r="H3072" s="873">
        <v>0</v>
      </c>
      <c r="I3072" s="751"/>
      <c r="J3072" s="878"/>
      <c r="K3072" s="476">
        <v>0</v>
      </c>
      <c r="L3072" s="476">
        <v>0</v>
      </c>
      <c r="M3072" s="477">
        <f t="shared" si="497"/>
        <v>0</v>
      </c>
    </row>
    <row r="3073" spans="2:16" x14ac:dyDescent="0.25">
      <c r="B3073" s="879"/>
      <c r="C3073" s="879"/>
      <c r="D3073" s="879"/>
      <c r="E3073" s="417">
        <v>333903919030000</v>
      </c>
      <c r="F3073" s="418" t="s">
        <v>8895</v>
      </c>
      <c r="G3073" s="873">
        <v>40</v>
      </c>
      <c r="H3073" s="873">
        <v>0</v>
      </c>
      <c r="I3073" s="751"/>
      <c r="J3073" s="878"/>
      <c r="K3073" s="476">
        <v>0</v>
      </c>
      <c r="L3073" s="476">
        <v>0</v>
      </c>
      <c r="M3073" s="477">
        <f t="shared" si="497"/>
        <v>0</v>
      </c>
    </row>
    <row r="3074" spans="2:16" x14ac:dyDescent="0.25">
      <c r="B3074" s="879"/>
      <c r="C3074" s="879"/>
      <c r="D3074" s="879"/>
      <c r="E3074" s="417">
        <v>333903919040000</v>
      </c>
      <c r="F3074" s="418" t="s">
        <v>8896</v>
      </c>
      <c r="G3074" s="873">
        <v>40</v>
      </c>
      <c r="H3074" s="873">
        <v>0</v>
      </c>
      <c r="I3074" s="751"/>
      <c r="J3074" s="878"/>
      <c r="K3074" s="476">
        <v>0</v>
      </c>
      <c r="L3074" s="476">
        <v>0</v>
      </c>
      <c r="M3074" s="477">
        <f t="shared" si="497"/>
        <v>0</v>
      </c>
    </row>
    <row r="3075" spans="2:16" x14ac:dyDescent="0.25">
      <c r="B3075" s="879"/>
      <c r="C3075" s="879"/>
      <c r="D3075" s="879"/>
      <c r="E3075" s="417">
        <v>333903919420000</v>
      </c>
      <c r="F3075" s="418" t="s">
        <v>5278</v>
      </c>
      <c r="G3075" s="873">
        <v>40</v>
      </c>
      <c r="H3075" s="873">
        <v>0</v>
      </c>
      <c r="I3075" s="751"/>
      <c r="J3075" s="878"/>
      <c r="K3075" s="476">
        <v>0</v>
      </c>
      <c r="L3075" s="476">
        <v>0</v>
      </c>
      <c r="M3075" s="477">
        <f t="shared" si="497"/>
        <v>0</v>
      </c>
    </row>
    <row r="3076" spans="2:16" s="115" customFormat="1" x14ac:dyDescent="0.25">
      <c r="B3076" s="879"/>
      <c r="C3076" s="879"/>
      <c r="D3076" s="880">
        <v>621500</v>
      </c>
      <c r="E3076" s="854">
        <v>333904700000000</v>
      </c>
      <c r="F3076" s="855" t="s">
        <v>9225</v>
      </c>
      <c r="G3076" s="468">
        <v>40</v>
      </c>
      <c r="H3076" s="468">
        <v>0</v>
      </c>
      <c r="I3076" s="751"/>
      <c r="J3076" s="878"/>
      <c r="K3076" s="789">
        <f>('Parâmetros financeiros Despesa'!E1563)</f>
        <v>578.09999999999991</v>
      </c>
      <c r="L3076" s="789">
        <f>('Parâmetros financeiros Despesa'!F1563)*(1+'Parâmetros financeiros Despesa'!F$4)*(1+'Parâmetros financeiros Despesa'!F$7)</f>
        <v>1090.3315</v>
      </c>
      <c r="M3076" s="799">
        <f>L3076/L$3225</f>
        <v>4.1762708077051539E-4</v>
      </c>
      <c r="N3076" s="894"/>
      <c r="P3076" s="733"/>
    </row>
    <row r="3077" spans="2:16" x14ac:dyDescent="0.25">
      <c r="B3077" s="599" t="s">
        <v>9226</v>
      </c>
      <c r="C3077" s="879" t="s">
        <v>6062</v>
      </c>
      <c r="D3077" s="880">
        <v>621500</v>
      </c>
      <c r="E3077" s="417">
        <v>333904720000000</v>
      </c>
      <c r="F3077" s="418" t="s">
        <v>8897</v>
      </c>
      <c r="G3077" s="873">
        <v>40</v>
      </c>
      <c r="H3077" s="873">
        <v>0</v>
      </c>
      <c r="I3077" s="751"/>
      <c r="J3077" s="878"/>
      <c r="K3077" s="476">
        <v>0</v>
      </c>
      <c r="L3077" s="476">
        <v>0</v>
      </c>
      <c r="M3077" s="477">
        <f t="shared" ref="M3077:M3084" si="498">L3077/L$3225</f>
        <v>0</v>
      </c>
    </row>
    <row r="3078" spans="2:16" x14ac:dyDescent="0.25">
      <c r="B3078" s="599" t="s">
        <v>9227</v>
      </c>
      <c r="C3078" s="879" t="s">
        <v>6062</v>
      </c>
      <c r="D3078" s="880">
        <v>621500</v>
      </c>
      <c r="E3078" s="417">
        <v>333904720000000</v>
      </c>
      <c r="F3078" s="418" t="s">
        <v>8898</v>
      </c>
      <c r="G3078" s="873">
        <v>40</v>
      </c>
      <c r="H3078" s="873">
        <v>0</v>
      </c>
      <c r="I3078" s="751"/>
      <c r="J3078" s="878"/>
      <c r="K3078" s="476">
        <v>0</v>
      </c>
      <c r="L3078" s="476">
        <v>0</v>
      </c>
      <c r="M3078" s="477">
        <f t="shared" si="498"/>
        <v>0</v>
      </c>
    </row>
    <row r="3079" spans="2:16" x14ac:dyDescent="0.25">
      <c r="B3079" s="879"/>
      <c r="C3079" s="879"/>
      <c r="D3079" s="879"/>
      <c r="E3079" s="417">
        <v>333904720000000</v>
      </c>
      <c r="F3079" s="418" t="s">
        <v>8899</v>
      </c>
      <c r="G3079" s="873">
        <v>40</v>
      </c>
      <c r="H3079" s="873">
        <v>0</v>
      </c>
      <c r="I3079" s="751"/>
      <c r="J3079" s="878"/>
      <c r="K3079" s="476">
        <v>0</v>
      </c>
      <c r="L3079" s="476">
        <v>0</v>
      </c>
      <c r="M3079" s="477">
        <f t="shared" si="498"/>
        <v>0</v>
      </c>
    </row>
    <row r="3080" spans="2:16" x14ac:dyDescent="0.25">
      <c r="B3080" s="879"/>
      <c r="C3080" s="879"/>
      <c r="D3080" s="879"/>
      <c r="E3080" s="417">
        <v>333904720000000</v>
      </c>
      <c r="F3080" s="418" t="s">
        <v>8900</v>
      </c>
      <c r="G3080" s="873">
        <v>40</v>
      </c>
      <c r="H3080" s="873">
        <v>0</v>
      </c>
      <c r="I3080" s="751"/>
      <c r="J3080" s="878"/>
      <c r="K3080" s="476">
        <v>0</v>
      </c>
      <c r="L3080" s="476">
        <v>0</v>
      </c>
      <c r="M3080" s="477">
        <f t="shared" si="498"/>
        <v>0</v>
      </c>
    </row>
    <row r="3081" spans="2:16" x14ac:dyDescent="0.25">
      <c r="B3081" s="879"/>
      <c r="C3081" s="879"/>
      <c r="D3081" s="879"/>
      <c r="E3081" s="417">
        <v>333904720000000</v>
      </c>
      <c r="F3081" s="418" t="s">
        <v>8901</v>
      </c>
      <c r="G3081" s="873">
        <v>40</v>
      </c>
      <c r="H3081" s="873">
        <v>0</v>
      </c>
      <c r="I3081" s="751"/>
      <c r="J3081" s="878"/>
      <c r="K3081" s="476">
        <v>0</v>
      </c>
      <c r="L3081" s="476">
        <v>0</v>
      </c>
      <c r="M3081" s="477">
        <f t="shared" si="498"/>
        <v>0</v>
      </c>
    </row>
    <row r="3082" spans="2:16" x14ac:dyDescent="0.25">
      <c r="B3082" s="879"/>
      <c r="C3082" s="879"/>
      <c r="D3082" s="879"/>
      <c r="E3082" s="417">
        <v>333904720000000</v>
      </c>
      <c r="F3082" s="418" t="s">
        <v>8902</v>
      </c>
      <c r="G3082" s="873">
        <v>40</v>
      </c>
      <c r="H3082" s="873">
        <v>0</v>
      </c>
      <c r="I3082" s="751"/>
      <c r="J3082" s="878"/>
      <c r="K3082" s="476">
        <v>0</v>
      </c>
      <c r="L3082" s="476">
        <v>0</v>
      </c>
      <c r="M3082" s="477">
        <f t="shared" si="498"/>
        <v>0</v>
      </c>
    </row>
    <row r="3083" spans="2:16" x14ac:dyDescent="0.25">
      <c r="B3083" s="879"/>
      <c r="C3083" s="879"/>
      <c r="D3083" s="879"/>
      <c r="E3083" s="417">
        <v>333904720000000</v>
      </c>
      <c r="F3083" s="418" t="s">
        <v>8903</v>
      </c>
      <c r="G3083" s="873">
        <v>40</v>
      </c>
      <c r="H3083" s="873">
        <v>0</v>
      </c>
      <c r="I3083" s="751"/>
      <c r="J3083" s="878"/>
      <c r="K3083" s="476">
        <v>0</v>
      </c>
      <c r="L3083" s="476">
        <v>0</v>
      </c>
      <c r="M3083" s="477">
        <f t="shared" si="498"/>
        <v>0</v>
      </c>
    </row>
    <row r="3084" spans="2:16" x14ac:dyDescent="0.25">
      <c r="B3084" s="879"/>
      <c r="C3084" s="879"/>
      <c r="D3084" s="879"/>
      <c r="E3084" s="417">
        <v>333904720000000</v>
      </c>
      <c r="F3084" s="418" t="s">
        <v>8904</v>
      </c>
      <c r="G3084" s="873">
        <v>40</v>
      </c>
      <c r="H3084" s="873">
        <v>0</v>
      </c>
      <c r="I3084" s="751"/>
      <c r="J3084" s="878"/>
      <c r="K3084" s="476">
        <v>0</v>
      </c>
      <c r="L3084" s="476">
        <v>0</v>
      </c>
      <c r="M3084" s="477">
        <f t="shared" si="498"/>
        <v>0</v>
      </c>
    </row>
    <row r="3085" spans="2:16" s="115" customFormat="1" x14ac:dyDescent="0.25">
      <c r="B3085" s="879"/>
      <c r="C3085" s="879"/>
      <c r="D3085" s="880">
        <v>621600</v>
      </c>
      <c r="E3085" s="854">
        <v>333909300000000</v>
      </c>
      <c r="F3085" s="855" t="s">
        <v>9231</v>
      </c>
      <c r="G3085" s="468">
        <v>40</v>
      </c>
      <c r="H3085" s="468">
        <v>0</v>
      </c>
      <c r="I3085" s="751"/>
      <c r="J3085" s="878"/>
      <c r="K3085" s="789">
        <f>('Parâmetros financeiros Despesa'!E1564)</f>
        <v>0</v>
      </c>
      <c r="L3085" s="789">
        <f>('Parâmetros financeiros Despesa'!F1564)*(1+'Parâmetros financeiros Despesa'!F$4)*(1+'Parâmetros financeiros Despesa'!F$7)</f>
        <v>1090.3315</v>
      </c>
      <c r="M3085" s="799">
        <f t="shared" ref="M3085:M3088" si="499">L3085/L$3225</f>
        <v>4.1762708077051539E-4</v>
      </c>
      <c r="N3085" s="894"/>
      <c r="P3085" s="733"/>
    </row>
    <row r="3086" spans="2:16" s="115" customFormat="1" ht="30" x14ac:dyDescent="0.25">
      <c r="B3086" s="879"/>
      <c r="C3086" s="879"/>
      <c r="D3086" s="880">
        <v>621700</v>
      </c>
      <c r="E3086" s="854">
        <v>333933000000000</v>
      </c>
      <c r="F3086" s="855" t="s">
        <v>9228</v>
      </c>
      <c r="G3086" s="468">
        <v>40</v>
      </c>
      <c r="H3086" s="468">
        <v>0</v>
      </c>
      <c r="I3086" s="751"/>
      <c r="J3086" s="878"/>
      <c r="K3086" s="789">
        <f>('Parâmetros financeiros Despesa'!E1565)</f>
        <v>336</v>
      </c>
      <c r="L3086" s="789">
        <f>('Parâmetros financeiros Despesa'!F1565)*(1+'Parâmetros financeiros Despesa'!F$4)*(1+'Parâmetros financeiros Despesa'!F$7)</f>
        <v>545.16575</v>
      </c>
      <c r="M3086" s="799">
        <f t="shared" si="499"/>
        <v>2.0881354038525769E-4</v>
      </c>
      <c r="N3086" s="894"/>
      <c r="P3086" s="733"/>
    </row>
    <row r="3087" spans="2:16" x14ac:dyDescent="0.25">
      <c r="B3087" s="599" t="s">
        <v>9232</v>
      </c>
      <c r="C3087" s="879" t="s">
        <v>6062</v>
      </c>
      <c r="D3087" s="880">
        <v>621700</v>
      </c>
      <c r="E3087" s="417">
        <v>333933005000000</v>
      </c>
      <c r="F3087" s="418" t="s">
        <v>8905</v>
      </c>
      <c r="G3087" s="873">
        <v>40</v>
      </c>
      <c r="H3087" s="873">
        <v>0</v>
      </c>
      <c r="I3087" s="751"/>
      <c r="J3087" s="878"/>
      <c r="K3087" s="476">
        <v>0</v>
      </c>
      <c r="L3087" s="476">
        <v>0</v>
      </c>
      <c r="M3087" s="477">
        <f t="shared" si="499"/>
        <v>0</v>
      </c>
    </row>
    <row r="3088" spans="2:16" x14ac:dyDescent="0.25">
      <c r="B3088" s="599" t="s">
        <v>9233</v>
      </c>
      <c r="C3088" s="879" t="s">
        <v>6062</v>
      </c>
      <c r="D3088" s="880">
        <v>621700</v>
      </c>
      <c r="E3088" s="417">
        <v>333933005000000</v>
      </c>
      <c r="F3088" s="418" t="s">
        <v>8906</v>
      </c>
      <c r="G3088" s="873">
        <v>40</v>
      </c>
      <c r="H3088" s="873">
        <v>0</v>
      </c>
      <c r="I3088" s="751"/>
      <c r="J3088" s="878"/>
      <c r="K3088" s="476">
        <v>0</v>
      </c>
      <c r="L3088" s="476">
        <v>0</v>
      </c>
      <c r="M3088" s="477">
        <f t="shared" si="499"/>
        <v>0</v>
      </c>
    </row>
    <row r="3089" spans="1:16" s="115" customFormat="1" x14ac:dyDescent="0.25">
      <c r="B3089" s="879"/>
      <c r="C3089" s="879"/>
      <c r="D3089" s="880">
        <v>621800</v>
      </c>
      <c r="E3089" s="854">
        <v>344905100000000</v>
      </c>
      <c r="F3089" s="855" t="s">
        <v>9229</v>
      </c>
      <c r="G3089" s="468">
        <v>40</v>
      </c>
      <c r="H3089" s="468">
        <v>0</v>
      </c>
      <c r="I3089" s="751"/>
      <c r="J3089" s="878"/>
      <c r="K3089" s="789">
        <f>('Parâmetros financeiros Despesa'!E1566)</f>
        <v>0</v>
      </c>
      <c r="L3089" s="789">
        <f>('Parâmetros financeiros Despesa'!F1566)*(1+'Parâmetros financeiros Despesa'!F$4)*(1+'Parâmetros financeiros Despesa'!F$7)</f>
        <v>545.16575</v>
      </c>
      <c r="M3089" s="799">
        <f t="shared" ref="M3089:M3090" si="500">L3089/L$3225</f>
        <v>2.0881354038525769E-4</v>
      </c>
      <c r="N3089" s="894"/>
      <c r="P3089" s="733"/>
    </row>
    <row r="3090" spans="1:16" s="115" customFormat="1" x14ac:dyDescent="0.25">
      <c r="B3090" s="879"/>
      <c r="C3090" s="879"/>
      <c r="D3090" s="880">
        <v>621850</v>
      </c>
      <c r="E3090" s="854">
        <v>344905200000000</v>
      </c>
      <c r="F3090" s="855" t="s">
        <v>9230</v>
      </c>
      <c r="G3090" s="468">
        <v>40</v>
      </c>
      <c r="H3090" s="468">
        <v>0</v>
      </c>
      <c r="I3090" s="751"/>
      <c r="J3090" s="878"/>
      <c r="K3090" s="789">
        <f>('Parâmetros financeiros Despesa'!E1567)</f>
        <v>0</v>
      </c>
      <c r="L3090" s="789">
        <f>('Parâmetros financeiros Despesa'!F1567)*(1+'Parâmetros financeiros Despesa'!F$4)*(1+'Parâmetros financeiros Despesa'!F$7)</f>
        <v>545.16575</v>
      </c>
      <c r="M3090" s="799">
        <f t="shared" si="500"/>
        <v>2.0881354038525769E-4</v>
      </c>
      <c r="N3090" s="894"/>
      <c r="P3090" s="733"/>
    </row>
    <row r="3091" spans="1:16" s="775" customFormat="1" ht="15" customHeight="1" x14ac:dyDescent="0.25">
      <c r="A3091" s="397"/>
      <c r="B3091" s="1382" t="s">
        <v>8699</v>
      </c>
      <c r="C3091" s="1382"/>
      <c r="D3091" s="1382"/>
      <c r="E3091" s="1382"/>
      <c r="F3091" s="1382"/>
      <c r="G3091" s="405"/>
      <c r="H3091" s="405"/>
      <c r="I3091" s="428"/>
      <c r="J3091" s="413"/>
      <c r="K3091" s="406">
        <f t="shared" ref="K3091:L3093" si="501">K3092</f>
        <v>0</v>
      </c>
      <c r="L3091" s="406">
        <f t="shared" si="501"/>
        <v>9789.0943368350017</v>
      </c>
      <c r="M3091" s="453">
        <f>L3091/L$3225</f>
        <v>3.7494935175949574E-3</v>
      </c>
      <c r="N3091" s="796"/>
      <c r="P3091" s="399"/>
    </row>
    <row r="3092" spans="1:16" s="775" customFormat="1" ht="15" customHeight="1" x14ac:dyDescent="0.25">
      <c r="A3092" s="397"/>
      <c r="B3092" s="1383" t="s">
        <v>8812</v>
      </c>
      <c r="C3092" s="1383"/>
      <c r="D3092" s="1383"/>
      <c r="E3092" s="1383"/>
      <c r="F3092" s="1383"/>
      <c r="G3092" s="407"/>
      <c r="H3092" s="407"/>
      <c r="I3092" s="429"/>
      <c r="J3092" s="414"/>
      <c r="K3092" s="408">
        <f t="shared" si="501"/>
        <v>0</v>
      </c>
      <c r="L3092" s="408">
        <f t="shared" si="501"/>
        <v>9789.0943368350017</v>
      </c>
      <c r="M3092" s="454">
        <f>L3092/L$3225</f>
        <v>3.7494935175949574E-3</v>
      </c>
      <c r="N3092" s="796"/>
      <c r="P3092" s="399"/>
    </row>
    <row r="3093" spans="1:16" s="775" customFormat="1" ht="15" customHeight="1" x14ac:dyDescent="0.25">
      <c r="A3093" s="397"/>
      <c r="B3093" s="1386" t="s">
        <v>9370</v>
      </c>
      <c r="C3093" s="1386"/>
      <c r="D3093" s="1386"/>
      <c r="E3093" s="1386"/>
      <c r="F3093" s="1386"/>
      <c r="G3093" s="403"/>
      <c r="H3093" s="403"/>
      <c r="I3093" s="427"/>
      <c r="J3093" s="412"/>
      <c r="K3093" s="404">
        <f t="shared" si="501"/>
        <v>0</v>
      </c>
      <c r="L3093" s="404">
        <f t="shared" si="501"/>
        <v>9789.0943368350017</v>
      </c>
      <c r="M3093" s="452">
        <f>L3093/L$3225</f>
        <v>3.7494935175949574E-3</v>
      </c>
      <c r="N3093" s="796"/>
      <c r="P3093" s="399"/>
    </row>
    <row r="3094" spans="1:16" s="775" customFormat="1" ht="15" customHeight="1" x14ac:dyDescent="0.25">
      <c r="A3094" s="397"/>
      <c r="B3094" s="1385" t="s">
        <v>8698</v>
      </c>
      <c r="C3094" s="1385"/>
      <c r="D3094" s="1385"/>
      <c r="E3094" s="1385"/>
      <c r="F3094" s="1385"/>
      <c r="G3094" s="401"/>
      <c r="H3094" s="401"/>
      <c r="I3094" s="426"/>
      <c r="J3094" s="411"/>
      <c r="K3094" s="402">
        <f>K3095+K3096</f>
        <v>0</v>
      </c>
      <c r="L3094" s="402">
        <f>L3095+L3096</f>
        <v>9789.0943368350017</v>
      </c>
      <c r="M3094" s="451">
        <f>L3094/L$3225</f>
        <v>3.7494935175949574E-3</v>
      </c>
      <c r="N3094" s="796"/>
      <c r="P3094" s="399"/>
    </row>
    <row r="3095" spans="1:16" s="115" customFormat="1" ht="15" customHeight="1" x14ac:dyDescent="0.25">
      <c r="A3095" s="396"/>
      <c r="B3095" s="881"/>
      <c r="C3095" s="881"/>
      <c r="D3095" s="881">
        <v>621900</v>
      </c>
      <c r="E3095" s="854">
        <v>344903000000000</v>
      </c>
      <c r="F3095" s="855" t="s">
        <v>9058</v>
      </c>
      <c r="G3095" s="468">
        <v>40</v>
      </c>
      <c r="H3095" s="468">
        <v>0</v>
      </c>
      <c r="I3095" s="751"/>
      <c r="J3095" s="878"/>
      <c r="K3095" s="789">
        <f>('Parâmetros financeiros Despesa'!E1569)</f>
        <v>0</v>
      </c>
      <c r="L3095" s="789">
        <f>('Parâmetros financeiros Despesa'!F1569)*(1+'Parâmetros financeiros Despesa'!F$4)*(1+'Parâmetros financeiros Despesa'!F$7)</f>
        <v>1090.3315</v>
      </c>
      <c r="M3095" s="799">
        <f t="shared" ref="M3095:M3096" si="502">L3095/L$3225</f>
        <v>4.1762708077051539E-4</v>
      </c>
      <c r="N3095" s="894"/>
      <c r="P3095" s="733"/>
    </row>
    <row r="3096" spans="1:16" s="115" customFormat="1" ht="15" customHeight="1" x14ac:dyDescent="0.25">
      <c r="A3096" s="396"/>
      <c r="B3096" s="881"/>
      <c r="C3096" s="881"/>
      <c r="D3096" s="881">
        <v>621920</v>
      </c>
      <c r="E3096" s="854">
        <v>344903200000000</v>
      </c>
      <c r="F3096" s="855" t="s">
        <v>9060</v>
      </c>
      <c r="G3096" s="468">
        <v>40</v>
      </c>
      <c r="H3096" s="468">
        <v>0</v>
      </c>
      <c r="I3096" s="751"/>
      <c r="J3096" s="878"/>
      <c r="K3096" s="789">
        <f>('Parâmetros financeiros Despesa'!E1570)</f>
        <v>0</v>
      </c>
      <c r="L3096" s="789">
        <f>('Parâmetros financeiros Despesa'!F1570)*(1+'Parâmetros financeiros Despesa'!F$4)*(1+'Parâmetros financeiros Despesa'!F$7)</f>
        <v>8698.7628368350015</v>
      </c>
      <c r="M3096" s="799">
        <f t="shared" si="502"/>
        <v>3.3318664368244418E-3</v>
      </c>
      <c r="N3096" s="894"/>
      <c r="P3096" s="733"/>
    </row>
    <row r="3097" spans="1:16" s="775" customFormat="1" ht="15" customHeight="1" x14ac:dyDescent="0.25">
      <c r="A3097" s="397"/>
      <c r="B3097" s="1382" t="s">
        <v>8699</v>
      </c>
      <c r="C3097" s="1382"/>
      <c r="D3097" s="1382"/>
      <c r="E3097" s="1382"/>
      <c r="F3097" s="1382"/>
      <c r="G3097" s="405"/>
      <c r="H3097" s="405"/>
      <c r="I3097" s="428"/>
      <c r="J3097" s="413"/>
      <c r="K3097" s="406">
        <f t="shared" ref="K3097:L3099" si="503">K3098</f>
        <v>0</v>
      </c>
      <c r="L3097" s="406">
        <f t="shared" si="503"/>
        <v>2180.663</v>
      </c>
      <c r="M3097" s="453">
        <f>L3097/L$3225</f>
        <v>8.3525416154103078E-4</v>
      </c>
      <c r="N3097" s="796"/>
      <c r="P3097" s="399"/>
    </row>
    <row r="3098" spans="1:16" s="775" customFormat="1" ht="15" customHeight="1" x14ac:dyDescent="0.25">
      <c r="A3098" s="397"/>
      <c r="B3098" s="1383" t="s">
        <v>8812</v>
      </c>
      <c r="C3098" s="1383"/>
      <c r="D3098" s="1383"/>
      <c r="E3098" s="1383"/>
      <c r="F3098" s="1383"/>
      <c r="G3098" s="407"/>
      <c r="H3098" s="407"/>
      <c r="I3098" s="429"/>
      <c r="J3098" s="414"/>
      <c r="K3098" s="408">
        <f t="shared" si="503"/>
        <v>0</v>
      </c>
      <c r="L3098" s="408">
        <f t="shared" si="503"/>
        <v>2180.663</v>
      </c>
      <c r="M3098" s="454">
        <f>L3098/L$3225</f>
        <v>8.3525416154103078E-4</v>
      </c>
      <c r="N3098" s="796"/>
      <c r="P3098" s="399"/>
    </row>
    <row r="3099" spans="1:16" s="775" customFormat="1" ht="15" customHeight="1" x14ac:dyDescent="0.25">
      <c r="A3099" s="397"/>
      <c r="B3099" s="1386" t="s">
        <v>9044</v>
      </c>
      <c r="C3099" s="1386"/>
      <c r="D3099" s="1386"/>
      <c r="E3099" s="1386"/>
      <c r="F3099" s="1386"/>
      <c r="G3099" s="403"/>
      <c r="H3099" s="403"/>
      <c r="I3099" s="427"/>
      <c r="J3099" s="412"/>
      <c r="K3099" s="404">
        <f t="shared" si="503"/>
        <v>0</v>
      </c>
      <c r="L3099" s="404">
        <f t="shared" si="503"/>
        <v>2180.663</v>
      </c>
      <c r="M3099" s="452">
        <f>L3099/L$3225</f>
        <v>8.3525416154103078E-4</v>
      </c>
      <c r="N3099" s="796"/>
      <c r="P3099" s="399"/>
    </row>
    <row r="3100" spans="1:16" s="775" customFormat="1" ht="15" customHeight="1" x14ac:dyDescent="0.25">
      <c r="A3100" s="397"/>
      <c r="B3100" s="1385" t="s">
        <v>8698</v>
      </c>
      <c r="C3100" s="1385"/>
      <c r="D3100" s="1385"/>
      <c r="E3100" s="1385"/>
      <c r="F3100" s="1385"/>
      <c r="G3100" s="401"/>
      <c r="H3100" s="401"/>
      <c r="I3100" s="426"/>
      <c r="J3100" s="411"/>
      <c r="K3100" s="402">
        <f>K3101+K3102</f>
        <v>0</v>
      </c>
      <c r="L3100" s="402">
        <f>L3101+L3102</f>
        <v>2180.663</v>
      </c>
      <c r="M3100" s="451">
        <f>L3100/L$3225</f>
        <v>8.3525416154103078E-4</v>
      </c>
      <c r="N3100" s="796"/>
      <c r="P3100" s="399"/>
    </row>
    <row r="3101" spans="1:16" s="115" customFormat="1" ht="15" customHeight="1" x14ac:dyDescent="0.25">
      <c r="A3101" s="396"/>
      <c r="B3101" s="881"/>
      <c r="C3101" s="881"/>
      <c r="D3101" s="881">
        <v>621940</v>
      </c>
      <c r="E3101" s="854">
        <v>344903000000000</v>
      </c>
      <c r="F3101" s="855" t="s">
        <v>9061</v>
      </c>
      <c r="G3101" s="468">
        <v>40</v>
      </c>
      <c r="H3101" s="468">
        <v>0</v>
      </c>
      <c r="I3101" s="751"/>
      <c r="J3101" s="878"/>
      <c r="K3101" s="789">
        <f>('Parâmetros financeiros Despesa'!E1572)</f>
        <v>0</v>
      </c>
      <c r="L3101" s="789">
        <f>('Parâmetros financeiros Despesa'!F1572)*(1+'Parâmetros financeiros Despesa'!F$4)*(1+'Parâmetros financeiros Despesa'!F$7)</f>
        <v>1090.3315</v>
      </c>
      <c r="M3101" s="799">
        <f t="shared" ref="M3101:M3102" si="504">L3101/L$3225</f>
        <v>4.1762708077051539E-4</v>
      </c>
      <c r="N3101" s="894"/>
      <c r="P3101" s="733"/>
    </row>
    <row r="3102" spans="1:16" s="115" customFormat="1" ht="15" customHeight="1" x14ac:dyDescent="0.25">
      <c r="A3102" s="396"/>
      <c r="B3102" s="881"/>
      <c r="C3102" s="881"/>
      <c r="D3102" s="881">
        <v>621980</v>
      </c>
      <c r="E3102" s="854">
        <v>344903200000000</v>
      </c>
      <c r="F3102" s="855" t="s">
        <v>9062</v>
      </c>
      <c r="G3102" s="468">
        <v>40</v>
      </c>
      <c r="H3102" s="468">
        <v>0</v>
      </c>
      <c r="I3102" s="751"/>
      <c r="J3102" s="878"/>
      <c r="K3102" s="789">
        <f>('Parâmetros financeiros Despesa'!E1573)</f>
        <v>0</v>
      </c>
      <c r="L3102" s="789">
        <f>('Parâmetros financeiros Despesa'!F1573)*(1+'Parâmetros financeiros Despesa'!F$4)*(1+'Parâmetros financeiros Despesa'!F$7)</f>
        <v>1090.3315</v>
      </c>
      <c r="M3102" s="799">
        <f t="shared" si="504"/>
        <v>4.1762708077051539E-4</v>
      </c>
      <c r="N3102" s="894"/>
      <c r="P3102" s="733"/>
    </row>
    <row r="3103" spans="1:16" s="774" customFormat="1" ht="15" customHeight="1" x14ac:dyDescent="0.25">
      <c r="A3103" s="397"/>
      <c r="B3103" s="1382" t="s">
        <v>8699</v>
      </c>
      <c r="C3103" s="1382"/>
      <c r="D3103" s="1382"/>
      <c r="E3103" s="1382"/>
      <c r="F3103" s="1382"/>
      <c r="G3103" s="405"/>
      <c r="H3103" s="405"/>
      <c r="I3103" s="428"/>
      <c r="J3103" s="413"/>
      <c r="K3103" s="406">
        <f t="shared" ref="K3103:L3105" si="505">K3104</f>
        <v>77719.544999999998</v>
      </c>
      <c r="L3103" s="406">
        <f t="shared" si="505"/>
        <v>94942.688642387235</v>
      </c>
      <c r="M3103" s="453">
        <f>L3103/L$3225</f>
        <v>3.6365672181555932E-2</v>
      </c>
      <c r="N3103" s="796"/>
      <c r="P3103" s="399"/>
    </row>
    <row r="3104" spans="1:16" s="774" customFormat="1" ht="15" customHeight="1" x14ac:dyDescent="0.25">
      <c r="A3104" s="397"/>
      <c r="B3104" s="1383" t="s">
        <v>8959</v>
      </c>
      <c r="C3104" s="1383"/>
      <c r="D3104" s="1383"/>
      <c r="E3104" s="1383"/>
      <c r="F3104" s="1383"/>
      <c r="G3104" s="407"/>
      <c r="H3104" s="407"/>
      <c r="I3104" s="429"/>
      <c r="J3104" s="414"/>
      <c r="K3104" s="408">
        <f t="shared" si="505"/>
        <v>77719.544999999998</v>
      </c>
      <c r="L3104" s="408">
        <f t="shared" si="505"/>
        <v>94942.688642387235</v>
      </c>
      <c r="M3104" s="454">
        <f>L3104/L$3225</f>
        <v>3.6365672181555932E-2</v>
      </c>
      <c r="N3104" s="796"/>
      <c r="P3104" s="399"/>
    </row>
    <row r="3105" spans="1:16" s="774" customFormat="1" ht="15" customHeight="1" x14ac:dyDescent="0.25">
      <c r="A3105" s="397"/>
      <c r="B3105" s="1385" t="s">
        <v>8698</v>
      </c>
      <c r="C3105" s="1385"/>
      <c r="D3105" s="1385"/>
      <c r="E3105" s="1385"/>
      <c r="F3105" s="1385"/>
      <c r="G3105" s="401"/>
      <c r="H3105" s="401"/>
      <c r="I3105" s="426"/>
      <c r="J3105" s="411"/>
      <c r="K3105" s="402">
        <f t="shared" si="505"/>
        <v>77719.544999999998</v>
      </c>
      <c r="L3105" s="402">
        <f t="shared" si="505"/>
        <v>94942.688642387235</v>
      </c>
      <c r="M3105" s="451">
        <f>L3105/L$3225</f>
        <v>3.6365672181555932E-2</v>
      </c>
      <c r="N3105" s="796"/>
      <c r="P3105" s="399"/>
    </row>
    <row r="3106" spans="1:16" s="774" customFormat="1" ht="15" customHeight="1" x14ac:dyDescent="0.25">
      <c r="A3106" s="397"/>
      <c r="B3106" s="1386" t="s">
        <v>9235</v>
      </c>
      <c r="C3106" s="1386"/>
      <c r="D3106" s="1386"/>
      <c r="E3106" s="1386"/>
      <c r="F3106" s="1386"/>
      <c r="G3106" s="403"/>
      <c r="H3106" s="403"/>
      <c r="I3106" s="427"/>
      <c r="J3106" s="412"/>
      <c r="K3106" s="404">
        <f>SUM(K3107:K3117)</f>
        <v>77719.544999999998</v>
      </c>
      <c r="L3106" s="404">
        <f>SUM(L3107:L3117)+0.02</f>
        <v>94942.688642387235</v>
      </c>
      <c r="M3106" s="452">
        <f>L3106/L$3225</f>
        <v>3.6365672181555932E-2</v>
      </c>
      <c r="N3106" s="796"/>
      <c r="P3106" s="399"/>
    </row>
    <row r="3107" spans="1:16" s="115" customFormat="1" x14ac:dyDescent="0.25">
      <c r="B3107" s="879"/>
      <c r="C3107" s="879"/>
      <c r="D3107" s="880">
        <v>622000</v>
      </c>
      <c r="E3107" s="854">
        <v>333901400000000</v>
      </c>
      <c r="F3107" s="855" t="s">
        <v>9236</v>
      </c>
      <c r="G3107" s="468">
        <v>40</v>
      </c>
      <c r="H3107" s="468">
        <v>0</v>
      </c>
      <c r="I3107" s="751"/>
      <c r="J3107" s="878"/>
      <c r="K3107" s="789">
        <f>('Parâmetros financeiros Despesa'!E1575)</f>
        <v>0</v>
      </c>
      <c r="L3107" s="789">
        <f>('Parâmetros financeiros Despesa'!F1575)*2+(('Parâmetros financeiros Despesa'!F1575)*10)*(1+'Parâmetros financeiros Despesa'!F$4)*(1+'Parâmetros financeiros Despesa'!F$8)</f>
        <v>6277.4071632197383</v>
      </c>
      <c r="M3107" s="799">
        <f>L3107/L$3225</f>
        <v>2.4044203330669451E-3</v>
      </c>
      <c r="N3107" s="894"/>
      <c r="P3107" s="733"/>
    </row>
    <row r="3108" spans="1:16" s="115" customFormat="1" x14ac:dyDescent="0.25">
      <c r="B3108" s="879"/>
      <c r="C3108" s="879"/>
      <c r="D3108" s="880">
        <v>622100</v>
      </c>
      <c r="E3108" s="854">
        <v>333903000000000</v>
      </c>
      <c r="F3108" s="855" t="s">
        <v>9237</v>
      </c>
      <c r="G3108" s="468">
        <v>40</v>
      </c>
      <c r="H3108" s="468">
        <v>0</v>
      </c>
      <c r="I3108" s="751"/>
      <c r="J3108" s="878"/>
      <c r="K3108" s="789">
        <f>('Parâmetros financeiros Despesa'!E1576)</f>
        <v>0</v>
      </c>
      <c r="L3108" s="789">
        <f>('Parâmetros financeiros Despesa'!F1576)*(1+'Parâmetros financeiros Despesa'!F$4)*(1+'Parâmetros financeiros Despesa'!F$7)</f>
        <v>545.16575</v>
      </c>
      <c r="M3108" s="799">
        <f t="shared" ref="M3108:M3114" si="506">L3108/L$3225</f>
        <v>2.0881354038525769E-4</v>
      </c>
      <c r="N3108" s="894"/>
      <c r="P3108" s="733"/>
    </row>
    <row r="3109" spans="1:16" s="115" customFormat="1" x14ac:dyDescent="0.25">
      <c r="B3109" s="879"/>
      <c r="C3109" s="879"/>
      <c r="D3109" s="880">
        <v>622200</v>
      </c>
      <c r="E3109" s="854">
        <v>333903200000000</v>
      </c>
      <c r="F3109" s="855" t="s">
        <v>9238</v>
      </c>
      <c r="G3109" s="468">
        <v>40</v>
      </c>
      <c r="H3109" s="468">
        <v>0</v>
      </c>
      <c r="I3109" s="751"/>
      <c r="J3109" s="878"/>
      <c r="K3109" s="789">
        <f>('Parâmetros financeiros Despesa'!E1577)</f>
        <v>0</v>
      </c>
      <c r="L3109" s="789">
        <f>('Parâmetros financeiros Despesa'!F1577)*(1+'Parâmetros financeiros Despesa'!F$4)*(1+'Parâmetros financeiros Despesa'!F$7)</f>
        <v>545.16575</v>
      </c>
      <c r="M3109" s="799">
        <f t="shared" si="506"/>
        <v>2.0881354038525769E-4</v>
      </c>
      <c r="N3109" s="894"/>
      <c r="P3109" s="733"/>
    </row>
    <row r="3110" spans="1:16" s="115" customFormat="1" x14ac:dyDescent="0.25">
      <c r="B3110" s="879"/>
      <c r="C3110" s="879"/>
      <c r="D3110" s="880">
        <v>622300</v>
      </c>
      <c r="E3110" s="854">
        <v>333903300000000</v>
      </c>
      <c r="F3110" s="855" t="s">
        <v>9246</v>
      </c>
      <c r="G3110" s="468">
        <v>40</v>
      </c>
      <c r="H3110" s="468">
        <v>0</v>
      </c>
      <c r="I3110" s="751"/>
      <c r="J3110" s="878"/>
      <c r="K3110" s="789">
        <f>('Parâmetros financeiros Despesa'!E1578)</f>
        <v>0</v>
      </c>
      <c r="L3110" s="789">
        <f>('Parâmetros financeiros Despesa'!F1578)*(1+'Parâmetros financeiros Despesa'!F$4)*(1+'Parâmetros financeiros Despesa'!F$7)</f>
        <v>545.16575</v>
      </c>
      <c r="M3110" s="799">
        <f t="shared" si="506"/>
        <v>2.0881354038525769E-4</v>
      </c>
      <c r="N3110" s="894"/>
      <c r="P3110" s="733"/>
    </row>
    <row r="3111" spans="1:16" s="115" customFormat="1" x14ac:dyDescent="0.25">
      <c r="B3111" s="879"/>
      <c r="C3111" s="879"/>
      <c r="D3111" s="880">
        <v>622400</v>
      </c>
      <c r="E3111" s="854">
        <v>333903600000000</v>
      </c>
      <c r="F3111" s="855" t="s">
        <v>9239</v>
      </c>
      <c r="G3111" s="468">
        <v>40</v>
      </c>
      <c r="H3111" s="468">
        <v>0</v>
      </c>
      <c r="I3111" s="751"/>
      <c r="J3111" s="878"/>
      <c r="K3111" s="789">
        <f>('Parâmetros financeiros Despesa'!E1579)</f>
        <v>0</v>
      </c>
      <c r="L3111" s="789">
        <f>('Parâmetros financeiros Despesa'!F1579)*(1+'Parâmetros financeiros Despesa'!F$4)*(1+'Parâmetros financeiros Despesa'!F$7)</f>
        <v>545.16575</v>
      </c>
      <c r="M3111" s="799">
        <f t="shared" si="506"/>
        <v>2.0881354038525769E-4</v>
      </c>
      <c r="N3111" s="894"/>
      <c r="P3111" s="733"/>
    </row>
    <row r="3112" spans="1:16" s="115" customFormat="1" x14ac:dyDescent="0.25">
      <c r="B3112" s="879"/>
      <c r="C3112" s="879"/>
      <c r="D3112" s="880">
        <v>622500</v>
      </c>
      <c r="E3112" s="854">
        <v>333903900000000</v>
      </c>
      <c r="F3112" s="855" t="s">
        <v>9240</v>
      </c>
      <c r="G3112" s="468">
        <v>40</v>
      </c>
      <c r="H3112" s="468">
        <v>0</v>
      </c>
      <c r="I3112" s="751"/>
      <c r="J3112" s="878"/>
      <c r="K3112" s="789">
        <f>('Parâmetros financeiros Despesa'!E1580+'Parâmetros financeiros Despesa'!E1581+'Parâmetros financeiros Despesa'!E1582)</f>
        <v>77719.544999999998</v>
      </c>
      <c r="L3112" s="789">
        <f>('Parâmetros financeiros Despesa'!F1580+'Parâmetros financeiros Despesa'!F1581+'Parâmetros financeiros Despesa'!F1582)*(1+'Parâmetros financeiros Despesa'!F$4)*(1+'Parâmetros financeiros Despesa'!F$7)</f>
        <v>85285.233829167497</v>
      </c>
      <c r="M3112" s="799">
        <f t="shared" si="506"/>
        <v>3.2666600237547964E-2</v>
      </c>
      <c r="N3112" s="894"/>
      <c r="P3112" s="733"/>
    </row>
    <row r="3113" spans="1:16" s="31" customFormat="1" ht="30" x14ac:dyDescent="0.25">
      <c r="B3113" s="882" t="s">
        <v>9247</v>
      </c>
      <c r="C3113" s="882" t="s">
        <v>6062</v>
      </c>
      <c r="D3113" s="880">
        <v>622500</v>
      </c>
      <c r="E3113" s="473">
        <v>333903950000000</v>
      </c>
      <c r="F3113" s="474" t="s">
        <v>9241</v>
      </c>
      <c r="G3113" s="873">
        <v>40</v>
      </c>
      <c r="H3113" s="873">
        <v>0</v>
      </c>
      <c r="I3113" s="471"/>
      <c r="J3113" s="475"/>
      <c r="K3113" s="476">
        <v>0</v>
      </c>
      <c r="L3113" s="476">
        <v>0</v>
      </c>
      <c r="M3113" s="477">
        <f t="shared" si="506"/>
        <v>0</v>
      </c>
      <c r="N3113" s="897"/>
      <c r="P3113" s="736"/>
    </row>
    <row r="3114" spans="1:16" s="31" customFormat="1" ht="30" x14ac:dyDescent="0.25">
      <c r="B3114" s="882" t="s">
        <v>9248</v>
      </c>
      <c r="C3114" s="882" t="s">
        <v>6062</v>
      </c>
      <c r="D3114" s="880">
        <v>622500</v>
      </c>
      <c r="E3114" s="473">
        <v>333903950000000</v>
      </c>
      <c r="F3114" s="474" t="s">
        <v>9242</v>
      </c>
      <c r="G3114" s="873">
        <v>40</v>
      </c>
      <c r="H3114" s="873">
        <v>0</v>
      </c>
      <c r="I3114" s="471"/>
      <c r="J3114" s="475"/>
      <c r="K3114" s="476">
        <v>0</v>
      </c>
      <c r="L3114" s="476">
        <v>0</v>
      </c>
      <c r="M3114" s="477">
        <f t="shared" si="506"/>
        <v>0</v>
      </c>
      <c r="N3114" s="897"/>
      <c r="P3114" s="736"/>
    </row>
    <row r="3115" spans="1:16" s="115" customFormat="1" x14ac:dyDescent="0.25">
      <c r="B3115" s="879"/>
      <c r="C3115" s="879"/>
      <c r="D3115" s="880">
        <v>622600</v>
      </c>
      <c r="E3115" s="854">
        <v>333904700000000</v>
      </c>
      <c r="F3115" s="855" t="s">
        <v>9243</v>
      </c>
      <c r="G3115" s="468">
        <v>40</v>
      </c>
      <c r="H3115" s="468">
        <v>0</v>
      </c>
      <c r="I3115" s="751"/>
      <c r="J3115" s="878"/>
      <c r="K3115" s="789">
        <f>('Parâmetros financeiros Despesa'!E1583)</f>
        <v>0</v>
      </c>
      <c r="L3115" s="789">
        <f>('Parâmetros financeiros Despesa'!F1583)*(1+'Parâmetros financeiros Despesa'!F$4)*(1+'Parâmetros financeiros Despesa'!F$7)</f>
        <v>109.03315000000001</v>
      </c>
      <c r="M3115" s="799">
        <f t="shared" ref="M3115:M3117" si="507">L3115/L$3225</f>
        <v>4.1762708077051546E-5</v>
      </c>
      <c r="N3115" s="894"/>
      <c r="P3115" s="733"/>
    </row>
    <row r="3116" spans="1:16" s="115" customFormat="1" x14ac:dyDescent="0.25">
      <c r="B3116" s="879"/>
      <c r="C3116" s="879"/>
      <c r="D3116" s="880">
        <v>622700</v>
      </c>
      <c r="E3116" s="854">
        <v>333909300000000</v>
      </c>
      <c r="F3116" s="855" t="s">
        <v>9245</v>
      </c>
      <c r="G3116" s="468">
        <v>40</v>
      </c>
      <c r="H3116" s="468">
        <v>0</v>
      </c>
      <c r="I3116" s="751"/>
      <c r="J3116" s="878"/>
      <c r="K3116" s="789">
        <f>('Parâmetros financeiros Despesa'!E1584)</f>
        <v>0</v>
      </c>
      <c r="L3116" s="789">
        <f>('Parâmetros financeiros Despesa'!F1584)*(1+'Parâmetros financeiros Despesa'!F$4)*(1+'Parâmetros financeiros Despesa'!F$7)</f>
        <v>545.16575</v>
      </c>
      <c r="M3116" s="799">
        <f t="shared" si="507"/>
        <v>2.0881354038525769E-4</v>
      </c>
      <c r="N3116" s="894"/>
      <c r="P3116" s="733"/>
    </row>
    <row r="3117" spans="1:16" s="115" customFormat="1" x14ac:dyDescent="0.25">
      <c r="B3117" s="879"/>
      <c r="C3117" s="879"/>
      <c r="D3117" s="880">
        <v>622800</v>
      </c>
      <c r="E3117" s="854">
        <v>344905200000000</v>
      </c>
      <c r="F3117" s="855" t="s">
        <v>9244</v>
      </c>
      <c r="G3117" s="468">
        <v>40</v>
      </c>
      <c r="H3117" s="468">
        <v>0</v>
      </c>
      <c r="I3117" s="751"/>
      <c r="J3117" s="878"/>
      <c r="K3117" s="789">
        <f>('Parâmetros financeiros Despesa'!E1585)</f>
        <v>0</v>
      </c>
      <c r="L3117" s="789">
        <f>('Parâmetros financeiros Despesa'!F1585)*(1+'Parâmetros financeiros Despesa'!F$4)*(1+'Parâmetros financeiros Despesa'!F$7)</f>
        <v>545.16575</v>
      </c>
      <c r="M3117" s="799">
        <f t="shared" si="507"/>
        <v>2.0881354038525769E-4</v>
      </c>
      <c r="N3117" s="894"/>
      <c r="P3117" s="733"/>
    </row>
    <row r="3118" spans="1:16" s="774" customFormat="1" ht="15" customHeight="1" x14ac:dyDescent="0.25">
      <c r="A3118" s="397"/>
      <c r="B3118" s="1382" t="s">
        <v>8699</v>
      </c>
      <c r="C3118" s="1382"/>
      <c r="D3118" s="1382"/>
      <c r="E3118" s="1382"/>
      <c r="F3118" s="1382"/>
      <c r="G3118" s="405"/>
      <c r="H3118" s="405"/>
      <c r="I3118" s="428"/>
      <c r="J3118" s="413"/>
      <c r="K3118" s="406">
        <f>K3119</f>
        <v>0</v>
      </c>
      <c r="L3118" s="406">
        <f>L3119</f>
        <v>7699.9516198592246</v>
      </c>
      <c r="M3118" s="453">
        <f>L3118/L$3225</f>
        <v>2.9492941523527562E-3</v>
      </c>
      <c r="N3118" s="796"/>
      <c r="P3118" s="399"/>
    </row>
    <row r="3119" spans="1:16" s="774" customFormat="1" ht="15" customHeight="1" x14ac:dyDescent="0.25">
      <c r="A3119" s="397"/>
      <c r="B3119" s="1383" t="s">
        <v>9000</v>
      </c>
      <c r="C3119" s="1383"/>
      <c r="D3119" s="1383"/>
      <c r="E3119" s="1383"/>
      <c r="F3119" s="1383"/>
      <c r="G3119" s="407"/>
      <c r="H3119" s="407"/>
      <c r="I3119" s="429"/>
      <c r="J3119" s="414"/>
      <c r="K3119" s="408">
        <f>K3121</f>
        <v>0</v>
      </c>
      <c r="L3119" s="408">
        <f>L3121</f>
        <v>7699.9516198592246</v>
      </c>
      <c r="M3119" s="454">
        <f>L3119/L$3225</f>
        <v>2.9492941523527562E-3</v>
      </c>
      <c r="N3119" s="796"/>
      <c r="P3119" s="399"/>
    </row>
    <row r="3120" spans="1:16" s="774" customFormat="1" ht="15" customHeight="1" x14ac:dyDescent="0.25">
      <c r="A3120" s="397"/>
      <c r="B3120" s="1385" t="s">
        <v>8698</v>
      </c>
      <c r="C3120" s="1385"/>
      <c r="D3120" s="1385"/>
      <c r="E3120" s="1385"/>
      <c r="F3120" s="1385"/>
      <c r="G3120" s="401"/>
      <c r="H3120" s="401"/>
      <c r="I3120" s="426"/>
      <c r="J3120" s="411"/>
      <c r="K3120" s="402">
        <f>K3121</f>
        <v>0</v>
      </c>
      <c r="L3120" s="402">
        <f>L3121</f>
        <v>7699.9516198592246</v>
      </c>
      <c r="M3120" s="451">
        <f>L3120/L$3225</f>
        <v>2.9492941523527562E-3</v>
      </c>
      <c r="N3120" s="796"/>
      <c r="P3120" s="399"/>
    </row>
    <row r="3121" spans="1:21" s="774" customFormat="1" ht="15" customHeight="1" x14ac:dyDescent="0.25">
      <c r="A3121" s="397"/>
      <c r="B3121" s="1386" t="s">
        <v>8999</v>
      </c>
      <c r="C3121" s="1386"/>
      <c r="D3121" s="1386"/>
      <c r="E3121" s="1386"/>
      <c r="F3121" s="1386"/>
      <c r="G3121" s="403"/>
      <c r="H3121" s="403"/>
      <c r="I3121" s="427"/>
      <c r="J3121" s="412"/>
      <c r="K3121" s="404">
        <f>SUM(K3122:K3138)</f>
        <v>0</v>
      </c>
      <c r="L3121" s="404">
        <f>SUM(L3122:L3138)+0.04</f>
        <v>7699.9516198592246</v>
      </c>
      <c r="M3121" s="452">
        <f>L3121/L$3225</f>
        <v>2.9492941523527562E-3</v>
      </c>
      <c r="N3121" s="796"/>
      <c r="P3121" s="399"/>
    </row>
    <row r="3122" spans="1:21" s="115" customFormat="1" ht="15" customHeight="1" x14ac:dyDescent="0.25">
      <c r="A3122" s="396"/>
      <c r="B3122" s="1398" t="s">
        <v>9249</v>
      </c>
      <c r="C3122" s="1398"/>
      <c r="D3122" s="1398"/>
      <c r="E3122" s="854">
        <v>331900400000000</v>
      </c>
      <c r="F3122" s="855" t="s">
        <v>9001</v>
      </c>
      <c r="G3122" s="468">
        <v>40</v>
      </c>
      <c r="H3122" s="468">
        <v>0</v>
      </c>
      <c r="I3122" s="751"/>
      <c r="J3122" s="878"/>
      <c r="K3122" s="789">
        <f>(('Parâmetros financeiros Despesa'!E1587))</f>
        <v>0</v>
      </c>
      <c r="L3122" s="789">
        <f>(('Parâmetros financeiros Despesa'!F1587)*2.05+(('Parâmetros financeiros Despesa'!F1587)*11.28)*(1+'Parâmetros financeiros Despesa'!F$4)*(1+'Parâmetros financeiros Despesa'!F$8))*(1+'Parâmetros financeiros Despesa'!F$80)</f>
        <v>17.278630081629636</v>
      </c>
      <c r="M3122" s="799">
        <f>L3122/L$3225</f>
        <v>6.6181925778578327E-6</v>
      </c>
      <c r="N3122" s="894"/>
      <c r="P3122" s="733"/>
    </row>
    <row r="3123" spans="1:21" s="115" customFormat="1" ht="15" customHeight="1" x14ac:dyDescent="0.25">
      <c r="A3123" s="396"/>
      <c r="B3123" s="1398" t="s">
        <v>9250</v>
      </c>
      <c r="C3123" s="1398"/>
      <c r="D3123" s="1398"/>
      <c r="E3123" s="854">
        <v>331901100000000</v>
      </c>
      <c r="F3123" s="855" t="s">
        <v>9002</v>
      </c>
      <c r="G3123" s="468">
        <v>40</v>
      </c>
      <c r="H3123" s="468">
        <v>0</v>
      </c>
      <c r="I3123" s="751"/>
      <c r="J3123" s="878"/>
      <c r="K3123" s="789">
        <f>('Parâmetros financeiros Despesa'!E1588)</f>
        <v>0</v>
      </c>
      <c r="L3123" s="789">
        <f>('Parâmetros financeiros Despesa'!F1588)*2.05+(('Parâmetros financeiros Despesa'!F1588)*11.28)*(1+'Parâmetros financeiros Despesa'!F$4)*(1+'Parâmetros financeiros Despesa'!F$8)</f>
        <v>13.955830560223728</v>
      </c>
      <c r="M3123" s="799">
        <f t="shared" ref="M3123:M3138" si="508">L3123/L$3225</f>
        <v>5.3454685814306766E-6</v>
      </c>
      <c r="N3123" s="894"/>
      <c r="P3123" s="733"/>
    </row>
    <row r="3124" spans="1:21" s="115" customFormat="1" ht="15" customHeight="1" x14ac:dyDescent="0.25">
      <c r="A3124" s="396"/>
      <c r="B3124" s="1398" t="s">
        <v>9251</v>
      </c>
      <c r="C3124" s="1398"/>
      <c r="D3124" s="1398"/>
      <c r="E3124" s="854">
        <v>331901300000000</v>
      </c>
      <c r="F3124" s="855" t="s">
        <v>9003</v>
      </c>
      <c r="G3124" s="468">
        <v>40</v>
      </c>
      <c r="H3124" s="468">
        <v>0</v>
      </c>
      <c r="I3124" s="751"/>
      <c r="J3124" s="878"/>
      <c r="K3124" s="789">
        <f>'Parâmetros financeiros Despesa'!E1589</f>
        <v>0</v>
      </c>
      <c r="L3124" s="789">
        <f>(L3125+L3123)*'Parâmetros financeiros Despesa'!F80</f>
        <v>6.6455990428118161</v>
      </c>
      <c r="M3124" s="799">
        <f t="shared" si="508"/>
        <v>2.5454479928543109E-6</v>
      </c>
      <c r="N3124" s="894"/>
      <c r="P3124" s="733"/>
    </row>
    <row r="3125" spans="1:21" s="115" customFormat="1" ht="15" customHeight="1" x14ac:dyDescent="0.25">
      <c r="A3125" s="396"/>
      <c r="B3125" s="1398" t="s">
        <v>9252</v>
      </c>
      <c r="C3125" s="1398"/>
      <c r="D3125" s="1398"/>
      <c r="E3125" s="854">
        <v>331901600000000</v>
      </c>
      <c r="F3125" s="855" t="s">
        <v>9004</v>
      </c>
      <c r="G3125" s="468">
        <v>40</v>
      </c>
      <c r="H3125" s="468">
        <v>0</v>
      </c>
      <c r="I3125" s="751"/>
      <c r="J3125" s="878"/>
      <c r="K3125" s="789">
        <f>('Parâmetros financeiros Despesa'!E1590)</f>
        <v>0</v>
      </c>
      <c r="L3125" s="789">
        <f>('Parâmetros financeiros Despesa'!F1590)*2.05+(('Parâmetros financeiros Despesa'!F1590)*11.28)*(1+'Parâmetros financeiros Despesa'!F$4)*(1+'Parâmetros financeiros Despesa'!F$8)</f>
        <v>13.955830560223728</v>
      </c>
      <c r="M3125" s="799">
        <f t="shared" si="508"/>
        <v>5.3454685814306766E-6</v>
      </c>
      <c r="N3125" s="894"/>
      <c r="P3125" s="733"/>
    </row>
    <row r="3126" spans="1:21" s="115" customFormat="1" ht="15" customHeight="1" x14ac:dyDescent="0.25">
      <c r="A3126" s="396"/>
      <c r="B3126" s="1398" t="s">
        <v>9253</v>
      </c>
      <c r="C3126" s="1398"/>
      <c r="D3126" s="1398"/>
      <c r="E3126" s="854">
        <v>333901400000000</v>
      </c>
      <c r="F3126" s="855" t="s">
        <v>9005</v>
      </c>
      <c r="G3126" s="468">
        <v>40</v>
      </c>
      <c r="H3126" s="468">
        <v>0</v>
      </c>
      <c r="I3126" s="751"/>
      <c r="J3126" s="878"/>
      <c r="K3126" s="789">
        <f>('Parâmetros financeiros Despesa'!E1591)</f>
        <v>0</v>
      </c>
      <c r="L3126" s="789">
        <f>('Parâmetros financeiros Despesa'!F1591)*2+(('Parâmetros financeiros Despesa'!F1591)*10)*(1+'Parâmetros financeiros Despesa'!F$4)*(1+'Parâmetros financeiros Despesa'!F$8)</f>
        <v>2510.9628652878946</v>
      </c>
      <c r="M3126" s="799">
        <f t="shared" si="508"/>
        <v>9.617681332267777E-4</v>
      </c>
      <c r="N3126" s="894"/>
      <c r="P3126" s="733"/>
    </row>
    <row r="3127" spans="1:21" s="115" customFormat="1" ht="15" customHeight="1" x14ac:dyDescent="0.25">
      <c r="B3127" s="879"/>
      <c r="C3127" s="879"/>
      <c r="D3127" s="880">
        <v>623500</v>
      </c>
      <c r="E3127" s="854">
        <v>333903000000000</v>
      </c>
      <c r="F3127" s="855" t="s">
        <v>9006</v>
      </c>
      <c r="G3127" s="468">
        <v>40</v>
      </c>
      <c r="H3127" s="468">
        <v>0</v>
      </c>
      <c r="I3127" s="751"/>
      <c r="J3127" s="878"/>
      <c r="K3127" s="789">
        <f>('Parâmetros financeiros Despesa'!E1592)</f>
        <v>0</v>
      </c>
      <c r="L3127" s="789">
        <f>('Parâmetros financeiros Despesa'!F1592*(1+'Parâmetros financeiros Despesa'!F$4)*(1+'Parâmetros financeiros Despesa'!F$7))</f>
        <v>545.16575</v>
      </c>
      <c r="M3127" s="799">
        <f t="shared" si="508"/>
        <v>2.0881354038525769E-4</v>
      </c>
      <c r="N3127" s="894"/>
      <c r="O3127" s="396"/>
      <c r="P3127" s="463"/>
      <c r="S3127" s="463"/>
      <c r="T3127" s="463"/>
      <c r="U3127" s="463"/>
    </row>
    <row r="3128" spans="1:21" s="115" customFormat="1" ht="15" customHeight="1" x14ac:dyDescent="0.25">
      <c r="B3128" s="877"/>
      <c r="C3128" s="877"/>
      <c r="D3128" s="880">
        <v>623600</v>
      </c>
      <c r="E3128" s="854">
        <v>333903200000000</v>
      </c>
      <c r="F3128" s="855" t="s">
        <v>9011</v>
      </c>
      <c r="G3128" s="468">
        <v>40</v>
      </c>
      <c r="H3128" s="468">
        <v>0</v>
      </c>
      <c r="I3128" s="751"/>
      <c r="J3128" s="878"/>
      <c r="K3128" s="789">
        <f>('Parâmetros financeiros Despesa'!E1593)</f>
        <v>0</v>
      </c>
      <c r="L3128" s="789">
        <f>('Parâmetros financeiros Despesa'!F1593*(1+'Parâmetros financeiros Despesa'!F$4)*(1+'Parâmetros financeiros Despesa'!F$7))</f>
        <v>545.16575</v>
      </c>
      <c r="M3128" s="799">
        <f t="shared" si="508"/>
        <v>2.0881354038525769E-4</v>
      </c>
      <c r="N3128" s="894"/>
      <c r="O3128" s="396"/>
      <c r="P3128" s="463"/>
      <c r="S3128" s="463"/>
      <c r="T3128" s="463"/>
      <c r="U3128" s="463"/>
    </row>
    <row r="3129" spans="1:21" s="115" customFormat="1" ht="15" customHeight="1" x14ac:dyDescent="0.25">
      <c r="B3129" s="877"/>
      <c r="C3129" s="877"/>
      <c r="D3129" s="880">
        <v>623700</v>
      </c>
      <c r="E3129" s="854">
        <v>333903300000000</v>
      </c>
      <c r="F3129" s="855" t="s">
        <v>9254</v>
      </c>
      <c r="G3129" s="468">
        <v>40</v>
      </c>
      <c r="H3129" s="468">
        <v>0</v>
      </c>
      <c r="I3129" s="751"/>
      <c r="J3129" s="878"/>
      <c r="K3129" s="789">
        <f>('Parâmetros financeiros Despesa'!E1594)</f>
        <v>0</v>
      </c>
      <c r="L3129" s="789">
        <f>('Parâmetros financeiros Despesa'!F1594*(1+'Parâmetros financeiros Despesa'!F$4)*(1+'Parâmetros financeiros Despesa'!F$7))</f>
        <v>545.16575</v>
      </c>
      <c r="M3129" s="799">
        <f t="shared" si="508"/>
        <v>2.0881354038525769E-4</v>
      </c>
      <c r="N3129" s="894"/>
      <c r="O3129" s="396"/>
      <c r="P3129" s="463"/>
      <c r="S3129" s="463"/>
      <c r="T3129" s="463"/>
      <c r="U3129" s="463"/>
    </row>
    <row r="3130" spans="1:21" s="115" customFormat="1" ht="15" customHeight="1" x14ac:dyDescent="0.25">
      <c r="B3130" s="877"/>
      <c r="C3130" s="877"/>
      <c r="D3130" s="880">
        <v>623800</v>
      </c>
      <c r="E3130" s="854">
        <v>333903500000000</v>
      </c>
      <c r="F3130" s="855" t="s">
        <v>9255</v>
      </c>
      <c r="G3130" s="468">
        <v>40</v>
      </c>
      <c r="H3130" s="468">
        <v>0</v>
      </c>
      <c r="I3130" s="751"/>
      <c r="J3130" s="878"/>
      <c r="K3130" s="789">
        <f>('Parâmetros financeiros Despesa'!E1595)</f>
        <v>0</v>
      </c>
      <c r="L3130" s="789">
        <f>('Parâmetros financeiros Despesa'!F1595*(1+'Parâmetros financeiros Despesa'!F$4)*(1+'Parâmetros financeiros Despesa'!F$7))</f>
        <v>545.16575</v>
      </c>
      <c r="M3130" s="799">
        <f t="shared" si="508"/>
        <v>2.0881354038525769E-4</v>
      </c>
      <c r="N3130" s="894"/>
      <c r="O3130" s="396"/>
      <c r="P3130" s="463"/>
      <c r="S3130" s="463"/>
      <c r="T3130" s="463"/>
      <c r="U3130" s="463"/>
    </row>
    <row r="3131" spans="1:21" s="115" customFormat="1" ht="15" customHeight="1" x14ac:dyDescent="0.25">
      <c r="B3131" s="877"/>
      <c r="C3131" s="877"/>
      <c r="D3131" s="880">
        <v>623900</v>
      </c>
      <c r="E3131" s="854">
        <v>333903600000000</v>
      </c>
      <c r="F3131" s="855" t="s">
        <v>9087</v>
      </c>
      <c r="G3131" s="468">
        <v>40</v>
      </c>
      <c r="H3131" s="468">
        <v>0</v>
      </c>
      <c r="I3131" s="751"/>
      <c r="J3131" s="878"/>
      <c r="K3131" s="789">
        <f>('Parâmetros financeiros Despesa'!E1596)</f>
        <v>0</v>
      </c>
      <c r="L3131" s="789">
        <f>('Parâmetros financeiros Despesa'!F1596*(1+'Parâmetros financeiros Despesa'!F$4)*(1+'Parâmetros financeiros Despesa'!F$7))</f>
        <v>545.16575</v>
      </c>
      <c r="M3131" s="799">
        <f t="shared" si="508"/>
        <v>2.0881354038525769E-4</v>
      </c>
      <c r="N3131" s="894"/>
      <c r="O3131" s="396"/>
      <c r="P3131" s="463"/>
      <c r="S3131" s="463"/>
      <c r="T3131" s="463"/>
      <c r="U3131" s="463"/>
    </row>
    <row r="3132" spans="1:21" s="115" customFormat="1" ht="15" customHeight="1" x14ac:dyDescent="0.25">
      <c r="B3132" s="877"/>
      <c r="C3132" s="877"/>
      <c r="D3132" s="880">
        <v>624000</v>
      </c>
      <c r="E3132" s="854">
        <v>333903900000000</v>
      </c>
      <c r="F3132" s="855" t="s">
        <v>9088</v>
      </c>
      <c r="G3132" s="468">
        <v>40</v>
      </c>
      <c r="H3132" s="468">
        <v>0</v>
      </c>
      <c r="I3132" s="751"/>
      <c r="J3132" s="878"/>
      <c r="K3132" s="789">
        <f>('Parâmetros financeiros Despesa'!E1597)</f>
        <v>0</v>
      </c>
      <c r="L3132" s="789">
        <f>('Parâmetros financeiros Despesa'!F1597*(1+'Parâmetros financeiros Despesa'!F$4)*(1+'Parâmetros financeiros Despesa'!F$7))</f>
        <v>109.03315000000001</v>
      </c>
      <c r="M3132" s="799">
        <f t="shared" si="508"/>
        <v>4.1762708077051546E-5</v>
      </c>
      <c r="N3132" s="894"/>
      <c r="O3132" s="396"/>
      <c r="P3132" s="463"/>
      <c r="S3132" s="463"/>
      <c r="T3132" s="463"/>
      <c r="U3132" s="463"/>
    </row>
    <row r="3133" spans="1:21" s="115" customFormat="1" ht="15" customHeight="1" x14ac:dyDescent="0.25">
      <c r="B3133" s="877"/>
      <c r="C3133" s="877"/>
      <c r="D3133" s="880">
        <v>624100</v>
      </c>
      <c r="E3133" s="854">
        <v>333904700000000</v>
      </c>
      <c r="F3133" s="855" t="s">
        <v>9089</v>
      </c>
      <c r="G3133" s="468">
        <v>40</v>
      </c>
      <c r="H3133" s="468">
        <v>0</v>
      </c>
      <c r="I3133" s="751"/>
      <c r="J3133" s="878"/>
      <c r="K3133" s="789">
        <f>('Parâmetros financeiros Despesa'!E1598)</f>
        <v>0</v>
      </c>
      <c r="L3133" s="789">
        <f>('Parâmetros financeiros Despesa'!F1598*(1+'Parâmetros financeiros Despesa'!F$4)*(1+'Parâmetros financeiros Despesa'!F$7))</f>
        <v>109.03315000000001</v>
      </c>
      <c r="M3133" s="799">
        <f t="shared" si="508"/>
        <v>4.1762708077051546E-5</v>
      </c>
      <c r="N3133" s="894"/>
      <c r="O3133" s="396"/>
      <c r="P3133" s="463"/>
      <c r="S3133" s="463"/>
      <c r="T3133" s="463"/>
      <c r="U3133" s="463"/>
    </row>
    <row r="3134" spans="1:21" s="115" customFormat="1" ht="15" customHeight="1" x14ac:dyDescent="0.25">
      <c r="A3134" s="396"/>
      <c r="B3134" s="1398" t="s">
        <v>9256</v>
      </c>
      <c r="C3134" s="1398"/>
      <c r="D3134" s="1398"/>
      <c r="E3134" s="854">
        <v>333904900000000</v>
      </c>
      <c r="F3134" s="855" t="s">
        <v>9010</v>
      </c>
      <c r="G3134" s="468">
        <v>40</v>
      </c>
      <c r="H3134" s="468">
        <v>0</v>
      </c>
      <c r="I3134" s="751"/>
      <c r="J3134" s="878"/>
      <c r="K3134" s="789">
        <f>('Parâmetros financeiros Despesa'!E1599)</f>
        <v>0</v>
      </c>
      <c r="L3134" s="789">
        <f>('Parâmetros financeiros Despesa'!F1599)*2+(('Parâmetros financeiros Despesa'!F1599)*10)*(1+'Parâmetros financeiros Despesa'!F$4)*(1+'Parâmetros financeiros Despesa'!F$8)</f>
        <v>12.554814326439475</v>
      </c>
      <c r="M3134" s="799">
        <f t="shared" si="508"/>
        <v>4.8088406661338892E-6</v>
      </c>
      <c r="N3134" s="894"/>
      <c r="P3134" s="733"/>
    </row>
    <row r="3135" spans="1:21" s="115" customFormat="1" ht="15" customHeight="1" x14ac:dyDescent="0.25">
      <c r="A3135" s="396"/>
      <c r="B3135" s="1398" t="s">
        <v>9270</v>
      </c>
      <c r="C3135" s="1398"/>
      <c r="D3135" s="1398"/>
      <c r="E3135" s="854">
        <v>333909300000000</v>
      </c>
      <c r="F3135" s="855" t="s">
        <v>9007</v>
      </c>
      <c r="G3135" s="468">
        <v>40</v>
      </c>
      <c r="H3135" s="468">
        <v>0</v>
      </c>
      <c r="I3135" s="751"/>
      <c r="J3135" s="878"/>
      <c r="K3135" s="789">
        <f>('Parâmetros financeiros Despesa'!E1600)</f>
        <v>0</v>
      </c>
      <c r="L3135" s="789">
        <f>('Parâmetros financeiros Despesa'!F1600)*(1+'Parâmetros financeiros Despesa'!F$4)*(1+'Parâmetros financeiros Despesa'!F$7)</f>
        <v>545.16575</v>
      </c>
      <c r="M3135" s="799">
        <f t="shared" si="508"/>
        <v>2.0881354038525769E-4</v>
      </c>
      <c r="N3135" s="894"/>
      <c r="P3135" s="733"/>
    </row>
    <row r="3136" spans="1:21" s="115" customFormat="1" ht="15" customHeight="1" x14ac:dyDescent="0.25">
      <c r="A3136" s="396"/>
      <c r="B3136" s="1398" t="s">
        <v>9271</v>
      </c>
      <c r="C3136" s="1398"/>
      <c r="D3136" s="1398"/>
      <c r="E3136" s="854">
        <v>333933000000000</v>
      </c>
      <c r="F3136" s="855" t="s">
        <v>9008</v>
      </c>
      <c r="G3136" s="468">
        <v>40</v>
      </c>
      <c r="H3136" s="468">
        <v>0</v>
      </c>
      <c r="I3136" s="751"/>
      <c r="J3136" s="878"/>
      <c r="K3136" s="789">
        <f>('Parâmetros financeiros Despesa'!E1601)</f>
        <v>0</v>
      </c>
      <c r="L3136" s="789">
        <f>('Parâmetros financeiros Despesa'!F1601)*(1+'Parâmetros financeiros Despesa'!F$4)*(1+'Parâmetros financeiros Despesa'!F$7)</f>
        <v>545.16575</v>
      </c>
      <c r="M3136" s="799">
        <f t="shared" si="508"/>
        <v>2.0881354038525769E-4</v>
      </c>
      <c r="N3136" s="894"/>
      <c r="P3136" s="733"/>
    </row>
    <row r="3137" spans="1:21" s="115" customFormat="1" ht="15" customHeight="1" x14ac:dyDescent="0.25">
      <c r="A3137" s="396"/>
      <c r="B3137" s="877"/>
      <c r="C3137" s="877"/>
      <c r="D3137" s="877" t="s">
        <v>9272</v>
      </c>
      <c r="E3137" s="854">
        <v>333933900000000</v>
      </c>
      <c r="F3137" s="855" t="s">
        <v>9273</v>
      </c>
      <c r="G3137" s="468">
        <v>40</v>
      </c>
      <c r="H3137" s="468">
        <v>0</v>
      </c>
      <c r="I3137" s="751"/>
      <c r="J3137" s="878"/>
      <c r="K3137" s="789">
        <f>('Parâmetros financeiros Despesa'!E1602)</f>
        <v>0</v>
      </c>
      <c r="L3137" s="789">
        <f>('Parâmetros financeiros Despesa'!F1602)*(1+'Parâmetros financeiros Despesa'!F$4)*(1+'Parâmetros financeiros Despesa'!F$7)</f>
        <v>545.16575</v>
      </c>
      <c r="M3137" s="799">
        <f t="shared" si="508"/>
        <v>2.0881354038525769E-4</v>
      </c>
      <c r="N3137" s="894"/>
      <c r="P3137" s="733"/>
    </row>
    <row r="3138" spans="1:21" s="115" customFormat="1" ht="15" customHeight="1" x14ac:dyDescent="0.25">
      <c r="A3138" s="396"/>
      <c r="B3138" s="1398" t="s">
        <v>9274</v>
      </c>
      <c r="C3138" s="1398"/>
      <c r="D3138" s="1398"/>
      <c r="E3138" s="854">
        <v>344905200000000</v>
      </c>
      <c r="F3138" s="855" t="s">
        <v>9009</v>
      </c>
      <c r="G3138" s="468">
        <v>40</v>
      </c>
      <c r="H3138" s="468">
        <v>0</v>
      </c>
      <c r="I3138" s="751"/>
      <c r="J3138" s="878"/>
      <c r="K3138" s="789">
        <f>('Parâmetros financeiros Despesa'!E1603)</f>
        <v>0</v>
      </c>
      <c r="L3138" s="789">
        <f>('Parâmetros financeiros Despesa'!F1603)*(1+'Parâmetros financeiros Despesa'!F$4)*(1+'Parâmetros financeiros Despesa'!F$7)</f>
        <v>545.16575</v>
      </c>
      <c r="M3138" s="799">
        <f t="shared" si="508"/>
        <v>2.0881354038525769E-4</v>
      </c>
      <c r="N3138" s="894"/>
      <c r="P3138" s="733"/>
    </row>
    <row r="3139" spans="1:21" s="774" customFormat="1" ht="15" customHeight="1" x14ac:dyDescent="0.25">
      <c r="A3139" s="397"/>
      <c r="B3139" s="1382" t="s">
        <v>8699</v>
      </c>
      <c r="C3139" s="1382"/>
      <c r="D3139" s="1382"/>
      <c r="E3139" s="1382"/>
      <c r="F3139" s="1382"/>
      <c r="G3139" s="405"/>
      <c r="H3139" s="405"/>
      <c r="I3139" s="428"/>
      <c r="J3139" s="413"/>
      <c r="K3139" s="406">
        <f t="shared" ref="K3139:L3141" si="509">K3140</f>
        <v>3147.5550000000003</v>
      </c>
      <c r="L3139" s="406">
        <f t="shared" si="509"/>
        <v>11467.333962988723</v>
      </c>
      <c r="M3139" s="453">
        <f>L3139/L$3225</f>
        <v>4.3923056494135646E-3</v>
      </c>
      <c r="N3139" s="796"/>
      <c r="P3139" s="399"/>
    </row>
    <row r="3140" spans="1:21" s="774" customFormat="1" ht="15" customHeight="1" x14ac:dyDescent="0.25">
      <c r="A3140" s="397"/>
      <c r="B3140" s="1383" t="s">
        <v>8960</v>
      </c>
      <c r="C3140" s="1383"/>
      <c r="D3140" s="1383"/>
      <c r="E3140" s="1383"/>
      <c r="F3140" s="1383"/>
      <c r="G3140" s="407"/>
      <c r="H3140" s="407"/>
      <c r="I3140" s="429"/>
      <c r="J3140" s="414"/>
      <c r="K3140" s="408">
        <f t="shared" si="509"/>
        <v>3147.5550000000003</v>
      </c>
      <c r="L3140" s="408">
        <f t="shared" si="509"/>
        <v>11467.333962988723</v>
      </c>
      <c r="M3140" s="454">
        <f>L3140/L$3225</f>
        <v>4.3923056494135646E-3</v>
      </c>
      <c r="N3140" s="796"/>
      <c r="P3140" s="399"/>
    </row>
    <row r="3141" spans="1:21" s="774" customFormat="1" ht="15" customHeight="1" x14ac:dyDescent="0.25">
      <c r="A3141" s="397"/>
      <c r="B3141" s="1385" t="s">
        <v>8698</v>
      </c>
      <c r="C3141" s="1385"/>
      <c r="D3141" s="1385"/>
      <c r="E3141" s="1385"/>
      <c r="F3141" s="1385"/>
      <c r="G3141" s="401"/>
      <c r="H3141" s="401"/>
      <c r="I3141" s="426"/>
      <c r="J3141" s="411"/>
      <c r="K3141" s="402">
        <f t="shared" si="509"/>
        <v>3147.5550000000003</v>
      </c>
      <c r="L3141" s="402">
        <f t="shared" si="509"/>
        <v>11467.333962988723</v>
      </c>
      <c r="M3141" s="451">
        <f>L3141/L$3225</f>
        <v>4.3923056494135646E-3</v>
      </c>
      <c r="N3141" s="796"/>
      <c r="P3141" s="399"/>
    </row>
    <row r="3142" spans="1:21" s="774" customFormat="1" ht="15" customHeight="1" x14ac:dyDescent="0.25">
      <c r="A3142" s="397"/>
      <c r="B3142" s="1386" t="s">
        <v>8961</v>
      </c>
      <c r="C3142" s="1386"/>
      <c r="D3142" s="1386"/>
      <c r="E3142" s="1386"/>
      <c r="F3142" s="1386"/>
      <c r="G3142" s="403"/>
      <c r="H3142" s="403"/>
      <c r="I3142" s="427"/>
      <c r="J3142" s="412"/>
      <c r="K3142" s="404">
        <f>SUM(K3143:K3161)</f>
        <v>3147.5550000000003</v>
      </c>
      <c r="L3142" s="404">
        <f>SUM(L3143:L3161)+0.05</f>
        <v>11467.333962988723</v>
      </c>
      <c r="M3142" s="452">
        <f>L3142/L$3225</f>
        <v>4.3923056494135646E-3</v>
      </c>
      <c r="N3142" s="796"/>
      <c r="P3142" s="399"/>
    </row>
    <row r="3143" spans="1:21" s="115" customFormat="1" ht="15" customHeight="1" x14ac:dyDescent="0.25">
      <c r="A3143" s="396"/>
      <c r="B3143" s="1398" t="s">
        <v>9257</v>
      </c>
      <c r="C3143" s="1398"/>
      <c r="D3143" s="1398"/>
      <c r="E3143" s="854">
        <v>331900400000000</v>
      </c>
      <c r="F3143" s="855" t="s">
        <v>8964</v>
      </c>
      <c r="G3143" s="468">
        <v>40</v>
      </c>
      <c r="H3143" s="468">
        <v>0</v>
      </c>
      <c r="I3143" s="751"/>
      <c r="J3143" s="878"/>
      <c r="K3143" s="789">
        <f>(('Parâmetros financeiros Despesa'!E1605))</f>
        <v>0</v>
      </c>
      <c r="L3143" s="789">
        <f>(('Parâmetros financeiros Despesa'!F1605)*2.05+(('Parâmetros financeiros Despesa'!F1605)*11.28)*(1+'Parâmetros financeiros Despesa'!F$4)*(1+'Parâmetros financeiros Despesa'!F$8))*(1+'Parâmetros financeiros Despesa'!F$80)</f>
        <v>17.278630081629636</v>
      </c>
      <c r="M3143" s="799">
        <f>L3143/L$3225</f>
        <v>6.6181925778578327E-6</v>
      </c>
      <c r="N3143" s="894"/>
      <c r="P3143" s="733"/>
    </row>
    <row r="3144" spans="1:21" s="115" customFormat="1" ht="15" customHeight="1" x14ac:dyDescent="0.25">
      <c r="A3144" s="396"/>
      <c r="B3144" s="1398" t="s">
        <v>9258</v>
      </c>
      <c r="C3144" s="1398"/>
      <c r="D3144" s="1398"/>
      <c r="E3144" s="854">
        <v>331901100000000</v>
      </c>
      <c r="F3144" s="855" t="s">
        <v>8965</v>
      </c>
      <c r="G3144" s="468">
        <v>40</v>
      </c>
      <c r="H3144" s="468">
        <v>0</v>
      </c>
      <c r="I3144" s="751"/>
      <c r="J3144" s="878"/>
      <c r="K3144" s="789">
        <f>(('Parâmetros financeiros Despesa'!E1606))</f>
        <v>0</v>
      </c>
      <c r="L3144" s="789">
        <f>('Parâmetros financeiros Despesa'!F1606)*2.05+(('Parâmetros financeiros Despesa'!F1606)*11.28)*(1+'Parâmetros financeiros Despesa'!F$4)*(1+'Parâmetros financeiros Despesa'!F$8)</f>
        <v>13.955830560223728</v>
      </c>
      <c r="M3144" s="799">
        <f t="shared" ref="M3144:M3150" si="510">L3144/L$3225</f>
        <v>5.3454685814306766E-6</v>
      </c>
      <c r="N3144" s="894"/>
      <c r="P3144" s="733"/>
    </row>
    <row r="3145" spans="1:21" s="115" customFormat="1" ht="15" customHeight="1" x14ac:dyDescent="0.25">
      <c r="A3145" s="396"/>
      <c r="B3145" s="1398" t="s">
        <v>9259</v>
      </c>
      <c r="C3145" s="1398"/>
      <c r="D3145" s="1398"/>
      <c r="E3145" s="854">
        <v>331901300000000</v>
      </c>
      <c r="F3145" s="855" t="s">
        <v>8966</v>
      </c>
      <c r="G3145" s="468">
        <v>40</v>
      </c>
      <c r="H3145" s="468">
        <v>0</v>
      </c>
      <c r="I3145" s="751"/>
      <c r="J3145" s="878"/>
      <c r="K3145" s="789">
        <f>(('Parâmetros financeiros Despesa'!E1607))</f>
        <v>0</v>
      </c>
      <c r="L3145" s="789">
        <f>(L3146+L3144)*'Parâmetros financeiros Despesa'!F80</f>
        <v>6.6455990428118161</v>
      </c>
      <c r="M3145" s="799">
        <f t="shared" si="510"/>
        <v>2.5454479928543109E-6</v>
      </c>
      <c r="N3145" s="894"/>
      <c r="P3145" s="733"/>
    </row>
    <row r="3146" spans="1:21" s="115" customFormat="1" ht="15" customHeight="1" x14ac:dyDescent="0.25">
      <c r="A3146" s="396"/>
      <c r="B3146" s="1398" t="s">
        <v>9260</v>
      </c>
      <c r="C3146" s="1398"/>
      <c r="D3146" s="1398"/>
      <c r="E3146" s="854">
        <v>331901600000000</v>
      </c>
      <c r="F3146" s="855" t="s">
        <v>8967</v>
      </c>
      <c r="G3146" s="468">
        <v>40</v>
      </c>
      <c r="H3146" s="468">
        <v>0</v>
      </c>
      <c r="I3146" s="751"/>
      <c r="J3146" s="878"/>
      <c r="K3146" s="789">
        <f>(('Parâmetros financeiros Despesa'!E1608))</f>
        <v>0</v>
      </c>
      <c r="L3146" s="789">
        <f>('Parâmetros financeiros Despesa'!F1608)*2.05+(('Parâmetros financeiros Despesa'!F1608)*11.28)*(1+'Parâmetros financeiros Despesa'!F$4)*(1+'Parâmetros financeiros Despesa'!F$8)</f>
        <v>13.955830560223728</v>
      </c>
      <c r="M3146" s="799">
        <f t="shared" si="510"/>
        <v>5.3454685814306766E-6</v>
      </c>
      <c r="N3146" s="894"/>
      <c r="P3146" s="733"/>
    </row>
    <row r="3147" spans="1:21" s="115" customFormat="1" ht="15" customHeight="1" x14ac:dyDescent="0.25">
      <c r="A3147" s="396"/>
      <c r="B3147" s="1398" t="s">
        <v>9261</v>
      </c>
      <c r="C3147" s="1398"/>
      <c r="D3147" s="1398"/>
      <c r="E3147" s="854">
        <v>333901400000000</v>
      </c>
      <c r="F3147" s="855" t="s">
        <v>8997</v>
      </c>
      <c r="G3147" s="468">
        <v>40</v>
      </c>
      <c r="H3147" s="468">
        <v>0</v>
      </c>
      <c r="I3147" s="751"/>
      <c r="J3147" s="878"/>
      <c r="K3147" s="789">
        <f>(('Parâmetros financeiros Despesa'!E1609))</f>
        <v>0</v>
      </c>
      <c r="L3147" s="789">
        <f>('Parâmetros financeiros Despesa'!F1609)*2+(('Parâmetros financeiros Despesa'!F1609)*10)*(1+'Parâmetros financeiros Despesa'!F$4)*(1+'Parâmetros financeiros Despesa'!F$8)</f>
        <v>3000.6006240190345</v>
      </c>
      <c r="M3147" s="799">
        <f t="shared" si="510"/>
        <v>1.1493129192059995E-3</v>
      </c>
      <c r="N3147" s="894"/>
      <c r="P3147" s="733"/>
    </row>
    <row r="3148" spans="1:21" s="115" customFormat="1" ht="15" customHeight="1" x14ac:dyDescent="0.25">
      <c r="B3148" s="879"/>
      <c r="C3148" s="879"/>
      <c r="D3148" s="880">
        <v>625500</v>
      </c>
      <c r="E3148" s="854">
        <v>333903000000000</v>
      </c>
      <c r="F3148" s="855" t="s">
        <v>8968</v>
      </c>
      <c r="G3148" s="468">
        <v>40</v>
      </c>
      <c r="H3148" s="468">
        <v>0</v>
      </c>
      <c r="I3148" s="751"/>
      <c r="J3148" s="878"/>
      <c r="K3148" s="789">
        <f>(('Parâmetros financeiros Despesa'!E1610))</f>
        <v>2673.3450000000003</v>
      </c>
      <c r="L3148" s="789">
        <f>('Parâmetros financeiros Despesa'!F1610*(1+'Parâmetros financeiros Despesa'!F$4)*(1+'Parâmetros financeiros Despesa'!F$7))</f>
        <v>2914.8322638675004</v>
      </c>
      <c r="M3148" s="799">
        <f t="shared" si="510"/>
        <v>1.1164612682424537E-3</v>
      </c>
      <c r="N3148" s="894"/>
      <c r="O3148" s="396"/>
      <c r="P3148" s="463"/>
      <c r="S3148" s="463"/>
      <c r="T3148" s="463"/>
      <c r="U3148" s="463"/>
    </row>
    <row r="3149" spans="1:21" s="115" customFormat="1" ht="15" customHeight="1" x14ac:dyDescent="0.25">
      <c r="B3149" s="599" t="s">
        <v>9262</v>
      </c>
      <c r="C3149" s="879" t="s">
        <v>6062</v>
      </c>
      <c r="D3149" s="880">
        <v>625500</v>
      </c>
      <c r="E3149" s="473">
        <v>333903017010200</v>
      </c>
      <c r="F3149" s="474" t="s">
        <v>8969</v>
      </c>
      <c r="G3149" s="873">
        <v>40</v>
      </c>
      <c r="H3149" s="873">
        <v>0</v>
      </c>
      <c r="I3149" s="471"/>
      <c r="J3149" s="475"/>
      <c r="K3149" s="476">
        <v>0</v>
      </c>
      <c r="L3149" s="476">
        <v>0</v>
      </c>
      <c r="M3149" s="477">
        <f t="shared" si="510"/>
        <v>0</v>
      </c>
      <c r="N3149" s="894"/>
      <c r="O3149" s="396"/>
      <c r="P3149" s="463"/>
      <c r="S3149" s="463"/>
      <c r="T3149" s="463"/>
      <c r="U3149" s="463"/>
    </row>
    <row r="3150" spans="1:21" s="115" customFormat="1" ht="15" customHeight="1" x14ac:dyDescent="0.25">
      <c r="B3150" s="599" t="s">
        <v>9263</v>
      </c>
      <c r="C3150" s="879" t="s">
        <v>6062</v>
      </c>
      <c r="D3150" s="880">
        <v>625500</v>
      </c>
      <c r="E3150" s="473">
        <v>333903017010100</v>
      </c>
      <c r="F3150" s="474" t="s">
        <v>8970</v>
      </c>
      <c r="G3150" s="873">
        <v>40</v>
      </c>
      <c r="H3150" s="873">
        <v>0</v>
      </c>
      <c r="I3150" s="471"/>
      <c r="J3150" s="475"/>
      <c r="K3150" s="476">
        <v>0</v>
      </c>
      <c r="L3150" s="476">
        <v>0</v>
      </c>
      <c r="M3150" s="477">
        <f t="shared" si="510"/>
        <v>0</v>
      </c>
      <c r="N3150" s="894"/>
      <c r="O3150" s="396"/>
      <c r="P3150" s="463"/>
      <c r="S3150" s="463"/>
      <c r="T3150" s="463"/>
      <c r="U3150" s="463"/>
    </row>
    <row r="3151" spans="1:21" s="115" customFormat="1" ht="15" customHeight="1" x14ac:dyDescent="0.25">
      <c r="B3151" s="877"/>
      <c r="C3151" s="877"/>
      <c r="D3151" s="880">
        <v>625600</v>
      </c>
      <c r="E3151" s="854">
        <v>333903200000000</v>
      </c>
      <c r="F3151" s="855" t="s">
        <v>8971</v>
      </c>
      <c r="G3151" s="468">
        <v>40</v>
      </c>
      <c r="H3151" s="468">
        <v>0</v>
      </c>
      <c r="I3151" s="751"/>
      <c r="J3151" s="878"/>
      <c r="K3151" s="789">
        <f>(('Parâmetros financeiros Despesa'!E1611))</f>
        <v>0</v>
      </c>
      <c r="L3151" s="789">
        <f>('Parâmetros financeiros Despesa'!F1611*(1+'Parâmetros financeiros Despesa'!F$4)*(1+'Parâmetros financeiros Despesa'!F$7))</f>
        <v>545.16575</v>
      </c>
      <c r="M3151" s="799">
        <f t="shared" ref="M3151:M3161" si="511">L3151/L$3225</f>
        <v>2.0881354038525769E-4</v>
      </c>
      <c r="N3151" s="894"/>
      <c r="O3151" s="396"/>
      <c r="P3151" s="463"/>
      <c r="S3151" s="463"/>
      <c r="T3151" s="463"/>
      <c r="U3151" s="463"/>
    </row>
    <row r="3152" spans="1:21" s="115" customFormat="1" ht="15" customHeight="1" x14ac:dyDescent="0.25">
      <c r="B3152" s="877"/>
      <c r="C3152" s="877"/>
      <c r="D3152" s="880">
        <v>625700</v>
      </c>
      <c r="E3152" s="854">
        <v>333903300000000</v>
      </c>
      <c r="F3152" s="855" t="s">
        <v>9264</v>
      </c>
      <c r="G3152" s="468">
        <v>40</v>
      </c>
      <c r="H3152" s="468">
        <v>0</v>
      </c>
      <c r="I3152" s="751"/>
      <c r="J3152" s="878"/>
      <c r="K3152" s="789">
        <f>(('Parâmetros financeiros Despesa'!E1612))</f>
        <v>0</v>
      </c>
      <c r="L3152" s="789">
        <f>('Parâmetros financeiros Despesa'!F1612*(1+'Parâmetros financeiros Despesa'!F$4)*(1+'Parâmetros financeiros Despesa'!F$7))</f>
        <v>545.16575</v>
      </c>
      <c r="M3152" s="799">
        <f t="shared" si="511"/>
        <v>2.0881354038525769E-4</v>
      </c>
      <c r="N3152" s="894"/>
      <c r="O3152" s="396"/>
      <c r="P3152" s="463"/>
      <c r="S3152" s="463"/>
      <c r="T3152" s="463"/>
      <c r="U3152" s="463"/>
    </row>
    <row r="3153" spans="1:21" s="115" customFormat="1" ht="15" customHeight="1" x14ac:dyDescent="0.25">
      <c r="B3153" s="877"/>
      <c r="C3153" s="877"/>
      <c r="D3153" s="880">
        <v>625800</v>
      </c>
      <c r="E3153" s="854">
        <v>333903500000000</v>
      </c>
      <c r="F3153" s="855" t="s">
        <v>9265</v>
      </c>
      <c r="G3153" s="468">
        <v>40</v>
      </c>
      <c r="H3153" s="468">
        <v>0</v>
      </c>
      <c r="I3153" s="751"/>
      <c r="J3153" s="878"/>
      <c r="K3153" s="789">
        <f>(('Parâmetros financeiros Despesa'!E1613))</f>
        <v>0</v>
      </c>
      <c r="L3153" s="789">
        <f>('Parâmetros financeiros Despesa'!F1613*(1+'Parâmetros financeiros Despesa'!F$4)*(1+'Parâmetros financeiros Despesa'!F$7))</f>
        <v>545.16575</v>
      </c>
      <c r="M3153" s="799">
        <f t="shared" si="511"/>
        <v>2.0881354038525769E-4</v>
      </c>
      <c r="N3153" s="894"/>
      <c r="O3153" s="396"/>
      <c r="P3153" s="463"/>
      <c r="S3153" s="463"/>
      <c r="T3153" s="463"/>
      <c r="U3153" s="463"/>
    </row>
    <row r="3154" spans="1:21" s="115" customFormat="1" ht="15" customHeight="1" x14ac:dyDescent="0.25">
      <c r="B3154" s="877"/>
      <c r="C3154" s="877"/>
      <c r="D3154" s="880">
        <v>625900</v>
      </c>
      <c r="E3154" s="854">
        <v>333903600000000</v>
      </c>
      <c r="F3154" s="855" t="s">
        <v>9267</v>
      </c>
      <c r="G3154" s="468">
        <v>40</v>
      </c>
      <c r="H3154" s="468">
        <v>0</v>
      </c>
      <c r="I3154" s="751"/>
      <c r="J3154" s="878"/>
      <c r="K3154" s="789">
        <f>(('Parâmetros financeiros Despesa'!E1614))</f>
        <v>0</v>
      </c>
      <c r="L3154" s="789">
        <f>('Parâmetros financeiros Despesa'!F1614*(1+'Parâmetros financeiros Despesa'!F$4)*(1+'Parâmetros financeiros Despesa'!F$7))</f>
        <v>545.16575</v>
      </c>
      <c r="M3154" s="799">
        <f t="shared" si="511"/>
        <v>2.0881354038525769E-4</v>
      </c>
      <c r="N3154" s="894"/>
      <c r="O3154" s="396"/>
      <c r="P3154" s="463"/>
      <c r="S3154" s="463"/>
      <c r="T3154" s="463"/>
      <c r="U3154" s="463"/>
    </row>
    <row r="3155" spans="1:21" s="115" customFormat="1" ht="15" customHeight="1" x14ac:dyDescent="0.25">
      <c r="B3155" s="877"/>
      <c r="C3155" s="877"/>
      <c r="D3155" s="880">
        <v>626000</v>
      </c>
      <c r="E3155" s="854">
        <v>333903900000000</v>
      </c>
      <c r="F3155" s="855" t="s">
        <v>9268</v>
      </c>
      <c r="G3155" s="468">
        <v>40</v>
      </c>
      <c r="H3155" s="468">
        <v>0</v>
      </c>
      <c r="I3155" s="751"/>
      <c r="J3155" s="878"/>
      <c r="K3155" s="789">
        <f>(('Parâmetros financeiros Despesa'!E1615))</f>
        <v>474.21</v>
      </c>
      <c r="L3155" s="789">
        <f>('Parâmetros financeiros Despesa'!F1615*(1+'Parâmetros financeiros Despesa'!F$4)*(1+'Parâmetros financeiros Despesa'!F$7))</f>
        <v>545.16575</v>
      </c>
      <c r="M3155" s="799">
        <f t="shared" si="511"/>
        <v>2.0881354038525769E-4</v>
      </c>
      <c r="N3155" s="894"/>
      <c r="O3155" s="396"/>
      <c r="P3155" s="463"/>
      <c r="S3155" s="463"/>
      <c r="T3155" s="463"/>
      <c r="U3155" s="463"/>
    </row>
    <row r="3156" spans="1:21" s="115" customFormat="1" ht="15" customHeight="1" x14ac:dyDescent="0.25">
      <c r="B3156" s="877"/>
      <c r="C3156" s="877"/>
      <c r="D3156" s="880">
        <v>626100</v>
      </c>
      <c r="E3156" s="854">
        <v>333904700000000</v>
      </c>
      <c r="F3156" s="855" t="s">
        <v>9269</v>
      </c>
      <c r="G3156" s="468">
        <v>40</v>
      </c>
      <c r="H3156" s="468">
        <v>0</v>
      </c>
      <c r="I3156" s="751"/>
      <c r="J3156" s="878"/>
      <c r="K3156" s="789">
        <f>(('Parâmetros financeiros Despesa'!E1616))</f>
        <v>0</v>
      </c>
      <c r="L3156" s="789">
        <f>('Parâmetros financeiros Despesa'!F1616*(1+'Parâmetros financeiros Despesa'!F$4)*(1+'Parâmetros financeiros Despesa'!F$7))</f>
        <v>109.03315000000001</v>
      </c>
      <c r="M3156" s="799">
        <f t="shared" si="511"/>
        <v>4.1762708077051546E-5</v>
      </c>
      <c r="N3156" s="894"/>
      <c r="O3156" s="396"/>
      <c r="P3156" s="463"/>
      <c r="S3156" s="463"/>
      <c r="T3156" s="463"/>
      <c r="U3156" s="463"/>
    </row>
    <row r="3157" spans="1:21" s="115" customFormat="1" ht="15" customHeight="1" x14ac:dyDescent="0.25">
      <c r="A3157" s="396"/>
      <c r="B3157" s="1398" t="s">
        <v>9266</v>
      </c>
      <c r="C3157" s="1398"/>
      <c r="D3157" s="1398"/>
      <c r="E3157" s="854">
        <v>333904900000000</v>
      </c>
      <c r="F3157" s="855" t="s">
        <v>8972</v>
      </c>
      <c r="G3157" s="468">
        <v>40</v>
      </c>
      <c r="H3157" s="468">
        <v>0</v>
      </c>
      <c r="I3157" s="751"/>
      <c r="J3157" s="878"/>
      <c r="K3157" s="789">
        <f>(('Parâmetros financeiros Despesa'!E1617))</f>
        <v>0</v>
      </c>
      <c r="L3157" s="789">
        <f>('Parâmetros financeiros Despesa'!F1617)*2+(('Parâmetros financeiros Despesa'!F1617)*10)*(1+'Parâmetros financeiros Despesa'!F$4)*(1+'Parâmetros financeiros Despesa'!F$8)</f>
        <v>484.4902848572994</v>
      </c>
      <c r="M3157" s="799">
        <f t="shared" si="511"/>
        <v>1.8557316130610681E-4</v>
      </c>
      <c r="N3157" s="894"/>
      <c r="P3157" s="733"/>
    </row>
    <row r="3158" spans="1:21" s="115" customFormat="1" ht="15" customHeight="1" x14ac:dyDescent="0.25">
      <c r="A3158" s="396"/>
      <c r="B3158" s="1398" t="s">
        <v>9275</v>
      </c>
      <c r="C3158" s="1398"/>
      <c r="D3158" s="1398"/>
      <c r="E3158" s="854">
        <v>333909300000000</v>
      </c>
      <c r="F3158" s="855" t="s">
        <v>8973</v>
      </c>
      <c r="G3158" s="468">
        <v>40</v>
      </c>
      <c r="H3158" s="468">
        <v>0</v>
      </c>
      <c r="I3158" s="751"/>
      <c r="J3158" s="878"/>
      <c r="K3158" s="789">
        <f>(('Parâmetros financeiros Despesa'!E1618))</f>
        <v>0</v>
      </c>
      <c r="L3158" s="789">
        <f>('Parâmetros financeiros Despesa'!F1618*(1+'Parâmetros financeiros Despesa'!F$4)*(1+'Parâmetros financeiros Despesa'!F$7))</f>
        <v>545.16575</v>
      </c>
      <c r="M3158" s="799">
        <f t="shared" si="511"/>
        <v>2.0881354038525769E-4</v>
      </c>
      <c r="N3158" s="894"/>
      <c r="P3158" s="733"/>
    </row>
    <row r="3159" spans="1:21" s="115" customFormat="1" ht="15" customHeight="1" x14ac:dyDescent="0.25">
      <c r="A3159" s="396"/>
      <c r="B3159" s="1398" t="s">
        <v>9276</v>
      </c>
      <c r="C3159" s="1398"/>
      <c r="D3159" s="1398"/>
      <c r="E3159" s="854">
        <v>333933000000000</v>
      </c>
      <c r="F3159" s="855" t="s">
        <v>8987</v>
      </c>
      <c r="G3159" s="468">
        <v>40</v>
      </c>
      <c r="H3159" s="468">
        <v>0</v>
      </c>
      <c r="I3159" s="751"/>
      <c r="J3159" s="878"/>
      <c r="K3159" s="789">
        <f>(('Parâmetros financeiros Despesa'!E1619))</f>
        <v>0</v>
      </c>
      <c r="L3159" s="789">
        <f>('Parâmetros financeiros Despesa'!F1619*(1+'Parâmetros financeiros Despesa'!F$4)*(1+'Parâmetros financeiros Despesa'!F$7))</f>
        <v>545.16575</v>
      </c>
      <c r="M3159" s="799">
        <f t="shared" si="511"/>
        <v>2.0881354038525769E-4</v>
      </c>
      <c r="N3159" s="894"/>
      <c r="P3159" s="733"/>
    </row>
    <row r="3160" spans="1:21" s="115" customFormat="1" ht="15" customHeight="1" x14ac:dyDescent="0.25">
      <c r="A3160" s="396"/>
      <c r="B3160" s="877"/>
      <c r="C3160" s="877"/>
      <c r="D3160" s="877" t="s">
        <v>9278</v>
      </c>
      <c r="E3160" s="854">
        <v>333933900000000</v>
      </c>
      <c r="F3160" s="855" t="s">
        <v>9277</v>
      </c>
      <c r="G3160" s="468">
        <v>40</v>
      </c>
      <c r="H3160" s="468">
        <v>0</v>
      </c>
      <c r="I3160" s="751"/>
      <c r="J3160" s="878"/>
      <c r="K3160" s="789">
        <f>(('Parâmetros financeiros Despesa'!E1620))</f>
        <v>0</v>
      </c>
      <c r="L3160" s="789">
        <f>('Parâmetros financeiros Despesa'!F1620*(1+'Parâmetros financeiros Despesa'!F$4)*(1+'Parâmetros financeiros Despesa'!F$7))</f>
        <v>545.16575</v>
      </c>
      <c r="M3160" s="799">
        <f t="shared" si="511"/>
        <v>2.0881354038525769E-4</v>
      </c>
      <c r="N3160" s="894"/>
      <c r="P3160" s="733"/>
    </row>
    <row r="3161" spans="1:21" s="115" customFormat="1" ht="15" customHeight="1" x14ac:dyDescent="0.25">
      <c r="A3161" s="396"/>
      <c r="B3161" s="1398" t="s">
        <v>9279</v>
      </c>
      <c r="C3161" s="1398"/>
      <c r="D3161" s="1398"/>
      <c r="E3161" s="854">
        <v>344905200000000</v>
      </c>
      <c r="F3161" s="855" t="s">
        <v>8974</v>
      </c>
      <c r="G3161" s="468">
        <v>40</v>
      </c>
      <c r="H3161" s="468">
        <v>0</v>
      </c>
      <c r="I3161" s="751"/>
      <c r="J3161" s="878"/>
      <c r="K3161" s="789">
        <f>(('Parâmetros financeiros Despesa'!E1621))</f>
        <v>0</v>
      </c>
      <c r="L3161" s="789">
        <f>('Parâmetros financeiros Despesa'!F1621*(1+'Parâmetros financeiros Despesa'!F$4)*(1+'Parâmetros financeiros Despesa'!F$7))</f>
        <v>545.16575</v>
      </c>
      <c r="M3161" s="799">
        <f t="shared" si="511"/>
        <v>2.0881354038525769E-4</v>
      </c>
      <c r="N3161" s="894"/>
      <c r="P3161" s="733"/>
    </row>
    <row r="3162" spans="1:21" s="774" customFormat="1" ht="15" customHeight="1" x14ac:dyDescent="0.25">
      <c r="A3162" s="397"/>
      <c r="B3162" s="1382" t="s">
        <v>8699</v>
      </c>
      <c r="C3162" s="1382"/>
      <c r="D3162" s="1382"/>
      <c r="E3162" s="1382"/>
      <c r="F3162" s="1382"/>
      <c r="G3162" s="405"/>
      <c r="H3162" s="405"/>
      <c r="I3162" s="428"/>
      <c r="J3162" s="413"/>
      <c r="K3162" s="406">
        <f t="shared" ref="K3162:L3164" si="512">K3163</f>
        <v>1005.78</v>
      </c>
      <c r="L3162" s="406">
        <f t="shared" si="512"/>
        <v>13268.420637409596</v>
      </c>
      <c r="M3162" s="453">
        <f>L3162/L$3225</f>
        <v>5.0821715939020663E-3</v>
      </c>
      <c r="N3162" s="796"/>
      <c r="P3162" s="399"/>
    </row>
    <row r="3163" spans="1:21" s="774" customFormat="1" ht="15" customHeight="1" x14ac:dyDescent="0.25">
      <c r="A3163" s="397"/>
      <c r="B3163" s="1383" t="s">
        <v>8988</v>
      </c>
      <c r="C3163" s="1383"/>
      <c r="D3163" s="1383"/>
      <c r="E3163" s="1383"/>
      <c r="F3163" s="1383"/>
      <c r="G3163" s="407"/>
      <c r="H3163" s="407"/>
      <c r="I3163" s="429"/>
      <c r="J3163" s="414"/>
      <c r="K3163" s="408">
        <f t="shared" si="512"/>
        <v>1005.78</v>
      </c>
      <c r="L3163" s="408">
        <f t="shared" si="512"/>
        <v>13268.420637409596</v>
      </c>
      <c r="M3163" s="454">
        <f>L3163/L$3225</f>
        <v>5.0821715939020663E-3</v>
      </c>
      <c r="N3163" s="796"/>
      <c r="P3163" s="399"/>
    </row>
    <row r="3164" spans="1:21" s="774" customFormat="1" ht="15" customHeight="1" x14ac:dyDescent="0.25">
      <c r="A3164" s="397"/>
      <c r="B3164" s="1385" t="s">
        <v>8698</v>
      </c>
      <c r="C3164" s="1385"/>
      <c r="D3164" s="1385"/>
      <c r="E3164" s="1385"/>
      <c r="F3164" s="1385"/>
      <c r="G3164" s="401"/>
      <c r="H3164" s="401"/>
      <c r="I3164" s="426"/>
      <c r="J3164" s="411"/>
      <c r="K3164" s="402">
        <f t="shared" si="512"/>
        <v>1005.78</v>
      </c>
      <c r="L3164" s="402">
        <f t="shared" si="512"/>
        <v>13268.420637409596</v>
      </c>
      <c r="M3164" s="451">
        <f>L3164/L$3225</f>
        <v>5.0821715939020663E-3</v>
      </c>
      <c r="N3164" s="796"/>
      <c r="P3164" s="399"/>
    </row>
    <row r="3165" spans="1:21" s="774" customFormat="1" ht="15" customHeight="1" x14ac:dyDescent="0.25">
      <c r="A3165" s="397"/>
      <c r="B3165" s="1386" t="s">
        <v>8962</v>
      </c>
      <c r="C3165" s="1386"/>
      <c r="D3165" s="1386"/>
      <c r="E3165" s="1386"/>
      <c r="F3165" s="1386"/>
      <c r="G3165" s="403"/>
      <c r="H3165" s="403"/>
      <c r="I3165" s="427"/>
      <c r="J3165" s="412"/>
      <c r="K3165" s="404">
        <f>SUM(K3166:K3184)</f>
        <v>1005.78</v>
      </c>
      <c r="L3165" s="404">
        <f>SUM(L3166:L3184)+0.04</f>
        <v>13268.420637409596</v>
      </c>
      <c r="M3165" s="452">
        <f>L3165/L$3225</f>
        <v>5.0821715939020663E-3</v>
      </c>
      <c r="N3165" s="796"/>
      <c r="P3165" s="399"/>
    </row>
    <row r="3166" spans="1:21" s="115" customFormat="1" ht="15" customHeight="1" x14ac:dyDescent="0.25">
      <c r="A3166" s="396"/>
      <c r="B3166" s="1398" t="s">
        <v>9286</v>
      </c>
      <c r="C3166" s="1398"/>
      <c r="D3166" s="1398"/>
      <c r="E3166" s="854">
        <v>331900400000000</v>
      </c>
      <c r="F3166" s="855" t="s">
        <v>8976</v>
      </c>
      <c r="G3166" s="468">
        <v>40</v>
      </c>
      <c r="H3166" s="468">
        <v>0</v>
      </c>
      <c r="I3166" s="751"/>
      <c r="J3166" s="878"/>
      <c r="K3166" s="789">
        <f>(('Parâmetros financeiros Despesa'!E1623))</f>
        <v>0</v>
      </c>
      <c r="L3166" s="789">
        <f>(('Parâmetros financeiros Despesa'!F1623)*2.05+(('Parâmetros financeiros Despesa'!F1623)*11.28)*(1+'Parâmetros financeiros Despesa'!F$4)*(1+'Parâmetros financeiros Despesa'!F$8))*(1+'Parâmetros financeiros Despesa'!F$80)</f>
        <v>17.278630081629636</v>
      </c>
      <c r="M3166" s="799">
        <f>L3166/L$3225</f>
        <v>6.6181925778578327E-6</v>
      </c>
      <c r="N3166" s="894"/>
      <c r="P3166" s="733"/>
    </row>
    <row r="3167" spans="1:21" s="115" customFormat="1" ht="15" customHeight="1" x14ac:dyDescent="0.25">
      <c r="A3167" s="396"/>
      <c r="B3167" s="1398" t="s">
        <v>9287</v>
      </c>
      <c r="C3167" s="1398"/>
      <c r="D3167" s="1398"/>
      <c r="E3167" s="854">
        <v>331901100000000</v>
      </c>
      <c r="F3167" s="855" t="s">
        <v>8978</v>
      </c>
      <c r="G3167" s="468">
        <v>40</v>
      </c>
      <c r="H3167" s="468">
        <v>0</v>
      </c>
      <c r="I3167" s="751"/>
      <c r="J3167" s="878"/>
      <c r="K3167" s="789">
        <f>(('Parâmetros financeiros Despesa'!E1624))</f>
        <v>0</v>
      </c>
      <c r="L3167" s="789">
        <f>('Parâmetros financeiros Despesa'!F1624)*2.05+(('Parâmetros financeiros Despesa'!F1624)*11.28)*(1+'Parâmetros financeiros Despesa'!F$4)*(1+'Parâmetros financeiros Despesa'!F$8)</f>
        <v>3014.4594010083256</v>
      </c>
      <c r="M3167" s="799">
        <f t="shared" ref="M3167:M3173" si="513">L3167/L$3225</f>
        <v>1.1546212135890264E-3</v>
      </c>
      <c r="N3167" s="894"/>
      <c r="P3167" s="733"/>
    </row>
    <row r="3168" spans="1:21" s="115" customFormat="1" ht="15" customHeight="1" x14ac:dyDescent="0.25">
      <c r="A3168" s="396"/>
      <c r="B3168" s="1398" t="s">
        <v>9288</v>
      </c>
      <c r="C3168" s="1398"/>
      <c r="D3168" s="1398"/>
      <c r="E3168" s="854">
        <v>331901300000000</v>
      </c>
      <c r="F3168" s="855" t="s">
        <v>8977</v>
      </c>
      <c r="G3168" s="468">
        <v>40</v>
      </c>
      <c r="H3168" s="468">
        <v>0</v>
      </c>
      <c r="I3168" s="751"/>
      <c r="J3168" s="878"/>
      <c r="K3168" s="789">
        <f>(('Parâmetros financeiros Despesa'!E1625))</f>
        <v>0</v>
      </c>
      <c r="L3168" s="789">
        <f>(L3169+L3167)*'Parâmetros financeiros Despesa'!F80</f>
        <v>721.04749614508216</v>
      </c>
      <c r="M3168" s="799">
        <f t="shared" si="513"/>
        <v>2.7618110722469279E-4</v>
      </c>
      <c r="N3168" s="894"/>
      <c r="P3168" s="733"/>
    </row>
    <row r="3169" spans="1:21" s="115" customFormat="1" ht="15" customHeight="1" x14ac:dyDescent="0.25">
      <c r="A3169" s="396"/>
      <c r="B3169" s="1398" t="s">
        <v>9289</v>
      </c>
      <c r="C3169" s="1398"/>
      <c r="D3169" s="1398"/>
      <c r="E3169" s="854">
        <v>331901600000000</v>
      </c>
      <c r="F3169" s="855" t="s">
        <v>8979</v>
      </c>
      <c r="G3169" s="468">
        <v>40</v>
      </c>
      <c r="H3169" s="468">
        <v>0</v>
      </c>
      <c r="I3169" s="751"/>
      <c r="J3169" s="878"/>
      <c r="K3169" s="789">
        <f>(('Parâmetros financeiros Despesa'!E1626))</f>
        <v>0</v>
      </c>
      <c r="L3169" s="789">
        <f>('Parâmetros financeiros Despesa'!F1626)*2.05+(('Parâmetros financeiros Despesa'!F1626)*11.28)*(1+'Parâmetros financeiros Despesa'!F$4)*(1+'Parâmetros financeiros Despesa'!F$8)</f>
        <v>13.955830560223728</v>
      </c>
      <c r="M3169" s="799">
        <f t="shared" si="513"/>
        <v>5.3454685814306766E-6</v>
      </c>
      <c r="N3169" s="894"/>
      <c r="P3169" s="733"/>
    </row>
    <row r="3170" spans="1:21" s="115" customFormat="1" ht="15" customHeight="1" x14ac:dyDescent="0.25">
      <c r="A3170" s="396"/>
      <c r="B3170" s="1398" t="s">
        <v>9290</v>
      </c>
      <c r="C3170" s="1398"/>
      <c r="D3170" s="1398"/>
      <c r="E3170" s="854">
        <v>333901400000000</v>
      </c>
      <c r="F3170" s="855" t="s">
        <v>8994</v>
      </c>
      <c r="G3170" s="468">
        <v>40</v>
      </c>
      <c r="H3170" s="468">
        <v>0</v>
      </c>
      <c r="I3170" s="751"/>
      <c r="J3170" s="878"/>
      <c r="K3170" s="789">
        <f>(('Parâmetros financeiros Despesa'!E1627))</f>
        <v>0</v>
      </c>
      <c r="L3170" s="789">
        <f>('Parâmetros financeiros Despesa'!F1627)*2+(('Parâmetros financeiros Despesa'!F1627)*10)*(1+'Parâmetros financeiros Despesa'!F$4)*(1+'Parâmetros financeiros Despesa'!F$8)</f>
        <v>2510.9628652878946</v>
      </c>
      <c r="M3170" s="799">
        <f t="shared" si="513"/>
        <v>9.617681332267777E-4</v>
      </c>
      <c r="N3170" s="894"/>
      <c r="P3170" s="733"/>
    </row>
    <row r="3171" spans="1:21" s="115" customFormat="1" ht="15" customHeight="1" x14ac:dyDescent="0.25">
      <c r="B3171" s="879"/>
      <c r="C3171" s="879"/>
      <c r="D3171" s="880">
        <v>627500</v>
      </c>
      <c r="E3171" s="854">
        <v>333903000000000</v>
      </c>
      <c r="F3171" s="855" t="s">
        <v>8995</v>
      </c>
      <c r="G3171" s="468">
        <v>40</v>
      </c>
      <c r="H3171" s="468">
        <v>0</v>
      </c>
      <c r="I3171" s="751"/>
      <c r="J3171" s="878"/>
      <c r="K3171" s="789">
        <f>(('Parâmetros financeiros Despesa'!E1628))</f>
        <v>435.78</v>
      </c>
      <c r="L3171" s="789">
        <f>('Parâmetros financeiros Despesa'!F1628*(1+'Parâmetros financeiros Despesa'!F$4)*(1+'Parâmetros financeiros Despesa'!F$7))</f>
        <v>1635.4972500000001</v>
      </c>
      <c r="M3171" s="799">
        <f t="shared" si="513"/>
        <v>6.2644062115577311E-4</v>
      </c>
      <c r="N3171" s="894"/>
      <c r="O3171" s="396"/>
      <c r="P3171" s="463"/>
      <c r="S3171" s="463"/>
      <c r="T3171" s="463"/>
      <c r="U3171" s="463"/>
    </row>
    <row r="3172" spans="1:21" s="115" customFormat="1" ht="15" customHeight="1" x14ac:dyDescent="0.25">
      <c r="B3172" s="599" t="s">
        <v>9291</v>
      </c>
      <c r="C3172" s="879" t="s">
        <v>6062</v>
      </c>
      <c r="D3172" s="880">
        <v>627500</v>
      </c>
      <c r="E3172" s="417">
        <v>333903017010200</v>
      </c>
      <c r="F3172" s="418" t="s">
        <v>8980</v>
      </c>
      <c r="G3172" s="873">
        <v>40</v>
      </c>
      <c r="H3172" s="873">
        <v>0</v>
      </c>
      <c r="I3172" s="751"/>
      <c r="J3172" s="878"/>
      <c r="K3172" s="476">
        <v>0</v>
      </c>
      <c r="L3172" s="476">
        <v>0</v>
      </c>
      <c r="M3172" s="477">
        <f t="shared" si="513"/>
        <v>0</v>
      </c>
      <c r="N3172" s="894"/>
      <c r="O3172" s="396"/>
      <c r="P3172" s="463"/>
      <c r="S3172" s="463"/>
      <c r="T3172" s="463"/>
      <c r="U3172" s="463"/>
    </row>
    <row r="3173" spans="1:21" s="115" customFormat="1" ht="15" customHeight="1" x14ac:dyDescent="0.25">
      <c r="B3173" s="599" t="s">
        <v>9292</v>
      </c>
      <c r="C3173" s="879" t="s">
        <v>6062</v>
      </c>
      <c r="D3173" s="880">
        <v>627500</v>
      </c>
      <c r="E3173" s="417">
        <v>333903017010100</v>
      </c>
      <c r="F3173" s="418" t="s">
        <v>8981</v>
      </c>
      <c r="G3173" s="873">
        <v>40</v>
      </c>
      <c r="H3173" s="873">
        <v>0</v>
      </c>
      <c r="I3173" s="751"/>
      <c r="J3173" s="878"/>
      <c r="K3173" s="476">
        <v>0</v>
      </c>
      <c r="L3173" s="476">
        <v>0</v>
      </c>
      <c r="M3173" s="477">
        <f t="shared" si="513"/>
        <v>0</v>
      </c>
      <c r="N3173" s="894"/>
      <c r="O3173" s="396"/>
      <c r="P3173" s="463"/>
      <c r="S3173" s="463"/>
      <c r="T3173" s="463"/>
      <c r="U3173" s="463"/>
    </row>
    <row r="3174" spans="1:21" s="115" customFormat="1" ht="15" customHeight="1" x14ac:dyDescent="0.25">
      <c r="B3174" s="877"/>
      <c r="C3174" s="877"/>
      <c r="D3174" s="880">
        <v>627600</v>
      </c>
      <c r="E3174" s="854">
        <v>333903200000000</v>
      </c>
      <c r="F3174" s="855" t="s">
        <v>8982</v>
      </c>
      <c r="G3174" s="468">
        <v>40</v>
      </c>
      <c r="H3174" s="468">
        <v>0</v>
      </c>
      <c r="I3174" s="751"/>
      <c r="J3174" s="878"/>
      <c r="K3174" s="789">
        <f>(('Parâmetros financeiros Despesa'!E1629))</f>
        <v>0</v>
      </c>
      <c r="L3174" s="789">
        <f>('Parâmetros financeiros Despesa'!F1629*(1+'Parâmetros financeiros Despesa'!F$4)*(1+'Parâmetros financeiros Despesa'!F$7))</f>
        <v>545.16575</v>
      </c>
      <c r="M3174" s="799">
        <f t="shared" ref="M3174:M3184" si="514">L3174/L$3225</f>
        <v>2.0881354038525769E-4</v>
      </c>
      <c r="N3174" s="894"/>
      <c r="O3174" s="396"/>
      <c r="P3174" s="463"/>
      <c r="S3174" s="463"/>
      <c r="T3174" s="463"/>
      <c r="U3174" s="463"/>
    </row>
    <row r="3175" spans="1:21" s="115" customFormat="1" ht="15" customHeight="1" x14ac:dyDescent="0.25">
      <c r="B3175" s="877"/>
      <c r="C3175" s="877"/>
      <c r="D3175" s="880">
        <v>627700</v>
      </c>
      <c r="E3175" s="854">
        <v>333903300000000</v>
      </c>
      <c r="F3175" s="855" t="s">
        <v>9280</v>
      </c>
      <c r="G3175" s="468">
        <v>40</v>
      </c>
      <c r="H3175" s="468">
        <v>0</v>
      </c>
      <c r="I3175" s="751"/>
      <c r="J3175" s="878"/>
      <c r="K3175" s="789">
        <f>(('Parâmetros financeiros Despesa'!E1630))</f>
        <v>0</v>
      </c>
      <c r="L3175" s="789">
        <f>('Parâmetros financeiros Despesa'!F1630*(1+'Parâmetros financeiros Despesa'!F$4)*(1+'Parâmetros financeiros Despesa'!F$7))</f>
        <v>545.16575</v>
      </c>
      <c r="M3175" s="799">
        <f t="shared" si="514"/>
        <v>2.0881354038525769E-4</v>
      </c>
      <c r="N3175" s="894"/>
      <c r="O3175" s="396"/>
      <c r="P3175" s="463"/>
      <c r="S3175" s="463"/>
      <c r="T3175" s="463"/>
      <c r="U3175" s="463"/>
    </row>
    <row r="3176" spans="1:21" s="115" customFormat="1" ht="15" customHeight="1" x14ac:dyDescent="0.25">
      <c r="B3176" s="877"/>
      <c r="C3176" s="877"/>
      <c r="D3176" s="880">
        <v>627800</v>
      </c>
      <c r="E3176" s="854">
        <v>333903500000000</v>
      </c>
      <c r="F3176" s="855" t="s">
        <v>9281</v>
      </c>
      <c r="G3176" s="468">
        <v>40</v>
      </c>
      <c r="H3176" s="468">
        <v>0</v>
      </c>
      <c r="I3176" s="751"/>
      <c r="J3176" s="878"/>
      <c r="K3176" s="789">
        <f>(('Parâmetros financeiros Despesa'!E1631))</f>
        <v>0</v>
      </c>
      <c r="L3176" s="789">
        <f>('Parâmetros financeiros Despesa'!F1631*(1+'Parâmetros financeiros Despesa'!F$4)*(1+'Parâmetros financeiros Despesa'!F$7))</f>
        <v>545.16575</v>
      </c>
      <c r="M3176" s="799">
        <f t="shared" si="514"/>
        <v>2.0881354038525769E-4</v>
      </c>
      <c r="N3176" s="894"/>
      <c r="O3176" s="396"/>
      <c r="P3176" s="463"/>
      <c r="S3176" s="463"/>
      <c r="T3176" s="463"/>
      <c r="U3176" s="463"/>
    </row>
    <row r="3177" spans="1:21" s="115" customFormat="1" ht="15" customHeight="1" x14ac:dyDescent="0.25">
      <c r="B3177" s="877"/>
      <c r="C3177" s="877"/>
      <c r="D3177" s="880">
        <v>627900</v>
      </c>
      <c r="E3177" s="854">
        <v>333903600000000</v>
      </c>
      <c r="F3177" s="855" t="s">
        <v>9282</v>
      </c>
      <c r="G3177" s="468">
        <v>40</v>
      </c>
      <c r="H3177" s="468">
        <v>0</v>
      </c>
      <c r="I3177" s="751"/>
      <c r="J3177" s="878"/>
      <c r="K3177" s="789">
        <f>(('Parâmetros financeiros Despesa'!E1632))</f>
        <v>0</v>
      </c>
      <c r="L3177" s="789">
        <f>('Parâmetros financeiros Despesa'!F1632*(1+'Parâmetros financeiros Despesa'!F$4)*(1+'Parâmetros financeiros Despesa'!F$7))</f>
        <v>545.16575</v>
      </c>
      <c r="M3177" s="799">
        <f t="shared" si="514"/>
        <v>2.0881354038525769E-4</v>
      </c>
      <c r="N3177" s="894"/>
      <c r="O3177" s="396"/>
      <c r="P3177" s="463"/>
      <c r="S3177" s="463"/>
      <c r="T3177" s="463"/>
      <c r="U3177" s="463"/>
    </row>
    <row r="3178" spans="1:21" s="115" customFormat="1" ht="15" customHeight="1" x14ac:dyDescent="0.25">
      <c r="B3178" s="877"/>
      <c r="C3178" s="877"/>
      <c r="D3178" s="880">
        <v>628000</v>
      </c>
      <c r="E3178" s="854">
        <v>333903900000000</v>
      </c>
      <c r="F3178" s="855" t="s">
        <v>9283</v>
      </c>
      <c r="G3178" s="468">
        <v>40</v>
      </c>
      <c r="H3178" s="468">
        <v>0</v>
      </c>
      <c r="I3178" s="751"/>
      <c r="J3178" s="878"/>
      <c r="K3178" s="789">
        <f>(('Parâmetros financeiros Despesa'!E1633))</f>
        <v>570</v>
      </c>
      <c r="L3178" s="789">
        <f>('Parâmetros financeiros Despesa'!F1633*(1+'Parâmetros financeiros Despesa'!F$4)*(1+'Parâmetros financeiros Despesa'!F$7))</f>
        <v>872.26520000000005</v>
      </c>
      <c r="M3178" s="799">
        <f t="shared" si="514"/>
        <v>3.3410166461641237E-4</v>
      </c>
      <c r="N3178" s="894"/>
      <c r="O3178" s="396"/>
      <c r="P3178" s="463"/>
      <c r="S3178" s="463"/>
      <c r="T3178" s="463"/>
      <c r="U3178" s="463"/>
    </row>
    <row r="3179" spans="1:21" s="115" customFormat="1" ht="15" customHeight="1" x14ac:dyDescent="0.25">
      <c r="B3179" s="877"/>
      <c r="C3179" s="877"/>
      <c r="D3179" s="880">
        <v>628100</v>
      </c>
      <c r="E3179" s="854">
        <v>333904700000000</v>
      </c>
      <c r="F3179" s="855" t="s">
        <v>9284</v>
      </c>
      <c r="G3179" s="468">
        <v>40</v>
      </c>
      <c r="H3179" s="468">
        <v>0</v>
      </c>
      <c r="I3179" s="751"/>
      <c r="J3179" s="878"/>
      <c r="K3179" s="789">
        <f>(('Parâmetros financeiros Despesa'!E1634))</f>
        <v>0</v>
      </c>
      <c r="L3179" s="789">
        <f>('Parâmetros financeiros Despesa'!F1634*(1+'Parâmetros financeiros Despesa'!F$4)*(1+'Parâmetros financeiros Despesa'!F$7))</f>
        <v>109.03315000000001</v>
      </c>
      <c r="M3179" s="799">
        <f t="shared" si="514"/>
        <v>4.1762708077051546E-5</v>
      </c>
      <c r="N3179" s="894"/>
      <c r="O3179" s="396"/>
      <c r="P3179" s="463"/>
      <c r="S3179" s="463"/>
      <c r="T3179" s="463"/>
      <c r="U3179" s="463"/>
    </row>
    <row r="3180" spans="1:21" s="115" customFormat="1" ht="15" customHeight="1" x14ac:dyDescent="0.25">
      <c r="A3180" s="396"/>
      <c r="B3180" s="1398" t="s">
        <v>9293</v>
      </c>
      <c r="C3180" s="1398"/>
      <c r="D3180" s="1398"/>
      <c r="E3180" s="854">
        <v>333904900000000</v>
      </c>
      <c r="F3180" s="855" t="s">
        <v>8983</v>
      </c>
      <c r="G3180" s="468">
        <v>40</v>
      </c>
      <c r="H3180" s="468">
        <v>0</v>
      </c>
      <c r="I3180" s="751"/>
      <c r="J3180" s="878"/>
      <c r="K3180" s="789">
        <f>(('Parâmetros financeiros Despesa'!E1635))</f>
        <v>0</v>
      </c>
      <c r="L3180" s="789">
        <f>('Parâmetros financeiros Despesa'!F1635)*2+(('Parâmetros financeiros Despesa'!F1635)*10)*(1+'Parâmetros financeiros Despesa'!F$4)*(1+'Parâmetros financeiros Despesa'!F$8)</f>
        <v>12.554814326439475</v>
      </c>
      <c r="M3180" s="799">
        <f t="shared" si="514"/>
        <v>4.8088406661338892E-6</v>
      </c>
      <c r="N3180" s="894"/>
      <c r="P3180" s="733"/>
    </row>
    <row r="3181" spans="1:21" s="115" customFormat="1" ht="15" customHeight="1" x14ac:dyDescent="0.25">
      <c r="A3181" s="396"/>
      <c r="B3181" s="1398" t="s">
        <v>9294</v>
      </c>
      <c r="C3181" s="1398"/>
      <c r="D3181" s="1398"/>
      <c r="E3181" s="854">
        <v>333909300000000</v>
      </c>
      <c r="F3181" s="855" t="s">
        <v>8984</v>
      </c>
      <c r="G3181" s="468">
        <v>40</v>
      </c>
      <c r="H3181" s="468">
        <v>0</v>
      </c>
      <c r="I3181" s="751"/>
      <c r="J3181" s="878"/>
      <c r="K3181" s="789">
        <f>(('Parâmetros financeiros Despesa'!E1636))</f>
        <v>0</v>
      </c>
      <c r="L3181" s="789">
        <f>('Parâmetros financeiros Despesa'!F1636*(1+'Parâmetros financeiros Despesa'!F$4)*(1+'Parâmetros financeiros Despesa'!F$7))</f>
        <v>545.16575</v>
      </c>
      <c r="M3181" s="799">
        <f t="shared" si="514"/>
        <v>2.0881354038525769E-4</v>
      </c>
      <c r="N3181" s="894"/>
      <c r="P3181" s="733"/>
    </row>
    <row r="3182" spans="1:21" s="115" customFormat="1" ht="15" customHeight="1" x14ac:dyDescent="0.25">
      <c r="A3182" s="396"/>
      <c r="B3182" s="1398" t="s">
        <v>9295</v>
      </c>
      <c r="C3182" s="1398"/>
      <c r="D3182" s="1398"/>
      <c r="E3182" s="854">
        <v>333933000000000</v>
      </c>
      <c r="F3182" s="855" t="s">
        <v>8986</v>
      </c>
      <c r="G3182" s="468">
        <v>40</v>
      </c>
      <c r="H3182" s="468">
        <v>0</v>
      </c>
      <c r="I3182" s="751"/>
      <c r="J3182" s="878"/>
      <c r="K3182" s="789">
        <f>(('Parâmetros financeiros Despesa'!E1637))</f>
        <v>0</v>
      </c>
      <c r="L3182" s="789">
        <f>('Parâmetros financeiros Despesa'!F1637*(1+'Parâmetros financeiros Despesa'!F$4)*(1+'Parâmetros financeiros Despesa'!F$7))</f>
        <v>545.16575</v>
      </c>
      <c r="M3182" s="799">
        <f t="shared" si="514"/>
        <v>2.0881354038525769E-4</v>
      </c>
      <c r="N3182" s="894"/>
      <c r="P3182" s="733"/>
    </row>
    <row r="3183" spans="1:21" s="115" customFormat="1" ht="15" customHeight="1" x14ac:dyDescent="0.25">
      <c r="A3183" s="396"/>
      <c r="B3183" s="877"/>
      <c r="C3183" s="877"/>
      <c r="D3183" s="877" t="s">
        <v>9296</v>
      </c>
      <c r="E3183" s="854">
        <v>333933900000000</v>
      </c>
      <c r="F3183" s="855" t="s">
        <v>9285</v>
      </c>
      <c r="G3183" s="468">
        <v>40</v>
      </c>
      <c r="H3183" s="468">
        <v>0</v>
      </c>
      <c r="I3183" s="751"/>
      <c r="J3183" s="878"/>
      <c r="K3183" s="789">
        <f>(('Parâmetros financeiros Despesa'!E1638))</f>
        <v>0</v>
      </c>
      <c r="L3183" s="789">
        <f>('Parâmetros financeiros Despesa'!F1638*(1+'Parâmetros financeiros Despesa'!F$4)*(1+'Parâmetros financeiros Despesa'!F$7))</f>
        <v>545.16575</v>
      </c>
      <c r="M3183" s="799">
        <f t="shared" si="514"/>
        <v>2.0881354038525769E-4</v>
      </c>
      <c r="N3183" s="894"/>
      <c r="P3183" s="733"/>
    </row>
    <row r="3184" spans="1:21" s="115" customFormat="1" ht="15" customHeight="1" x14ac:dyDescent="0.25">
      <c r="A3184" s="396"/>
      <c r="B3184" s="1398" t="s">
        <v>9297</v>
      </c>
      <c r="C3184" s="1398"/>
      <c r="D3184" s="1398"/>
      <c r="E3184" s="854">
        <v>344905200000000</v>
      </c>
      <c r="F3184" s="855" t="s">
        <v>8985</v>
      </c>
      <c r="G3184" s="468">
        <v>40</v>
      </c>
      <c r="H3184" s="468">
        <v>0</v>
      </c>
      <c r="I3184" s="751"/>
      <c r="J3184" s="878"/>
      <c r="K3184" s="789">
        <f>(('Parâmetros financeiros Despesa'!E1639))</f>
        <v>0</v>
      </c>
      <c r="L3184" s="789">
        <f>('Parâmetros financeiros Despesa'!F1639*(1+'Parâmetros financeiros Despesa'!F$4)*(1+'Parâmetros financeiros Despesa'!F$7))</f>
        <v>545.16575</v>
      </c>
      <c r="M3184" s="799">
        <f t="shared" si="514"/>
        <v>2.0881354038525769E-4</v>
      </c>
      <c r="N3184" s="894"/>
      <c r="P3184" s="733"/>
    </row>
    <row r="3185" spans="1:21" s="774" customFormat="1" ht="15" customHeight="1" x14ac:dyDescent="0.25">
      <c r="A3185" s="397"/>
      <c r="B3185" s="1382" t="s">
        <v>8699</v>
      </c>
      <c r="C3185" s="1382"/>
      <c r="D3185" s="1382"/>
      <c r="E3185" s="1382"/>
      <c r="F3185" s="1382"/>
      <c r="G3185" s="405"/>
      <c r="H3185" s="405"/>
      <c r="I3185" s="428"/>
      <c r="J3185" s="413"/>
      <c r="K3185" s="406">
        <f t="shared" ref="K3185:L3187" si="515">K3186</f>
        <v>920.78500000000008</v>
      </c>
      <c r="L3185" s="406">
        <f t="shared" si="515"/>
        <v>5693.5248736277326</v>
      </c>
      <c r="M3185" s="453">
        <f>L3185/L$3225</f>
        <v>2.1807772886204497E-3</v>
      </c>
      <c r="N3185" s="796"/>
      <c r="P3185" s="399"/>
    </row>
    <row r="3186" spans="1:21" s="774" customFormat="1" ht="15" customHeight="1" x14ac:dyDescent="0.25">
      <c r="A3186" s="397"/>
      <c r="B3186" s="1383" t="s">
        <v>8988</v>
      </c>
      <c r="C3186" s="1383"/>
      <c r="D3186" s="1383"/>
      <c r="E3186" s="1383"/>
      <c r="F3186" s="1383"/>
      <c r="G3186" s="407"/>
      <c r="H3186" s="407"/>
      <c r="I3186" s="429"/>
      <c r="J3186" s="414"/>
      <c r="K3186" s="408">
        <f t="shared" si="515"/>
        <v>920.78500000000008</v>
      </c>
      <c r="L3186" s="408">
        <f t="shared" si="515"/>
        <v>5693.5248736277326</v>
      </c>
      <c r="M3186" s="454">
        <f>L3186/L$3225</f>
        <v>2.1807772886204497E-3</v>
      </c>
      <c r="N3186" s="796"/>
      <c r="P3186" s="399"/>
    </row>
    <row r="3187" spans="1:21" s="774" customFormat="1" ht="15" customHeight="1" x14ac:dyDescent="0.25">
      <c r="A3187" s="397"/>
      <c r="B3187" s="1385" t="s">
        <v>8698</v>
      </c>
      <c r="C3187" s="1385"/>
      <c r="D3187" s="1385"/>
      <c r="E3187" s="1385"/>
      <c r="F3187" s="1385"/>
      <c r="G3187" s="401"/>
      <c r="H3187" s="401"/>
      <c r="I3187" s="426"/>
      <c r="J3187" s="411"/>
      <c r="K3187" s="402">
        <f t="shared" si="515"/>
        <v>920.78500000000008</v>
      </c>
      <c r="L3187" s="402">
        <f t="shared" si="515"/>
        <v>5693.5248736277326</v>
      </c>
      <c r="M3187" s="451">
        <f>L3187/L$3225</f>
        <v>2.1807772886204497E-3</v>
      </c>
      <c r="N3187" s="796"/>
      <c r="P3187" s="399"/>
    </row>
    <row r="3188" spans="1:21" s="774" customFormat="1" ht="15" customHeight="1" x14ac:dyDescent="0.25">
      <c r="A3188" s="397"/>
      <c r="B3188" s="1386" t="s">
        <v>8963</v>
      </c>
      <c r="C3188" s="1386"/>
      <c r="D3188" s="1386"/>
      <c r="E3188" s="1386"/>
      <c r="F3188" s="1386"/>
      <c r="G3188" s="403"/>
      <c r="H3188" s="403"/>
      <c r="I3188" s="427"/>
      <c r="J3188" s="412"/>
      <c r="K3188" s="404">
        <f>SUM(K3189:K3199)-0.02</f>
        <v>920.78500000000008</v>
      </c>
      <c r="L3188" s="404">
        <f>SUM(L3189:L3199)+0.04</f>
        <v>5693.5248736277326</v>
      </c>
      <c r="M3188" s="452">
        <f>L3188/L$3225</f>
        <v>2.1807772886204497E-3</v>
      </c>
      <c r="N3188" s="796"/>
      <c r="P3188" s="399"/>
    </row>
    <row r="3189" spans="1:21" s="115" customFormat="1" ht="15" customHeight="1" x14ac:dyDescent="0.25">
      <c r="A3189" s="396"/>
      <c r="B3189" s="1398" t="s">
        <v>9304</v>
      </c>
      <c r="C3189" s="1398"/>
      <c r="D3189" s="1398"/>
      <c r="E3189" s="854">
        <v>333901400000000</v>
      </c>
      <c r="F3189" s="855" t="s">
        <v>8989</v>
      </c>
      <c r="G3189" s="468">
        <v>40</v>
      </c>
      <c r="H3189" s="468">
        <v>0</v>
      </c>
      <c r="I3189" s="751"/>
      <c r="J3189" s="878"/>
      <c r="K3189" s="789">
        <f>('Parâmetros financeiros Despesa'!E1641)</f>
        <v>648</v>
      </c>
      <c r="L3189" s="789">
        <f>('Parâmetros financeiros Despesa'!F1641)*2+(('Parâmetros financeiros Despesa'!F1641)*10)*(1+'Parâmetros financeiros Despesa'!F$4)*(1+'Parâmetros financeiros Despesa'!F$8)</f>
        <v>677.95997362773164</v>
      </c>
      <c r="M3189" s="799">
        <f>L3189/L$3225</f>
        <v>2.5967739597123002E-4</v>
      </c>
      <c r="N3189" s="894"/>
      <c r="P3189" s="733"/>
    </row>
    <row r="3190" spans="1:21" s="115" customFormat="1" ht="15" customHeight="1" x14ac:dyDescent="0.25">
      <c r="B3190" s="879"/>
      <c r="C3190" s="879"/>
      <c r="D3190" s="880">
        <v>629100</v>
      </c>
      <c r="E3190" s="854">
        <v>333903000000000</v>
      </c>
      <c r="F3190" s="855" t="s">
        <v>8990</v>
      </c>
      <c r="G3190" s="468">
        <v>40</v>
      </c>
      <c r="H3190" s="468">
        <v>0</v>
      </c>
      <c r="I3190" s="751"/>
      <c r="J3190" s="878"/>
      <c r="K3190" s="789">
        <f>('Parâmetros financeiros Despesa'!E1642)</f>
        <v>272.80500000000001</v>
      </c>
      <c r="L3190" s="789">
        <f>('Parâmetros financeiros Despesa'!F1642*(1+'Parâmetros financeiros Despesa'!F$4)*(1+'Parâmetros financeiros Despesa'!F$7))</f>
        <v>545.16575</v>
      </c>
      <c r="M3190" s="799">
        <f t="shared" ref="M3190:M3199" si="516">L3190/L$3225</f>
        <v>2.0881354038525769E-4</v>
      </c>
      <c r="N3190" s="894"/>
      <c r="O3190" s="396"/>
      <c r="P3190" s="463"/>
      <c r="S3190" s="463"/>
      <c r="T3190" s="463"/>
      <c r="U3190" s="463"/>
    </row>
    <row r="3191" spans="1:21" s="115" customFormat="1" ht="15" customHeight="1" x14ac:dyDescent="0.25">
      <c r="B3191" s="877"/>
      <c r="C3191" s="877"/>
      <c r="D3191" s="880">
        <v>629200</v>
      </c>
      <c r="E3191" s="854">
        <v>333903200000000</v>
      </c>
      <c r="F3191" s="855" t="s">
        <v>8991</v>
      </c>
      <c r="G3191" s="468">
        <v>40</v>
      </c>
      <c r="H3191" s="468">
        <v>0</v>
      </c>
      <c r="I3191" s="751"/>
      <c r="J3191" s="878"/>
      <c r="K3191" s="789">
        <f>('Parâmetros financeiros Despesa'!E1643)</f>
        <v>0</v>
      </c>
      <c r="L3191" s="789">
        <f>('Parâmetros financeiros Despesa'!F1643*(1+'Parâmetros financeiros Despesa'!F$4)*(1+'Parâmetros financeiros Despesa'!F$7))</f>
        <v>545.16575</v>
      </c>
      <c r="M3191" s="799">
        <f t="shared" si="516"/>
        <v>2.0881354038525769E-4</v>
      </c>
      <c r="N3191" s="894"/>
      <c r="O3191" s="396"/>
      <c r="P3191" s="463"/>
      <c r="S3191" s="463"/>
      <c r="T3191" s="463"/>
      <c r="U3191" s="463"/>
    </row>
    <row r="3192" spans="1:21" s="115" customFormat="1" ht="15" customHeight="1" x14ac:dyDescent="0.25">
      <c r="B3192" s="877"/>
      <c r="C3192" s="877"/>
      <c r="D3192" s="880">
        <v>629300</v>
      </c>
      <c r="E3192" s="854">
        <v>333903300000000</v>
      </c>
      <c r="F3192" s="855" t="s">
        <v>9302</v>
      </c>
      <c r="G3192" s="468">
        <v>40</v>
      </c>
      <c r="H3192" s="468">
        <v>0</v>
      </c>
      <c r="I3192" s="751"/>
      <c r="J3192" s="878"/>
      <c r="K3192" s="789">
        <f>('Parâmetros financeiros Despesa'!E1644)</f>
        <v>0</v>
      </c>
      <c r="L3192" s="789">
        <f>('Parâmetros financeiros Despesa'!F1644*(1+'Parâmetros financeiros Despesa'!F$4)*(1+'Parâmetros financeiros Despesa'!F$7))</f>
        <v>545.16575</v>
      </c>
      <c r="M3192" s="799">
        <f t="shared" si="516"/>
        <v>2.0881354038525769E-4</v>
      </c>
      <c r="N3192" s="894"/>
      <c r="O3192" s="396"/>
      <c r="P3192" s="463"/>
      <c r="S3192" s="463"/>
      <c r="T3192" s="463"/>
      <c r="U3192" s="463"/>
    </row>
    <row r="3193" spans="1:21" s="115" customFormat="1" ht="15" customHeight="1" x14ac:dyDescent="0.25">
      <c r="B3193" s="877"/>
      <c r="C3193" s="877"/>
      <c r="D3193" s="880">
        <v>629400</v>
      </c>
      <c r="E3193" s="854">
        <v>333903600000000</v>
      </c>
      <c r="F3193" s="855" t="s">
        <v>9301</v>
      </c>
      <c r="G3193" s="468">
        <v>40</v>
      </c>
      <c r="H3193" s="468">
        <v>0</v>
      </c>
      <c r="I3193" s="751"/>
      <c r="J3193" s="878"/>
      <c r="K3193" s="789">
        <f>('Parâmetros financeiros Despesa'!E1645)</f>
        <v>0</v>
      </c>
      <c r="L3193" s="789">
        <f>('Parâmetros financeiros Despesa'!F1645*(1+'Parâmetros financeiros Despesa'!F$4)*(1+'Parâmetros financeiros Despesa'!F$7))</f>
        <v>545.16575</v>
      </c>
      <c r="M3193" s="799">
        <f t="shared" si="516"/>
        <v>2.0881354038525769E-4</v>
      </c>
      <c r="N3193" s="894"/>
      <c r="O3193" s="396"/>
      <c r="P3193" s="463"/>
      <c r="S3193" s="463"/>
      <c r="T3193" s="463"/>
      <c r="U3193" s="463"/>
    </row>
    <row r="3194" spans="1:21" s="115" customFormat="1" ht="15" customHeight="1" x14ac:dyDescent="0.25">
      <c r="B3194" s="877"/>
      <c r="C3194" s="877"/>
      <c r="D3194" s="880">
        <v>629500</v>
      </c>
      <c r="E3194" s="854">
        <v>333903900000000</v>
      </c>
      <c r="F3194" s="855" t="s">
        <v>9300</v>
      </c>
      <c r="G3194" s="468">
        <v>40</v>
      </c>
      <c r="H3194" s="468">
        <v>0</v>
      </c>
      <c r="I3194" s="751"/>
      <c r="J3194" s="878"/>
      <c r="K3194" s="789">
        <f>('Parâmetros financeiros Despesa'!E1646)</f>
        <v>0</v>
      </c>
      <c r="L3194" s="789">
        <f>('Parâmetros financeiros Despesa'!F1646*(1+'Parâmetros financeiros Despesa'!F$4)*(1+'Parâmetros financeiros Despesa'!F$7))</f>
        <v>545.16575</v>
      </c>
      <c r="M3194" s="799">
        <f t="shared" si="516"/>
        <v>2.0881354038525769E-4</v>
      </c>
      <c r="N3194" s="894"/>
      <c r="O3194" s="396"/>
      <c r="P3194" s="463"/>
      <c r="S3194" s="463"/>
      <c r="T3194" s="463"/>
      <c r="U3194" s="463"/>
    </row>
    <row r="3195" spans="1:21" s="115" customFormat="1" ht="15" customHeight="1" x14ac:dyDescent="0.25">
      <c r="B3195" s="877"/>
      <c r="C3195" s="877"/>
      <c r="D3195" s="880">
        <v>629600</v>
      </c>
      <c r="E3195" s="854">
        <v>333904700000000</v>
      </c>
      <c r="F3195" s="855" t="s">
        <v>9299</v>
      </c>
      <c r="G3195" s="468">
        <v>40</v>
      </c>
      <c r="H3195" s="468">
        <v>0</v>
      </c>
      <c r="I3195" s="751"/>
      <c r="J3195" s="878"/>
      <c r="K3195" s="789">
        <f>('Parâmetros financeiros Despesa'!E1647)</f>
        <v>0</v>
      </c>
      <c r="L3195" s="789">
        <f>('Parâmetros financeiros Despesa'!F1647*(1+'Parâmetros financeiros Despesa'!F$4)*(1+'Parâmetros financeiros Despesa'!F$7))</f>
        <v>109.03315000000001</v>
      </c>
      <c r="M3195" s="799">
        <f t="shared" si="516"/>
        <v>4.1762708077051546E-5</v>
      </c>
      <c r="N3195" s="894"/>
      <c r="O3195" s="396"/>
      <c r="P3195" s="463"/>
      <c r="S3195" s="463"/>
      <c r="T3195" s="463"/>
      <c r="U3195" s="463"/>
    </row>
    <row r="3196" spans="1:21" s="115" customFormat="1" ht="15" customHeight="1" x14ac:dyDescent="0.25">
      <c r="A3196" s="396"/>
      <c r="B3196" s="1398" t="s">
        <v>9305</v>
      </c>
      <c r="C3196" s="1398"/>
      <c r="D3196" s="1398"/>
      <c r="E3196" s="854">
        <v>333909300000000</v>
      </c>
      <c r="F3196" s="855" t="s">
        <v>9298</v>
      </c>
      <c r="G3196" s="468">
        <v>40</v>
      </c>
      <c r="H3196" s="468">
        <v>0</v>
      </c>
      <c r="I3196" s="751"/>
      <c r="J3196" s="878"/>
      <c r="K3196" s="789">
        <f>('Parâmetros financeiros Despesa'!E1648)</f>
        <v>0</v>
      </c>
      <c r="L3196" s="789">
        <f>('Parâmetros financeiros Despesa'!F1648*(1+'Parâmetros financeiros Despesa'!F$4)*(1+'Parâmetros financeiros Despesa'!F$7))</f>
        <v>545.16575</v>
      </c>
      <c r="M3196" s="799">
        <f t="shared" si="516"/>
        <v>2.0881354038525769E-4</v>
      </c>
      <c r="N3196" s="894"/>
      <c r="P3196" s="733"/>
    </row>
    <row r="3197" spans="1:21" s="115" customFormat="1" ht="15" customHeight="1" x14ac:dyDescent="0.25">
      <c r="A3197" s="396"/>
      <c r="B3197" s="1398" t="s">
        <v>9306</v>
      </c>
      <c r="C3197" s="1398"/>
      <c r="D3197" s="1398"/>
      <c r="E3197" s="854">
        <v>333933000000000</v>
      </c>
      <c r="F3197" s="855" t="s">
        <v>8992</v>
      </c>
      <c r="G3197" s="468">
        <v>40</v>
      </c>
      <c r="H3197" s="468">
        <v>0</v>
      </c>
      <c r="I3197" s="751"/>
      <c r="J3197" s="878"/>
      <c r="K3197" s="789">
        <f>('Parâmetros financeiros Despesa'!E1649)</f>
        <v>0</v>
      </c>
      <c r="L3197" s="789">
        <f>('Parâmetros financeiros Despesa'!F1649*(1+'Parâmetros financeiros Despesa'!F$4)*(1+'Parâmetros financeiros Despesa'!F$7))</f>
        <v>545.16575</v>
      </c>
      <c r="M3197" s="799">
        <f t="shared" si="516"/>
        <v>2.0881354038525769E-4</v>
      </c>
      <c r="N3197" s="894"/>
      <c r="P3197" s="733"/>
    </row>
    <row r="3198" spans="1:21" s="115" customFormat="1" ht="15" customHeight="1" x14ac:dyDescent="0.25">
      <c r="A3198" s="396"/>
      <c r="B3198" s="877"/>
      <c r="C3198" s="877"/>
      <c r="D3198" s="877" t="s">
        <v>9307</v>
      </c>
      <c r="E3198" s="854">
        <v>333933900000000</v>
      </c>
      <c r="F3198" s="855" t="s">
        <v>9303</v>
      </c>
      <c r="G3198" s="468">
        <v>40</v>
      </c>
      <c r="H3198" s="468">
        <v>0</v>
      </c>
      <c r="I3198" s="751"/>
      <c r="J3198" s="878"/>
      <c r="K3198" s="789">
        <f>('Parâmetros financeiros Despesa'!E1650)</f>
        <v>0</v>
      </c>
      <c r="L3198" s="789">
        <f>('Parâmetros financeiros Despesa'!F1650*(1+'Parâmetros financeiros Despesa'!F$4)*(1+'Parâmetros financeiros Despesa'!F$7))</f>
        <v>545.16575</v>
      </c>
      <c r="M3198" s="799">
        <f t="shared" si="516"/>
        <v>2.0881354038525769E-4</v>
      </c>
      <c r="N3198" s="894"/>
      <c r="P3198" s="733"/>
    </row>
    <row r="3199" spans="1:21" s="115" customFormat="1" ht="15" customHeight="1" x14ac:dyDescent="0.25">
      <c r="A3199" s="396"/>
      <c r="B3199" s="1398" t="s">
        <v>9308</v>
      </c>
      <c r="C3199" s="1398"/>
      <c r="D3199" s="1398"/>
      <c r="E3199" s="854">
        <v>344905200000000</v>
      </c>
      <c r="F3199" s="855" t="s">
        <v>8993</v>
      </c>
      <c r="G3199" s="468">
        <v>40</v>
      </c>
      <c r="H3199" s="468">
        <v>0</v>
      </c>
      <c r="I3199" s="751"/>
      <c r="J3199" s="878"/>
      <c r="K3199" s="789">
        <f>('Parâmetros financeiros Despesa'!E1651)</f>
        <v>0</v>
      </c>
      <c r="L3199" s="789">
        <f>('Parâmetros financeiros Despesa'!F1651*(1+'Parâmetros financeiros Despesa'!F$4)*(1+'Parâmetros financeiros Despesa'!F$7))</f>
        <v>545.16575</v>
      </c>
      <c r="M3199" s="799">
        <f t="shared" si="516"/>
        <v>2.0881354038525769E-4</v>
      </c>
      <c r="N3199" s="894"/>
      <c r="P3199" s="733"/>
    </row>
    <row r="3200" spans="1:21" s="774" customFormat="1" ht="15" customHeight="1" x14ac:dyDescent="0.25">
      <c r="A3200" s="397"/>
      <c r="B3200" s="1382" t="s">
        <v>8699</v>
      </c>
      <c r="C3200" s="1382"/>
      <c r="D3200" s="1382"/>
      <c r="E3200" s="1382"/>
      <c r="F3200" s="1382"/>
      <c r="G3200" s="405"/>
      <c r="H3200" s="405"/>
      <c r="I3200" s="428"/>
      <c r="J3200" s="413"/>
      <c r="K3200" s="406">
        <f t="shared" ref="K3200:L3202" si="517">K3201</f>
        <v>24013.057700000001</v>
      </c>
      <c r="L3200" s="406">
        <f t="shared" si="517"/>
        <v>45115.050530378605</v>
      </c>
      <c r="M3200" s="453">
        <f>L3200/L$3225</f>
        <v>1.7280310485220603E-2</v>
      </c>
      <c r="N3200" s="796"/>
      <c r="P3200" s="399"/>
    </row>
    <row r="3201" spans="1:21" s="774" customFormat="1" ht="15" customHeight="1" x14ac:dyDescent="0.25">
      <c r="A3201" s="397"/>
      <c r="B3201" s="1383" t="s">
        <v>8199</v>
      </c>
      <c r="C3201" s="1383"/>
      <c r="D3201" s="1383"/>
      <c r="E3201" s="1383"/>
      <c r="F3201" s="1383"/>
      <c r="G3201" s="407"/>
      <c r="H3201" s="407"/>
      <c r="I3201" s="429"/>
      <c r="J3201" s="414"/>
      <c r="K3201" s="408">
        <f t="shared" si="517"/>
        <v>24013.057700000001</v>
      </c>
      <c r="L3201" s="408">
        <f t="shared" si="517"/>
        <v>45115.050530378605</v>
      </c>
      <c r="M3201" s="454">
        <f>L3201/L$3225</f>
        <v>1.7280310485220603E-2</v>
      </c>
      <c r="N3201" s="796"/>
      <c r="P3201" s="399"/>
    </row>
    <row r="3202" spans="1:21" s="774" customFormat="1" ht="15" customHeight="1" x14ac:dyDescent="0.25">
      <c r="A3202" s="397"/>
      <c r="B3202" s="1385" t="s">
        <v>8698</v>
      </c>
      <c r="C3202" s="1385"/>
      <c r="D3202" s="1385"/>
      <c r="E3202" s="1385"/>
      <c r="F3202" s="1385"/>
      <c r="G3202" s="401"/>
      <c r="H3202" s="401"/>
      <c r="I3202" s="426"/>
      <c r="J3202" s="411"/>
      <c r="K3202" s="402">
        <f t="shared" si="517"/>
        <v>24013.057700000001</v>
      </c>
      <c r="L3202" s="402">
        <f t="shared" si="517"/>
        <v>45115.050530378605</v>
      </c>
      <c r="M3202" s="451">
        <f>L3202/L$3225</f>
        <v>1.7280310485220603E-2</v>
      </c>
      <c r="N3202" s="796"/>
      <c r="P3202" s="399"/>
    </row>
    <row r="3203" spans="1:21" s="774" customFormat="1" ht="15" customHeight="1" x14ac:dyDescent="0.25">
      <c r="A3203" s="397"/>
      <c r="B3203" s="1386" t="s">
        <v>8998</v>
      </c>
      <c r="C3203" s="1386"/>
      <c r="D3203" s="1386"/>
      <c r="E3203" s="1386"/>
      <c r="F3203" s="1386"/>
      <c r="G3203" s="403"/>
      <c r="H3203" s="403"/>
      <c r="I3203" s="427"/>
      <c r="J3203" s="412"/>
      <c r="K3203" s="404">
        <f>SUM(K3204:K3220)</f>
        <v>24013.057700000001</v>
      </c>
      <c r="L3203" s="404">
        <f>SUM(L3204:L3220)+0.05</f>
        <v>45115.050530378605</v>
      </c>
      <c r="M3203" s="452">
        <f>L3203/L$3225</f>
        <v>1.7280310485220603E-2</v>
      </c>
      <c r="N3203" s="796"/>
      <c r="P3203" s="399"/>
    </row>
    <row r="3204" spans="1:21" s="115" customFormat="1" ht="15" customHeight="1" x14ac:dyDescent="0.25">
      <c r="A3204" s="396"/>
      <c r="B3204" s="1398" t="s">
        <v>9309</v>
      </c>
      <c r="C3204" s="1398"/>
      <c r="D3204" s="1398"/>
      <c r="E3204" s="854">
        <v>331900400000000</v>
      </c>
      <c r="F3204" s="855" t="s">
        <v>9018</v>
      </c>
      <c r="G3204" s="468">
        <v>40</v>
      </c>
      <c r="H3204" s="468">
        <v>0</v>
      </c>
      <c r="I3204" s="751"/>
      <c r="J3204" s="878"/>
      <c r="K3204" s="789">
        <f>(('Parâmetros financeiros Despesa'!E1653))</f>
        <v>0</v>
      </c>
      <c r="L3204" s="789">
        <f>(('Parâmetros financeiros Despesa'!F1653)*2.05+(('Parâmetros financeiros Despesa'!F1653)*11.28)*(1+'Parâmetros financeiros Despesa'!F$4)*(1+'Parâmetros financeiros Despesa'!F$8))*(1+'Parâmetros financeiros Despesa'!F$80)</f>
        <v>17.278630081629636</v>
      </c>
      <c r="M3204" s="799">
        <f>L3204/L$3225</f>
        <v>6.6181925778578327E-6</v>
      </c>
      <c r="N3204" s="894"/>
      <c r="P3204" s="733"/>
    </row>
    <row r="3205" spans="1:21" s="115" customFormat="1" ht="15" customHeight="1" x14ac:dyDescent="0.25">
      <c r="A3205" s="396"/>
      <c r="B3205" s="1398" t="s">
        <v>9310</v>
      </c>
      <c r="C3205" s="1398"/>
      <c r="D3205" s="1398"/>
      <c r="E3205" s="854">
        <v>331901100000000</v>
      </c>
      <c r="F3205" s="855" t="s">
        <v>9019</v>
      </c>
      <c r="G3205" s="468">
        <v>40</v>
      </c>
      <c r="H3205" s="468">
        <v>0</v>
      </c>
      <c r="I3205" s="751"/>
      <c r="J3205" s="878"/>
      <c r="K3205" s="789">
        <f>(('Parâmetros financeiros Despesa'!E1654))</f>
        <v>23549.977699999999</v>
      </c>
      <c r="L3205" s="789">
        <f>('Parâmetros financeiros Despesa'!F1654)*2.05+(('Parâmetros financeiros Despesa'!F1654)*11.28)*(1+'Parâmetros financeiros Despesa'!F$4)*(1+'Parâmetros financeiros Despesa'!F$8)</f>
        <v>24655.626292441659</v>
      </c>
      <c r="M3205" s="799">
        <f t="shared" ref="M3205:M3220" si="518">L3205/L$3225</f>
        <v>9.4437858881277637E-3</v>
      </c>
      <c r="N3205" s="894"/>
      <c r="P3205" s="733"/>
    </row>
    <row r="3206" spans="1:21" s="115" customFormat="1" ht="15" customHeight="1" x14ac:dyDescent="0.25">
      <c r="A3206" s="396"/>
      <c r="B3206" s="1398" t="s">
        <v>9311</v>
      </c>
      <c r="C3206" s="1398"/>
      <c r="D3206" s="1398"/>
      <c r="E3206" s="854">
        <v>331901300000000</v>
      </c>
      <c r="F3206" s="855" t="s">
        <v>9020</v>
      </c>
      <c r="G3206" s="468">
        <v>40</v>
      </c>
      <c r="H3206" s="468">
        <v>0</v>
      </c>
      <c r="I3206" s="751"/>
      <c r="J3206" s="878"/>
      <c r="K3206" s="789">
        <f>(('Parâmetros financeiros Despesa'!E1655))</f>
        <v>0</v>
      </c>
      <c r="L3206" s="789">
        <f>(L3207+L3205)*'Parâmetros financeiros Despesa'!F80</f>
        <v>6202.6366386131949</v>
      </c>
      <c r="M3206" s="799">
        <f t="shared" si="518"/>
        <v>2.3757811568906073E-3</v>
      </c>
      <c r="N3206" s="894"/>
      <c r="P3206" s="733"/>
    </row>
    <row r="3207" spans="1:21" s="115" customFormat="1" ht="15" customHeight="1" x14ac:dyDescent="0.25">
      <c r="A3207" s="396"/>
      <c r="B3207" s="1398" t="s">
        <v>9312</v>
      </c>
      <c r="C3207" s="1398"/>
      <c r="D3207" s="1398"/>
      <c r="E3207" s="854">
        <v>331901600000000</v>
      </c>
      <c r="F3207" s="855" t="s">
        <v>9021</v>
      </c>
      <c r="G3207" s="468">
        <v>40</v>
      </c>
      <c r="H3207" s="468">
        <v>0</v>
      </c>
      <c r="I3207" s="751"/>
      <c r="J3207" s="878"/>
      <c r="K3207" s="789">
        <f>(('Parâmetros financeiros Despesa'!E1656))</f>
        <v>0</v>
      </c>
      <c r="L3207" s="789">
        <f>('Parâmetros financeiros Despesa'!F1656)*2.05+(('Parâmetros financeiros Despesa'!F1656)*11.28)*(1+'Parâmetros financeiros Despesa'!F$4)*(1+'Parâmetros financeiros Despesa'!F$8)</f>
        <v>1395.5830560223726</v>
      </c>
      <c r="M3207" s="799">
        <f t="shared" si="518"/>
        <v>5.3454685814306767E-4</v>
      </c>
      <c r="N3207" s="894"/>
      <c r="P3207" s="733"/>
    </row>
    <row r="3208" spans="1:21" s="115" customFormat="1" ht="15" customHeight="1" x14ac:dyDescent="0.25">
      <c r="A3208" s="396"/>
      <c r="B3208" s="1398" t="s">
        <v>9313</v>
      </c>
      <c r="C3208" s="1398"/>
      <c r="D3208" s="1398"/>
      <c r="E3208" s="854">
        <v>333901400000000</v>
      </c>
      <c r="F3208" s="855" t="s">
        <v>9022</v>
      </c>
      <c r="G3208" s="468">
        <v>40</v>
      </c>
      <c r="H3208" s="468">
        <v>0</v>
      </c>
      <c r="I3208" s="751"/>
      <c r="J3208" s="878"/>
      <c r="K3208" s="789">
        <f>(('Parâmetros financeiros Despesa'!E1657))</f>
        <v>0</v>
      </c>
      <c r="L3208" s="789">
        <f>('Parâmetros financeiros Despesa'!F1657)*2+(('Parâmetros financeiros Despesa'!F1666)*10)*(1+'Parâmetros financeiros Despesa'!F$4)*(1+'Parâmetros financeiros Despesa'!F$8)</f>
        <v>5755.4071632197383</v>
      </c>
      <c r="M3208" s="799">
        <f t="shared" si="518"/>
        <v>2.2044799147976305E-3</v>
      </c>
      <c r="N3208" s="894"/>
      <c r="P3208" s="733"/>
    </row>
    <row r="3209" spans="1:21" s="115" customFormat="1" ht="15" customHeight="1" x14ac:dyDescent="0.25">
      <c r="B3209" s="879"/>
      <c r="C3209" s="879"/>
      <c r="D3209" s="880">
        <v>631500</v>
      </c>
      <c r="E3209" s="854">
        <v>333903000000000</v>
      </c>
      <c r="F3209" s="855" t="s">
        <v>9023</v>
      </c>
      <c r="G3209" s="468">
        <v>40</v>
      </c>
      <c r="H3209" s="468">
        <v>0</v>
      </c>
      <c r="I3209" s="751"/>
      <c r="J3209" s="878"/>
      <c r="K3209" s="789">
        <f>(('Parâmetros financeiros Despesa'!E1658))</f>
        <v>0</v>
      </c>
      <c r="L3209" s="789">
        <f>('Parâmetros financeiros Despesa'!F1658)*(1+'Parâmetros financeiros Despesa'!F$4)*(1+'Parâmetros financeiros Despesa'!F$7)</f>
        <v>545.16575</v>
      </c>
      <c r="M3209" s="799">
        <f t="shared" si="518"/>
        <v>2.0881354038525769E-4</v>
      </c>
      <c r="N3209" s="894"/>
      <c r="O3209" s="396"/>
      <c r="P3209" s="463"/>
      <c r="S3209" s="463"/>
      <c r="T3209" s="463"/>
      <c r="U3209" s="463"/>
    </row>
    <row r="3210" spans="1:21" s="115" customFormat="1" ht="15" customHeight="1" x14ac:dyDescent="0.25">
      <c r="B3210" s="877"/>
      <c r="C3210" s="877"/>
      <c r="D3210" s="880">
        <v>631600</v>
      </c>
      <c r="E3210" s="854">
        <v>333903200000000</v>
      </c>
      <c r="F3210" s="855" t="s">
        <v>9024</v>
      </c>
      <c r="G3210" s="468">
        <v>40</v>
      </c>
      <c r="H3210" s="468">
        <v>0</v>
      </c>
      <c r="I3210" s="751"/>
      <c r="J3210" s="878"/>
      <c r="K3210" s="789">
        <f>(('Parâmetros financeiros Despesa'!E1659))</f>
        <v>0</v>
      </c>
      <c r="L3210" s="789">
        <f>('Parâmetros financeiros Despesa'!F1659)*(1+'Parâmetros financeiros Despesa'!F$4)*(1+'Parâmetros financeiros Despesa'!F$7)</f>
        <v>545.16575</v>
      </c>
      <c r="M3210" s="799">
        <f t="shared" si="518"/>
        <v>2.0881354038525769E-4</v>
      </c>
      <c r="N3210" s="894"/>
      <c r="O3210" s="396"/>
      <c r="P3210" s="463"/>
      <c r="S3210" s="463"/>
      <c r="T3210" s="463"/>
      <c r="U3210" s="463"/>
    </row>
    <row r="3211" spans="1:21" s="115" customFormat="1" ht="15" customHeight="1" x14ac:dyDescent="0.25">
      <c r="B3211" s="877"/>
      <c r="C3211" s="877"/>
      <c r="D3211" s="880">
        <v>631700</v>
      </c>
      <c r="E3211" s="854">
        <v>333903300000000</v>
      </c>
      <c r="F3211" s="855" t="s">
        <v>9314</v>
      </c>
      <c r="G3211" s="468">
        <v>40</v>
      </c>
      <c r="H3211" s="468">
        <v>0</v>
      </c>
      <c r="I3211" s="751"/>
      <c r="J3211" s="878"/>
      <c r="K3211" s="789">
        <f>(('Parâmetros financeiros Despesa'!E1660))</f>
        <v>0</v>
      </c>
      <c r="L3211" s="789">
        <f>('Parâmetros financeiros Despesa'!F1660)*(1+'Parâmetros financeiros Despesa'!F$4)*(1+'Parâmetros financeiros Despesa'!F$7)</f>
        <v>545.16575</v>
      </c>
      <c r="M3211" s="799">
        <f t="shared" si="518"/>
        <v>2.0881354038525769E-4</v>
      </c>
      <c r="N3211" s="894"/>
      <c r="O3211" s="396"/>
      <c r="P3211" s="463"/>
      <c r="S3211" s="463"/>
      <c r="T3211" s="463"/>
      <c r="U3211" s="463"/>
    </row>
    <row r="3212" spans="1:21" s="115" customFormat="1" ht="15" customHeight="1" x14ac:dyDescent="0.25">
      <c r="B3212" s="877"/>
      <c r="C3212" s="877"/>
      <c r="D3212" s="880">
        <v>631800</v>
      </c>
      <c r="E3212" s="854">
        <v>333903500000000</v>
      </c>
      <c r="F3212" s="855" t="s">
        <v>9318</v>
      </c>
      <c r="G3212" s="468">
        <v>40</v>
      </c>
      <c r="H3212" s="468">
        <v>0</v>
      </c>
      <c r="I3212" s="751"/>
      <c r="J3212" s="878"/>
      <c r="K3212" s="789">
        <f>(('Parâmetros financeiros Despesa'!E1661))</f>
        <v>0</v>
      </c>
      <c r="L3212" s="789">
        <f>('Parâmetros financeiros Despesa'!F1661)*(1+'Parâmetros financeiros Despesa'!F$4)*(1+'Parâmetros financeiros Despesa'!F$7)</f>
        <v>545.16575</v>
      </c>
      <c r="M3212" s="799">
        <f t="shared" si="518"/>
        <v>2.0881354038525769E-4</v>
      </c>
      <c r="N3212" s="894"/>
      <c r="O3212" s="396"/>
      <c r="P3212" s="463"/>
      <c r="S3212" s="463"/>
      <c r="T3212" s="463"/>
      <c r="U3212" s="463"/>
    </row>
    <row r="3213" spans="1:21" s="115" customFormat="1" ht="15" customHeight="1" x14ac:dyDescent="0.25">
      <c r="B3213" s="877"/>
      <c r="C3213" s="877"/>
      <c r="D3213" s="880">
        <v>631900</v>
      </c>
      <c r="E3213" s="854">
        <v>333903600000000</v>
      </c>
      <c r="F3213" s="855" t="s">
        <v>9315</v>
      </c>
      <c r="G3213" s="468">
        <v>40</v>
      </c>
      <c r="H3213" s="468">
        <v>0</v>
      </c>
      <c r="I3213" s="751"/>
      <c r="J3213" s="878"/>
      <c r="K3213" s="789">
        <f>(('Parâmetros financeiros Despesa'!E1662))</f>
        <v>0</v>
      </c>
      <c r="L3213" s="789">
        <f>('Parâmetros financeiros Despesa'!F1662)*(1+'Parâmetros financeiros Despesa'!F$4)*(1+'Parâmetros financeiros Despesa'!F$7)</f>
        <v>545.16575</v>
      </c>
      <c r="M3213" s="799">
        <f t="shared" si="518"/>
        <v>2.0881354038525769E-4</v>
      </c>
      <c r="N3213" s="894"/>
      <c r="O3213" s="396"/>
      <c r="P3213" s="463"/>
      <c r="S3213" s="463"/>
      <c r="T3213" s="463"/>
      <c r="U3213" s="463"/>
    </row>
    <row r="3214" spans="1:21" s="115" customFormat="1" ht="15" customHeight="1" x14ac:dyDescent="0.25">
      <c r="B3214" s="877"/>
      <c r="C3214" s="877"/>
      <c r="D3214" s="880">
        <v>632000</v>
      </c>
      <c r="E3214" s="854">
        <v>333903900000000</v>
      </c>
      <c r="F3214" s="855" t="s">
        <v>9316</v>
      </c>
      <c r="G3214" s="468">
        <v>40</v>
      </c>
      <c r="H3214" s="468">
        <v>0</v>
      </c>
      <c r="I3214" s="751"/>
      <c r="J3214" s="878"/>
      <c r="K3214" s="789">
        <f>(('Parâmetros financeiros Despesa'!E1663))</f>
        <v>0</v>
      </c>
      <c r="L3214" s="789">
        <f>('Parâmetros financeiros Despesa'!F1663)*(1+'Parâmetros financeiros Despesa'!F$4)*(1+'Parâmetros financeiros Despesa'!F$7)</f>
        <v>545.16575</v>
      </c>
      <c r="M3214" s="799">
        <f t="shared" si="518"/>
        <v>2.0881354038525769E-4</v>
      </c>
      <c r="N3214" s="894"/>
      <c r="O3214" s="396"/>
      <c r="P3214" s="463"/>
      <c r="S3214" s="463"/>
      <c r="T3214" s="463"/>
      <c r="U3214" s="463"/>
    </row>
    <row r="3215" spans="1:21" s="115" customFormat="1" ht="15" customHeight="1" x14ac:dyDescent="0.25">
      <c r="B3215" s="877"/>
      <c r="C3215" s="877"/>
      <c r="D3215" s="880">
        <v>632100</v>
      </c>
      <c r="E3215" s="854">
        <v>333904700000000</v>
      </c>
      <c r="F3215" s="855" t="s">
        <v>9317</v>
      </c>
      <c r="G3215" s="468">
        <v>40</v>
      </c>
      <c r="H3215" s="468">
        <v>0</v>
      </c>
      <c r="I3215" s="751"/>
      <c r="J3215" s="878"/>
      <c r="K3215" s="789">
        <f>(('Parâmetros financeiros Despesa'!E1664))</f>
        <v>0</v>
      </c>
      <c r="L3215" s="789">
        <f>('Parâmetros financeiros Despesa'!F1664)*(1+'Parâmetros financeiros Despesa'!F$4)*(1+'Parâmetros financeiros Despesa'!F$7)</f>
        <v>109.03315000000001</v>
      </c>
      <c r="M3215" s="799">
        <f t="shared" si="518"/>
        <v>4.1762708077051546E-5</v>
      </c>
      <c r="N3215" s="894"/>
      <c r="O3215" s="396"/>
      <c r="P3215" s="463"/>
      <c r="S3215" s="463"/>
      <c r="T3215" s="463"/>
      <c r="U3215" s="463"/>
    </row>
    <row r="3216" spans="1:21" s="115" customFormat="1" ht="15" customHeight="1" x14ac:dyDescent="0.25">
      <c r="A3216" s="396"/>
      <c r="B3216" s="1398" t="s">
        <v>9320</v>
      </c>
      <c r="C3216" s="1398"/>
      <c r="D3216" s="1398"/>
      <c r="E3216" s="854">
        <v>333904900000000</v>
      </c>
      <c r="F3216" s="855" t="s">
        <v>9025</v>
      </c>
      <c r="G3216" s="468">
        <v>40</v>
      </c>
      <c r="H3216" s="468">
        <v>0</v>
      </c>
      <c r="I3216" s="751"/>
      <c r="J3216" s="878"/>
      <c r="K3216" s="789">
        <f>(('Parâmetros financeiros Despesa'!E1665))</f>
        <v>463.08000000000004</v>
      </c>
      <c r="L3216" s="789">
        <f>('Parâmetros financeiros Despesa'!F1665)*((1+'Parâmetros financeiros Despesa'!F1665)*(1+'Parâmetros financeiros Despesa'!F3980)*(1+'Parâmetros financeiros Despesa'!F4048))</f>
        <v>1527.7781000000002</v>
      </c>
      <c r="M3216" s="799">
        <f t="shared" si="518"/>
        <v>5.8518121137298579E-4</v>
      </c>
      <c r="N3216" s="894"/>
      <c r="P3216" s="733"/>
    </row>
    <row r="3217" spans="1:16" s="115" customFormat="1" ht="15" customHeight="1" x14ac:dyDescent="0.25">
      <c r="A3217" s="396"/>
      <c r="B3217" s="1398" t="s">
        <v>9321</v>
      </c>
      <c r="C3217" s="1398"/>
      <c r="D3217" s="1398"/>
      <c r="E3217" s="854">
        <v>333909300000000</v>
      </c>
      <c r="F3217" s="855" t="s">
        <v>9026</v>
      </c>
      <c r="G3217" s="468">
        <v>40</v>
      </c>
      <c r="H3217" s="468">
        <v>0</v>
      </c>
      <c r="I3217" s="751"/>
      <c r="J3217" s="878"/>
      <c r="K3217" s="789">
        <f>(('Parâmetros financeiros Despesa'!E1666))</f>
        <v>0</v>
      </c>
      <c r="L3217" s="789">
        <f>('Parâmetros financeiros Despesa'!F1666)*(1+'Parâmetros financeiros Despesa'!F$4)*(1+'Parâmetros financeiros Despesa'!F$7)</f>
        <v>545.16575</v>
      </c>
      <c r="M3217" s="799">
        <f t="shared" si="518"/>
        <v>2.0881354038525769E-4</v>
      </c>
      <c r="N3217" s="894"/>
      <c r="P3217" s="733"/>
    </row>
    <row r="3218" spans="1:16" s="115" customFormat="1" ht="15" customHeight="1" x14ac:dyDescent="0.25">
      <c r="A3218" s="396"/>
      <c r="B3218" s="1398" t="s">
        <v>9322</v>
      </c>
      <c r="C3218" s="1398"/>
      <c r="D3218" s="1398"/>
      <c r="E3218" s="854">
        <v>333933000000000</v>
      </c>
      <c r="F3218" s="855" t="s">
        <v>9027</v>
      </c>
      <c r="G3218" s="468">
        <v>40</v>
      </c>
      <c r="H3218" s="468">
        <v>0</v>
      </c>
      <c r="I3218" s="751"/>
      <c r="J3218" s="878"/>
      <c r="K3218" s="789">
        <f>(('Parâmetros financeiros Despesa'!E1667))</f>
        <v>0</v>
      </c>
      <c r="L3218" s="789">
        <f>('Parâmetros financeiros Despesa'!F1667)*(1+'Parâmetros financeiros Despesa'!F$4)*(1+'Parâmetros financeiros Despesa'!F$7)</f>
        <v>545.16575</v>
      </c>
      <c r="M3218" s="799">
        <f t="shared" si="518"/>
        <v>2.0881354038525769E-4</v>
      </c>
      <c r="N3218" s="894"/>
      <c r="P3218" s="733"/>
    </row>
    <row r="3219" spans="1:16" s="115" customFormat="1" ht="15" customHeight="1" x14ac:dyDescent="0.25">
      <c r="A3219" s="396"/>
      <c r="B3219" s="877"/>
      <c r="C3219" s="877"/>
      <c r="D3219" s="877" t="s">
        <v>9323</v>
      </c>
      <c r="E3219" s="854">
        <v>333933900000000</v>
      </c>
      <c r="F3219" s="855" t="s">
        <v>9319</v>
      </c>
      <c r="G3219" s="468">
        <v>40</v>
      </c>
      <c r="H3219" s="468">
        <v>0</v>
      </c>
      <c r="I3219" s="751"/>
      <c r="J3219" s="878"/>
      <c r="K3219" s="789">
        <f>(('Parâmetros financeiros Despesa'!E1668))</f>
        <v>0</v>
      </c>
      <c r="L3219" s="789">
        <f>('Parâmetros financeiros Despesa'!F1668)*(1+'Parâmetros financeiros Despesa'!F$4)*(1+'Parâmetros financeiros Despesa'!F$7)</f>
        <v>545.16575</v>
      </c>
      <c r="M3219" s="799">
        <f t="shared" si="518"/>
        <v>2.0881354038525769E-4</v>
      </c>
      <c r="N3219" s="894"/>
      <c r="P3219" s="733"/>
    </row>
    <row r="3220" spans="1:16" s="115" customFormat="1" ht="15" customHeight="1" x14ac:dyDescent="0.25">
      <c r="A3220" s="396"/>
      <c r="B3220" s="1398" t="s">
        <v>9324</v>
      </c>
      <c r="C3220" s="1398"/>
      <c r="D3220" s="1398"/>
      <c r="E3220" s="854">
        <v>344905200000000</v>
      </c>
      <c r="F3220" s="855" t="s">
        <v>9028</v>
      </c>
      <c r="G3220" s="468">
        <v>40</v>
      </c>
      <c r="H3220" s="468">
        <v>0</v>
      </c>
      <c r="I3220" s="751"/>
      <c r="J3220" s="878"/>
      <c r="K3220" s="789">
        <f>(('Parâmetros financeiros Despesa'!E1669))</f>
        <v>0</v>
      </c>
      <c r="L3220" s="789">
        <f>('Parâmetros financeiros Despesa'!F1669)*(1+'Parâmetros financeiros Despesa'!F$4)*(1+'Parâmetros financeiros Despesa'!F$7)</f>
        <v>545.16575</v>
      </c>
      <c r="M3220" s="799">
        <f t="shared" si="518"/>
        <v>2.0881354038525769E-4</v>
      </c>
      <c r="N3220" s="894"/>
      <c r="P3220" s="733"/>
    </row>
    <row r="3221" spans="1:16" s="115" customFormat="1" ht="16.5" customHeight="1" x14ac:dyDescent="0.25">
      <c r="A3221" s="396"/>
      <c r="B3221" s="1395" t="s">
        <v>2172</v>
      </c>
      <c r="C3221" s="1395"/>
      <c r="D3221" s="1395"/>
      <c r="E3221" s="1395"/>
      <c r="F3221" s="1395"/>
      <c r="G3221" s="1395"/>
      <c r="H3221" s="1395"/>
      <c r="I3221" s="1395"/>
      <c r="J3221" s="1395"/>
      <c r="K3221" s="1023">
        <f>K3203+K3188+K3165+K3142+K3121+K3106+K3099+K3093+K3000+K2978+K2962+K2956+K2934+K2913+K2893+K2873+K2863+K2854+K2845+K2836-0.01</f>
        <v>2389113.0326000005</v>
      </c>
      <c r="L3221" s="1023">
        <f>L3203+L3188+L3165+L3142+L3121+L3106+L3099+L3093+L3000+L2978+L2962+L2956+L2934+L2913+L2893+L2873+L2863+L2854+L2845+L2836+0.01</f>
        <v>2610777.77329084</v>
      </c>
      <c r="M3221" s="452">
        <f>L3221/L$3225</f>
        <v>1</v>
      </c>
      <c r="N3221" s="894"/>
      <c r="P3221" s="733"/>
    </row>
    <row r="3222" spans="1:16" s="820" customFormat="1" ht="15" customHeight="1" x14ac:dyDescent="0.25">
      <c r="B3222" s="864" t="s">
        <v>11469</v>
      </c>
      <c r="C3222" s="864"/>
      <c r="D3222" s="864"/>
      <c r="E3222" s="864"/>
      <c r="F3222" s="864"/>
      <c r="G3222" s="864"/>
      <c r="H3222" s="864"/>
      <c r="I3222" s="864"/>
      <c r="J3222" s="864"/>
      <c r="K3222" s="863"/>
      <c r="L3222" s="863"/>
      <c r="M3222" s="452"/>
      <c r="N3222" s="796"/>
      <c r="P3222" s="399"/>
    </row>
    <row r="3223" spans="1:16" s="31" customFormat="1" ht="15" customHeight="1" x14ac:dyDescent="0.25">
      <c r="B3223" s="869" t="s">
        <v>11568</v>
      </c>
      <c r="C3223" s="869"/>
      <c r="D3223" s="869"/>
      <c r="E3223" s="869"/>
      <c r="F3223" s="869"/>
      <c r="G3223" s="869"/>
      <c r="H3223" s="869"/>
      <c r="I3223" s="869"/>
      <c r="J3223" s="869"/>
      <c r="K3223" s="870">
        <f>K2980+K2936+K2915+K2895+K2875</f>
        <v>67482.871899999998</v>
      </c>
      <c r="L3223" s="870">
        <f>L2980+L2936+L2915+L2895+L2875+0.02</f>
        <v>80070.202256227611</v>
      </c>
      <c r="M3223" s="871">
        <f>L3223/L$3225</f>
        <v>3.0669099099652788E-2</v>
      </c>
      <c r="N3223" s="897"/>
      <c r="P3223" s="736"/>
    </row>
    <row r="3224" spans="1:16" s="31" customFormat="1" ht="15" customHeight="1" x14ac:dyDescent="0.25">
      <c r="B3224" s="869" t="s">
        <v>756</v>
      </c>
      <c r="C3224" s="869"/>
      <c r="D3224" s="869"/>
      <c r="E3224" s="869"/>
      <c r="F3224" s="869"/>
      <c r="G3224" s="869"/>
      <c r="H3224" s="869"/>
      <c r="I3224" s="869"/>
      <c r="J3224" s="869"/>
      <c r="K3224" s="870">
        <f>K3221-K3223</f>
        <v>2321630.1607000004</v>
      </c>
      <c r="L3224" s="870">
        <f>L3221-L3223</f>
        <v>2530707.5710346121</v>
      </c>
      <c r="M3224" s="871">
        <f>L3224/L$3225</f>
        <v>0.96933090090034713</v>
      </c>
      <c r="N3224" s="897"/>
      <c r="P3224" s="736"/>
    </row>
    <row r="3225" spans="1:16" s="115" customFormat="1" ht="15" customHeight="1" x14ac:dyDescent="0.25">
      <c r="B3225" s="864" t="s">
        <v>2172</v>
      </c>
      <c r="C3225" s="864"/>
      <c r="D3225" s="864"/>
      <c r="E3225" s="864"/>
      <c r="F3225" s="864"/>
      <c r="G3225" s="864"/>
      <c r="H3225" s="864"/>
      <c r="I3225" s="864"/>
      <c r="J3225" s="864"/>
      <c r="K3225" s="863">
        <f>SUM(K3223:K3224)</f>
        <v>2389113.0326000005</v>
      </c>
      <c r="L3225" s="863">
        <f>SUM(L3223:L3224)</f>
        <v>2610777.77329084</v>
      </c>
      <c r="M3225" s="452">
        <f>L3225/L$3225</f>
        <v>1</v>
      </c>
      <c r="N3225" s="894"/>
      <c r="P3225" s="733"/>
    </row>
    <row r="3226" spans="1:16" x14ac:dyDescent="0.25">
      <c r="F3226" s="399"/>
      <c r="G3226" s="399"/>
      <c r="H3226" s="399"/>
    </row>
    <row r="3227" spans="1:16" ht="15.75" x14ac:dyDescent="0.25">
      <c r="L3227" s="807"/>
    </row>
    <row r="3228" spans="1:16" s="435" customFormat="1" ht="15" customHeight="1" x14ac:dyDescent="0.25">
      <c r="B3228" s="772" t="s">
        <v>989</v>
      </c>
      <c r="C3228" s="772"/>
      <c r="D3228" s="481"/>
      <c r="E3228" s="1371" t="s">
        <v>9485</v>
      </c>
      <c r="F3228" s="1371"/>
      <c r="G3228" s="1371"/>
      <c r="H3228" s="1371"/>
      <c r="I3228" s="1371"/>
      <c r="J3228" s="437"/>
      <c r="K3228" s="940"/>
      <c r="L3228" s="438"/>
      <c r="M3228" s="449"/>
      <c r="N3228" s="892"/>
      <c r="P3228" s="732"/>
    </row>
    <row r="3229" spans="1:16" s="435" customFormat="1" ht="15" customHeight="1" x14ac:dyDescent="0.25">
      <c r="B3229" s="772" t="s">
        <v>458</v>
      </c>
      <c r="C3229" s="772"/>
      <c r="D3229" s="481"/>
      <c r="E3229" s="1371" t="s">
        <v>9029</v>
      </c>
      <c r="F3229" s="1371"/>
      <c r="G3229" s="1371"/>
      <c r="H3229" s="1371"/>
      <c r="I3229" s="1371"/>
      <c r="J3229" s="437"/>
      <c r="K3229" s="940"/>
      <c r="L3229" s="807"/>
      <c r="M3229" s="449"/>
      <c r="N3229" s="892"/>
      <c r="P3229" s="732"/>
    </row>
    <row r="3230" spans="1:16" s="435" customFormat="1" ht="15" customHeight="1" x14ac:dyDescent="0.25">
      <c r="B3230" s="773" t="s">
        <v>5764</v>
      </c>
      <c r="C3230" s="773"/>
      <c r="D3230" s="773"/>
      <c r="E3230" s="1371" t="s">
        <v>749</v>
      </c>
      <c r="F3230" s="1371"/>
      <c r="G3230" s="1371"/>
      <c r="H3230" s="1371"/>
      <c r="I3230" s="1371"/>
      <c r="J3230" s="440"/>
      <c r="K3230" s="941"/>
      <c r="L3230" s="438"/>
      <c r="M3230" s="449"/>
      <c r="N3230" s="892"/>
      <c r="P3230" s="732"/>
    </row>
    <row r="3231" spans="1:16" s="851" customFormat="1" ht="113.25" customHeight="1" x14ac:dyDescent="0.25">
      <c r="A3231" s="396"/>
      <c r="B3231" s="1400" t="s">
        <v>2296</v>
      </c>
      <c r="C3231" s="1400"/>
      <c r="D3231" s="1400"/>
      <c r="E3231" s="1384" t="s">
        <v>2297</v>
      </c>
      <c r="F3231" s="1384"/>
      <c r="G3231" s="443" t="s">
        <v>444</v>
      </c>
      <c r="H3231" s="443" t="s">
        <v>2245</v>
      </c>
      <c r="I3231" s="444" t="s">
        <v>5725</v>
      </c>
      <c r="J3231" s="849" t="s">
        <v>2275</v>
      </c>
      <c r="K3231" s="893" t="s">
        <v>11644</v>
      </c>
      <c r="L3231" s="979" t="s">
        <v>11522</v>
      </c>
      <c r="M3231" s="450" t="s">
        <v>235</v>
      </c>
      <c r="N3231" s="796"/>
      <c r="P3231" s="399"/>
    </row>
    <row r="3232" spans="1:16" s="774" customFormat="1" ht="15" customHeight="1" x14ac:dyDescent="0.25">
      <c r="A3232" s="397"/>
      <c r="B3232" s="1382" t="s">
        <v>8699</v>
      </c>
      <c r="C3232" s="1382"/>
      <c r="D3232" s="1382"/>
      <c r="E3232" s="1382"/>
      <c r="F3232" s="1382"/>
      <c r="G3232" s="405"/>
      <c r="H3232" s="405"/>
      <c r="I3232" s="428"/>
      <c r="J3232" s="413"/>
      <c r="K3232" s="406">
        <f t="shared" ref="K3232:L3234" si="519">K3233</f>
        <v>0</v>
      </c>
      <c r="L3232" s="406">
        <f t="shared" si="519"/>
        <v>35408.605958009881</v>
      </c>
      <c r="M3232" s="453">
        <f>L3232/L$3390</f>
        <v>6.0593575442022617E-2</v>
      </c>
      <c r="N3232" s="796"/>
      <c r="P3232" s="399"/>
    </row>
    <row r="3233" spans="1:21" s="774" customFormat="1" ht="15" customHeight="1" x14ac:dyDescent="0.25">
      <c r="A3233" s="397"/>
      <c r="B3233" s="1383" t="s">
        <v>8812</v>
      </c>
      <c r="C3233" s="1383"/>
      <c r="D3233" s="1383"/>
      <c r="E3233" s="1383"/>
      <c r="F3233" s="1383"/>
      <c r="G3233" s="407"/>
      <c r="H3233" s="407"/>
      <c r="I3233" s="429"/>
      <c r="J3233" s="414"/>
      <c r="K3233" s="408">
        <f t="shared" si="519"/>
        <v>0</v>
      </c>
      <c r="L3233" s="408">
        <f t="shared" si="519"/>
        <v>35408.605958009881</v>
      </c>
      <c r="M3233" s="454">
        <f>L3233/L$3390</f>
        <v>6.0593575442022617E-2</v>
      </c>
      <c r="N3233" s="796"/>
      <c r="P3233" s="399"/>
    </row>
    <row r="3234" spans="1:21" s="774" customFormat="1" ht="15" customHeight="1" x14ac:dyDescent="0.25">
      <c r="A3234" s="397"/>
      <c r="B3234" s="1386" t="s">
        <v>9151</v>
      </c>
      <c r="C3234" s="1386"/>
      <c r="D3234" s="1386"/>
      <c r="E3234" s="1386"/>
      <c r="F3234" s="1386"/>
      <c r="G3234" s="403"/>
      <c r="H3234" s="403"/>
      <c r="I3234" s="427"/>
      <c r="J3234" s="412"/>
      <c r="K3234" s="404">
        <f t="shared" si="519"/>
        <v>0</v>
      </c>
      <c r="L3234" s="404">
        <f t="shared" si="519"/>
        <v>35408.605958009881</v>
      </c>
      <c r="M3234" s="452">
        <f>L3234/L$3390</f>
        <v>6.0593575442022617E-2</v>
      </c>
      <c r="N3234" s="796"/>
      <c r="P3234" s="399"/>
    </row>
    <row r="3235" spans="1:21" s="774" customFormat="1" ht="15" customHeight="1" x14ac:dyDescent="0.25">
      <c r="A3235" s="397"/>
      <c r="B3235" s="1385" t="s">
        <v>8698</v>
      </c>
      <c r="C3235" s="1385"/>
      <c r="D3235" s="1385"/>
      <c r="E3235" s="1385"/>
      <c r="F3235" s="1385"/>
      <c r="G3235" s="401"/>
      <c r="H3235" s="401"/>
      <c r="I3235" s="426"/>
      <c r="J3235" s="411"/>
      <c r="K3235" s="402">
        <f>SUM(K3236:K3251)</f>
        <v>0</v>
      </c>
      <c r="L3235" s="402">
        <f>SUM(L3236:L3251)+0.03</f>
        <v>35408.605958009881</v>
      </c>
      <c r="M3235" s="451">
        <f>L3235/L$3390</f>
        <v>6.0593575442022617E-2</v>
      </c>
      <c r="N3235" s="796"/>
      <c r="P3235" s="399"/>
    </row>
    <row r="3236" spans="1:21" s="115" customFormat="1" ht="15" customHeight="1" x14ac:dyDescent="0.25">
      <c r="A3236" s="396"/>
      <c r="B3236" s="876"/>
      <c r="C3236" s="876"/>
      <c r="D3236" s="877" t="s">
        <v>9372</v>
      </c>
      <c r="E3236" s="854">
        <v>331900400000000</v>
      </c>
      <c r="F3236" s="855" t="s">
        <v>9064</v>
      </c>
      <c r="G3236" s="468">
        <v>4090</v>
      </c>
      <c r="H3236" s="468">
        <v>0</v>
      </c>
      <c r="I3236" s="751"/>
      <c r="J3236" s="878"/>
      <c r="K3236" s="789">
        <f>(('Parâmetros financeiros Despesa'!E1676))</f>
        <v>0</v>
      </c>
      <c r="L3236" s="789">
        <f>(('Parâmetros financeiros Despesa'!F1676)*2.05+(('Parâmetros financeiros Despesa'!F1676)*11.28)*(1+'Parâmetros financeiros Despesa'!F$4)*(1+'Parâmetros financeiros Despesa'!F$8))*(1+'Parâmetros financeiros Despesa'!F$80)</f>
        <v>17.278630081629636</v>
      </c>
      <c r="M3236" s="799">
        <f>L3236/L$3390</f>
        <v>2.9568347780412625E-5</v>
      </c>
      <c r="N3236" s="894"/>
      <c r="P3236" s="733"/>
    </row>
    <row r="3237" spans="1:21" s="115" customFormat="1" ht="15" customHeight="1" x14ac:dyDescent="0.25">
      <c r="A3237" s="396"/>
      <c r="B3237" s="876"/>
      <c r="C3237" s="876"/>
      <c r="D3237" s="877" t="s">
        <v>9373</v>
      </c>
      <c r="E3237" s="854">
        <v>331901100000000</v>
      </c>
      <c r="F3237" s="855" t="s">
        <v>9065</v>
      </c>
      <c r="G3237" s="468">
        <v>4090</v>
      </c>
      <c r="H3237" s="468">
        <v>0</v>
      </c>
      <c r="I3237" s="751"/>
      <c r="J3237" s="878"/>
      <c r="K3237" s="789">
        <f>(('Parâmetros financeiros Despesa'!E1677))</f>
        <v>0</v>
      </c>
      <c r="L3237" s="789">
        <f>(('Parâmetros financeiros Despesa'!F1677)*2.05+(('Parâmetros financeiros Despesa'!F1677)*11.28)*(1+'Parâmetros financeiros Despesa'!F$4)*(1+'Parâmetros financeiros Despesa'!F$8))*(1+'Parâmetros financeiros Despesa'!F$80)</f>
        <v>17.278630081629636</v>
      </c>
      <c r="M3237" s="799">
        <f t="shared" ref="M3237:M3251" si="520">L3237/L$3390</f>
        <v>2.9568347780412625E-5</v>
      </c>
      <c r="N3237" s="894"/>
      <c r="P3237" s="733"/>
    </row>
    <row r="3238" spans="1:21" s="115" customFormat="1" ht="15" customHeight="1" x14ac:dyDescent="0.25">
      <c r="A3238" s="396"/>
      <c r="B3238" s="876"/>
      <c r="C3238" s="876"/>
      <c r="D3238" s="877" t="s">
        <v>9374</v>
      </c>
      <c r="E3238" s="854">
        <v>331901300000000</v>
      </c>
      <c r="F3238" s="855" t="s">
        <v>9066</v>
      </c>
      <c r="G3238" s="468">
        <v>4090</v>
      </c>
      <c r="H3238" s="468">
        <v>0</v>
      </c>
      <c r="I3238" s="751"/>
      <c r="J3238" s="878"/>
      <c r="K3238" s="789">
        <v>0</v>
      </c>
      <c r="L3238" s="789">
        <f>(L3239+L3237)*'Parâmetros financeiros Despesa'!F80</f>
        <v>7.4367376720614349</v>
      </c>
      <c r="M3238" s="799">
        <f t="shared" si="520"/>
        <v>1.2726243041281057E-5</v>
      </c>
      <c r="N3238" s="894"/>
      <c r="P3238" s="733"/>
    </row>
    <row r="3239" spans="1:21" s="115" customFormat="1" ht="15" customHeight="1" x14ac:dyDescent="0.25">
      <c r="A3239" s="396"/>
      <c r="B3239" s="876"/>
      <c r="C3239" s="876"/>
      <c r="D3239" s="877" t="s">
        <v>9375</v>
      </c>
      <c r="E3239" s="854">
        <v>331901600000000</v>
      </c>
      <c r="F3239" s="855" t="s">
        <v>9069</v>
      </c>
      <c r="G3239" s="468">
        <v>4090</v>
      </c>
      <c r="H3239" s="468">
        <v>0</v>
      </c>
      <c r="I3239" s="751"/>
      <c r="J3239" s="878"/>
      <c r="K3239" s="789">
        <v>0</v>
      </c>
      <c r="L3239" s="789">
        <f>('Parâmetros financeiros Despesa'!F1678)*2.05+(('Parâmetros financeiros Despesa'!F1678)*11.28)*(1+'Parâmetros financeiros Despesa'!F$4)*(1+'Parâmetros financeiros Despesa'!F$8)</f>
        <v>13.955830560223728</v>
      </c>
      <c r="M3239" s="799">
        <f t="shared" si="520"/>
        <v>2.3882150935561134E-5</v>
      </c>
      <c r="N3239" s="894"/>
      <c r="P3239" s="733"/>
    </row>
    <row r="3240" spans="1:21" s="115" customFormat="1" ht="15" customHeight="1" x14ac:dyDescent="0.25">
      <c r="A3240" s="396"/>
      <c r="B3240" s="876"/>
      <c r="C3240" s="876"/>
      <c r="D3240" s="877" t="s">
        <v>9376</v>
      </c>
      <c r="E3240" s="854">
        <v>333901400000000</v>
      </c>
      <c r="F3240" s="855" t="s">
        <v>9068</v>
      </c>
      <c r="G3240" s="468">
        <v>4090</v>
      </c>
      <c r="H3240" s="468">
        <v>0</v>
      </c>
      <c r="I3240" s="751"/>
      <c r="J3240" s="878"/>
      <c r="K3240" s="789">
        <v>0</v>
      </c>
      <c r="L3240" s="789">
        <f>('Parâmetros financeiros Despesa'!F1679)*2+(('Parâmetros financeiros Despesa'!F1679)*10)*(1+'Parâmetros financeiros Despesa'!F$4)*(1+'Parâmetros financeiros Despesa'!F$8)</f>
        <v>2510.9628652878946</v>
      </c>
      <c r="M3240" s="799">
        <f t="shared" si="520"/>
        <v>4.2969276449450686E-3</v>
      </c>
      <c r="N3240" s="894"/>
      <c r="P3240" s="733"/>
    </row>
    <row r="3241" spans="1:21" s="115" customFormat="1" ht="15" customHeight="1" x14ac:dyDescent="0.25">
      <c r="B3241" s="879"/>
      <c r="C3241" s="879"/>
      <c r="D3241" s="880">
        <v>636500</v>
      </c>
      <c r="E3241" s="854">
        <v>333903000000000</v>
      </c>
      <c r="F3241" s="855" t="s">
        <v>9067</v>
      </c>
      <c r="G3241" s="468">
        <v>4090</v>
      </c>
      <c r="H3241" s="468">
        <v>0</v>
      </c>
      <c r="I3241" s="751"/>
      <c r="J3241" s="878"/>
      <c r="K3241" s="789">
        <v>0</v>
      </c>
      <c r="L3241" s="789">
        <f>('Parâmetros financeiros Despesa'!F1680*(1+'Parâmetros financeiros Despesa'!F$4)*(1+'Parâmetros financeiros Despesa'!F$7))+'Parâmetros financeiros Despesa'!F1691</f>
        <v>7424.3845000000001</v>
      </c>
      <c r="M3241" s="799">
        <f t="shared" si="520"/>
        <v>1.2705103466790593E-2</v>
      </c>
      <c r="N3241" s="894"/>
      <c r="O3241" s="396"/>
      <c r="P3241" s="463"/>
      <c r="S3241" s="463"/>
      <c r="T3241" s="463"/>
      <c r="U3241" s="463"/>
    </row>
    <row r="3242" spans="1:21" s="115" customFormat="1" ht="15" customHeight="1" x14ac:dyDescent="0.25">
      <c r="B3242" s="877"/>
      <c r="C3242" s="877"/>
      <c r="D3242" s="880">
        <v>636600</v>
      </c>
      <c r="E3242" s="854">
        <v>333903200000000</v>
      </c>
      <c r="F3242" s="855" t="s">
        <v>9070</v>
      </c>
      <c r="G3242" s="468">
        <v>4090</v>
      </c>
      <c r="H3242" s="468">
        <v>0</v>
      </c>
      <c r="I3242" s="751"/>
      <c r="J3242" s="878"/>
      <c r="K3242" s="789">
        <v>0</v>
      </c>
      <c r="L3242" s="789">
        <f>('Parâmetros financeiros Despesa'!F1681*(1+'Parâmetros financeiros Despesa'!F$4)*(1+'Parâmetros financeiros Despesa'!F$7))</f>
        <v>1635.4972500000001</v>
      </c>
      <c r="M3242" s="799">
        <f t="shared" si="520"/>
        <v>2.7987723131663615E-3</v>
      </c>
      <c r="N3242" s="894"/>
      <c r="O3242" s="396"/>
      <c r="P3242" s="463"/>
      <c r="S3242" s="463"/>
      <c r="T3242" s="463"/>
      <c r="U3242" s="463"/>
    </row>
    <row r="3243" spans="1:21" s="115" customFormat="1" ht="15" customHeight="1" x14ac:dyDescent="0.25">
      <c r="B3243" s="877"/>
      <c r="C3243" s="877"/>
      <c r="D3243" s="880">
        <v>636700</v>
      </c>
      <c r="E3243" s="854">
        <v>333903300000000</v>
      </c>
      <c r="F3243" s="855" t="s">
        <v>9380</v>
      </c>
      <c r="G3243" s="468">
        <v>4090</v>
      </c>
      <c r="H3243" s="468">
        <v>0</v>
      </c>
      <c r="I3243" s="751"/>
      <c r="J3243" s="878"/>
      <c r="K3243" s="789">
        <v>0</v>
      </c>
      <c r="L3243" s="789">
        <f>('Parâmetros financeiros Despesa'!F1682*(1+'Parâmetros financeiros Despesa'!F$4)*(1+'Parâmetros financeiros Despesa'!F$7))</f>
        <v>545.16575</v>
      </c>
      <c r="M3243" s="799">
        <f t="shared" si="520"/>
        <v>9.3292410438878713E-4</v>
      </c>
      <c r="N3243" s="894"/>
      <c r="O3243" s="396"/>
      <c r="P3243" s="463"/>
      <c r="S3243" s="463"/>
      <c r="T3243" s="463"/>
      <c r="U3243" s="463"/>
    </row>
    <row r="3244" spans="1:21" s="115" customFormat="1" ht="15" customHeight="1" x14ac:dyDescent="0.25">
      <c r="B3244" s="877"/>
      <c r="C3244" s="877"/>
      <c r="D3244" s="880">
        <v>636800</v>
      </c>
      <c r="E3244" s="854">
        <v>333903600000000</v>
      </c>
      <c r="F3244" s="855" t="s">
        <v>9083</v>
      </c>
      <c r="G3244" s="468">
        <v>4090</v>
      </c>
      <c r="H3244" s="468">
        <v>0</v>
      </c>
      <c r="I3244" s="751"/>
      <c r="J3244" s="878"/>
      <c r="K3244" s="789">
        <v>0</v>
      </c>
      <c r="L3244" s="789">
        <f>('Parâmetros financeiros Despesa'!F1683*(1+'Parâmetros financeiros Despesa'!F$4)*(1+'Parâmetros financeiros Despesa'!F$7))</f>
        <v>4361.326</v>
      </c>
      <c r="M3244" s="799">
        <f t="shared" si="520"/>
        <v>7.463392835110297E-3</v>
      </c>
      <c r="N3244" s="894"/>
      <c r="O3244" s="396"/>
      <c r="P3244" s="463"/>
      <c r="S3244" s="463"/>
      <c r="T3244" s="463"/>
      <c r="U3244" s="463"/>
    </row>
    <row r="3245" spans="1:21" s="115" customFormat="1" ht="15" customHeight="1" x14ac:dyDescent="0.25">
      <c r="B3245" s="877"/>
      <c r="C3245" s="877"/>
      <c r="D3245" s="880">
        <v>636900</v>
      </c>
      <c r="E3245" s="854">
        <v>333903900000000</v>
      </c>
      <c r="F3245" s="855" t="s">
        <v>9084</v>
      </c>
      <c r="G3245" s="468">
        <v>4090</v>
      </c>
      <c r="H3245" s="468">
        <v>0</v>
      </c>
      <c r="I3245" s="751"/>
      <c r="J3245" s="878"/>
      <c r="K3245" s="789">
        <v>0</v>
      </c>
      <c r="L3245" s="789">
        <f>('Parâmetros financeiros Despesa'!F1684*(1+'Parâmetros financeiros Despesa'!F$4)*(1+'Parâmetros financeiros Despesa'!F$7))</f>
        <v>4361.326</v>
      </c>
      <c r="M3245" s="799">
        <f t="shared" si="520"/>
        <v>7.463392835110297E-3</v>
      </c>
      <c r="N3245" s="894"/>
      <c r="O3245" s="396"/>
      <c r="P3245" s="463"/>
      <c r="S3245" s="463"/>
      <c r="T3245" s="463"/>
      <c r="U3245" s="463"/>
    </row>
    <row r="3246" spans="1:21" s="115" customFormat="1" ht="15" customHeight="1" x14ac:dyDescent="0.25">
      <c r="B3246" s="877"/>
      <c r="C3246" s="877"/>
      <c r="D3246" s="880">
        <v>637000</v>
      </c>
      <c r="E3246" s="854">
        <v>333904700000000</v>
      </c>
      <c r="F3246" s="855" t="s">
        <v>9085</v>
      </c>
      <c r="G3246" s="468">
        <v>4090</v>
      </c>
      <c r="H3246" s="468">
        <v>0</v>
      </c>
      <c r="I3246" s="751"/>
      <c r="J3246" s="878"/>
      <c r="K3246" s="789">
        <v>0</v>
      </c>
      <c r="L3246" s="789">
        <f>('Parâmetros financeiros Despesa'!F1685*(1+'Parâmetros financeiros Despesa'!F$4)*(1+'Parâmetros financeiros Despesa'!F$7))</f>
        <v>872.26520000000005</v>
      </c>
      <c r="M3246" s="799">
        <f t="shared" si="520"/>
        <v>1.4926785670220596E-3</v>
      </c>
      <c r="N3246" s="894"/>
      <c r="O3246" s="396"/>
      <c r="P3246" s="463"/>
      <c r="S3246" s="463"/>
      <c r="T3246" s="463"/>
      <c r="U3246" s="463"/>
    </row>
    <row r="3247" spans="1:21" s="115" customFormat="1" ht="15" customHeight="1" x14ac:dyDescent="0.25">
      <c r="A3247" s="396"/>
      <c r="B3247" s="876"/>
      <c r="C3247" s="876"/>
      <c r="D3247" s="877" t="s">
        <v>9377</v>
      </c>
      <c r="E3247" s="854">
        <v>333904900000000</v>
      </c>
      <c r="F3247" s="855" t="s">
        <v>9071</v>
      </c>
      <c r="G3247" s="468">
        <v>4090</v>
      </c>
      <c r="H3247" s="468">
        <v>0</v>
      </c>
      <c r="I3247" s="751"/>
      <c r="J3247" s="878"/>
      <c r="K3247" s="789">
        <v>0</v>
      </c>
      <c r="L3247" s="789">
        <f>('Parâmetros financeiros Despesa'!F1686)*2+(('Parâmetros financeiros Despesa'!F1686)*10)*(1+'Parâmetros financeiros Despesa'!F$4)*(1+'Parâmetros financeiros Despesa'!F$8)</f>
        <v>12.554814326439475</v>
      </c>
      <c r="M3247" s="799">
        <f t="shared" si="520"/>
        <v>2.1484638224725344E-5</v>
      </c>
      <c r="N3247" s="894"/>
      <c r="P3247" s="733"/>
    </row>
    <row r="3248" spans="1:21" s="115" customFormat="1" ht="15" customHeight="1" x14ac:dyDescent="0.25">
      <c r="A3248" s="396"/>
      <c r="B3248" s="876"/>
      <c r="C3248" s="876"/>
      <c r="D3248" s="877" t="s">
        <v>9378</v>
      </c>
      <c r="E3248" s="854">
        <v>333909300000000</v>
      </c>
      <c r="F3248" s="855" t="s">
        <v>9072</v>
      </c>
      <c r="G3248" s="468">
        <v>4090</v>
      </c>
      <c r="H3248" s="468">
        <v>0</v>
      </c>
      <c r="I3248" s="751"/>
      <c r="J3248" s="878"/>
      <c r="K3248" s="789">
        <v>0</v>
      </c>
      <c r="L3248" s="789">
        <f>('Parâmetros financeiros Despesa'!F1687*(1+'Parâmetros financeiros Despesa'!F$4)*(1+'Parâmetros financeiros Despesa'!F$7))</f>
        <v>545.16575</v>
      </c>
      <c r="M3248" s="799">
        <f t="shared" si="520"/>
        <v>9.3292410438878713E-4</v>
      </c>
      <c r="N3248" s="894"/>
      <c r="P3248" s="733"/>
    </row>
    <row r="3249" spans="1:16" s="115" customFormat="1" ht="15" customHeight="1" x14ac:dyDescent="0.25">
      <c r="A3249" s="396"/>
      <c r="B3249" s="877"/>
      <c r="C3249" s="877"/>
      <c r="D3249" s="877" t="s">
        <v>9379</v>
      </c>
      <c r="E3249" s="854">
        <v>333933000000000</v>
      </c>
      <c r="F3249" s="855" t="s">
        <v>9086</v>
      </c>
      <c r="G3249" s="468">
        <v>4090</v>
      </c>
      <c r="H3249" s="468">
        <v>0</v>
      </c>
      <c r="I3249" s="751"/>
      <c r="J3249" s="878"/>
      <c r="K3249" s="789">
        <v>0</v>
      </c>
      <c r="L3249" s="789">
        <f>('Parâmetros financeiros Despesa'!F1688*(1+'Parâmetros financeiros Despesa'!F$4)*(1+'Parâmetros financeiros Despesa'!F$7))</f>
        <v>4361.326</v>
      </c>
      <c r="M3249" s="799">
        <f t="shared" si="520"/>
        <v>7.463392835110297E-3</v>
      </c>
      <c r="N3249" s="894"/>
      <c r="P3249" s="733"/>
    </row>
    <row r="3250" spans="1:16" s="115" customFormat="1" ht="15" customHeight="1" x14ac:dyDescent="0.25">
      <c r="A3250" s="396"/>
      <c r="B3250" s="877"/>
      <c r="C3250" s="877"/>
      <c r="D3250" s="877" t="s">
        <v>9382</v>
      </c>
      <c r="E3250" s="854">
        <v>333933900000000</v>
      </c>
      <c r="F3250" s="855" t="s">
        <v>9381</v>
      </c>
      <c r="G3250" s="468">
        <v>4090</v>
      </c>
      <c r="H3250" s="468">
        <v>0</v>
      </c>
      <c r="I3250" s="751"/>
      <c r="J3250" s="878"/>
      <c r="K3250" s="789">
        <v>0</v>
      </c>
      <c r="L3250" s="789">
        <f>('Parâmetros financeiros Despesa'!F1689*(1+'Parâmetros financeiros Despesa'!F$4)*(1+'Parâmetros financeiros Despesa'!F$7))</f>
        <v>4361.326</v>
      </c>
      <c r="M3250" s="799">
        <f t="shared" si="520"/>
        <v>7.463392835110297E-3</v>
      </c>
      <c r="N3250" s="894"/>
      <c r="P3250" s="733"/>
    </row>
    <row r="3251" spans="1:16" s="115" customFormat="1" ht="15" customHeight="1" x14ac:dyDescent="0.25">
      <c r="A3251" s="396"/>
      <c r="B3251" s="876"/>
      <c r="C3251" s="876"/>
      <c r="D3251" s="877" t="s">
        <v>9408</v>
      </c>
      <c r="E3251" s="854">
        <v>344905200000000</v>
      </c>
      <c r="F3251" s="855" t="s">
        <v>9073</v>
      </c>
      <c r="G3251" s="468">
        <v>4090</v>
      </c>
      <c r="H3251" s="468">
        <v>0</v>
      </c>
      <c r="I3251" s="751"/>
      <c r="J3251" s="878"/>
      <c r="K3251" s="789">
        <v>0</v>
      </c>
      <c r="L3251" s="789">
        <f>('Parâmetros financeiros Despesa'!F1690*(1+'Parâmetros financeiros Despesa'!F$4)*(1+'Parâmetros financeiros Despesa'!F$7))</f>
        <v>4361.326</v>
      </c>
      <c r="M3251" s="799">
        <f t="shared" si="520"/>
        <v>7.463392835110297E-3</v>
      </c>
      <c r="N3251" s="894"/>
      <c r="P3251" s="733"/>
    </row>
    <row r="3252" spans="1:16" s="774" customFormat="1" ht="15" customHeight="1" x14ac:dyDescent="0.25">
      <c r="A3252" s="397"/>
      <c r="B3252" s="1382" t="s">
        <v>8699</v>
      </c>
      <c r="C3252" s="1382"/>
      <c r="D3252" s="1382"/>
      <c r="E3252" s="1382"/>
      <c r="F3252" s="1382"/>
      <c r="G3252" s="405"/>
      <c r="H3252" s="405"/>
      <c r="I3252" s="428"/>
      <c r="J3252" s="413"/>
      <c r="K3252" s="406">
        <f t="shared" ref="K3252:L3254" si="521">K3253</f>
        <v>0</v>
      </c>
      <c r="L3252" s="406">
        <f t="shared" si="521"/>
        <v>90902</v>
      </c>
      <c r="M3252" s="453">
        <f>L3252/L$3390</f>
        <v>0.15555758397725744</v>
      </c>
      <c r="N3252" s="796"/>
      <c r="P3252" s="399"/>
    </row>
    <row r="3253" spans="1:16" s="774" customFormat="1" ht="15" customHeight="1" x14ac:dyDescent="0.25">
      <c r="A3253" s="397"/>
      <c r="B3253" s="1383" t="s">
        <v>8812</v>
      </c>
      <c r="C3253" s="1383"/>
      <c r="D3253" s="1383"/>
      <c r="E3253" s="1383"/>
      <c r="F3253" s="1383"/>
      <c r="G3253" s="407"/>
      <c r="H3253" s="407"/>
      <c r="I3253" s="429"/>
      <c r="J3253" s="414"/>
      <c r="K3253" s="408">
        <f t="shared" si="521"/>
        <v>0</v>
      </c>
      <c r="L3253" s="408">
        <f t="shared" si="521"/>
        <v>90902</v>
      </c>
      <c r="M3253" s="454">
        <f>L3253/L$3390</f>
        <v>0.15555758397725744</v>
      </c>
      <c r="N3253" s="796"/>
      <c r="P3253" s="399"/>
    </row>
    <row r="3254" spans="1:16" s="774" customFormat="1" ht="15" customHeight="1" x14ac:dyDescent="0.25">
      <c r="A3254" s="397"/>
      <c r="B3254" s="1386" t="s">
        <v>9042</v>
      </c>
      <c r="C3254" s="1386"/>
      <c r="D3254" s="1386"/>
      <c r="E3254" s="1386"/>
      <c r="F3254" s="1386"/>
      <c r="G3254" s="403"/>
      <c r="H3254" s="403"/>
      <c r="I3254" s="427"/>
      <c r="J3254" s="412"/>
      <c r="K3254" s="404">
        <f t="shared" si="521"/>
        <v>0</v>
      </c>
      <c r="L3254" s="404">
        <f t="shared" si="521"/>
        <v>90902</v>
      </c>
      <c r="M3254" s="452">
        <f>L3254/L$3390</f>
        <v>0.15555758397725744</v>
      </c>
      <c r="N3254" s="796"/>
      <c r="P3254" s="399"/>
    </row>
    <row r="3255" spans="1:16" s="774" customFormat="1" ht="15" customHeight="1" x14ac:dyDescent="0.25">
      <c r="A3255" s="397"/>
      <c r="B3255" s="1385" t="s">
        <v>8698</v>
      </c>
      <c r="C3255" s="1385"/>
      <c r="D3255" s="1385"/>
      <c r="E3255" s="1385"/>
      <c r="F3255" s="1385"/>
      <c r="G3255" s="401"/>
      <c r="H3255" s="401"/>
      <c r="I3255" s="426"/>
      <c r="J3255" s="411"/>
      <c r="K3255" s="402">
        <f>SUM(K3256:K3269)</f>
        <v>0</v>
      </c>
      <c r="L3255" s="402">
        <f>SUM(L3256:L3269)</f>
        <v>90902</v>
      </c>
      <c r="M3255" s="451">
        <f>L3255/L$3390</f>
        <v>0.15555758397725744</v>
      </c>
      <c r="N3255" s="796"/>
      <c r="P3255" s="399"/>
    </row>
    <row r="3256" spans="1:16" s="115" customFormat="1" ht="15" customHeight="1" x14ac:dyDescent="0.25">
      <c r="A3256" s="396"/>
      <c r="B3256" s="877"/>
      <c r="C3256" s="877"/>
      <c r="D3256" s="877" t="s">
        <v>9347</v>
      </c>
      <c r="E3256" s="854">
        <v>333904700000000</v>
      </c>
      <c r="F3256" s="855" t="s">
        <v>9038</v>
      </c>
      <c r="G3256" s="468">
        <v>1144</v>
      </c>
      <c r="H3256" s="468">
        <v>0</v>
      </c>
      <c r="I3256" s="751"/>
      <c r="J3256" s="878"/>
      <c r="K3256" s="789">
        <f>'Parâmetros financeiros Despesa'!E1693</f>
        <v>0</v>
      </c>
      <c r="L3256" s="789">
        <f>'Parâmetros financeiros Despesa'!F1693</f>
        <v>0.2</v>
      </c>
      <c r="M3256" s="799">
        <f>L3256/L$3390</f>
        <v>3.4225338051364641E-7</v>
      </c>
      <c r="N3256" s="894"/>
      <c r="P3256" s="733"/>
    </row>
    <row r="3257" spans="1:16" s="115" customFormat="1" ht="15" customHeight="1" x14ac:dyDescent="0.25">
      <c r="A3257" s="396"/>
      <c r="B3257" s="877"/>
      <c r="C3257" s="877"/>
      <c r="D3257" s="877" t="s">
        <v>9348</v>
      </c>
      <c r="E3257" s="854">
        <v>333904700000000</v>
      </c>
      <c r="F3257" s="855" t="s">
        <v>9039</v>
      </c>
      <c r="G3257" s="468">
        <v>4293</v>
      </c>
      <c r="H3257" s="468">
        <v>0</v>
      </c>
      <c r="I3257" s="751"/>
      <c r="J3257" s="878"/>
      <c r="K3257" s="789">
        <f>'Parâmetros financeiros Despesa'!E1701</f>
        <v>0</v>
      </c>
      <c r="L3257" s="789">
        <f>'Parâmetros financeiros Despesa'!F1701</f>
        <v>0.2</v>
      </c>
      <c r="M3257" s="799">
        <f t="shared" ref="M3257:M3269" si="522">L3257/L$3390</f>
        <v>3.4225338051364641E-7</v>
      </c>
      <c r="N3257" s="894"/>
      <c r="P3257" s="733"/>
    </row>
    <row r="3258" spans="1:16" s="115" customFormat="1" ht="15" customHeight="1" x14ac:dyDescent="0.25">
      <c r="A3258" s="396"/>
      <c r="B3258" s="881"/>
      <c r="C3258" s="881"/>
      <c r="D3258" s="881">
        <v>640200</v>
      </c>
      <c r="E3258" s="854">
        <v>344309300000000</v>
      </c>
      <c r="F3258" s="855" t="s">
        <v>9030</v>
      </c>
      <c r="G3258" s="468">
        <v>1144</v>
      </c>
      <c r="H3258" s="468">
        <v>0</v>
      </c>
      <c r="I3258" s="751"/>
      <c r="J3258" s="878"/>
      <c r="K3258" s="789">
        <f>'Parâmetros financeiros Despesa'!E1694</f>
        <v>0</v>
      </c>
      <c r="L3258" s="789">
        <f>'Parâmetros financeiros Despesa'!F1694</f>
        <v>1</v>
      </c>
      <c r="M3258" s="799">
        <f t="shared" si="522"/>
        <v>1.7112669025682321E-6</v>
      </c>
      <c r="N3258" s="894"/>
      <c r="P3258" s="733"/>
    </row>
    <row r="3259" spans="1:16" s="115" customFormat="1" ht="15" customHeight="1" x14ac:dyDescent="0.25">
      <c r="A3259" s="396"/>
      <c r="B3259" s="881"/>
      <c r="C3259" s="881"/>
      <c r="D3259" s="881">
        <v>640300</v>
      </c>
      <c r="E3259" s="854">
        <v>344309300000000</v>
      </c>
      <c r="F3259" s="855" t="s">
        <v>9031</v>
      </c>
      <c r="G3259" s="468">
        <v>4293</v>
      </c>
      <c r="H3259" s="468">
        <v>0</v>
      </c>
      <c r="I3259" s="751"/>
      <c r="J3259" s="878"/>
      <c r="K3259" s="789">
        <f>'Parâmetros financeiros Despesa'!E1702</f>
        <v>0</v>
      </c>
      <c r="L3259" s="789">
        <f>'Parâmetros financeiros Despesa'!F1702</f>
        <v>1</v>
      </c>
      <c r="M3259" s="799">
        <f t="shared" si="522"/>
        <v>1.7112669025682321E-6</v>
      </c>
      <c r="N3259" s="894"/>
      <c r="P3259" s="733"/>
    </row>
    <row r="3260" spans="1:16" s="115" customFormat="1" ht="15" customHeight="1" x14ac:dyDescent="0.25">
      <c r="A3260" s="396"/>
      <c r="B3260" s="881"/>
      <c r="C3260" s="881"/>
      <c r="D3260" s="881">
        <v>640400</v>
      </c>
      <c r="E3260" s="854">
        <v>344903000000000</v>
      </c>
      <c r="F3260" s="855" t="s">
        <v>9032</v>
      </c>
      <c r="G3260" s="468">
        <v>1144</v>
      </c>
      <c r="H3260" s="468">
        <v>0</v>
      </c>
      <c r="I3260" s="751"/>
      <c r="J3260" s="878"/>
      <c r="K3260" s="789">
        <f>'Parâmetros financeiros Despesa'!E1695</f>
        <v>0</v>
      </c>
      <c r="L3260" s="789">
        <f>'Parâmetros financeiros Despesa'!F1695</f>
        <v>1</v>
      </c>
      <c r="M3260" s="799">
        <f t="shared" si="522"/>
        <v>1.7112669025682321E-6</v>
      </c>
      <c r="N3260" s="894"/>
      <c r="P3260" s="733"/>
    </row>
    <row r="3261" spans="1:16" s="115" customFormat="1" ht="15" customHeight="1" x14ac:dyDescent="0.25">
      <c r="A3261" s="396"/>
      <c r="B3261" s="881"/>
      <c r="C3261" s="881"/>
      <c r="D3261" s="881">
        <v>640500</v>
      </c>
      <c r="E3261" s="854">
        <v>344903000000000</v>
      </c>
      <c r="F3261" s="855" t="s">
        <v>9033</v>
      </c>
      <c r="G3261" s="468">
        <v>4293</v>
      </c>
      <c r="H3261" s="468">
        <v>0</v>
      </c>
      <c r="I3261" s="751"/>
      <c r="J3261" s="878"/>
      <c r="K3261" s="789">
        <f>'Parâmetros financeiros Despesa'!E1703</f>
        <v>0</v>
      </c>
      <c r="L3261" s="789">
        <f>'Parâmetros financeiros Despesa'!F1703</f>
        <v>1</v>
      </c>
      <c r="M3261" s="799">
        <f t="shared" si="522"/>
        <v>1.7112669025682321E-6</v>
      </c>
      <c r="N3261" s="894"/>
      <c r="P3261" s="733"/>
    </row>
    <row r="3262" spans="1:16" s="115" customFormat="1" ht="14.25" customHeight="1" x14ac:dyDescent="0.25">
      <c r="A3262" s="396"/>
      <c r="B3262" s="877"/>
      <c r="C3262" s="877"/>
      <c r="D3262" s="877" t="s">
        <v>11190</v>
      </c>
      <c r="E3262" s="854">
        <v>344903600000000</v>
      </c>
      <c r="F3262" s="855" t="s">
        <v>9034</v>
      </c>
      <c r="G3262" s="468">
        <v>1144</v>
      </c>
      <c r="H3262" s="468">
        <v>0</v>
      </c>
      <c r="I3262" s="751"/>
      <c r="J3262" s="878"/>
      <c r="K3262" s="789">
        <f>'Parâmetros financeiros Despesa'!E1696</f>
        <v>0</v>
      </c>
      <c r="L3262" s="789">
        <f>'Parâmetros financeiros Despesa'!F1696</f>
        <v>1</v>
      </c>
      <c r="M3262" s="799">
        <f t="shared" si="522"/>
        <v>1.7112669025682321E-6</v>
      </c>
      <c r="N3262" s="894"/>
      <c r="P3262" s="733"/>
    </row>
    <row r="3263" spans="1:16" s="115" customFormat="1" ht="14.25" customHeight="1" x14ac:dyDescent="0.25">
      <c r="A3263" s="396"/>
      <c r="B3263" s="877"/>
      <c r="C3263" s="877"/>
      <c r="D3263" s="877" t="s">
        <v>11191</v>
      </c>
      <c r="E3263" s="854">
        <v>344903600000000</v>
      </c>
      <c r="F3263" s="855" t="s">
        <v>9035</v>
      </c>
      <c r="G3263" s="468">
        <v>4293</v>
      </c>
      <c r="H3263" s="468">
        <v>0</v>
      </c>
      <c r="I3263" s="751"/>
      <c r="J3263" s="878"/>
      <c r="K3263" s="789">
        <f>'Parâmetros financeiros Despesa'!E1704</f>
        <v>0</v>
      </c>
      <c r="L3263" s="789">
        <f>'Parâmetros financeiros Despesa'!F1704</f>
        <v>1</v>
      </c>
      <c r="M3263" s="799">
        <f t="shared" si="522"/>
        <v>1.7112669025682321E-6</v>
      </c>
      <c r="N3263" s="894"/>
      <c r="P3263" s="733"/>
    </row>
    <row r="3264" spans="1:16" s="115" customFormat="1" ht="15" customHeight="1" x14ac:dyDescent="0.25">
      <c r="A3264" s="396"/>
      <c r="B3264" s="877"/>
      <c r="C3264" s="877"/>
      <c r="D3264" s="877" t="s">
        <v>11192</v>
      </c>
      <c r="E3264" s="854">
        <v>344903900000000</v>
      </c>
      <c r="F3264" s="855" t="s">
        <v>9036</v>
      </c>
      <c r="G3264" s="468">
        <v>40</v>
      </c>
      <c r="H3264" s="468">
        <v>0</v>
      </c>
      <c r="I3264" s="751"/>
      <c r="J3264" s="878"/>
      <c r="K3264" s="789">
        <f>'Parâmetros financeiros Despesa'!E1697</f>
        <v>0</v>
      </c>
      <c r="L3264" s="789">
        <f>'Parâmetros financeiros Despesa'!F1697</f>
        <v>1</v>
      </c>
      <c r="M3264" s="799">
        <f t="shared" si="522"/>
        <v>1.7112669025682321E-6</v>
      </c>
      <c r="N3264" s="894"/>
      <c r="P3264" s="733"/>
    </row>
    <row r="3265" spans="1:16" s="115" customFormat="1" ht="15" customHeight="1" x14ac:dyDescent="0.25">
      <c r="A3265" s="396"/>
      <c r="B3265" s="877"/>
      <c r="C3265" s="877"/>
      <c r="D3265" s="877" t="s">
        <v>9349</v>
      </c>
      <c r="E3265" s="854">
        <v>344903900000000</v>
      </c>
      <c r="F3265" s="855" t="s">
        <v>9037</v>
      </c>
      <c r="G3265" s="468">
        <v>40</v>
      </c>
      <c r="H3265" s="468">
        <v>0</v>
      </c>
      <c r="I3265" s="751"/>
      <c r="J3265" s="878"/>
      <c r="K3265" s="789">
        <f>'Parâmetros financeiros Despesa'!E1705</f>
        <v>0</v>
      </c>
      <c r="L3265" s="789">
        <f>'Parâmetros financeiros Despesa'!F1705</f>
        <v>1</v>
      </c>
      <c r="M3265" s="799">
        <f t="shared" si="522"/>
        <v>1.7112669025682321E-6</v>
      </c>
      <c r="N3265" s="894"/>
      <c r="P3265" s="733"/>
    </row>
    <row r="3266" spans="1:16" s="115" customFormat="1" ht="15" customHeight="1" x14ac:dyDescent="0.25">
      <c r="A3266" s="396"/>
      <c r="B3266" s="877"/>
      <c r="C3266" s="877"/>
      <c r="D3266" s="877" t="s">
        <v>9350</v>
      </c>
      <c r="E3266" s="854">
        <v>344903900000000</v>
      </c>
      <c r="F3266" s="855" t="s">
        <v>9036</v>
      </c>
      <c r="G3266" s="468">
        <v>1144</v>
      </c>
      <c r="H3266" s="468">
        <v>0</v>
      </c>
      <c r="I3266" s="751"/>
      <c r="J3266" s="878"/>
      <c r="K3266" s="789">
        <f>'Parâmetros financeiros Despesa'!E1698</f>
        <v>0</v>
      </c>
      <c r="L3266" s="789">
        <f>'Parâmetros financeiros Despesa'!F1698</f>
        <v>1</v>
      </c>
      <c r="M3266" s="799">
        <f t="shared" si="522"/>
        <v>1.7112669025682321E-6</v>
      </c>
      <c r="N3266" s="894"/>
      <c r="P3266" s="733"/>
    </row>
    <row r="3267" spans="1:16" s="115" customFormat="1" ht="15" customHeight="1" x14ac:dyDescent="0.25">
      <c r="A3267" s="396"/>
      <c r="B3267" s="877"/>
      <c r="C3267" s="877"/>
      <c r="D3267" s="877" t="s">
        <v>9351</v>
      </c>
      <c r="E3267" s="854">
        <v>344903900000000</v>
      </c>
      <c r="F3267" s="855" t="s">
        <v>9037</v>
      </c>
      <c r="G3267" s="468">
        <v>4293</v>
      </c>
      <c r="H3267" s="468">
        <v>0</v>
      </c>
      <c r="I3267" s="751"/>
      <c r="J3267" s="878"/>
      <c r="K3267" s="789">
        <f>'Parâmetros financeiros Despesa'!E1706</f>
        <v>0</v>
      </c>
      <c r="L3267" s="789">
        <f>'Parâmetros financeiros Despesa'!F1706</f>
        <v>50</v>
      </c>
      <c r="M3267" s="799">
        <f t="shared" si="522"/>
        <v>8.5563345128411602E-5</v>
      </c>
      <c r="N3267" s="894"/>
      <c r="P3267" s="733"/>
    </row>
    <row r="3268" spans="1:16" s="115" customFormat="1" ht="15" customHeight="1" x14ac:dyDescent="0.25">
      <c r="A3268" s="396"/>
      <c r="B3268" s="877"/>
      <c r="C3268" s="877"/>
      <c r="D3268" s="877" t="s">
        <v>9352</v>
      </c>
      <c r="E3268" s="854">
        <v>344905200000000</v>
      </c>
      <c r="F3268" s="855" t="s">
        <v>9040</v>
      </c>
      <c r="G3268" s="468">
        <v>1144</v>
      </c>
      <c r="H3268" s="468">
        <v>0</v>
      </c>
      <c r="I3268" s="751"/>
      <c r="J3268" s="878"/>
      <c r="K3268" s="789">
        <f>'Parâmetros financeiros Despesa'!E1699</f>
        <v>0</v>
      </c>
      <c r="L3268" s="789">
        <f>'Parâmetros financeiros Despesa'!F1699</f>
        <v>495.8</v>
      </c>
      <c r="M3268" s="799">
        <f t="shared" si="522"/>
        <v>8.484461302933295E-4</v>
      </c>
      <c r="N3268" s="894"/>
      <c r="P3268" s="733"/>
    </row>
    <row r="3269" spans="1:16" s="115" customFormat="1" ht="15" customHeight="1" x14ac:dyDescent="0.25">
      <c r="A3269" s="396"/>
      <c r="B3269" s="877"/>
      <c r="C3269" s="877"/>
      <c r="D3269" s="877" t="s">
        <v>9353</v>
      </c>
      <c r="E3269" s="854">
        <v>344905200000000</v>
      </c>
      <c r="F3269" s="855" t="s">
        <v>9041</v>
      </c>
      <c r="G3269" s="468">
        <v>4293</v>
      </c>
      <c r="H3269" s="468">
        <v>0</v>
      </c>
      <c r="I3269" s="751"/>
      <c r="J3269" s="878"/>
      <c r="K3269" s="789">
        <f>'Parâmetros financeiros Despesa'!E1707</f>
        <v>0</v>
      </c>
      <c r="L3269" s="789">
        <f>'Parâmetros financeiros Despesa'!F1707</f>
        <v>90346.8</v>
      </c>
      <c r="M3269" s="799">
        <f t="shared" si="522"/>
        <v>0.15460748859295156</v>
      </c>
      <c r="N3269" s="894"/>
      <c r="P3269" s="733"/>
    </row>
    <row r="3270" spans="1:16" s="774" customFormat="1" ht="15" customHeight="1" x14ac:dyDescent="0.25">
      <c r="A3270" s="397"/>
      <c r="B3270" s="1382" t="s">
        <v>8699</v>
      </c>
      <c r="C3270" s="1382"/>
      <c r="D3270" s="1382"/>
      <c r="E3270" s="1382"/>
      <c r="F3270" s="1382"/>
      <c r="G3270" s="405"/>
      <c r="H3270" s="405"/>
      <c r="I3270" s="428"/>
      <c r="J3270" s="413"/>
      <c r="K3270" s="406">
        <f t="shared" ref="K3270:L3272" si="523">K3271</f>
        <v>0</v>
      </c>
      <c r="L3270" s="406">
        <f t="shared" si="523"/>
        <v>70302</v>
      </c>
      <c r="M3270" s="453">
        <f>L3270/L$3390</f>
        <v>0.12030548578435185</v>
      </c>
      <c r="N3270" s="796"/>
      <c r="P3270" s="399"/>
    </row>
    <row r="3271" spans="1:16" s="774" customFormat="1" ht="15" customHeight="1" x14ac:dyDescent="0.25">
      <c r="A3271" s="397"/>
      <c r="B3271" s="1383" t="s">
        <v>8812</v>
      </c>
      <c r="C3271" s="1383"/>
      <c r="D3271" s="1383"/>
      <c r="E3271" s="1383"/>
      <c r="F3271" s="1383"/>
      <c r="G3271" s="407"/>
      <c r="H3271" s="407"/>
      <c r="I3271" s="429"/>
      <c r="J3271" s="414"/>
      <c r="K3271" s="408">
        <f t="shared" si="523"/>
        <v>0</v>
      </c>
      <c r="L3271" s="408">
        <f t="shared" si="523"/>
        <v>70302</v>
      </c>
      <c r="M3271" s="454">
        <f>L3271/L$3390</f>
        <v>0.12030548578435185</v>
      </c>
      <c r="N3271" s="796"/>
      <c r="P3271" s="399"/>
    </row>
    <row r="3272" spans="1:16" s="774" customFormat="1" ht="15" customHeight="1" x14ac:dyDescent="0.25">
      <c r="A3272" s="397"/>
      <c r="B3272" s="1386" t="s">
        <v>9043</v>
      </c>
      <c r="C3272" s="1386"/>
      <c r="D3272" s="1386"/>
      <c r="E3272" s="1386"/>
      <c r="F3272" s="1386"/>
      <c r="G3272" s="403"/>
      <c r="H3272" s="403"/>
      <c r="I3272" s="427"/>
      <c r="J3272" s="412"/>
      <c r="K3272" s="404">
        <f t="shared" si="523"/>
        <v>0</v>
      </c>
      <c r="L3272" s="404">
        <f t="shared" si="523"/>
        <v>70302</v>
      </c>
      <c r="M3272" s="452">
        <f>L3272/L$3390</f>
        <v>0.12030548578435185</v>
      </c>
      <c r="N3272" s="796"/>
      <c r="P3272" s="399"/>
    </row>
    <row r="3273" spans="1:16" s="774" customFormat="1" ht="15" customHeight="1" x14ac:dyDescent="0.25">
      <c r="A3273" s="397"/>
      <c r="B3273" s="1385" t="s">
        <v>8698</v>
      </c>
      <c r="C3273" s="1385"/>
      <c r="D3273" s="1385"/>
      <c r="E3273" s="1385"/>
      <c r="F3273" s="1385"/>
      <c r="G3273" s="401"/>
      <c r="H3273" s="401"/>
      <c r="I3273" s="426"/>
      <c r="J3273" s="411"/>
      <c r="K3273" s="402">
        <f>SUM(K3274:K3287)</f>
        <v>0</v>
      </c>
      <c r="L3273" s="402">
        <f>SUM(L3274:L3287)</f>
        <v>70302</v>
      </c>
      <c r="M3273" s="451">
        <f>L3273/L$3390</f>
        <v>0.12030548578435185</v>
      </c>
      <c r="N3273" s="796"/>
      <c r="P3273" s="399"/>
    </row>
    <row r="3274" spans="1:16" s="115" customFormat="1" ht="15" customHeight="1" x14ac:dyDescent="0.25">
      <c r="A3274" s="396"/>
      <c r="B3274" s="877"/>
      <c r="C3274" s="877"/>
      <c r="D3274" s="877" t="s">
        <v>9357</v>
      </c>
      <c r="E3274" s="854">
        <v>333904700000000</v>
      </c>
      <c r="F3274" s="855" t="s">
        <v>9049</v>
      </c>
      <c r="G3274" s="468">
        <v>4241</v>
      </c>
      <c r="H3274" s="468">
        <v>0</v>
      </c>
      <c r="I3274" s="751"/>
      <c r="J3274" s="878"/>
      <c r="K3274" s="789">
        <f>'Parâmetros financeiros Despesa'!E1709</f>
        <v>0</v>
      </c>
      <c r="L3274" s="789">
        <f>'Parâmetros financeiros Despesa'!F1709</f>
        <v>0.2</v>
      </c>
      <c r="M3274" s="799">
        <f>L3274/L$3390</f>
        <v>3.4225338051364641E-7</v>
      </c>
      <c r="N3274" s="894"/>
      <c r="P3274" s="733"/>
    </row>
    <row r="3275" spans="1:16" s="115" customFormat="1" ht="15" customHeight="1" x14ac:dyDescent="0.25">
      <c r="A3275" s="396"/>
      <c r="B3275" s="877"/>
      <c r="C3275" s="877"/>
      <c r="D3275" s="877" t="s">
        <v>9358</v>
      </c>
      <c r="E3275" s="854">
        <v>333904700000000</v>
      </c>
      <c r="F3275" s="855" t="s">
        <v>9050</v>
      </c>
      <c r="G3275" s="468">
        <v>4295</v>
      </c>
      <c r="H3275" s="468">
        <v>0</v>
      </c>
      <c r="I3275" s="751"/>
      <c r="J3275" s="878"/>
      <c r="K3275" s="789">
        <f>'Parâmetros financeiros Despesa'!E1717</f>
        <v>0</v>
      </c>
      <c r="L3275" s="789">
        <f>'Parâmetros financeiros Despesa'!F1717</f>
        <v>0.2</v>
      </c>
      <c r="M3275" s="799">
        <f t="shared" ref="M3275:M3287" si="524">L3275/L$3390</f>
        <v>3.4225338051364641E-7</v>
      </c>
      <c r="N3275" s="894"/>
      <c r="P3275" s="733"/>
    </row>
    <row r="3276" spans="1:16" s="115" customFormat="1" ht="15" customHeight="1" x14ac:dyDescent="0.25">
      <c r="A3276" s="396"/>
      <c r="B3276" s="881"/>
      <c r="C3276" s="881"/>
      <c r="D3276" s="881">
        <v>643200</v>
      </c>
      <c r="E3276" s="854">
        <v>344309300000000</v>
      </c>
      <c r="F3276" s="855" t="s">
        <v>9051</v>
      </c>
      <c r="G3276" s="468">
        <v>4241</v>
      </c>
      <c r="H3276" s="468">
        <v>0</v>
      </c>
      <c r="I3276" s="751"/>
      <c r="J3276" s="878"/>
      <c r="K3276" s="789">
        <f>'Parâmetros financeiros Despesa'!E1710</f>
        <v>0</v>
      </c>
      <c r="L3276" s="789">
        <f>'Parâmetros financeiros Despesa'!F1710</f>
        <v>1</v>
      </c>
      <c r="M3276" s="799">
        <f t="shared" si="524"/>
        <v>1.7112669025682321E-6</v>
      </c>
      <c r="N3276" s="894"/>
      <c r="P3276" s="733"/>
    </row>
    <row r="3277" spans="1:16" s="115" customFormat="1" ht="15" customHeight="1" x14ac:dyDescent="0.25">
      <c r="A3277" s="396"/>
      <c r="B3277" s="881"/>
      <c r="C3277" s="881"/>
      <c r="D3277" s="881">
        <v>643300</v>
      </c>
      <c r="E3277" s="854">
        <v>344309300000000</v>
      </c>
      <c r="F3277" s="855" t="s">
        <v>9048</v>
      </c>
      <c r="G3277" s="468">
        <v>4295</v>
      </c>
      <c r="H3277" s="468">
        <v>0</v>
      </c>
      <c r="I3277" s="751"/>
      <c r="J3277" s="878"/>
      <c r="K3277" s="789">
        <f>'Parâmetros financeiros Despesa'!E1718</f>
        <v>0</v>
      </c>
      <c r="L3277" s="789">
        <f>'Parâmetros financeiros Despesa'!F1718</f>
        <v>1</v>
      </c>
      <c r="M3277" s="799">
        <f t="shared" si="524"/>
        <v>1.7112669025682321E-6</v>
      </c>
      <c r="N3277" s="894"/>
      <c r="P3277" s="733"/>
    </row>
    <row r="3278" spans="1:16" s="115" customFormat="1" ht="15" customHeight="1" x14ac:dyDescent="0.25">
      <c r="A3278" s="396"/>
      <c r="B3278" s="881"/>
      <c r="C3278" s="881"/>
      <c r="D3278" s="881">
        <v>643400</v>
      </c>
      <c r="E3278" s="854">
        <v>344903000000000</v>
      </c>
      <c r="F3278" s="855" t="s">
        <v>9052</v>
      </c>
      <c r="G3278" s="468">
        <v>4241</v>
      </c>
      <c r="H3278" s="468">
        <v>0</v>
      </c>
      <c r="I3278" s="751"/>
      <c r="J3278" s="878"/>
      <c r="K3278" s="789">
        <f>'Parâmetros financeiros Despesa'!E1711</f>
        <v>0</v>
      </c>
      <c r="L3278" s="789">
        <f>'Parâmetros financeiros Despesa'!F1711</f>
        <v>1</v>
      </c>
      <c r="M3278" s="799">
        <f t="shared" si="524"/>
        <v>1.7112669025682321E-6</v>
      </c>
      <c r="N3278" s="894"/>
      <c r="P3278" s="733"/>
    </row>
    <row r="3279" spans="1:16" s="115" customFormat="1" ht="15" customHeight="1" x14ac:dyDescent="0.25">
      <c r="A3279" s="396"/>
      <c r="B3279" s="881"/>
      <c r="C3279" s="881"/>
      <c r="D3279" s="881">
        <v>643500</v>
      </c>
      <c r="E3279" s="854">
        <v>344903000000000</v>
      </c>
      <c r="F3279" s="855" t="s">
        <v>9055</v>
      </c>
      <c r="G3279" s="468">
        <v>4295</v>
      </c>
      <c r="H3279" s="468">
        <v>0</v>
      </c>
      <c r="I3279" s="751"/>
      <c r="J3279" s="878"/>
      <c r="K3279" s="789">
        <f>'Parâmetros financeiros Despesa'!E1719</f>
        <v>0</v>
      </c>
      <c r="L3279" s="789">
        <f>'Parâmetros financeiros Despesa'!F1719</f>
        <v>1</v>
      </c>
      <c r="M3279" s="799">
        <f t="shared" si="524"/>
        <v>1.7112669025682321E-6</v>
      </c>
      <c r="N3279" s="894"/>
      <c r="P3279" s="733"/>
    </row>
    <row r="3280" spans="1:16" s="115" customFormat="1" ht="14.25" customHeight="1" x14ac:dyDescent="0.25">
      <c r="A3280" s="396"/>
      <c r="B3280" s="877"/>
      <c r="C3280" s="877"/>
      <c r="D3280" s="877" t="s">
        <v>9359</v>
      </c>
      <c r="E3280" s="854">
        <v>344903600000000</v>
      </c>
      <c r="F3280" s="855" t="s">
        <v>9053</v>
      </c>
      <c r="G3280" s="468">
        <v>4241</v>
      </c>
      <c r="H3280" s="468">
        <v>0</v>
      </c>
      <c r="I3280" s="751"/>
      <c r="J3280" s="878"/>
      <c r="K3280" s="789">
        <f>'Parâmetros financeiros Despesa'!E1712</f>
        <v>0</v>
      </c>
      <c r="L3280" s="789">
        <f>'Parâmetros financeiros Despesa'!F1712</f>
        <v>1</v>
      </c>
      <c r="M3280" s="799">
        <f t="shared" si="524"/>
        <v>1.7112669025682321E-6</v>
      </c>
      <c r="N3280" s="894"/>
      <c r="P3280" s="733"/>
    </row>
    <row r="3281" spans="1:16" s="115" customFormat="1" ht="14.25" customHeight="1" x14ac:dyDescent="0.25">
      <c r="A3281" s="396"/>
      <c r="B3281" s="877"/>
      <c r="C3281" s="877"/>
      <c r="D3281" s="877" t="s">
        <v>9360</v>
      </c>
      <c r="E3281" s="854">
        <v>344903600000000</v>
      </c>
      <c r="F3281" s="855" t="s">
        <v>9056</v>
      </c>
      <c r="G3281" s="468">
        <v>4295</v>
      </c>
      <c r="H3281" s="468">
        <v>0</v>
      </c>
      <c r="I3281" s="751"/>
      <c r="J3281" s="878"/>
      <c r="K3281" s="789">
        <f>'Parâmetros financeiros Despesa'!E1720</f>
        <v>0</v>
      </c>
      <c r="L3281" s="789">
        <f>'Parâmetros financeiros Despesa'!F1720</f>
        <v>1</v>
      </c>
      <c r="M3281" s="799">
        <f t="shared" si="524"/>
        <v>1.7112669025682321E-6</v>
      </c>
      <c r="N3281" s="894"/>
      <c r="P3281" s="733"/>
    </row>
    <row r="3282" spans="1:16" s="115" customFormat="1" ht="15" customHeight="1" x14ac:dyDescent="0.25">
      <c r="A3282" s="396"/>
      <c r="B3282" s="877"/>
      <c r="C3282" s="877"/>
      <c r="D3282" s="877" t="s">
        <v>9361</v>
      </c>
      <c r="E3282" s="854">
        <v>344903900000000</v>
      </c>
      <c r="F3282" s="855" t="s">
        <v>9054</v>
      </c>
      <c r="G3282" s="468">
        <v>40</v>
      </c>
      <c r="H3282" s="468">
        <v>0</v>
      </c>
      <c r="I3282" s="751"/>
      <c r="J3282" s="878"/>
      <c r="K3282" s="789">
        <f>'Parâmetros financeiros Despesa'!E1713</f>
        <v>0</v>
      </c>
      <c r="L3282" s="789">
        <f>'Parâmetros financeiros Despesa'!F1713</f>
        <v>1</v>
      </c>
      <c r="M3282" s="799">
        <f t="shared" si="524"/>
        <v>1.7112669025682321E-6</v>
      </c>
      <c r="N3282" s="894"/>
      <c r="P3282" s="733"/>
    </row>
    <row r="3283" spans="1:16" s="115" customFormat="1" ht="15" customHeight="1" x14ac:dyDescent="0.25">
      <c r="A3283" s="396"/>
      <c r="B3283" s="877"/>
      <c r="C3283" s="877"/>
      <c r="D3283" s="877" t="s">
        <v>9362</v>
      </c>
      <c r="E3283" s="854">
        <v>344903900000000</v>
      </c>
      <c r="F3283" s="855" t="s">
        <v>9057</v>
      </c>
      <c r="G3283" s="468">
        <v>40</v>
      </c>
      <c r="H3283" s="468">
        <v>0</v>
      </c>
      <c r="I3283" s="751"/>
      <c r="J3283" s="878"/>
      <c r="K3283" s="789">
        <f>'Parâmetros financeiros Despesa'!E1721</f>
        <v>0</v>
      </c>
      <c r="L3283" s="789">
        <f>'Parâmetros financeiros Despesa'!F1721</f>
        <v>1</v>
      </c>
      <c r="M3283" s="799">
        <f t="shared" si="524"/>
        <v>1.7112669025682321E-6</v>
      </c>
      <c r="N3283" s="894"/>
      <c r="P3283" s="733"/>
    </row>
    <row r="3284" spans="1:16" s="115" customFormat="1" ht="15" customHeight="1" x14ac:dyDescent="0.25">
      <c r="A3284" s="396"/>
      <c r="B3284" s="877"/>
      <c r="C3284" s="877"/>
      <c r="D3284" s="877" t="s">
        <v>9363</v>
      </c>
      <c r="E3284" s="854">
        <v>344903900000000</v>
      </c>
      <c r="F3284" s="855" t="s">
        <v>9054</v>
      </c>
      <c r="G3284" s="468">
        <v>4241</v>
      </c>
      <c r="H3284" s="468">
        <v>0</v>
      </c>
      <c r="I3284" s="751"/>
      <c r="J3284" s="878"/>
      <c r="K3284" s="789">
        <f>'Parâmetros financeiros Despesa'!E1714</f>
        <v>0</v>
      </c>
      <c r="L3284" s="789">
        <f>'Parâmetros financeiros Despesa'!F1714</f>
        <v>1</v>
      </c>
      <c r="M3284" s="799">
        <f t="shared" si="524"/>
        <v>1.7112669025682321E-6</v>
      </c>
      <c r="N3284" s="894"/>
      <c r="P3284" s="733"/>
    </row>
    <row r="3285" spans="1:16" s="115" customFormat="1" ht="15" customHeight="1" x14ac:dyDescent="0.25">
      <c r="A3285" s="396"/>
      <c r="B3285" s="877"/>
      <c r="C3285" s="877"/>
      <c r="D3285" s="877" t="s">
        <v>9364</v>
      </c>
      <c r="E3285" s="854">
        <v>344903900000000</v>
      </c>
      <c r="F3285" s="855" t="s">
        <v>9057</v>
      </c>
      <c r="G3285" s="468">
        <v>4295</v>
      </c>
      <c r="H3285" s="468">
        <v>0</v>
      </c>
      <c r="I3285" s="751"/>
      <c r="J3285" s="878"/>
      <c r="K3285" s="789">
        <f>'Parâmetros financeiros Despesa'!E1722</f>
        <v>0</v>
      </c>
      <c r="L3285" s="789">
        <f>'Parâmetros financeiros Despesa'!F1722</f>
        <v>50</v>
      </c>
      <c r="M3285" s="799">
        <f t="shared" si="524"/>
        <v>8.5563345128411602E-5</v>
      </c>
      <c r="N3285" s="894"/>
      <c r="P3285" s="733"/>
    </row>
    <row r="3286" spans="1:16" s="115" customFormat="1" ht="15" customHeight="1" x14ac:dyDescent="0.25">
      <c r="A3286" s="396"/>
      <c r="B3286" s="877"/>
      <c r="C3286" s="877"/>
      <c r="D3286" s="877" t="s">
        <v>9365</v>
      </c>
      <c r="E3286" s="854">
        <v>344905100000000</v>
      </c>
      <c r="F3286" s="855" t="s">
        <v>9367</v>
      </c>
      <c r="G3286" s="468">
        <v>4241</v>
      </c>
      <c r="H3286" s="468">
        <v>0</v>
      </c>
      <c r="I3286" s="751"/>
      <c r="J3286" s="878"/>
      <c r="K3286" s="789">
        <f>'Parâmetros financeiros Despesa'!E1715</f>
        <v>0</v>
      </c>
      <c r="L3286" s="789">
        <f>'Parâmetros financeiros Despesa'!F1715</f>
        <v>35195.800000000003</v>
      </c>
      <c r="M3286" s="799">
        <f t="shared" si="524"/>
        <v>6.0229407649410989E-2</v>
      </c>
      <c r="N3286" s="894"/>
      <c r="P3286" s="733"/>
    </row>
    <row r="3287" spans="1:16" s="115" customFormat="1" ht="15" customHeight="1" x14ac:dyDescent="0.25">
      <c r="A3287" s="396"/>
      <c r="B3287" s="877"/>
      <c r="C3287" s="877"/>
      <c r="D3287" s="877" t="s">
        <v>9366</v>
      </c>
      <c r="E3287" s="854">
        <v>344905100000000</v>
      </c>
      <c r="F3287" s="855" t="s">
        <v>9368</v>
      </c>
      <c r="G3287" s="468">
        <v>4295</v>
      </c>
      <c r="H3287" s="468">
        <v>0</v>
      </c>
      <c r="I3287" s="751"/>
      <c r="J3287" s="878"/>
      <c r="K3287" s="789">
        <f>'Parâmetros financeiros Despesa'!E1723</f>
        <v>0</v>
      </c>
      <c r="L3287" s="789">
        <f>'Parâmetros financeiros Despesa'!F1723</f>
        <v>35046.800000000003</v>
      </c>
      <c r="M3287" s="799">
        <f t="shared" si="524"/>
        <v>5.997442888092832E-2</v>
      </c>
      <c r="N3287" s="894"/>
      <c r="P3287" s="733"/>
    </row>
    <row r="3288" spans="1:16" s="774" customFormat="1" ht="15" customHeight="1" x14ac:dyDescent="0.25">
      <c r="A3288" s="397"/>
      <c r="B3288" s="1382" t="s">
        <v>8699</v>
      </c>
      <c r="C3288" s="1382"/>
      <c r="D3288" s="1382"/>
      <c r="E3288" s="1382"/>
      <c r="F3288" s="1382"/>
      <c r="G3288" s="405"/>
      <c r="H3288" s="405"/>
      <c r="I3288" s="428"/>
      <c r="J3288" s="413"/>
      <c r="K3288" s="406">
        <f t="shared" ref="K3288:L3290" si="525">K3289</f>
        <v>0</v>
      </c>
      <c r="L3288" s="406">
        <f t="shared" si="525"/>
        <v>10794.64</v>
      </c>
      <c r="M3288" s="453">
        <f>L3288/L$3390</f>
        <v>1.847251015713914E-2</v>
      </c>
      <c r="N3288" s="796"/>
      <c r="P3288" s="399"/>
    </row>
    <row r="3289" spans="1:16" s="774" customFormat="1" ht="15" customHeight="1" x14ac:dyDescent="0.25">
      <c r="A3289" s="397"/>
      <c r="B3289" s="1383" t="s">
        <v>8812</v>
      </c>
      <c r="C3289" s="1383"/>
      <c r="D3289" s="1383"/>
      <c r="E3289" s="1383"/>
      <c r="F3289" s="1383"/>
      <c r="G3289" s="407"/>
      <c r="H3289" s="407"/>
      <c r="I3289" s="429"/>
      <c r="J3289" s="414"/>
      <c r="K3289" s="408">
        <f t="shared" si="525"/>
        <v>0</v>
      </c>
      <c r="L3289" s="408">
        <f t="shared" si="525"/>
        <v>10794.64</v>
      </c>
      <c r="M3289" s="454">
        <f>L3289/L$3390</f>
        <v>1.847251015713914E-2</v>
      </c>
      <c r="N3289" s="796"/>
      <c r="P3289" s="399"/>
    </row>
    <row r="3290" spans="1:16" s="774" customFormat="1" ht="15" customHeight="1" x14ac:dyDescent="0.25">
      <c r="A3290" s="397"/>
      <c r="B3290" s="1386" t="s">
        <v>9370</v>
      </c>
      <c r="C3290" s="1386"/>
      <c r="D3290" s="1386"/>
      <c r="E3290" s="1386"/>
      <c r="F3290" s="1386"/>
      <c r="G3290" s="403"/>
      <c r="H3290" s="403"/>
      <c r="I3290" s="427"/>
      <c r="J3290" s="412"/>
      <c r="K3290" s="404">
        <f t="shared" si="525"/>
        <v>0</v>
      </c>
      <c r="L3290" s="404">
        <f t="shared" si="525"/>
        <v>10794.64</v>
      </c>
      <c r="M3290" s="452">
        <f>L3290/L$3390</f>
        <v>1.847251015713914E-2</v>
      </c>
      <c r="N3290" s="796"/>
      <c r="P3290" s="399"/>
    </row>
    <row r="3291" spans="1:16" s="774" customFormat="1" ht="15" customHeight="1" x14ac:dyDescent="0.25">
      <c r="A3291" s="397"/>
      <c r="B3291" s="1385" t="s">
        <v>8698</v>
      </c>
      <c r="C3291" s="1385"/>
      <c r="D3291" s="1385"/>
      <c r="E3291" s="1385"/>
      <c r="F3291" s="1385"/>
      <c r="G3291" s="401"/>
      <c r="H3291" s="401"/>
      <c r="I3291" s="426"/>
      <c r="J3291" s="411"/>
      <c r="K3291" s="402">
        <f>SUM(K3292:K3294)</f>
        <v>0</v>
      </c>
      <c r="L3291" s="402">
        <f>SUM(L3292:L3294)</f>
        <v>10794.64</v>
      </c>
      <c r="M3291" s="451">
        <f>L3291/L$3390</f>
        <v>1.847251015713914E-2</v>
      </c>
      <c r="N3291" s="796"/>
      <c r="P3291" s="399"/>
    </row>
    <row r="3292" spans="1:16" s="115" customFormat="1" ht="15" customHeight="1" x14ac:dyDescent="0.25">
      <c r="A3292" s="396"/>
      <c r="B3292" s="881"/>
      <c r="C3292" s="881"/>
      <c r="D3292" s="881">
        <v>645000</v>
      </c>
      <c r="E3292" s="854">
        <v>344903000000000</v>
      </c>
      <c r="F3292" s="855" t="s">
        <v>9058</v>
      </c>
      <c r="G3292" s="468">
        <v>4050</v>
      </c>
      <c r="H3292" s="468">
        <v>0</v>
      </c>
      <c r="I3292" s="751"/>
      <c r="J3292" s="878"/>
      <c r="K3292" s="789">
        <f>'Parâmetros financeiros Despesa'!E1725</f>
        <v>0</v>
      </c>
      <c r="L3292" s="789">
        <f>'Parâmetros financeiros Despesa'!F1725</f>
        <v>1</v>
      </c>
      <c r="M3292" s="799">
        <f>L3292/L$3390</f>
        <v>1.7112669025682321E-6</v>
      </c>
      <c r="N3292" s="894"/>
      <c r="P3292" s="733"/>
    </row>
    <row r="3293" spans="1:16" s="115" customFormat="1" ht="15" customHeight="1" x14ac:dyDescent="0.25">
      <c r="A3293" s="396"/>
      <c r="B3293" s="881"/>
      <c r="C3293" s="881"/>
      <c r="D3293" s="881">
        <v>645100</v>
      </c>
      <c r="E3293" s="854">
        <v>344903200000000</v>
      </c>
      <c r="F3293" s="855" t="s">
        <v>9060</v>
      </c>
      <c r="G3293" s="468">
        <v>4050</v>
      </c>
      <c r="H3293" s="468">
        <v>0</v>
      </c>
      <c r="I3293" s="751"/>
      <c r="J3293" s="878"/>
      <c r="K3293" s="789">
        <f>'Parâmetros financeiros Despesa'!E1726</f>
        <v>0</v>
      </c>
      <c r="L3293" s="789">
        <f>'Parâmetros financeiros Despesa'!F1726</f>
        <v>10792.64</v>
      </c>
      <c r="M3293" s="799">
        <f t="shared" ref="M3293:M3294" si="526">L3293/L$3390</f>
        <v>1.8469087623334005E-2</v>
      </c>
      <c r="N3293" s="894"/>
      <c r="P3293" s="733"/>
    </row>
    <row r="3294" spans="1:16" s="115" customFormat="1" ht="15" customHeight="1" x14ac:dyDescent="0.25">
      <c r="A3294" s="396"/>
      <c r="B3294" s="877"/>
      <c r="C3294" s="877"/>
      <c r="D3294" s="877" t="s">
        <v>9369</v>
      </c>
      <c r="E3294" s="854">
        <v>344903900000000</v>
      </c>
      <c r="F3294" s="855" t="s">
        <v>9059</v>
      </c>
      <c r="G3294" s="468">
        <v>4050</v>
      </c>
      <c r="H3294" s="468">
        <v>0</v>
      </c>
      <c r="I3294" s="751"/>
      <c r="J3294" s="878"/>
      <c r="K3294" s="789">
        <f>'Parâmetros financeiros Despesa'!E1727</f>
        <v>0</v>
      </c>
      <c r="L3294" s="789">
        <f>'Parâmetros financeiros Despesa'!F1727</f>
        <v>1</v>
      </c>
      <c r="M3294" s="799">
        <f t="shared" si="526"/>
        <v>1.7112669025682321E-6</v>
      </c>
      <c r="N3294" s="894"/>
      <c r="P3294" s="733"/>
    </row>
    <row r="3295" spans="1:16" s="774" customFormat="1" ht="15" customHeight="1" x14ac:dyDescent="0.25">
      <c r="A3295" s="397"/>
      <c r="B3295" s="1382" t="s">
        <v>8699</v>
      </c>
      <c r="C3295" s="1382"/>
      <c r="D3295" s="1382"/>
      <c r="E3295" s="1382"/>
      <c r="F3295" s="1382"/>
      <c r="G3295" s="405"/>
      <c r="H3295" s="405"/>
      <c r="I3295" s="428"/>
      <c r="J3295" s="413"/>
      <c r="K3295" s="406">
        <f t="shared" ref="K3295:L3297" si="527">K3296</f>
        <v>0</v>
      </c>
      <c r="L3295" s="406">
        <f t="shared" si="527"/>
        <v>9912.2900000000009</v>
      </c>
      <c r="M3295" s="453">
        <f>L3295/L$3390</f>
        <v>1.6962573805658063E-2</v>
      </c>
      <c r="N3295" s="796"/>
      <c r="P3295" s="399"/>
    </row>
    <row r="3296" spans="1:16" s="774" customFormat="1" ht="15" customHeight="1" x14ac:dyDescent="0.25">
      <c r="A3296" s="397"/>
      <c r="B3296" s="1383" t="s">
        <v>8812</v>
      </c>
      <c r="C3296" s="1383"/>
      <c r="D3296" s="1383"/>
      <c r="E3296" s="1383"/>
      <c r="F3296" s="1383"/>
      <c r="G3296" s="407"/>
      <c r="H3296" s="407"/>
      <c r="I3296" s="429"/>
      <c r="J3296" s="414"/>
      <c r="K3296" s="408">
        <f t="shared" si="527"/>
        <v>0</v>
      </c>
      <c r="L3296" s="408">
        <f t="shared" si="527"/>
        <v>9912.2900000000009</v>
      </c>
      <c r="M3296" s="454">
        <f>L3296/L$3390</f>
        <v>1.6962573805658063E-2</v>
      </c>
      <c r="N3296" s="796"/>
      <c r="P3296" s="399"/>
    </row>
    <row r="3297" spans="1:16" s="774" customFormat="1" ht="15" customHeight="1" x14ac:dyDescent="0.25">
      <c r="A3297" s="397"/>
      <c r="B3297" s="1386" t="s">
        <v>9044</v>
      </c>
      <c r="C3297" s="1386"/>
      <c r="D3297" s="1386"/>
      <c r="E3297" s="1386"/>
      <c r="F3297" s="1386"/>
      <c r="G3297" s="403"/>
      <c r="H3297" s="403"/>
      <c r="I3297" s="427"/>
      <c r="J3297" s="412"/>
      <c r="K3297" s="404">
        <f t="shared" si="527"/>
        <v>0</v>
      </c>
      <c r="L3297" s="404">
        <f t="shared" si="527"/>
        <v>9912.2900000000009</v>
      </c>
      <c r="M3297" s="452">
        <f>L3297/L$3390</f>
        <v>1.6962573805658063E-2</v>
      </c>
      <c r="N3297" s="796"/>
      <c r="P3297" s="399"/>
    </row>
    <row r="3298" spans="1:16" s="774" customFormat="1" ht="15" customHeight="1" x14ac:dyDescent="0.25">
      <c r="A3298" s="397"/>
      <c r="B3298" s="1385" t="s">
        <v>8698</v>
      </c>
      <c r="C3298" s="1385"/>
      <c r="D3298" s="1385"/>
      <c r="E3298" s="1385"/>
      <c r="F3298" s="1385"/>
      <c r="G3298" s="401"/>
      <c r="H3298" s="401"/>
      <c r="I3298" s="426"/>
      <c r="J3298" s="411"/>
      <c r="K3298" s="402">
        <f>SUM(K3299:K3301)</f>
        <v>0</v>
      </c>
      <c r="L3298" s="402">
        <f>SUM(L3299:L3301)</f>
        <v>9912.2900000000009</v>
      </c>
      <c r="M3298" s="451">
        <f>L3298/L$3390</f>
        <v>1.6962573805658063E-2</v>
      </c>
      <c r="N3298" s="796"/>
      <c r="P3298" s="399"/>
    </row>
    <row r="3299" spans="1:16" s="115" customFormat="1" ht="15" customHeight="1" x14ac:dyDescent="0.25">
      <c r="A3299" s="396"/>
      <c r="B3299" s="881"/>
      <c r="C3299" s="881"/>
      <c r="D3299" s="881">
        <v>646000</v>
      </c>
      <c r="E3299" s="854">
        <v>344903000000000</v>
      </c>
      <c r="F3299" s="855" t="s">
        <v>9061</v>
      </c>
      <c r="G3299" s="468">
        <v>4051</v>
      </c>
      <c r="H3299" s="468">
        <v>0</v>
      </c>
      <c r="I3299" s="751"/>
      <c r="J3299" s="878"/>
      <c r="K3299" s="789">
        <f>'Parâmetros financeiros Despesa'!E1729</f>
        <v>0</v>
      </c>
      <c r="L3299" s="789">
        <f>'Parâmetros financeiros Despesa'!F1729</f>
        <v>1801</v>
      </c>
      <c r="M3299" s="799">
        <f>L3299/L$3390</f>
        <v>3.0819916915253861E-3</v>
      </c>
      <c r="N3299" s="894"/>
      <c r="P3299" s="733"/>
    </row>
    <row r="3300" spans="1:16" s="115" customFormat="1" ht="15" customHeight="1" x14ac:dyDescent="0.25">
      <c r="A3300" s="396"/>
      <c r="B3300" s="881"/>
      <c r="C3300" s="881"/>
      <c r="D3300" s="881">
        <v>646100</v>
      </c>
      <c r="E3300" s="854">
        <v>344903200000000</v>
      </c>
      <c r="F3300" s="855" t="s">
        <v>9062</v>
      </c>
      <c r="G3300" s="468">
        <v>4051</v>
      </c>
      <c r="H3300" s="468">
        <v>0</v>
      </c>
      <c r="I3300" s="751"/>
      <c r="J3300" s="878"/>
      <c r="K3300" s="789">
        <f>'Parâmetros financeiros Despesa'!E1730</f>
        <v>0</v>
      </c>
      <c r="L3300" s="789">
        <f>'Parâmetros financeiros Despesa'!F1730</f>
        <v>8110.2900000000009</v>
      </c>
      <c r="M3300" s="799">
        <f t="shared" ref="M3300:M3301" si="528">L3300/L$3390</f>
        <v>1.3878870847230109E-2</v>
      </c>
      <c r="N3300" s="894"/>
      <c r="P3300" s="733"/>
    </row>
    <row r="3301" spans="1:16" s="115" customFormat="1" ht="15" customHeight="1" x14ac:dyDescent="0.25">
      <c r="A3301" s="396"/>
      <c r="B3301" s="877"/>
      <c r="C3301" s="877"/>
      <c r="D3301" s="877" t="s">
        <v>9371</v>
      </c>
      <c r="E3301" s="854">
        <v>344903900000000</v>
      </c>
      <c r="F3301" s="855" t="s">
        <v>9063</v>
      </c>
      <c r="G3301" s="468">
        <v>4051</v>
      </c>
      <c r="H3301" s="468">
        <v>0</v>
      </c>
      <c r="I3301" s="751"/>
      <c r="J3301" s="878"/>
      <c r="K3301" s="789">
        <f>'Parâmetros financeiros Despesa'!E1731</f>
        <v>0</v>
      </c>
      <c r="L3301" s="789">
        <f>'Parâmetros financeiros Despesa'!F1731</f>
        <v>1</v>
      </c>
      <c r="M3301" s="799">
        <f t="shared" si="528"/>
        <v>1.7112669025682321E-6</v>
      </c>
      <c r="N3301" s="894"/>
      <c r="P3301" s="733"/>
    </row>
    <row r="3302" spans="1:16" s="774" customFormat="1" ht="15" customHeight="1" x14ac:dyDescent="0.25">
      <c r="A3302" s="397"/>
      <c r="B3302" s="1382" t="s">
        <v>8699</v>
      </c>
      <c r="C3302" s="1382"/>
      <c r="D3302" s="1382"/>
      <c r="E3302" s="1382"/>
      <c r="F3302" s="1382"/>
      <c r="G3302" s="405"/>
      <c r="H3302" s="405"/>
      <c r="I3302" s="428"/>
      <c r="J3302" s="413"/>
      <c r="K3302" s="406">
        <f t="shared" ref="K3302:L3304" si="529">K3303</f>
        <v>0</v>
      </c>
      <c r="L3302" s="406">
        <f t="shared" si="529"/>
        <v>115202</v>
      </c>
      <c r="M3302" s="453">
        <f>L3302/L$3390</f>
        <v>0.19714136970966548</v>
      </c>
      <c r="N3302" s="796"/>
      <c r="P3302" s="399"/>
    </row>
    <row r="3303" spans="1:16" s="774" customFormat="1" ht="15" customHeight="1" x14ac:dyDescent="0.25">
      <c r="A3303" s="397"/>
      <c r="B3303" s="1383" t="s">
        <v>8812</v>
      </c>
      <c r="C3303" s="1383"/>
      <c r="D3303" s="1383"/>
      <c r="E3303" s="1383"/>
      <c r="F3303" s="1383"/>
      <c r="G3303" s="407"/>
      <c r="H3303" s="407"/>
      <c r="I3303" s="429"/>
      <c r="J3303" s="414"/>
      <c r="K3303" s="408">
        <f t="shared" si="529"/>
        <v>0</v>
      </c>
      <c r="L3303" s="408">
        <f t="shared" si="529"/>
        <v>115202</v>
      </c>
      <c r="M3303" s="454">
        <f>L3303/L$3390</f>
        <v>0.19714136970966548</v>
      </c>
      <c r="N3303" s="796"/>
      <c r="P3303" s="399"/>
    </row>
    <row r="3304" spans="1:16" s="774" customFormat="1" ht="15" customHeight="1" x14ac:dyDescent="0.25">
      <c r="A3304" s="397"/>
      <c r="B3304" s="1386" t="s">
        <v>9393</v>
      </c>
      <c r="C3304" s="1386"/>
      <c r="D3304" s="1386"/>
      <c r="E3304" s="1386"/>
      <c r="F3304" s="1386"/>
      <c r="G3304" s="403"/>
      <c r="H3304" s="403"/>
      <c r="I3304" s="427"/>
      <c r="J3304" s="412"/>
      <c r="K3304" s="404">
        <f t="shared" si="529"/>
        <v>0</v>
      </c>
      <c r="L3304" s="404">
        <f t="shared" si="529"/>
        <v>115202</v>
      </c>
      <c r="M3304" s="452">
        <f>L3304/L$3390</f>
        <v>0.19714136970966548</v>
      </c>
      <c r="N3304" s="796"/>
      <c r="P3304" s="399"/>
    </row>
    <row r="3305" spans="1:16" s="774" customFormat="1" ht="15" customHeight="1" x14ac:dyDescent="0.25">
      <c r="A3305" s="397"/>
      <c r="B3305" s="1385" t="s">
        <v>8698</v>
      </c>
      <c r="C3305" s="1385"/>
      <c r="D3305" s="1385"/>
      <c r="E3305" s="1385"/>
      <c r="F3305" s="1385"/>
      <c r="G3305" s="401"/>
      <c r="H3305" s="401"/>
      <c r="I3305" s="426"/>
      <c r="J3305" s="411"/>
      <c r="K3305" s="402">
        <f>SUM(K3306:K3319)</f>
        <v>0</v>
      </c>
      <c r="L3305" s="402">
        <f>SUM(L3306:L3319)</f>
        <v>115202</v>
      </c>
      <c r="M3305" s="451">
        <f>L3305/L$3390</f>
        <v>0.19714136970966548</v>
      </c>
      <c r="N3305" s="796"/>
      <c r="P3305" s="399"/>
    </row>
    <row r="3306" spans="1:16" s="115" customFormat="1" ht="15" customHeight="1" x14ac:dyDescent="0.25">
      <c r="A3306" s="396"/>
      <c r="B3306" s="877"/>
      <c r="C3306" s="877"/>
      <c r="D3306" s="877" t="s">
        <v>9383</v>
      </c>
      <c r="E3306" s="854">
        <v>333904700000000</v>
      </c>
      <c r="F3306" s="855" t="s">
        <v>9101</v>
      </c>
      <c r="G3306" s="468">
        <v>1143</v>
      </c>
      <c r="H3306" s="468">
        <v>0</v>
      </c>
      <c r="I3306" s="751"/>
      <c r="J3306" s="878"/>
      <c r="K3306" s="789">
        <f>'Parâmetros financeiros Despesa'!E1733</f>
        <v>0</v>
      </c>
      <c r="L3306" s="789">
        <f>'Parâmetros financeiros Despesa'!F1733</f>
        <v>0.2</v>
      </c>
      <c r="M3306" s="799">
        <f>L3306/L$3390</f>
        <v>3.4225338051364641E-7</v>
      </c>
      <c r="N3306" s="894"/>
      <c r="P3306" s="733"/>
    </row>
    <row r="3307" spans="1:16" s="115" customFormat="1" ht="15" customHeight="1" x14ac:dyDescent="0.25">
      <c r="A3307" s="396"/>
      <c r="B3307" s="877"/>
      <c r="C3307" s="877"/>
      <c r="D3307" s="877" t="s">
        <v>9384</v>
      </c>
      <c r="E3307" s="854">
        <v>333904700000000</v>
      </c>
      <c r="F3307" s="855" t="s">
        <v>9094</v>
      </c>
      <c r="G3307" s="468">
        <v>4292</v>
      </c>
      <c r="H3307" s="468">
        <v>0</v>
      </c>
      <c r="I3307" s="751"/>
      <c r="J3307" s="878"/>
      <c r="K3307" s="789">
        <f>'Parâmetros financeiros Despesa'!E1741</f>
        <v>0</v>
      </c>
      <c r="L3307" s="789">
        <f>'Parâmetros financeiros Despesa'!F1741</f>
        <v>0.2</v>
      </c>
      <c r="M3307" s="799">
        <f t="shared" ref="M3307:M3319" si="530">L3307/L$3390</f>
        <v>3.4225338051364641E-7</v>
      </c>
      <c r="N3307" s="894"/>
      <c r="P3307" s="733"/>
    </row>
    <row r="3308" spans="1:16" s="115" customFormat="1" ht="15" customHeight="1" x14ac:dyDescent="0.25">
      <c r="A3308" s="396"/>
      <c r="B3308" s="881"/>
      <c r="C3308" s="881"/>
      <c r="D3308" s="881">
        <v>647200</v>
      </c>
      <c r="E3308" s="854">
        <v>344309300000000</v>
      </c>
      <c r="F3308" s="855" t="s">
        <v>9102</v>
      </c>
      <c r="G3308" s="468">
        <v>1143</v>
      </c>
      <c r="H3308" s="468">
        <v>0</v>
      </c>
      <c r="I3308" s="751"/>
      <c r="J3308" s="878"/>
      <c r="K3308" s="789">
        <f>'Parâmetros financeiros Despesa'!E1734</f>
        <v>0</v>
      </c>
      <c r="L3308" s="789">
        <f>'Parâmetros financeiros Despesa'!F1734</f>
        <v>1</v>
      </c>
      <c r="M3308" s="799">
        <f t="shared" si="530"/>
        <v>1.7112669025682321E-6</v>
      </c>
      <c r="N3308" s="894"/>
      <c r="P3308" s="733"/>
    </row>
    <row r="3309" spans="1:16" s="115" customFormat="1" ht="15" customHeight="1" x14ac:dyDescent="0.25">
      <c r="A3309" s="396"/>
      <c r="B3309" s="881"/>
      <c r="C3309" s="881"/>
      <c r="D3309" s="881">
        <v>647300</v>
      </c>
      <c r="E3309" s="854">
        <v>344309300000000</v>
      </c>
      <c r="F3309" s="855" t="s">
        <v>9095</v>
      </c>
      <c r="G3309" s="468">
        <v>4292</v>
      </c>
      <c r="H3309" s="468">
        <v>0</v>
      </c>
      <c r="I3309" s="751"/>
      <c r="J3309" s="878"/>
      <c r="K3309" s="789">
        <f>'Parâmetros financeiros Despesa'!E1742</f>
        <v>0</v>
      </c>
      <c r="L3309" s="789">
        <f>'Parâmetros financeiros Despesa'!F1742</f>
        <v>1</v>
      </c>
      <c r="M3309" s="799">
        <f t="shared" si="530"/>
        <v>1.7112669025682321E-6</v>
      </c>
      <c r="N3309" s="894"/>
      <c r="P3309" s="733"/>
    </row>
    <row r="3310" spans="1:16" s="115" customFormat="1" ht="15" customHeight="1" x14ac:dyDescent="0.25">
      <c r="A3310" s="396"/>
      <c r="B3310" s="881"/>
      <c r="C3310" s="881"/>
      <c r="D3310" s="881">
        <v>647400</v>
      </c>
      <c r="E3310" s="854">
        <v>344903000000000</v>
      </c>
      <c r="F3310" s="855" t="s">
        <v>9103</v>
      </c>
      <c r="G3310" s="468">
        <v>1143</v>
      </c>
      <c r="H3310" s="468">
        <v>0</v>
      </c>
      <c r="I3310" s="751"/>
      <c r="J3310" s="878"/>
      <c r="K3310" s="789">
        <f>'Parâmetros financeiros Despesa'!E1735</f>
        <v>0</v>
      </c>
      <c r="L3310" s="789">
        <f>'Parâmetros financeiros Despesa'!F1735</f>
        <v>1</v>
      </c>
      <c r="M3310" s="799">
        <f t="shared" si="530"/>
        <v>1.7112669025682321E-6</v>
      </c>
      <c r="N3310" s="894"/>
      <c r="P3310" s="733"/>
    </row>
    <row r="3311" spans="1:16" s="115" customFormat="1" ht="15" customHeight="1" x14ac:dyDescent="0.25">
      <c r="A3311" s="396"/>
      <c r="B3311" s="881"/>
      <c r="C3311" s="881"/>
      <c r="D3311" s="881">
        <v>647500</v>
      </c>
      <c r="E3311" s="854">
        <v>344903000000000</v>
      </c>
      <c r="F3311" s="855" t="s">
        <v>9096</v>
      </c>
      <c r="G3311" s="468">
        <v>4292</v>
      </c>
      <c r="H3311" s="468">
        <v>0</v>
      </c>
      <c r="I3311" s="751"/>
      <c r="J3311" s="878"/>
      <c r="K3311" s="789">
        <f>'Parâmetros financeiros Despesa'!E1743</f>
        <v>0</v>
      </c>
      <c r="L3311" s="789">
        <f>'Parâmetros financeiros Despesa'!F1743</f>
        <v>1</v>
      </c>
      <c r="M3311" s="799">
        <f t="shared" si="530"/>
        <v>1.7112669025682321E-6</v>
      </c>
      <c r="N3311" s="894"/>
      <c r="P3311" s="733"/>
    </row>
    <row r="3312" spans="1:16" s="115" customFormat="1" ht="14.25" customHeight="1" x14ac:dyDescent="0.25">
      <c r="A3312" s="396"/>
      <c r="B3312" s="877"/>
      <c r="C3312" s="877"/>
      <c r="D3312" s="877" t="s">
        <v>9385</v>
      </c>
      <c r="E3312" s="854">
        <v>344903600000000</v>
      </c>
      <c r="F3312" s="855" t="s">
        <v>9104</v>
      </c>
      <c r="G3312" s="468">
        <v>1143</v>
      </c>
      <c r="H3312" s="468">
        <v>0</v>
      </c>
      <c r="I3312" s="751"/>
      <c r="J3312" s="878"/>
      <c r="K3312" s="789">
        <f>'Parâmetros financeiros Despesa'!E1736</f>
        <v>0</v>
      </c>
      <c r="L3312" s="789">
        <f>'Parâmetros financeiros Despesa'!F1736</f>
        <v>1</v>
      </c>
      <c r="M3312" s="799">
        <f t="shared" si="530"/>
        <v>1.7112669025682321E-6</v>
      </c>
      <c r="N3312" s="894"/>
      <c r="P3312" s="733"/>
    </row>
    <row r="3313" spans="1:21" s="115" customFormat="1" ht="14.25" customHeight="1" x14ac:dyDescent="0.25">
      <c r="A3313" s="396"/>
      <c r="B3313" s="877"/>
      <c r="C3313" s="877"/>
      <c r="D3313" s="877" t="s">
        <v>9386</v>
      </c>
      <c r="E3313" s="854">
        <v>344903600000000</v>
      </c>
      <c r="F3313" s="855" t="s">
        <v>9097</v>
      </c>
      <c r="G3313" s="468">
        <v>4292</v>
      </c>
      <c r="H3313" s="468">
        <v>0</v>
      </c>
      <c r="I3313" s="751"/>
      <c r="J3313" s="878"/>
      <c r="K3313" s="789">
        <f>'Parâmetros financeiros Despesa'!E1744</f>
        <v>0</v>
      </c>
      <c r="L3313" s="789">
        <f>'Parâmetros financeiros Despesa'!F1744</f>
        <v>1</v>
      </c>
      <c r="M3313" s="799">
        <f t="shared" si="530"/>
        <v>1.7112669025682321E-6</v>
      </c>
      <c r="N3313" s="894"/>
      <c r="P3313" s="733"/>
    </row>
    <row r="3314" spans="1:21" s="115" customFormat="1" ht="15" customHeight="1" x14ac:dyDescent="0.25">
      <c r="A3314" s="396"/>
      <c r="B3314" s="877"/>
      <c r="C3314" s="877"/>
      <c r="D3314" s="877" t="s">
        <v>9387</v>
      </c>
      <c r="E3314" s="854">
        <v>344903900000000</v>
      </c>
      <c r="F3314" s="855" t="s">
        <v>9098</v>
      </c>
      <c r="G3314" s="468">
        <v>40</v>
      </c>
      <c r="H3314" s="468">
        <v>0</v>
      </c>
      <c r="I3314" s="751"/>
      <c r="J3314" s="878"/>
      <c r="K3314" s="789">
        <f>'Parâmetros financeiros Despesa'!E1745</f>
        <v>0</v>
      </c>
      <c r="L3314" s="789">
        <f>'Parâmetros financeiros Despesa'!F1745</f>
        <v>1</v>
      </c>
      <c r="M3314" s="799">
        <f t="shared" si="530"/>
        <v>1.7112669025682321E-6</v>
      </c>
      <c r="N3314" s="894"/>
      <c r="P3314" s="733"/>
    </row>
    <row r="3315" spans="1:21" s="115" customFormat="1" ht="15" customHeight="1" x14ac:dyDescent="0.25">
      <c r="A3315" s="396"/>
      <c r="B3315" s="877"/>
      <c r="C3315" s="877"/>
      <c r="D3315" s="877" t="s">
        <v>9388</v>
      </c>
      <c r="E3315" s="854">
        <v>344903900000000</v>
      </c>
      <c r="F3315" s="855" t="s">
        <v>9105</v>
      </c>
      <c r="G3315" s="468">
        <v>40</v>
      </c>
      <c r="H3315" s="468">
        <v>0</v>
      </c>
      <c r="I3315" s="751"/>
      <c r="J3315" s="878"/>
      <c r="K3315" s="789">
        <f>'Parâmetros financeiros Despesa'!E1737</f>
        <v>0</v>
      </c>
      <c r="L3315" s="789">
        <f>'Parâmetros financeiros Despesa'!F1737</f>
        <v>1</v>
      </c>
      <c r="M3315" s="799">
        <f t="shared" si="530"/>
        <v>1.7112669025682321E-6</v>
      </c>
      <c r="N3315" s="894"/>
      <c r="P3315" s="733"/>
    </row>
    <row r="3316" spans="1:21" s="115" customFormat="1" ht="15" customHeight="1" x14ac:dyDescent="0.25">
      <c r="A3316" s="396"/>
      <c r="B3316" s="877"/>
      <c r="C3316" s="877"/>
      <c r="D3316" s="877" t="s">
        <v>9389</v>
      </c>
      <c r="E3316" s="854">
        <v>344903900000000</v>
      </c>
      <c r="F3316" s="855" t="s">
        <v>9105</v>
      </c>
      <c r="G3316" s="468">
        <v>1143</v>
      </c>
      <c r="H3316" s="468">
        <v>0</v>
      </c>
      <c r="I3316" s="751"/>
      <c r="J3316" s="878"/>
      <c r="K3316" s="789">
        <f>'Parâmetros financeiros Despesa'!E1738</f>
        <v>0</v>
      </c>
      <c r="L3316" s="789">
        <f>'Parâmetros financeiros Despesa'!F1738</f>
        <v>1</v>
      </c>
      <c r="M3316" s="799">
        <f t="shared" si="530"/>
        <v>1.7112669025682321E-6</v>
      </c>
      <c r="N3316" s="894"/>
      <c r="P3316" s="733"/>
    </row>
    <row r="3317" spans="1:21" s="115" customFormat="1" ht="15" customHeight="1" x14ac:dyDescent="0.25">
      <c r="A3317" s="396"/>
      <c r="B3317" s="877"/>
      <c r="C3317" s="877"/>
      <c r="D3317" s="877" t="s">
        <v>9390</v>
      </c>
      <c r="E3317" s="854">
        <v>344903900000000</v>
      </c>
      <c r="F3317" s="855" t="s">
        <v>9099</v>
      </c>
      <c r="G3317" s="468">
        <v>4292</v>
      </c>
      <c r="H3317" s="468">
        <v>0</v>
      </c>
      <c r="I3317" s="751"/>
      <c r="J3317" s="878"/>
      <c r="K3317" s="789">
        <f>'Parâmetros financeiros Despesa'!E1745</f>
        <v>0</v>
      </c>
      <c r="L3317" s="789">
        <f>'Parâmetros financeiros Despesa'!F1745</f>
        <v>1</v>
      </c>
      <c r="M3317" s="799">
        <f t="shared" si="530"/>
        <v>1.7112669025682321E-6</v>
      </c>
      <c r="N3317" s="894"/>
      <c r="P3317" s="733"/>
    </row>
    <row r="3318" spans="1:21" s="115" customFormat="1" ht="15" customHeight="1" x14ac:dyDescent="0.25">
      <c r="A3318" s="396"/>
      <c r="B3318" s="877"/>
      <c r="C3318" s="877"/>
      <c r="D3318" s="877" t="s">
        <v>9391</v>
      </c>
      <c r="E3318" s="854">
        <v>344905200000000</v>
      </c>
      <c r="F3318" s="855" t="s">
        <v>9106</v>
      </c>
      <c r="G3318" s="468">
        <v>1143</v>
      </c>
      <c r="H3318" s="468">
        <v>0</v>
      </c>
      <c r="I3318" s="751"/>
      <c r="J3318" s="878"/>
      <c r="K3318" s="789">
        <f>'Parâmetros financeiros Despesa'!E1739</f>
        <v>0</v>
      </c>
      <c r="L3318" s="789">
        <f>'Parâmetros financeiros Despesa'!F1739</f>
        <v>95.8</v>
      </c>
      <c r="M3318" s="799">
        <f t="shared" si="530"/>
        <v>1.6393936926603663E-4</v>
      </c>
      <c r="N3318" s="894"/>
      <c r="P3318" s="733"/>
    </row>
    <row r="3319" spans="1:21" s="115" customFormat="1" ht="15" customHeight="1" x14ac:dyDescent="0.25">
      <c r="A3319" s="396"/>
      <c r="B3319" s="877"/>
      <c r="C3319" s="877"/>
      <c r="D3319" s="877" t="s">
        <v>9392</v>
      </c>
      <c r="E3319" s="854">
        <v>344905200000000</v>
      </c>
      <c r="F3319" s="855" t="s">
        <v>9100</v>
      </c>
      <c r="G3319" s="468">
        <v>4292</v>
      </c>
      <c r="H3319" s="468">
        <v>0</v>
      </c>
      <c r="I3319" s="751"/>
      <c r="J3319" s="878"/>
      <c r="K3319" s="789">
        <f>'Parâmetros financeiros Despesa'!E1747</f>
        <v>0</v>
      </c>
      <c r="L3319" s="789">
        <f>'Parâmetros financeiros Despesa'!F1747</f>
        <v>115095.8</v>
      </c>
      <c r="M3319" s="799">
        <f t="shared" si="530"/>
        <v>0.19695963316461274</v>
      </c>
      <c r="N3319" s="894"/>
      <c r="P3319" s="733"/>
    </row>
    <row r="3320" spans="1:21" s="774" customFormat="1" ht="15" customHeight="1" x14ac:dyDescent="0.25">
      <c r="A3320" s="397"/>
      <c r="B3320" s="1382" t="s">
        <v>8699</v>
      </c>
      <c r="C3320" s="1382"/>
      <c r="D3320" s="1382"/>
      <c r="E3320" s="1382"/>
      <c r="F3320" s="1382"/>
      <c r="G3320" s="405"/>
      <c r="H3320" s="405"/>
      <c r="I3320" s="428"/>
      <c r="J3320" s="413"/>
      <c r="K3320" s="406">
        <f t="shared" ref="K3320:L3322" si="531">K3321</f>
        <v>35297.265000000007</v>
      </c>
      <c r="L3320" s="406">
        <f t="shared" si="531"/>
        <v>155111.04999999999</v>
      </c>
      <c r="M3320" s="453">
        <f>L3320/L$3390</f>
        <v>0.26543640608760616</v>
      </c>
      <c r="N3320" s="796"/>
      <c r="P3320" s="399"/>
    </row>
    <row r="3321" spans="1:21" s="774" customFormat="1" ht="15" customHeight="1" x14ac:dyDescent="0.25">
      <c r="A3321" s="397"/>
      <c r="B3321" s="1383" t="s">
        <v>8812</v>
      </c>
      <c r="C3321" s="1383"/>
      <c r="D3321" s="1383"/>
      <c r="E3321" s="1383"/>
      <c r="F3321" s="1383"/>
      <c r="G3321" s="407"/>
      <c r="H3321" s="407"/>
      <c r="I3321" s="429"/>
      <c r="J3321" s="414"/>
      <c r="K3321" s="408">
        <f t="shared" si="531"/>
        <v>35297.265000000007</v>
      </c>
      <c r="L3321" s="408">
        <f t="shared" si="531"/>
        <v>155111.04999999999</v>
      </c>
      <c r="M3321" s="454">
        <f>L3321/L$3390</f>
        <v>0.26543640608760616</v>
      </c>
      <c r="N3321" s="796"/>
      <c r="P3321" s="399"/>
    </row>
    <row r="3322" spans="1:21" s="774" customFormat="1" ht="15" customHeight="1" x14ac:dyDescent="0.25">
      <c r="A3322" s="397"/>
      <c r="B3322" s="1386" t="s">
        <v>9398</v>
      </c>
      <c r="C3322" s="1386"/>
      <c r="D3322" s="1386"/>
      <c r="E3322" s="1386"/>
      <c r="F3322" s="1386"/>
      <c r="G3322" s="403"/>
      <c r="H3322" s="403"/>
      <c r="I3322" s="427"/>
      <c r="J3322" s="412"/>
      <c r="K3322" s="404">
        <f t="shared" si="531"/>
        <v>35297.265000000007</v>
      </c>
      <c r="L3322" s="404">
        <f t="shared" si="531"/>
        <v>155111.04999999999</v>
      </c>
      <c r="M3322" s="452">
        <f>L3322/L$3390</f>
        <v>0.26543640608760616</v>
      </c>
      <c r="N3322" s="796"/>
      <c r="P3322" s="399"/>
    </row>
    <row r="3323" spans="1:21" s="774" customFormat="1" ht="15" customHeight="1" x14ac:dyDescent="0.25">
      <c r="A3323" s="397"/>
      <c r="B3323" s="1385" t="s">
        <v>8698</v>
      </c>
      <c r="C3323" s="1385"/>
      <c r="D3323" s="1385"/>
      <c r="E3323" s="1385"/>
      <c r="F3323" s="1385"/>
      <c r="G3323" s="401"/>
      <c r="H3323" s="401"/>
      <c r="I3323" s="426"/>
      <c r="J3323" s="411"/>
      <c r="K3323" s="402">
        <f>SUM(K3324:K3334)</f>
        <v>35297.265000000007</v>
      </c>
      <c r="L3323" s="402">
        <f>SUM(L3324:L3334)</f>
        <v>155111.04999999999</v>
      </c>
      <c r="M3323" s="451">
        <f>L3323/L$3390</f>
        <v>0.26543640608760616</v>
      </c>
      <c r="N3323" s="796"/>
      <c r="P3323" s="399"/>
    </row>
    <row r="3324" spans="1:21" s="115" customFormat="1" ht="15" customHeight="1" x14ac:dyDescent="0.25">
      <c r="A3324" s="396"/>
      <c r="B3324" s="1398" t="s">
        <v>9401</v>
      </c>
      <c r="C3324" s="1398"/>
      <c r="D3324" s="1398"/>
      <c r="E3324" s="854">
        <v>333901400000000</v>
      </c>
      <c r="F3324" s="855" t="s">
        <v>9074</v>
      </c>
      <c r="G3324" s="468">
        <v>4011</v>
      </c>
      <c r="H3324" s="468">
        <v>0</v>
      </c>
      <c r="I3324" s="751"/>
      <c r="J3324" s="878"/>
      <c r="K3324" s="789">
        <f>'Parâmetros financeiros Despesa'!E1749</f>
        <v>0</v>
      </c>
      <c r="L3324" s="789">
        <f>'Parâmetros financeiros Despesa'!F1749</f>
        <v>5000</v>
      </c>
      <c r="M3324" s="799">
        <f>L3324/L$3390</f>
        <v>8.5563345128411607E-3</v>
      </c>
      <c r="N3324" s="894"/>
      <c r="P3324" s="733"/>
    </row>
    <row r="3325" spans="1:21" s="115" customFormat="1" ht="15" customHeight="1" x14ac:dyDescent="0.25">
      <c r="B3325" s="879"/>
      <c r="C3325" s="879"/>
      <c r="D3325" s="880">
        <v>649100</v>
      </c>
      <c r="E3325" s="854">
        <v>333903000000000</v>
      </c>
      <c r="F3325" s="855" t="s">
        <v>9075</v>
      </c>
      <c r="G3325" s="468">
        <v>4011</v>
      </c>
      <c r="H3325" s="468">
        <v>0</v>
      </c>
      <c r="I3325" s="751"/>
      <c r="J3325" s="878"/>
      <c r="K3325" s="789">
        <f>'Parâmetros financeiros Despesa'!E1750</f>
        <v>3774.3150000000001</v>
      </c>
      <c r="L3325" s="789">
        <f>'Parâmetros financeiros Despesa'!F1750</f>
        <v>10000</v>
      </c>
      <c r="M3325" s="799">
        <f t="shared" ref="M3325:M3334" si="532">L3325/L$3390</f>
        <v>1.7112669025682321E-2</v>
      </c>
      <c r="N3325" s="894"/>
      <c r="O3325" s="396"/>
      <c r="P3325" s="463"/>
      <c r="S3325" s="463"/>
      <c r="T3325" s="463"/>
      <c r="U3325" s="463"/>
    </row>
    <row r="3326" spans="1:21" s="115" customFormat="1" ht="15" customHeight="1" x14ac:dyDescent="0.25">
      <c r="B3326" s="877"/>
      <c r="C3326" s="877"/>
      <c r="D3326" s="880">
        <v>649200</v>
      </c>
      <c r="E3326" s="854">
        <v>333903200000000</v>
      </c>
      <c r="F3326" s="855" t="s">
        <v>9076</v>
      </c>
      <c r="G3326" s="468">
        <v>4011</v>
      </c>
      <c r="H3326" s="468">
        <v>0</v>
      </c>
      <c r="I3326" s="751"/>
      <c r="J3326" s="878"/>
      <c r="K3326" s="789">
        <f>'Parâmetros financeiros Despesa'!E1751</f>
        <v>12780.99</v>
      </c>
      <c r="L3326" s="789">
        <f>'Parâmetros financeiros Despesa'!F1751</f>
        <v>13000</v>
      </c>
      <c r="M3326" s="799">
        <f t="shared" si="532"/>
        <v>2.2246469733387016E-2</v>
      </c>
      <c r="N3326" s="894"/>
      <c r="O3326" s="396"/>
      <c r="P3326" s="463"/>
      <c r="S3326" s="463"/>
      <c r="T3326" s="463"/>
      <c r="U3326" s="463"/>
    </row>
    <row r="3327" spans="1:21" s="115" customFormat="1" ht="15" customHeight="1" x14ac:dyDescent="0.25">
      <c r="B3327" s="877"/>
      <c r="C3327" s="877"/>
      <c r="D3327" s="880">
        <v>649300</v>
      </c>
      <c r="E3327" s="854">
        <v>333903600000000</v>
      </c>
      <c r="F3327" s="855" t="s">
        <v>9082</v>
      </c>
      <c r="G3327" s="468">
        <v>4011</v>
      </c>
      <c r="H3327" s="468">
        <v>0</v>
      </c>
      <c r="I3327" s="751"/>
      <c r="J3327" s="878"/>
      <c r="K3327" s="789">
        <f>'Parâmetros financeiros Despesa'!E1752</f>
        <v>1948.9499999999998</v>
      </c>
      <c r="L3327" s="789">
        <f>'Parâmetros financeiros Despesa'!F1752</f>
        <v>30000</v>
      </c>
      <c r="M3327" s="799">
        <f t="shared" si="532"/>
        <v>5.1338007077046964E-2</v>
      </c>
      <c r="N3327" s="894"/>
      <c r="O3327" s="396"/>
      <c r="P3327" s="463"/>
      <c r="S3327" s="463"/>
      <c r="T3327" s="463"/>
      <c r="U3327" s="463"/>
    </row>
    <row r="3328" spans="1:21" s="115" customFormat="1" ht="15" customHeight="1" x14ac:dyDescent="0.25">
      <c r="B3328" s="877"/>
      <c r="C3328" s="877"/>
      <c r="D3328" s="880">
        <v>649400</v>
      </c>
      <c r="E3328" s="854">
        <v>333903900000000</v>
      </c>
      <c r="F3328" s="855" t="s">
        <v>9081</v>
      </c>
      <c r="G3328" s="468">
        <v>4011</v>
      </c>
      <c r="H3328" s="468">
        <v>0</v>
      </c>
      <c r="I3328" s="751"/>
      <c r="J3328" s="878"/>
      <c r="K3328" s="789">
        <f>'Parâmetros financeiros Despesa'!E1753</f>
        <v>14535</v>
      </c>
      <c r="L3328" s="789">
        <f>'Parâmetros financeiros Despesa'!F1753</f>
        <v>70111.05</v>
      </c>
      <c r="M3328" s="799">
        <f t="shared" si="532"/>
        <v>0.11997871936930644</v>
      </c>
      <c r="N3328" s="894"/>
      <c r="O3328" s="396"/>
      <c r="P3328" s="463"/>
      <c r="S3328" s="463"/>
      <c r="T3328" s="463"/>
      <c r="U3328" s="463"/>
    </row>
    <row r="3329" spans="1:21" s="115" customFormat="1" ht="15" customHeight="1" x14ac:dyDescent="0.25">
      <c r="B3329" s="877"/>
      <c r="C3329" s="877"/>
      <c r="D3329" s="880">
        <v>649500</v>
      </c>
      <c r="E3329" s="854">
        <v>33390470000000</v>
      </c>
      <c r="F3329" s="855" t="s">
        <v>9080</v>
      </c>
      <c r="G3329" s="468">
        <v>4011</v>
      </c>
      <c r="H3329" s="468">
        <v>0</v>
      </c>
      <c r="I3329" s="751"/>
      <c r="J3329" s="878"/>
      <c r="K3329" s="789">
        <f>'Parâmetros financeiros Despesa'!E1754</f>
        <v>1631.79</v>
      </c>
      <c r="L3329" s="789">
        <f>'Parâmetros financeiros Despesa'!F1754</f>
        <v>6000</v>
      </c>
      <c r="M3329" s="799">
        <f t="shared" si="532"/>
        <v>1.0267601415409392E-2</v>
      </c>
      <c r="N3329" s="894"/>
      <c r="O3329" s="396"/>
      <c r="P3329" s="463"/>
      <c r="S3329" s="463"/>
      <c r="T3329" s="463"/>
      <c r="U3329" s="463"/>
    </row>
    <row r="3330" spans="1:21" s="115" customFormat="1" ht="15" customHeight="1" x14ac:dyDescent="0.25">
      <c r="A3330" s="396"/>
      <c r="B3330" s="1398" t="s">
        <v>9402</v>
      </c>
      <c r="C3330" s="1398"/>
      <c r="D3330" s="1398"/>
      <c r="E3330" s="854">
        <v>333909300000000</v>
      </c>
      <c r="F3330" s="855" t="s">
        <v>9077</v>
      </c>
      <c r="G3330" s="468">
        <v>4011</v>
      </c>
      <c r="H3330" s="468">
        <v>0</v>
      </c>
      <c r="I3330" s="751"/>
      <c r="J3330" s="878"/>
      <c r="K3330" s="789">
        <f>'Parâmetros financeiros Despesa'!E1755</f>
        <v>0</v>
      </c>
      <c r="L3330" s="789">
        <f>'Parâmetros financeiros Despesa'!F1755</f>
        <v>1000</v>
      </c>
      <c r="M3330" s="799">
        <f t="shared" si="532"/>
        <v>1.7112669025682321E-3</v>
      </c>
      <c r="N3330" s="894"/>
      <c r="P3330" s="733"/>
    </row>
    <row r="3331" spans="1:21" s="115" customFormat="1" ht="15" customHeight="1" x14ac:dyDescent="0.25">
      <c r="A3331" s="396"/>
      <c r="B3331" s="1398" t="s">
        <v>9403</v>
      </c>
      <c r="C3331" s="1398"/>
      <c r="D3331" s="1398"/>
      <c r="E3331" s="854">
        <v>333933000000000</v>
      </c>
      <c r="F3331" s="855" t="s">
        <v>9079</v>
      </c>
      <c r="G3331" s="468">
        <v>4011</v>
      </c>
      <c r="H3331" s="468">
        <v>0</v>
      </c>
      <c r="I3331" s="751"/>
      <c r="J3331" s="878"/>
      <c r="K3331" s="789">
        <f>'Parâmetros financeiros Despesa'!E1756</f>
        <v>0</v>
      </c>
      <c r="L3331" s="789">
        <f>'Parâmetros financeiros Despesa'!F1756</f>
        <v>5000</v>
      </c>
      <c r="M3331" s="799">
        <f t="shared" si="532"/>
        <v>8.5563345128411607E-3</v>
      </c>
      <c r="N3331" s="894"/>
      <c r="P3331" s="733"/>
    </row>
    <row r="3332" spans="1:21" s="115" customFormat="1" ht="15" customHeight="1" x14ac:dyDescent="0.25">
      <c r="A3332" s="396"/>
      <c r="B3332" s="1398" t="s">
        <v>9404</v>
      </c>
      <c r="C3332" s="1398"/>
      <c r="D3332" s="1398"/>
      <c r="E3332" s="854">
        <v>333933900000000</v>
      </c>
      <c r="F3332" s="855" t="s">
        <v>9400</v>
      </c>
      <c r="G3332" s="468">
        <v>4011</v>
      </c>
      <c r="H3332" s="468">
        <v>0</v>
      </c>
      <c r="I3332" s="751"/>
      <c r="J3332" s="878"/>
      <c r="K3332" s="789">
        <f>'Parâmetros financeiros Despesa'!E1757</f>
        <v>0</v>
      </c>
      <c r="L3332" s="789">
        <f>'Parâmetros financeiros Despesa'!F1757</f>
        <v>5000</v>
      </c>
      <c r="M3332" s="799">
        <f t="shared" si="532"/>
        <v>8.5563345128411607E-3</v>
      </c>
      <c r="N3332" s="894"/>
      <c r="P3332" s="733"/>
    </row>
    <row r="3333" spans="1:21" s="115" customFormat="1" ht="15" customHeight="1" x14ac:dyDescent="0.25">
      <c r="A3333" s="396"/>
      <c r="B3333" s="1398" t="s">
        <v>9405</v>
      </c>
      <c r="C3333" s="1398"/>
      <c r="D3333" s="1398"/>
      <c r="E3333" s="854">
        <v>344905100000000</v>
      </c>
      <c r="F3333" s="855" t="s">
        <v>9078</v>
      </c>
      <c r="G3333" s="468">
        <v>4011</v>
      </c>
      <c r="H3333" s="468">
        <v>0</v>
      </c>
      <c r="I3333" s="751"/>
      <c r="J3333" s="878"/>
      <c r="K3333" s="789">
        <f>'Parâmetros financeiros Despesa'!E1758</f>
        <v>0</v>
      </c>
      <c r="L3333" s="789">
        <f>'Parâmetros financeiros Despesa'!F1758</f>
        <v>5000</v>
      </c>
      <c r="M3333" s="799">
        <f t="shared" si="532"/>
        <v>8.5563345128411607E-3</v>
      </c>
      <c r="N3333" s="894"/>
      <c r="P3333" s="733"/>
    </row>
    <row r="3334" spans="1:21" s="115" customFormat="1" ht="15" customHeight="1" x14ac:dyDescent="0.25">
      <c r="A3334" s="396"/>
      <c r="B3334" s="1398" t="s">
        <v>9406</v>
      </c>
      <c r="C3334" s="1398"/>
      <c r="D3334" s="1398"/>
      <c r="E3334" s="854">
        <v>344905200000000</v>
      </c>
      <c r="F3334" s="855" t="s">
        <v>9407</v>
      </c>
      <c r="G3334" s="468">
        <v>4011</v>
      </c>
      <c r="H3334" s="468">
        <v>0</v>
      </c>
      <c r="I3334" s="751"/>
      <c r="J3334" s="878"/>
      <c r="K3334" s="789">
        <f>'Parâmetros financeiros Despesa'!E1759</f>
        <v>626.22</v>
      </c>
      <c r="L3334" s="789">
        <f>'Parâmetros financeiros Despesa'!F1759</f>
        <v>5000</v>
      </c>
      <c r="M3334" s="799">
        <f t="shared" si="532"/>
        <v>8.5563345128411607E-3</v>
      </c>
      <c r="N3334" s="894"/>
      <c r="P3334" s="733"/>
    </row>
    <row r="3335" spans="1:21" s="774" customFormat="1" ht="15" customHeight="1" x14ac:dyDescent="0.25">
      <c r="A3335" s="397"/>
      <c r="B3335" s="1382" t="s">
        <v>8699</v>
      </c>
      <c r="C3335" s="1382"/>
      <c r="D3335" s="1382"/>
      <c r="E3335" s="1382"/>
      <c r="F3335" s="1382"/>
      <c r="G3335" s="405"/>
      <c r="H3335" s="405"/>
      <c r="I3335" s="428"/>
      <c r="J3335" s="413"/>
      <c r="K3335" s="406">
        <f t="shared" ref="K3335:L3337" si="533">K3336</f>
        <v>178933.44481250001</v>
      </c>
      <c r="L3335" s="406">
        <f t="shared" si="533"/>
        <v>158221.2573317567</v>
      </c>
      <c r="M3335" s="453">
        <f>L3335/L$3390</f>
        <v>0.27075880095456645</v>
      </c>
      <c r="N3335" s="796"/>
      <c r="P3335" s="399"/>
    </row>
    <row r="3336" spans="1:21" s="774" customFormat="1" ht="15" customHeight="1" x14ac:dyDescent="0.25">
      <c r="A3336" s="397"/>
      <c r="B3336" s="1383" t="s">
        <v>9000</v>
      </c>
      <c r="C3336" s="1383"/>
      <c r="D3336" s="1383"/>
      <c r="E3336" s="1383"/>
      <c r="F3336" s="1383"/>
      <c r="G3336" s="407"/>
      <c r="H3336" s="407"/>
      <c r="I3336" s="429"/>
      <c r="J3336" s="414"/>
      <c r="K3336" s="408">
        <f t="shared" si="533"/>
        <v>178933.44481250001</v>
      </c>
      <c r="L3336" s="408">
        <f t="shared" si="533"/>
        <v>158221.2573317567</v>
      </c>
      <c r="M3336" s="454">
        <f>L3336/L$3390</f>
        <v>0.27075880095456645</v>
      </c>
      <c r="N3336" s="796"/>
      <c r="P3336" s="399"/>
    </row>
    <row r="3337" spans="1:21" s="774" customFormat="1" ht="15" customHeight="1" x14ac:dyDescent="0.25">
      <c r="A3337" s="397"/>
      <c r="B3337" s="1385" t="s">
        <v>8698</v>
      </c>
      <c r="C3337" s="1385"/>
      <c r="D3337" s="1385"/>
      <c r="E3337" s="1385"/>
      <c r="F3337" s="1385"/>
      <c r="G3337" s="401"/>
      <c r="H3337" s="401"/>
      <c r="I3337" s="426"/>
      <c r="J3337" s="411"/>
      <c r="K3337" s="402">
        <f t="shared" si="533"/>
        <v>178933.44481250001</v>
      </c>
      <c r="L3337" s="402">
        <f t="shared" si="533"/>
        <v>158221.2573317567</v>
      </c>
      <c r="M3337" s="451">
        <f>L3337/L$3390</f>
        <v>0.27075880095456645</v>
      </c>
      <c r="N3337" s="796"/>
      <c r="P3337" s="399"/>
    </row>
    <row r="3338" spans="1:21" s="774" customFormat="1" ht="15" customHeight="1" x14ac:dyDescent="0.25">
      <c r="A3338" s="397"/>
      <c r="B3338" s="1386" t="s">
        <v>8999</v>
      </c>
      <c r="C3338" s="1386"/>
      <c r="D3338" s="1386"/>
      <c r="E3338" s="1386"/>
      <c r="F3338" s="1386"/>
      <c r="G3338" s="403"/>
      <c r="H3338" s="403"/>
      <c r="I3338" s="427"/>
      <c r="J3338" s="412"/>
      <c r="K3338" s="404">
        <f>SUM(K3339:K3354)+0.01</f>
        <v>178933.44481250001</v>
      </c>
      <c r="L3338" s="404">
        <f>SUM(L3339:L3354)+0.01</f>
        <v>158221.2573317567</v>
      </c>
      <c r="M3338" s="452">
        <f>L3338/L$3390</f>
        <v>0.27075880095456645</v>
      </c>
      <c r="N3338" s="796"/>
      <c r="P3338" s="399"/>
    </row>
    <row r="3339" spans="1:21" s="115" customFormat="1" ht="15" customHeight="1" x14ac:dyDescent="0.25">
      <c r="A3339" s="396"/>
      <c r="B3339" s="1398" t="s">
        <v>9410</v>
      </c>
      <c r="C3339" s="1398"/>
      <c r="D3339" s="1398"/>
      <c r="E3339" s="854">
        <v>331900400000000</v>
      </c>
      <c r="F3339" s="855" t="s">
        <v>9001</v>
      </c>
      <c r="G3339" s="468">
        <v>4070</v>
      </c>
      <c r="H3339" s="468">
        <v>0</v>
      </c>
      <c r="I3339" s="751"/>
      <c r="J3339" s="878"/>
      <c r="K3339" s="789">
        <f>'Parâmetros financeiros Despesa'!E1761</f>
        <v>116466.14285</v>
      </c>
      <c r="L3339" s="789">
        <f>'Parâmetros financeiros Despesa'!F1761</f>
        <v>124615.55358432273</v>
      </c>
      <c r="M3339" s="799">
        <f>L3339/L$3390</f>
        <v>0.2132504723940695</v>
      </c>
      <c r="N3339" s="894"/>
      <c r="P3339" s="733"/>
    </row>
    <row r="3340" spans="1:21" s="115" customFormat="1" ht="15" customHeight="1" x14ac:dyDescent="0.25">
      <c r="A3340" s="396"/>
      <c r="B3340" s="1398" t="s">
        <v>9411</v>
      </c>
      <c r="C3340" s="1398"/>
      <c r="D3340" s="1398"/>
      <c r="E3340" s="854">
        <v>331901100000000</v>
      </c>
      <c r="F3340" s="855" t="s">
        <v>9002</v>
      </c>
      <c r="G3340" s="468">
        <v>4070</v>
      </c>
      <c r="H3340" s="468">
        <v>0</v>
      </c>
      <c r="I3340" s="751"/>
      <c r="J3340" s="878"/>
      <c r="K3340" s="789">
        <f>'Parâmetros financeiros Despesa'!E1762</f>
        <v>26005.3803625</v>
      </c>
      <c r="L3340" s="789">
        <f>'Parâmetros financeiros Despesa'!F1762</f>
        <v>20193.109912504518</v>
      </c>
      <c r="M3340" s="799">
        <f t="shared" ref="M3340:M3354" si="534">L3340/L$3390</f>
        <v>3.4555800653191471E-2</v>
      </c>
      <c r="N3340" s="894"/>
      <c r="P3340" s="733"/>
    </row>
    <row r="3341" spans="1:21" s="115" customFormat="1" ht="15" customHeight="1" x14ac:dyDescent="0.25">
      <c r="A3341" s="396"/>
      <c r="B3341" s="1398" t="s">
        <v>9412</v>
      </c>
      <c r="C3341" s="1398"/>
      <c r="D3341" s="1398"/>
      <c r="E3341" s="854">
        <v>331901300000000</v>
      </c>
      <c r="F3341" s="855" t="s">
        <v>9003</v>
      </c>
      <c r="G3341" s="468">
        <v>4070</v>
      </c>
      <c r="H3341" s="468">
        <v>0</v>
      </c>
      <c r="I3341" s="751"/>
      <c r="J3341" s="878"/>
      <c r="K3341" s="789">
        <f>'Parâmetros financeiros Despesa'!E1763</f>
        <v>5565.5415999999996</v>
      </c>
      <c r="L3341" s="789">
        <f>'Parâmetros financeiros Despesa'!F1763</f>
        <v>5073.4308406375103</v>
      </c>
      <c r="M3341" s="799">
        <f t="shared" si="534"/>
        <v>8.6819942800518933E-3</v>
      </c>
      <c r="N3341" s="894"/>
      <c r="P3341" s="733"/>
    </row>
    <row r="3342" spans="1:21" s="115" customFormat="1" ht="15" customHeight="1" x14ac:dyDescent="0.25">
      <c r="A3342" s="396"/>
      <c r="B3342" s="1398" t="s">
        <v>9413</v>
      </c>
      <c r="C3342" s="1398"/>
      <c r="D3342" s="1398"/>
      <c r="E3342" s="854">
        <v>331901600000000</v>
      </c>
      <c r="F3342" s="855" t="s">
        <v>9004</v>
      </c>
      <c r="G3342" s="468">
        <v>4070</v>
      </c>
      <c r="H3342" s="468">
        <v>0</v>
      </c>
      <c r="I3342" s="751"/>
      <c r="J3342" s="878"/>
      <c r="K3342" s="789">
        <f>'Parâmetros financeiros Despesa'!E1764</f>
        <v>984.81</v>
      </c>
      <c r="L3342" s="789">
        <f>'Parâmetros financeiros Despesa'!F1764</f>
        <v>1115.4104224787652</v>
      </c>
      <c r="M3342" s="799">
        <f t="shared" si="534"/>
        <v>1.9087649387675596E-3</v>
      </c>
      <c r="N3342" s="894"/>
      <c r="P3342" s="733"/>
    </row>
    <row r="3343" spans="1:21" s="115" customFormat="1" ht="15" customHeight="1" x14ac:dyDescent="0.25">
      <c r="A3343" s="396"/>
      <c r="B3343" s="1398" t="s">
        <v>9414</v>
      </c>
      <c r="C3343" s="1398"/>
      <c r="D3343" s="1398"/>
      <c r="E3343" s="854">
        <v>333901400000000</v>
      </c>
      <c r="F3343" s="855" t="s">
        <v>9005</v>
      </c>
      <c r="G3343" s="468">
        <v>4070</v>
      </c>
      <c r="H3343" s="468">
        <v>0</v>
      </c>
      <c r="I3343" s="751"/>
      <c r="J3343" s="878"/>
      <c r="K3343" s="789">
        <f>'Parâmetros financeiros Despesa'!E1765</f>
        <v>72</v>
      </c>
      <c r="L3343" s="789">
        <f>'Parâmetros financeiros Despesa'!F1765</f>
        <v>300</v>
      </c>
      <c r="M3343" s="799">
        <f t="shared" si="534"/>
        <v>5.1338007077046958E-4</v>
      </c>
      <c r="N3343" s="894"/>
      <c r="P3343" s="733"/>
    </row>
    <row r="3344" spans="1:21" s="115" customFormat="1" ht="15" customHeight="1" x14ac:dyDescent="0.25">
      <c r="B3344" s="879"/>
      <c r="C3344" s="879"/>
      <c r="D3344" s="880">
        <v>651500</v>
      </c>
      <c r="E3344" s="854">
        <v>333903000000000</v>
      </c>
      <c r="F3344" s="855" t="s">
        <v>9006</v>
      </c>
      <c r="G3344" s="468">
        <v>4070</v>
      </c>
      <c r="H3344" s="468">
        <v>0</v>
      </c>
      <c r="I3344" s="751"/>
      <c r="J3344" s="878"/>
      <c r="K3344" s="789">
        <f>'Parâmetros financeiros Despesa'!E1766</f>
        <v>935.47499999999991</v>
      </c>
      <c r="L3344" s="789">
        <f>'Parâmetros financeiros Despesa'!F1766</f>
        <v>300</v>
      </c>
      <c r="M3344" s="799">
        <f t="shared" si="534"/>
        <v>5.1338007077046958E-4</v>
      </c>
      <c r="N3344" s="894"/>
      <c r="O3344" s="396"/>
      <c r="P3344" s="463"/>
      <c r="S3344" s="463"/>
      <c r="T3344" s="463"/>
      <c r="U3344" s="463"/>
    </row>
    <row r="3345" spans="1:21" s="115" customFormat="1" ht="15" customHeight="1" x14ac:dyDescent="0.25">
      <c r="B3345" s="877"/>
      <c r="C3345" s="877"/>
      <c r="D3345" s="880">
        <v>651600</v>
      </c>
      <c r="E3345" s="854">
        <v>333903200000000</v>
      </c>
      <c r="F3345" s="855" t="s">
        <v>9011</v>
      </c>
      <c r="G3345" s="468">
        <v>4070</v>
      </c>
      <c r="H3345" s="468">
        <v>0</v>
      </c>
      <c r="I3345" s="751"/>
      <c r="J3345" s="878"/>
      <c r="K3345" s="789">
        <f>'Parâmetros financeiros Despesa'!E1767</f>
        <v>43.724999999999994</v>
      </c>
      <c r="L3345" s="789">
        <f>'Parâmetros financeiros Despesa'!F1767</f>
        <v>300</v>
      </c>
      <c r="M3345" s="799">
        <f t="shared" si="534"/>
        <v>5.1338007077046958E-4</v>
      </c>
      <c r="N3345" s="894"/>
      <c r="O3345" s="396"/>
      <c r="P3345" s="463"/>
      <c r="S3345" s="463"/>
      <c r="T3345" s="463"/>
      <c r="U3345" s="463"/>
    </row>
    <row r="3346" spans="1:21" s="115" customFormat="1" ht="15" customHeight="1" x14ac:dyDescent="0.25">
      <c r="B3346" s="877"/>
      <c r="C3346" s="877"/>
      <c r="D3346" s="880">
        <v>651700</v>
      </c>
      <c r="E3346" s="854">
        <v>333903300000000</v>
      </c>
      <c r="F3346" s="855" t="s">
        <v>9409</v>
      </c>
      <c r="G3346" s="468">
        <v>4070</v>
      </c>
      <c r="H3346" s="468">
        <v>0</v>
      </c>
      <c r="I3346" s="751"/>
      <c r="J3346" s="878"/>
      <c r="K3346" s="789">
        <f>'Parâmetros financeiros Despesa'!E1768</f>
        <v>0</v>
      </c>
      <c r="L3346" s="789">
        <f>'Parâmetros financeiros Despesa'!F1768</f>
        <v>100</v>
      </c>
      <c r="M3346" s="799">
        <f t="shared" si="534"/>
        <v>1.711266902568232E-4</v>
      </c>
      <c r="N3346" s="894"/>
      <c r="O3346" s="396"/>
      <c r="P3346" s="463"/>
      <c r="S3346" s="463"/>
      <c r="T3346" s="463"/>
      <c r="U3346" s="463"/>
    </row>
    <row r="3347" spans="1:21" s="115" customFormat="1" ht="15" customHeight="1" x14ac:dyDescent="0.25">
      <c r="B3347" s="877"/>
      <c r="C3347" s="877"/>
      <c r="D3347" s="880">
        <v>651800</v>
      </c>
      <c r="E3347" s="854">
        <v>333903600000000</v>
      </c>
      <c r="F3347" s="855" t="s">
        <v>9087</v>
      </c>
      <c r="G3347" s="468">
        <v>4070</v>
      </c>
      <c r="H3347" s="468">
        <v>0</v>
      </c>
      <c r="I3347" s="751"/>
      <c r="J3347" s="878"/>
      <c r="K3347" s="789">
        <f>'Parâmetros financeiros Despesa'!E1769</f>
        <v>21735</v>
      </c>
      <c r="L3347" s="789">
        <f>'Parâmetros financeiros Despesa'!F1769</f>
        <v>500</v>
      </c>
      <c r="M3347" s="799">
        <f t="shared" si="534"/>
        <v>8.5563345128411605E-4</v>
      </c>
      <c r="N3347" s="894"/>
      <c r="O3347" s="396"/>
      <c r="P3347" s="463"/>
      <c r="S3347" s="463"/>
      <c r="T3347" s="463"/>
      <c r="U3347" s="463"/>
    </row>
    <row r="3348" spans="1:21" s="115" customFormat="1" ht="15" customHeight="1" x14ac:dyDescent="0.25">
      <c r="B3348" s="877"/>
      <c r="C3348" s="877"/>
      <c r="D3348" s="880">
        <v>651900</v>
      </c>
      <c r="E3348" s="854">
        <v>333903900000000</v>
      </c>
      <c r="F3348" s="855" t="s">
        <v>9088</v>
      </c>
      <c r="G3348" s="468">
        <v>4070</v>
      </c>
      <c r="H3348" s="468">
        <v>0</v>
      </c>
      <c r="I3348" s="751"/>
      <c r="J3348" s="878"/>
      <c r="K3348" s="789">
        <f>'Parâmetros financeiros Despesa'!E1770</f>
        <v>0</v>
      </c>
      <c r="L3348" s="789">
        <f>'Parâmetros financeiros Despesa'!F1770</f>
        <v>1794.89</v>
      </c>
      <c r="M3348" s="799">
        <f t="shared" si="534"/>
        <v>3.0715358507506941E-3</v>
      </c>
      <c r="N3348" s="894"/>
      <c r="O3348" s="396"/>
      <c r="P3348" s="463"/>
      <c r="S3348" s="463"/>
      <c r="T3348" s="463"/>
      <c r="U3348" s="463"/>
    </row>
    <row r="3349" spans="1:21" s="115" customFormat="1" ht="15" customHeight="1" x14ac:dyDescent="0.25">
      <c r="B3349" s="877"/>
      <c r="C3349" s="877"/>
      <c r="D3349" s="880">
        <v>652000</v>
      </c>
      <c r="E3349" s="854">
        <v>333904700000000</v>
      </c>
      <c r="F3349" s="855" t="s">
        <v>9089</v>
      </c>
      <c r="G3349" s="468">
        <v>4070</v>
      </c>
      <c r="H3349" s="468">
        <v>0</v>
      </c>
      <c r="I3349" s="751"/>
      <c r="J3349" s="878"/>
      <c r="K3349" s="789">
        <f>'Parâmetros financeiros Despesa'!E1771</f>
        <v>4347</v>
      </c>
      <c r="L3349" s="789">
        <f>'Parâmetros financeiros Despesa'!F1771</f>
        <v>100</v>
      </c>
      <c r="M3349" s="799">
        <f t="shared" si="534"/>
        <v>1.711266902568232E-4</v>
      </c>
      <c r="N3349" s="894"/>
      <c r="O3349" s="396"/>
      <c r="P3349" s="463"/>
      <c r="S3349" s="463"/>
      <c r="T3349" s="463"/>
      <c r="U3349" s="463"/>
    </row>
    <row r="3350" spans="1:21" s="115" customFormat="1" ht="15" customHeight="1" x14ac:dyDescent="0.25">
      <c r="A3350" s="396"/>
      <c r="B3350" s="1398" t="s">
        <v>9415</v>
      </c>
      <c r="C3350" s="1398"/>
      <c r="D3350" s="1398"/>
      <c r="E3350" s="854">
        <v>333904900000000</v>
      </c>
      <c r="F3350" s="855" t="s">
        <v>9010</v>
      </c>
      <c r="G3350" s="468">
        <v>4070</v>
      </c>
      <c r="H3350" s="468">
        <v>0</v>
      </c>
      <c r="I3350" s="751"/>
      <c r="J3350" s="878"/>
      <c r="K3350" s="789">
        <f>'Parâmetros financeiros Despesa'!E1772</f>
        <v>2778.36</v>
      </c>
      <c r="L3350" s="789">
        <f>'Parâmetros financeiros Despesa'!F1772</f>
        <v>2628.8525718131614</v>
      </c>
      <c r="M3350" s="799">
        <f t="shared" si="534"/>
        <v>4.4986683978752396E-3</v>
      </c>
      <c r="N3350" s="894"/>
      <c r="P3350" s="733"/>
    </row>
    <row r="3351" spans="1:21" s="115" customFormat="1" ht="15" customHeight="1" x14ac:dyDescent="0.25">
      <c r="A3351" s="396"/>
      <c r="B3351" s="1398" t="s">
        <v>9416</v>
      </c>
      <c r="C3351" s="1398"/>
      <c r="D3351" s="1398"/>
      <c r="E3351" s="854">
        <v>333909300000000</v>
      </c>
      <c r="F3351" s="855" t="s">
        <v>9007</v>
      </c>
      <c r="G3351" s="468">
        <v>4070</v>
      </c>
      <c r="H3351" s="468">
        <v>0</v>
      </c>
      <c r="I3351" s="751"/>
      <c r="J3351" s="878"/>
      <c r="K3351" s="789">
        <f>'Parâmetros financeiros Despesa'!E1773</f>
        <v>0</v>
      </c>
      <c r="L3351" s="789">
        <f>'Parâmetros financeiros Despesa'!F1773</f>
        <v>300</v>
      </c>
      <c r="M3351" s="799">
        <f t="shared" si="534"/>
        <v>5.1338007077046958E-4</v>
      </c>
      <c r="N3351" s="894"/>
      <c r="P3351" s="733"/>
    </row>
    <row r="3352" spans="1:21" s="115" customFormat="1" ht="15" customHeight="1" x14ac:dyDescent="0.25">
      <c r="A3352" s="396"/>
      <c r="B3352" s="1398" t="s">
        <v>9417</v>
      </c>
      <c r="C3352" s="1398"/>
      <c r="D3352" s="1398"/>
      <c r="E3352" s="854">
        <v>333933000000000</v>
      </c>
      <c r="F3352" s="855" t="s">
        <v>9008</v>
      </c>
      <c r="G3352" s="468">
        <v>4070</v>
      </c>
      <c r="H3352" s="468">
        <v>0</v>
      </c>
      <c r="I3352" s="751"/>
      <c r="J3352" s="878"/>
      <c r="K3352" s="789">
        <f>'Parâmetros financeiros Despesa'!E1774</f>
        <v>0</v>
      </c>
      <c r="L3352" s="789">
        <f>'Parâmetros financeiros Despesa'!F1774</f>
        <v>300</v>
      </c>
      <c r="M3352" s="799">
        <f t="shared" si="534"/>
        <v>5.1338007077046958E-4</v>
      </c>
      <c r="N3352" s="894"/>
      <c r="P3352" s="733"/>
    </row>
    <row r="3353" spans="1:21" s="115" customFormat="1" ht="15" customHeight="1" x14ac:dyDescent="0.25">
      <c r="A3353" s="396"/>
      <c r="B3353" s="1398" t="s">
        <v>9418</v>
      </c>
      <c r="C3353" s="1398"/>
      <c r="D3353" s="1398"/>
      <c r="E3353" s="854">
        <v>333933900000000</v>
      </c>
      <c r="F3353" s="855" t="s">
        <v>9420</v>
      </c>
      <c r="G3353" s="468">
        <v>4070</v>
      </c>
      <c r="H3353" s="468">
        <v>0</v>
      </c>
      <c r="I3353" s="751"/>
      <c r="J3353" s="878"/>
      <c r="K3353" s="789">
        <f>'Parâmetros financeiros Despesa'!E1775</f>
        <v>0</v>
      </c>
      <c r="L3353" s="789">
        <f>'Parâmetros financeiros Despesa'!F1775</f>
        <v>300</v>
      </c>
      <c r="M3353" s="799">
        <f t="shared" si="534"/>
        <v>5.1338007077046958E-4</v>
      </c>
      <c r="N3353" s="894"/>
      <c r="P3353" s="733"/>
    </row>
    <row r="3354" spans="1:21" s="115" customFormat="1" ht="15" customHeight="1" x14ac:dyDescent="0.25">
      <c r="A3354" s="396"/>
      <c r="B3354" s="1398" t="s">
        <v>9419</v>
      </c>
      <c r="C3354" s="1398"/>
      <c r="D3354" s="1398"/>
      <c r="E3354" s="854">
        <v>344905200000000</v>
      </c>
      <c r="F3354" s="855" t="s">
        <v>9009</v>
      </c>
      <c r="G3354" s="468">
        <v>4070</v>
      </c>
      <c r="H3354" s="468">
        <v>0</v>
      </c>
      <c r="I3354" s="751"/>
      <c r="J3354" s="878"/>
      <c r="K3354" s="789">
        <f>'Parâmetros financeiros Despesa'!E1776</f>
        <v>0</v>
      </c>
      <c r="L3354" s="789">
        <f>'Parâmetros financeiros Despesa'!F1776</f>
        <v>300</v>
      </c>
      <c r="M3354" s="799">
        <f t="shared" si="534"/>
        <v>5.1338007077046958E-4</v>
      </c>
      <c r="N3354" s="894"/>
      <c r="P3354" s="733"/>
    </row>
    <row r="3355" spans="1:21" s="774" customFormat="1" ht="15" customHeight="1" x14ac:dyDescent="0.25">
      <c r="A3355" s="397"/>
      <c r="B3355" s="1382" t="s">
        <v>8699</v>
      </c>
      <c r="C3355" s="1382"/>
      <c r="D3355" s="1382"/>
      <c r="E3355" s="1382"/>
      <c r="F3355" s="1382"/>
      <c r="G3355" s="405"/>
      <c r="H3355" s="405"/>
      <c r="I3355" s="428"/>
      <c r="J3355" s="413"/>
      <c r="K3355" s="406">
        <f t="shared" ref="K3355:L3357" si="535">K3356</f>
        <v>6984.4650000000001</v>
      </c>
      <c r="L3355" s="406">
        <f t="shared" si="535"/>
        <v>3508.54</v>
      </c>
      <c r="M3355" s="453">
        <f>L3355/L$3390</f>
        <v>6.0040483783367444E-3</v>
      </c>
      <c r="N3355" s="796"/>
      <c r="P3355" s="399"/>
    </row>
    <row r="3356" spans="1:21" s="774" customFormat="1" ht="15" customHeight="1" x14ac:dyDescent="0.25">
      <c r="A3356" s="397"/>
      <c r="B3356" s="1383" t="s">
        <v>8988</v>
      </c>
      <c r="C3356" s="1383"/>
      <c r="D3356" s="1383"/>
      <c r="E3356" s="1383"/>
      <c r="F3356" s="1383"/>
      <c r="G3356" s="407"/>
      <c r="H3356" s="407"/>
      <c r="I3356" s="429"/>
      <c r="J3356" s="414"/>
      <c r="K3356" s="408">
        <f t="shared" si="535"/>
        <v>6984.4650000000001</v>
      </c>
      <c r="L3356" s="408">
        <f t="shared" si="535"/>
        <v>3508.54</v>
      </c>
      <c r="M3356" s="454">
        <f>L3356/L$3390</f>
        <v>6.0040483783367444E-3</v>
      </c>
      <c r="N3356" s="796"/>
      <c r="P3356" s="399"/>
    </row>
    <row r="3357" spans="1:21" s="774" customFormat="1" ht="15" customHeight="1" x14ac:dyDescent="0.25">
      <c r="A3357" s="397"/>
      <c r="B3357" s="1385" t="s">
        <v>8698</v>
      </c>
      <c r="C3357" s="1385"/>
      <c r="D3357" s="1385"/>
      <c r="E3357" s="1385"/>
      <c r="F3357" s="1385"/>
      <c r="G3357" s="401"/>
      <c r="H3357" s="401"/>
      <c r="I3357" s="426"/>
      <c r="J3357" s="411"/>
      <c r="K3357" s="402">
        <f t="shared" si="535"/>
        <v>6984.4650000000001</v>
      </c>
      <c r="L3357" s="402">
        <f t="shared" si="535"/>
        <v>3508.54</v>
      </c>
      <c r="M3357" s="451">
        <f>L3357/L$3390</f>
        <v>6.0040483783367444E-3</v>
      </c>
      <c r="N3357" s="796"/>
      <c r="P3357" s="399"/>
    </row>
    <row r="3358" spans="1:21" s="774" customFormat="1" ht="15" customHeight="1" x14ac:dyDescent="0.25">
      <c r="A3358" s="397"/>
      <c r="B3358" s="1386" t="s">
        <v>8962</v>
      </c>
      <c r="C3358" s="1386"/>
      <c r="D3358" s="1386"/>
      <c r="E3358" s="1386"/>
      <c r="F3358" s="1386"/>
      <c r="G3358" s="403"/>
      <c r="H3358" s="403"/>
      <c r="I3358" s="427"/>
      <c r="J3358" s="412"/>
      <c r="K3358" s="404">
        <f>SUM(K3359:K3374)</f>
        <v>6984.4650000000001</v>
      </c>
      <c r="L3358" s="404">
        <f>SUM(L3359:L3374)</f>
        <v>3508.54</v>
      </c>
      <c r="M3358" s="452">
        <f>L3358/L$3390</f>
        <v>6.0040483783367444E-3</v>
      </c>
      <c r="N3358" s="796"/>
      <c r="P3358" s="399"/>
    </row>
    <row r="3359" spans="1:21" s="115" customFormat="1" ht="15" customHeight="1" x14ac:dyDescent="0.25">
      <c r="A3359" s="396"/>
      <c r="B3359" s="1398" t="s">
        <v>9423</v>
      </c>
      <c r="C3359" s="1398"/>
      <c r="D3359" s="1398"/>
      <c r="E3359" s="854">
        <v>331900400000000</v>
      </c>
      <c r="F3359" s="855" t="s">
        <v>8976</v>
      </c>
      <c r="G3359" s="468">
        <v>4190</v>
      </c>
      <c r="H3359" s="468">
        <v>0</v>
      </c>
      <c r="I3359" s="751"/>
      <c r="J3359" s="878"/>
      <c r="K3359" s="789">
        <f>'Parâmetros financeiros Despesa'!E1778</f>
        <v>0</v>
      </c>
      <c r="L3359" s="789">
        <f>'Parâmetros financeiros Despesa'!F1778</f>
        <v>1</v>
      </c>
      <c r="M3359" s="799">
        <f>L3359/L$3390</f>
        <v>1.7112669025682321E-6</v>
      </c>
      <c r="N3359" s="894"/>
      <c r="P3359" s="733"/>
    </row>
    <row r="3360" spans="1:21" s="115" customFormat="1" ht="15" customHeight="1" x14ac:dyDescent="0.25">
      <c r="A3360" s="396"/>
      <c r="B3360" s="1398" t="s">
        <v>9424</v>
      </c>
      <c r="C3360" s="1398"/>
      <c r="D3360" s="1398"/>
      <c r="E3360" s="854">
        <v>331901100000000</v>
      </c>
      <c r="F3360" s="855" t="s">
        <v>8978</v>
      </c>
      <c r="G3360" s="468">
        <v>4190</v>
      </c>
      <c r="H3360" s="468">
        <v>0</v>
      </c>
      <c r="I3360" s="751"/>
      <c r="J3360" s="878"/>
      <c r="K3360" s="789">
        <f>'Parâmetros financeiros Despesa'!E1779</f>
        <v>0</v>
      </c>
      <c r="L3360" s="789">
        <f>'Parâmetros financeiros Despesa'!F1779</f>
        <v>1</v>
      </c>
      <c r="M3360" s="799">
        <f t="shared" ref="M3360:M3372" si="536">L3360/L$3390</f>
        <v>1.7112669025682321E-6</v>
      </c>
      <c r="N3360" s="894"/>
      <c r="P3360" s="733"/>
    </row>
    <row r="3361" spans="1:21" s="115" customFormat="1" ht="15" customHeight="1" x14ac:dyDescent="0.25">
      <c r="A3361" s="396"/>
      <c r="B3361" s="1398" t="s">
        <v>9425</v>
      </c>
      <c r="C3361" s="1398"/>
      <c r="D3361" s="1398"/>
      <c r="E3361" s="854">
        <v>331901300000000</v>
      </c>
      <c r="F3361" s="855" t="s">
        <v>8977</v>
      </c>
      <c r="G3361" s="468">
        <v>4190</v>
      </c>
      <c r="H3361" s="468">
        <v>0</v>
      </c>
      <c r="I3361" s="751"/>
      <c r="J3361" s="878"/>
      <c r="K3361" s="789">
        <f>'Parâmetros financeiros Despesa'!E1780</f>
        <v>0</v>
      </c>
      <c r="L3361" s="789">
        <f>'Parâmetros financeiros Despesa'!F1780</f>
        <v>1</v>
      </c>
      <c r="M3361" s="799">
        <f t="shared" si="536"/>
        <v>1.7112669025682321E-6</v>
      </c>
      <c r="N3361" s="894"/>
      <c r="P3361" s="733"/>
    </row>
    <row r="3362" spans="1:21" s="115" customFormat="1" ht="15" customHeight="1" x14ac:dyDescent="0.25">
      <c r="A3362" s="396"/>
      <c r="B3362" s="1398" t="s">
        <v>9426</v>
      </c>
      <c r="C3362" s="1398"/>
      <c r="D3362" s="1398"/>
      <c r="E3362" s="854">
        <v>331901600000000</v>
      </c>
      <c r="F3362" s="855" t="s">
        <v>8979</v>
      </c>
      <c r="G3362" s="468">
        <v>4190</v>
      </c>
      <c r="H3362" s="468">
        <v>0</v>
      </c>
      <c r="I3362" s="751"/>
      <c r="J3362" s="878"/>
      <c r="K3362" s="789">
        <f>'Parâmetros financeiros Despesa'!E1781</f>
        <v>0</v>
      </c>
      <c r="L3362" s="789">
        <f>'Parâmetros financeiros Despesa'!F1781</f>
        <v>1</v>
      </c>
      <c r="M3362" s="799">
        <f t="shared" si="536"/>
        <v>1.7112669025682321E-6</v>
      </c>
      <c r="N3362" s="894"/>
      <c r="P3362" s="733"/>
    </row>
    <row r="3363" spans="1:21" s="115" customFormat="1" ht="15" customHeight="1" x14ac:dyDescent="0.25">
      <c r="A3363" s="396"/>
      <c r="B3363" s="1398" t="s">
        <v>9427</v>
      </c>
      <c r="C3363" s="1398"/>
      <c r="D3363" s="1398"/>
      <c r="E3363" s="854">
        <v>333901400000000</v>
      </c>
      <c r="F3363" s="855" t="s">
        <v>8994</v>
      </c>
      <c r="G3363" s="468">
        <v>4190</v>
      </c>
      <c r="H3363" s="468">
        <v>0</v>
      </c>
      <c r="I3363" s="751"/>
      <c r="J3363" s="878"/>
      <c r="K3363" s="789">
        <f>'Parâmetros financeiros Despesa'!E1782</f>
        <v>0</v>
      </c>
      <c r="L3363" s="789">
        <f>'Parâmetros financeiros Despesa'!F1782</f>
        <v>1000</v>
      </c>
      <c r="M3363" s="799">
        <f t="shared" si="536"/>
        <v>1.7112669025682321E-3</v>
      </c>
      <c r="N3363" s="894"/>
      <c r="P3363" s="733"/>
    </row>
    <row r="3364" spans="1:21" s="115" customFormat="1" ht="15" customHeight="1" x14ac:dyDescent="0.25">
      <c r="B3364" s="879"/>
      <c r="C3364" s="879"/>
      <c r="D3364" s="880">
        <v>653500</v>
      </c>
      <c r="E3364" s="854">
        <v>333903000000000</v>
      </c>
      <c r="F3364" s="855" t="s">
        <v>8995</v>
      </c>
      <c r="G3364" s="468">
        <v>4190</v>
      </c>
      <c r="H3364" s="468">
        <v>0</v>
      </c>
      <c r="I3364" s="751"/>
      <c r="J3364" s="878"/>
      <c r="K3364" s="789">
        <f>'Parâmetros financeiros Despesa'!E1783</f>
        <v>2579.04</v>
      </c>
      <c r="L3364" s="789">
        <f>'Parâmetros financeiros Despesa'!F1783</f>
        <v>1495.34</v>
      </c>
      <c r="M3364" s="799">
        <f t="shared" si="536"/>
        <v>2.5589258500863798E-3</v>
      </c>
      <c r="N3364" s="894"/>
      <c r="O3364" s="396"/>
      <c r="P3364" s="463"/>
      <c r="S3364" s="463"/>
      <c r="T3364" s="463"/>
      <c r="U3364" s="463"/>
    </row>
    <row r="3365" spans="1:21" s="115" customFormat="1" ht="15" customHeight="1" x14ac:dyDescent="0.25">
      <c r="B3365" s="877"/>
      <c r="C3365" s="877"/>
      <c r="D3365" s="880">
        <v>653600</v>
      </c>
      <c r="E3365" s="854">
        <v>333903200000000</v>
      </c>
      <c r="F3365" s="855" t="s">
        <v>8982</v>
      </c>
      <c r="G3365" s="468">
        <v>4190</v>
      </c>
      <c r="H3365" s="468">
        <v>0</v>
      </c>
      <c r="I3365" s="751"/>
      <c r="J3365" s="878"/>
      <c r="K3365" s="789">
        <f>'Parâmetros financeiros Despesa'!E1784</f>
        <v>0</v>
      </c>
      <c r="L3365" s="789">
        <f>'Parâmetros financeiros Despesa'!F1784</f>
        <v>1</v>
      </c>
      <c r="M3365" s="799">
        <f t="shared" si="536"/>
        <v>1.7112669025682321E-6</v>
      </c>
      <c r="N3365" s="894"/>
      <c r="O3365" s="396"/>
      <c r="P3365" s="463"/>
      <c r="S3365" s="463"/>
      <c r="T3365" s="463"/>
      <c r="U3365" s="463"/>
    </row>
    <row r="3366" spans="1:21" s="115" customFormat="1" ht="15" customHeight="1" x14ac:dyDescent="0.25">
      <c r="B3366" s="877"/>
      <c r="C3366" s="877"/>
      <c r="D3366" s="880">
        <v>653700</v>
      </c>
      <c r="E3366" s="854">
        <v>333903300000000</v>
      </c>
      <c r="F3366" s="855" t="s">
        <v>9421</v>
      </c>
      <c r="G3366" s="468">
        <v>4190</v>
      </c>
      <c r="H3366" s="468">
        <v>0</v>
      </c>
      <c r="I3366" s="751"/>
      <c r="J3366" s="878"/>
      <c r="K3366" s="789">
        <f>'Parâmetros financeiros Despesa'!E1785</f>
        <v>0</v>
      </c>
      <c r="L3366" s="789">
        <f>'Parâmetros financeiros Despesa'!F1785</f>
        <v>1</v>
      </c>
      <c r="M3366" s="799">
        <f t="shared" si="536"/>
        <v>1.7112669025682321E-6</v>
      </c>
      <c r="N3366" s="894"/>
      <c r="O3366" s="396"/>
      <c r="P3366" s="463"/>
      <c r="S3366" s="463"/>
      <c r="T3366" s="463"/>
      <c r="U3366" s="463"/>
    </row>
    <row r="3367" spans="1:21" s="115" customFormat="1" ht="15" customHeight="1" x14ac:dyDescent="0.25">
      <c r="B3367" s="877"/>
      <c r="C3367" s="877"/>
      <c r="D3367" s="880">
        <v>653800</v>
      </c>
      <c r="E3367" s="854">
        <v>333903600000000</v>
      </c>
      <c r="F3367" s="855" t="s">
        <v>9090</v>
      </c>
      <c r="G3367" s="468">
        <v>4190</v>
      </c>
      <c r="H3367" s="468">
        <v>0</v>
      </c>
      <c r="I3367" s="751"/>
      <c r="J3367" s="878"/>
      <c r="K3367" s="789">
        <f>'Parâmetros financeiros Despesa'!E1786</f>
        <v>0</v>
      </c>
      <c r="L3367" s="789">
        <f>'Parâmetros financeiros Despesa'!F1786</f>
        <v>1</v>
      </c>
      <c r="M3367" s="799">
        <f t="shared" si="536"/>
        <v>1.7112669025682321E-6</v>
      </c>
      <c r="N3367" s="894"/>
      <c r="O3367" s="396"/>
      <c r="P3367" s="463"/>
      <c r="S3367" s="463"/>
      <c r="T3367" s="463"/>
      <c r="U3367" s="463"/>
    </row>
    <row r="3368" spans="1:21" s="115" customFormat="1" ht="15" customHeight="1" x14ac:dyDescent="0.25">
      <c r="B3368" s="877"/>
      <c r="C3368" s="877"/>
      <c r="D3368" s="880">
        <v>653900</v>
      </c>
      <c r="E3368" s="854">
        <v>333903900000000</v>
      </c>
      <c r="F3368" s="855" t="s">
        <v>9091</v>
      </c>
      <c r="G3368" s="468">
        <v>4190</v>
      </c>
      <c r="H3368" s="468">
        <v>0</v>
      </c>
      <c r="I3368" s="751"/>
      <c r="J3368" s="878"/>
      <c r="K3368" s="789">
        <f>'Parâmetros financeiros Despesa'!E1787</f>
        <v>1631.9250000000002</v>
      </c>
      <c r="L3368" s="789">
        <f>'Parâmetros financeiros Despesa'!F1787</f>
        <v>1001</v>
      </c>
      <c r="M3368" s="799">
        <f t="shared" si="536"/>
        <v>1.7129781694708002E-3</v>
      </c>
      <c r="N3368" s="894"/>
      <c r="O3368" s="396"/>
      <c r="P3368" s="463"/>
      <c r="S3368" s="463"/>
      <c r="T3368" s="463"/>
      <c r="U3368" s="463"/>
    </row>
    <row r="3369" spans="1:21" s="115" customFormat="1" ht="15" customHeight="1" x14ac:dyDescent="0.25">
      <c r="B3369" s="877"/>
      <c r="C3369" s="877"/>
      <c r="D3369" s="880">
        <v>654000</v>
      </c>
      <c r="E3369" s="854">
        <v>333904700000000</v>
      </c>
      <c r="F3369" s="855" t="s">
        <v>9092</v>
      </c>
      <c r="G3369" s="468">
        <v>4190</v>
      </c>
      <c r="H3369" s="468">
        <v>0</v>
      </c>
      <c r="I3369" s="751"/>
      <c r="J3369" s="878"/>
      <c r="K3369" s="789">
        <f>'Parâmetros financeiros Despesa'!E1788</f>
        <v>0</v>
      </c>
      <c r="L3369" s="789">
        <f>'Parâmetros financeiros Despesa'!F1788</f>
        <v>0.2</v>
      </c>
      <c r="M3369" s="799">
        <f t="shared" si="536"/>
        <v>3.4225338051364641E-7</v>
      </c>
      <c r="N3369" s="894"/>
      <c r="O3369" s="396"/>
      <c r="P3369" s="463"/>
      <c r="S3369" s="463"/>
      <c r="T3369" s="463"/>
      <c r="U3369" s="463"/>
    </row>
    <row r="3370" spans="1:21" s="115" customFormat="1" ht="15" customHeight="1" x14ac:dyDescent="0.25">
      <c r="A3370" s="396"/>
      <c r="B3370" s="1398" t="s">
        <v>9428</v>
      </c>
      <c r="C3370" s="1398"/>
      <c r="D3370" s="1398"/>
      <c r="E3370" s="854">
        <v>333904900000000</v>
      </c>
      <c r="F3370" s="855" t="s">
        <v>8983</v>
      </c>
      <c r="G3370" s="468">
        <v>4190</v>
      </c>
      <c r="H3370" s="468">
        <v>0</v>
      </c>
      <c r="I3370" s="751"/>
      <c r="J3370" s="878"/>
      <c r="K3370" s="789">
        <f>'Parâmetros financeiros Despesa'!E1789</f>
        <v>0</v>
      </c>
      <c r="L3370" s="789">
        <f>'Parâmetros financeiros Despesa'!F1789</f>
        <v>1</v>
      </c>
      <c r="M3370" s="799">
        <f t="shared" si="536"/>
        <v>1.7112669025682321E-6</v>
      </c>
      <c r="N3370" s="894"/>
      <c r="P3370" s="733"/>
    </row>
    <row r="3371" spans="1:21" s="115" customFormat="1" ht="15" customHeight="1" x14ac:dyDescent="0.25">
      <c r="A3371" s="396"/>
      <c r="B3371" s="1398" t="s">
        <v>9429</v>
      </c>
      <c r="C3371" s="1398"/>
      <c r="D3371" s="1398"/>
      <c r="E3371" s="854">
        <v>333909300000000</v>
      </c>
      <c r="F3371" s="855" t="s">
        <v>9093</v>
      </c>
      <c r="G3371" s="468">
        <v>4190</v>
      </c>
      <c r="H3371" s="468">
        <v>0</v>
      </c>
      <c r="I3371" s="751"/>
      <c r="J3371" s="878"/>
      <c r="K3371" s="789">
        <f>'Parâmetros financeiros Despesa'!E1790</f>
        <v>0</v>
      </c>
      <c r="L3371" s="789">
        <f>'Parâmetros financeiros Despesa'!F1790</f>
        <v>1</v>
      </c>
      <c r="M3371" s="799">
        <f t="shared" si="536"/>
        <v>1.7112669025682321E-6</v>
      </c>
      <c r="N3371" s="894"/>
      <c r="P3371" s="733"/>
    </row>
    <row r="3372" spans="1:21" s="115" customFormat="1" ht="15" customHeight="1" x14ac:dyDescent="0.25">
      <c r="A3372" s="396"/>
      <c r="B3372" s="1398" t="s">
        <v>9430</v>
      </c>
      <c r="C3372" s="1398"/>
      <c r="D3372" s="1398"/>
      <c r="E3372" s="854">
        <v>333933000000000</v>
      </c>
      <c r="F3372" s="855" t="s">
        <v>8986</v>
      </c>
      <c r="G3372" s="468">
        <v>4190</v>
      </c>
      <c r="H3372" s="468">
        <v>0</v>
      </c>
      <c r="I3372" s="751"/>
      <c r="J3372" s="878"/>
      <c r="K3372" s="789">
        <f>'Parâmetros financeiros Despesa'!E1791</f>
        <v>0</v>
      </c>
      <c r="L3372" s="789">
        <f>'Parâmetros financeiros Despesa'!F1791</f>
        <v>1</v>
      </c>
      <c r="M3372" s="799">
        <f t="shared" si="536"/>
        <v>1.7112669025682321E-6</v>
      </c>
      <c r="N3372" s="894"/>
      <c r="P3372" s="733"/>
    </row>
    <row r="3373" spans="1:21" s="115" customFormat="1" ht="15" customHeight="1" x14ac:dyDescent="0.25">
      <c r="A3373" s="396"/>
      <c r="B3373" s="877"/>
      <c r="C3373" s="877"/>
      <c r="D3373" s="877" t="s">
        <v>9431</v>
      </c>
      <c r="E3373" s="854">
        <v>333933900000000</v>
      </c>
      <c r="F3373" s="855" t="s">
        <v>9422</v>
      </c>
      <c r="G3373" s="468">
        <v>4190</v>
      </c>
      <c r="H3373" s="468">
        <v>0</v>
      </c>
      <c r="I3373" s="751"/>
      <c r="J3373" s="878"/>
      <c r="K3373" s="789">
        <f>'Parâmetros financeiros Despesa'!E1792</f>
        <v>0</v>
      </c>
      <c r="L3373" s="789">
        <f>'Parâmetros financeiros Despesa'!F1792</f>
        <v>1</v>
      </c>
      <c r="M3373" s="799">
        <f>L3373/L$3390</f>
        <v>1.7112669025682321E-6</v>
      </c>
      <c r="N3373" s="894"/>
      <c r="P3373" s="733"/>
    </row>
    <row r="3374" spans="1:21" s="115" customFormat="1" ht="15" customHeight="1" x14ac:dyDescent="0.25">
      <c r="A3374" s="396"/>
      <c r="B3374" s="1398" t="s">
        <v>9432</v>
      </c>
      <c r="C3374" s="1398"/>
      <c r="D3374" s="1398"/>
      <c r="E3374" s="854">
        <v>344905200000000</v>
      </c>
      <c r="F3374" s="855" t="s">
        <v>8985</v>
      </c>
      <c r="G3374" s="468">
        <v>4190</v>
      </c>
      <c r="H3374" s="468">
        <v>0</v>
      </c>
      <c r="I3374" s="751"/>
      <c r="J3374" s="878"/>
      <c r="K3374" s="789">
        <f>'Parâmetros financeiros Despesa'!E1793</f>
        <v>2773.5</v>
      </c>
      <c r="L3374" s="789">
        <f>'Parâmetros financeiros Despesa'!F1793</f>
        <v>1</v>
      </c>
      <c r="M3374" s="799">
        <f>L3374/L$3390</f>
        <v>1.7112669025682321E-6</v>
      </c>
      <c r="N3374" s="894"/>
      <c r="P3374" s="733"/>
    </row>
    <row r="3375" spans="1:21" s="115" customFormat="1" ht="16.5" customHeight="1" x14ac:dyDescent="0.25">
      <c r="A3375" s="396"/>
      <c r="B3375" s="1397" t="s">
        <v>2172</v>
      </c>
      <c r="C3375" s="1397"/>
      <c r="D3375" s="1397"/>
      <c r="E3375" s="1397"/>
      <c r="F3375" s="1397"/>
      <c r="G3375" s="1397"/>
      <c r="H3375" s="1397"/>
      <c r="I3375" s="1397"/>
      <c r="J3375" s="1397"/>
      <c r="K3375" s="1024">
        <f>K3358+K3338+K3322+K3304+K3297+K3290+K3272+K3254+K3234</f>
        <v>221215.17481250002</v>
      </c>
      <c r="L3375" s="1024">
        <f>L3358+L3338+L3322+L3304+L3297+L3290+L3272+L3254+L3234</f>
        <v>649362.3832897665</v>
      </c>
      <c r="M3375" s="1025">
        <f>L3375/L$3390</f>
        <v>1.1112323542966038</v>
      </c>
      <c r="N3375" s="894"/>
      <c r="P3375" s="733"/>
    </row>
    <row r="3376" spans="1:21" s="820" customFormat="1" ht="15" customHeight="1" x14ac:dyDescent="0.25">
      <c r="B3376" s="1026" t="s">
        <v>11469</v>
      </c>
      <c r="C3376" s="1026"/>
      <c r="D3376" s="1026"/>
      <c r="E3376" s="1026"/>
      <c r="F3376" s="1026"/>
      <c r="G3376" s="1026"/>
      <c r="H3376" s="1026"/>
      <c r="I3376" s="1026"/>
      <c r="J3376" s="1026"/>
      <c r="K3376" s="1027"/>
      <c r="L3376" s="1027"/>
      <c r="M3376" s="1025"/>
      <c r="N3376" s="796"/>
      <c r="P3376" s="399"/>
    </row>
    <row r="3377" spans="2:16" s="31" customFormat="1" ht="15" customHeight="1" x14ac:dyDescent="0.25">
      <c r="B3377" s="1028" t="s">
        <v>756</v>
      </c>
      <c r="C3377" s="1028"/>
      <c r="D3377" s="1028"/>
      <c r="E3377" s="1028"/>
      <c r="F3377" s="1028"/>
      <c r="G3377" s="1028"/>
      <c r="H3377" s="1028"/>
      <c r="I3377" s="1028"/>
      <c r="J3377" s="1028"/>
      <c r="K3377" s="1029">
        <v>0</v>
      </c>
      <c r="L3377" s="1029">
        <v>6</v>
      </c>
      <c r="M3377" s="1030">
        <f t="shared" ref="M3377:M3388" si="537">L3377/L$3390</f>
        <v>1.0267601415409392E-5</v>
      </c>
      <c r="N3377" s="897"/>
      <c r="P3377" s="736"/>
    </row>
    <row r="3378" spans="2:16" s="31" customFormat="1" ht="15" customHeight="1" x14ac:dyDescent="0.25">
      <c r="B3378" s="1028" t="s">
        <v>11498</v>
      </c>
      <c r="C3378" s="1028"/>
      <c r="D3378" s="1028"/>
      <c r="E3378" s="1028"/>
      <c r="F3378" s="1028"/>
      <c r="G3378" s="1028"/>
      <c r="H3378" s="1028"/>
      <c r="I3378" s="1028"/>
      <c r="J3378" s="1028"/>
      <c r="K3378" s="1029">
        <v>0</v>
      </c>
      <c r="L3378" s="1029">
        <v>100</v>
      </c>
      <c r="M3378" s="1030">
        <f t="shared" si="537"/>
        <v>1.711266902568232E-4</v>
      </c>
      <c r="N3378" s="897"/>
      <c r="P3378" s="736"/>
    </row>
    <row r="3379" spans="2:16" s="31" customFormat="1" ht="15" customHeight="1" x14ac:dyDescent="0.25">
      <c r="B3379" s="1028" t="s">
        <v>11499</v>
      </c>
      <c r="C3379" s="1028"/>
      <c r="D3379" s="1028"/>
      <c r="E3379" s="1028"/>
      <c r="F3379" s="1028"/>
      <c r="G3379" s="1028"/>
      <c r="H3379" s="1028"/>
      <c r="I3379" s="1028"/>
      <c r="J3379" s="1028"/>
      <c r="K3379" s="1029">
        <v>0</v>
      </c>
      <c r="L3379" s="1029">
        <v>500</v>
      </c>
      <c r="M3379" s="1030">
        <f t="shared" si="537"/>
        <v>8.5563345128411605E-4</v>
      </c>
      <c r="N3379" s="897"/>
      <c r="P3379" s="736"/>
    </row>
    <row r="3380" spans="2:16" s="31" customFormat="1" ht="15" customHeight="1" x14ac:dyDescent="0.25">
      <c r="B3380" s="1028" t="s">
        <v>11500</v>
      </c>
      <c r="C3380" s="1028"/>
      <c r="D3380" s="1028"/>
      <c r="E3380" s="1028"/>
      <c r="F3380" s="1028"/>
      <c r="G3380" s="1028"/>
      <c r="H3380" s="1028"/>
      <c r="I3380" s="1028"/>
      <c r="J3380" s="1028"/>
      <c r="K3380" s="1029">
        <f>K3322</f>
        <v>35297.265000000007</v>
      </c>
      <c r="L3380" s="1029">
        <v>155111.04999999999</v>
      </c>
      <c r="M3380" s="1030">
        <f t="shared" si="537"/>
        <v>0.26543640608760616</v>
      </c>
      <c r="N3380" s="897"/>
      <c r="P3380" s="736"/>
    </row>
    <row r="3381" spans="2:16" s="31" customFormat="1" ht="15" customHeight="1" x14ac:dyDescent="0.25">
      <c r="B3381" s="1028" t="s">
        <v>11501</v>
      </c>
      <c r="C3381" s="1028"/>
      <c r="D3381" s="1028"/>
      <c r="E3381" s="1028"/>
      <c r="F3381" s="1028"/>
      <c r="G3381" s="1028"/>
      <c r="H3381" s="1028"/>
      <c r="I3381" s="1028"/>
      <c r="J3381" s="1028"/>
      <c r="K3381" s="1029">
        <v>0</v>
      </c>
      <c r="L3381" s="1029">
        <v>10794.64</v>
      </c>
      <c r="M3381" s="1030">
        <f t="shared" si="537"/>
        <v>1.847251015713914E-2</v>
      </c>
      <c r="N3381" s="897"/>
      <c r="P3381" s="736"/>
    </row>
    <row r="3382" spans="2:16" s="31" customFormat="1" ht="15" customHeight="1" x14ac:dyDescent="0.25">
      <c r="B3382" s="1028" t="s">
        <v>11502</v>
      </c>
      <c r="C3382" s="1028"/>
      <c r="D3382" s="1028"/>
      <c r="E3382" s="1028"/>
      <c r="F3382" s="1028"/>
      <c r="G3382" s="1028"/>
      <c r="H3382" s="1028"/>
      <c r="I3382" s="1028"/>
      <c r="J3382" s="1028"/>
      <c r="K3382" s="1029">
        <v>0</v>
      </c>
      <c r="L3382" s="1029">
        <v>9912.2900000000009</v>
      </c>
      <c r="M3382" s="1030">
        <f t="shared" si="537"/>
        <v>1.6962573805658063E-2</v>
      </c>
      <c r="N3382" s="897"/>
      <c r="P3382" s="736"/>
    </row>
    <row r="3383" spans="2:16" s="31" customFormat="1" ht="15" customHeight="1" x14ac:dyDescent="0.25">
      <c r="B3383" s="1028" t="s">
        <v>11503</v>
      </c>
      <c r="C3383" s="1028"/>
      <c r="D3383" s="1028"/>
      <c r="E3383" s="1028"/>
      <c r="F3383" s="1028"/>
      <c r="G3383" s="1028"/>
      <c r="H3383" s="1028"/>
      <c r="I3383" s="1028"/>
      <c r="J3383" s="1028"/>
      <c r="K3383" s="1029">
        <f>K3338</f>
        <v>178933.44481250001</v>
      </c>
      <c r="L3383" s="1029">
        <v>158221.25</v>
      </c>
      <c r="M3383" s="1030">
        <f t="shared" si="537"/>
        <v>0.2707587884079739</v>
      </c>
      <c r="N3383" s="897"/>
      <c r="P3383" s="736"/>
    </row>
    <row r="3384" spans="2:16" s="31" customFormat="1" ht="15" customHeight="1" x14ac:dyDescent="0.25">
      <c r="B3384" s="1028" t="s">
        <v>11504</v>
      </c>
      <c r="C3384" s="1028"/>
      <c r="D3384" s="1028"/>
      <c r="E3384" s="1028"/>
      <c r="F3384" s="1028"/>
      <c r="G3384" s="1028"/>
      <c r="H3384" s="1028"/>
      <c r="I3384" s="1028"/>
      <c r="J3384" s="1028"/>
      <c r="K3384" s="1029">
        <v>0</v>
      </c>
      <c r="L3384" s="1029">
        <v>35408.61</v>
      </c>
      <c r="M3384" s="1030">
        <f t="shared" si="537"/>
        <v>6.0593582358946525E-2</v>
      </c>
      <c r="N3384" s="897"/>
      <c r="P3384" s="736"/>
    </row>
    <row r="3385" spans="2:16" s="31" customFormat="1" ht="15" customHeight="1" x14ac:dyDescent="0.25">
      <c r="B3385" s="1028" t="s">
        <v>873</v>
      </c>
      <c r="C3385" s="1028"/>
      <c r="D3385" s="1028"/>
      <c r="E3385" s="1028"/>
      <c r="F3385" s="1028"/>
      <c r="G3385" s="1028"/>
      <c r="H3385" s="1028"/>
      <c r="I3385" s="1028"/>
      <c r="J3385" s="1028"/>
      <c r="K3385" s="1029">
        <f>K3358</f>
        <v>6984.4650000000001</v>
      </c>
      <c r="L3385" s="1029">
        <v>3508.54</v>
      </c>
      <c r="M3385" s="1030">
        <f t="shared" si="537"/>
        <v>6.0040483783367444E-3</v>
      </c>
      <c r="N3385" s="897"/>
      <c r="P3385" s="736"/>
    </row>
    <row r="3386" spans="2:16" s="31" customFormat="1" ht="15" customHeight="1" x14ac:dyDescent="0.25">
      <c r="B3386" s="1028" t="s">
        <v>11505</v>
      </c>
      <c r="C3386" s="1028"/>
      <c r="D3386" s="1028"/>
      <c r="E3386" s="1028"/>
      <c r="F3386" s="1028"/>
      <c r="G3386" s="1028"/>
      <c r="H3386" s="1028"/>
      <c r="I3386" s="1028"/>
      <c r="J3386" s="1028"/>
      <c r="K3386" s="1029">
        <v>0</v>
      </c>
      <c r="L3386" s="1029">
        <v>35200</v>
      </c>
      <c r="M3386" s="1030">
        <f t="shared" si="537"/>
        <v>6.023659497040177E-2</v>
      </c>
      <c r="N3386" s="897"/>
      <c r="P3386" s="736"/>
    </row>
    <row r="3387" spans="2:16" s="31" customFormat="1" ht="15" customHeight="1" x14ac:dyDescent="0.25">
      <c r="B3387" s="1028" t="s">
        <v>878</v>
      </c>
      <c r="C3387" s="1028"/>
      <c r="D3387" s="1028"/>
      <c r="E3387" s="1028"/>
      <c r="F3387" s="1028"/>
      <c r="G3387" s="1028"/>
      <c r="H3387" s="1028"/>
      <c r="I3387" s="1028"/>
      <c r="J3387" s="1028"/>
      <c r="K3387" s="1029">
        <v>0</v>
      </c>
      <c r="L3387" s="1029">
        <v>50100</v>
      </c>
      <c r="M3387" s="1030">
        <f t="shared" si="537"/>
        <v>8.5734471818668431E-2</v>
      </c>
      <c r="N3387" s="897"/>
      <c r="P3387" s="736"/>
    </row>
    <row r="3388" spans="2:16" s="31" customFormat="1" ht="15" customHeight="1" x14ac:dyDescent="0.25">
      <c r="B3388" s="1028" t="s">
        <v>879</v>
      </c>
      <c r="C3388" s="1028"/>
      <c r="D3388" s="1028"/>
      <c r="E3388" s="1028"/>
      <c r="F3388" s="1028"/>
      <c r="G3388" s="1028"/>
      <c r="H3388" s="1028"/>
      <c r="I3388" s="1028"/>
      <c r="J3388" s="1028"/>
      <c r="K3388" s="1029">
        <v>0</v>
      </c>
      <c r="L3388" s="1029">
        <v>90400</v>
      </c>
      <c r="M3388" s="1030">
        <f t="shared" si="537"/>
        <v>0.15469852799216818</v>
      </c>
      <c r="N3388" s="897"/>
      <c r="P3388" s="736"/>
    </row>
    <row r="3389" spans="2:16" s="31" customFormat="1" ht="15" customHeight="1" x14ac:dyDescent="0.25">
      <c r="B3389" s="1028" t="s">
        <v>11506</v>
      </c>
      <c r="C3389" s="1028"/>
      <c r="D3389" s="1028"/>
      <c r="E3389" s="1028"/>
      <c r="F3389" s="1028"/>
      <c r="G3389" s="1028"/>
      <c r="H3389" s="1028"/>
      <c r="I3389" s="1028"/>
      <c r="J3389" s="1028"/>
      <c r="K3389" s="1029">
        <v>0</v>
      </c>
      <c r="L3389" s="1029">
        <v>35100</v>
      </c>
      <c r="M3389" s="1030">
        <f>L3389/L$3390</f>
        <v>6.0065468280144946E-2</v>
      </c>
      <c r="N3389" s="897"/>
      <c r="P3389" s="736"/>
    </row>
    <row r="3390" spans="2:16" s="115" customFormat="1" ht="15" customHeight="1" x14ac:dyDescent="0.25">
      <c r="B3390" s="1026" t="s">
        <v>2172</v>
      </c>
      <c r="C3390" s="1026"/>
      <c r="D3390" s="1026"/>
      <c r="E3390" s="1026"/>
      <c r="F3390" s="1026"/>
      <c r="G3390" s="1026"/>
      <c r="H3390" s="1026"/>
      <c r="I3390" s="1026"/>
      <c r="J3390" s="1026"/>
      <c r="K3390" s="1027">
        <f>SUM(K3377:K3389)</f>
        <v>221215.17481250002</v>
      </c>
      <c r="L3390" s="1027">
        <f>SUM(L3377:L3389)</f>
        <v>584362.37999999989</v>
      </c>
      <c r="M3390" s="1025">
        <f>L3390/L$3390</f>
        <v>1</v>
      </c>
      <c r="N3390" s="894"/>
      <c r="P3390" s="733"/>
    </row>
    <row r="3392" spans="2:16" s="435" customFormat="1" ht="15" customHeight="1" x14ac:dyDescent="0.25">
      <c r="B3392" s="772" t="s">
        <v>989</v>
      </c>
      <c r="C3392" s="772"/>
      <c r="D3392" s="481"/>
      <c r="E3392" s="1371" t="s">
        <v>9485</v>
      </c>
      <c r="F3392" s="1371"/>
      <c r="G3392" s="1371"/>
      <c r="H3392" s="1371"/>
      <c r="I3392" s="1371"/>
      <c r="J3392" s="437"/>
      <c r="K3392" s="940"/>
      <c r="L3392" s="438"/>
      <c r="M3392" s="449"/>
      <c r="N3392" s="892"/>
      <c r="P3392" s="732"/>
    </row>
    <row r="3393" spans="1:21" s="435" customFormat="1" ht="15" customHeight="1" x14ac:dyDescent="0.25">
      <c r="B3393" s="772" t="s">
        <v>458</v>
      </c>
      <c r="C3393" s="772"/>
      <c r="D3393" s="481"/>
      <c r="E3393" s="1371" t="s">
        <v>9107</v>
      </c>
      <c r="F3393" s="1371"/>
      <c r="G3393" s="1371"/>
      <c r="H3393" s="1371"/>
      <c r="I3393" s="1371"/>
      <c r="J3393" s="437"/>
      <c r="K3393" s="940"/>
      <c r="L3393" s="438"/>
      <c r="M3393" s="449"/>
      <c r="N3393" s="892"/>
      <c r="P3393" s="732"/>
    </row>
    <row r="3394" spans="1:21" s="435" customFormat="1" ht="15" customHeight="1" x14ac:dyDescent="0.25">
      <c r="B3394" s="773" t="s">
        <v>5764</v>
      </c>
      <c r="C3394" s="773"/>
      <c r="D3394" s="773"/>
      <c r="E3394" s="1371" t="s">
        <v>749</v>
      </c>
      <c r="F3394" s="1371"/>
      <c r="G3394" s="1371"/>
      <c r="H3394" s="1371"/>
      <c r="I3394" s="1371"/>
      <c r="J3394" s="440"/>
      <c r="K3394" s="941"/>
      <c r="L3394" s="438"/>
      <c r="M3394" s="449"/>
      <c r="N3394" s="892"/>
      <c r="P3394" s="732"/>
    </row>
    <row r="3395" spans="1:21" s="851" customFormat="1" ht="113.25" customHeight="1" x14ac:dyDescent="0.25">
      <c r="A3395" s="396"/>
      <c r="B3395" s="1400" t="s">
        <v>2296</v>
      </c>
      <c r="C3395" s="1400"/>
      <c r="D3395" s="1400"/>
      <c r="E3395" s="1384" t="s">
        <v>2297</v>
      </c>
      <c r="F3395" s="1384"/>
      <c r="G3395" s="443" t="s">
        <v>444</v>
      </c>
      <c r="H3395" s="443" t="s">
        <v>2245</v>
      </c>
      <c r="I3395" s="444" t="s">
        <v>5725</v>
      </c>
      <c r="J3395" s="849" t="s">
        <v>2275</v>
      </c>
      <c r="K3395" s="893" t="s">
        <v>11644</v>
      </c>
      <c r="L3395" s="979" t="s">
        <v>11522</v>
      </c>
      <c r="M3395" s="450" t="s">
        <v>235</v>
      </c>
      <c r="N3395" s="796"/>
      <c r="P3395" s="399"/>
    </row>
    <row r="3396" spans="1:21" s="774" customFormat="1" ht="15" customHeight="1" x14ac:dyDescent="0.25">
      <c r="A3396" s="397"/>
      <c r="B3396" s="1382" t="s">
        <v>8699</v>
      </c>
      <c r="C3396" s="1382"/>
      <c r="D3396" s="1382"/>
      <c r="E3396" s="1382"/>
      <c r="F3396" s="1382"/>
      <c r="G3396" s="405"/>
      <c r="H3396" s="405"/>
      <c r="I3396" s="428"/>
      <c r="J3396" s="413"/>
      <c r="K3396" s="406">
        <f t="shared" ref="K3396:L3398" si="538">K3397</f>
        <v>178087.215</v>
      </c>
      <c r="L3396" s="406">
        <f t="shared" si="538"/>
        <v>130037.27</v>
      </c>
      <c r="M3396" s="453">
        <f>L3396/L$3488</f>
        <v>0.3958942288336228</v>
      </c>
      <c r="N3396" s="796"/>
      <c r="P3396" s="399"/>
    </row>
    <row r="3397" spans="1:21" s="774" customFormat="1" ht="15" customHeight="1" x14ac:dyDescent="0.25">
      <c r="A3397" s="397"/>
      <c r="B3397" s="1383" t="s">
        <v>8812</v>
      </c>
      <c r="C3397" s="1383"/>
      <c r="D3397" s="1383"/>
      <c r="E3397" s="1383"/>
      <c r="F3397" s="1383"/>
      <c r="G3397" s="407"/>
      <c r="H3397" s="407"/>
      <c r="I3397" s="429"/>
      <c r="J3397" s="414"/>
      <c r="K3397" s="408">
        <f t="shared" si="538"/>
        <v>178087.215</v>
      </c>
      <c r="L3397" s="408">
        <f t="shared" si="538"/>
        <v>130037.27</v>
      </c>
      <c r="M3397" s="454">
        <f>L3397/L$3488</f>
        <v>0.3958942288336228</v>
      </c>
      <c r="N3397" s="796"/>
      <c r="P3397" s="399"/>
    </row>
    <row r="3398" spans="1:21" s="774" customFormat="1" ht="15" customHeight="1" x14ac:dyDescent="0.25">
      <c r="A3398" s="397"/>
      <c r="B3398" s="1386" t="s">
        <v>9045</v>
      </c>
      <c r="C3398" s="1386"/>
      <c r="D3398" s="1386"/>
      <c r="E3398" s="1386"/>
      <c r="F3398" s="1386"/>
      <c r="G3398" s="403"/>
      <c r="H3398" s="403"/>
      <c r="I3398" s="427"/>
      <c r="J3398" s="412"/>
      <c r="K3398" s="404">
        <f t="shared" si="538"/>
        <v>178087.215</v>
      </c>
      <c r="L3398" s="404">
        <f t="shared" si="538"/>
        <v>130037.27</v>
      </c>
      <c r="M3398" s="452">
        <f>L3398/L$3488</f>
        <v>0.3958942288336228</v>
      </c>
      <c r="N3398" s="796"/>
      <c r="P3398" s="399"/>
    </row>
    <row r="3399" spans="1:21" s="774" customFormat="1" ht="15" customHeight="1" x14ac:dyDescent="0.25">
      <c r="A3399" s="397"/>
      <c r="B3399" s="1385" t="s">
        <v>8698</v>
      </c>
      <c r="C3399" s="1385"/>
      <c r="D3399" s="1385"/>
      <c r="E3399" s="1385"/>
      <c r="F3399" s="1385"/>
      <c r="G3399" s="401"/>
      <c r="H3399" s="401"/>
      <c r="I3399" s="426"/>
      <c r="J3399" s="411"/>
      <c r="K3399" s="402">
        <f>SUM(K3400:K3411)</f>
        <v>178087.215</v>
      </c>
      <c r="L3399" s="402">
        <f>SUM(L3400:L3411)</f>
        <v>130037.27</v>
      </c>
      <c r="M3399" s="451">
        <f>L3399/L$3488</f>
        <v>0.3958942288336228</v>
      </c>
      <c r="N3399" s="796"/>
      <c r="P3399" s="399"/>
    </row>
    <row r="3400" spans="1:21" s="115" customFormat="1" ht="15" customHeight="1" x14ac:dyDescent="0.25">
      <c r="A3400" s="396"/>
      <c r="B3400" s="1398" t="s">
        <v>9437</v>
      </c>
      <c r="C3400" s="1398"/>
      <c r="D3400" s="1398"/>
      <c r="E3400" s="854">
        <v>333901400000000</v>
      </c>
      <c r="F3400" s="855" t="s">
        <v>9110</v>
      </c>
      <c r="G3400" s="468">
        <v>4510</v>
      </c>
      <c r="H3400" s="468">
        <v>0</v>
      </c>
      <c r="I3400" s="751"/>
      <c r="J3400" s="878"/>
      <c r="K3400" s="789">
        <f>'Parâmetros financeiros Despesa'!E1795</f>
        <v>0</v>
      </c>
      <c r="L3400" s="789">
        <f>'Parâmetros financeiros Despesa'!F1795</f>
        <v>1000</v>
      </c>
      <c r="M3400" s="799">
        <f t="shared" ref="M3400:M3411" si="539">L3400/L$3488</f>
        <v>3.0444673964135265E-3</v>
      </c>
      <c r="N3400" s="894"/>
      <c r="P3400" s="733"/>
    </row>
    <row r="3401" spans="1:21" s="115" customFormat="1" ht="15" customHeight="1" x14ac:dyDescent="0.25">
      <c r="B3401" s="879"/>
      <c r="C3401" s="879"/>
      <c r="D3401" s="880">
        <v>660100</v>
      </c>
      <c r="E3401" s="854">
        <v>333903000000000</v>
      </c>
      <c r="F3401" s="855" t="s">
        <v>9111</v>
      </c>
      <c r="G3401" s="468">
        <v>4510</v>
      </c>
      <c r="H3401" s="468">
        <v>0</v>
      </c>
      <c r="I3401" s="751"/>
      <c r="J3401" s="878"/>
      <c r="K3401" s="789">
        <f>'Parâmetros financeiros Despesa'!E1796</f>
        <v>25102.02</v>
      </c>
      <c r="L3401" s="789">
        <f>'Parâmetros financeiros Despesa'!F1796</f>
        <v>25200</v>
      </c>
      <c r="M3401" s="799">
        <f t="shared" si="539"/>
        <v>7.6720578389620861E-2</v>
      </c>
      <c r="N3401" s="894"/>
      <c r="O3401" s="396"/>
      <c r="P3401" s="463"/>
      <c r="S3401" s="463"/>
      <c r="T3401" s="463"/>
      <c r="U3401" s="463"/>
    </row>
    <row r="3402" spans="1:21" s="115" customFormat="1" ht="15" customHeight="1" x14ac:dyDescent="0.25">
      <c r="B3402" s="994"/>
      <c r="C3402" s="994"/>
      <c r="D3402" s="880">
        <v>660200</v>
      </c>
      <c r="E3402" s="854">
        <v>333903200000000</v>
      </c>
      <c r="F3402" s="855" t="s">
        <v>9112</v>
      </c>
      <c r="G3402" s="468">
        <v>4510</v>
      </c>
      <c r="H3402" s="468">
        <v>0</v>
      </c>
      <c r="I3402" s="751"/>
      <c r="J3402" s="878"/>
      <c r="K3402" s="789">
        <f>'Parâmetros financeiros Despesa'!E1797</f>
        <v>4028.7749999999996</v>
      </c>
      <c r="L3402" s="789">
        <f>'Parâmetros financeiros Despesa'!F1797</f>
        <v>4100</v>
      </c>
      <c r="M3402" s="799">
        <f t="shared" si="539"/>
        <v>1.2482316325295459E-2</v>
      </c>
      <c r="N3402" s="894"/>
      <c r="O3402" s="396"/>
      <c r="P3402" s="463"/>
      <c r="S3402" s="463"/>
      <c r="T3402" s="463"/>
      <c r="U3402" s="463"/>
    </row>
    <row r="3403" spans="1:21" s="115" customFormat="1" ht="15" customHeight="1" x14ac:dyDescent="0.25">
      <c r="B3403" s="994"/>
      <c r="C3403" s="994"/>
      <c r="D3403" s="880">
        <v>660300</v>
      </c>
      <c r="E3403" s="854">
        <v>333903300000000</v>
      </c>
      <c r="F3403" s="855" t="s">
        <v>9433</v>
      </c>
      <c r="G3403" s="468">
        <v>4510</v>
      </c>
      <c r="H3403" s="468">
        <v>0</v>
      </c>
      <c r="I3403" s="751"/>
      <c r="J3403" s="878"/>
      <c r="K3403" s="789">
        <f>'Parâmetros financeiros Despesa'!E1798</f>
        <v>0</v>
      </c>
      <c r="L3403" s="789">
        <f>'Parâmetros financeiros Despesa'!F1798</f>
        <v>500</v>
      </c>
      <c r="M3403" s="799">
        <f t="shared" si="539"/>
        <v>1.5222336982067632E-3</v>
      </c>
      <c r="N3403" s="894"/>
      <c r="O3403" s="396"/>
      <c r="P3403" s="463"/>
      <c r="S3403" s="463"/>
      <c r="T3403" s="463"/>
      <c r="U3403" s="463"/>
    </row>
    <row r="3404" spans="1:21" s="115" customFormat="1" ht="15" customHeight="1" x14ac:dyDescent="0.25">
      <c r="B3404" s="994"/>
      <c r="C3404" s="994"/>
      <c r="D3404" s="880">
        <v>660400</v>
      </c>
      <c r="E3404" s="854">
        <v>333903600000000</v>
      </c>
      <c r="F3404" s="855" t="s">
        <v>9113</v>
      </c>
      <c r="G3404" s="468">
        <v>4510</v>
      </c>
      <c r="H3404" s="468">
        <v>0</v>
      </c>
      <c r="I3404" s="751"/>
      <c r="J3404" s="878"/>
      <c r="K3404" s="789">
        <f>'Parâmetros financeiros Despesa'!E1799</f>
        <v>56866.41</v>
      </c>
      <c r="L3404" s="789">
        <f>'Parâmetros financeiros Despesa'!F1799</f>
        <v>30000</v>
      </c>
      <c r="M3404" s="799">
        <f t="shared" si="539"/>
        <v>9.133402189240579E-2</v>
      </c>
      <c r="N3404" s="894"/>
      <c r="O3404" s="396"/>
      <c r="P3404" s="463"/>
      <c r="S3404" s="463"/>
      <c r="T3404" s="463"/>
      <c r="U3404" s="463"/>
    </row>
    <row r="3405" spans="1:21" s="115" customFormat="1" ht="15" customHeight="1" x14ac:dyDescent="0.25">
      <c r="B3405" s="994"/>
      <c r="C3405" s="994"/>
      <c r="D3405" s="880">
        <v>660500</v>
      </c>
      <c r="E3405" s="854">
        <v>333903900000000</v>
      </c>
      <c r="F3405" s="855" t="s">
        <v>9114</v>
      </c>
      <c r="G3405" s="468">
        <v>4510</v>
      </c>
      <c r="H3405" s="468">
        <v>0</v>
      </c>
      <c r="I3405" s="751"/>
      <c r="J3405" s="878"/>
      <c r="K3405" s="789">
        <f>'Parâmetros financeiros Despesa'!E1800</f>
        <v>63815.97</v>
      </c>
      <c r="L3405" s="789">
        <f>'Parâmetros financeiros Despesa'!F1800</f>
        <v>37737.270000000004</v>
      </c>
      <c r="M3405" s="799">
        <f t="shared" si="539"/>
        <v>0.1148898881446543</v>
      </c>
      <c r="N3405" s="894"/>
      <c r="O3405" s="396"/>
      <c r="P3405" s="463"/>
      <c r="S3405" s="463"/>
      <c r="T3405" s="463"/>
      <c r="U3405" s="463"/>
    </row>
    <row r="3406" spans="1:21" s="115" customFormat="1" ht="15" customHeight="1" x14ac:dyDescent="0.25">
      <c r="B3406" s="994"/>
      <c r="C3406" s="994"/>
      <c r="D3406" s="880">
        <v>660600</v>
      </c>
      <c r="E3406" s="854">
        <v>333904700000000</v>
      </c>
      <c r="F3406" s="855" t="s">
        <v>9115</v>
      </c>
      <c r="G3406" s="468">
        <v>4510</v>
      </c>
      <c r="H3406" s="468">
        <v>0</v>
      </c>
      <c r="I3406" s="751"/>
      <c r="J3406" s="878"/>
      <c r="K3406" s="789">
        <f>'Parâmetros financeiros Despesa'!E1801</f>
        <v>13794.54</v>
      </c>
      <c r="L3406" s="789">
        <f>'Parâmetros financeiros Despesa'!F1801</f>
        <v>14000</v>
      </c>
      <c r="M3406" s="799">
        <f t="shared" si="539"/>
        <v>4.2622543549789373E-2</v>
      </c>
      <c r="N3406" s="894"/>
      <c r="O3406" s="396"/>
      <c r="P3406" s="463"/>
      <c r="S3406" s="463"/>
      <c r="T3406" s="463"/>
      <c r="U3406" s="463"/>
    </row>
    <row r="3407" spans="1:21" s="115" customFormat="1" ht="15" customHeight="1" x14ac:dyDescent="0.25">
      <c r="A3407" s="396"/>
      <c r="B3407" s="1398" t="s">
        <v>9438</v>
      </c>
      <c r="C3407" s="1398"/>
      <c r="D3407" s="1398"/>
      <c r="E3407" s="854">
        <v>333909300000000</v>
      </c>
      <c r="F3407" s="855" t="s">
        <v>9116</v>
      </c>
      <c r="G3407" s="468">
        <v>4510</v>
      </c>
      <c r="H3407" s="468">
        <v>0</v>
      </c>
      <c r="I3407" s="751"/>
      <c r="J3407" s="878"/>
      <c r="K3407" s="789">
        <f>'Parâmetros financeiros Despesa'!E1802</f>
        <v>0</v>
      </c>
      <c r="L3407" s="789">
        <f>'Parâmetros financeiros Despesa'!F1802</f>
        <v>1500</v>
      </c>
      <c r="M3407" s="799">
        <f t="shared" si="539"/>
        <v>4.5667010946202893E-3</v>
      </c>
      <c r="N3407" s="894"/>
      <c r="P3407" s="733"/>
    </row>
    <row r="3408" spans="1:21" s="115" customFormat="1" ht="15" customHeight="1" x14ac:dyDescent="0.25">
      <c r="A3408" s="396"/>
      <c r="B3408" s="1398" t="s">
        <v>9439</v>
      </c>
      <c r="C3408" s="1398"/>
      <c r="D3408" s="1398"/>
      <c r="E3408" s="854">
        <v>333933000000000</v>
      </c>
      <c r="F3408" s="855" t="s">
        <v>9117</v>
      </c>
      <c r="G3408" s="468">
        <v>4510</v>
      </c>
      <c r="H3408" s="468">
        <v>0</v>
      </c>
      <c r="I3408" s="751"/>
      <c r="J3408" s="878"/>
      <c r="K3408" s="789">
        <f>'Parâmetros financeiros Despesa'!E1803</f>
        <v>0</v>
      </c>
      <c r="L3408" s="789">
        <f>'Parâmetros financeiros Despesa'!F1803</f>
        <v>3000</v>
      </c>
      <c r="M3408" s="799">
        <f t="shared" si="539"/>
        <v>9.1334021892405786E-3</v>
      </c>
      <c r="N3408" s="894"/>
      <c r="P3408" s="733"/>
    </row>
    <row r="3409" spans="1:16" s="115" customFormat="1" ht="15" customHeight="1" x14ac:dyDescent="0.25">
      <c r="A3409" s="396"/>
      <c r="B3409" s="994"/>
      <c r="C3409" s="994"/>
      <c r="D3409" s="994" t="s">
        <v>9440</v>
      </c>
      <c r="E3409" s="854">
        <v>333933900000000</v>
      </c>
      <c r="F3409" s="855" t="s">
        <v>9434</v>
      </c>
      <c r="G3409" s="468">
        <v>4510</v>
      </c>
      <c r="H3409" s="468">
        <v>0</v>
      </c>
      <c r="I3409" s="751"/>
      <c r="J3409" s="878"/>
      <c r="K3409" s="789">
        <f>'Parâmetros financeiros Despesa'!E1804</f>
        <v>0</v>
      </c>
      <c r="L3409" s="789">
        <f>'Parâmetros financeiros Despesa'!F1804</f>
        <v>3000</v>
      </c>
      <c r="M3409" s="799">
        <f t="shared" si="539"/>
        <v>9.1334021892405786E-3</v>
      </c>
      <c r="N3409" s="894"/>
      <c r="P3409" s="733"/>
    </row>
    <row r="3410" spans="1:16" s="115" customFormat="1" ht="15" customHeight="1" x14ac:dyDescent="0.25">
      <c r="A3410" s="396"/>
      <c r="B3410" s="1398" t="s">
        <v>9441</v>
      </c>
      <c r="C3410" s="1398"/>
      <c r="D3410" s="1398"/>
      <c r="E3410" s="854">
        <v>344905100000000</v>
      </c>
      <c r="F3410" s="855" t="s">
        <v>9435</v>
      </c>
      <c r="G3410" s="468">
        <v>4510</v>
      </c>
      <c r="H3410" s="468">
        <v>0</v>
      </c>
      <c r="I3410" s="751"/>
      <c r="J3410" s="878"/>
      <c r="K3410" s="789">
        <f>'Parâmetros financeiros Despesa'!E1805</f>
        <v>0</v>
      </c>
      <c r="L3410" s="789">
        <f>'Parâmetros financeiros Despesa'!F1805</f>
        <v>5000</v>
      </c>
      <c r="M3410" s="799">
        <f t="shared" si="539"/>
        <v>1.5222336982067632E-2</v>
      </c>
      <c r="N3410" s="894"/>
      <c r="P3410" s="733"/>
    </row>
    <row r="3411" spans="1:16" s="115" customFormat="1" ht="15" customHeight="1" x14ac:dyDescent="0.25">
      <c r="A3411" s="396"/>
      <c r="B3411" s="1398" t="s">
        <v>9442</v>
      </c>
      <c r="C3411" s="1398"/>
      <c r="D3411" s="1398"/>
      <c r="E3411" s="854">
        <v>344905200000000</v>
      </c>
      <c r="F3411" s="855" t="s">
        <v>9436</v>
      </c>
      <c r="G3411" s="468">
        <v>4510</v>
      </c>
      <c r="H3411" s="468">
        <v>0</v>
      </c>
      <c r="I3411" s="751"/>
      <c r="J3411" s="878"/>
      <c r="K3411" s="789">
        <f>'Parâmetros financeiros Despesa'!E1806</f>
        <v>14479.5</v>
      </c>
      <c r="L3411" s="789">
        <f>'Parâmetros financeiros Despesa'!F1806</f>
        <v>5000</v>
      </c>
      <c r="M3411" s="799">
        <f t="shared" si="539"/>
        <v>1.5222336982067632E-2</v>
      </c>
      <c r="N3411" s="894"/>
      <c r="P3411" s="733"/>
    </row>
    <row r="3412" spans="1:16" s="774" customFormat="1" ht="15" customHeight="1" x14ac:dyDescent="0.25">
      <c r="A3412" s="397"/>
      <c r="B3412" s="1382" t="s">
        <v>8699</v>
      </c>
      <c r="C3412" s="1382"/>
      <c r="D3412" s="1382"/>
      <c r="E3412" s="1382"/>
      <c r="F3412" s="1382"/>
      <c r="G3412" s="405"/>
      <c r="H3412" s="405"/>
      <c r="I3412" s="428"/>
      <c r="J3412" s="413"/>
      <c r="K3412" s="406">
        <f t="shared" ref="K3412:L3414" si="540">K3413</f>
        <v>0</v>
      </c>
      <c r="L3412" s="406">
        <f t="shared" si="540"/>
        <v>1001</v>
      </c>
      <c r="M3412" s="453">
        <f>L3412/L$3488</f>
        <v>3.04751186380994E-3</v>
      </c>
      <c r="N3412" s="796"/>
      <c r="P3412" s="399"/>
    </row>
    <row r="3413" spans="1:16" s="774" customFormat="1" ht="15" customHeight="1" x14ac:dyDescent="0.25">
      <c r="A3413" s="397"/>
      <c r="B3413" s="1383" t="s">
        <v>8812</v>
      </c>
      <c r="C3413" s="1383"/>
      <c r="D3413" s="1383"/>
      <c r="E3413" s="1383"/>
      <c r="F3413" s="1383"/>
      <c r="G3413" s="407"/>
      <c r="H3413" s="407"/>
      <c r="I3413" s="429"/>
      <c r="J3413" s="414"/>
      <c r="K3413" s="408">
        <f t="shared" si="540"/>
        <v>0</v>
      </c>
      <c r="L3413" s="408">
        <f t="shared" si="540"/>
        <v>1001</v>
      </c>
      <c r="M3413" s="454">
        <f>L3413/L$3488</f>
        <v>3.04751186380994E-3</v>
      </c>
      <c r="N3413" s="796"/>
      <c r="P3413" s="399"/>
    </row>
    <row r="3414" spans="1:16" s="774" customFormat="1" ht="15" customHeight="1" x14ac:dyDescent="0.25">
      <c r="A3414" s="397"/>
      <c r="B3414" s="1386" t="s">
        <v>9046</v>
      </c>
      <c r="C3414" s="1386"/>
      <c r="D3414" s="1386"/>
      <c r="E3414" s="1386"/>
      <c r="F3414" s="1386"/>
      <c r="G3414" s="403"/>
      <c r="H3414" s="403"/>
      <c r="I3414" s="427"/>
      <c r="J3414" s="412"/>
      <c r="K3414" s="404">
        <f t="shared" si="540"/>
        <v>0</v>
      </c>
      <c r="L3414" s="404">
        <f t="shared" si="540"/>
        <v>1001</v>
      </c>
      <c r="M3414" s="452">
        <f>L3414/L$3488</f>
        <v>3.04751186380994E-3</v>
      </c>
      <c r="N3414" s="796"/>
      <c r="P3414" s="399"/>
    </row>
    <row r="3415" spans="1:16" s="774" customFormat="1" ht="15" customHeight="1" x14ac:dyDescent="0.25">
      <c r="A3415" s="397"/>
      <c r="B3415" s="1385" t="s">
        <v>8698</v>
      </c>
      <c r="C3415" s="1385"/>
      <c r="D3415" s="1385"/>
      <c r="E3415" s="1385"/>
      <c r="F3415" s="1385"/>
      <c r="G3415" s="401"/>
      <c r="H3415" s="401"/>
      <c r="I3415" s="426"/>
      <c r="J3415" s="411"/>
      <c r="K3415" s="402">
        <f>SUM(K3416:K3422)</f>
        <v>0</v>
      </c>
      <c r="L3415" s="402">
        <f>SUM(L3416:L3422)</f>
        <v>1001</v>
      </c>
      <c r="M3415" s="451">
        <f>L3415/L$3488</f>
        <v>3.04751186380994E-3</v>
      </c>
      <c r="N3415" s="796"/>
      <c r="P3415" s="399"/>
    </row>
    <row r="3416" spans="1:16" s="115" customFormat="1" ht="15" customHeight="1" x14ac:dyDescent="0.25">
      <c r="A3416" s="396"/>
      <c r="B3416" s="994"/>
      <c r="C3416" s="994"/>
      <c r="D3416" s="994" t="s">
        <v>9443</v>
      </c>
      <c r="E3416" s="854">
        <v>333904700000000</v>
      </c>
      <c r="F3416" s="855" t="s">
        <v>9118</v>
      </c>
      <c r="G3416" s="468">
        <v>4931</v>
      </c>
      <c r="H3416" s="468">
        <v>0</v>
      </c>
      <c r="I3416" s="751"/>
      <c r="J3416" s="878"/>
      <c r="K3416" s="789">
        <f>'Parâmetros financeiros Despesa'!E1808</f>
        <v>0</v>
      </c>
      <c r="L3416" s="789">
        <f>'Parâmetros financeiros Despesa'!F1808</f>
        <v>0.2</v>
      </c>
      <c r="M3416" s="799">
        <f t="shared" ref="M3416:M3422" si="541">L3416/L$3488</f>
        <v>6.0889347928270536E-7</v>
      </c>
      <c r="N3416" s="894"/>
      <c r="P3416" s="733"/>
    </row>
    <row r="3417" spans="1:16" s="115" customFormat="1" ht="15" customHeight="1" x14ac:dyDescent="0.25">
      <c r="A3417" s="396"/>
      <c r="B3417" s="995"/>
      <c r="C3417" s="995"/>
      <c r="D3417" s="995">
        <v>662100</v>
      </c>
      <c r="E3417" s="854">
        <v>344209300000000</v>
      </c>
      <c r="F3417" s="855" t="s">
        <v>9119</v>
      </c>
      <c r="G3417" s="468">
        <v>4931</v>
      </c>
      <c r="H3417" s="468">
        <v>0</v>
      </c>
      <c r="I3417" s="751"/>
      <c r="J3417" s="878"/>
      <c r="K3417" s="789">
        <f>'Parâmetros financeiros Despesa'!E1809</f>
        <v>0</v>
      </c>
      <c r="L3417" s="789">
        <f>'Parâmetros financeiros Despesa'!F1809</f>
        <v>1</v>
      </c>
      <c r="M3417" s="799">
        <f t="shared" si="541"/>
        <v>3.0444673964135263E-6</v>
      </c>
      <c r="N3417" s="894"/>
      <c r="P3417" s="733"/>
    </row>
    <row r="3418" spans="1:16" s="115" customFormat="1" ht="15" customHeight="1" x14ac:dyDescent="0.25">
      <c r="A3418" s="396"/>
      <c r="B3418" s="995"/>
      <c r="C3418" s="995"/>
      <c r="D3418" s="995">
        <v>662200</v>
      </c>
      <c r="E3418" s="854">
        <v>344903000000000</v>
      </c>
      <c r="F3418" s="855" t="s">
        <v>9120</v>
      </c>
      <c r="G3418" s="468">
        <v>4931</v>
      </c>
      <c r="H3418" s="468">
        <v>0</v>
      </c>
      <c r="I3418" s="751"/>
      <c r="J3418" s="878"/>
      <c r="K3418" s="789">
        <f>'Parâmetros financeiros Despesa'!E1810</f>
        <v>0</v>
      </c>
      <c r="L3418" s="789">
        <f>'Parâmetros financeiros Despesa'!F1810</f>
        <v>1</v>
      </c>
      <c r="M3418" s="799">
        <f t="shared" si="541"/>
        <v>3.0444673964135263E-6</v>
      </c>
      <c r="N3418" s="894"/>
      <c r="P3418" s="733"/>
    </row>
    <row r="3419" spans="1:16" s="115" customFormat="1" ht="14.25" customHeight="1" x14ac:dyDescent="0.25">
      <c r="A3419" s="396"/>
      <c r="B3419" s="994"/>
      <c r="C3419" s="994"/>
      <c r="D3419" s="994" t="s">
        <v>9444</v>
      </c>
      <c r="E3419" s="854">
        <v>344903600000000</v>
      </c>
      <c r="F3419" s="855" t="s">
        <v>9121</v>
      </c>
      <c r="G3419" s="468">
        <v>4931</v>
      </c>
      <c r="H3419" s="468">
        <v>0</v>
      </c>
      <c r="I3419" s="751"/>
      <c r="J3419" s="878"/>
      <c r="K3419" s="789">
        <f>'Parâmetros financeiros Despesa'!E1811</f>
        <v>0</v>
      </c>
      <c r="L3419" s="789">
        <f>'Parâmetros financeiros Despesa'!F1811</f>
        <v>1</v>
      </c>
      <c r="M3419" s="799">
        <f t="shared" si="541"/>
        <v>3.0444673964135263E-6</v>
      </c>
      <c r="N3419" s="894"/>
      <c r="P3419" s="733"/>
    </row>
    <row r="3420" spans="1:16" s="115" customFormat="1" ht="15" customHeight="1" x14ac:dyDescent="0.25">
      <c r="A3420" s="396"/>
      <c r="B3420" s="994"/>
      <c r="C3420" s="994"/>
      <c r="D3420" s="994" t="s">
        <v>9445</v>
      </c>
      <c r="E3420" s="854">
        <v>344903900000000</v>
      </c>
      <c r="F3420" s="855" t="s">
        <v>9123</v>
      </c>
      <c r="G3420" s="468">
        <v>4931</v>
      </c>
      <c r="H3420" s="468">
        <v>0</v>
      </c>
      <c r="I3420" s="751"/>
      <c r="J3420" s="878"/>
      <c r="K3420" s="789">
        <f>'Parâmetros financeiros Despesa'!E1812</f>
        <v>0</v>
      </c>
      <c r="L3420" s="789">
        <f>'Parâmetros financeiros Despesa'!F1812</f>
        <v>1</v>
      </c>
      <c r="M3420" s="799">
        <f t="shared" si="541"/>
        <v>3.0444673964135263E-6</v>
      </c>
      <c r="N3420" s="894"/>
      <c r="P3420" s="733"/>
    </row>
    <row r="3421" spans="1:16" s="115" customFormat="1" ht="15" customHeight="1" x14ac:dyDescent="0.25">
      <c r="A3421" s="396"/>
      <c r="B3421" s="994"/>
      <c r="C3421" s="994"/>
      <c r="D3421" s="994" t="s">
        <v>9446</v>
      </c>
      <c r="E3421" s="854">
        <v>344905200000000</v>
      </c>
      <c r="F3421" s="855" t="s">
        <v>9122</v>
      </c>
      <c r="G3421" s="468">
        <v>40</v>
      </c>
      <c r="H3421" s="468">
        <v>0</v>
      </c>
      <c r="I3421" s="751"/>
      <c r="J3421" s="878"/>
      <c r="K3421" s="789">
        <f>'Parâmetros financeiros Despesa'!E1813</f>
        <v>0</v>
      </c>
      <c r="L3421" s="789">
        <f>'Parâmetros financeiros Despesa'!F1813</f>
        <v>1</v>
      </c>
      <c r="M3421" s="799">
        <f t="shared" si="541"/>
        <v>3.0444673964135263E-6</v>
      </c>
      <c r="N3421" s="894"/>
      <c r="P3421" s="733"/>
    </row>
    <row r="3422" spans="1:16" s="115" customFormat="1" ht="15" customHeight="1" x14ac:dyDescent="0.25">
      <c r="A3422" s="396"/>
      <c r="B3422" s="994"/>
      <c r="C3422" s="994"/>
      <c r="D3422" s="994" t="s">
        <v>9447</v>
      </c>
      <c r="E3422" s="854">
        <v>344905200000000</v>
      </c>
      <c r="F3422" s="855" t="s">
        <v>9122</v>
      </c>
      <c r="G3422" s="468">
        <v>4931</v>
      </c>
      <c r="H3422" s="468">
        <v>0</v>
      </c>
      <c r="I3422" s="751"/>
      <c r="J3422" s="878"/>
      <c r="K3422" s="789">
        <f>'Parâmetros financeiros Despesa'!E1814</f>
        <v>0</v>
      </c>
      <c r="L3422" s="789">
        <f>'Parâmetros financeiros Despesa'!F1814</f>
        <v>995.8</v>
      </c>
      <c r="M3422" s="799">
        <f t="shared" si="541"/>
        <v>3.0316806333485894E-3</v>
      </c>
      <c r="N3422" s="894"/>
      <c r="P3422" s="733"/>
    </row>
    <row r="3423" spans="1:16" s="774" customFormat="1" ht="15" customHeight="1" x14ac:dyDescent="0.25">
      <c r="A3423" s="397"/>
      <c r="B3423" s="1382" t="s">
        <v>8699</v>
      </c>
      <c r="C3423" s="1382"/>
      <c r="D3423" s="1382"/>
      <c r="E3423" s="1382"/>
      <c r="F3423" s="1382"/>
      <c r="G3423" s="405"/>
      <c r="H3423" s="405"/>
      <c r="I3423" s="428"/>
      <c r="J3423" s="413"/>
      <c r="K3423" s="406">
        <f t="shared" ref="K3423:L3425" si="542">K3424</f>
        <v>0</v>
      </c>
      <c r="L3423" s="406">
        <f t="shared" si="542"/>
        <v>77353</v>
      </c>
      <c r="M3423" s="453">
        <f>L3423/L$3488</f>
        <v>0.23549868651477551</v>
      </c>
      <c r="N3423" s="796"/>
      <c r="P3423" s="399"/>
    </row>
    <row r="3424" spans="1:16" s="774" customFormat="1" ht="15" customHeight="1" x14ac:dyDescent="0.25">
      <c r="A3424" s="397"/>
      <c r="B3424" s="1383" t="s">
        <v>8812</v>
      </c>
      <c r="C3424" s="1383"/>
      <c r="D3424" s="1383"/>
      <c r="E3424" s="1383"/>
      <c r="F3424" s="1383"/>
      <c r="G3424" s="407"/>
      <c r="H3424" s="407"/>
      <c r="I3424" s="429"/>
      <c r="J3424" s="414"/>
      <c r="K3424" s="408">
        <f t="shared" si="542"/>
        <v>0</v>
      </c>
      <c r="L3424" s="408">
        <f t="shared" si="542"/>
        <v>77353</v>
      </c>
      <c r="M3424" s="454">
        <f>L3424/L$3488</f>
        <v>0.23549868651477551</v>
      </c>
      <c r="N3424" s="796"/>
      <c r="P3424" s="399"/>
    </row>
    <row r="3425" spans="1:16" s="774" customFormat="1" ht="15" customHeight="1" x14ac:dyDescent="0.25">
      <c r="A3425" s="397"/>
      <c r="B3425" s="1386" t="s">
        <v>9047</v>
      </c>
      <c r="C3425" s="1386"/>
      <c r="D3425" s="1386"/>
      <c r="E3425" s="1386"/>
      <c r="F3425" s="1386"/>
      <c r="G3425" s="403"/>
      <c r="H3425" s="403"/>
      <c r="I3425" s="427"/>
      <c r="J3425" s="412"/>
      <c r="K3425" s="404">
        <f t="shared" si="542"/>
        <v>0</v>
      </c>
      <c r="L3425" s="404">
        <f t="shared" si="542"/>
        <v>77353</v>
      </c>
      <c r="M3425" s="452">
        <f>L3425/L$3488</f>
        <v>0.23549868651477551</v>
      </c>
      <c r="N3425" s="796"/>
      <c r="P3425" s="399"/>
    </row>
    <row r="3426" spans="1:16" s="774" customFormat="1" ht="15" customHeight="1" x14ac:dyDescent="0.25">
      <c r="A3426" s="397"/>
      <c r="B3426" s="1385" t="s">
        <v>8698</v>
      </c>
      <c r="C3426" s="1385"/>
      <c r="D3426" s="1385"/>
      <c r="E3426" s="1385"/>
      <c r="F3426" s="1385"/>
      <c r="G3426" s="401"/>
      <c r="H3426" s="401"/>
      <c r="I3426" s="426"/>
      <c r="J3426" s="411"/>
      <c r="K3426" s="402">
        <f>SUM(K3427:K3433)</f>
        <v>0</v>
      </c>
      <c r="L3426" s="402">
        <f>SUM(L3427:L3433)</f>
        <v>77353</v>
      </c>
      <c r="M3426" s="451">
        <f>L3426/L$3488</f>
        <v>0.23549868651477551</v>
      </c>
      <c r="N3426" s="796"/>
      <c r="P3426" s="399"/>
    </row>
    <row r="3427" spans="1:16" s="115" customFormat="1" ht="15" customHeight="1" x14ac:dyDescent="0.25">
      <c r="A3427" s="396"/>
      <c r="B3427" s="994"/>
      <c r="C3427" s="994"/>
      <c r="D3427" s="994" t="s">
        <v>9448</v>
      </c>
      <c r="E3427" s="854">
        <v>333904700000000</v>
      </c>
      <c r="F3427" s="855" t="s">
        <v>9124</v>
      </c>
      <c r="G3427" s="468">
        <v>4935</v>
      </c>
      <c r="H3427" s="468">
        <v>0</v>
      </c>
      <c r="I3427" s="751"/>
      <c r="J3427" s="878"/>
      <c r="K3427" s="789">
        <f>'Parâmetros financeiros Despesa'!E1816</f>
        <v>0</v>
      </c>
      <c r="L3427" s="789">
        <f>'Parâmetros financeiros Despesa'!F1816</f>
        <v>0.2</v>
      </c>
      <c r="M3427" s="799">
        <f t="shared" ref="M3427:M3433" si="543">L3427/L$3488</f>
        <v>6.0889347928270536E-7</v>
      </c>
      <c r="N3427" s="894"/>
      <c r="P3427" s="733"/>
    </row>
    <row r="3428" spans="1:16" s="115" customFormat="1" ht="15" customHeight="1" x14ac:dyDescent="0.25">
      <c r="A3428" s="396"/>
      <c r="B3428" s="995"/>
      <c r="C3428" s="995"/>
      <c r="D3428" s="995">
        <v>663100</v>
      </c>
      <c r="E3428" s="854">
        <v>344209300000000</v>
      </c>
      <c r="F3428" s="855" t="s">
        <v>9125</v>
      </c>
      <c r="G3428" s="468">
        <v>4935</v>
      </c>
      <c r="H3428" s="468">
        <v>0</v>
      </c>
      <c r="I3428" s="751"/>
      <c r="J3428" s="878"/>
      <c r="K3428" s="789">
        <f>'Parâmetros financeiros Despesa'!E1817</f>
        <v>0</v>
      </c>
      <c r="L3428" s="789">
        <f>'Parâmetros financeiros Despesa'!F1817</f>
        <v>1</v>
      </c>
      <c r="M3428" s="799">
        <f t="shared" si="543"/>
        <v>3.0444673964135263E-6</v>
      </c>
      <c r="N3428" s="894"/>
      <c r="P3428" s="733"/>
    </row>
    <row r="3429" spans="1:16" s="115" customFormat="1" ht="15" customHeight="1" x14ac:dyDescent="0.25">
      <c r="A3429" s="396"/>
      <c r="B3429" s="995"/>
      <c r="C3429" s="995"/>
      <c r="D3429" s="995">
        <v>663200</v>
      </c>
      <c r="E3429" s="854">
        <v>344903000000000</v>
      </c>
      <c r="F3429" s="855" t="s">
        <v>9126</v>
      </c>
      <c r="G3429" s="468">
        <v>4935</v>
      </c>
      <c r="H3429" s="468">
        <v>0</v>
      </c>
      <c r="I3429" s="751"/>
      <c r="J3429" s="878"/>
      <c r="K3429" s="789">
        <f>'Parâmetros financeiros Despesa'!E1818</f>
        <v>0</v>
      </c>
      <c r="L3429" s="789">
        <f>'Parâmetros financeiros Despesa'!F1818</f>
        <v>1</v>
      </c>
      <c r="M3429" s="799">
        <f t="shared" si="543"/>
        <v>3.0444673964135263E-6</v>
      </c>
      <c r="N3429" s="894"/>
      <c r="P3429" s="733"/>
    </row>
    <row r="3430" spans="1:16" s="115" customFormat="1" ht="14.25" customHeight="1" x14ac:dyDescent="0.25">
      <c r="A3430" s="396"/>
      <c r="B3430" s="994"/>
      <c r="C3430" s="994"/>
      <c r="D3430" s="994" t="s">
        <v>9449</v>
      </c>
      <c r="E3430" s="854">
        <v>344903600000000</v>
      </c>
      <c r="F3430" s="855" t="s">
        <v>9127</v>
      </c>
      <c r="G3430" s="468">
        <v>4935</v>
      </c>
      <c r="H3430" s="468">
        <v>0</v>
      </c>
      <c r="I3430" s="751"/>
      <c r="J3430" s="878"/>
      <c r="K3430" s="789">
        <f>'Parâmetros financeiros Despesa'!E1819</f>
        <v>0</v>
      </c>
      <c r="L3430" s="789">
        <f>'Parâmetros financeiros Despesa'!F1819</f>
        <v>1</v>
      </c>
      <c r="M3430" s="799">
        <f t="shared" si="543"/>
        <v>3.0444673964135263E-6</v>
      </c>
      <c r="N3430" s="894"/>
      <c r="P3430" s="733"/>
    </row>
    <row r="3431" spans="1:16" s="115" customFormat="1" ht="15" customHeight="1" x14ac:dyDescent="0.25">
      <c r="A3431" s="396"/>
      <c r="B3431" s="994"/>
      <c r="C3431" s="994"/>
      <c r="D3431" s="994" t="s">
        <v>9450</v>
      </c>
      <c r="E3431" s="854">
        <v>344903900000000</v>
      </c>
      <c r="F3431" s="855" t="s">
        <v>9128</v>
      </c>
      <c r="G3431" s="468">
        <v>4935</v>
      </c>
      <c r="H3431" s="468">
        <v>0</v>
      </c>
      <c r="I3431" s="751"/>
      <c r="J3431" s="878"/>
      <c r="K3431" s="789">
        <f>'Parâmetros financeiros Despesa'!E1820</f>
        <v>0</v>
      </c>
      <c r="L3431" s="789">
        <f>'Parâmetros financeiros Despesa'!F1820</f>
        <v>1</v>
      </c>
      <c r="M3431" s="799">
        <f t="shared" si="543"/>
        <v>3.0444673964135263E-6</v>
      </c>
      <c r="N3431" s="894"/>
      <c r="P3431" s="733"/>
    </row>
    <row r="3432" spans="1:16" s="115" customFormat="1" ht="15" customHeight="1" x14ac:dyDescent="0.25">
      <c r="A3432" s="396"/>
      <c r="B3432" s="994"/>
      <c r="C3432" s="994"/>
      <c r="D3432" s="994" t="s">
        <v>9451</v>
      </c>
      <c r="E3432" s="854">
        <v>344905100000000</v>
      </c>
      <c r="F3432" s="855" t="s">
        <v>9129</v>
      </c>
      <c r="G3432" s="468">
        <v>40</v>
      </c>
      <c r="H3432" s="468">
        <v>0</v>
      </c>
      <c r="I3432" s="751"/>
      <c r="J3432" s="878"/>
      <c r="K3432" s="789">
        <f>'Parâmetros financeiros Despesa'!E1821</f>
        <v>0</v>
      </c>
      <c r="L3432" s="789">
        <f>'Parâmetros financeiros Despesa'!F1821</f>
        <v>2253</v>
      </c>
      <c r="M3432" s="799">
        <f t="shared" si="543"/>
        <v>6.8591850441196752E-3</v>
      </c>
      <c r="N3432" s="894"/>
      <c r="P3432" s="733"/>
    </row>
    <row r="3433" spans="1:16" s="115" customFormat="1" ht="15" customHeight="1" x14ac:dyDescent="0.25">
      <c r="A3433" s="396"/>
      <c r="B3433" s="994"/>
      <c r="C3433" s="994"/>
      <c r="D3433" s="994" t="s">
        <v>9452</v>
      </c>
      <c r="E3433" s="854">
        <v>344905100000000</v>
      </c>
      <c r="F3433" s="855" t="s">
        <v>9129</v>
      </c>
      <c r="G3433" s="468">
        <v>4935</v>
      </c>
      <c r="H3433" s="468">
        <v>0</v>
      </c>
      <c r="I3433" s="751"/>
      <c r="J3433" s="878"/>
      <c r="K3433" s="789">
        <f>'Parâmetros financeiros Despesa'!E1822</f>
        <v>0</v>
      </c>
      <c r="L3433" s="789">
        <f>'Parâmetros financeiros Despesa'!F1822</f>
        <v>75095.8</v>
      </c>
      <c r="M3433" s="799">
        <f t="shared" si="543"/>
        <v>0.22862671470759091</v>
      </c>
      <c r="N3433" s="894"/>
      <c r="P3433" s="733"/>
    </row>
    <row r="3434" spans="1:16" s="774" customFormat="1" ht="15" customHeight="1" x14ac:dyDescent="0.25">
      <c r="A3434" s="397"/>
      <c r="B3434" s="1382" t="s">
        <v>8699</v>
      </c>
      <c r="C3434" s="1382"/>
      <c r="D3434" s="1382"/>
      <c r="E3434" s="1382"/>
      <c r="F3434" s="1382"/>
      <c r="G3434" s="405"/>
      <c r="H3434" s="405"/>
      <c r="I3434" s="428"/>
      <c r="J3434" s="413"/>
      <c r="K3434" s="406">
        <f t="shared" ref="K3434:L3436" si="544">K3435</f>
        <v>0</v>
      </c>
      <c r="L3434" s="406">
        <f t="shared" si="544"/>
        <v>51603</v>
      </c>
      <c r="M3434" s="453">
        <f>L3434/L$3488</f>
        <v>0.1571036510571272</v>
      </c>
      <c r="N3434" s="796"/>
      <c r="P3434" s="399"/>
    </row>
    <row r="3435" spans="1:16" s="774" customFormat="1" ht="15" customHeight="1" x14ac:dyDescent="0.25">
      <c r="A3435" s="397"/>
      <c r="B3435" s="1383" t="s">
        <v>8812</v>
      </c>
      <c r="C3435" s="1383"/>
      <c r="D3435" s="1383"/>
      <c r="E3435" s="1383"/>
      <c r="F3435" s="1383"/>
      <c r="G3435" s="407"/>
      <c r="H3435" s="407"/>
      <c r="I3435" s="429"/>
      <c r="J3435" s="414"/>
      <c r="K3435" s="408">
        <f t="shared" si="544"/>
        <v>0</v>
      </c>
      <c r="L3435" s="408">
        <f t="shared" si="544"/>
        <v>51603</v>
      </c>
      <c r="M3435" s="454">
        <f>L3435/L$3488</f>
        <v>0.1571036510571272</v>
      </c>
      <c r="N3435" s="796"/>
      <c r="P3435" s="399"/>
    </row>
    <row r="3436" spans="1:16" s="774" customFormat="1" ht="15" customHeight="1" x14ac:dyDescent="0.25">
      <c r="A3436" s="397"/>
      <c r="B3436" s="1386" t="s">
        <v>9453</v>
      </c>
      <c r="C3436" s="1386"/>
      <c r="D3436" s="1386"/>
      <c r="E3436" s="1386"/>
      <c r="F3436" s="1386"/>
      <c r="G3436" s="403"/>
      <c r="H3436" s="403"/>
      <c r="I3436" s="427"/>
      <c r="J3436" s="412"/>
      <c r="K3436" s="404">
        <f t="shared" si="544"/>
        <v>0</v>
      </c>
      <c r="L3436" s="404">
        <f t="shared" si="544"/>
        <v>51603</v>
      </c>
      <c r="M3436" s="452">
        <f>L3436/L$3488</f>
        <v>0.1571036510571272</v>
      </c>
      <c r="N3436" s="796"/>
      <c r="P3436" s="399"/>
    </row>
    <row r="3437" spans="1:16" s="774" customFormat="1" ht="15" customHeight="1" x14ac:dyDescent="0.25">
      <c r="A3437" s="397"/>
      <c r="B3437" s="1385" t="s">
        <v>8698</v>
      </c>
      <c r="C3437" s="1385"/>
      <c r="D3437" s="1385"/>
      <c r="E3437" s="1385"/>
      <c r="F3437" s="1385"/>
      <c r="G3437" s="401"/>
      <c r="H3437" s="401"/>
      <c r="I3437" s="426"/>
      <c r="J3437" s="411"/>
      <c r="K3437" s="402">
        <f>SUM(K3438:K3444)</f>
        <v>0</v>
      </c>
      <c r="L3437" s="402">
        <f>SUM(L3438:L3444)</f>
        <v>51603</v>
      </c>
      <c r="M3437" s="451">
        <f>L3437/L$3488</f>
        <v>0.1571036510571272</v>
      </c>
      <c r="N3437" s="796"/>
      <c r="P3437" s="399"/>
    </row>
    <row r="3438" spans="1:16" s="115" customFormat="1" ht="15" customHeight="1" x14ac:dyDescent="0.25">
      <c r="A3438" s="396"/>
      <c r="B3438" s="994"/>
      <c r="C3438" s="994"/>
      <c r="D3438" s="994" t="s">
        <v>9454</v>
      </c>
      <c r="E3438" s="854">
        <v>333904700000000</v>
      </c>
      <c r="F3438" s="855" t="s">
        <v>9130</v>
      </c>
      <c r="G3438" s="468">
        <v>4940</v>
      </c>
      <c r="H3438" s="468">
        <v>0</v>
      </c>
      <c r="I3438" s="751"/>
      <c r="J3438" s="878"/>
      <c r="K3438" s="789">
        <f>'Parâmetros financeiros Despesa'!E1824</f>
        <v>0</v>
      </c>
      <c r="L3438" s="789">
        <f>'Parâmetros financeiros Despesa'!F1824</f>
        <v>0.2</v>
      </c>
      <c r="M3438" s="799">
        <f t="shared" ref="M3438:M3444" si="545">L3438/L$3488</f>
        <v>6.0889347928270536E-7</v>
      </c>
      <c r="N3438" s="894"/>
      <c r="P3438" s="733"/>
    </row>
    <row r="3439" spans="1:16" s="115" customFormat="1" ht="15" customHeight="1" x14ac:dyDescent="0.25">
      <c r="A3439" s="396"/>
      <c r="B3439" s="995"/>
      <c r="C3439" s="995"/>
      <c r="D3439" s="995">
        <v>664100</v>
      </c>
      <c r="E3439" s="854">
        <v>344209300000000</v>
      </c>
      <c r="F3439" s="855" t="s">
        <v>9131</v>
      </c>
      <c r="G3439" s="468">
        <v>4940</v>
      </c>
      <c r="H3439" s="468">
        <v>0</v>
      </c>
      <c r="I3439" s="751"/>
      <c r="J3439" s="878"/>
      <c r="K3439" s="789">
        <f>'Parâmetros financeiros Despesa'!E1825</f>
        <v>0</v>
      </c>
      <c r="L3439" s="789">
        <f>'Parâmetros financeiros Despesa'!F1825</f>
        <v>1</v>
      </c>
      <c r="M3439" s="799">
        <f t="shared" si="545"/>
        <v>3.0444673964135263E-6</v>
      </c>
      <c r="N3439" s="894"/>
      <c r="P3439" s="733"/>
    </row>
    <row r="3440" spans="1:16" s="115" customFormat="1" ht="15" customHeight="1" x14ac:dyDescent="0.25">
      <c r="A3440" s="396"/>
      <c r="B3440" s="995"/>
      <c r="C3440" s="995"/>
      <c r="D3440" s="995">
        <v>664200</v>
      </c>
      <c r="E3440" s="854">
        <v>344903000000000</v>
      </c>
      <c r="F3440" s="855" t="s">
        <v>9132</v>
      </c>
      <c r="G3440" s="468">
        <v>4940</v>
      </c>
      <c r="H3440" s="468">
        <v>0</v>
      </c>
      <c r="I3440" s="751"/>
      <c r="J3440" s="878"/>
      <c r="K3440" s="789">
        <f>'Parâmetros financeiros Despesa'!E1826</f>
        <v>0</v>
      </c>
      <c r="L3440" s="789">
        <f>'Parâmetros financeiros Despesa'!F1826</f>
        <v>1</v>
      </c>
      <c r="M3440" s="799">
        <f t="shared" si="545"/>
        <v>3.0444673964135263E-6</v>
      </c>
      <c r="N3440" s="894"/>
      <c r="P3440" s="733"/>
    </row>
    <row r="3441" spans="1:16" s="115" customFormat="1" ht="14.25" customHeight="1" x14ac:dyDescent="0.25">
      <c r="A3441" s="396"/>
      <c r="B3441" s="994"/>
      <c r="C3441" s="994"/>
      <c r="D3441" s="994" t="s">
        <v>9455</v>
      </c>
      <c r="E3441" s="854">
        <v>344903600000000</v>
      </c>
      <c r="F3441" s="855" t="s">
        <v>9133</v>
      </c>
      <c r="G3441" s="468">
        <v>4940</v>
      </c>
      <c r="H3441" s="468">
        <v>0</v>
      </c>
      <c r="I3441" s="751"/>
      <c r="J3441" s="878"/>
      <c r="K3441" s="789">
        <f>'Parâmetros financeiros Despesa'!E1827</f>
        <v>0</v>
      </c>
      <c r="L3441" s="789">
        <f>'Parâmetros financeiros Despesa'!F1827</f>
        <v>1</v>
      </c>
      <c r="M3441" s="799">
        <f t="shared" si="545"/>
        <v>3.0444673964135263E-6</v>
      </c>
      <c r="N3441" s="894"/>
      <c r="P3441" s="733"/>
    </row>
    <row r="3442" spans="1:16" s="115" customFormat="1" ht="15" customHeight="1" x14ac:dyDescent="0.25">
      <c r="A3442" s="396"/>
      <c r="B3442" s="994"/>
      <c r="C3442" s="994"/>
      <c r="D3442" s="994" t="s">
        <v>9456</v>
      </c>
      <c r="E3442" s="854">
        <v>344903900000000</v>
      </c>
      <c r="F3442" s="855" t="s">
        <v>9134</v>
      </c>
      <c r="G3442" s="468">
        <v>4940</v>
      </c>
      <c r="H3442" s="468">
        <v>0</v>
      </c>
      <c r="I3442" s="751"/>
      <c r="J3442" s="878"/>
      <c r="K3442" s="789">
        <f>'Parâmetros financeiros Despesa'!E1828</f>
        <v>0</v>
      </c>
      <c r="L3442" s="789">
        <f>'Parâmetros financeiros Despesa'!F1828</f>
        <v>1</v>
      </c>
      <c r="M3442" s="799">
        <f t="shared" si="545"/>
        <v>3.0444673964135263E-6</v>
      </c>
      <c r="N3442" s="894"/>
      <c r="P3442" s="733"/>
    </row>
    <row r="3443" spans="1:16" s="115" customFormat="1" ht="15" customHeight="1" x14ac:dyDescent="0.25">
      <c r="A3443" s="396"/>
      <c r="B3443" s="994"/>
      <c r="C3443" s="994"/>
      <c r="D3443" s="994" t="s">
        <v>9457</v>
      </c>
      <c r="E3443" s="854">
        <v>344905200000000</v>
      </c>
      <c r="F3443" s="855" t="s">
        <v>9135</v>
      </c>
      <c r="G3443" s="468">
        <v>40</v>
      </c>
      <c r="H3443" s="468">
        <v>0</v>
      </c>
      <c r="I3443" s="751"/>
      <c r="J3443" s="878"/>
      <c r="K3443" s="789">
        <f>'Parâmetros financeiros Despesa'!E1829</f>
        <v>0</v>
      </c>
      <c r="L3443" s="789">
        <f>'Parâmetros financeiros Despesa'!F1829</f>
        <v>1503</v>
      </c>
      <c r="M3443" s="799">
        <f t="shared" si="545"/>
        <v>4.5758344968095301E-3</v>
      </c>
      <c r="N3443" s="894"/>
      <c r="P3443" s="733"/>
    </row>
    <row r="3444" spans="1:16" s="115" customFormat="1" ht="15" customHeight="1" x14ac:dyDescent="0.25">
      <c r="A3444" s="396"/>
      <c r="B3444" s="994"/>
      <c r="C3444" s="994"/>
      <c r="D3444" s="994" t="s">
        <v>9458</v>
      </c>
      <c r="E3444" s="854">
        <v>344905200000000</v>
      </c>
      <c r="F3444" s="855" t="s">
        <v>9135</v>
      </c>
      <c r="G3444" s="468">
        <v>4940</v>
      </c>
      <c r="H3444" s="468">
        <v>0</v>
      </c>
      <c r="I3444" s="751"/>
      <c r="J3444" s="878"/>
      <c r="K3444" s="789">
        <f>'Parâmetros financeiros Despesa'!E1830</f>
        <v>0</v>
      </c>
      <c r="L3444" s="789">
        <f>'Parâmetros financeiros Despesa'!F1830</f>
        <v>50095.8</v>
      </c>
      <c r="M3444" s="799">
        <f t="shared" si="545"/>
        <v>0.15251502979725276</v>
      </c>
      <c r="N3444" s="894"/>
      <c r="P3444" s="733"/>
    </row>
    <row r="3445" spans="1:16" s="774" customFormat="1" ht="15" customHeight="1" x14ac:dyDescent="0.25">
      <c r="A3445" s="397"/>
      <c r="B3445" s="1382" t="s">
        <v>8699</v>
      </c>
      <c r="C3445" s="1382"/>
      <c r="D3445" s="1382"/>
      <c r="E3445" s="1382"/>
      <c r="F3445" s="1382"/>
      <c r="G3445" s="405"/>
      <c r="H3445" s="405"/>
      <c r="I3445" s="428"/>
      <c r="J3445" s="413"/>
      <c r="K3445" s="406">
        <f t="shared" ref="K3445:L3448" si="546">K3446</f>
        <v>0</v>
      </c>
      <c r="L3445" s="406">
        <f t="shared" si="546"/>
        <v>300</v>
      </c>
      <c r="M3445" s="453">
        <f>L3445/L$3488</f>
        <v>9.1334021892405793E-4</v>
      </c>
      <c r="N3445" s="796"/>
      <c r="P3445" s="399"/>
    </row>
    <row r="3446" spans="1:16" s="774" customFormat="1" ht="15" customHeight="1" x14ac:dyDescent="0.25">
      <c r="A3446" s="397"/>
      <c r="B3446" s="1383" t="s">
        <v>8812</v>
      </c>
      <c r="C3446" s="1383"/>
      <c r="D3446" s="1383"/>
      <c r="E3446" s="1383"/>
      <c r="F3446" s="1383"/>
      <c r="G3446" s="407"/>
      <c r="H3446" s="407"/>
      <c r="I3446" s="429"/>
      <c r="J3446" s="414"/>
      <c r="K3446" s="408">
        <f t="shared" si="546"/>
        <v>0</v>
      </c>
      <c r="L3446" s="408">
        <f t="shared" si="546"/>
        <v>300</v>
      </c>
      <c r="M3446" s="454">
        <f>L3446/L$3488</f>
        <v>9.1334021892405793E-4</v>
      </c>
      <c r="N3446" s="796"/>
      <c r="P3446" s="399"/>
    </row>
    <row r="3447" spans="1:16" s="774" customFormat="1" ht="15" customHeight="1" x14ac:dyDescent="0.25">
      <c r="A3447" s="397"/>
      <c r="B3447" s="1386" t="s">
        <v>9108</v>
      </c>
      <c r="C3447" s="1386"/>
      <c r="D3447" s="1386"/>
      <c r="E3447" s="1386"/>
      <c r="F3447" s="1386"/>
      <c r="G3447" s="403"/>
      <c r="H3447" s="403"/>
      <c r="I3447" s="427"/>
      <c r="J3447" s="412"/>
      <c r="K3447" s="404">
        <f t="shared" si="546"/>
        <v>0</v>
      </c>
      <c r="L3447" s="404">
        <f t="shared" si="546"/>
        <v>300</v>
      </c>
      <c r="M3447" s="452">
        <f>L3447/L$3488</f>
        <v>9.1334021892405793E-4</v>
      </c>
      <c r="N3447" s="796"/>
      <c r="P3447" s="399"/>
    </row>
    <row r="3448" spans="1:16" s="774" customFormat="1" ht="15" customHeight="1" x14ac:dyDescent="0.25">
      <c r="A3448" s="397"/>
      <c r="B3448" s="1385" t="s">
        <v>8698</v>
      </c>
      <c r="C3448" s="1385"/>
      <c r="D3448" s="1385"/>
      <c r="E3448" s="1385"/>
      <c r="F3448" s="1385"/>
      <c r="G3448" s="401"/>
      <c r="H3448" s="401"/>
      <c r="I3448" s="426"/>
      <c r="J3448" s="411"/>
      <c r="K3448" s="402">
        <f t="shared" si="546"/>
        <v>0</v>
      </c>
      <c r="L3448" s="402">
        <f t="shared" si="546"/>
        <v>300</v>
      </c>
      <c r="M3448" s="451">
        <f>L3448/L$3488</f>
        <v>9.1334021892405793E-4</v>
      </c>
      <c r="N3448" s="796"/>
      <c r="P3448" s="399"/>
    </row>
    <row r="3449" spans="1:16" s="115" customFormat="1" ht="15" customHeight="1" x14ac:dyDescent="0.25">
      <c r="A3449" s="396"/>
      <c r="B3449" s="995"/>
      <c r="C3449" s="995"/>
      <c r="D3449" s="995">
        <v>665000</v>
      </c>
      <c r="E3449" s="854">
        <v>333903000000000</v>
      </c>
      <c r="F3449" s="855" t="s">
        <v>9136</v>
      </c>
      <c r="G3449" s="468">
        <v>4911</v>
      </c>
      <c r="H3449" s="468">
        <v>0</v>
      </c>
      <c r="I3449" s="751"/>
      <c r="J3449" s="878"/>
      <c r="K3449" s="789">
        <f>'Parâmetros financeiros Despesa'!E1832</f>
        <v>0</v>
      </c>
      <c r="L3449" s="789">
        <f>'Parâmetros financeiros Despesa'!F1832</f>
        <v>300</v>
      </c>
      <c r="M3449" s="799">
        <f t="shared" ref="M3449" si="547">L3449/L$3488</f>
        <v>9.1334021892405793E-4</v>
      </c>
      <c r="N3449" s="894"/>
      <c r="P3449" s="733"/>
    </row>
    <row r="3450" spans="1:16" s="774" customFormat="1" ht="15" customHeight="1" x14ac:dyDescent="0.25">
      <c r="A3450" s="397"/>
      <c r="B3450" s="1382" t="s">
        <v>8699</v>
      </c>
      <c r="C3450" s="1382"/>
      <c r="D3450" s="1382"/>
      <c r="E3450" s="1382"/>
      <c r="F3450" s="1382"/>
      <c r="G3450" s="405"/>
      <c r="H3450" s="405"/>
      <c r="I3450" s="428"/>
      <c r="J3450" s="413"/>
      <c r="K3450" s="406">
        <f t="shared" ref="K3450:L3452" si="548">K3451</f>
        <v>15549.314999999999</v>
      </c>
      <c r="L3450" s="406">
        <f t="shared" si="548"/>
        <v>43721.83</v>
      </c>
      <c r="M3450" s="453">
        <f>L3450/L$3488</f>
        <v>0.13310968594653483</v>
      </c>
      <c r="N3450" s="796"/>
      <c r="P3450" s="399"/>
    </row>
    <row r="3451" spans="1:16" s="774" customFormat="1" ht="15" customHeight="1" x14ac:dyDescent="0.25">
      <c r="A3451" s="397"/>
      <c r="B3451" s="1383" t="s">
        <v>8812</v>
      </c>
      <c r="C3451" s="1383"/>
      <c r="D3451" s="1383"/>
      <c r="E3451" s="1383"/>
      <c r="F3451" s="1383"/>
      <c r="G3451" s="407"/>
      <c r="H3451" s="407"/>
      <c r="I3451" s="429"/>
      <c r="J3451" s="414"/>
      <c r="K3451" s="408">
        <f t="shared" si="548"/>
        <v>15549.314999999999</v>
      </c>
      <c r="L3451" s="408">
        <f t="shared" si="548"/>
        <v>43721.83</v>
      </c>
      <c r="M3451" s="454">
        <f>L3451/L$3488</f>
        <v>0.13310968594653483</v>
      </c>
      <c r="N3451" s="796"/>
      <c r="P3451" s="399"/>
    </row>
    <row r="3452" spans="1:16" s="774" customFormat="1" ht="15" customHeight="1" x14ac:dyDescent="0.25">
      <c r="A3452" s="397"/>
      <c r="B3452" s="1386" t="s">
        <v>9109</v>
      </c>
      <c r="C3452" s="1386"/>
      <c r="D3452" s="1386"/>
      <c r="E3452" s="1386"/>
      <c r="F3452" s="1386"/>
      <c r="G3452" s="403"/>
      <c r="H3452" s="403"/>
      <c r="I3452" s="427"/>
      <c r="J3452" s="412"/>
      <c r="K3452" s="404">
        <f t="shared" si="548"/>
        <v>15549.314999999999</v>
      </c>
      <c r="L3452" s="404">
        <f t="shared" si="548"/>
        <v>43721.83</v>
      </c>
      <c r="M3452" s="452">
        <f>L3452/L$3488</f>
        <v>0.13310968594653483</v>
      </c>
      <c r="N3452" s="796"/>
      <c r="P3452" s="399"/>
    </row>
    <row r="3453" spans="1:16" s="774" customFormat="1" ht="15" customHeight="1" x14ac:dyDescent="0.25">
      <c r="A3453" s="397"/>
      <c r="B3453" s="1385" t="s">
        <v>8698</v>
      </c>
      <c r="C3453" s="1385"/>
      <c r="D3453" s="1385"/>
      <c r="E3453" s="1385"/>
      <c r="F3453" s="1385"/>
      <c r="G3453" s="401"/>
      <c r="H3453" s="401"/>
      <c r="I3453" s="426"/>
      <c r="J3453" s="411"/>
      <c r="K3453" s="402">
        <f>SUM(K3454:K3457)</f>
        <v>15549.314999999999</v>
      </c>
      <c r="L3453" s="402">
        <f>SUM(L3454:L3457)</f>
        <v>43721.83</v>
      </c>
      <c r="M3453" s="451">
        <f>L3453/L$3488</f>
        <v>0.13310968594653483</v>
      </c>
      <c r="N3453" s="796"/>
      <c r="P3453" s="399"/>
    </row>
    <row r="3454" spans="1:16" s="115" customFormat="1" ht="15" customHeight="1" x14ac:dyDescent="0.25">
      <c r="A3454" s="396"/>
      <c r="B3454" s="995"/>
      <c r="C3454" s="995"/>
      <c r="D3454" s="995">
        <v>666000</v>
      </c>
      <c r="E3454" s="854">
        <v>333903000000000</v>
      </c>
      <c r="F3454" s="855" t="s">
        <v>9460</v>
      </c>
      <c r="G3454" s="468">
        <v>40</v>
      </c>
      <c r="H3454" s="468">
        <v>0</v>
      </c>
      <c r="I3454" s="751"/>
      <c r="J3454" s="878"/>
      <c r="K3454" s="789">
        <f>'Parâmetros financeiros Despesa'!E1834</f>
        <v>0</v>
      </c>
      <c r="L3454" s="789">
        <f>'Parâmetros financeiros Despesa'!F1834</f>
        <v>20000</v>
      </c>
      <c r="M3454" s="799">
        <f t="shared" ref="M3454:M3457" si="549">L3454/L$3488</f>
        <v>6.0889347928270526E-2</v>
      </c>
      <c r="N3454" s="894"/>
      <c r="P3454" s="733"/>
    </row>
    <row r="3455" spans="1:16" s="115" customFormat="1" ht="15" customHeight="1" x14ac:dyDescent="0.25">
      <c r="A3455" s="396"/>
      <c r="B3455" s="995"/>
      <c r="C3455" s="995"/>
      <c r="D3455" s="995">
        <v>666100</v>
      </c>
      <c r="E3455" s="854">
        <v>333903000000000</v>
      </c>
      <c r="F3455" s="855" t="s">
        <v>9138</v>
      </c>
      <c r="G3455" s="468">
        <v>4770</v>
      </c>
      <c r="H3455" s="468"/>
      <c r="I3455" s="751"/>
      <c r="J3455" s="878"/>
      <c r="K3455" s="789">
        <f>'Parâmetros financeiros Despesa'!E1835</f>
        <v>15549.314999999999</v>
      </c>
      <c r="L3455" s="789">
        <f>'Parâmetros financeiros Despesa'!F1835</f>
        <v>16000</v>
      </c>
      <c r="M3455" s="799">
        <f t="shared" si="549"/>
        <v>4.8711478342616424E-2</v>
      </c>
      <c r="N3455" s="894"/>
      <c r="P3455" s="733"/>
    </row>
    <row r="3456" spans="1:16" s="115" customFormat="1" ht="14.25" customHeight="1" x14ac:dyDescent="0.25">
      <c r="A3456" s="396"/>
      <c r="B3456" s="994"/>
      <c r="C3456" s="994"/>
      <c r="D3456" s="994" t="s">
        <v>9459</v>
      </c>
      <c r="E3456" s="854">
        <v>333903200000000</v>
      </c>
      <c r="F3456" s="855" t="s">
        <v>9139</v>
      </c>
      <c r="G3456" s="468">
        <v>4770</v>
      </c>
      <c r="H3456" s="468">
        <v>0</v>
      </c>
      <c r="I3456" s="751"/>
      <c r="J3456" s="878"/>
      <c r="K3456" s="789">
        <f>'Parâmetros financeiros Despesa'!E1836</f>
        <v>0</v>
      </c>
      <c r="L3456" s="789">
        <f>'Parâmetros financeiros Despesa'!F1836</f>
        <v>7720.83</v>
      </c>
      <c r="M3456" s="799">
        <f t="shared" si="549"/>
        <v>2.3505815208251447E-2</v>
      </c>
      <c r="N3456" s="894"/>
      <c r="P3456" s="733"/>
    </row>
    <row r="3457" spans="1:21" s="115" customFormat="1" ht="15" customHeight="1" x14ac:dyDescent="0.25">
      <c r="A3457" s="396"/>
      <c r="B3457" s="994"/>
      <c r="C3457" s="994"/>
      <c r="D3457" s="994" t="s">
        <v>11494</v>
      </c>
      <c r="E3457" s="854">
        <v>333903900000000</v>
      </c>
      <c r="F3457" s="855" t="s">
        <v>9137</v>
      </c>
      <c r="G3457" s="468">
        <v>4770</v>
      </c>
      <c r="H3457" s="468">
        <v>0</v>
      </c>
      <c r="I3457" s="751"/>
      <c r="J3457" s="878"/>
      <c r="K3457" s="789">
        <f>'Parâmetros financeiros Despesa'!E1837</f>
        <v>0</v>
      </c>
      <c r="L3457" s="789">
        <f>'Parâmetros financeiros Despesa'!F1837</f>
        <v>1</v>
      </c>
      <c r="M3457" s="799">
        <f t="shared" si="549"/>
        <v>3.0444673964135263E-6</v>
      </c>
      <c r="N3457" s="894"/>
      <c r="P3457" s="733"/>
    </row>
    <row r="3458" spans="1:21" s="774" customFormat="1" ht="15" customHeight="1" x14ac:dyDescent="0.25">
      <c r="A3458" s="397"/>
      <c r="B3458" s="1382" t="s">
        <v>8699</v>
      </c>
      <c r="C3458" s="1382"/>
      <c r="D3458" s="1382"/>
      <c r="E3458" s="1382"/>
      <c r="F3458" s="1382"/>
      <c r="G3458" s="405"/>
      <c r="H3458" s="405"/>
      <c r="I3458" s="428"/>
      <c r="J3458" s="413"/>
      <c r="K3458" s="406">
        <f t="shared" ref="K3458:L3460" si="550">K3459</f>
        <v>7858.5</v>
      </c>
      <c r="L3458" s="406">
        <f t="shared" si="550"/>
        <v>24448.576999999997</v>
      </c>
      <c r="M3458" s="453">
        <f>L3458/L$3488</f>
        <v>7.4432895565205617E-2</v>
      </c>
      <c r="N3458" s="796"/>
      <c r="P3458" s="399"/>
    </row>
    <row r="3459" spans="1:21" s="774" customFormat="1" ht="15" customHeight="1" x14ac:dyDescent="0.25">
      <c r="A3459" s="397"/>
      <c r="B3459" s="1383" t="s">
        <v>8960</v>
      </c>
      <c r="C3459" s="1383"/>
      <c r="D3459" s="1383"/>
      <c r="E3459" s="1383"/>
      <c r="F3459" s="1383"/>
      <c r="G3459" s="407"/>
      <c r="H3459" s="407"/>
      <c r="I3459" s="429"/>
      <c r="J3459" s="414"/>
      <c r="K3459" s="408">
        <f t="shared" si="550"/>
        <v>7858.5</v>
      </c>
      <c r="L3459" s="408">
        <f t="shared" si="550"/>
        <v>24448.576999999997</v>
      </c>
      <c r="M3459" s="454">
        <f>L3459/L$3488</f>
        <v>7.4432895565205617E-2</v>
      </c>
      <c r="N3459" s="796"/>
      <c r="P3459" s="399"/>
    </row>
    <row r="3460" spans="1:21" s="774" customFormat="1" ht="15" customHeight="1" x14ac:dyDescent="0.25">
      <c r="A3460" s="397"/>
      <c r="B3460" s="1386" t="s">
        <v>8961</v>
      </c>
      <c r="C3460" s="1386"/>
      <c r="D3460" s="1386"/>
      <c r="E3460" s="1386"/>
      <c r="F3460" s="1386"/>
      <c r="G3460" s="403"/>
      <c r="H3460" s="403"/>
      <c r="I3460" s="427"/>
      <c r="J3460" s="412"/>
      <c r="K3460" s="404">
        <f t="shared" si="550"/>
        <v>7858.5</v>
      </c>
      <c r="L3460" s="404">
        <f t="shared" si="550"/>
        <v>24448.576999999997</v>
      </c>
      <c r="M3460" s="452">
        <f>L3460/L$3488</f>
        <v>7.4432895565205617E-2</v>
      </c>
      <c r="N3460" s="796"/>
      <c r="P3460" s="399"/>
    </row>
    <row r="3461" spans="1:21" s="774" customFormat="1" ht="15" customHeight="1" x14ac:dyDescent="0.25">
      <c r="A3461" s="397"/>
      <c r="B3461" s="1385" t="s">
        <v>8698</v>
      </c>
      <c r="C3461" s="1385"/>
      <c r="D3461" s="1385"/>
      <c r="E3461" s="1385"/>
      <c r="F3461" s="1385"/>
      <c r="G3461" s="401"/>
      <c r="H3461" s="401"/>
      <c r="I3461" s="426"/>
      <c r="J3461" s="411"/>
      <c r="K3461" s="402">
        <f>SUM(K3462:K3477)</f>
        <v>7858.5</v>
      </c>
      <c r="L3461" s="402">
        <f>SUM(L3462:L3477)</f>
        <v>24448.576999999997</v>
      </c>
      <c r="M3461" s="451">
        <f>L3461/L$3488</f>
        <v>7.4432895565205617E-2</v>
      </c>
      <c r="N3461" s="796"/>
      <c r="P3461" s="399"/>
    </row>
    <row r="3462" spans="1:21" s="115" customFormat="1" ht="15" customHeight="1" x14ac:dyDescent="0.25">
      <c r="A3462" s="396"/>
      <c r="B3462" s="1398" t="s">
        <v>9463</v>
      </c>
      <c r="C3462" s="1398"/>
      <c r="D3462" s="1398"/>
      <c r="E3462" s="854">
        <v>331900400000000</v>
      </c>
      <c r="F3462" s="855" t="s">
        <v>8964</v>
      </c>
      <c r="G3462" s="468">
        <v>4580</v>
      </c>
      <c r="H3462" s="468">
        <v>0</v>
      </c>
      <c r="I3462" s="751"/>
      <c r="J3462" s="878"/>
      <c r="K3462" s="789">
        <f>'Parâmetros financeiros Despesa'!E1839</f>
        <v>0</v>
      </c>
      <c r="L3462" s="789">
        <f>'Parâmetros financeiros Despesa'!F1839</f>
        <v>1</v>
      </c>
      <c r="M3462" s="799">
        <f t="shared" ref="M3462:M3476" si="551">L3462/L$3488</f>
        <v>3.0444673964135263E-6</v>
      </c>
      <c r="N3462" s="894"/>
      <c r="P3462" s="733"/>
    </row>
    <row r="3463" spans="1:21" s="115" customFormat="1" ht="15" customHeight="1" x14ac:dyDescent="0.25">
      <c r="A3463" s="396"/>
      <c r="B3463" s="1398" t="s">
        <v>9464</v>
      </c>
      <c r="C3463" s="1398"/>
      <c r="D3463" s="1398"/>
      <c r="E3463" s="854">
        <v>331901100000000</v>
      </c>
      <c r="F3463" s="855" t="s">
        <v>8965</v>
      </c>
      <c r="G3463" s="468">
        <v>4580</v>
      </c>
      <c r="H3463" s="468">
        <v>0</v>
      </c>
      <c r="I3463" s="751"/>
      <c r="J3463" s="878"/>
      <c r="K3463" s="789">
        <f>'Parâmetros financeiros Despesa'!E1840</f>
        <v>0</v>
      </c>
      <c r="L3463" s="789">
        <f>'Parâmetros financeiros Despesa'!F1840</f>
        <v>3982.4799999999996</v>
      </c>
      <c r="M3463" s="799">
        <f t="shared" si="551"/>
        <v>1.212453051686894E-2</v>
      </c>
      <c r="N3463" s="894"/>
      <c r="P3463" s="733"/>
    </row>
    <row r="3464" spans="1:21" s="115" customFormat="1" ht="15" customHeight="1" x14ac:dyDescent="0.25">
      <c r="A3464" s="396"/>
      <c r="B3464" s="1398" t="s">
        <v>9465</v>
      </c>
      <c r="C3464" s="1398"/>
      <c r="D3464" s="1398"/>
      <c r="E3464" s="854">
        <v>331901300000000</v>
      </c>
      <c r="F3464" s="855" t="s">
        <v>9140</v>
      </c>
      <c r="G3464" s="468">
        <v>4580</v>
      </c>
      <c r="H3464" s="468">
        <v>0</v>
      </c>
      <c r="I3464" s="751"/>
      <c r="J3464" s="878"/>
      <c r="K3464" s="789">
        <f>'Parâmetros financeiros Despesa'!E1841</f>
        <v>0</v>
      </c>
      <c r="L3464" s="789">
        <f>'Parâmetros financeiros Despesa'!F1841</f>
        <v>1</v>
      </c>
      <c r="M3464" s="799">
        <f t="shared" si="551"/>
        <v>3.0444673964135263E-6</v>
      </c>
      <c r="N3464" s="894"/>
      <c r="P3464" s="733"/>
    </row>
    <row r="3465" spans="1:21" s="115" customFormat="1" ht="15" customHeight="1" x14ac:dyDescent="0.25">
      <c r="A3465" s="396"/>
      <c r="B3465" s="1398" t="s">
        <v>9466</v>
      </c>
      <c r="C3465" s="1398"/>
      <c r="D3465" s="1398"/>
      <c r="E3465" s="854">
        <v>331901600000000</v>
      </c>
      <c r="F3465" s="855" t="s">
        <v>8967</v>
      </c>
      <c r="G3465" s="468">
        <v>4580</v>
      </c>
      <c r="H3465" s="468">
        <v>0</v>
      </c>
      <c r="I3465" s="751"/>
      <c r="J3465" s="878"/>
      <c r="K3465" s="789">
        <f>'Parâmetros financeiros Despesa'!E1842</f>
        <v>0</v>
      </c>
      <c r="L3465" s="789">
        <f>'Parâmetros financeiros Despesa'!F1842</f>
        <v>1</v>
      </c>
      <c r="M3465" s="799">
        <f t="shared" si="551"/>
        <v>3.0444673964135263E-6</v>
      </c>
      <c r="N3465" s="894"/>
      <c r="P3465" s="733"/>
    </row>
    <row r="3466" spans="1:21" s="115" customFormat="1" ht="15" customHeight="1" x14ac:dyDescent="0.25">
      <c r="A3466" s="396"/>
      <c r="B3466" s="1398" t="s">
        <v>9467</v>
      </c>
      <c r="C3466" s="1398"/>
      <c r="D3466" s="1398"/>
      <c r="E3466" s="854">
        <v>333901400000000</v>
      </c>
      <c r="F3466" s="855" t="s">
        <v>8996</v>
      </c>
      <c r="G3466" s="468">
        <v>4580</v>
      </c>
      <c r="H3466" s="468">
        <v>0</v>
      </c>
      <c r="I3466" s="751"/>
      <c r="J3466" s="878"/>
      <c r="K3466" s="789">
        <f>'Parâmetros financeiros Despesa'!E1843</f>
        <v>358.5</v>
      </c>
      <c r="L3466" s="789">
        <f>'Parâmetros financeiros Despesa'!F1843</f>
        <v>1000</v>
      </c>
      <c r="M3466" s="799">
        <f t="shared" si="551"/>
        <v>3.0444673964135265E-3</v>
      </c>
      <c r="N3466" s="894"/>
      <c r="P3466" s="733"/>
    </row>
    <row r="3467" spans="1:21" s="115" customFormat="1" ht="15" customHeight="1" x14ac:dyDescent="0.25">
      <c r="B3467" s="879"/>
      <c r="C3467" s="879"/>
      <c r="D3467" s="880">
        <v>667500</v>
      </c>
      <c r="E3467" s="854">
        <v>333903000000000</v>
      </c>
      <c r="F3467" s="855" t="s">
        <v>9141</v>
      </c>
      <c r="G3467" s="468">
        <v>4580</v>
      </c>
      <c r="H3467" s="468">
        <v>0</v>
      </c>
      <c r="I3467" s="751"/>
      <c r="J3467" s="878"/>
      <c r="K3467" s="789">
        <f>'Parâmetros financeiros Despesa'!E1844</f>
        <v>7500</v>
      </c>
      <c r="L3467" s="789">
        <f>'Parâmetros financeiros Despesa'!F1844</f>
        <v>11305.46</v>
      </c>
      <c r="M3467" s="799">
        <f t="shared" si="551"/>
        <v>3.4419104371457267E-2</v>
      </c>
      <c r="N3467" s="894"/>
      <c r="O3467" s="396"/>
      <c r="P3467" s="463"/>
      <c r="S3467" s="463"/>
      <c r="T3467" s="463"/>
      <c r="U3467" s="463"/>
    </row>
    <row r="3468" spans="1:21" s="115" customFormat="1" ht="15" customHeight="1" x14ac:dyDescent="0.25">
      <c r="B3468" s="994"/>
      <c r="C3468" s="994"/>
      <c r="D3468" s="880">
        <v>667600</v>
      </c>
      <c r="E3468" s="854">
        <v>333903200000000</v>
      </c>
      <c r="F3468" s="855" t="s">
        <v>9142</v>
      </c>
      <c r="G3468" s="468">
        <v>4580</v>
      </c>
      <c r="H3468" s="468">
        <v>0</v>
      </c>
      <c r="I3468" s="751"/>
      <c r="J3468" s="878"/>
      <c r="K3468" s="789">
        <f>'Parâmetros financeiros Despesa'!E1845</f>
        <v>0</v>
      </c>
      <c r="L3468" s="789">
        <f>'Parâmetros financeiros Despesa'!F1845</f>
        <v>1000</v>
      </c>
      <c r="M3468" s="799">
        <f t="shared" si="551"/>
        <v>3.0444673964135265E-3</v>
      </c>
      <c r="N3468" s="894"/>
      <c r="O3468" s="396"/>
      <c r="P3468" s="463"/>
      <c r="S3468" s="463"/>
      <c r="T3468" s="463"/>
      <c r="U3468" s="463"/>
    </row>
    <row r="3469" spans="1:21" s="115" customFormat="1" ht="15" customHeight="1" x14ac:dyDescent="0.25">
      <c r="B3469" s="994"/>
      <c r="C3469" s="994"/>
      <c r="D3469" s="880">
        <v>667700</v>
      </c>
      <c r="E3469" s="854">
        <v>333903300000000</v>
      </c>
      <c r="F3469" s="855" t="s">
        <v>9461</v>
      </c>
      <c r="G3469" s="468">
        <v>4580</v>
      </c>
      <c r="H3469" s="468">
        <v>0</v>
      </c>
      <c r="I3469" s="751"/>
      <c r="J3469" s="878"/>
      <c r="K3469" s="789">
        <f>'Parâmetros financeiros Despesa'!E1846</f>
        <v>0</v>
      </c>
      <c r="L3469" s="789">
        <f>'Parâmetros financeiros Despesa'!F1846</f>
        <v>500</v>
      </c>
      <c r="M3469" s="799">
        <f t="shared" si="551"/>
        <v>1.5222336982067632E-3</v>
      </c>
      <c r="N3469" s="894"/>
      <c r="O3469" s="396"/>
      <c r="P3469" s="463"/>
      <c r="S3469" s="463"/>
      <c r="T3469" s="463"/>
      <c r="U3469" s="463"/>
    </row>
    <row r="3470" spans="1:21" s="115" customFormat="1" ht="15" customHeight="1" x14ac:dyDescent="0.25">
      <c r="B3470" s="994"/>
      <c r="C3470" s="994"/>
      <c r="D3470" s="880">
        <v>667800</v>
      </c>
      <c r="E3470" s="854">
        <v>333903600000000</v>
      </c>
      <c r="F3470" s="855" t="s">
        <v>9143</v>
      </c>
      <c r="G3470" s="468">
        <v>4580</v>
      </c>
      <c r="H3470" s="468">
        <v>0</v>
      </c>
      <c r="I3470" s="751"/>
      <c r="J3470" s="878"/>
      <c r="K3470" s="789">
        <f>'Parâmetros financeiros Despesa'!E1847</f>
        <v>0</v>
      </c>
      <c r="L3470" s="789">
        <f>'Parâmetros financeiros Despesa'!F1847</f>
        <v>500</v>
      </c>
      <c r="M3470" s="799">
        <f t="shared" si="551"/>
        <v>1.5222336982067632E-3</v>
      </c>
      <c r="N3470" s="894"/>
      <c r="O3470" s="396"/>
      <c r="P3470" s="463"/>
      <c r="S3470" s="463"/>
      <c r="T3470" s="463"/>
      <c r="U3470" s="463"/>
    </row>
    <row r="3471" spans="1:21" s="115" customFormat="1" ht="15" customHeight="1" x14ac:dyDescent="0.25">
      <c r="B3471" s="994"/>
      <c r="C3471" s="994"/>
      <c r="D3471" s="880">
        <v>667900</v>
      </c>
      <c r="E3471" s="854">
        <v>333903900000000</v>
      </c>
      <c r="F3471" s="855" t="s">
        <v>9144</v>
      </c>
      <c r="G3471" s="468">
        <v>4580</v>
      </c>
      <c r="H3471" s="468">
        <v>0</v>
      </c>
      <c r="I3471" s="751"/>
      <c r="J3471" s="878"/>
      <c r="K3471" s="789">
        <f>'Parâmetros financeiros Despesa'!E1848</f>
        <v>0</v>
      </c>
      <c r="L3471" s="789">
        <f>'Parâmetros financeiros Despesa'!F1848</f>
        <v>1500</v>
      </c>
      <c r="M3471" s="799">
        <f t="shared" si="551"/>
        <v>4.5667010946202893E-3</v>
      </c>
      <c r="N3471" s="894"/>
      <c r="O3471" s="396"/>
      <c r="P3471" s="463"/>
      <c r="S3471" s="463"/>
      <c r="T3471" s="463"/>
      <c r="U3471" s="463"/>
    </row>
    <row r="3472" spans="1:21" s="115" customFormat="1" ht="15" customHeight="1" x14ac:dyDescent="0.25">
      <c r="B3472" s="994"/>
      <c r="C3472" s="994"/>
      <c r="D3472" s="880">
        <v>668000</v>
      </c>
      <c r="E3472" s="854">
        <v>333904700000000</v>
      </c>
      <c r="F3472" s="855" t="s">
        <v>9145</v>
      </c>
      <c r="G3472" s="468">
        <v>4580</v>
      </c>
      <c r="H3472" s="468">
        <v>0</v>
      </c>
      <c r="I3472" s="751"/>
      <c r="J3472" s="878"/>
      <c r="K3472" s="789">
        <f>'Parâmetros financeiros Despesa'!E1849</f>
        <v>0</v>
      </c>
      <c r="L3472" s="789">
        <f>'Parâmetros financeiros Despesa'!F1849</f>
        <v>119.047</v>
      </c>
      <c r="M3472" s="799">
        <f t="shared" si="551"/>
        <v>3.6243471014084106E-4</v>
      </c>
      <c r="N3472" s="894"/>
      <c r="O3472" s="396"/>
      <c r="P3472" s="463"/>
      <c r="S3472" s="463"/>
      <c r="T3472" s="463"/>
      <c r="U3472" s="463"/>
    </row>
    <row r="3473" spans="1:16" s="115" customFormat="1" ht="15" customHeight="1" x14ac:dyDescent="0.25">
      <c r="A3473" s="396"/>
      <c r="B3473" s="1398" t="s">
        <v>9468</v>
      </c>
      <c r="C3473" s="1398"/>
      <c r="D3473" s="1398"/>
      <c r="E3473" s="854">
        <v>333904900000000</v>
      </c>
      <c r="F3473" s="855" t="s">
        <v>9146</v>
      </c>
      <c r="G3473" s="468">
        <v>4580</v>
      </c>
      <c r="H3473" s="468">
        <v>0</v>
      </c>
      <c r="I3473" s="751"/>
      <c r="J3473" s="878"/>
      <c r="K3473" s="789">
        <f>'Parâmetros financeiros Despesa'!E1850</f>
        <v>0</v>
      </c>
      <c r="L3473" s="789">
        <f>'Parâmetros financeiros Despesa'!F1850</f>
        <v>38.590000000000003</v>
      </c>
      <c r="M3473" s="799">
        <f t="shared" si="551"/>
        <v>1.17485996827598E-4</v>
      </c>
      <c r="N3473" s="894"/>
      <c r="P3473" s="733"/>
    </row>
    <row r="3474" spans="1:16" s="115" customFormat="1" ht="15" customHeight="1" x14ac:dyDescent="0.25">
      <c r="A3474" s="396"/>
      <c r="B3474" s="1398" t="s">
        <v>9469</v>
      </c>
      <c r="C3474" s="1398"/>
      <c r="D3474" s="1398"/>
      <c r="E3474" s="854">
        <v>333909300000000</v>
      </c>
      <c r="F3474" s="855" t="s">
        <v>9147</v>
      </c>
      <c r="G3474" s="468">
        <v>4580</v>
      </c>
      <c r="H3474" s="468">
        <v>0</v>
      </c>
      <c r="I3474" s="751"/>
      <c r="J3474" s="878"/>
      <c r="K3474" s="789">
        <f>'Parâmetros financeiros Despesa'!E1851</f>
        <v>0</v>
      </c>
      <c r="L3474" s="789">
        <f>'Parâmetros financeiros Despesa'!F1851</f>
        <v>500</v>
      </c>
      <c r="M3474" s="799">
        <f t="shared" si="551"/>
        <v>1.5222336982067632E-3</v>
      </c>
      <c r="N3474" s="894"/>
      <c r="P3474" s="733"/>
    </row>
    <row r="3475" spans="1:16" s="115" customFormat="1" ht="15" customHeight="1" x14ac:dyDescent="0.25">
      <c r="A3475" s="396"/>
      <c r="B3475" s="994"/>
      <c r="C3475" s="994"/>
      <c r="D3475" s="994" t="s">
        <v>9470</v>
      </c>
      <c r="E3475" s="854">
        <v>333933000000000</v>
      </c>
      <c r="F3475" s="855" t="s">
        <v>9148</v>
      </c>
      <c r="G3475" s="468">
        <v>4580</v>
      </c>
      <c r="H3475" s="468">
        <v>0</v>
      </c>
      <c r="I3475" s="751"/>
      <c r="J3475" s="878"/>
      <c r="K3475" s="789">
        <f>'Parâmetros financeiros Despesa'!E1852</f>
        <v>0</v>
      </c>
      <c r="L3475" s="789">
        <f>'Parâmetros financeiros Despesa'!F1852</f>
        <v>500</v>
      </c>
      <c r="M3475" s="799">
        <f t="shared" si="551"/>
        <v>1.5222336982067632E-3</v>
      </c>
      <c r="N3475" s="894"/>
      <c r="P3475" s="733"/>
    </row>
    <row r="3476" spans="1:16" s="115" customFormat="1" ht="15" customHeight="1" x14ac:dyDescent="0.25">
      <c r="A3476" s="396"/>
      <c r="B3476" s="1398" t="s">
        <v>9471</v>
      </c>
      <c r="C3476" s="1398"/>
      <c r="D3476" s="1398"/>
      <c r="E3476" s="854">
        <v>333933900000000</v>
      </c>
      <c r="F3476" s="855" t="s">
        <v>9462</v>
      </c>
      <c r="G3476" s="468">
        <v>4580</v>
      </c>
      <c r="H3476" s="468">
        <v>0</v>
      </c>
      <c r="I3476" s="751"/>
      <c r="J3476" s="878"/>
      <c r="K3476" s="789">
        <f>'Parâmetros financeiros Despesa'!E1853</f>
        <v>0</v>
      </c>
      <c r="L3476" s="789">
        <f>'Parâmetros financeiros Despesa'!F1853</f>
        <v>500</v>
      </c>
      <c r="M3476" s="799">
        <f t="shared" si="551"/>
        <v>1.5222336982067632E-3</v>
      </c>
      <c r="N3476" s="894"/>
      <c r="P3476" s="733"/>
    </row>
    <row r="3477" spans="1:16" s="115" customFormat="1" ht="15" customHeight="1" x14ac:dyDescent="0.25">
      <c r="A3477" s="396"/>
      <c r="B3477" s="1398" t="s">
        <v>9472</v>
      </c>
      <c r="C3477" s="1398"/>
      <c r="D3477" s="1398"/>
      <c r="E3477" s="854">
        <v>344905200000000</v>
      </c>
      <c r="F3477" s="855" t="s">
        <v>9149</v>
      </c>
      <c r="G3477" s="468">
        <v>4580</v>
      </c>
      <c r="H3477" s="468">
        <v>0</v>
      </c>
      <c r="I3477" s="751"/>
      <c r="J3477" s="878"/>
      <c r="K3477" s="789">
        <f>'Parâmetros financeiros Despesa'!E1854</f>
        <v>0</v>
      </c>
      <c r="L3477" s="789">
        <f>'Parâmetros financeiros Despesa'!F1854</f>
        <v>3000</v>
      </c>
      <c r="M3477" s="799">
        <f>L3477/L$3488</f>
        <v>9.1334021892405786E-3</v>
      </c>
      <c r="N3477" s="894"/>
      <c r="P3477" s="733"/>
    </row>
    <row r="3478" spans="1:16" s="115" customFormat="1" ht="16.5" customHeight="1" x14ac:dyDescent="0.25">
      <c r="A3478" s="396"/>
      <c r="B3478" s="1395" t="s">
        <v>2172</v>
      </c>
      <c r="C3478" s="1395"/>
      <c r="D3478" s="1395"/>
      <c r="E3478" s="1395"/>
      <c r="F3478" s="1395"/>
      <c r="G3478" s="1395"/>
      <c r="H3478" s="1395"/>
      <c r="I3478" s="1395"/>
      <c r="J3478" s="1395"/>
      <c r="K3478" s="1023">
        <f>K3460+K3452+K3447+K3436+K3425+K3414+K3398</f>
        <v>201495.03</v>
      </c>
      <c r="L3478" s="1023">
        <f>L3460+L3452+L3447+L3436+L3425+L3414+L3398</f>
        <v>328464.67700000003</v>
      </c>
      <c r="M3478" s="452">
        <f>L3478/L$3488</f>
        <v>1</v>
      </c>
      <c r="N3478" s="894"/>
      <c r="P3478" s="733"/>
    </row>
    <row r="3479" spans="1:16" s="820" customFormat="1" ht="15" customHeight="1" x14ac:dyDescent="0.25">
      <c r="B3479" s="864" t="s">
        <v>11469</v>
      </c>
      <c r="C3479" s="864"/>
      <c r="D3479" s="864"/>
      <c r="E3479" s="864"/>
      <c r="F3479" s="864"/>
      <c r="G3479" s="864"/>
      <c r="H3479" s="864"/>
      <c r="I3479" s="864"/>
      <c r="J3479" s="864"/>
      <c r="K3479" s="863"/>
      <c r="L3479" s="863"/>
      <c r="M3479" s="452"/>
      <c r="N3479" s="796"/>
      <c r="P3479" s="399"/>
    </row>
    <row r="3480" spans="1:16" s="31" customFormat="1" ht="15" customHeight="1" x14ac:dyDescent="0.25">
      <c r="B3480" s="869" t="s">
        <v>756</v>
      </c>
      <c r="C3480" s="869"/>
      <c r="D3480" s="869"/>
      <c r="E3480" s="869"/>
      <c r="F3480" s="869"/>
      <c r="G3480" s="869"/>
      <c r="H3480" s="869"/>
      <c r="I3480" s="869"/>
      <c r="J3480" s="869"/>
      <c r="K3480" s="870">
        <v>0</v>
      </c>
      <c r="L3480" s="870">
        <v>23757</v>
      </c>
      <c r="M3480" s="871">
        <f t="shared" ref="M3480:M3486" si="552">L3480/L$3488</f>
        <v>7.2327411936596142E-2</v>
      </c>
      <c r="N3480" s="897"/>
      <c r="P3480" s="736"/>
    </row>
    <row r="3481" spans="1:16" s="31" customFormat="1" ht="15" customHeight="1" x14ac:dyDescent="0.25">
      <c r="B3481" s="869" t="s">
        <v>881</v>
      </c>
      <c r="C3481" s="869"/>
      <c r="D3481" s="869"/>
      <c r="E3481" s="869"/>
      <c r="F3481" s="869"/>
      <c r="G3481" s="869"/>
      <c r="H3481" s="869"/>
      <c r="I3481" s="869"/>
      <c r="J3481" s="869"/>
      <c r="K3481" s="870">
        <f>K3398</f>
        <v>178087.215</v>
      </c>
      <c r="L3481" s="870">
        <f>L3398</f>
        <v>130037.27</v>
      </c>
      <c r="M3481" s="871">
        <f t="shared" si="552"/>
        <v>0.3958942288336228</v>
      </c>
      <c r="N3481" s="897"/>
      <c r="P3481" s="736"/>
    </row>
    <row r="3482" spans="1:16" s="31" customFormat="1" ht="15" customHeight="1" x14ac:dyDescent="0.25">
      <c r="B3482" s="869" t="s">
        <v>884</v>
      </c>
      <c r="C3482" s="869"/>
      <c r="D3482" s="869"/>
      <c r="E3482" s="869"/>
      <c r="F3482" s="869"/>
      <c r="G3482" s="869"/>
      <c r="H3482" s="869"/>
      <c r="I3482" s="869"/>
      <c r="J3482" s="869"/>
      <c r="K3482" s="870">
        <f>K3460</f>
        <v>7858.5</v>
      </c>
      <c r="L3482" s="870">
        <f>L3460</f>
        <v>24448.576999999997</v>
      </c>
      <c r="M3482" s="871">
        <f t="shared" si="552"/>
        <v>7.4432895565205617E-2</v>
      </c>
      <c r="N3482" s="897"/>
      <c r="P3482" s="736"/>
    </row>
    <row r="3483" spans="1:16" s="31" customFormat="1" ht="15" customHeight="1" x14ac:dyDescent="0.25">
      <c r="B3483" s="869" t="s">
        <v>886</v>
      </c>
      <c r="C3483" s="869"/>
      <c r="D3483" s="869"/>
      <c r="E3483" s="869"/>
      <c r="F3483" s="869"/>
      <c r="G3483" s="869"/>
      <c r="H3483" s="869"/>
      <c r="I3483" s="869"/>
      <c r="J3483" s="869"/>
      <c r="K3483" s="870">
        <f>K3455</f>
        <v>15549.314999999999</v>
      </c>
      <c r="L3483" s="870">
        <f>L3455+L3456+L3457</f>
        <v>23721.83</v>
      </c>
      <c r="M3483" s="871">
        <f t="shared" si="552"/>
        <v>7.2220338018264288E-2</v>
      </c>
      <c r="N3483" s="897"/>
      <c r="P3483" s="736"/>
    </row>
    <row r="3484" spans="1:16" s="31" customFormat="1" ht="15" customHeight="1" x14ac:dyDescent="0.25">
      <c r="B3484" s="869" t="s">
        <v>888</v>
      </c>
      <c r="C3484" s="869"/>
      <c r="D3484" s="869"/>
      <c r="E3484" s="869"/>
      <c r="F3484" s="869"/>
      <c r="G3484" s="869"/>
      <c r="H3484" s="869"/>
      <c r="I3484" s="869"/>
      <c r="J3484" s="869"/>
      <c r="K3484" s="870">
        <v>0</v>
      </c>
      <c r="L3484" s="870">
        <v>300</v>
      </c>
      <c r="M3484" s="871">
        <f t="shared" si="552"/>
        <v>9.1334021892405793E-4</v>
      </c>
      <c r="N3484" s="897"/>
      <c r="P3484" s="736"/>
    </row>
    <row r="3485" spans="1:16" s="31" customFormat="1" ht="15" customHeight="1" x14ac:dyDescent="0.25">
      <c r="B3485" s="869" t="s">
        <v>11495</v>
      </c>
      <c r="C3485" s="869"/>
      <c r="D3485" s="869"/>
      <c r="E3485" s="869"/>
      <c r="F3485" s="869"/>
      <c r="G3485" s="869"/>
      <c r="H3485" s="869"/>
      <c r="I3485" s="869"/>
      <c r="J3485" s="869"/>
      <c r="K3485" s="870">
        <v>0</v>
      </c>
      <c r="L3485" s="870">
        <v>1000</v>
      </c>
      <c r="M3485" s="871">
        <f t="shared" si="552"/>
        <v>3.0444673964135265E-3</v>
      </c>
      <c r="N3485" s="897"/>
      <c r="P3485" s="736"/>
    </row>
    <row r="3486" spans="1:16" s="31" customFormat="1" ht="15" customHeight="1" x14ac:dyDescent="0.25">
      <c r="B3486" s="869" t="s">
        <v>11496</v>
      </c>
      <c r="C3486" s="869"/>
      <c r="D3486" s="869"/>
      <c r="E3486" s="869"/>
      <c r="F3486" s="869"/>
      <c r="G3486" s="869"/>
      <c r="H3486" s="869"/>
      <c r="I3486" s="869"/>
      <c r="J3486" s="869"/>
      <c r="K3486" s="870">
        <v>0</v>
      </c>
      <c r="L3486" s="870">
        <v>75100</v>
      </c>
      <c r="M3486" s="871">
        <f t="shared" si="552"/>
        <v>0.22863950147065584</v>
      </c>
      <c r="N3486" s="897"/>
      <c r="P3486" s="736"/>
    </row>
    <row r="3487" spans="1:16" s="31" customFormat="1" ht="15" customHeight="1" x14ac:dyDescent="0.25">
      <c r="B3487" s="869" t="s">
        <v>11497</v>
      </c>
      <c r="C3487" s="869"/>
      <c r="D3487" s="869"/>
      <c r="E3487" s="869"/>
      <c r="F3487" s="869"/>
      <c r="G3487" s="869"/>
      <c r="H3487" s="869"/>
      <c r="I3487" s="869"/>
      <c r="J3487" s="869"/>
      <c r="K3487" s="870">
        <v>0</v>
      </c>
      <c r="L3487" s="870">
        <v>50100</v>
      </c>
      <c r="M3487" s="871">
        <f>L3487/L$3488</f>
        <v>0.15252781656031766</v>
      </c>
      <c r="N3487" s="897"/>
      <c r="P3487" s="736"/>
    </row>
    <row r="3488" spans="1:16" s="115" customFormat="1" ht="15" customHeight="1" x14ac:dyDescent="0.25">
      <c r="B3488" s="864" t="s">
        <v>2172</v>
      </c>
      <c r="C3488" s="864"/>
      <c r="D3488" s="864"/>
      <c r="E3488" s="864"/>
      <c r="F3488" s="864"/>
      <c r="G3488" s="864"/>
      <c r="H3488" s="864"/>
      <c r="I3488" s="864"/>
      <c r="J3488" s="864"/>
      <c r="K3488" s="863">
        <f>SUM(K3480:K3487)</f>
        <v>201495.03</v>
      </c>
      <c r="L3488" s="863">
        <f>SUM(L3480:L3487)</f>
        <v>328464.67700000003</v>
      </c>
      <c r="M3488" s="452">
        <f t="shared" ref="M3488" si="553">L3488/L$3478</f>
        <v>1</v>
      </c>
      <c r="N3488" s="894"/>
      <c r="P3488" s="733"/>
    </row>
    <row r="3489" spans="2:16" x14ac:dyDescent="0.25">
      <c r="F3489" s="399"/>
      <c r="G3489" s="399"/>
      <c r="H3489" s="399"/>
    </row>
    <row r="3490" spans="2:16" x14ac:dyDescent="0.25">
      <c r="F3490" s="399"/>
      <c r="G3490" s="399"/>
      <c r="H3490" s="399"/>
    </row>
    <row r="3491" spans="2:16" x14ac:dyDescent="0.25">
      <c r="F3491" s="399"/>
      <c r="G3491" s="399"/>
      <c r="H3491" s="399"/>
    </row>
    <row r="3492" spans="2:16" x14ac:dyDescent="0.25">
      <c r="F3492" s="399"/>
      <c r="G3492" s="399"/>
      <c r="H3492" s="399"/>
    </row>
    <row r="3493" spans="2:16" x14ac:dyDescent="0.25">
      <c r="F3493" s="399"/>
      <c r="G3493" s="399"/>
      <c r="H3493" s="399"/>
    </row>
    <row r="3494" spans="2:16" x14ac:dyDescent="0.25">
      <c r="F3494" s="399"/>
      <c r="G3494" s="399"/>
      <c r="H3494" s="399"/>
    </row>
    <row r="3495" spans="2:16" x14ac:dyDescent="0.25">
      <c r="F3495" s="399"/>
      <c r="G3495" s="399"/>
      <c r="H3495" s="399"/>
    </row>
    <row r="3496" spans="2:16" x14ac:dyDescent="0.25">
      <c r="F3496" s="399"/>
      <c r="G3496" s="399"/>
      <c r="H3496" s="399"/>
    </row>
    <row r="3497" spans="2:16" x14ac:dyDescent="0.25">
      <c r="F3497" s="399"/>
      <c r="G3497" s="399"/>
      <c r="H3497" s="399"/>
    </row>
    <row r="3498" spans="2:16" x14ac:dyDescent="0.25">
      <c r="F3498" s="399"/>
      <c r="G3498" s="399"/>
      <c r="H3498" s="399"/>
    </row>
    <row r="3499" spans="2:16" x14ac:dyDescent="0.25">
      <c r="F3499" s="399"/>
      <c r="G3499" s="399"/>
      <c r="H3499" s="399"/>
    </row>
    <row r="3500" spans="2:16" x14ac:dyDescent="0.25">
      <c r="F3500" s="399"/>
      <c r="G3500" s="399"/>
      <c r="H3500" s="399"/>
    </row>
    <row r="3501" spans="2:16" x14ac:dyDescent="0.25">
      <c r="F3501" s="399"/>
      <c r="G3501" s="399"/>
      <c r="H3501" s="399"/>
    </row>
    <row r="3503" spans="2:16" s="435" customFormat="1" ht="15" customHeight="1" x14ac:dyDescent="0.25">
      <c r="B3503" s="772" t="s">
        <v>989</v>
      </c>
      <c r="C3503" s="772"/>
      <c r="D3503" s="481"/>
      <c r="E3503" s="1371" t="s">
        <v>9485</v>
      </c>
      <c r="F3503" s="1371"/>
      <c r="G3503" s="1371"/>
      <c r="H3503" s="1371"/>
      <c r="I3503" s="1371"/>
      <c r="J3503" s="437"/>
      <c r="K3503" s="940"/>
      <c r="L3503" s="438"/>
      <c r="M3503" s="449"/>
      <c r="N3503" s="892"/>
      <c r="P3503" s="732"/>
    </row>
    <row r="3504" spans="2:16" s="435" customFormat="1" ht="15" customHeight="1" x14ac:dyDescent="0.25">
      <c r="B3504" s="772" t="s">
        <v>458</v>
      </c>
      <c r="C3504" s="772"/>
      <c r="D3504" s="481"/>
      <c r="E3504" s="1371" t="s">
        <v>9234</v>
      </c>
      <c r="F3504" s="1371"/>
      <c r="G3504" s="1371"/>
      <c r="H3504" s="1371"/>
      <c r="I3504" s="1371"/>
      <c r="J3504" s="437"/>
      <c r="K3504" s="940"/>
      <c r="L3504" s="438"/>
      <c r="M3504" s="449"/>
      <c r="N3504" s="892"/>
      <c r="P3504" s="732"/>
    </row>
    <row r="3505" spans="1:21" s="435" customFormat="1" ht="15" customHeight="1" x14ac:dyDescent="0.25">
      <c r="B3505" s="773" t="s">
        <v>5764</v>
      </c>
      <c r="C3505" s="773"/>
      <c r="D3505" s="773"/>
      <c r="E3505" s="1371" t="s">
        <v>749</v>
      </c>
      <c r="F3505" s="1371"/>
      <c r="G3505" s="1371"/>
      <c r="H3505" s="1371"/>
      <c r="I3505" s="1371"/>
      <c r="J3505" s="440"/>
      <c r="K3505" s="941"/>
      <c r="L3505" s="438"/>
      <c r="M3505" s="449"/>
      <c r="N3505" s="892"/>
      <c r="P3505" s="732"/>
    </row>
    <row r="3506" spans="1:21" s="851" customFormat="1" ht="113.25" customHeight="1" x14ac:dyDescent="0.25">
      <c r="A3506" s="396"/>
      <c r="B3506" s="1400" t="s">
        <v>2296</v>
      </c>
      <c r="C3506" s="1400"/>
      <c r="D3506" s="1400"/>
      <c r="E3506" s="1384" t="s">
        <v>2297</v>
      </c>
      <c r="F3506" s="1384"/>
      <c r="G3506" s="443" t="s">
        <v>444</v>
      </c>
      <c r="H3506" s="443" t="s">
        <v>2245</v>
      </c>
      <c r="I3506" s="444" t="s">
        <v>5725</v>
      </c>
      <c r="J3506" s="849" t="s">
        <v>2275</v>
      </c>
      <c r="K3506" s="893" t="s">
        <v>11644</v>
      </c>
      <c r="L3506" s="979" t="s">
        <v>11522</v>
      </c>
      <c r="M3506" s="450" t="s">
        <v>235</v>
      </c>
      <c r="N3506" s="796"/>
      <c r="P3506" s="399"/>
    </row>
    <row r="3507" spans="1:21" s="774" customFormat="1" ht="15" customHeight="1" x14ac:dyDescent="0.25">
      <c r="A3507" s="397"/>
      <c r="B3507" s="1382" t="s">
        <v>8699</v>
      </c>
      <c r="C3507" s="1382"/>
      <c r="D3507" s="1382"/>
      <c r="E3507" s="1382"/>
      <c r="F3507" s="1382"/>
      <c r="G3507" s="405"/>
      <c r="H3507" s="405"/>
      <c r="I3507" s="428"/>
      <c r="J3507" s="413"/>
      <c r="K3507" s="406">
        <f t="shared" ref="K3507:L3509" si="554">K3508</f>
        <v>0</v>
      </c>
      <c r="L3507" s="406">
        <f t="shared" si="554"/>
        <v>5560.7006500000007</v>
      </c>
      <c r="M3507" s="453">
        <f>L3507/L$3526</f>
        <v>1</v>
      </c>
      <c r="N3507" s="796"/>
      <c r="P3507" s="399"/>
    </row>
    <row r="3508" spans="1:21" s="774" customFormat="1" ht="15" customHeight="1" x14ac:dyDescent="0.25">
      <c r="A3508" s="397"/>
      <c r="B3508" s="1383" t="s">
        <v>8812</v>
      </c>
      <c r="C3508" s="1383"/>
      <c r="D3508" s="1383"/>
      <c r="E3508" s="1383"/>
      <c r="F3508" s="1383"/>
      <c r="G3508" s="407"/>
      <c r="H3508" s="407"/>
      <c r="I3508" s="429"/>
      <c r="J3508" s="414"/>
      <c r="K3508" s="408">
        <f t="shared" si="554"/>
        <v>0</v>
      </c>
      <c r="L3508" s="408">
        <f t="shared" si="554"/>
        <v>5560.7006500000007</v>
      </c>
      <c r="M3508" s="454">
        <f t="shared" ref="M3508:M3521" si="555">L3508/L$3526</f>
        <v>1</v>
      </c>
      <c r="N3508" s="796"/>
      <c r="P3508" s="399"/>
    </row>
    <row r="3509" spans="1:21" s="774" customFormat="1" ht="15" customHeight="1" x14ac:dyDescent="0.25">
      <c r="A3509" s="397"/>
      <c r="B3509" s="1385" t="s">
        <v>8698</v>
      </c>
      <c r="C3509" s="1385"/>
      <c r="D3509" s="1385"/>
      <c r="E3509" s="1385"/>
      <c r="F3509" s="1385"/>
      <c r="G3509" s="401"/>
      <c r="H3509" s="401"/>
      <c r="I3509" s="426"/>
      <c r="J3509" s="411"/>
      <c r="K3509" s="402">
        <f t="shared" si="554"/>
        <v>0</v>
      </c>
      <c r="L3509" s="402">
        <f t="shared" si="554"/>
        <v>5560.7006500000007</v>
      </c>
      <c r="M3509" s="451">
        <f t="shared" si="555"/>
        <v>1</v>
      </c>
      <c r="N3509" s="796"/>
      <c r="P3509" s="399"/>
    </row>
    <row r="3510" spans="1:21" s="774" customFormat="1" ht="15" customHeight="1" x14ac:dyDescent="0.25">
      <c r="A3510" s="397"/>
      <c r="B3510" s="1386" t="s">
        <v>8706</v>
      </c>
      <c r="C3510" s="1386"/>
      <c r="D3510" s="1386"/>
      <c r="E3510" s="1386"/>
      <c r="F3510" s="1386"/>
      <c r="G3510" s="403"/>
      <c r="H3510" s="403"/>
      <c r="I3510" s="427"/>
      <c r="J3510" s="412"/>
      <c r="K3510" s="404">
        <f>SUM(K3511:K3521)</f>
        <v>0</v>
      </c>
      <c r="L3510" s="404">
        <f>SUM(L3511:L3521)+0.01</f>
        <v>5560.7006500000007</v>
      </c>
      <c r="M3510" s="871">
        <f t="shared" si="555"/>
        <v>1</v>
      </c>
      <c r="N3510" s="796"/>
      <c r="P3510" s="399"/>
    </row>
    <row r="3511" spans="1:21" s="115" customFormat="1" ht="15" customHeight="1" x14ac:dyDescent="0.25">
      <c r="A3511" s="396"/>
      <c r="B3511" s="1398" t="s">
        <v>9473</v>
      </c>
      <c r="C3511" s="1398"/>
      <c r="D3511" s="1398"/>
      <c r="E3511" s="854">
        <v>333901400000000</v>
      </c>
      <c r="F3511" s="855" t="s">
        <v>9012</v>
      </c>
      <c r="G3511" s="468">
        <v>40</v>
      </c>
      <c r="H3511" s="468">
        <v>0</v>
      </c>
      <c r="I3511" s="751"/>
      <c r="J3511" s="878"/>
      <c r="K3511" s="789">
        <f>('Parâmetros financeiros Despesa'!E1860)</f>
        <v>0</v>
      </c>
      <c r="L3511" s="789">
        <f>('Parâmetros financeiros Despesa'!F1860*(1+'Parâmetros financeiros Despesa'!F$4)*(1+'Parâmetros financeiros Despesa'!F$7))</f>
        <v>545.16575</v>
      </c>
      <c r="M3511" s="799">
        <f t="shared" si="555"/>
        <v>9.8039039378967463E-2</v>
      </c>
      <c r="N3511" s="894"/>
      <c r="P3511" s="733"/>
    </row>
    <row r="3512" spans="1:21" s="115" customFormat="1" ht="15" customHeight="1" x14ac:dyDescent="0.25">
      <c r="B3512" s="879"/>
      <c r="C3512" s="879"/>
      <c r="D3512" s="880">
        <v>669100</v>
      </c>
      <c r="E3512" s="854">
        <v>333903000000000</v>
      </c>
      <c r="F3512" s="855" t="s">
        <v>9013</v>
      </c>
      <c r="G3512" s="468">
        <v>40</v>
      </c>
      <c r="H3512" s="468">
        <v>0</v>
      </c>
      <c r="I3512" s="751"/>
      <c r="J3512" s="878"/>
      <c r="K3512" s="789">
        <f>('Parâmetros financeiros Despesa'!E1861)</f>
        <v>0</v>
      </c>
      <c r="L3512" s="789">
        <f>('Parâmetros financeiros Despesa'!F1861*(1+'Parâmetros financeiros Despesa'!F$4)*(1+'Parâmetros financeiros Despesa'!F$7))</f>
        <v>545.16575</v>
      </c>
      <c r="M3512" s="799">
        <f t="shared" si="555"/>
        <v>9.8039039378967463E-2</v>
      </c>
      <c r="N3512" s="894"/>
      <c r="O3512" s="396"/>
      <c r="P3512" s="463"/>
      <c r="S3512" s="463"/>
      <c r="T3512" s="463"/>
      <c r="U3512" s="463"/>
    </row>
    <row r="3513" spans="1:21" s="115" customFormat="1" ht="15" customHeight="1" x14ac:dyDescent="0.25">
      <c r="B3513" s="994"/>
      <c r="C3513" s="994"/>
      <c r="D3513" s="880">
        <v>669200</v>
      </c>
      <c r="E3513" s="854">
        <v>333903200000000</v>
      </c>
      <c r="F3513" s="855" t="s">
        <v>9014</v>
      </c>
      <c r="G3513" s="468">
        <v>40</v>
      </c>
      <c r="H3513" s="468">
        <v>0</v>
      </c>
      <c r="I3513" s="751"/>
      <c r="J3513" s="878"/>
      <c r="K3513" s="789">
        <f>('Parâmetros financeiros Despesa'!E1862)</f>
        <v>0</v>
      </c>
      <c r="L3513" s="789">
        <f>('Parâmetros financeiros Despesa'!F1862*(1+'Parâmetros financeiros Despesa'!F$4)*(1+'Parâmetros financeiros Despesa'!F$7))</f>
        <v>545.16575</v>
      </c>
      <c r="M3513" s="799">
        <f t="shared" si="555"/>
        <v>9.8039039378967463E-2</v>
      </c>
      <c r="N3513" s="894"/>
      <c r="O3513" s="396"/>
      <c r="P3513" s="463"/>
      <c r="S3513" s="463"/>
      <c r="T3513" s="463"/>
      <c r="U3513" s="463"/>
    </row>
    <row r="3514" spans="1:21" s="115" customFormat="1" ht="15" customHeight="1" x14ac:dyDescent="0.25">
      <c r="A3514" s="396"/>
      <c r="B3514" s="1398" t="s">
        <v>9474</v>
      </c>
      <c r="C3514" s="1398"/>
      <c r="D3514" s="1398"/>
      <c r="E3514" s="854">
        <v>333903300000000</v>
      </c>
      <c r="F3514" s="855" t="s">
        <v>9478</v>
      </c>
      <c r="G3514" s="468">
        <v>40</v>
      </c>
      <c r="H3514" s="468">
        <v>0</v>
      </c>
      <c r="I3514" s="751"/>
      <c r="J3514" s="878"/>
      <c r="K3514" s="789">
        <f>('Parâmetros financeiros Despesa'!E1863)</f>
        <v>0</v>
      </c>
      <c r="L3514" s="789">
        <f>('Parâmetros financeiros Despesa'!F1863*(1+'Parâmetros financeiros Despesa'!F$4)*(1+'Parâmetros financeiros Despesa'!F$7))</f>
        <v>545.16575</v>
      </c>
      <c r="M3514" s="799">
        <f t="shared" si="555"/>
        <v>9.8039039378967463E-2</v>
      </c>
      <c r="N3514" s="894"/>
      <c r="P3514" s="733"/>
    </row>
    <row r="3515" spans="1:21" s="115" customFormat="1" ht="15" customHeight="1" x14ac:dyDescent="0.25">
      <c r="A3515" s="396"/>
      <c r="B3515" s="994"/>
      <c r="C3515" s="994"/>
      <c r="D3515" s="994" t="s">
        <v>9475</v>
      </c>
      <c r="E3515" s="854">
        <v>333903500000000</v>
      </c>
      <c r="F3515" s="855" t="s">
        <v>9479</v>
      </c>
      <c r="G3515" s="468">
        <v>40</v>
      </c>
      <c r="H3515" s="468">
        <v>0</v>
      </c>
      <c r="I3515" s="751"/>
      <c r="J3515" s="878"/>
      <c r="K3515" s="789">
        <f>('Parâmetros financeiros Despesa'!E1864)</f>
        <v>0</v>
      </c>
      <c r="L3515" s="789">
        <f>('Parâmetros financeiros Despesa'!F1864*(1+'Parâmetros financeiros Despesa'!F$4)*(1+'Parâmetros financeiros Despesa'!F$7))</f>
        <v>545.16575</v>
      </c>
      <c r="M3515" s="799">
        <f t="shared" si="555"/>
        <v>9.8039039378967463E-2</v>
      </c>
      <c r="N3515" s="894"/>
      <c r="P3515" s="733"/>
    </row>
    <row r="3516" spans="1:21" s="115" customFormat="1" ht="15" customHeight="1" x14ac:dyDescent="0.25">
      <c r="A3516" s="396"/>
      <c r="B3516" s="994"/>
      <c r="C3516" s="994"/>
      <c r="D3516" s="994" t="s">
        <v>9476</v>
      </c>
      <c r="E3516" s="854">
        <v>333903600000000</v>
      </c>
      <c r="F3516" s="855" t="s">
        <v>9480</v>
      </c>
      <c r="G3516" s="468">
        <v>40</v>
      </c>
      <c r="H3516" s="468">
        <v>0</v>
      </c>
      <c r="I3516" s="751"/>
      <c r="J3516" s="878"/>
      <c r="K3516" s="789">
        <f>('Parâmetros financeiros Despesa'!E1865)</f>
        <v>0</v>
      </c>
      <c r="L3516" s="789">
        <f>('Parâmetros financeiros Despesa'!F1865*(1+'Parâmetros financeiros Despesa'!F$4)*(1+'Parâmetros financeiros Despesa'!F$7))</f>
        <v>545.16575</v>
      </c>
      <c r="M3516" s="799">
        <f t="shared" si="555"/>
        <v>9.8039039378967463E-2</v>
      </c>
      <c r="N3516" s="894"/>
      <c r="P3516" s="733"/>
    </row>
    <row r="3517" spans="1:21" s="115" customFormat="1" ht="15" customHeight="1" x14ac:dyDescent="0.25">
      <c r="A3517" s="396"/>
      <c r="B3517" s="994"/>
      <c r="C3517" s="994"/>
      <c r="D3517" s="994" t="s">
        <v>9477</v>
      </c>
      <c r="E3517" s="854">
        <v>333903900000000</v>
      </c>
      <c r="F3517" s="855" t="s">
        <v>9481</v>
      </c>
      <c r="G3517" s="468">
        <v>40</v>
      </c>
      <c r="H3517" s="468">
        <v>0</v>
      </c>
      <c r="I3517" s="751"/>
      <c r="J3517" s="878"/>
      <c r="K3517" s="789">
        <f>('Parâmetros financeiros Despesa'!E1866)</f>
        <v>0</v>
      </c>
      <c r="L3517" s="789">
        <f>('Parâmetros financeiros Despesa'!F1866*(1+'Parâmetros financeiros Despesa'!F$4)*(1+'Parâmetros financeiros Despesa'!F$7))</f>
        <v>545.16575</v>
      </c>
      <c r="M3517" s="799">
        <f t="shared" si="555"/>
        <v>9.8039039378967463E-2</v>
      </c>
      <c r="N3517" s="894"/>
      <c r="P3517" s="733"/>
    </row>
    <row r="3518" spans="1:21" s="115" customFormat="1" ht="15" customHeight="1" x14ac:dyDescent="0.25">
      <c r="A3518" s="396"/>
      <c r="B3518" s="994"/>
      <c r="C3518" s="994"/>
      <c r="D3518" s="994" t="s">
        <v>9482</v>
      </c>
      <c r="E3518" s="854">
        <v>333904700000000</v>
      </c>
      <c r="F3518" s="855" t="s">
        <v>9483</v>
      </c>
      <c r="G3518" s="468">
        <v>40</v>
      </c>
      <c r="H3518" s="468">
        <v>0</v>
      </c>
      <c r="I3518" s="751"/>
      <c r="J3518" s="878"/>
      <c r="K3518" s="789">
        <f>('Parâmetros financeiros Despesa'!E1867)</f>
        <v>0</v>
      </c>
      <c r="L3518" s="789">
        <f>('Parâmetros financeiros Despesa'!F1867*(1+'Parâmetros financeiros Despesa'!F$4)*(1+'Parâmetros financeiros Despesa'!F$7))</f>
        <v>109.03315000000001</v>
      </c>
      <c r="M3518" s="799">
        <f t="shared" si="555"/>
        <v>1.9607807875793491E-2</v>
      </c>
      <c r="N3518" s="894"/>
      <c r="P3518" s="733"/>
    </row>
    <row r="3519" spans="1:21" s="115" customFormat="1" ht="15" customHeight="1" x14ac:dyDescent="0.25">
      <c r="A3519" s="396"/>
      <c r="B3519" s="1398" t="s">
        <v>11492</v>
      </c>
      <c r="C3519" s="1398"/>
      <c r="D3519" s="1398"/>
      <c r="E3519" s="854">
        <v>333909300000000</v>
      </c>
      <c r="F3519" s="855" t="s">
        <v>9015</v>
      </c>
      <c r="G3519" s="468">
        <v>40</v>
      </c>
      <c r="H3519" s="468">
        <v>0</v>
      </c>
      <c r="I3519" s="751"/>
      <c r="J3519" s="878"/>
      <c r="K3519" s="789">
        <f>('Parâmetros financeiros Despesa'!E1868)</f>
        <v>0</v>
      </c>
      <c r="L3519" s="789">
        <f>('Parâmetros financeiros Despesa'!F1868*(1+'Parâmetros financeiros Despesa'!F$4)*(1+'Parâmetros financeiros Despesa'!F$7))</f>
        <v>545.16575</v>
      </c>
      <c r="M3519" s="799">
        <f t="shared" si="555"/>
        <v>9.8039039378967463E-2</v>
      </c>
      <c r="N3519" s="894"/>
      <c r="P3519" s="733"/>
    </row>
    <row r="3520" spans="1:21" s="115" customFormat="1" ht="15" customHeight="1" x14ac:dyDescent="0.25">
      <c r="A3520" s="396"/>
      <c r="B3520" s="1398" t="s">
        <v>11493</v>
      </c>
      <c r="C3520" s="1398"/>
      <c r="D3520" s="1398"/>
      <c r="E3520" s="854">
        <v>333933000000000</v>
      </c>
      <c r="F3520" s="855" t="s">
        <v>9016</v>
      </c>
      <c r="G3520" s="468">
        <v>40</v>
      </c>
      <c r="H3520" s="468">
        <v>0</v>
      </c>
      <c r="I3520" s="751"/>
      <c r="J3520" s="878"/>
      <c r="K3520" s="789">
        <f>('Parâmetros financeiros Despesa'!E1869)</f>
        <v>0</v>
      </c>
      <c r="L3520" s="789">
        <f>('Parâmetros financeiros Despesa'!F1869*(1+'Parâmetros financeiros Despesa'!F$4)*(1+'Parâmetros financeiros Despesa'!F$7))</f>
        <v>545.16575</v>
      </c>
      <c r="M3520" s="799">
        <f t="shared" si="555"/>
        <v>9.8039039378967463E-2</v>
      </c>
      <c r="N3520" s="894"/>
      <c r="P3520" s="733"/>
    </row>
    <row r="3521" spans="1:16" s="115" customFormat="1" ht="15" customHeight="1" x14ac:dyDescent="0.25">
      <c r="A3521" s="396"/>
      <c r="B3521" s="1398" t="s">
        <v>9484</v>
      </c>
      <c r="C3521" s="1398"/>
      <c r="D3521" s="1398"/>
      <c r="E3521" s="854">
        <v>344905200000000</v>
      </c>
      <c r="F3521" s="855" t="s">
        <v>9017</v>
      </c>
      <c r="G3521" s="468">
        <v>40</v>
      </c>
      <c r="H3521" s="468">
        <v>0</v>
      </c>
      <c r="I3521" s="751"/>
      <c r="J3521" s="878"/>
      <c r="K3521" s="789">
        <f>('Parâmetros financeiros Despesa'!E1870)</f>
        <v>0</v>
      </c>
      <c r="L3521" s="789">
        <f>('Parâmetros financeiros Despesa'!F1870*(1+'Parâmetros financeiros Despesa'!F$4)*(1+'Parâmetros financeiros Despesa'!F$7))</f>
        <v>545.16575</v>
      </c>
      <c r="M3521" s="799">
        <f t="shared" si="555"/>
        <v>9.8039039378967463E-2</v>
      </c>
      <c r="N3521" s="894"/>
      <c r="P3521" s="733"/>
    </row>
    <row r="3522" spans="1:16" s="115" customFormat="1" ht="15" customHeight="1" x14ac:dyDescent="0.25">
      <c r="A3522" s="396"/>
      <c r="B3522" s="994"/>
      <c r="C3522" s="994"/>
      <c r="D3522" s="994"/>
      <c r="E3522" s="854"/>
      <c r="F3522" s="855"/>
      <c r="G3522" s="468"/>
      <c r="H3522" s="468"/>
      <c r="I3522" s="751"/>
      <c r="J3522" s="878"/>
      <c r="K3522" s="789"/>
      <c r="L3522" s="789"/>
      <c r="M3522" s="799"/>
      <c r="N3522" s="894"/>
      <c r="P3522" s="733"/>
    </row>
    <row r="3523" spans="1:16" s="115" customFormat="1" ht="16.5" customHeight="1" x14ac:dyDescent="0.25">
      <c r="A3523" s="396"/>
      <c r="B3523" s="1395" t="s">
        <v>2172</v>
      </c>
      <c r="C3523" s="1395"/>
      <c r="D3523" s="1395"/>
      <c r="E3523" s="1395"/>
      <c r="F3523" s="1395"/>
      <c r="G3523" s="1395"/>
      <c r="H3523" s="1395"/>
      <c r="I3523" s="1395"/>
      <c r="J3523" s="1395"/>
      <c r="K3523" s="1023">
        <f>K3510</f>
        <v>0</v>
      </c>
      <c r="L3523" s="1023">
        <f>L3510</f>
        <v>5560.7006500000007</v>
      </c>
      <c r="M3523" s="452">
        <f>L3523/L$3526</f>
        <v>1</v>
      </c>
      <c r="N3523" s="894"/>
      <c r="P3523" s="733"/>
    </row>
    <row r="3524" spans="1:16" s="820" customFormat="1" ht="15" customHeight="1" x14ac:dyDescent="0.25">
      <c r="B3524" s="864" t="s">
        <v>11469</v>
      </c>
      <c r="C3524" s="864"/>
      <c r="D3524" s="864"/>
      <c r="E3524" s="864"/>
      <c r="F3524" s="864"/>
      <c r="G3524" s="864"/>
      <c r="H3524" s="864"/>
      <c r="I3524" s="864"/>
      <c r="J3524" s="864"/>
      <c r="K3524" s="863"/>
      <c r="L3524" s="863"/>
      <c r="M3524" s="452"/>
      <c r="N3524" s="796"/>
      <c r="P3524" s="399"/>
    </row>
    <row r="3525" spans="1:16" s="820" customFormat="1" ht="15" customHeight="1" x14ac:dyDescent="0.25">
      <c r="B3525" s="869" t="s">
        <v>745</v>
      </c>
      <c r="C3525" s="869"/>
      <c r="D3525" s="869"/>
      <c r="E3525" s="869"/>
      <c r="F3525" s="869"/>
      <c r="G3525" s="869"/>
      <c r="H3525" s="869"/>
      <c r="I3525" s="869"/>
      <c r="J3525" s="869"/>
      <c r="K3525" s="870">
        <f>K3523</f>
        <v>0</v>
      </c>
      <c r="L3525" s="870">
        <f>L3523</f>
        <v>5560.7006500000007</v>
      </c>
      <c r="M3525" s="871">
        <f>L3525/L$3526</f>
        <v>1</v>
      </c>
      <c r="N3525" s="796"/>
      <c r="P3525" s="399"/>
    </row>
    <row r="3526" spans="1:16" s="115" customFormat="1" ht="15" customHeight="1" x14ac:dyDescent="0.25">
      <c r="B3526" s="864" t="s">
        <v>2172</v>
      </c>
      <c r="C3526" s="864"/>
      <c r="D3526" s="864"/>
      <c r="E3526" s="864"/>
      <c r="F3526" s="864"/>
      <c r="G3526" s="864"/>
      <c r="H3526" s="864"/>
      <c r="I3526" s="864"/>
      <c r="J3526" s="864"/>
      <c r="K3526" s="863">
        <f>SUM(K3525:K3525)</f>
        <v>0</v>
      </c>
      <c r="L3526" s="863">
        <f>SUM(L3525:L3525)</f>
        <v>5560.7006500000007</v>
      </c>
      <c r="M3526" s="452">
        <f>L3526/L$3526</f>
        <v>1</v>
      </c>
      <c r="N3526" s="894"/>
      <c r="P3526" s="733"/>
    </row>
    <row r="3528" spans="1:16" s="435" customFormat="1" ht="15" customHeight="1" x14ac:dyDescent="0.25">
      <c r="B3528" s="777" t="s">
        <v>989</v>
      </c>
      <c r="C3528" s="777"/>
      <c r="D3528" s="481"/>
      <c r="E3528" s="1371" t="s">
        <v>9486</v>
      </c>
      <c r="F3528" s="1371"/>
      <c r="G3528" s="1371"/>
      <c r="H3528" s="1371"/>
      <c r="I3528" s="1371"/>
      <c r="J3528" s="437"/>
      <c r="K3528" s="940"/>
      <c r="M3528" s="449"/>
      <c r="N3528" s="892"/>
      <c r="P3528" s="732"/>
    </row>
    <row r="3529" spans="1:16" s="435" customFormat="1" ht="15" customHeight="1" x14ac:dyDescent="0.25">
      <c r="B3529" s="777" t="s">
        <v>458</v>
      </c>
      <c r="C3529" s="777"/>
      <c r="D3529" s="481"/>
      <c r="E3529" s="1371" t="s">
        <v>8697</v>
      </c>
      <c r="F3529" s="1371"/>
      <c r="G3529" s="1371"/>
      <c r="H3529" s="1371"/>
      <c r="I3529" s="1371"/>
      <c r="J3529" s="437"/>
      <c r="K3529" s="940"/>
      <c r="M3529" s="449"/>
      <c r="N3529" s="892"/>
      <c r="P3529" s="732"/>
    </row>
    <row r="3530" spans="1:16" s="435" customFormat="1" ht="15" customHeight="1" x14ac:dyDescent="0.25">
      <c r="B3530" s="779" t="s">
        <v>5764</v>
      </c>
      <c r="C3530" s="779"/>
      <c r="D3530" s="779"/>
      <c r="E3530" s="1371" t="s">
        <v>749</v>
      </c>
      <c r="F3530" s="1371"/>
      <c r="G3530" s="1371"/>
      <c r="H3530" s="1371"/>
      <c r="I3530" s="1371"/>
      <c r="J3530" s="440"/>
      <c r="K3530" s="941"/>
      <c r="M3530" s="449"/>
      <c r="N3530" s="892"/>
      <c r="P3530" s="732"/>
    </row>
    <row r="3531" spans="1:16" s="851" customFormat="1" ht="113.25" customHeight="1" x14ac:dyDescent="0.25">
      <c r="A3531" s="396"/>
      <c r="B3531" s="1400" t="s">
        <v>2296</v>
      </c>
      <c r="C3531" s="1400"/>
      <c r="D3531" s="1400"/>
      <c r="E3531" s="1384" t="s">
        <v>2297</v>
      </c>
      <c r="F3531" s="1384"/>
      <c r="G3531" s="443" t="s">
        <v>444</v>
      </c>
      <c r="H3531" s="443" t="s">
        <v>2245</v>
      </c>
      <c r="I3531" s="444" t="s">
        <v>5725</v>
      </c>
      <c r="J3531" s="849" t="s">
        <v>2275</v>
      </c>
      <c r="K3531" s="893" t="s">
        <v>11644</v>
      </c>
      <c r="L3531" s="979" t="s">
        <v>11522</v>
      </c>
      <c r="M3531" s="450" t="s">
        <v>235</v>
      </c>
      <c r="N3531" s="796"/>
      <c r="P3531" s="399"/>
    </row>
    <row r="3532" spans="1:16" s="780" customFormat="1" ht="15" customHeight="1" x14ac:dyDescent="0.25">
      <c r="A3532" s="397"/>
      <c r="B3532" s="1382" t="s">
        <v>7831</v>
      </c>
      <c r="C3532" s="1382"/>
      <c r="D3532" s="1382"/>
      <c r="E3532" s="1382"/>
      <c r="F3532" s="1382"/>
      <c r="G3532" s="405"/>
      <c r="H3532" s="405"/>
      <c r="I3532" s="428"/>
      <c r="J3532" s="413"/>
      <c r="K3532" s="406">
        <f t="shared" ref="K3532:L3534" si="556">K3533</f>
        <v>962.99</v>
      </c>
      <c r="L3532" s="406">
        <f t="shared" si="556"/>
        <v>4470.3691500000004</v>
      </c>
      <c r="M3532" s="453">
        <f>L3532/L$3577</f>
        <v>8.3801835048116485E-3</v>
      </c>
      <c r="N3532" s="796"/>
      <c r="P3532" s="399"/>
    </row>
    <row r="3533" spans="1:16" s="780" customFormat="1" ht="15" customHeight="1" x14ac:dyDescent="0.25">
      <c r="A3533" s="397"/>
      <c r="B3533" s="1383" t="s">
        <v>2290</v>
      </c>
      <c r="C3533" s="1383"/>
      <c r="D3533" s="1383"/>
      <c r="E3533" s="1383"/>
      <c r="F3533" s="1383"/>
      <c r="G3533" s="407"/>
      <c r="H3533" s="407"/>
      <c r="I3533" s="429"/>
      <c r="J3533" s="414"/>
      <c r="K3533" s="408">
        <f t="shared" si="556"/>
        <v>962.99</v>
      </c>
      <c r="L3533" s="408">
        <f t="shared" si="556"/>
        <v>4470.3691500000004</v>
      </c>
      <c r="M3533" s="454">
        <f>L3533/L$3577</f>
        <v>8.3801835048116485E-3</v>
      </c>
      <c r="N3533" s="796"/>
      <c r="P3533" s="399"/>
    </row>
    <row r="3534" spans="1:16" s="780" customFormat="1" ht="15" customHeight="1" x14ac:dyDescent="0.25">
      <c r="A3534" s="397"/>
      <c r="B3534" s="1385" t="s">
        <v>9489</v>
      </c>
      <c r="C3534" s="1385"/>
      <c r="D3534" s="1385"/>
      <c r="E3534" s="1385"/>
      <c r="F3534" s="1385"/>
      <c r="G3534" s="401"/>
      <c r="H3534" s="401"/>
      <c r="I3534" s="426"/>
      <c r="J3534" s="411"/>
      <c r="K3534" s="402">
        <f t="shared" si="556"/>
        <v>962.99</v>
      </c>
      <c r="L3534" s="402">
        <f t="shared" si="556"/>
        <v>4470.3691500000004</v>
      </c>
      <c r="M3534" s="451">
        <f>L3534/L$3577</f>
        <v>8.3801835048116485E-3</v>
      </c>
      <c r="N3534" s="796"/>
      <c r="P3534" s="399"/>
    </row>
    <row r="3535" spans="1:16" s="780" customFormat="1" ht="15" customHeight="1" x14ac:dyDescent="0.25">
      <c r="A3535" s="397"/>
      <c r="B3535" s="1386" t="s">
        <v>9487</v>
      </c>
      <c r="C3535" s="1386"/>
      <c r="D3535" s="1386"/>
      <c r="E3535" s="1386"/>
      <c r="F3535" s="1386"/>
      <c r="G3535" s="403"/>
      <c r="H3535" s="403"/>
      <c r="I3535" s="427"/>
      <c r="J3535" s="412"/>
      <c r="K3535" s="404">
        <f>SUM(K3536:K3540)-0.01</f>
        <v>962.99</v>
      </c>
      <c r="L3535" s="404">
        <f>SUM(L3536:L3540)+0.01</f>
        <v>4470.3691500000004</v>
      </c>
      <c r="M3535" s="452">
        <f>L3535/L$3577</f>
        <v>8.3801835048116485E-3</v>
      </c>
      <c r="N3535" s="796"/>
      <c r="P3535" s="399"/>
    </row>
    <row r="3536" spans="1:16" s="780" customFormat="1" ht="15" customHeight="1" x14ac:dyDescent="0.25">
      <c r="A3536" s="396"/>
      <c r="B3536" s="1396">
        <v>700000</v>
      </c>
      <c r="C3536" s="1396"/>
      <c r="D3536" s="1396"/>
      <c r="E3536" s="854">
        <v>333904700000000</v>
      </c>
      <c r="F3536" s="600" t="s">
        <v>9528</v>
      </c>
      <c r="G3536" s="468">
        <v>1</v>
      </c>
      <c r="H3536" s="468">
        <v>0</v>
      </c>
      <c r="I3536" s="751"/>
      <c r="J3536" s="878"/>
      <c r="K3536" s="789">
        <f>('Parâmetros financeiros Despesa'!E1876)</f>
        <v>0</v>
      </c>
      <c r="L3536" s="789">
        <f>('Parâmetros financeiros Despesa'!F1876*(1+'Parâmetros financeiros Despesa'!F$4)*(1+'Parâmetros financeiros Despesa'!F$7))</f>
        <v>109.03315000000001</v>
      </c>
      <c r="M3536" s="799">
        <f>L3536/L$3577</f>
        <v>2.0439426240843089E-4</v>
      </c>
      <c r="N3536" s="894"/>
      <c r="O3536" s="796"/>
      <c r="P3536" s="399"/>
    </row>
    <row r="3537" spans="1:16" s="115" customFormat="1" ht="15" customHeight="1" x14ac:dyDescent="0.25">
      <c r="A3537" s="396"/>
      <c r="B3537" s="1396">
        <v>700100</v>
      </c>
      <c r="C3537" s="1396"/>
      <c r="D3537" s="1396"/>
      <c r="E3537" s="854">
        <v>344903000000000</v>
      </c>
      <c r="F3537" s="855" t="s">
        <v>9529</v>
      </c>
      <c r="G3537" s="468">
        <v>1</v>
      </c>
      <c r="H3537" s="468">
        <v>0</v>
      </c>
      <c r="I3537" s="751"/>
      <c r="J3537" s="878"/>
      <c r="K3537" s="789">
        <f>('Parâmetros financeiros Despesa'!E1877)</f>
        <v>0</v>
      </c>
      <c r="L3537" s="789">
        <f>('Parâmetros financeiros Despesa'!F1877*(1+'Parâmetros financeiros Despesa'!F$4)*(1+'Parâmetros financeiros Despesa'!F$7))</f>
        <v>545.16575</v>
      </c>
      <c r="M3537" s="799">
        <f t="shared" ref="M3537:M3540" si="557">L3537/L$3577</f>
        <v>1.0219713120421545E-3</v>
      </c>
      <c r="N3537" s="894"/>
      <c r="O3537" s="796"/>
      <c r="P3537" s="733"/>
    </row>
    <row r="3538" spans="1:16" s="457" customFormat="1" ht="15" customHeight="1" x14ac:dyDescent="0.25">
      <c r="A3538" s="396"/>
      <c r="B3538" s="1398" t="s">
        <v>9490</v>
      </c>
      <c r="C3538" s="1398"/>
      <c r="D3538" s="1398"/>
      <c r="E3538" s="854">
        <v>344903600000000</v>
      </c>
      <c r="F3538" s="855" t="s">
        <v>9530</v>
      </c>
      <c r="G3538" s="468">
        <v>1</v>
      </c>
      <c r="H3538" s="468">
        <v>0</v>
      </c>
      <c r="I3538" s="751"/>
      <c r="J3538" s="878"/>
      <c r="K3538" s="789">
        <f>('Parâmetros financeiros Despesa'!E1878)</f>
        <v>0</v>
      </c>
      <c r="L3538" s="789">
        <f>('Parâmetros financeiros Despesa'!F1878*(1+'Parâmetros financeiros Despesa'!F$4)*(1+'Parâmetros financeiros Despesa'!F$7))</f>
        <v>545.16575</v>
      </c>
      <c r="M3538" s="799">
        <f t="shared" si="557"/>
        <v>1.0219713120421545E-3</v>
      </c>
      <c r="N3538" s="894"/>
      <c r="O3538" s="796"/>
      <c r="P3538" s="734"/>
    </row>
    <row r="3539" spans="1:16" s="457" customFormat="1" ht="15" customHeight="1" x14ac:dyDescent="0.25">
      <c r="A3539" s="396"/>
      <c r="B3539" s="1398" t="s">
        <v>9491</v>
      </c>
      <c r="C3539" s="1398"/>
      <c r="D3539" s="1398"/>
      <c r="E3539" s="854">
        <v>344903900000000</v>
      </c>
      <c r="F3539" s="855" t="s">
        <v>9531</v>
      </c>
      <c r="G3539" s="468">
        <v>1</v>
      </c>
      <c r="H3539" s="468">
        <v>0</v>
      </c>
      <c r="I3539" s="751"/>
      <c r="J3539" s="878"/>
      <c r="K3539" s="789">
        <f>('Parâmetros financeiros Despesa'!E1879)</f>
        <v>0</v>
      </c>
      <c r="L3539" s="789">
        <f>('Parâmetros financeiros Despesa'!F1879*(1+'Parâmetros financeiros Despesa'!F$4)*(1+'Parâmetros financeiros Despesa'!F$7))</f>
        <v>545.16575</v>
      </c>
      <c r="M3539" s="799">
        <f t="shared" si="557"/>
        <v>1.0219713120421545E-3</v>
      </c>
      <c r="N3539" s="894"/>
      <c r="O3539" s="796"/>
      <c r="P3539" s="734"/>
    </row>
    <row r="3540" spans="1:16" s="457" customFormat="1" ht="15" customHeight="1" x14ac:dyDescent="0.25">
      <c r="A3540" s="396"/>
      <c r="B3540" s="1398" t="s">
        <v>9492</v>
      </c>
      <c r="C3540" s="1398"/>
      <c r="D3540" s="1398"/>
      <c r="E3540" s="854">
        <v>344905200000000</v>
      </c>
      <c r="F3540" s="855" t="s">
        <v>9532</v>
      </c>
      <c r="G3540" s="468">
        <v>1</v>
      </c>
      <c r="H3540" s="468">
        <v>0</v>
      </c>
      <c r="I3540" s="751"/>
      <c r="J3540" s="878"/>
      <c r="K3540" s="789">
        <f>('Parâmetros financeiros Despesa'!E1880)</f>
        <v>963</v>
      </c>
      <c r="L3540" s="789">
        <f>('Parâmetros financeiros Despesa'!F1880*(1+'Parâmetros financeiros Despesa'!F$4)*(1+'Parâmetros financeiros Despesa'!F$7))</f>
        <v>2725.8287500000001</v>
      </c>
      <c r="M3540" s="799">
        <f t="shared" si="557"/>
        <v>5.1098565602107722E-3</v>
      </c>
      <c r="N3540" s="894"/>
      <c r="O3540" s="796"/>
      <c r="P3540" s="734"/>
    </row>
    <row r="3541" spans="1:16" s="780" customFormat="1" ht="15" customHeight="1" x14ac:dyDescent="0.25">
      <c r="A3541" s="397"/>
      <c r="B3541" s="1382" t="s">
        <v>7831</v>
      </c>
      <c r="C3541" s="1382"/>
      <c r="D3541" s="1382"/>
      <c r="E3541" s="1382"/>
      <c r="F3541" s="1382"/>
      <c r="G3541" s="405"/>
      <c r="H3541" s="405"/>
      <c r="I3541" s="428"/>
      <c r="J3541" s="413"/>
      <c r="K3541" s="406">
        <f t="shared" ref="K3541:L3542" si="558">K3542</f>
        <v>411937.17496249999</v>
      </c>
      <c r="L3541" s="406">
        <f t="shared" si="558"/>
        <v>497791.39773382404</v>
      </c>
      <c r="M3541" s="453">
        <f>L3541/L$3577</f>
        <v>0.93316303870031103</v>
      </c>
      <c r="N3541" s="796"/>
      <c r="P3541" s="399"/>
    </row>
    <row r="3542" spans="1:16" s="780" customFormat="1" ht="15" customHeight="1" x14ac:dyDescent="0.25">
      <c r="A3542" s="397"/>
      <c r="B3542" s="1383" t="s">
        <v>2290</v>
      </c>
      <c r="C3542" s="1383"/>
      <c r="D3542" s="1383"/>
      <c r="E3542" s="1383"/>
      <c r="F3542" s="1383"/>
      <c r="G3542" s="407"/>
      <c r="H3542" s="407"/>
      <c r="I3542" s="429"/>
      <c r="J3542" s="414"/>
      <c r="K3542" s="408">
        <f t="shared" si="558"/>
        <v>411937.17496249999</v>
      </c>
      <c r="L3542" s="408">
        <f t="shared" si="558"/>
        <v>497791.39773382404</v>
      </c>
      <c r="M3542" s="454">
        <f>L3542/L$3577</f>
        <v>0.93316303870031103</v>
      </c>
      <c r="N3542" s="796"/>
      <c r="P3542" s="399"/>
    </row>
    <row r="3543" spans="1:16" s="780" customFormat="1" ht="15" customHeight="1" x14ac:dyDescent="0.25">
      <c r="A3543" s="397"/>
      <c r="B3543" s="1386" t="s">
        <v>9494</v>
      </c>
      <c r="C3543" s="1386"/>
      <c r="D3543" s="1386"/>
      <c r="E3543" s="1386"/>
      <c r="F3543" s="1386"/>
      <c r="G3543" s="403"/>
      <c r="H3543" s="403"/>
      <c r="I3543" s="427"/>
      <c r="J3543" s="412"/>
      <c r="K3543" s="404">
        <f>K3544-0.01</f>
        <v>411937.17496249999</v>
      </c>
      <c r="L3543" s="404">
        <f>L3544-0.01</f>
        <v>497791.39773382404</v>
      </c>
      <c r="M3543" s="452">
        <f>L3543/L$3577</f>
        <v>0.93316303870031103</v>
      </c>
      <c r="N3543" s="796"/>
      <c r="P3543" s="399"/>
    </row>
    <row r="3544" spans="1:16" s="780" customFormat="1" ht="15" customHeight="1" x14ac:dyDescent="0.25">
      <c r="A3544" s="397"/>
      <c r="B3544" s="1385" t="s">
        <v>9489</v>
      </c>
      <c r="C3544" s="1385"/>
      <c r="D3544" s="1385"/>
      <c r="E3544" s="1385"/>
      <c r="F3544" s="1385"/>
      <c r="G3544" s="401"/>
      <c r="H3544" s="401"/>
      <c r="I3544" s="426"/>
      <c r="J3544" s="411"/>
      <c r="K3544" s="402">
        <f>SUM(K3545:K3560)</f>
        <v>411937.1849625</v>
      </c>
      <c r="L3544" s="402">
        <f>SUM(L3545:L3560)+0.02</f>
        <v>497791.40773382405</v>
      </c>
      <c r="M3544" s="451">
        <f>L3544/L$3577</f>
        <v>0.93316305744637695</v>
      </c>
      <c r="N3544" s="796"/>
      <c r="P3544" s="399"/>
    </row>
    <row r="3545" spans="1:16" s="115" customFormat="1" ht="15" customHeight="1" x14ac:dyDescent="0.25">
      <c r="A3545" s="396"/>
      <c r="B3545" s="1398" t="s">
        <v>9495</v>
      </c>
      <c r="C3545" s="1398"/>
      <c r="D3545" s="1398"/>
      <c r="E3545" s="854">
        <v>331900400000000</v>
      </c>
      <c r="F3545" s="855" t="s">
        <v>9507</v>
      </c>
      <c r="G3545" s="468">
        <v>1</v>
      </c>
      <c r="H3545" s="468">
        <v>0</v>
      </c>
      <c r="I3545" s="751"/>
      <c r="J3545" s="878"/>
      <c r="K3545" s="789">
        <f>(('Parâmetros financeiros Despesa'!E1882))</f>
        <v>29722.850762499998</v>
      </c>
      <c r="L3545" s="789">
        <f>(('Parâmetros financeiros Despesa'!F1882)*2.05+(('Parâmetros financeiros Despesa'!F1882)*11.28)*(1+'Parâmetros financeiros Despesa'!F$4)*(1+'Parâmetros financeiros Despesa'!F$8))*(1+'Parâmetros financeiros Despesa'!F$80)</f>
        <v>38527.392595402911</v>
      </c>
      <c r="M3545" s="799">
        <f t="shared" ref="M3545:M3560" si="559">L3545/L$3577</f>
        <v>7.2223704369335562E-2</v>
      </c>
      <c r="N3545" s="894"/>
      <c r="P3545" s="733"/>
    </row>
    <row r="3546" spans="1:16" s="115" customFormat="1" ht="15" customHeight="1" x14ac:dyDescent="0.25">
      <c r="A3546" s="396"/>
      <c r="B3546" s="993"/>
      <c r="C3546" s="993"/>
      <c r="D3546" s="993" t="s">
        <v>11601</v>
      </c>
      <c r="E3546" s="854">
        <v>331900800000000</v>
      </c>
      <c r="F3546" s="855" t="s">
        <v>11602</v>
      </c>
      <c r="G3546" s="468">
        <v>1</v>
      </c>
      <c r="H3546" s="468">
        <v>0</v>
      </c>
      <c r="I3546" s="751"/>
      <c r="J3546" s="878"/>
      <c r="K3546" s="789">
        <f>(('Parâmetros financeiros Despesa'!E1883))</f>
        <v>8775</v>
      </c>
      <c r="L3546" s="789">
        <f>(('Parâmetros financeiros Despesa'!F1883)*2.05+(('Parâmetros financeiros Despesa'!F1883)*11.28)*(1+'Parâmetros financeiros Despesa'!F$4)*(1+'Parâmetros financeiros Despesa'!F$8))*(1+'Parâmetros financeiros Despesa'!F$80)</f>
        <v>11374.342007974499</v>
      </c>
      <c r="M3546" s="799">
        <f t="shared" si="559"/>
        <v>2.132241657790478E-2</v>
      </c>
      <c r="N3546" s="894"/>
      <c r="P3546" s="733"/>
    </row>
    <row r="3547" spans="1:16" s="115" customFormat="1" ht="15" customHeight="1" x14ac:dyDescent="0.25">
      <c r="A3547" s="396"/>
      <c r="B3547" s="1398" t="s">
        <v>9496</v>
      </c>
      <c r="C3547" s="1398"/>
      <c r="D3547" s="1398"/>
      <c r="E3547" s="854">
        <v>331901100000000</v>
      </c>
      <c r="F3547" s="855" t="s">
        <v>9508</v>
      </c>
      <c r="G3547" s="468">
        <v>1</v>
      </c>
      <c r="H3547" s="468">
        <v>0</v>
      </c>
      <c r="I3547" s="751"/>
      <c r="J3547" s="878"/>
      <c r="K3547" s="789">
        <f>(('Parâmetros financeiros Despesa'!E1884))</f>
        <v>196180.80919999999</v>
      </c>
      <c r="L3547" s="789">
        <f>(('Parâmetros financeiros Despesa'!F1884)*2.05+(('Parâmetros financeiros Despesa'!F1884)*11.28)*(1+'Parâmetros financeiros Despesa'!F$4)*(1+'Parâmetros financeiros Despesa'!F$8))</f>
        <v>205391.30775414704</v>
      </c>
      <c r="M3547" s="799">
        <f t="shared" si="559"/>
        <v>0.38502790072112852</v>
      </c>
      <c r="N3547" s="894"/>
      <c r="P3547" s="733"/>
    </row>
    <row r="3548" spans="1:16" s="115" customFormat="1" ht="15" customHeight="1" x14ac:dyDescent="0.25">
      <c r="A3548" s="396"/>
      <c r="B3548" s="1398" t="s">
        <v>9497</v>
      </c>
      <c r="C3548" s="1398"/>
      <c r="D3548" s="1398"/>
      <c r="E3548" s="854">
        <v>331901300000000</v>
      </c>
      <c r="F3548" s="855" t="s">
        <v>9509</v>
      </c>
      <c r="G3548" s="468">
        <v>1</v>
      </c>
      <c r="H3548" s="468">
        <v>0</v>
      </c>
      <c r="I3548" s="751"/>
      <c r="J3548" s="878"/>
      <c r="K3548" s="789">
        <f>(('Parâmetros financeiros Despesa'!E1885))</f>
        <v>37250.94</v>
      </c>
      <c r="L3548" s="789">
        <f>(L3549+L3547)*'Parâmetros financeiros Despesa'!F80</f>
        <v>59217.221828742564</v>
      </c>
      <c r="M3548" s="799">
        <f t="shared" si="559"/>
        <v>0.11100899476500742</v>
      </c>
      <c r="N3548" s="894"/>
      <c r="P3548" s="733"/>
    </row>
    <row r="3549" spans="1:16" s="115" customFormat="1" ht="15" customHeight="1" x14ac:dyDescent="0.25">
      <c r="A3549" s="396"/>
      <c r="B3549" s="1398" t="s">
        <v>9498</v>
      </c>
      <c r="C3549" s="1398"/>
      <c r="D3549" s="1398"/>
      <c r="E3549" s="854">
        <v>331901600000000</v>
      </c>
      <c r="F3549" s="855" t="s">
        <v>9510</v>
      </c>
      <c r="G3549" s="468">
        <v>1</v>
      </c>
      <c r="H3549" s="468">
        <v>0</v>
      </c>
      <c r="I3549" s="751"/>
      <c r="J3549" s="878"/>
      <c r="K3549" s="789">
        <f>(('Parâmetros financeiros Despesa'!E1885))</f>
        <v>37250.94</v>
      </c>
      <c r="L3549" s="789">
        <f>(('Parâmetros financeiros Despesa'!F1885)*2.05+(('Parâmetros financeiros Despesa'!F1885)*11.28)*(1+'Parâmetros financeiros Despesa'!F$4)*(1+'Parâmetros financeiros Despesa'!F$8))</f>
        <v>43322.317237421703</v>
      </c>
      <c r="M3549" s="799">
        <f t="shared" si="559"/>
        <v>8.1212301740955478E-2</v>
      </c>
      <c r="N3549" s="894"/>
      <c r="P3549" s="733"/>
    </row>
    <row r="3550" spans="1:16" s="115" customFormat="1" ht="15" customHeight="1" x14ac:dyDescent="0.25">
      <c r="A3550" s="396"/>
      <c r="B3550" s="1398" t="s">
        <v>9499</v>
      </c>
      <c r="C3550" s="1398"/>
      <c r="D3550" s="1398"/>
      <c r="E3550" s="854">
        <v>333901400000000</v>
      </c>
      <c r="F3550" s="855" t="s">
        <v>9511</v>
      </c>
      <c r="G3550" s="468">
        <v>1</v>
      </c>
      <c r="H3550" s="468">
        <v>0</v>
      </c>
      <c r="I3550" s="751"/>
      <c r="J3550" s="878"/>
      <c r="K3550" s="789">
        <f>(('Parâmetros financeiros Despesa'!E1886))</f>
        <v>2937</v>
      </c>
      <c r="L3550" s="789">
        <f>(('Parâmetros financeiros Despesa'!F1886)*2+(('Parâmetros financeiros Despesa'!F1886)*10)*(1+'Parâmetros financeiros Despesa'!F$4)*(1+'Parâmetros financeiros Despesa'!F$8))</f>
        <v>3072.7908063960617</v>
      </c>
      <c r="M3550" s="799">
        <f t="shared" si="559"/>
        <v>5.760273920442825E-3</v>
      </c>
      <c r="N3550" s="894"/>
      <c r="O3550" s="796"/>
      <c r="P3550" s="733"/>
    </row>
    <row r="3551" spans="1:16" s="115" customFormat="1" ht="15" customHeight="1" x14ac:dyDescent="0.25">
      <c r="A3551" s="396"/>
      <c r="B3551" s="1396">
        <v>702500</v>
      </c>
      <c r="C3551" s="1396"/>
      <c r="D3551" s="1396"/>
      <c r="E3551" s="854">
        <v>333903000000000</v>
      </c>
      <c r="F3551" s="855" t="s">
        <v>9512</v>
      </c>
      <c r="G3551" s="468">
        <v>1</v>
      </c>
      <c r="H3551" s="468">
        <v>0</v>
      </c>
      <c r="I3551" s="751"/>
      <c r="J3551" s="878"/>
      <c r="K3551" s="789">
        <f>(('Parâmetros financeiros Despesa'!E1888))</f>
        <v>0</v>
      </c>
      <c r="L3551" s="789">
        <f>('Parâmetros financeiros Despesa'!F1887*(1+'Parâmetros financeiros Despesa'!F$4)*(1+'Parâmetros financeiros Despesa'!F$7))</f>
        <v>19817.598212782501</v>
      </c>
      <c r="M3551" s="799">
        <f t="shared" si="559"/>
        <v>3.7150200369413494E-2</v>
      </c>
      <c r="N3551" s="894"/>
      <c r="O3551" s="796"/>
      <c r="P3551" s="733"/>
    </row>
    <row r="3552" spans="1:16" s="115" customFormat="1" ht="15" customHeight="1" x14ac:dyDescent="0.25">
      <c r="A3552" s="396"/>
      <c r="B3552" s="1396">
        <v>702600</v>
      </c>
      <c r="C3552" s="1396"/>
      <c r="D3552" s="1396"/>
      <c r="E3552" s="854">
        <v>333903200000000</v>
      </c>
      <c r="F3552" s="855" t="s">
        <v>9513</v>
      </c>
      <c r="G3552" s="468">
        <v>1</v>
      </c>
      <c r="H3552" s="468">
        <v>0</v>
      </c>
      <c r="I3552" s="751"/>
      <c r="J3552" s="878"/>
      <c r="K3552" s="789">
        <f>(('Parâmetros financeiros Despesa'!E1889))</f>
        <v>0</v>
      </c>
      <c r="L3552" s="789">
        <f>('Parâmetros financeiros Despesa'!F1888*(1+'Parâmetros financeiros Despesa'!F$4)*(1+'Parâmetros financeiros Despesa'!F$7))</f>
        <v>1635.4972500000001</v>
      </c>
      <c r="M3552" s="799">
        <f t="shared" si="559"/>
        <v>3.0659139361264632E-3</v>
      </c>
      <c r="N3552" s="894"/>
      <c r="O3552" s="796"/>
      <c r="P3552" s="733"/>
    </row>
    <row r="3553" spans="1:16" s="115" customFormat="1" ht="15" customHeight="1" x14ac:dyDescent="0.25">
      <c r="A3553" s="396"/>
      <c r="B3553" s="1396">
        <v>702700</v>
      </c>
      <c r="C3553" s="1396"/>
      <c r="D3553" s="1396"/>
      <c r="E3553" s="854">
        <v>333903300000000</v>
      </c>
      <c r="F3553" s="855" t="s">
        <v>9514</v>
      </c>
      <c r="G3553" s="468">
        <v>1</v>
      </c>
      <c r="H3553" s="468">
        <v>0</v>
      </c>
      <c r="I3553" s="751"/>
      <c r="J3553" s="878"/>
      <c r="K3553" s="789">
        <f>(('Parâmetros financeiros Despesa'!E1890))</f>
        <v>0</v>
      </c>
      <c r="L3553" s="789">
        <f>('Parâmetros financeiros Despesa'!F1889*(1+'Parâmetros financeiros Despesa'!F$4)*(1+'Parâmetros financeiros Despesa'!F$7))</f>
        <v>545.16575</v>
      </c>
      <c r="M3553" s="799">
        <f t="shared" si="559"/>
        <v>1.0219713120421545E-3</v>
      </c>
      <c r="N3553" s="894"/>
      <c r="O3553" s="796"/>
      <c r="P3553" s="733"/>
    </row>
    <row r="3554" spans="1:16" s="115" customFormat="1" ht="15" customHeight="1" x14ac:dyDescent="0.25">
      <c r="A3554" s="396"/>
      <c r="B3554" s="1398" t="s">
        <v>9500</v>
      </c>
      <c r="C3554" s="1398"/>
      <c r="D3554" s="1398"/>
      <c r="E3554" s="854">
        <v>333903500000000</v>
      </c>
      <c r="F3554" s="855" t="s">
        <v>9515</v>
      </c>
      <c r="G3554" s="468">
        <v>1</v>
      </c>
      <c r="H3554" s="468">
        <v>0</v>
      </c>
      <c r="I3554" s="751"/>
      <c r="J3554" s="878"/>
      <c r="K3554" s="789">
        <f>(('Parâmetros financeiros Despesa'!E1891))</f>
        <v>11235</v>
      </c>
      <c r="L3554" s="789">
        <f>('Parâmetros financeiros Despesa'!F1890*(1+'Parâmetros financeiros Despesa'!F$4)*(1+'Parâmetros financeiros Despesa'!F$7))</f>
        <v>1635.4972500000001</v>
      </c>
      <c r="M3554" s="799">
        <f t="shared" si="559"/>
        <v>3.0659139361264632E-3</v>
      </c>
      <c r="N3554" s="894"/>
      <c r="O3554" s="796"/>
      <c r="P3554" s="733"/>
    </row>
    <row r="3555" spans="1:16" s="115" customFormat="1" ht="15" customHeight="1" x14ac:dyDescent="0.25">
      <c r="A3555" s="396"/>
      <c r="B3555" s="1398" t="s">
        <v>9501</v>
      </c>
      <c r="C3555" s="1398"/>
      <c r="D3555" s="1398"/>
      <c r="E3555" s="854">
        <v>333903600000000</v>
      </c>
      <c r="F3555" s="855" t="s">
        <v>9516</v>
      </c>
      <c r="G3555" s="468">
        <v>1</v>
      </c>
      <c r="H3555" s="468">
        <v>0</v>
      </c>
      <c r="I3555" s="751"/>
      <c r="J3555" s="878"/>
      <c r="K3555" s="789">
        <f>(('Parâmetros financeiros Despesa'!E1892))</f>
        <v>85177.274999999994</v>
      </c>
      <c r="L3555" s="789">
        <f>('Parâmetros financeiros Despesa'!F1891*(1+'Parâmetros financeiros Despesa'!F$4)*(1+'Parâmetros financeiros Despesa'!F$7))</f>
        <v>13083.978000000001</v>
      </c>
      <c r="M3555" s="799">
        <f t="shared" si="559"/>
        <v>2.4527311489011706E-2</v>
      </c>
      <c r="N3555" s="894"/>
      <c r="O3555" s="796"/>
      <c r="P3555" s="733"/>
    </row>
    <row r="3556" spans="1:16" s="115" customFormat="1" ht="15" customHeight="1" x14ac:dyDescent="0.25">
      <c r="A3556" s="396"/>
      <c r="B3556" s="1398" t="s">
        <v>9502</v>
      </c>
      <c r="C3556" s="1398"/>
      <c r="D3556" s="1398"/>
      <c r="E3556" s="854">
        <v>333903900000000</v>
      </c>
      <c r="F3556" s="855" t="s">
        <v>9517</v>
      </c>
      <c r="G3556" s="468">
        <v>1</v>
      </c>
      <c r="H3556" s="468">
        <v>0</v>
      </c>
      <c r="I3556" s="751"/>
      <c r="J3556" s="878"/>
      <c r="K3556" s="789">
        <f>(('Parâmetros financeiros Despesa'!E1893))</f>
        <v>0</v>
      </c>
      <c r="L3556" s="789">
        <f>('Parâmetros financeiros Despesa'!F1892*(1+'Parâmetros financeiros Despesa'!F$4)*(1+'Parâmetros financeiros Despesa'!F$7))</f>
        <v>93768.509000000005</v>
      </c>
      <c r="M3556" s="799">
        <f t="shared" si="559"/>
        <v>0.17577906567125057</v>
      </c>
      <c r="N3556" s="894"/>
      <c r="O3556" s="796"/>
      <c r="P3556" s="733"/>
    </row>
    <row r="3557" spans="1:16" s="115" customFormat="1" ht="15" customHeight="1" x14ac:dyDescent="0.25">
      <c r="A3557" s="396"/>
      <c r="B3557" s="1398" t="s">
        <v>9503</v>
      </c>
      <c r="C3557" s="1398"/>
      <c r="D3557" s="1398"/>
      <c r="E3557" s="854">
        <v>333904700000000</v>
      </c>
      <c r="F3557" s="855" t="s">
        <v>9518</v>
      </c>
      <c r="G3557" s="468">
        <v>1</v>
      </c>
      <c r="H3557" s="468">
        <v>0</v>
      </c>
      <c r="I3557" s="751"/>
      <c r="J3557" s="878"/>
      <c r="K3557" s="789">
        <f>(('Parâmetros financeiros Despesa'!E1894))</f>
        <v>3407.37</v>
      </c>
      <c r="L3557" s="789">
        <f>('Parâmetros financeiros Despesa'!F1893*(1+'Parâmetros financeiros Despesa'!F$4)*(1+'Parâmetros financeiros Despesa'!F$7))</f>
        <v>654.19889999999998</v>
      </c>
      <c r="M3557" s="799">
        <f t="shared" si="559"/>
        <v>1.2263655744505853E-3</v>
      </c>
      <c r="N3557" s="894"/>
      <c r="O3557" s="796"/>
      <c r="P3557" s="733"/>
    </row>
    <row r="3558" spans="1:16" s="115" customFormat="1" ht="15" customHeight="1" x14ac:dyDescent="0.25">
      <c r="A3558" s="396"/>
      <c r="B3558" s="1398" t="s">
        <v>9504</v>
      </c>
      <c r="C3558" s="1398"/>
      <c r="D3558" s="1398"/>
      <c r="E3558" s="854">
        <v>333904900000000</v>
      </c>
      <c r="F3558" s="855" t="s">
        <v>9519</v>
      </c>
      <c r="G3558" s="468">
        <v>1</v>
      </c>
      <c r="H3558" s="468">
        <v>0</v>
      </c>
      <c r="I3558" s="751"/>
      <c r="J3558" s="878"/>
      <c r="K3558" s="789">
        <f>(('Parâmetros financeiros Despesa'!E1895))</f>
        <v>0</v>
      </c>
      <c r="L3558" s="789">
        <f>(('Parâmetros financeiros Despesa'!F1894)*2+(('Parâmetros financeiros Despesa'!F1894)*10)*(1+'Parâmetros financeiros Despesa'!F$4)*(1+'Parâmetros financeiros Despesa'!F$8))</f>
        <v>3564.9081409566725</v>
      </c>
      <c r="M3558" s="799">
        <f t="shared" si="559"/>
        <v>6.6828003228802399E-3</v>
      </c>
      <c r="N3558" s="894"/>
      <c r="O3558" s="796"/>
      <c r="P3558" s="733"/>
    </row>
    <row r="3559" spans="1:16" s="115" customFormat="1" ht="15" customHeight="1" x14ac:dyDescent="0.25">
      <c r="A3559" s="396"/>
      <c r="B3559" s="1398" t="s">
        <v>9505</v>
      </c>
      <c r="C3559" s="1398"/>
      <c r="D3559" s="1398"/>
      <c r="E3559" s="854">
        <v>333909300000000</v>
      </c>
      <c r="F3559" s="855" t="s">
        <v>9520</v>
      </c>
      <c r="G3559" s="468">
        <v>1</v>
      </c>
      <c r="H3559" s="468">
        <v>0</v>
      </c>
      <c r="I3559" s="751"/>
      <c r="J3559" s="878"/>
      <c r="K3559" s="789">
        <f>(('Parâmetros financeiros Despesa'!E1896))</f>
        <v>0</v>
      </c>
      <c r="L3559" s="789">
        <f>('Parâmetros financeiros Despesa'!F1895*(1+'Parâmetros financeiros Despesa'!F$4)*(1+'Parâmetros financeiros Despesa'!F$7))</f>
        <v>545.16575</v>
      </c>
      <c r="M3559" s="799">
        <f t="shared" si="559"/>
        <v>1.0219713120421545E-3</v>
      </c>
      <c r="N3559" s="894"/>
      <c r="O3559" s="796"/>
      <c r="P3559" s="733"/>
    </row>
    <row r="3560" spans="1:16" s="115" customFormat="1" ht="15" customHeight="1" x14ac:dyDescent="0.25">
      <c r="A3560" s="396"/>
      <c r="B3560" s="1398" t="s">
        <v>9506</v>
      </c>
      <c r="C3560" s="1398"/>
      <c r="D3560" s="1398"/>
      <c r="E3560" s="854">
        <v>333933000000000</v>
      </c>
      <c r="F3560" s="855" t="s">
        <v>9521</v>
      </c>
      <c r="G3560" s="468">
        <v>1</v>
      </c>
      <c r="H3560" s="468">
        <v>0</v>
      </c>
      <c r="I3560" s="751"/>
      <c r="J3560" s="878"/>
      <c r="K3560" s="789">
        <f>(('Parâmetros financeiros Despesa'!E1897))</f>
        <v>0</v>
      </c>
      <c r="L3560" s="789">
        <f>('Parâmetros financeiros Despesa'!F1896*(1+'Parâmetros financeiros Despesa'!F$4)*(1+'Parâmetros financeiros Despesa'!F$7))</f>
        <v>1635.4972500000001</v>
      </c>
      <c r="M3560" s="799">
        <f t="shared" si="559"/>
        <v>3.0659139361264632E-3</v>
      </c>
      <c r="N3560" s="894"/>
      <c r="O3560" s="796"/>
      <c r="P3560" s="733"/>
    </row>
    <row r="3561" spans="1:16" s="780" customFormat="1" ht="15" customHeight="1" x14ac:dyDescent="0.25">
      <c r="A3561" s="397"/>
      <c r="B3561" s="1382" t="s">
        <v>7831</v>
      </c>
      <c r="C3561" s="1382"/>
      <c r="D3561" s="1382"/>
      <c r="E3561" s="1382"/>
      <c r="F3561" s="1382"/>
      <c r="G3561" s="405"/>
      <c r="H3561" s="405"/>
      <c r="I3561" s="428"/>
      <c r="J3561" s="413"/>
      <c r="K3561" s="406">
        <f t="shared" ref="K3561:L3563" si="560">K3562</f>
        <v>16008.535</v>
      </c>
      <c r="L3561" s="406">
        <f t="shared" si="560"/>
        <v>31183.480900000002</v>
      </c>
      <c r="M3561" s="453">
        <f>L3561/L$3577</f>
        <v>5.8456759048811237E-2</v>
      </c>
      <c r="N3561" s="796"/>
      <c r="P3561" s="399"/>
    </row>
    <row r="3562" spans="1:16" s="780" customFormat="1" ht="15" customHeight="1" x14ac:dyDescent="0.25">
      <c r="A3562" s="397"/>
      <c r="B3562" s="1383" t="s">
        <v>2290</v>
      </c>
      <c r="C3562" s="1383"/>
      <c r="D3562" s="1383"/>
      <c r="E3562" s="1383"/>
      <c r="F3562" s="1383"/>
      <c r="G3562" s="407"/>
      <c r="H3562" s="407"/>
      <c r="I3562" s="429"/>
      <c r="J3562" s="414"/>
      <c r="K3562" s="408">
        <f t="shared" si="560"/>
        <v>16008.535</v>
      </c>
      <c r="L3562" s="408">
        <f t="shared" si="560"/>
        <v>31183.480900000002</v>
      </c>
      <c r="M3562" s="454">
        <f>L3562/L$3577</f>
        <v>5.8456759048811237E-2</v>
      </c>
      <c r="N3562" s="796"/>
      <c r="P3562" s="399"/>
    </row>
    <row r="3563" spans="1:16" s="780" customFormat="1" ht="15" customHeight="1" x14ac:dyDescent="0.25">
      <c r="A3563" s="397"/>
      <c r="B3563" s="1385" t="s">
        <v>9489</v>
      </c>
      <c r="C3563" s="1385"/>
      <c r="D3563" s="1385"/>
      <c r="E3563" s="1385"/>
      <c r="F3563" s="1385"/>
      <c r="G3563" s="401"/>
      <c r="H3563" s="401"/>
      <c r="I3563" s="426"/>
      <c r="J3563" s="411"/>
      <c r="K3563" s="402">
        <f t="shared" si="560"/>
        <v>16008.535</v>
      </c>
      <c r="L3563" s="402">
        <f t="shared" si="560"/>
        <v>31183.480900000002</v>
      </c>
      <c r="M3563" s="451">
        <f>L3563/L$3577</f>
        <v>5.8456759048811237E-2</v>
      </c>
      <c r="N3563" s="796"/>
      <c r="P3563" s="399"/>
    </row>
    <row r="3564" spans="1:16" s="780" customFormat="1" ht="15" customHeight="1" x14ac:dyDescent="0.25">
      <c r="A3564" s="397"/>
      <c r="B3564" s="1386" t="s">
        <v>9493</v>
      </c>
      <c r="C3564" s="1386"/>
      <c r="D3564" s="1386"/>
      <c r="E3564" s="1386"/>
      <c r="F3564" s="1386"/>
      <c r="G3564" s="403"/>
      <c r="H3564" s="403"/>
      <c r="I3564" s="427"/>
      <c r="J3564" s="412"/>
      <c r="K3564" s="404">
        <f>SUM(K3565:K3573)-0.02</f>
        <v>16008.535</v>
      </c>
      <c r="L3564" s="404">
        <f>SUM(L3565:L3573)</f>
        <v>31183.480900000002</v>
      </c>
      <c r="M3564" s="452">
        <f>L3564/L$3577</f>
        <v>5.8456759048811237E-2</v>
      </c>
      <c r="N3564" s="796"/>
      <c r="P3564" s="399"/>
    </row>
    <row r="3565" spans="1:16" s="115" customFormat="1" ht="15" customHeight="1" x14ac:dyDescent="0.25">
      <c r="A3565" s="396"/>
      <c r="B3565" s="1398" t="s">
        <v>9526</v>
      </c>
      <c r="C3565" s="1398"/>
      <c r="D3565" s="1398"/>
      <c r="E3565" s="854">
        <v>333901400000000</v>
      </c>
      <c r="F3565" s="855" t="s">
        <v>9534</v>
      </c>
      <c r="G3565" s="468">
        <v>1</v>
      </c>
      <c r="H3565" s="468">
        <v>0</v>
      </c>
      <c r="I3565" s="751"/>
      <c r="J3565" s="878"/>
      <c r="K3565" s="789">
        <f>('Parâmetros financeiros Despesa'!E1898)</f>
        <v>0</v>
      </c>
      <c r="L3565" s="789">
        <f>('Parâmetros financeiros Despesa'!F1898*(1+'Parâmetros financeiros Despesa'!F$4)*(1+'Parâmetros financeiros Despesa'!F$7))</f>
        <v>1090.3315</v>
      </c>
      <c r="M3565" s="799">
        <f t="shared" ref="M3565:M3572" si="561">L3565/L$3577</f>
        <v>2.043942624084309E-3</v>
      </c>
      <c r="N3565" s="894"/>
      <c r="O3565" s="796"/>
      <c r="P3565" s="733"/>
    </row>
    <row r="3566" spans="1:16" s="115" customFormat="1" ht="15" customHeight="1" x14ac:dyDescent="0.25">
      <c r="A3566" s="396"/>
      <c r="B3566" s="1396">
        <v>704100</v>
      </c>
      <c r="C3566" s="1396"/>
      <c r="D3566" s="1396"/>
      <c r="E3566" s="854">
        <v>333903000000000</v>
      </c>
      <c r="F3566" s="855" t="s">
        <v>9533</v>
      </c>
      <c r="G3566" s="468">
        <v>1</v>
      </c>
      <c r="H3566" s="468">
        <v>0</v>
      </c>
      <c r="I3566" s="751"/>
      <c r="J3566" s="878"/>
      <c r="K3566" s="789">
        <f>('Parâmetros financeiros Despesa'!E1899)</f>
        <v>12303.03</v>
      </c>
      <c r="L3566" s="789">
        <f>('Parâmetros financeiros Despesa'!F1899*(1+'Parâmetros financeiros Despesa'!F$4)*(1+'Parâmetros financeiros Despesa'!F$7))</f>
        <v>14174.309500000001</v>
      </c>
      <c r="M3566" s="799">
        <f t="shared" si="561"/>
        <v>2.6571254113096018E-2</v>
      </c>
      <c r="N3566" s="894"/>
      <c r="O3566" s="796"/>
      <c r="P3566" s="733"/>
    </row>
    <row r="3567" spans="1:16" s="115" customFormat="1" ht="15" customHeight="1" x14ac:dyDescent="0.25">
      <c r="A3567" s="396"/>
      <c r="B3567" s="992"/>
      <c r="C3567" s="992"/>
      <c r="D3567" s="992">
        <v>704200</v>
      </c>
      <c r="E3567" s="854">
        <v>333903300000000</v>
      </c>
      <c r="F3567" s="855" t="s">
        <v>9540</v>
      </c>
      <c r="G3567" s="468">
        <v>1</v>
      </c>
      <c r="H3567" s="468">
        <v>0</v>
      </c>
      <c r="I3567" s="751"/>
      <c r="J3567" s="878"/>
      <c r="K3567" s="789">
        <f>('Parâmetros financeiros Despesa'!E1900)</f>
        <v>0</v>
      </c>
      <c r="L3567" s="789">
        <f>('Parâmetros financeiros Despesa'!F1900*(1+'Parâmetros financeiros Despesa'!F$4)*(1+'Parâmetros financeiros Despesa'!F$7))</f>
        <v>1090.3315</v>
      </c>
      <c r="M3567" s="799">
        <f t="shared" si="561"/>
        <v>2.043942624084309E-3</v>
      </c>
      <c r="N3567" s="894"/>
      <c r="O3567" s="796"/>
      <c r="P3567" s="733"/>
    </row>
    <row r="3568" spans="1:16" s="115" customFormat="1" ht="15" customHeight="1" x14ac:dyDescent="0.25">
      <c r="A3568" s="396"/>
      <c r="B3568" s="1398" t="s">
        <v>9522</v>
      </c>
      <c r="C3568" s="1398"/>
      <c r="D3568" s="1398"/>
      <c r="E3568" s="854">
        <v>333903600000000</v>
      </c>
      <c r="F3568" s="855" t="s">
        <v>9535</v>
      </c>
      <c r="G3568" s="468">
        <v>1</v>
      </c>
      <c r="H3568" s="468">
        <v>0</v>
      </c>
      <c r="I3568" s="751"/>
      <c r="J3568" s="878"/>
      <c r="K3568" s="789">
        <f>('Parâmetros financeiros Despesa'!E1901)</f>
        <v>0</v>
      </c>
      <c r="L3568" s="789">
        <f>('Parâmetros financeiros Despesa'!F1901*(1+'Parâmetros financeiros Despesa'!F$4)*(1+'Parâmetros financeiros Despesa'!F$7))</f>
        <v>3270.9945000000002</v>
      </c>
      <c r="M3568" s="799">
        <f t="shared" si="561"/>
        <v>6.1318278722529264E-3</v>
      </c>
      <c r="N3568" s="894"/>
      <c r="O3568" s="796"/>
      <c r="P3568" s="733"/>
    </row>
    <row r="3569" spans="1:16" s="115" customFormat="1" ht="15" customHeight="1" x14ac:dyDescent="0.25">
      <c r="A3569" s="396"/>
      <c r="B3569" s="1398" t="s">
        <v>9524</v>
      </c>
      <c r="C3569" s="1398"/>
      <c r="D3569" s="1398"/>
      <c r="E3569" s="854">
        <v>333903900000000</v>
      </c>
      <c r="F3569" s="855" t="s">
        <v>9536</v>
      </c>
      <c r="G3569" s="468">
        <v>1</v>
      </c>
      <c r="H3569" s="468">
        <v>0</v>
      </c>
      <c r="I3569" s="751"/>
      <c r="J3569" s="878"/>
      <c r="K3569" s="789">
        <f>('Parâmetros financeiros Despesa'!E1902)</f>
        <v>3705.5250000000005</v>
      </c>
      <c r="L3569" s="789">
        <f>('Parâmetros financeiros Despesa'!F1902*(1+'Parâmetros financeiros Despesa'!F$4)*(1+'Parâmetros financeiros Despesa'!F$7))</f>
        <v>5451.6575000000003</v>
      </c>
      <c r="M3569" s="799">
        <f t="shared" si="561"/>
        <v>1.0219713120421544E-2</v>
      </c>
      <c r="N3569" s="894"/>
      <c r="O3569" s="796"/>
      <c r="P3569" s="733"/>
    </row>
    <row r="3570" spans="1:16" s="115" customFormat="1" ht="15" customHeight="1" x14ac:dyDescent="0.25">
      <c r="A3570" s="396"/>
      <c r="B3570" s="1398" t="s">
        <v>9523</v>
      </c>
      <c r="C3570" s="1398"/>
      <c r="D3570" s="1398"/>
      <c r="E3570" s="854">
        <v>333904700000000</v>
      </c>
      <c r="F3570" s="855" t="s">
        <v>9537</v>
      </c>
      <c r="G3570" s="468">
        <v>1</v>
      </c>
      <c r="H3570" s="468">
        <v>0</v>
      </c>
      <c r="I3570" s="751"/>
      <c r="J3570" s="878"/>
      <c r="K3570" s="789">
        <f>('Parâmetros financeiros Despesa'!E1903)</f>
        <v>0</v>
      </c>
      <c r="L3570" s="789">
        <f>('Parâmetros financeiros Despesa'!F1903*(1+'Parâmetros financeiros Despesa'!F$4)*(1+'Parâmetros financeiros Despesa'!F$7))</f>
        <v>654.19889999999998</v>
      </c>
      <c r="M3570" s="799">
        <f t="shared" si="561"/>
        <v>1.2263655744505853E-3</v>
      </c>
      <c r="N3570" s="894"/>
      <c r="O3570" s="796"/>
      <c r="P3570" s="733"/>
    </row>
    <row r="3571" spans="1:16" s="115" customFormat="1" ht="15" customHeight="1" x14ac:dyDescent="0.25">
      <c r="A3571" s="396"/>
      <c r="B3571" s="993"/>
      <c r="C3571" s="993"/>
      <c r="D3571" s="993" t="s">
        <v>9525</v>
      </c>
      <c r="E3571" s="854">
        <v>333909300000000</v>
      </c>
      <c r="F3571" s="855" t="s">
        <v>9538</v>
      </c>
      <c r="G3571" s="468">
        <v>1</v>
      </c>
      <c r="H3571" s="468">
        <v>0</v>
      </c>
      <c r="I3571" s="751"/>
      <c r="J3571" s="878"/>
      <c r="K3571" s="789">
        <f>('Parâmetros financeiros Despesa'!E1904)</f>
        <v>0</v>
      </c>
      <c r="L3571" s="789">
        <f>('Parâmetros financeiros Despesa'!F1904*(1+'Parâmetros financeiros Despesa'!F$4)*(1+'Parâmetros financeiros Despesa'!F$7))</f>
        <v>1635.4972500000001</v>
      </c>
      <c r="M3571" s="799">
        <f t="shared" si="561"/>
        <v>3.0659139361264632E-3</v>
      </c>
      <c r="N3571" s="894"/>
      <c r="O3571" s="796"/>
      <c r="P3571" s="733"/>
    </row>
    <row r="3572" spans="1:16" s="115" customFormat="1" ht="18" customHeight="1" x14ac:dyDescent="0.25">
      <c r="A3572" s="396"/>
      <c r="B3572" s="1398" t="s">
        <v>9527</v>
      </c>
      <c r="C3572" s="1398"/>
      <c r="D3572" s="1398"/>
      <c r="E3572" s="854">
        <v>333933000000000</v>
      </c>
      <c r="F3572" s="855" t="s">
        <v>9539</v>
      </c>
      <c r="G3572" s="468">
        <v>1</v>
      </c>
      <c r="H3572" s="468">
        <v>0</v>
      </c>
      <c r="I3572" s="751"/>
      <c r="J3572" s="878"/>
      <c r="K3572" s="789">
        <f>('Parâmetros financeiros Despesa'!E1905)</f>
        <v>0</v>
      </c>
      <c r="L3572" s="789">
        <f>('Parâmetros financeiros Despesa'!F1905*(1+'Parâmetros financeiros Despesa'!F$4)*(1+'Parâmetros financeiros Despesa'!F$7))</f>
        <v>2180.663</v>
      </c>
      <c r="M3572" s="799">
        <f t="shared" si="561"/>
        <v>4.0878852481686179E-3</v>
      </c>
      <c r="N3572" s="894"/>
      <c r="O3572" s="796"/>
      <c r="P3572" s="733"/>
    </row>
    <row r="3573" spans="1:16" s="115" customFormat="1" ht="16.5" customHeight="1" x14ac:dyDescent="0.25">
      <c r="A3573" s="396"/>
      <c r="B3573" s="1398" t="s">
        <v>9542</v>
      </c>
      <c r="C3573" s="1398"/>
      <c r="D3573" s="1398"/>
      <c r="E3573" s="854">
        <v>344905200000000</v>
      </c>
      <c r="F3573" s="855" t="s">
        <v>9541</v>
      </c>
      <c r="G3573" s="468">
        <v>1</v>
      </c>
      <c r="H3573" s="468">
        <v>0</v>
      </c>
      <c r="I3573" s="751"/>
      <c r="J3573" s="878"/>
      <c r="K3573" s="789">
        <f>('Parâmetros financeiros Despesa'!E1906)</f>
        <v>0</v>
      </c>
      <c r="L3573" s="789">
        <f>('Parâmetros financeiros Despesa'!F1906*(1+'Parâmetros financeiros Despesa'!F$4)*(1+'Parâmetros financeiros Despesa'!F$7))</f>
        <v>1635.4972500000001</v>
      </c>
      <c r="M3573" s="799">
        <f>L3573/L$3577</f>
        <v>3.0659139361264632E-3</v>
      </c>
      <c r="N3573" s="894"/>
      <c r="O3573" s="796"/>
      <c r="P3573" s="733"/>
    </row>
    <row r="3574" spans="1:16" s="115" customFormat="1" ht="16.5" customHeight="1" x14ac:dyDescent="0.25">
      <c r="A3574" s="396"/>
      <c r="B3574" s="1395" t="s">
        <v>2172</v>
      </c>
      <c r="C3574" s="1395"/>
      <c r="D3574" s="1395"/>
      <c r="E3574" s="1395"/>
      <c r="F3574" s="1395"/>
      <c r="G3574" s="1395"/>
      <c r="H3574" s="1395"/>
      <c r="I3574" s="1395"/>
      <c r="J3574" s="1395"/>
      <c r="K3574" s="1023">
        <f>K3564+K3543+K3535+0.01</f>
        <v>428908.70996249997</v>
      </c>
      <c r="L3574" s="1023">
        <f>L3564+L3543+L3535+0.01</f>
        <v>533445.25778382411</v>
      </c>
      <c r="M3574" s="452">
        <f>L3574/L$3577</f>
        <v>1</v>
      </c>
      <c r="N3574" s="894"/>
      <c r="P3574" s="733"/>
    </row>
    <row r="3575" spans="1:16" s="820" customFormat="1" ht="15" customHeight="1" x14ac:dyDescent="0.25">
      <c r="B3575" s="864" t="s">
        <v>11469</v>
      </c>
      <c r="C3575" s="864"/>
      <c r="D3575" s="864"/>
      <c r="E3575" s="864"/>
      <c r="F3575" s="864"/>
      <c r="G3575" s="864"/>
      <c r="H3575" s="864"/>
      <c r="I3575" s="864"/>
      <c r="J3575" s="864"/>
      <c r="K3575" s="863"/>
      <c r="L3575" s="863"/>
      <c r="M3575" s="452"/>
      <c r="N3575" s="796"/>
      <c r="P3575" s="399"/>
    </row>
    <row r="3576" spans="1:16" s="820" customFormat="1" ht="15" customHeight="1" x14ac:dyDescent="0.25">
      <c r="B3576" s="869" t="s">
        <v>745</v>
      </c>
      <c r="C3576" s="869"/>
      <c r="D3576" s="869"/>
      <c r="E3576" s="869"/>
      <c r="F3576" s="869"/>
      <c r="G3576" s="869"/>
      <c r="H3576" s="869"/>
      <c r="I3576" s="869"/>
      <c r="J3576" s="869"/>
      <c r="K3576" s="870">
        <f>K3574</f>
        <v>428908.70996249997</v>
      </c>
      <c r="L3576" s="870">
        <f>L3574</f>
        <v>533445.25778382411</v>
      </c>
      <c r="M3576" s="871">
        <f>L3576/L$3577</f>
        <v>1</v>
      </c>
      <c r="N3576" s="796"/>
      <c r="P3576" s="399"/>
    </row>
    <row r="3577" spans="1:16" s="115" customFormat="1" ht="15" customHeight="1" x14ac:dyDescent="0.25">
      <c r="B3577" s="864" t="s">
        <v>2172</v>
      </c>
      <c r="C3577" s="864"/>
      <c r="D3577" s="864"/>
      <c r="E3577" s="864"/>
      <c r="F3577" s="864"/>
      <c r="G3577" s="864"/>
      <c r="H3577" s="864"/>
      <c r="I3577" s="864"/>
      <c r="J3577" s="864"/>
      <c r="K3577" s="863">
        <f>SUM(K3576:K3576)</f>
        <v>428908.70996249997</v>
      </c>
      <c r="L3577" s="863">
        <f>SUM(L3576:L3576)</f>
        <v>533445.25778382411</v>
      </c>
      <c r="M3577" s="452">
        <f>L3577/L$3577</f>
        <v>1</v>
      </c>
      <c r="O3577" s="796"/>
      <c r="P3577" s="733"/>
    </row>
    <row r="3583" spans="1:16" s="435" customFormat="1" ht="15" customHeight="1" x14ac:dyDescent="0.25">
      <c r="B3583" s="777" t="s">
        <v>989</v>
      </c>
      <c r="C3583" s="777"/>
      <c r="D3583" s="481"/>
      <c r="E3583" s="1371" t="s">
        <v>9486</v>
      </c>
      <c r="F3583" s="1371"/>
      <c r="G3583" s="1371"/>
      <c r="H3583" s="1371"/>
      <c r="I3583" s="1371"/>
      <c r="J3583" s="437"/>
      <c r="K3583" s="940"/>
      <c r="L3583" s="438"/>
      <c r="M3583" s="449"/>
      <c r="N3583" s="892"/>
      <c r="P3583" s="732"/>
    </row>
    <row r="3584" spans="1:16" s="435" customFormat="1" ht="15" customHeight="1" x14ac:dyDescent="0.25">
      <c r="B3584" s="777" t="s">
        <v>458</v>
      </c>
      <c r="C3584" s="777"/>
      <c r="D3584" s="481"/>
      <c r="E3584" s="1371" t="s">
        <v>8777</v>
      </c>
      <c r="F3584" s="1371"/>
      <c r="G3584" s="1371"/>
      <c r="H3584" s="1371"/>
      <c r="I3584" s="1371"/>
      <c r="J3584" s="437"/>
      <c r="K3584" s="940"/>
      <c r="L3584" s="438"/>
      <c r="M3584" s="449"/>
      <c r="N3584" s="892"/>
      <c r="P3584" s="732"/>
    </row>
    <row r="3585" spans="1:16" s="435" customFormat="1" ht="15" customHeight="1" x14ac:dyDescent="0.25">
      <c r="B3585" s="779" t="s">
        <v>5764</v>
      </c>
      <c r="C3585" s="779"/>
      <c r="D3585" s="779"/>
      <c r="E3585" s="1371" t="s">
        <v>749</v>
      </c>
      <c r="F3585" s="1371"/>
      <c r="G3585" s="1371"/>
      <c r="H3585" s="1371"/>
      <c r="I3585" s="1371"/>
      <c r="J3585" s="440"/>
      <c r="K3585" s="941"/>
      <c r="L3585" s="438"/>
      <c r="M3585" s="449"/>
      <c r="N3585" s="892"/>
      <c r="P3585" s="732"/>
    </row>
    <row r="3586" spans="1:16" s="851" customFormat="1" ht="113.25" customHeight="1" x14ac:dyDescent="0.25">
      <c r="A3586" s="396"/>
      <c r="B3586" s="1400" t="s">
        <v>2296</v>
      </c>
      <c r="C3586" s="1400"/>
      <c r="D3586" s="1400"/>
      <c r="E3586" s="1384" t="s">
        <v>2297</v>
      </c>
      <c r="F3586" s="1384"/>
      <c r="G3586" s="443" t="s">
        <v>444</v>
      </c>
      <c r="H3586" s="443" t="s">
        <v>2245</v>
      </c>
      <c r="I3586" s="444" t="s">
        <v>5725</v>
      </c>
      <c r="J3586" s="849" t="s">
        <v>2275</v>
      </c>
      <c r="K3586" s="893" t="s">
        <v>11644</v>
      </c>
      <c r="L3586" s="979" t="s">
        <v>11522</v>
      </c>
      <c r="M3586" s="450" t="s">
        <v>235</v>
      </c>
      <c r="N3586" s="796"/>
      <c r="P3586" s="399"/>
    </row>
    <row r="3587" spans="1:16" s="780" customFormat="1" ht="15" customHeight="1" x14ac:dyDescent="0.25">
      <c r="A3587" s="397"/>
      <c r="B3587" s="1382" t="s">
        <v>7831</v>
      </c>
      <c r="C3587" s="1382"/>
      <c r="D3587" s="1382"/>
      <c r="E3587" s="1382"/>
      <c r="F3587" s="1382"/>
      <c r="G3587" s="405"/>
      <c r="H3587" s="405"/>
      <c r="I3587" s="428"/>
      <c r="J3587" s="413"/>
      <c r="K3587" s="406">
        <f t="shared" ref="K3587:L3589" si="562">K3588</f>
        <v>0</v>
      </c>
      <c r="L3587" s="406">
        <f t="shared" si="562"/>
        <v>1090.3315</v>
      </c>
      <c r="M3587" s="453">
        <f t="shared" ref="M3587:M3603" si="563">L3587/L$3718</f>
        <v>7.4601294781531336E-3</v>
      </c>
      <c r="N3587" s="796"/>
      <c r="P3587" s="399"/>
    </row>
    <row r="3588" spans="1:16" s="780" customFormat="1" ht="15" customHeight="1" x14ac:dyDescent="0.25">
      <c r="A3588" s="397"/>
      <c r="B3588" s="1383" t="s">
        <v>2290</v>
      </c>
      <c r="C3588" s="1383"/>
      <c r="D3588" s="1383"/>
      <c r="E3588" s="1383"/>
      <c r="F3588" s="1383"/>
      <c r="G3588" s="407"/>
      <c r="H3588" s="407"/>
      <c r="I3588" s="429"/>
      <c r="J3588" s="414"/>
      <c r="K3588" s="408">
        <f t="shared" si="562"/>
        <v>0</v>
      </c>
      <c r="L3588" s="408">
        <f t="shared" si="562"/>
        <v>1090.3315</v>
      </c>
      <c r="M3588" s="454">
        <f t="shared" si="563"/>
        <v>7.4601294781531336E-3</v>
      </c>
      <c r="N3588" s="796"/>
      <c r="P3588" s="399"/>
    </row>
    <row r="3589" spans="1:16" s="780" customFormat="1" ht="15" customHeight="1" x14ac:dyDescent="0.25">
      <c r="A3589" s="397"/>
      <c r="B3589" s="1385" t="s">
        <v>9489</v>
      </c>
      <c r="C3589" s="1385"/>
      <c r="D3589" s="1385"/>
      <c r="E3589" s="1385"/>
      <c r="F3589" s="1385"/>
      <c r="G3589" s="401"/>
      <c r="H3589" s="401"/>
      <c r="I3589" s="426"/>
      <c r="J3589" s="411"/>
      <c r="K3589" s="402">
        <f t="shared" si="562"/>
        <v>0</v>
      </c>
      <c r="L3589" s="402">
        <f t="shared" si="562"/>
        <v>1090.3315</v>
      </c>
      <c r="M3589" s="451">
        <f t="shared" si="563"/>
        <v>7.4601294781531336E-3</v>
      </c>
      <c r="N3589" s="796"/>
      <c r="P3589" s="399"/>
    </row>
    <row r="3590" spans="1:16" s="780" customFormat="1" ht="15" customHeight="1" x14ac:dyDescent="0.25">
      <c r="A3590" s="397"/>
      <c r="B3590" s="1386" t="s">
        <v>9548</v>
      </c>
      <c r="C3590" s="1386"/>
      <c r="D3590" s="1386"/>
      <c r="E3590" s="1386"/>
      <c r="F3590" s="1386"/>
      <c r="G3590" s="403"/>
      <c r="H3590" s="403"/>
      <c r="I3590" s="427"/>
      <c r="J3590" s="412"/>
      <c r="K3590" s="404">
        <f>K3591+K3592</f>
        <v>0</v>
      </c>
      <c r="L3590" s="404">
        <f>L3591+L3592</f>
        <v>1090.3315</v>
      </c>
      <c r="M3590" s="452">
        <f t="shared" si="563"/>
        <v>7.4601294781531336E-3</v>
      </c>
      <c r="N3590" s="796"/>
      <c r="P3590" s="399"/>
    </row>
    <row r="3591" spans="1:16" s="115" customFormat="1" x14ac:dyDescent="0.25">
      <c r="B3591" s="1031"/>
      <c r="C3591" s="1031"/>
      <c r="D3591" s="853" t="s">
        <v>9544</v>
      </c>
      <c r="E3591" s="854">
        <v>333900800000000</v>
      </c>
      <c r="F3591" s="855" t="s">
        <v>9580</v>
      </c>
      <c r="G3591" s="1032">
        <v>1</v>
      </c>
      <c r="H3591" s="1032">
        <v>0</v>
      </c>
      <c r="I3591" s="990"/>
      <c r="J3591" s="989"/>
      <c r="K3591" s="1033">
        <f>('Parâmetros financeiros Despesa'!E1912)</f>
        <v>0</v>
      </c>
      <c r="L3591" s="1033">
        <f>('Parâmetros financeiros Despesa'!F1912*(1+'Parâmetros financeiros Despesa'!F$4)*(1+'Parâmetros financeiros Despesa'!F$7))</f>
        <v>545.16575</v>
      </c>
      <c r="M3591" s="799">
        <f t="shared" si="563"/>
        <v>3.7300647390765668E-3</v>
      </c>
      <c r="N3591" s="894"/>
      <c r="O3591" s="796"/>
      <c r="P3591" s="733"/>
    </row>
    <row r="3592" spans="1:16" s="115" customFormat="1" x14ac:dyDescent="0.25">
      <c r="B3592" s="1031"/>
      <c r="C3592" s="1031"/>
      <c r="D3592" s="853" t="s">
        <v>9545</v>
      </c>
      <c r="E3592" s="854">
        <v>333903200000000</v>
      </c>
      <c r="F3592" s="855" t="s">
        <v>9581</v>
      </c>
      <c r="G3592" s="1032">
        <v>1</v>
      </c>
      <c r="H3592" s="1032">
        <v>0</v>
      </c>
      <c r="I3592" s="990"/>
      <c r="J3592" s="989"/>
      <c r="K3592" s="1033">
        <f>('Parâmetros financeiros Despesa'!E1913)</f>
        <v>0</v>
      </c>
      <c r="L3592" s="1033">
        <f>('Parâmetros financeiros Despesa'!F1913*(1+'Parâmetros financeiros Despesa'!F$4)*(1+'Parâmetros financeiros Despesa'!F$7))</f>
        <v>545.16575</v>
      </c>
      <c r="M3592" s="799">
        <f t="shared" si="563"/>
        <v>3.7300647390765668E-3</v>
      </c>
      <c r="N3592" s="894"/>
      <c r="O3592" s="796"/>
      <c r="P3592" s="733"/>
    </row>
    <row r="3593" spans="1:16" s="780" customFormat="1" ht="15" customHeight="1" x14ac:dyDescent="0.25">
      <c r="A3593" s="397"/>
      <c r="B3593" s="1382" t="s">
        <v>7831</v>
      </c>
      <c r="C3593" s="1382"/>
      <c r="D3593" s="1382"/>
      <c r="E3593" s="1382"/>
      <c r="F3593" s="1382"/>
      <c r="G3593" s="405"/>
      <c r="H3593" s="405"/>
      <c r="I3593" s="428"/>
      <c r="J3593" s="413"/>
      <c r="K3593" s="406">
        <f t="shared" ref="K3593:L3595" si="564">K3594</f>
        <v>0</v>
      </c>
      <c r="L3593" s="406">
        <f t="shared" si="564"/>
        <v>2725.8187499999999</v>
      </c>
      <c r="M3593" s="453">
        <f t="shared" si="563"/>
        <v>1.8650255274636682E-2</v>
      </c>
      <c r="N3593" s="796"/>
      <c r="P3593" s="399"/>
    </row>
    <row r="3594" spans="1:16" s="780" customFormat="1" ht="15" customHeight="1" x14ac:dyDescent="0.25">
      <c r="A3594" s="397"/>
      <c r="B3594" s="1383" t="s">
        <v>9559</v>
      </c>
      <c r="C3594" s="1383"/>
      <c r="D3594" s="1383"/>
      <c r="E3594" s="1383"/>
      <c r="F3594" s="1383"/>
      <c r="G3594" s="407"/>
      <c r="H3594" s="407"/>
      <c r="I3594" s="429"/>
      <c r="J3594" s="414"/>
      <c r="K3594" s="408">
        <f t="shared" si="564"/>
        <v>0</v>
      </c>
      <c r="L3594" s="408">
        <f t="shared" si="564"/>
        <v>2725.8187499999999</v>
      </c>
      <c r="M3594" s="454">
        <f t="shared" si="563"/>
        <v>1.8650255274636682E-2</v>
      </c>
      <c r="N3594" s="796"/>
      <c r="P3594" s="399"/>
    </row>
    <row r="3595" spans="1:16" s="780" customFormat="1" ht="15" customHeight="1" x14ac:dyDescent="0.25">
      <c r="A3595" s="397"/>
      <c r="B3595" s="1385" t="s">
        <v>9489</v>
      </c>
      <c r="C3595" s="1385"/>
      <c r="D3595" s="1385"/>
      <c r="E3595" s="1385"/>
      <c r="F3595" s="1385"/>
      <c r="G3595" s="401"/>
      <c r="H3595" s="401"/>
      <c r="I3595" s="426"/>
      <c r="J3595" s="411"/>
      <c r="K3595" s="402">
        <f t="shared" si="564"/>
        <v>0</v>
      </c>
      <c r="L3595" s="402">
        <f t="shared" si="564"/>
        <v>2725.8187499999999</v>
      </c>
      <c r="M3595" s="451">
        <f t="shared" si="563"/>
        <v>1.8650255274636682E-2</v>
      </c>
      <c r="N3595" s="796"/>
      <c r="P3595" s="399"/>
    </row>
    <row r="3596" spans="1:16" s="780" customFormat="1" ht="15" customHeight="1" x14ac:dyDescent="0.25">
      <c r="A3596" s="397"/>
      <c r="B3596" s="1386" t="s">
        <v>9553</v>
      </c>
      <c r="C3596" s="1386"/>
      <c r="D3596" s="1386"/>
      <c r="E3596" s="1386"/>
      <c r="F3596" s="1386"/>
      <c r="G3596" s="403"/>
      <c r="H3596" s="403"/>
      <c r="I3596" s="427"/>
      <c r="J3596" s="412"/>
      <c r="K3596" s="404">
        <f>K3597+K3598</f>
        <v>0</v>
      </c>
      <c r="L3596" s="404">
        <f>L3597+L3598-0.01</f>
        <v>2725.8187499999999</v>
      </c>
      <c r="M3596" s="452">
        <f t="shared" si="563"/>
        <v>1.8650255274636682E-2</v>
      </c>
      <c r="N3596" s="796"/>
      <c r="P3596" s="399"/>
    </row>
    <row r="3597" spans="1:16" s="115" customFormat="1" x14ac:dyDescent="0.25">
      <c r="B3597" s="1031"/>
      <c r="C3597" s="1031"/>
      <c r="D3597" s="853" t="s">
        <v>11603</v>
      </c>
      <c r="E3597" s="854">
        <v>333900800000000</v>
      </c>
      <c r="F3597" s="855" t="s">
        <v>9582</v>
      </c>
      <c r="G3597" s="1032">
        <v>1</v>
      </c>
      <c r="H3597" s="1032">
        <v>0</v>
      </c>
      <c r="I3597" s="990"/>
      <c r="J3597" s="989"/>
      <c r="K3597" s="1033">
        <f>('Parâmetros financeiros Despesa'!E1915)</f>
        <v>0</v>
      </c>
      <c r="L3597" s="1033">
        <f>('Parâmetros financeiros Despesa'!F1915*(1+'Parâmetros financeiros Despesa'!F$4)*(1+'Parâmetros financeiros Despesa'!F$7))</f>
        <v>1635.4972500000001</v>
      </c>
      <c r="M3597" s="799">
        <f t="shared" si="563"/>
        <v>1.1190194217229702E-2</v>
      </c>
      <c r="N3597" s="894"/>
      <c r="O3597" s="796"/>
      <c r="P3597" s="733"/>
    </row>
    <row r="3598" spans="1:16" s="115" customFormat="1" x14ac:dyDescent="0.25">
      <c r="B3598" s="1031"/>
      <c r="C3598" s="1031"/>
      <c r="D3598" s="853" t="s">
        <v>11604</v>
      </c>
      <c r="E3598" s="854">
        <v>333903200000000</v>
      </c>
      <c r="F3598" s="855" t="s">
        <v>9583</v>
      </c>
      <c r="G3598" s="1032">
        <v>1</v>
      </c>
      <c r="H3598" s="1032">
        <v>0</v>
      </c>
      <c r="I3598" s="990"/>
      <c r="J3598" s="989"/>
      <c r="K3598" s="1033">
        <f>('Parâmetros financeiros Despesa'!E1916)</f>
        <v>0</v>
      </c>
      <c r="L3598" s="1033">
        <f>('Parâmetros financeiros Despesa'!F1916*(1+'Parâmetros financeiros Despesa'!F$4)*(1+'Parâmetros financeiros Despesa'!F$7))</f>
        <v>1090.3315</v>
      </c>
      <c r="M3598" s="799">
        <f t="shared" si="563"/>
        <v>7.4601294781531336E-3</v>
      </c>
      <c r="N3598" s="894"/>
      <c r="O3598" s="796"/>
      <c r="P3598" s="733"/>
    </row>
    <row r="3599" spans="1:16" s="780" customFormat="1" ht="15" customHeight="1" x14ac:dyDescent="0.25">
      <c r="A3599" s="397"/>
      <c r="B3599" s="1382" t="s">
        <v>7831</v>
      </c>
      <c r="C3599" s="1382"/>
      <c r="D3599" s="1382"/>
      <c r="E3599" s="1382"/>
      <c r="F3599" s="1382"/>
      <c r="G3599" s="405"/>
      <c r="H3599" s="405"/>
      <c r="I3599" s="428"/>
      <c r="J3599" s="413"/>
      <c r="K3599" s="406">
        <f t="shared" ref="K3599:L3600" si="565">K3600</f>
        <v>59038.740000000005</v>
      </c>
      <c r="L3599" s="406">
        <f t="shared" si="565"/>
        <v>64371.797942309997</v>
      </c>
      <c r="M3599" s="453">
        <f t="shared" si="563"/>
        <v>0.44043664462701854</v>
      </c>
      <c r="N3599" s="796"/>
      <c r="P3599" s="399"/>
    </row>
    <row r="3600" spans="1:16" s="780" customFormat="1" ht="15" customHeight="1" x14ac:dyDescent="0.25">
      <c r="A3600" s="397"/>
      <c r="B3600" s="1383" t="s">
        <v>9560</v>
      </c>
      <c r="C3600" s="1383"/>
      <c r="D3600" s="1383"/>
      <c r="E3600" s="1383"/>
      <c r="F3600" s="1383"/>
      <c r="G3600" s="407"/>
      <c r="H3600" s="407"/>
      <c r="I3600" s="429"/>
      <c r="J3600" s="414"/>
      <c r="K3600" s="408">
        <f t="shared" si="565"/>
        <v>59038.740000000005</v>
      </c>
      <c r="L3600" s="408">
        <f t="shared" si="565"/>
        <v>64371.797942309997</v>
      </c>
      <c r="M3600" s="454">
        <f t="shared" si="563"/>
        <v>0.44043664462701854</v>
      </c>
      <c r="N3600" s="796"/>
      <c r="P3600" s="399"/>
    </row>
    <row r="3601" spans="1:16" s="780" customFormat="1" ht="15" customHeight="1" x14ac:dyDescent="0.25">
      <c r="A3601" s="397"/>
      <c r="B3601" s="1385" t="s">
        <v>9489</v>
      </c>
      <c r="C3601" s="1385"/>
      <c r="D3601" s="1385"/>
      <c r="E3601" s="1385"/>
      <c r="F3601" s="1385"/>
      <c r="G3601" s="401"/>
      <c r="H3601" s="401"/>
      <c r="I3601" s="426"/>
      <c r="J3601" s="411"/>
      <c r="K3601" s="402">
        <f>K3603</f>
        <v>59038.740000000005</v>
      </c>
      <c r="L3601" s="402">
        <f>L3603</f>
        <v>64371.797942309997</v>
      </c>
      <c r="M3601" s="451">
        <f t="shared" si="563"/>
        <v>0.44043664462701854</v>
      </c>
      <c r="N3601" s="796"/>
      <c r="P3601" s="399"/>
    </row>
    <row r="3602" spans="1:16" s="780" customFormat="1" ht="15" customHeight="1" x14ac:dyDescent="0.25">
      <c r="A3602" s="397"/>
      <c r="B3602" s="1401" t="s">
        <v>9547</v>
      </c>
      <c r="C3602" s="1401"/>
      <c r="D3602" s="1401"/>
      <c r="E3602" s="1401"/>
      <c r="F3602" s="1401"/>
      <c r="G3602" s="816"/>
      <c r="H3602" s="816"/>
      <c r="I3602" s="817"/>
      <c r="J3602" s="818"/>
      <c r="K3602" s="819">
        <f>SUM(K3603:K3611)</f>
        <v>59038.740000000005</v>
      </c>
      <c r="L3602" s="819">
        <f>SUM(L3603:L3611)+0.01</f>
        <v>67206.669842309988</v>
      </c>
      <c r="M3602" s="790">
        <f t="shared" si="563"/>
        <v>0.45983304969096278</v>
      </c>
      <c r="N3602" s="796"/>
      <c r="P3602" s="399"/>
    </row>
    <row r="3603" spans="1:16" s="780" customFormat="1" ht="15" customHeight="1" x14ac:dyDescent="0.25">
      <c r="A3603" s="397"/>
      <c r="B3603" s="600"/>
      <c r="C3603" s="600"/>
      <c r="D3603" s="600" t="s">
        <v>9695</v>
      </c>
      <c r="E3603" s="854">
        <v>333504300000000</v>
      </c>
      <c r="F3603" s="855" t="s">
        <v>9561</v>
      </c>
      <c r="G3603" s="1032">
        <v>1</v>
      </c>
      <c r="H3603" s="1032">
        <v>0</v>
      </c>
      <c r="I3603" s="751"/>
      <c r="J3603" s="878"/>
      <c r="K3603" s="1033">
        <f>('Parâmetros financeiros Despesa'!E1918)</f>
        <v>59038.740000000005</v>
      </c>
      <c r="L3603" s="1033">
        <f>('Parâmetros financeiros Despesa'!F1918*(1+'Parâmetros financeiros Despesa'!F$4)*(1+'Parâmetros financeiros Despesa'!F$7))</f>
        <v>64371.797942309997</v>
      </c>
      <c r="M3603" s="799">
        <f t="shared" si="563"/>
        <v>0.44043664462701854</v>
      </c>
      <c r="N3603" s="894"/>
      <c r="O3603" s="796"/>
      <c r="P3603" s="399"/>
    </row>
    <row r="3604" spans="1:16" s="780" customFormat="1" ht="15" customHeight="1" x14ac:dyDescent="0.25">
      <c r="A3604" s="397"/>
      <c r="B3604" s="600" t="s">
        <v>9696</v>
      </c>
      <c r="C3604" s="600" t="s">
        <v>6062</v>
      </c>
      <c r="D3604" s="600" t="s">
        <v>9695</v>
      </c>
      <c r="E3604" s="417">
        <v>333504399000000</v>
      </c>
      <c r="F3604" s="418" t="s">
        <v>9562</v>
      </c>
      <c r="G3604" s="1034">
        <v>1</v>
      </c>
      <c r="H3604" s="1034">
        <v>0</v>
      </c>
      <c r="I3604" s="751"/>
      <c r="J3604" s="878"/>
      <c r="K3604" s="476">
        <v>0</v>
      </c>
      <c r="L3604" s="476">
        <v>0</v>
      </c>
      <c r="M3604" s="477">
        <f t="shared" ref="M3604:M3611" si="566">L3604/L$3718</f>
        <v>0</v>
      </c>
      <c r="N3604" s="796"/>
      <c r="P3604" s="399"/>
    </row>
    <row r="3605" spans="1:16" s="115" customFormat="1" x14ac:dyDescent="0.25">
      <c r="B3605" s="1031" t="s">
        <v>9697</v>
      </c>
      <c r="C3605" s="1031" t="s">
        <v>6062</v>
      </c>
      <c r="D3605" s="853" t="s">
        <v>9695</v>
      </c>
      <c r="E3605" s="417">
        <v>333504301000000</v>
      </c>
      <c r="F3605" s="418" t="s">
        <v>9563</v>
      </c>
      <c r="G3605" s="1034">
        <v>1</v>
      </c>
      <c r="H3605" s="1034">
        <v>0</v>
      </c>
      <c r="I3605" s="990"/>
      <c r="J3605" s="989"/>
      <c r="K3605" s="476">
        <v>0</v>
      </c>
      <c r="L3605" s="476">
        <v>0</v>
      </c>
      <c r="M3605" s="477">
        <f t="shared" si="566"/>
        <v>0</v>
      </c>
      <c r="N3605" s="894"/>
      <c r="P3605" s="733"/>
    </row>
    <row r="3606" spans="1:16" s="115" customFormat="1" x14ac:dyDescent="0.25">
      <c r="B3606" s="1031"/>
      <c r="C3606" s="1031"/>
      <c r="D3606" s="600" t="s">
        <v>9701</v>
      </c>
      <c r="E3606" s="854">
        <v>333903000000000</v>
      </c>
      <c r="F3606" s="855" t="s">
        <v>9564</v>
      </c>
      <c r="G3606" s="1032">
        <v>1</v>
      </c>
      <c r="H3606" s="1032">
        <v>0</v>
      </c>
      <c r="I3606" s="990"/>
      <c r="J3606" s="989"/>
      <c r="K3606" s="1033">
        <f>('Parâmetros financeiros Despesa'!E1919)</f>
        <v>0</v>
      </c>
      <c r="L3606" s="1033">
        <f>('Parâmetros financeiros Despesa'!F1919*(1+'Parâmetros financeiros Despesa'!F$4)*(1+'Parâmetros financeiros Despesa'!F$7))</f>
        <v>545.16575</v>
      </c>
      <c r="M3606" s="799">
        <f t="shared" si="566"/>
        <v>3.7300647390765668E-3</v>
      </c>
      <c r="N3606" s="894"/>
      <c r="O3606" s="796"/>
      <c r="P3606" s="733"/>
    </row>
    <row r="3607" spans="1:16" s="115" customFormat="1" x14ac:dyDescent="0.25">
      <c r="B3607" s="1031"/>
      <c r="C3607" s="1031"/>
      <c r="D3607" s="600" t="s">
        <v>9702</v>
      </c>
      <c r="E3607" s="854">
        <v>333903200000000</v>
      </c>
      <c r="F3607" s="855" t="s">
        <v>9565</v>
      </c>
      <c r="G3607" s="1032">
        <v>1</v>
      </c>
      <c r="H3607" s="1032">
        <v>0</v>
      </c>
      <c r="I3607" s="990"/>
      <c r="J3607" s="989"/>
      <c r="K3607" s="1033">
        <f>('Parâmetros financeiros Despesa'!E1920)</f>
        <v>0</v>
      </c>
      <c r="L3607" s="1033">
        <f>('Parâmetros financeiros Despesa'!F1920*(1+'Parâmetros financeiros Despesa'!F$4)*(1+'Parâmetros financeiros Despesa'!F$7))</f>
        <v>545.16575</v>
      </c>
      <c r="M3607" s="799">
        <f t="shared" si="566"/>
        <v>3.7300647390765668E-3</v>
      </c>
      <c r="N3607" s="894"/>
      <c r="O3607" s="796"/>
      <c r="P3607" s="733"/>
    </row>
    <row r="3608" spans="1:16" s="115" customFormat="1" x14ac:dyDescent="0.25">
      <c r="B3608" s="1031"/>
      <c r="C3608" s="1031"/>
      <c r="D3608" s="600" t="s">
        <v>9703</v>
      </c>
      <c r="E3608" s="854">
        <v>333903600000000</v>
      </c>
      <c r="F3608" s="855" t="s">
        <v>9566</v>
      </c>
      <c r="G3608" s="1032">
        <v>1</v>
      </c>
      <c r="H3608" s="1032">
        <v>0</v>
      </c>
      <c r="I3608" s="990"/>
      <c r="J3608" s="989"/>
      <c r="K3608" s="1033">
        <f>('Parâmetros financeiros Despesa'!E1921)</f>
        <v>0</v>
      </c>
      <c r="L3608" s="1033">
        <f>('Parâmetros financeiros Despesa'!F1921*(1+'Parâmetros financeiros Despesa'!F$4)*(1+'Parâmetros financeiros Despesa'!F$7))</f>
        <v>545.16575</v>
      </c>
      <c r="M3608" s="799">
        <f t="shared" si="566"/>
        <v>3.7300647390765668E-3</v>
      </c>
      <c r="N3608" s="894"/>
      <c r="O3608" s="796"/>
      <c r="P3608" s="733"/>
    </row>
    <row r="3609" spans="1:16" s="115" customFormat="1" x14ac:dyDescent="0.25">
      <c r="B3609" s="1031"/>
      <c r="C3609" s="1031"/>
      <c r="D3609" s="600" t="s">
        <v>9704</v>
      </c>
      <c r="E3609" s="854">
        <v>333903900000000</v>
      </c>
      <c r="F3609" s="855" t="s">
        <v>9567</v>
      </c>
      <c r="G3609" s="1032">
        <v>1</v>
      </c>
      <c r="H3609" s="1032">
        <v>0</v>
      </c>
      <c r="I3609" s="990"/>
      <c r="J3609" s="989"/>
      <c r="K3609" s="1033">
        <f>('Parâmetros financeiros Despesa'!E1922)</f>
        <v>0</v>
      </c>
      <c r="L3609" s="1033">
        <f>('Parâmetros financeiros Despesa'!F1922*(1+'Parâmetros financeiros Despesa'!F$4)*(1+'Parâmetros financeiros Despesa'!F$7))</f>
        <v>545.16575</v>
      </c>
      <c r="M3609" s="799">
        <f t="shared" si="566"/>
        <v>3.7300647390765668E-3</v>
      </c>
      <c r="N3609" s="894"/>
      <c r="O3609" s="796"/>
      <c r="P3609" s="733"/>
    </row>
    <row r="3610" spans="1:16" s="115" customFormat="1" x14ac:dyDescent="0.25">
      <c r="B3610" s="1031"/>
      <c r="C3610" s="1031"/>
      <c r="D3610" s="600" t="s">
        <v>9705</v>
      </c>
      <c r="E3610" s="854">
        <v>333904700000000</v>
      </c>
      <c r="F3610" s="855" t="s">
        <v>9568</v>
      </c>
      <c r="G3610" s="1032">
        <v>1</v>
      </c>
      <c r="H3610" s="1032">
        <v>0</v>
      </c>
      <c r="I3610" s="990"/>
      <c r="J3610" s="989"/>
      <c r="K3610" s="1033">
        <f>('Parâmetros financeiros Despesa'!E1923)</f>
        <v>0</v>
      </c>
      <c r="L3610" s="1033">
        <f>('Parâmetros financeiros Despesa'!F1923*(1+'Parâmetros financeiros Despesa'!F$4)*(1+'Parâmetros financeiros Despesa'!F$7))</f>
        <v>109.03315000000001</v>
      </c>
      <c r="M3610" s="799">
        <f t="shared" si="566"/>
        <v>7.4601294781531343E-4</v>
      </c>
      <c r="N3610" s="894"/>
      <c r="O3610" s="796"/>
      <c r="P3610" s="733"/>
    </row>
    <row r="3611" spans="1:16" s="115" customFormat="1" x14ac:dyDescent="0.25">
      <c r="B3611" s="1031"/>
      <c r="C3611" s="1031"/>
      <c r="D3611" s="600" t="s">
        <v>9706</v>
      </c>
      <c r="E3611" s="854">
        <v>344905200000000</v>
      </c>
      <c r="F3611" s="855" t="s">
        <v>9569</v>
      </c>
      <c r="G3611" s="1032">
        <v>1</v>
      </c>
      <c r="H3611" s="1032">
        <v>0</v>
      </c>
      <c r="I3611" s="990"/>
      <c r="J3611" s="989"/>
      <c r="K3611" s="1033">
        <f>('Parâmetros financeiros Despesa'!E1924)</f>
        <v>0</v>
      </c>
      <c r="L3611" s="1033">
        <f>('Parâmetros financeiros Despesa'!F1924*(1+'Parâmetros financeiros Despesa'!F$4)*(1+'Parâmetros financeiros Despesa'!F$7))</f>
        <v>545.16575</v>
      </c>
      <c r="M3611" s="799">
        <f t="shared" si="566"/>
        <v>3.7300647390765668E-3</v>
      </c>
      <c r="N3611" s="894"/>
      <c r="O3611" s="796"/>
      <c r="P3611" s="733"/>
    </row>
    <row r="3612" spans="1:16" s="780" customFormat="1" ht="15" customHeight="1" x14ac:dyDescent="0.25">
      <c r="A3612" s="397"/>
      <c r="B3612" s="1382" t="s">
        <v>7831</v>
      </c>
      <c r="C3612" s="1382"/>
      <c r="D3612" s="1382"/>
      <c r="E3612" s="1382"/>
      <c r="F3612" s="1382"/>
      <c r="G3612" s="405"/>
      <c r="H3612" s="405"/>
      <c r="I3612" s="428"/>
      <c r="J3612" s="413"/>
      <c r="K3612" s="406">
        <f t="shared" ref="K3612:L3614" si="567">K3613</f>
        <v>0</v>
      </c>
      <c r="L3612" s="406">
        <f t="shared" si="567"/>
        <v>3380.0376500000007</v>
      </c>
      <c r="M3612" s="453">
        <f>L3612/L$3718</f>
        <v>2.3126469803020869E-2</v>
      </c>
      <c r="N3612" s="796"/>
      <c r="P3612" s="399"/>
    </row>
    <row r="3613" spans="1:16" s="780" customFormat="1" ht="15" customHeight="1" x14ac:dyDescent="0.25">
      <c r="A3613" s="397"/>
      <c r="B3613" s="1383" t="s">
        <v>6044</v>
      </c>
      <c r="C3613" s="1383"/>
      <c r="D3613" s="1383"/>
      <c r="E3613" s="1383"/>
      <c r="F3613" s="1383"/>
      <c r="G3613" s="407"/>
      <c r="H3613" s="407"/>
      <c r="I3613" s="429"/>
      <c r="J3613" s="414"/>
      <c r="K3613" s="408">
        <f t="shared" si="567"/>
        <v>0</v>
      </c>
      <c r="L3613" s="408">
        <f t="shared" si="567"/>
        <v>3380.0376500000007</v>
      </c>
      <c r="M3613" s="454">
        <f>L3613/L$3718</f>
        <v>2.3126469803020869E-2</v>
      </c>
      <c r="N3613" s="796"/>
      <c r="P3613" s="399"/>
    </row>
    <row r="3614" spans="1:16" s="780" customFormat="1" ht="15" customHeight="1" x14ac:dyDescent="0.25">
      <c r="A3614" s="397"/>
      <c r="B3614" s="1385" t="s">
        <v>9489</v>
      </c>
      <c r="C3614" s="1385"/>
      <c r="D3614" s="1385"/>
      <c r="E3614" s="1385"/>
      <c r="F3614" s="1385"/>
      <c r="G3614" s="401"/>
      <c r="H3614" s="401"/>
      <c r="I3614" s="426"/>
      <c r="J3614" s="411"/>
      <c r="K3614" s="402">
        <f t="shared" si="567"/>
        <v>0</v>
      </c>
      <c r="L3614" s="402">
        <f t="shared" si="567"/>
        <v>3380.0376500000007</v>
      </c>
      <c r="M3614" s="451">
        <f>L3614/L$3718</f>
        <v>2.3126469803020869E-2</v>
      </c>
      <c r="N3614" s="796"/>
      <c r="P3614" s="399"/>
    </row>
    <row r="3615" spans="1:16" s="780" customFormat="1" ht="15" customHeight="1" x14ac:dyDescent="0.25">
      <c r="A3615" s="397"/>
      <c r="B3615" s="1401" t="s">
        <v>9551</v>
      </c>
      <c r="C3615" s="1401"/>
      <c r="D3615" s="1401"/>
      <c r="E3615" s="1401"/>
      <c r="F3615" s="1401"/>
      <c r="G3615" s="816"/>
      <c r="H3615" s="816"/>
      <c r="I3615" s="817"/>
      <c r="J3615" s="818"/>
      <c r="K3615" s="819">
        <f>SUM(K3616:K3622)</f>
        <v>0</v>
      </c>
      <c r="L3615" s="819">
        <f>SUM(L3616:L3622)+0.01</f>
        <v>3380.0376500000007</v>
      </c>
      <c r="M3615" s="790">
        <f>L3615/L$3718</f>
        <v>2.3126469803020869E-2</v>
      </c>
      <c r="N3615" s="796"/>
      <c r="P3615" s="399"/>
    </row>
    <row r="3616" spans="1:16" x14ac:dyDescent="0.25">
      <c r="B3616" s="1031"/>
      <c r="C3616" s="1031"/>
      <c r="D3616" s="853" t="s">
        <v>9698</v>
      </c>
      <c r="E3616" s="854">
        <v>333903000000000</v>
      </c>
      <c r="F3616" s="855" t="s">
        <v>9570</v>
      </c>
      <c r="G3616" s="468">
        <v>1</v>
      </c>
      <c r="H3616" s="468">
        <v>0</v>
      </c>
      <c r="I3616" s="856"/>
      <c r="J3616" s="857"/>
      <c r="K3616" s="1033">
        <f>('Parâmetros financeiros Despesa'!E1926)</f>
        <v>0</v>
      </c>
      <c r="L3616" s="1033">
        <f>('Parâmetros financeiros Despesa'!F1926*(1+'Parâmetros financeiros Despesa'!F$4)*(1+'Parâmetros financeiros Despesa'!F$7))</f>
        <v>545.16575</v>
      </c>
      <c r="M3616" s="799">
        <f>L3616/L$3718</f>
        <v>3.7300647390765668E-3</v>
      </c>
      <c r="N3616" s="894"/>
      <c r="O3616" s="796"/>
    </row>
    <row r="3617" spans="1:16" x14ac:dyDescent="0.25">
      <c r="B3617" s="852"/>
      <c r="C3617" s="1031"/>
      <c r="D3617" s="853" t="s">
        <v>9707</v>
      </c>
      <c r="E3617" s="854">
        <v>333903200000000</v>
      </c>
      <c r="F3617" s="855" t="s">
        <v>9571</v>
      </c>
      <c r="G3617" s="468">
        <v>1</v>
      </c>
      <c r="H3617" s="468">
        <v>0</v>
      </c>
      <c r="I3617" s="856"/>
      <c r="J3617" s="857"/>
      <c r="K3617" s="1033">
        <f>('Parâmetros financeiros Despesa'!E1927)</f>
        <v>0</v>
      </c>
      <c r="L3617" s="1033">
        <f>('Parâmetros financeiros Despesa'!F1927*(1+'Parâmetros financeiros Despesa'!F$4)*(1+'Parâmetros financeiros Despesa'!F$7))</f>
        <v>545.16575</v>
      </c>
      <c r="M3617" s="799">
        <f t="shared" ref="M3617:M3622" si="568">L3617/L$3718</f>
        <v>3.7300647390765668E-3</v>
      </c>
      <c r="N3617" s="894"/>
      <c r="O3617" s="796"/>
    </row>
    <row r="3618" spans="1:16" x14ac:dyDescent="0.25">
      <c r="B3618" s="1031"/>
      <c r="C3618" s="1031"/>
      <c r="D3618" s="853" t="s">
        <v>9708</v>
      </c>
      <c r="E3618" s="854">
        <v>333903600000000</v>
      </c>
      <c r="F3618" s="855" t="s">
        <v>9572</v>
      </c>
      <c r="G3618" s="468">
        <v>1</v>
      </c>
      <c r="H3618" s="468">
        <v>0</v>
      </c>
      <c r="I3618" s="856"/>
      <c r="J3618" s="857"/>
      <c r="K3618" s="1033">
        <f>('Parâmetros financeiros Despesa'!E1928)</f>
        <v>0</v>
      </c>
      <c r="L3618" s="1033">
        <f>('Parâmetros financeiros Despesa'!F1928*(1+'Parâmetros financeiros Despesa'!F$4)*(1+'Parâmetros financeiros Despesa'!F$7))</f>
        <v>545.16575</v>
      </c>
      <c r="M3618" s="799">
        <f t="shared" si="568"/>
        <v>3.7300647390765668E-3</v>
      </c>
      <c r="N3618" s="894"/>
      <c r="O3618" s="796"/>
    </row>
    <row r="3619" spans="1:16" x14ac:dyDescent="0.25">
      <c r="B3619" s="852"/>
      <c r="C3619" s="1031"/>
      <c r="D3619" s="853" t="s">
        <v>9709</v>
      </c>
      <c r="E3619" s="854">
        <v>333903900000000</v>
      </c>
      <c r="F3619" s="855" t="s">
        <v>9573</v>
      </c>
      <c r="G3619" s="468">
        <v>1</v>
      </c>
      <c r="H3619" s="468">
        <v>0</v>
      </c>
      <c r="I3619" s="856"/>
      <c r="J3619" s="857"/>
      <c r="K3619" s="1033">
        <f>('Parâmetros financeiros Despesa'!E1929)</f>
        <v>0</v>
      </c>
      <c r="L3619" s="1033">
        <f>('Parâmetros financeiros Despesa'!F1929*(1+'Parâmetros financeiros Despesa'!F$4)*(1+'Parâmetros financeiros Despesa'!F$7))</f>
        <v>545.16575</v>
      </c>
      <c r="M3619" s="799">
        <f t="shared" si="568"/>
        <v>3.7300647390765668E-3</v>
      </c>
      <c r="N3619" s="894"/>
      <c r="O3619" s="796"/>
    </row>
    <row r="3620" spans="1:16" x14ac:dyDescent="0.25">
      <c r="B3620" s="852"/>
      <c r="C3620" s="852"/>
      <c r="D3620" s="853" t="s">
        <v>9710</v>
      </c>
      <c r="E3620" s="854">
        <v>333904700000000</v>
      </c>
      <c r="F3620" s="855" t="s">
        <v>9574</v>
      </c>
      <c r="G3620" s="468">
        <v>1</v>
      </c>
      <c r="H3620" s="468">
        <v>0</v>
      </c>
      <c r="I3620" s="856"/>
      <c r="J3620" s="857"/>
      <c r="K3620" s="1033">
        <f>('Parâmetros financeiros Despesa'!E1930)</f>
        <v>0</v>
      </c>
      <c r="L3620" s="1033">
        <f>('Parâmetros financeiros Despesa'!F1930*(1+'Parâmetros financeiros Despesa'!F$4)*(1+'Parâmetros financeiros Despesa'!F$7))</f>
        <v>545.16575</v>
      </c>
      <c r="M3620" s="799">
        <f t="shared" si="568"/>
        <v>3.7300647390765668E-3</v>
      </c>
      <c r="N3620" s="894"/>
      <c r="O3620" s="796"/>
    </row>
    <row r="3621" spans="1:16" s="780" customFormat="1" x14ac:dyDescent="0.25">
      <c r="B3621" s="852"/>
      <c r="C3621" s="852"/>
      <c r="D3621" s="853" t="s">
        <v>9716</v>
      </c>
      <c r="E3621" s="854">
        <v>344905200000000</v>
      </c>
      <c r="F3621" s="855" t="s">
        <v>9719</v>
      </c>
      <c r="G3621" s="468">
        <v>1</v>
      </c>
      <c r="H3621" s="468">
        <v>0</v>
      </c>
      <c r="I3621" s="856"/>
      <c r="J3621" s="857"/>
      <c r="K3621" s="1033">
        <f>('Parâmetros financeiros Despesa'!E1931)</f>
        <v>0</v>
      </c>
      <c r="L3621" s="1033">
        <f>('Parâmetros financeiros Despesa'!F1931*(1+'Parâmetros financeiros Despesa'!F$4)*(1+'Parâmetros financeiros Despesa'!F$7))</f>
        <v>109.03315000000001</v>
      </c>
      <c r="M3621" s="799">
        <f t="shared" si="568"/>
        <v>7.4601294781531343E-4</v>
      </c>
      <c r="N3621" s="894"/>
      <c r="O3621" s="796"/>
      <c r="P3621" s="399"/>
    </row>
    <row r="3622" spans="1:16" s="780" customFormat="1" x14ac:dyDescent="0.25">
      <c r="B3622" s="852"/>
      <c r="C3622" s="852"/>
      <c r="D3622" s="853" t="s">
        <v>9720</v>
      </c>
      <c r="E3622" s="854">
        <v>344905200000000</v>
      </c>
      <c r="F3622" s="855" t="s">
        <v>9718</v>
      </c>
      <c r="G3622" s="468">
        <v>1</v>
      </c>
      <c r="H3622" s="468">
        <v>0</v>
      </c>
      <c r="I3622" s="856"/>
      <c r="J3622" s="857"/>
      <c r="K3622" s="1033">
        <f>('Parâmetros financeiros Despesa'!E1932)</f>
        <v>0</v>
      </c>
      <c r="L3622" s="1033">
        <f>('Parâmetros financeiros Despesa'!F1932*(1+'Parâmetros financeiros Despesa'!F$4)*(1+'Parâmetros financeiros Despesa'!F$7))</f>
        <v>545.16575</v>
      </c>
      <c r="M3622" s="799">
        <f t="shared" si="568"/>
        <v>3.7300647390765668E-3</v>
      </c>
      <c r="N3622" s="894"/>
      <c r="O3622" s="796"/>
      <c r="P3622" s="399"/>
    </row>
    <row r="3623" spans="1:16" s="780" customFormat="1" ht="15" customHeight="1" x14ac:dyDescent="0.25">
      <c r="A3623" s="397"/>
      <c r="B3623" s="1382" t="s">
        <v>7831</v>
      </c>
      <c r="C3623" s="1382"/>
      <c r="D3623" s="1382"/>
      <c r="E3623" s="1382"/>
      <c r="F3623" s="1382"/>
      <c r="G3623" s="405"/>
      <c r="H3623" s="405"/>
      <c r="I3623" s="428"/>
      <c r="J3623" s="413"/>
      <c r="K3623" s="406">
        <f t="shared" ref="K3623:L3625" si="569">K3624</f>
        <v>0</v>
      </c>
      <c r="L3623" s="406">
        <f t="shared" si="569"/>
        <v>2834.8719000000006</v>
      </c>
      <c r="M3623" s="453">
        <f>L3623/L$3718</f>
        <v>1.9396405063944303E-2</v>
      </c>
      <c r="N3623" s="796"/>
      <c r="P3623" s="399"/>
    </row>
    <row r="3624" spans="1:16" s="780" customFormat="1" ht="15" customHeight="1" x14ac:dyDescent="0.25">
      <c r="A3624" s="397"/>
      <c r="B3624" s="1383" t="s">
        <v>6044</v>
      </c>
      <c r="C3624" s="1383"/>
      <c r="D3624" s="1383"/>
      <c r="E3624" s="1383"/>
      <c r="F3624" s="1383"/>
      <c r="G3624" s="407"/>
      <c r="H3624" s="407"/>
      <c r="I3624" s="429"/>
      <c r="J3624" s="414"/>
      <c r="K3624" s="408">
        <f t="shared" si="569"/>
        <v>0</v>
      </c>
      <c r="L3624" s="408">
        <f t="shared" si="569"/>
        <v>2834.8719000000006</v>
      </c>
      <c r="M3624" s="454">
        <f>L3624/L$3718</f>
        <v>1.9396405063944303E-2</v>
      </c>
      <c r="N3624" s="796"/>
      <c r="P3624" s="399"/>
    </row>
    <row r="3625" spans="1:16" s="780" customFormat="1" ht="15" customHeight="1" x14ac:dyDescent="0.25">
      <c r="A3625" s="397"/>
      <c r="B3625" s="1385" t="s">
        <v>9489</v>
      </c>
      <c r="C3625" s="1385"/>
      <c r="D3625" s="1385"/>
      <c r="E3625" s="1385"/>
      <c r="F3625" s="1385"/>
      <c r="G3625" s="401"/>
      <c r="H3625" s="401"/>
      <c r="I3625" s="426"/>
      <c r="J3625" s="411"/>
      <c r="K3625" s="402">
        <f t="shared" si="569"/>
        <v>0</v>
      </c>
      <c r="L3625" s="402">
        <f t="shared" si="569"/>
        <v>2834.8719000000006</v>
      </c>
      <c r="M3625" s="451">
        <f>L3625/L$3718</f>
        <v>1.9396405063944303E-2</v>
      </c>
      <c r="N3625" s="796"/>
      <c r="P3625" s="399"/>
    </row>
    <row r="3626" spans="1:16" s="780" customFormat="1" ht="15" customHeight="1" x14ac:dyDescent="0.25">
      <c r="A3626" s="397"/>
      <c r="B3626" s="1401" t="s">
        <v>9549</v>
      </c>
      <c r="C3626" s="1401"/>
      <c r="D3626" s="1401"/>
      <c r="E3626" s="1401"/>
      <c r="F3626" s="1401"/>
      <c r="G3626" s="816"/>
      <c r="H3626" s="816"/>
      <c r="I3626" s="817"/>
      <c r="J3626" s="818"/>
      <c r="K3626" s="819">
        <f>SUM(K3627:K3632)</f>
        <v>0</v>
      </c>
      <c r="L3626" s="819">
        <f>SUM(L3627:L3632)+0.01</f>
        <v>2834.8719000000006</v>
      </c>
      <c r="M3626" s="790">
        <f>L3626/L$3718</f>
        <v>1.9396405063944303E-2</v>
      </c>
      <c r="N3626" s="796"/>
      <c r="P3626" s="399"/>
    </row>
    <row r="3627" spans="1:16" s="780" customFormat="1" x14ac:dyDescent="0.25">
      <c r="B3627" s="1031"/>
      <c r="C3627" s="1031"/>
      <c r="D3627" s="853" t="s">
        <v>9699</v>
      </c>
      <c r="E3627" s="854">
        <v>333903000000000</v>
      </c>
      <c r="F3627" s="855" t="s">
        <v>9575</v>
      </c>
      <c r="G3627" s="468">
        <v>1</v>
      </c>
      <c r="H3627" s="468">
        <v>0</v>
      </c>
      <c r="I3627" s="856"/>
      <c r="J3627" s="857"/>
      <c r="K3627" s="1033">
        <f>('Parâmetros financeiros Despesa'!E1934)</f>
        <v>0</v>
      </c>
      <c r="L3627" s="1033">
        <f>('Parâmetros financeiros Despesa'!F1934*(1+'Parâmetros financeiros Despesa'!F$4)*(1+'Parâmetros financeiros Despesa'!F$7))</f>
        <v>545.16575</v>
      </c>
      <c r="M3627" s="799">
        <f>L3627/L$3718</f>
        <v>3.7300647390765668E-3</v>
      </c>
      <c r="N3627" s="894"/>
      <c r="O3627" s="796"/>
      <c r="P3627" s="399"/>
    </row>
    <row r="3628" spans="1:16" s="780" customFormat="1" x14ac:dyDescent="0.25">
      <c r="B3628" s="852"/>
      <c r="C3628" s="1031"/>
      <c r="D3628" s="853" t="s">
        <v>9711</v>
      </c>
      <c r="E3628" s="854">
        <v>333903200000000</v>
      </c>
      <c r="F3628" s="855" t="s">
        <v>9576</v>
      </c>
      <c r="G3628" s="468">
        <v>1</v>
      </c>
      <c r="H3628" s="468">
        <v>0</v>
      </c>
      <c r="I3628" s="856"/>
      <c r="J3628" s="857"/>
      <c r="K3628" s="1033">
        <f>('Parâmetros financeiros Despesa'!E1935)</f>
        <v>0</v>
      </c>
      <c r="L3628" s="1033">
        <f>('Parâmetros financeiros Despesa'!F1935*(1+'Parâmetros financeiros Despesa'!F$4)*(1+'Parâmetros financeiros Despesa'!F$7))</f>
        <v>545.16575</v>
      </c>
      <c r="M3628" s="799">
        <f t="shared" ref="M3628:M3632" si="570">L3628/L$3718</f>
        <v>3.7300647390765668E-3</v>
      </c>
      <c r="N3628" s="894"/>
      <c r="O3628" s="796"/>
      <c r="P3628" s="399"/>
    </row>
    <row r="3629" spans="1:16" s="780" customFormat="1" x14ac:dyDescent="0.25">
      <c r="B3629" s="1031"/>
      <c r="C3629" s="1031"/>
      <c r="D3629" s="853" t="s">
        <v>9712</v>
      </c>
      <c r="E3629" s="854">
        <v>333903600000000</v>
      </c>
      <c r="F3629" s="855" t="s">
        <v>9577</v>
      </c>
      <c r="G3629" s="468">
        <v>1</v>
      </c>
      <c r="H3629" s="468">
        <v>0</v>
      </c>
      <c r="I3629" s="856"/>
      <c r="J3629" s="857"/>
      <c r="K3629" s="1033">
        <f>('Parâmetros financeiros Despesa'!E1936)</f>
        <v>0</v>
      </c>
      <c r="L3629" s="1033">
        <f>('Parâmetros financeiros Despesa'!F1936*(1+'Parâmetros financeiros Despesa'!F$4)*(1+'Parâmetros financeiros Despesa'!F$7))</f>
        <v>545.16575</v>
      </c>
      <c r="M3629" s="799">
        <f t="shared" si="570"/>
        <v>3.7300647390765668E-3</v>
      </c>
      <c r="N3629" s="894"/>
      <c r="O3629" s="796"/>
      <c r="P3629" s="399"/>
    </row>
    <row r="3630" spans="1:16" s="780" customFormat="1" x14ac:dyDescent="0.25">
      <c r="B3630" s="852"/>
      <c r="C3630" s="1031"/>
      <c r="D3630" s="853" t="s">
        <v>9713</v>
      </c>
      <c r="E3630" s="854">
        <v>333903900000000</v>
      </c>
      <c r="F3630" s="855" t="s">
        <v>9578</v>
      </c>
      <c r="G3630" s="468">
        <v>1</v>
      </c>
      <c r="H3630" s="468">
        <v>0</v>
      </c>
      <c r="I3630" s="856"/>
      <c r="J3630" s="857"/>
      <c r="K3630" s="1033">
        <f>('Parâmetros financeiros Despesa'!E1937)</f>
        <v>0</v>
      </c>
      <c r="L3630" s="1033">
        <f>('Parâmetros financeiros Despesa'!F1937*(1+'Parâmetros financeiros Despesa'!F$4)*(1+'Parâmetros financeiros Despesa'!F$7))</f>
        <v>545.16575</v>
      </c>
      <c r="M3630" s="799">
        <f t="shared" si="570"/>
        <v>3.7300647390765668E-3</v>
      </c>
      <c r="N3630" s="894"/>
      <c r="O3630" s="796"/>
      <c r="P3630" s="399"/>
    </row>
    <row r="3631" spans="1:16" s="780" customFormat="1" x14ac:dyDescent="0.25">
      <c r="B3631" s="852"/>
      <c r="C3631" s="852"/>
      <c r="D3631" s="853" t="s">
        <v>9714</v>
      </c>
      <c r="E3631" s="854">
        <v>333904700000000</v>
      </c>
      <c r="F3631" s="855" t="s">
        <v>9579</v>
      </c>
      <c r="G3631" s="468">
        <v>1</v>
      </c>
      <c r="H3631" s="468">
        <v>0</v>
      </c>
      <c r="I3631" s="856"/>
      <c r="J3631" s="857"/>
      <c r="K3631" s="1033">
        <f>('Parâmetros financeiros Despesa'!E1938)</f>
        <v>0</v>
      </c>
      <c r="L3631" s="1033">
        <f>('Parâmetros financeiros Despesa'!F1938*(1+'Parâmetros financeiros Despesa'!F$4)*(1+'Parâmetros financeiros Despesa'!F$7))</f>
        <v>109.03315000000001</v>
      </c>
      <c r="M3631" s="799">
        <f t="shared" si="570"/>
        <v>7.4601294781531343E-4</v>
      </c>
      <c r="N3631" s="894"/>
      <c r="O3631" s="796"/>
      <c r="P3631" s="399"/>
    </row>
    <row r="3632" spans="1:16" s="780" customFormat="1" x14ac:dyDescent="0.25">
      <c r="B3632" s="852"/>
      <c r="C3632" s="852"/>
      <c r="D3632" s="853" t="s">
        <v>9717</v>
      </c>
      <c r="E3632" s="854">
        <v>344905200000000</v>
      </c>
      <c r="F3632" s="855" t="s">
        <v>9715</v>
      </c>
      <c r="G3632" s="468">
        <v>1</v>
      </c>
      <c r="H3632" s="468">
        <v>0</v>
      </c>
      <c r="I3632" s="856"/>
      <c r="J3632" s="857"/>
      <c r="K3632" s="1033">
        <f>('Parâmetros financeiros Despesa'!E1939)</f>
        <v>0</v>
      </c>
      <c r="L3632" s="1033">
        <f>('Parâmetros financeiros Despesa'!F1939*(1+'Parâmetros financeiros Despesa'!F$4)*(1+'Parâmetros financeiros Despesa'!F$7))</f>
        <v>545.16575</v>
      </c>
      <c r="M3632" s="799">
        <f t="shared" si="570"/>
        <v>3.7300647390765668E-3</v>
      </c>
      <c r="N3632" s="894"/>
      <c r="O3632" s="796"/>
      <c r="P3632" s="399"/>
    </row>
    <row r="3633" spans="1:16" s="780" customFormat="1" ht="15" customHeight="1" x14ac:dyDescent="0.25">
      <c r="A3633" s="397"/>
      <c r="B3633" s="1382" t="s">
        <v>7831</v>
      </c>
      <c r="C3633" s="1382"/>
      <c r="D3633" s="1382"/>
      <c r="E3633" s="1382"/>
      <c r="F3633" s="1382"/>
      <c r="G3633" s="405"/>
      <c r="H3633" s="405"/>
      <c r="I3633" s="428"/>
      <c r="J3633" s="413"/>
      <c r="K3633" s="406">
        <f t="shared" ref="K3633:L3635" si="571">K3634</f>
        <v>0</v>
      </c>
      <c r="L3633" s="406">
        <f t="shared" si="571"/>
        <v>27258.287499999999</v>
      </c>
      <c r="M3633" s="453">
        <f>L3633/L$3718</f>
        <v>0.18650323695382834</v>
      </c>
      <c r="N3633" s="796"/>
      <c r="P3633" s="399"/>
    </row>
    <row r="3634" spans="1:16" s="780" customFormat="1" ht="15" customHeight="1" x14ac:dyDescent="0.25">
      <c r="A3634" s="397"/>
      <c r="B3634" s="1383" t="s">
        <v>9584</v>
      </c>
      <c r="C3634" s="1383"/>
      <c r="D3634" s="1383"/>
      <c r="E3634" s="1383"/>
      <c r="F3634" s="1383"/>
      <c r="G3634" s="407"/>
      <c r="H3634" s="407"/>
      <c r="I3634" s="429"/>
      <c r="J3634" s="414"/>
      <c r="K3634" s="408">
        <f t="shared" si="571"/>
        <v>0</v>
      </c>
      <c r="L3634" s="408">
        <f t="shared" si="571"/>
        <v>27258.287499999999</v>
      </c>
      <c r="M3634" s="454">
        <f>L3634/L$3718</f>
        <v>0.18650323695382834</v>
      </c>
      <c r="N3634" s="796"/>
      <c r="P3634" s="399"/>
    </row>
    <row r="3635" spans="1:16" s="780" customFormat="1" ht="15" customHeight="1" x14ac:dyDescent="0.25">
      <c r="A3635" s="397"/>
      <c r="B3635" s="1385" t="s">
        <v>9489</v>
      </c>
      <c r="C3635" s="1385"/>
      <c r="D3635" s="1385"/>
      <c r="E3635" s="1385"/>
      <c r="F3635" s="1385"/>
      <c r="G3635" s="401"/>
      <c r="H3635" s="401"/>
      <c r="I3635" s="426"/>
      <c r="J3635" s="411"/>
      <c r="K3635" s="402">
        <f t="shared" si="571"/>
        <v>0</v>
      </c>
      <c r="L3635" s="402">
        <f t="shared" si="571"/>
        <v>27258.287499999999</v>
      </c>
      <c r="M3635" s="451">
        <f>L3635/L$3718</f>
        <v>0.18650323695382834</v>
      </c>
      <c r="N3635" s="796"/>
      <c r="P3635" s="399"/>
    </row>
    <row r="3636" spans="1:16" s="780" customFormat="1" ht="15" customHeight="1" x14ac:dyDescent="0.25">
      <c r="A3636" s="397"/>
      <c r="B3636" s="1386" t="s">
        <v>9543</v>
      </c>
      <c r="C3636" s="1386"/>
      <c r="D3636" s="1386"/>
      <c r="E3636" s="1386"/>
      <c r="F3636" s="1386"/>
      <c r="G3636" s="403"/>
      <c r="H3636" s="403"/>
      <c r="I3636" s="427"/>
      <c r="J3636" s="412"/>
      <c r="K3636" s="404">
        <f>SUM(K3637:K3639)</f>
        <v>0</v>
      </c>
      <c r="L3636" s="404">
        <f>SUM(L3637:L3639)</f>
        <v>27258.287499999999</v>
      </c>
      <c r="M3636" s="452">
        <f>L3636/L$3718</f>
        <v>0.18650323695382834</v>
      </c>
      <c r="N3636" s="796"/>
      <c r="P3636" s="399"/>
    </row>
    <row r="3637" spans="1:16" x14ac:dyDescent="0.25">
      <c r="B3637" s="1035"/>
      <c r="C3637" s="1031"/>
      <c r="D3637" s="853" t="s">
        <v>9700</v>
      </c>
      <c r="E3637" s="854">
        <v>333900800000000</v>
      </c>
      <c r="F3637" s="855" t="s">
        <v>9724</v>
      </c>
      <c r="G3637" s="468">
        <v>1</v>
      </c>
      <c r="H3637" s="468">
        <v>0</v>
      </c>
      <c r="I3637" s="856"/>
      <c r="J3637" s="857"/>
      <c r="K3637" s="1033">
        <f>('Parâmetros financeiros Despesa'!E1941)</f>
        <v>0</v>
      </c>
      <c r="L3637" s="1033">
        <f>('Parâmetros financeiros Despesa'!F1941*(1+'Parâmetros financeiros Despesa'!F$4)*(1+'Parâmetros financeiros Despesa'!F$7))</f>
        <v>16354.9725</v>
      </c>
      <c r="M3637" s="799">
        <f t="shared" ref="M3637:M3639" si="572">L3637/L$3718</f>
        <v>0.111901942172297</v>
      </c>
      <c r="N3637" s="894"/>
      <c r="O3637" s="796"/>
    </row>
    <row r="3638" spans="1:16" x14ac:dyDescent="0.25">
      <c r="B3638" s="1035" t="s">
        <v>9722</v>
      </c>
      <c r="C3638" s="1031" t="s">
        <v>6062</v>
      </c>
      <c r="D3638" s="853" t="s">
        <v>9700</v>
      </c>
      <c r="E3638" s="417">
        <v>333900854000000</v>
      </c>
      <c r="F3638" s="418" t="s">
        <v>9723</v>
      </c>
      <c r="G3638" s="873">
        <v>1</v>
      </c>
      <c r="H3638" s="873">
        <v>0</v>
      </c>
      <c r="I3638" s="856"/>
      <c r="J3638" s="857"/>
      <c r="K3638" s="423">
        <v>0</v>
      </c>
      <c r="L3638" s="423">
        <v>0</v>
      </c>
      <c r="M3638" s="799">
        <f t="shared" si="572"/>
        <v>0</v>
      </c>
    </row>
    <row r="3639" spans="1:16" x14ac:dyDescent="0.25">
      <c r="B3639" s="1035"/>
      <c r="C3639" s="1031"/>
      <c r="D3639" s="853" t="s">
        <v>9721</v>
      </c>
      <c r="E3639" s="854">
        <v>333903200000000</v>
      </c>
      <c r="F3639" s="855" t="s">
        <v>9725</v>
      </c>
      <c r="G3639" s="468">
        <v>1</v>
      </c>
      <c r="H3639" s="468">
        <v>0</v>
      </c>
      <c r="I3639" s="856"/>
      <c r="J3639" s="857"/>
      <c r="K3639" s="1033">
        <f>('Parâmetros financeiros Despesa'!E1942)</f>
        <v>0</v>
      </c>
      <c r="L3639" s="1033">
        <f>('Parâmetros financeiros Despesa'!F1942*(1+'Parâmetros financeiros Despesa'!F$4)*(1+'Parâmetros financeiros Despesa'!F$7))</f>
        <v>10903.315000000001</v>
      </c>
      <c r="M3639" s="799">
        <f t="shared" si="572"/>
        <v>7.4601294781531338E-2</v>
      </c>
      <c r="N3639" s="894"/>
      <c r="O3639" s="796"/>
    </row>
    <row r="3640" spans="1:16" s="780" customFormat="1" ht="15" customHeight="1" x14ac:dyDescent="0.25">
      <c r="A3640" s="397"/>
      <c r="B3640" s="1382" t="s">
        <v>7831</v>
      </c>
      <c r="C3640" s="1382"/>
      <c r="D3640" s="1382"/>
      <c r="E3640" s="1382"/>
      <c r="F3640" s="1382"/>
      <c r="G3640" s="405"/>
      <c r="H3640" s="405"/>
      <c r="I3640" s="428"/>
      <c r="J3640" s="413"/>
      <c r="K3640" s="406">
        <f t="shared" ref="K3640:L3642" si="573">K3641</f>
        <v>0</v>
      </c>
      <c r="L3640" s="406">
        <f t="shared" si="573"/>
        <v>6760.0453000000007</v>
      </c>
      <c r="M3640" s="453">
        <f>L3640/L$3718</f>
        <v>4.6252734343803281E-2</v>
      </c>
      <c r="N3640" s="796"/>
      <c r="P3640" s="399"/>
    </row>
    <row r="3641" spans="1:16" s="780" customFormat="1" ht="15" customHeight="1" x14ac:dyDescent="0.25">
      <c r="A3641" s="397"/>
      <c r="B3641" s="1383" t="s">
        <v>9584</v>
      </c>
      <c r="C3641" s="1383"/>
      <c r="D3641" s="1383"/>
      <c r="E3641" s="1383"/>
      <c r="F3641" s="1383"/>
      <c r="G3641" s="407"/>
      <c r="H3641" s="407"/>
      <c r="I3641" s="429"/>
      <c r="J3641" s="414"/>
      <c r="K3641" s="408">
        <f t="shared" si="573"/>
        <v>0</v>
      </c>
      <c r="L3641" s="408">
        <f t="shared" si="573"/>
        <v>6760.0453000000007</v>
      </c>
      <c r="M3641" s="454">
        <f>L3641/L$3718</f>
        <v>4.6252734343803281E-2</v>
      </c>
      <c r="N3641" s="796"/>
      <c r="P3641" s="399"/>
    </row>
    <row r="3642" spans="1:16" s="780" customFormat="1" ht="15" customHeight="1" x14ac:dyDescent="0.25">
      <c r="A3642" s="397"/>
      <c r="B3642" s="1385" t="s">
        <v>9489</v>
      </c>
      <c r="C3642" s="1385"/>
      <c r="D3642" s="1385"/>
      <c r="E3642" s="1385"/>
      <c r="F3642" s="1385"/>
      <c r="G3642" s="401"/>
      <c r="H3642" s="401"/>
      <c r="I3642" s="426"/>
      <c r="J3642" s="411"/>
      <c r="K3642" s="402">
        <f t="shared" si="573"/>
        <v>0</v>
      </c>
      <c r="L3642" s="402">
        <f t="shared" si="573"/>
        <v>6760.0453000000007</v>
      </c>
      <c r="M3642" s="451">
        <f>L3642/L$3718</f>
        <v>4.6252734343803281E-2</v>
      </c>
      <c r="N3642" s="796"/>
      <c r="P3642" s="399"/>
    </row>
    <row r="3643" spans="1:16" s="780" customFormat="1" ht="15" customHeight="1" x14ac:dyDescent="0.25">
      <c r="A3643" s="397"/>
      <c r="B3643" s="1386" t="s">
        <v>9555</v>
      </c>
      <c r="C3643" s="1386"/>
      <c r="D3643" s="1386"/>
      <c r="E3643" s="1386"/>
      <c r="F3643" s="1386"/>
      <c r="G3643" s="403"/>
      <c r="H3643" s="403"/>
      <c r="I3643" s="427"/>
      <c r="J3643" s="412"/>
      <c r="K3643" s="404">
        <f>SUM(K3644:K3650)</f>
        <v>0</v>
      </c>
      <c r="L3643" s="404">
        <f>SUM(L3644:L3650)-0.01</f>
        <v>6760.0453000000007</v>
      </c>
      <c r="M3643" s="452">
        <f>L3643/L$3718</f>
        <v>4.6252734343803281E-2</v>
      </c>
      <c r="N3643" s="796"/>
      <c r="P3643" s="399"/>
    </row>
    <row r="3644" spans="1:16" s="780" customFormat="1" x14ac:dyDescent="0.25">
      <c r="B3644" s="1031"/>
      <c r="C3644" s="1031"/>
      <c r="D3644" s="853" t="s">
        <v>9726</v>
      </c>
      <c r="E3644" s="854">
        <v>333903000000000</v>
      </c>
      <c r="F3644" s="855" t="s">
        <v>9585</v>
      </c>
      <c r="G3644" s="468">
        <v>1</v>
      </c>
      <c r="H3644" s="468">
        <v>0</v>
      </c>
      <c r="I3644" s="856"/>
      <c r="J3644" s="857"/>
      <c r="K3644" s="1033">
        <f>('Parâmetros financeiros Despesa'!E1944)</f>
        <v>0</v>
      </c>
      <c r="L3644" s="1033">
        <f>('Parâmetros financeiros Despesa'!F1944*(1+'Parâmetros financeiros Despesa'!F$4)*(1+'Parâmetros financeiros Despesa'!F$7))</f>
        <v>1090.3315</v>
      </c>
      <c r="M3644" s="799">
        <f t="shared" ref="M3644:M3650" si="574">L3644/L$3718</f>
        <v>7.4601294781531336E-3</v>
      </c>
      <c r="N3644" s="894"/>
      <c r="O3644" s="796"/>
      <c r="P3644" s="399"/>
    </row>
    <row r="3645" spans="1:16" s="780" customFormat="1" x14ac:dyDescent="0.25">
      <c r="B3645" s="852"/>
      <c r="C3645" s="1031"/>
      <c r="D3645" s="853" t="s">
        <v>9727</v>
      </c>
      <c r="E3645" s="854">
        <v>333903200000000</v>
      </c>
      <c r="F3645" s="855" t="s">
        <v>9586</v>
      </c>
      <c r="G3645" s="468">
        <v>1</v>
      </c>
      <c r="H3645" s="468">
        <v>0</v>
      </c>
      <c r="I3645" s="856"/>
      <c r="J3645" s="857"/>
      <c r="K3645" s="1033">
        <f>('Parâmetros financeiros Despesa'!E1945)</f>
        <v>0</v>
      </c>
      <c r="L3645" s="1033">
        <f>('Parâmetros financeiros Despesa'!F1945*(1+'Parâmetros financeiros Despesa'!F$4)*(1+'Parâmetros financeiros Despesa'!F$7))</f>
        <v>1090.3315</v>
      </c>
      <c r="M3645" s="799">
        <f t="shared" si="574"/>
        <v>7.4601294781531336E-3</v>
      </c>
      <c r="N3645" s="894"/>
      <c r="O3645" s="796"/>
      <c r="P3645" s="399"/>
    </row>
    <row r="3646" spans="1:16" s="780" customFormat="1" x14ac:dyDescent="0.25">
      <c r="B3646" s="1031"/>
      <c r="C3646" s="1031"/>
      <c r="D3646" s="853" t="s">
        <v>9728</v>
      </c>
      <c r="E3646" s="854">
        <v>333903600000000</v>
      </c>
      <c r="F3646" s="855" t="s">
        <v>9587</v>
      </c>
      <c r="G3646" s="468">
        <v>1</v>
      </c>
      <c r="H3646" s="468">
        <v>0</v>
      </c>
      <c r="I3646" s="856"/>
      <c r="J3646" s="857"/>
      <c r="K3646" s="1033">
        <f>('Parâmetros financeiros Despesa'!E1946)</f>
        <v>0</v>
      </c>
      <c r="L3646" s="1033">
        <f>('Parâmetros financeiros Despesa'!F1946*(1+'Parâmetros financeiros Despesa'!F$4)*(1+'Parâmetros financeiros Despesa'!F$7))</f>
        <v>1090.3315</v>
      </c>
      <c r="M3646" s="799">
        <f t="shared" si="574"/>
        <v>7.4601294781531336E-3</v>
      </c>
      <c r="N3646" s="894"/>
      <c r="O3646" s="796"/>
      <c r="P3646" s="399"/>
    </row>
    <row r="3647" spans="1:16" s="780" customFormat="1" x14ac:dyDescent="0.25">
      <c r="B3647" s="852"/>
      <c r="C3647" s="1031"/>
      <c r="D3647" s="853" t="s">
        <v>9729</v>
      </c>
      <c r="E3647" s="854">
        <v>333903900000000</v>
      </c>
      <c r="F3647" s="855" t="s">
        <v>9588</v>
      </c>
      <c r="G3647" s="468">
        <v>1</v>
      </c>
      <c r="H3647" s="468">
        <v>0</v>
      </c>
      <c r="I3647" s="856"/>
      <c r="J3647" s="857"/>
      <c r="K3647" s="1033">
        <f>('Parâmetros financeiros Despesa'!E1947)</f>
        <v>0</v>
      </c>
      <c r="L3647" s="1033">
        <f>('Parâmetros financeiros Despesa'!F1947*(1+'Parâmetros financeiros Despesa'!F$4)*(1+'Parâmetros financeiros Despesa'!F$7))</f>
        <v>1090.3315</v>
      </c>
      <c r="M3647" s="799">
        <f t="shared" si="574"/>
        <v>7.4601294781531336E-3</v>
      </c>
      <c r="N3647" s="894"/>
      <c r="O3647" s="796"/>
      <c r="P3647" s="399"/>
    </row>
    <row r="3648" spans="1:16" s="780" customFormat="1" x14ac:dyDescent="0.25">
      <c r="B3648" s="852"/>
      <c r="C3648" s="852"/>
      <c r="D3648" s="853" t="s">
        <v>9730</v>
      </c>
      <c r="E3648" s="854">
        <v>333904700000000</v>
      </c>
      <c r="F3648" s="855" t="s">
        <v>9589</v>
      </c>
      <c r="G3648" s="468">
        <v>1</v>
      </c>
      <c r="H3648" s="468">
        <v>0</v>
      </c>
      <c r="I3648" s="856"/>
      <c r="J3648" s="857"/>
      <c r="K3648" s="1033">
        <f>('Parâmetros financeiros Despesa'!E1948)</f>
        <v>0</v>
      </c>
      <c r="L3648" s="1033">
        <f>('Parâmetros financeiros Despesa'!F1948*(1+'Parâmetros financeiros Despesa'!F$4)*(1+'Parâmetros financeiros Despesa'!F$7))</f>
        <v>218.06630000000001</v>
      </c>
      <c r="M3648" s="799">
        <f t="shared" si="574"/>
        <v>1.4920258956306269E-3</v>
      </c>
      <c r="N3648" s="894"/>
      <c r="O3648" s="796"/>
      <c r="P3648" s="399"/>
    </row>
    <row r="3649" spans="1:16" s="780" customFormat="1" x14ac:dyDescent="0.25">
      <c r="B3649" s="852"/>
      <c r="C3649" s="852"/>
      <c r="D3649" s="853" t="s">
        <v>9731</v>
      </c>
      <c r="E3649" s="854">
        <v>344905100000000</v>
      </c>
      <c r="F3649" s="855" t="s">
        <v>9733</v>
      </c>
      <c r="G3649" s="468">
        <v>1</v>
      </c>
      <c r="H3649" s="468">
        <v>0</v>
      </c>
      <c r="I3649" s="856"/>
      <c r="J3649" s="857"/>
      <c r="K3649" s="1033">
        <f>('Parâmetros financeiros Despesa'!E1949)</f>
        <v>0</v>
      </c>
      <c r="L3649" s="1033">
        <f>('Parâmetros financeiros Despesa'!F1949*(1+'Parâmetros financeiros Despesa'!F$4)*(1+'Parâmetros financeiros Despesa'!F$7))</f>
        <v>1090.3315</v>
      </c>
      <c r="M3649" s="799">
        <f t="shared" si="574"/>
        <v>7.4601294781531336E-3</v>
      </c>
      <c r="N3649" s="894"/>
      <c r="O3649" s="796"/>
      <c r="P3649" s="399"/>
    </row>
    <row r="3650" spans="1:16" s="780" customFormat="1" x14ac:dyDescent="0.25">
      <c r="B3650" s="852"/>
      <c r="C3650" s="852"/>
      <c r="D3650" s="853" t="s">
        <v>9732</v>
      </c>
      <c r="E3650" s="854">
        <v>344905200000000</v>
      </c>
      <c r="F3650" s="855" t="s">
        <v>9590</v>
      </c>
      <c r="G3650" s="468">
        <v>1</v>
      </c>
      <c r="H3650" s="468">
        <v>0</v>
      </c>
      <c r="I3650" s="856"/>
      <c r="J3650" s="857"/>
      <c r="K3650" s="1033">
        <f>('Parâmetros financeiros Despesa'!E1950)</f>
        <v>0</v>
      </c>
      <c r="L3650" s="1033">
        <f>('Parâmetros financeiros Despesa'!F1950*(1+'Parâmetros financeiros Despesa'!F$4)*(1+'Parâmetros financeiros Despesa'!F$7))</f>
        <v>1090.3315</v>
      </c>
      <c r="M3650" s="799">
        <f t="shared" si="574"/>
        <v>7.4601294781531336E-3</v>
      </c>
      <c r="N3650" s="894"/>
      <c r="O3650" s="796"/>
      <c r="P3650" s="399"/>
    </row>
    <row r="3651" spans="1:16" s="780" customFormat="1" ht="15" customHeight="1" x14ac:dyDescent="0.25">
      <c r="A3651" s="397"/>
      <c r="B3651" s="1382" t="s">
        <v>7831</v>
      </c>
      <c r="C3651" s="1382"/>
      <c r="D3651" s="1382"/>
      <c r="E3651" s="1382"/>
      <c r="F3651" s="1382"/>
      <c r="G3651" s="405"/>
      <c r="H3651" s="405"/>
      <c r="I3651" s="428"/>
      <c r="J3651" s="413"/>
      <c r="K3651" s="406">
        <f t="shared" ref="K3651:L3653" si="575">K3652</f>
        <v>0</v>
      </c>
      <c r="L3651" s="406">
        <f t="shared" si="575"/>
        <v>7850.3768000000009</v>
      </c>
      <c r="M3651" s="453">
        <f>L3651/L$3718</f>
        <v>5.3712863821956419E-2</v>
      </c>
      <c r="N3651" s="796"/>
      <c r="P3651" s="399"/>
    </row>
    <row r="3652" spans="1:16" s="780" customFormat="1" ht="15" customHeight="1" x14ac:dyDescent="0.25">
      <c r="A3652" s="397"/>
      <c r="B3652" s="1383" t="s">
        <v>9584</v>
      </c>
      <c r="C3652" s="1383"/>
      <c r="D3652" s="1383"/>
      <c r="E3652" s="1383"/>
      <c r="F3652" s="1383"/>
      <c r="G3652" s="407"/>
      <c r="H3652" s="407"/>
      <c r="I3652" s="429"/>
      <c r="J3652" s="414"/>
      <c r="K3652" s="408">
        <f t="shared" si="575"/>
        <v>0</v>
      </c>
      <c r="L3652" s="408">
        <f t="shared" si="575"/>
        <v>7850.3768000000009</v>
      </c>
      <c r="M3652" s="454">
        <f>L3652/L$3718</f>
        <v>5.3712863821956419E-2</v>
      </c>
      <c r="N3652" s="796"/>
      <c r="P3652" s="399"/>
    </row>
    <row r="3653" spans="1:16" s="780" customFormat="1" ht="15" customHeight="1" x14ac:dyDescent="0.25">
      <c r="A3653" s="397"/>
      <c r="B3653" s="1385" t="s">
        <v>9489</v>
      </c>
      <c r="C3653" s="1385"/>
      <c r="D3653" s="1385"/>
      <c r="E3653" s="1385"/>
      <c r="F3653" s="1385"/>
      <c r="G3653" s="401"/>
      <c r="H3653" s="401"/>
      <c r="I3653" s="426"/>
      <c r="J3653" s="411"/>
      <c r="K3653" s="402">
        <f t="shared" si="575"/>
        <v>0</v>
      </c>
      <c r="L3653" s="402">
        <f t="shared" si="575"/>
        <v>7850.3768000000009</v>
      </c>
      <c r="M3653" s="451">
        <f>L3653/L$3718</f>
        <v>5.3712863821956419E-2</v>
      </c>
      <c r="N3653" s="796"/>
      <c r="P3653" s="399"/>
    </row>
    <row r="3654" spans="1:16" s="780" customFormat="1" ht="15" customHeight="1" x14ac:dyDescent="0.25">
      <c r="A3654" s="397"/>
      <c r="B3654" s="1386" t="s">
        <v>9556</v>
      </c>
      <c r="C3654" s="1386"/>
      <c r="D3654" s="1386"/>
      <c r="E3654" s="1386"/>
      <c r="F3654" s="1386"/>
      <c r="G3654" s="403"/>
      <c r="H3654" s="403"/>
      <c r="I3654" s="427"/>
      <c r="J3654" s="412"/>
      <c r="K3654" s="404">
        <f>SUM(K3655:K3662)</f>
        <v>0</v>
      </c>
      <c r="L3654" s="404">
        <f>SUM(L3655:L3662)-0.01</f>
        <v>7850.3768000000009</v>
      </c>
      <c r="M3654" s="452">
        <f>L3654/L$3718</f>
        <v>5.3712863821956419E-2</v>
      </c>
      <c r="N3654" s="796"/>
      <c r="P3654" s="399"/>
    </row>
    <row r="3655" spans="1:16" s="780" customFormat="1" x14ac:dyDescent="0.25">
      <c r="B3655" s="1031"/>
      <c r="C3655" s="1031"/>
      <c r="D3655" s="853" t="s">
        <v>9734</v>
      </c>
      <c r="E3655" s="854">
        <v>333903000000000</v>
      </c>
      <c r="F3655" s="855" t="s">
        <v>9591</v>
      </c>
      <c r="G3655" s="468">
        <v>1</v>
      </c>
      <c r="H3655" s="468">
        <v>0</v>
      </c>
      <c r="I3655" s="856"/>
      <c r="J3655" s="857"/>
      <c r="K3655" s="1033">
        <f>('Parâmetros financeiros Despesa'!E1952)</f>
        <v>0</v>
      </c>
      <c r="L3655" s="1033">
        <f>('Parâmetros financeiros Despesa'!F1952*(1+'Parâmetros financeiros Despesa'!F$4)*(1+'Parâmetros financeiros Despesa'!F$7))</f>
        <v>1090.3315</v>
      </c>
      <c r="M3655" s="799">
        <f t="shared" ref="M3655:M3662" si="576">L3655/L$3718</f>
        <v>7.4601294781531336E-3</v>
      </c>
      <c r="N3655" s="894"/>
      <c r="O3655" s="796"/>
      <c r="P3655" s="399"/>
    </row>
    <row r="3656" spans="1:16" s="780" customFormat="1" x14ac:dyDescent="0.25">
      <c r="B3656" s="852"/>
      <c r="C3656" s="1031"/>
      <c r="D3656" s="853" t="s">
        <v>9735</v>
      </c>
      <c r="E3656" s="854">
        <v>333903200000000</v>
      </c>
      <c r="F3656" s="855" t="s">
        <v>9592</v>
      </c>
      <c r="G3656" s="468">
        <v>1</v>
      </c>
      <c r="H3656" s="468">
        <v>0</v>
      </c>
      <c r="I3656" s="856"/>
      <c r="J3656" s="857"/>
      <c r="K3656" s="1033">
        <f>('Parâmetros financeiros Despesa'!E1953)</f>
        <v>0</v>
      </c>
      <c r="L3656" s="1033">
        <f>('Parâmetros financeiros Despesa'!F1953*(1+'Parâmetros financeiros Despesa'!F$4)*(1+'Parâmetros financeiros Despesa'!F$7))</f>
        <v>1090.3315</v>
      </c>
      <c r="M3656" s="799">
        <f t="shared" si="576"/>
        <v>7.4601294781531336E-3</v>
      </c>
      <c r="N3656" s="894"/>
      <c r="O3656" s="796"/>
      <c r="P3656" s="399"/>
    </row>
    <row r="3657" spans="1:16" s="780" customFormat="1" x14ac:dyDescent="0.25">
      <c r="B3657" s="1031"/>
      <c r="C3657" s="1031"/>
      <c r="D3657" s="853" t="s">
        <v>9736</v>
      </c>
      <c r="E3657" s="854">
        <v>333903600000000</v>
      </c>
      <c r="F3657" s="855" t="s">
        <v>9593</v>
      </c>
      <c r="G3657" s="468">
        <v>1</v>
      </c>
      <c r="H3657" s="468">
        <v>0</v>
      </c>
      <c r="I3657" s="856"/>
      <c r="J3657" s="857"/>
      <c r="K3657" s="1033">
        <f>('Parâmetros financeiros Despesa'!E1954)</f>
        <v>0</v>
      </c>
      <c r="L3657" s="1033">
        <f>('Parâmetros financeiros Despesa'!F1954*(1+'Parâmetros financeiros Despesa'!F$4)*(1+'Parâmetros financeiros Despesa'!F$7))</f>
        <v>1090.3315</v>
      </c>
      <c r="M3657" s="799">
        <f t="shared" si="576"/>
        <v>7.4601294781531336E-3</v>
      </c>
      <c r="N3657" s="894"/>
      <c r="O3657" s="796"/>
      <c r="P3657" s="399"/>
    </row>
    <row r="3658" spans="1:16" s="780" customFormat="1" x14ac:dyDescent="0.25">
      <c r="B3658" s="852"/>
      <c r="C3658" s="1031"/>
      <c r="D3658" s="853" t="s">
        <v>9737</v>
      </c>
      <c r="E3658" s="854">
        <v>333903900000000</v>
      </c>
      <c r="F3658" s="855" t="s">
        <v>9594</v>
      </c>
      <c r="G3658" s="468">
        <v>1</v>
      </c>
      <c r="H3658" s="468">
        <v>0</v>
      </c>
      <c r="I3658" s="856"/>
      <c r="J3658" s="857"/>
      <c r="K3658" s="1033">
        <f>('Parâmetros financeiros Despesa'!E1955)</f>
        <v>0</v>
      </c>
      <c r="L3658" s="1033">
        <f>('Parâmetros financeiros Despesa'!F1955*(1+'Parâmetros financeiros Despesa'!F$4)*(1+'Parâmetros financeiros Despesa'!F$7))</f>
        <v>1090.3315</v>
      </c>
      <c r="M3658" s="799">
        <f t="shared" si="576"/>
        <v>7.4601294781531336E-3</v>
      </c>
      <c r="N3658" s="894"/>
      <c r="O3658" s="796"/>
      <c r="P3658" s="399"/>
    </row>
    <row r="3659" spans="1:16" s="780" customFormat="1" ht="15.75" customHeight="1" x14ac:dyDescent="0.25">
      <c r="B3659" s="852"/>
      <c r="C3659" s="852"/>
      <c r="D3659" s="853" t="s">
        <v>9738</v>
      </c>
      <c r="E3659" s="854">
        <v>333904700000000</v>
      </c>
      <c r="F3659" s="855" t="s">
        <v>9595</v>
      </c>
      <c r="G3659" s="468">
        <v>1</v>
      </c>
      <c r="H3659" s="468">
        <v>0</v>
      </c>
      <c r="I3659" s="856"/>
      <c r="J3659" s="857"/>
      <c r="K3659" s="1033">
        <f>('Parâmetros financeiros Despesa'!E1956)</f>
        <v>0</v>
      </c>
      <c r="L3659" s="1033">
        <f>('Parâmetros financeiros Despesa'!F1956*(1+'Parâmetros financeiros Despesa'!F$4)*(1+'Parâmetros financeiros Despesa'!F$7))</f>
        <v>218.06630000000001</v>
      </c>
      <c r="M3659" s="799">
        <f t="shared" si="576"/>
        <v>1.4920258956306269E-3</v>
      </c>
      <c r="N3659" s="894"/>
      <c r="O3659" s="796"/>
      <c r="P3659" s="399"/>
    </row>
    <row r="3660" spans="1:16" s="780" customFormat="1" ht="15.75" customHeight="1" x14ac:dyDescent="0.25">
      <c r="B3660" s="852"/>
      <c r="C3660" s="852"/>
      <c r="D3660" s="853" t="s">
        <v>9739</v>
      </c>
      <c r="E3660" s="854">
        <v>333933000000000</v>
      </c>
      <c r="F3660" s="855" t="s">
        <v>9597</v>
      </c>
      <c r="G3660" s="468">
        <v>1</v>
      </c>
      <c r="H3660" s="468">
        <v>0</v>
      </c>
      <c r="I3660" s="856"/>
      <c r="J3660" s="857"/>
      <c r="K3660" s="1033">
        <f>('Parâmetros financeiros Despesa'!E1957)</f>
        <v>0</v>
      </c>
      <c r="L3660" s="1033">
        <f>('Parâmetros financeiros Despesa'!F1957*(1+'Parâmetros financeiros Despesa'!F$4)*(1+'Parâmetros financeiros Despesa'!F$7))</f>
        <v>1090.3315</v>
      </c>
      <c r="M3660" s="799">
        <f t="shared" si="576"/>
        <v>7.4601294781531336E-3</v>
      </c>
      <c r="N3660" s="894"/>
      <c r="O3660" s="796"/>
      <c r="P3660" s="399"/>
    </row>
    <row r="3661" spans="1:16" s="780" customFormat="1" ht="15.75" customHeight="1" x14ac:dyDescent="0.25">
      <c r="B3661" s="852"/>
      <c r="C3661" s="852"/>
      <c r="D3661" s="853" t="s">
        <v>9740</v>
      </c>
      <c r="E3661" s="854">
        <v>333933900000000</v>
      </c>
      <c r="F3661" s="855" t="s">
        <v>9598</v>
      </c>
      <c r="G3661" s="468">
        <v>1</v>
      </c>
      <c r="H3661" s="468">
        <v>0</v>
      </c>
      <c r="I3661" s="856"/>
      <c r="J3661" s="857"/>
      <c r="K3661" s="1033">
        <f>('Parâmetros financeiros Despesa'!E1958)</f>
        <v>0</v>
      </c>
      <c r="L3661" s="1033">
        <f>('Parâmetros financeiros Despesa'!F1958*(1+'Parâmetros financeiros Despesa'!F$4)*(1+'Parâmetros financeiros Despesa'!F$7))</f>
        <v>1090.3315</v>
      </c>
      <c r="M3661" s="799">
        <f t="shared" si="576"/>
        <v>7.4601294781531336E-3</v>
      </c>
      <c r="N3661" s="894"/>
      <c r="O3661" s="796"/>
      <c r="P3661" s="399"/>
    </row>
    <row r="3662" spans="1:16" s="780" customFormat="1" x14ac:dyDescent="0.25">
      <c r="B3662" s="852"/>
      <c r="C3662" s="852"/>
      <c r="D3662" s="853" t="s">
        <v>9741</v>
      </c>
      <c r="E3662" s="854">
        <v>344905200000000</v>
      </c>
      <c r="F3662" s="855" t="s">
        <v>9596</v>
      </c>
      <c r="G3662" s="468">
        <v>1</v>
      </c>
      <c r="H3662" s="468">
        <v>0</v>
      </c>
      <c r="I3662" s="856"/>
      <c r="J3662" s="857"/>
      <c r="K3662" s="1033">
        <f>('Parâmetros financeiros Despesa'!E1959)</f>
        <v>0</v>
      </c>
      <c r="L3662" s="1033">
        <f>('Parâmetros financeiros Despesa'!F1959*(1+'Parâmetros financeiros Despesa'!F$4)*(1+'Parâmetros financeiros Despesa'!F$7))</f>
        <v>1090.3315</v>
      </c>
      <c r="M3662" s="799">
        <f t="shared" si="576"/>
        <v>7.4601294781531336E-3</v>
      </c>
      <c r="N3662" s="894"/>
      <c r="O3662" s="796"/>
      <c r="P3662" s="399"/>
    </row>
    <row r="3663" spans="1:16" s="780" customFormat="1" ht="15" customHeight="1" x14ac:dyDescent="0.25">
      <c r="A3663" s="397"/>
      <c r="B3663" s="1382" t="s">
        <v>7831</v>
      </c>
      <c r="C3663" s="1382"/>
      <c r="D3663" s="1382"/>
      <c r="E3663" s="1382"/>
      <c r="F3663" s="1382"/>
      <c r="G3663" s="405"/>
      <c r="H3663" s="405"/>
      <c r="I3663" s="428"/>
      <c r="J3663" s="413"/>
      <c r="K3663" s="406">
        <f t="shared" ref="K3663:L3665" si="577">K3664</f>
        <v>0</v>
      </c>
      <c r="L3663" s="406">
        <f t="shared" si="577"/>
        <v>16354.9725</v>
      </c>
      <c r="M3663" s="453">
        <f>L3663/L$3718</f>
        <v>0.111901942172297</v>
      </c>
      <c r="N3663" s="796"/>
      <c r="P3663" s="399"/>
    </row>
    <row r="3664" spans="1:16" s="780" customFormat="1" ht="15" customHeight="1" x14ac:dyDescent="0.25">
      <c r="A3664" s="397"/>
      <c r="B3664" s="1383" t="s">
        <v>9584</v>
      </c>
      <c r="C3664" s="1383"/>
      <c r="D3664" s="1383"/>
      <c r="E3664" s="1383"/>
      <c r="F3664" s="1383"/>
      <c r="G3664" s="407"/>
      <c r="H3664" s="407"/>
      <c r="I3664" s="429"/>
      <c r="J3664" s="414"/>
      <c r="K3664" s="408">
        <f t="shared" si="577"/>
        <v>0</v>
      </c>
      <c r="L3664" s="408">
        <f t="shared" si="577"/>
        <v>16354.9725</v>
      </c>
      <c r="M3664" s="454">
        <f>L3664/L$3718</f>
        <v>0.111901942172297</v>
      </c>
      <c r="N3664" s="796"/>
      <c r="P3664" s="399"/>
    </row>
    <row r="3665" spans="1:16" s="780" customFormat="1" ht="15" customHeight="1" x14ac:dyDescent="0.25">
      <c r="A3665" s="397"/>
      <c r="B3665" s="1385" t="s">
        <v>9489</v>
      </c>
      <c r="C3665" s="1385"/>
      <c r="D3665" s="1385"/>
      <c r="E3665" s="1385"/>
      <c r="F3665" s="1385"/>
      <c r="G3665" s="401"/>
      <c r="H3665" s="401"/>
      <c r="I3665" s="426"/>
      <c r="J3665" s="411"/>
      <c r="K3665" s="402">
        <f t="shared" si="577"/>
        <v>0</v>
      </c>
      <c r="L3665" s="402">
        <f t="shared" si="577"/>
        <v>16354.9725</v>
      </c>
      <c r="M3665" s="451">
        <f>L3665/L$3718</f>
        <v>0.111901942172297</v>
      </c>
      <c r="N3665" s="796"/>
      <c r="P3665" s="399"/>
    </row>
    <row r="3666" spans="1:16" s="780" customFormat="1" ht="15" customHeight="1" x14ac:dyDescent="0.25">
      <c r="A3666" s="397"/>
      <c r="B3666" s="1386" t="s">
        <v>9552</v>
      </c>
      <c r="C3666" s="1386"/>
      <c r="D3666" s="1386"/>
      <c r="E3666" s="1386"/>
      <c r="F3666" s="1386"/>
      <c r="G3666" s="403"/>
      <c r="H3666" s="403"/>
      <c r="I3666" s="427"/>
      <c r="J3666" s="412"/>
      <c r="K3666" s="404">
        <f>SUM(K3667:K3668)</f>
        <v>0</v>
      </c>
      <c r="L3666" s="404">
        <f>SUM(L3667:L3668)</f>
        <v>16354.9725</v>
      </c>
      <c r="M3666" s="452">
        <f>L3666/L$3718</f>
        <v>0.111901942172297</v>
      </c>
      <c r="N3666" s="796"/>
      <c r="P3666" s="399"/>
    </row>
    <row r="3667" spans="1:16" s="780" customFormat="1" x14ac:dyDescent="0.25">
      <c r="B3667" s="1035"/>
      <c r="C3667" s="1031"/>
      <c r="D3667" s="853" t="s">
        <v>9742</v>
      </c>
      <c r="E3667" s="854">
        <v>333900800000000</v>
      </c>
      <c r="F3667" s="855" t="s">
        <v>9599</v>
      </c>
      <c r="G3667" s="468">
        <v>1</v>
      </c>
      <c r="H3667" s="468">
        <v>0</v>
      </c>
      <c r="I3667" s="856"/>
      <c r="J3667" s="857"/>
      <c r="K3667" s="1033">
        <f>('Parâmetros financeiros Despesa'!E1961)</f>
        <v>0</v>
      </c>
      <c r="L3667" s="1033">
        <f>('Parâmetros financeiros Despesa'!F1961*(1+'Parâmetros financeiros Despesa'!F$4)*(1+'Parâmetros financeiros Despesa'!F$7))</f>
        <v>5451.6575000000003</v>
      </c>
      <c r="M3667" s="799">
        <f t="shared" ref="M3667:M3668" si="578">L3667/L$3718</f>
        <v>3.7300647390765669E-2</v>
      </c>
      <c r="N3667" s="894"/>
      <c r="O3667" s="796"/>
      <c r="P3667" s="399"/>
    </row>
    <row r="3668" spans="1:16" s="780" customFormat="1" x14ac:dyDescent="0.25">
      <c r="B3668" s="852"/>
      <c r="C3668" s="1031"/>
      <c r="D3668" s="853" t="s">
        <v>9743</v>
      </c>
      <c r="E3668" s="854">
        <v>333903200000000</v>
      </c>
      <c r="F3668" s="855" t="s">
        <v>9600</v>
      </c>
      <c r="G3668" s="468">
        <v>1</v>
      </c>
      <c r="H3668" s="468">
        <v>0</v>
      </c>
      <c r="I3668" s="856"/>
      <c r="J3668" s="857"/>
      <c r="K3668" s="1033">
        <f>('Parâmetros financeiros Despesa'!E1962)</f>
        <v>0</v>
      </c>
      <c r="L3668" s="1033">
        <f>('Parâmetros financeiros Despesa'!F1962*(1+'Parâmetros financeiros Despesa'!F$4)*(1+'Parâmetros financeiros Despesa'!F$7))</f>
        <v>10903.315000000001</v>
      </c>
      <c r="M3668" s="799">
        <f t="shared" si="578"/>
        <v>7.4601294781531338E-2</v>
      </c>
      <c r="N3668" s="894"/>
      <c r="O3668" s="796"/>
      <c r="P3668" s="399"/>
    </row>
    <row r="3669" spans="1:16" s="780" customFormat="1" ht="15" customHeight="1" x14ac:dyDescent="0.25">
      <c r="A3669" s="397"/>
      <c r="B3669" s="1382" t="s">
        <v>7831</v>
      </c>
      <c r="C3669" s="1382"/>
      <c r="D3669" s="1382"/>
      <c r="E3669" s="1382"/>
      <c r="F3669" s="1382"/>
      <c r="G3669" s="405"/>
      <c r="H3669" s="405"/>
      <c r="I3669" s="428"/>
      <c r="J3669" s="413"/>
      <c r="K3669" s="406">
        <f t="shared" ref="K3669:L3671" si="579">K3670</f>
        <v>0</v>
      </c>
      <c r="L3669" s="406">
        <f t="shared" si="579"/>
        <v>2834.8619000000003</v>
      </c>
      <c r="M3669" s="453">
        <f>L3669/L$3718</f>
        <v>1.9396336643198151E-2</v>
      </c>
      <c r="N3669" s="796"/>
      <c r="P3669" s="399"/>
    </row>
    <row r="3670" spans="1:16" s="780" customFormat="1" ht="15" customHeight="1" x14ac:dyDescent="0.25">
      <c r="A3670" s="397"/>
      <c r="B3670" s="1383" t="s">
        <v>9584</v>
      </c>
      <c r="C3670" s="1383"/>
      <c r="D3670" s="1383"/>
      <c r="E3670" s="1383"/>
      <c r="F3670" s="1383"/>
      <c r="G3670" s="407"/>
      <c r="H3670" s="407"/>
      <c r="I3670" s="429"/>
      <c r="J3670" s="414"/>
      <c r="K3670" s="408">
        <f t="shared" si="579"/>
        <v>0</v>
      </c>
      <c r="L3670" s="408">
        <f t="shared" si="579"/>
        <v>2834.8619000000003</v>
      </c>
      <c r="M3670" s="454">
        <f>L3670/L$3718</f>
        <v>1.9396336643198151E-2</v>
      </c>
      <c r="N3670" s="796"/>
      <c r="P3670" s="399"/>
    </row>
    <row r="3671" spans="1:16" s="780" customFormat="1" ht="15" customHeight="1" x14ac:dyDescent="0.25">
      <c r="A3671" s="397"/>
      <c r="B3671" s="1385" t="s">
        <v>9489</v>
      </c>
      <c r="C3671" s="1385"/>
      <c r="D3671" s="1385"/>
      <c r="E3671" s="1385"/>
      <c r="F3671" s="1385"/>
      <c r="G3671" s="401"/>
      <c r="H3671" s="401"/>
      <c r="I3671" s="426"/>
      <c r="J3671" s="411"/>
      <c r="K3671" s="402">
        <f t="shared" si="579"/>
        <v>0</v>
      </c>
      <c r="L3671" s="402">
        <f t="shared" si="579"/>
        <v>2834.8619000000003</v>
      </c>
      <c r="M3671" s="451">
        <f>L3671/L$3718</f>
        <v>1.9396336643198151E-2</v>
      </c>
      <c r="N3671" s="796"/>
      <c r="P3671" s="399"/>
    </row>
    <row r="3672" spans="1:16" s="780" customFormat="1" ht="15" customHeight="1" x14ac:dyDescent="0.25">
      <c r="A3672" s="397"/>
      <c r="B3672" s="1386" t="s">
        <v>11369</v>
      </c>
      <c r="C3672" s="1386"/>
      <c r="D3672" s="1386"/>
      <c r="E3672" s="1386"/>
      <c r="F3672" s="1386"/>
      <c r="G3672" s="403"/>
      <c r="H3672" s="403"/>
      <c r="I3672" s="427"/>
      <c r="J3672" s="412"/>
      <c r="K3672" s="404">
        <f>SUM(K3673:K3678)</f>
        <v>0</v>
      </c>
      <c r="L3672" s="404">
        <f>SUM(L3673:L3678)</f>
        <v>2834.8619000000003</v>
      </c>
      <c r="M3672" s="452">
        <f>L3672/L$3718</f>
        <v>1.9396336643198151E-2</v>
      </c>
      <c r="N3672" s="796"/>
      <c r="P3672" s="399"/>
    </row>
    <row r="3673" spans="1:16" s="780" customFormat="1" x14ac:dyDescent="0.25">
      <c r="B3673" s="1035"/>
      <c r="C3673" s="1031"/>
      <c r="D3673" s="853" t="s">
        <v>9744</v>
      </c>
      <c r="E3673" s="854">
        <v>333900800000000</v>
      </c>
      <c r="F3673" s="855" t="s">
        <v>9624</v>
      </c>
      <c r="G3673" s="468">
        <v>1</v>
      </c>
      <c r="H3673" s="468">
        <v>0</v>
      </c>
      <c r="I3673" s="856"/>
      <c r="J3673" s="857"/>
      <c r="K3673" s="1033">
        <f>('Parâmetros financeiros Despesa'!E1964)</f>
        <v>0</v>
      </c>
      <c r="L3673" s="1033">
        <f>('Parâmetros financeiros Despesa'!F1964*(1+'Parâmetros financeiros Despesa'!F$4)*(1+'Parâmetros financeiros Despesa'!F$7))</f>
        <v>545.16575</v>
      </c>
      <c r="M3673" s="799">
        <f t="shared" ref="M3673:M3678" si="580">L3673/L$3718</f>
        <v>3.7300647390765668E-3</v>
      </c>
      <c r="N3673" s="894"/>
      <c r="O3673" s="796"/>
      <c r="P3673" s="399"/>
    </row>
    <row r="3674" spans="1:16" s="780" customFormat="1" x14ac:dyDescent="0.25">
      <c r="B3674" s="852"/>
      <c r="C3674" s="1031"/>
      <c r="D3674" s="853" t="s">
        <v>9745</v>
      </c>
      <c r="E3674" s="854">
        <v>333903200000000</v>
      </c>
      <c r="F3674" s="855" t="s">
        <v>9625</v>
      </c>
      <c r="G3674" s="468">
        <v>1</v>
      </c>
      <c r="H3674" s="468">
        <v>0</v>
      </c>
      <c r="I3674" s="856"/>
      <c r="J3674" s="857"/>
      <c r="K3674" s="1033">
        <f>('Parâmetros financeiros Despesa'!E1965)</f>
        <v>0</v>
      </c>
      <c r="L3674" s="1033">
        <f>('Parâmetros financeiros Despesa'!F1965*(1+'Parâmetros financeiros Despesa'!F$4)*(1+'Parâmetros financeiros Despesa'!F$7))</f>
        <v>545.16575</v>
      </c>
      <c r="M3674" s="799">
        <f t="shared" si="580"/>
        <v>3.7300647390765668E-3</v>
      </c>
      <c r="N3674" s="894"/>
      <c r="O3674" s="796"/>
      <c r="P3674" s="399"/>
    </row>
    <row r="3675" spans="1:16" s="780" customFormat="1" x14ac:dyDescent="0.25">
      <c r="B3675" s="1031"/>
      <c r="C3675" s="1031"/>
      <c r="D3675" s="853" t="s">
        <v>9746</v>
      </c>
      <c r="E3675" s="854">
        <v>333903600000000</v>
      </c>
      <c r="F3675" s="855" t="s">
        <v>9626</v>
      </c>
      <c r="G3675" s="468">
        <v>1</v>
      </c>
      <c r="H3675" s="468">
        <v>0</v>
      </c>
      <c r="I3675" s="856"/>
      <c r="J3675" s="857"/>
      <c r="K3675" s="1033">
        <f>('Parâmetros financeiros Despesa'!E1966)</f>
        <v>0</v>
      </c>
      <c r="L3675" s="1033">
        <f>('Parâmetros financeiros Despesa'!F1966*(1+'Parâmetros financeiros Despesa'!F$4)*(1+'Parâmetros financeiros Despesa'!F$7))</f>
        <v>545.16575</v>
      </c>
      <c r="M3675" s="799">
        <f t="shared" si="580"/>
        <v>3.7300647390765668E-3</v>
      </c>
      <c r="N3675" s="894"/>
      <c r="O3675" s="796"/>
      <c r="P3675" s="399"/>
    </row>
    <row r="3676" spans="1:16" s="780" customFormat="1" x14ac:dyDescent="0.25">
      <c r="B3676" s="852"/>
      <c r="C3676" s="1031"/>
      <c r="D3676" s="853" t="s">
        <v>9747</v>
      </c>
      <c r="E3676" s="854">
        <v>333903900000000</v>
      </c>
      <c r="F3676" s="855" t="s">
        <v>9627</v>
      </c>
      <c r="G3676" s="468">
        <v>1</v>
      </c>
      <c r="H3676" s="468">
        <v>0</v>
      </c>
      <c r="I3676" s="856"/>
      <c r="J3676" s="857"/>
      <c r="K3676" s="1033">
        <f>('Parâmetros financeiros Despesa'!E1967)</f>
        <v>0</v>
      </c>
      <c r="L3676" s="1033">
        <f>('Parâmetros financeiros Despesa'!F1967*(1+'Parâmetros financeiros Despesa'!F$4)*(1+'Parâmetros financeiros Despesa'!F$7))</f>
        <v>545.16575</v>
      </c>
      <c r="M3676" s="799">
        <f t="shared" si="580"/>
        <v>3.7300647390765668E-3</v>
      </c>
      <c r="N3676" s="894"/>
      <c r="O3676" s="796"/>
      <c r="P3676" s="399"/>
    </row>
    <row r="3677" spans="1:16" s="780" customFormat="1" ht="15.75" customHeight="1" x14ac:dyDescent="0.25">
      <c r="B3677" s="852"/>
      <c r="C3677" s="852"/>
      <c r="D3677" s="853" t="s">
        <v>9748</v>
      </c>
      <c r="E3677" s="854">
        <v>333904700000000</v>
      </c>
      <c r="F3677" s="855" t="s">
        <v>9628</v>
      </c>
      <c r="G3677" s="468">
        <v>1</v>
      </c>
      <c r="H3677" s="468">
        <v>0</v>
      </c>
      <c r="I3677" s="856"/>
      <c r="J3677" s="857"/>
      <c r="K3677" s="1033">
        <f>('Parâmetros financeiros Despesa'!E1968)</f>
        <v>0</v>
      </c>
      <c r="L3677" s="1033">
        <f>('Parâmetros financeiros Despesa'!F1968*(1+'Parâmetros financeiros Despesa'!F$4)*(1+'Parâmetros financeiros Despesa'!F$7))</f>
        <v>109.03315000000001</v>
      </c>
      <c r="M3677" s="799">
        <f t="shared" si="580"/>
        <v>7.4601294781531343E-4</v>
      </c>
      <c r="N3677" s="894"/>
      <c r="O3677" s="796"/>
      <c r="P3677" s="399"/>
    </row>
    <row r="3678" spans="1:16" s="780" customFormat="1" ht="15.75" customHeight="1" x14ac:dyDescent="0.25">
      <c r="B3678" s="852"/>
      <c r="C3678" s="852"/>
      <c r="D3678" s="853" t="s">
        <v>9749</v>
      </c>
      <c r="E3678" s="854">
        <v>333933900000000</v>
      </c>
      <c r="F3678" s="855" t="s">
        <v>9629</v>
      </c>
      <c r="G3678" s="468">
        <v>1</v>
      </c>
      <c r="H3678" s="468">
        <v>0</v>
      </c>
      <c r="I3678" s="856"/>
      <c r="J3678" s="857"/>
      <c r="K3678" s="1033">
        <f>('Parâmetros financeiros Despesa'!E1969)</f>
        <v>0</v>
      </c>
      <c r="L3678" s="1033">
        <f>('Parâmetros financeiros Despesa'!F1969*(1+'Parâmetros financeiros Despesa'!F$4)*(1+'Parâmetros financeiros Despesa'!F$7))</f>
        <v>545.16575</v>
      </c>
      <c r="M3678" s="799">
        <f t="shared" si="580"/>
        <v>3.7300647390765668E-3</v>
      </c>
      <c r="N3678" s="894"/>
      <c r="O3678" s="796"/>
      <c r="P3678" s="399"/>
    </row>
    <row r="3679" spans="1:16" s="780" customFormat="1" ht="15" customHeight="1" x14ac:dyDescent="0.25">
      <c r="A3679" s="397"/>
      <c r="B3679" s="1382" t="s">
        <v>7831</v>
      </c>
      <c r="C3679" s="1382"/>
      <c r="D3679" s="1382"/>
      <c r="E3679" s="1382"/>
      <c r="F3679" s="1382"/>
      <c r="G3679" s="405"/>
      <c r="H3679" s="405"/>
      <c r="I3679" s="428"/>
      <c r="J3679" s="413"/>
      <c r="K3679" s="406">
        <f t="shared" ref="K3679:L3681" si="581">K3680</f>
        <v>0</v>
      </c>
      <c r="L3679" s="406">
        <f t="shared" si="581"/>
        <v>7.850386799999999</v>
      </c>
      <c r="M3679" s="453">
        <f>L3679/L$3718</f>
        <v>5.3712932242702559E-5</v>
      </c>
      <c r="N3679" s="796"/>
      <c r="P3679" s="399"/>
    </row>
    <row r="3680" spans="1:16" s="780" customFormat="1" ht="15" customHeight="1" x14ac:dyDescent="0.25">
      <c r="A3680" s="397"/>
      <c r="B3680" s="1383" t="s">
        <v>9584</v>
      </c>
      <c r="C3680" s="1383"/>
      <c r="D3680" s="1383"/>
      <c r="E3680" s="1383"/>
      <c r="F3680" s="1383"/>
      <c r="G3680" s="407"/>
      <c r="H3680" s="407"/>
      <c r="I3680" s="429"/>
      <c r="J3680" s="414"/>
      <c r="K3680" s="408">
        <f t="shared" si="581"/>
        <v>0</v>
      </c>
      <c r="L3680" s="408">
        <f t="shared" si="581"/>
        <v>7.850386799999999</v>
      </c>
      <c r="M3680" s="454">
        <f>L3680/L$3718</f>
        <v>5.3712932242702559E-5</v>
      </c>
      <c r="N3680" s="796"/>
      <c r="P3680" s="399"/>
    </row>
    <row r="3681" spans="1:16" s="780" customFormat="1" ht="15" customHeight="1" x14ac:dyDescent="0.25">
      <c r="A3681" s="397"/>
      <c r="B3681" s="1385" t="s">
        <v>9489</v>
      </c>
      <c r="C3681" s="1385"/>
      <c r="D3681" s="1385"/>
      <c r="E3681" s="1385"/>
      <c r="F3681" s="1385"/>
      <c r="G3681" s="401"/>
      <c r="H3681" s="401"/>
      <c r="I3681" s="426"/>
      <c r="J3681" s="411"/>
      <c r="K3681" s="402">
        <f t="shared" si="581"/>
        <v>0</v>
      </c>
      <c r="L3681" s="402">
        <f t="shared" si="581"/>
        <v>7.850386799999999</v>
      </c>
      <c r="M3681" s="451">
        <f>L3681/L$3718</f>
        <v>5.3712932242702559E-5</v>
      </c>
      <c r="N3681" s="796"/>
      <c r="P3681" s="399"/>
    </row>
    <row r="3682" spans="1:16" s="780" customFormat="1" ht="15" customHeight="1" x14ac:dyDescent="0.25">
      <c r="A3682" s="397"/>
      <c r="B3682" s="1386" t="s">
        <v>9601</v>
      </c>
      <c r="C3682" s="1386"/>
      <c r="D3682" s="1386"/>
      <c r="E3682" s="1386"/>
      <c r="F3682" s="1386"/>
      <c r="G3682" s="403"/>
      <c r="H3682" s="403"/>
      <c r="I3682" s="427"/>
      <c r="J3682" s="412"/>
      <c r="K3682" s="404">
        <f>SUM(K3683:K3690)</f>
        <v>0</v>
      </c>
      <c r="L3682" s="404">
        <f>SUM(L3683:L3690)</f>
        <v>7.850386799999999</v>
      </c>
      <c r="M3682" s="452">
        <f>L3682/L$3718</f>
        <v>5.3712932242702559E-5</v>
      </c>
      <c r="N3682" s="796"/>
      <c r="P3682" s="399"/>
    </row>
    <row r="3683" spans="1:16" s="780" customFormat="1" x14ac:dyDescent="0.25">
      <c r="B3683" s="1035"/>
      <c r="C3683" s="1031"/>
      <c r="D3683" s="853" t="s">
        <v>9750</v>
      </c>
      <c r="E3683" s="854">
        <v>333900800000000</v>
      </c>
      <c r="F3683" s="855" t="s">
        <v>9616</v>
      </c>
      <c r="G3683" s="468">
        <v>1</v>
      </c>
      <c r="H3683" s="468">
        <v>0</v>
      </c>
      <c r="I3683" s="856"/>
      <c r="J3683" s="857"/>
      <c r="K3683" s="1033">
        <f>('Parâmetros financeiros Despesa'!E1971)</f>
        <v>0</v>
      </c>
      <c r="L3683" s="1033">
        <f>('Parâmetros financeiros Despesa'!F1971*(1+'Parâmetros financeiros Despesa'!F$4)*(1+'Parâmetros financeiros Despesa'!F$7))</f>
        <v>1.0903315</v>
      </c>
      <c r="M3683" s="799">
        <f t="shared" ref="M3683:M3690" si="582">L3683/L$3718</f>
        <v>7.4601294781531338E-6</v>
      </c>
      <c r="N3683" s="796"/>
      <c r="P3683" s="399"/>
    </row>
    <row r="3684" spans="1:16" s="780" customFormat="1" x14ac:dyDescent="0.25">
      <c r="B3684" s="1031"/>
      <c r="C3684" s="1031"/>
      <c r="D3684" s="853" t="s">
        <v>9751</v>
      </c>
      <c r="E3684" s="854">
        <v>333903000000000</v>
      </c>
      <c r="F3684" s="855" t="s">
        <v>9617</v>
      </c>
      <c r="G3684" s="468">
        <v>1</v>
      </c>
      <c r="H3684" s="468">
        <v>0</v>
      </c>
      <c r="I3684" s="856"/>
      <c r="J3684" s="857"/>
      <c r="K3684" s="1033">
        <f>('Parâmetros financeiros Despesa'!E1972)</f>
        <v>0</v>
      </c>
      <c r="L3684" s="1033">
        <f>('Parâmetros financeiros Despesa'!F1972*(1+'Parâmetros financeiros Despesa'!F$4)*(1+'Parâmetros financeiros Despesa'!F$7))</f>
        <v>1.0903315</v>
      </c>
      <c r="M3684" s="799">
        <f t="shared" si="582"/>
        <v>7.4601294781531338E-6</v>
      </c>
      <c r="N3684" s="796"/>
      <c r="P3684" s="399"/>
    </row>
    <row r="3685" spans="1:16" s="780" customFormat="1" x14ac:dyDescent="0.25">
      <c r="B3685" s="852"/>
      <c r="C3685" s="1031"/>
      <c r="D3685" s="853" t="s">
        <v>9752</v>
      </c>
      <c r="E3685" s="854">
        <v>333903200000000</v>
      </c>
      <c r="F3685" s="855" t="s">
        <v>9618</v>
      </c>
      <c r="G3685" s="468">
        <v>1</v>
      </c>
      <c r="H3685" s="468">
        <v>0</v>
      </c>
      <c r="I3685" s="856"/>
      <c r="J3685" s="857"/>
      <c r="K3685" s="1033">
        <f>('Parâmetros financeiros Despesa'!E1973)</f>
        <v>0</v>
      </c>
      <c r="L3685" s="1033">
        <f>('Parâmetros financeiros Despesa'!F1973*(1+'Parâmetros financeiros Despesa'!F$4)*(1+'Parâmetros financeiros Despesa'!F$7))</f>
        <v>1.0903315</v>
      </c>
      <c r="M3685" s="799">
        <f t="shared" si="582"/>
        <v>7.4601294781531338E-6</v>
      </c>
      <c r="N3685" s="796"/>
      <c r="P3685" s="399"/>
    </row>
    <row r="3686" spans="1:16" s="780" customFormat="1" x14ac:dyDescent="0.25">
      <c r="B3686" s="1031"/>
      <c r="C3686" s="1031"/>
      <c r="D3686" s="853" t="s">
        <v>9753</v>
      </c>
      <c r="E3686" s="854">
        <v>333903600000000</v>
      </c>
      <c r="F3686" s="855" t="s">
        <v>9619</v>
      </c>
      <c r="G3686" s="468">
        <v>1</v>
      </c>
      <c r="H3686" s="468">
        <v>0</v>
      </c>
      <c r="I3686" s="856"/>
      <c r="J3686" s="857"/>
      <c r="K3686" s="1033">
        <f>('Parâmetros financeiros Despesa'!E1974)</f>
        <v>0</v>
      </c>
      <c r="L3686" s="1033">
        <f>('Parâmetros financeiros Despesa'!F1974*(1+'Parâmetros financeiros Despesa'!F$4)*(1+'Parâmetros financeiros Despesa'!F$7))</f>
        <v>1.0903315</v>
      </c>
      <c r="M3686" s="799">
        <f t="shared" si="582"/>
        <v>7.4601294781531338E-6</v>
      </c>
      <c r="N3686" s="796"/>
      <c r="P3686" s="399"/>
    </row>
    <row r="3687" spans="1:16" s="780" customFormat="1" x14ac:dyDescent="0.25">
      <c r="B3687" s="852"/>
      <c r="C3687" s="1031"/>
      <c r="D3687" s="853" t="s">
        <v>9754</v>
      </c>
      <c r="E3687" s="854">
        <v>333903900000000</v>
      </c>
      <c r="F3687" s="855" t="s">
        <v>9620</v>
      </c>
      <c r="G3687" s="468">
        <v>1</v>
      </c>
      <c r="H3687" s="468">
        <v>0</v>
      </c>
      <c r="I3687" s="856"/>
      <c r="J3687" s="857"/>
      <c r="K3687" s="1033">
        <f>('Parâmetros financeiros Despesa'!E1975)</f>
        <v>0</v>
      </c>
      <c r="L3687" s="1033">
        <f>('Parâmetros financeiros Despesa'!F1975*(1+'Parâmetros financeiros Despesa'!F$4)*(1+'Parâmetros financeiros Despesa'!F$7))</f>
        <v>1.0903315</v>
      </c>
      <c r="M3687" s="799">
        <f t="shared" si="582"/>
        <v>7.4601294781531338E-6</v>
      </c>
      <c r="N3687" s="796"/>
      <c r="P3687" s="399"/>
    </row>
    <row r="3688" spans="1:16" s="780" customFormat="1" ht="15.75" customHeight="1" x14ac:dyDescent="0.25">
      <c r="B3688" s="852"/>
      <c r="C3688" s="852"/>
      <c r="D3688" s="853" t="s">
        <v>9755</v>
      </c>
      <c r="E3688" s="854">
        <v>333904700000000</v>
      </c>
      <c r="F3688" s="855" t="s">
        <v>9621</v>
      </c>
      <c r="G3688" s="468">
        <v>1</v>
      </c>
      <c r="H3688" s="468">
        <v>0</v>
      </c>
      <c r="I3688" s="856"/>
      <c r="J3688" s="857"/>
      <c r="K3688" s="1033">
        <f>('Parâmetros financeiros Despesa'!E1976)</f>
        <v>0</v>
      </c>
      <c r="L3688" s="1033">
        <f>('Parâmetros financeiros Despesa'!F1976*(1+'Parâmetros financeiros Despesa'!F$4)*(1+'Parâmetros financeiros Despesa'!F$7))</f>
        <v>0.21806630000000002</v>
      </c>
      <c r="M3688" s="799">
        <f t="shared" si="582"/>
        <v>1.4920258956306269E-6</v>
      </c>
      <c r="N3688" s="796"/>
      <c r="P3688" s="399"/>
    </row>
    <row r="3689" spans="1:16" s="780" customFormat="1" ht="15.75" customHeight="1" x14ac:dyDescent="0.25">
      <c r="B3689" s="852"/>
      <c r="C3689" s="852"/>
      <c r="D3689" s="853" t="s">
        <v>9756</v>
      </c>
      <c r="E3689" s="854">
        <v>333933000000000</v>
      </c>
      <c r="F3689" s="855" t="s">
        <v>9623</v>
      </c>
      <c r="G3689" s="468">
        <v>1</v>
      </c>
      <c r="H3689" s="468">
        <v>0</v>
      </c>
      <c r="I3689" s="856"/>
      <c r="J3689" s="857"/>
      <c r="K3689" s="1033">
        <f>('Parâmetros financeiros Despesa'!E1977)</f>
        <v>0</v>
      </c>
      <c r="L3689" s="1033">
        <f>('Parâmetros financeiros Despesa'!F1977*(1+'Parâmetros financeiros Despesa'!F$4)*(1+'Parâmetros financeiros Despesa'!F$7))</f>
        <v>1.0903315</v>
      </c>
      <c r="M3689" s="799">
        <f t="shared" si="582"/>
        <v>7.4601294781531338E-6</v>
      </c>
      <c r="N3689" s="796"/>
      <c r="P3689" s="399"/>
    </row>
    <row r="3690" spans="1:16" s="780" customFormat="1" ht="15.75" customHeight="1" x14ac:dyDescent="0.25">
      <c r="B3690" s="852"/>
      <c r="C3690" s="852"/>
      <c r="D3690" s="853" t="s">
        <v>9757</v>
      </c>
      <c r="E3690" s="854">
        <v>333933900000000</v>
      </c>
      <c r="F3690" s="855" t="s">
        <v>9622</v>
      </c>
      <c r="G3690" s="468">
        <v>1</v>
      </c>
      <c r="H3690" s="468">
        <v>0</v>
      </c>
      <c r="I3690" s="856"/>
      <c r="J3690" s="857"/>
      <c r="K3690" s="1033">
        <f>('Parâmetros financeiros Despesa'!E1978)</f>
        <v>0</v>
      </c>
      <c r="L3690" s="1033">
        <f>('Parâmetros financeiros Despesa'!F1978*(1+'Parâmetros financeiros Despesa'!F$4)*(1+'Parâmetros financeiros Despesa'!F$7))</f>
        <v>1.0903315</v>
      </c>
      <c r="M3690" s="799">
        <f t="shared" si="582"/>
        <v>7.4601294781531338E-6</v>
      </c>
      <c r="N3690" s="796"/>
      <c r="P3690" s="399"/>
    </row>
    <row r="3691" spans="1:16" s="780" customFormat="1" ht="15" customHeight="1" x14ac:dyDescent="0.25">
      <c r="A3691" s="397"/>
      <c r="B3691" s="1382" t="s">
        <v>7831</v>
      </c>
      <c r="C3691" s="1382"/>
      <c r="D3691" s="1382"/>
      <c r="E3691" s="1382"/>
      <c r="F3691" s="1382"/>
      <c r="G3691" s="405"/>
      <c r="H3691" s="405"/>
      <c r="I3691" s="428"/>
      <c r="J3691" s="413"/>
      <c r="K3691" s="406">
        <f t="shared" ref="K3691:L3693" si="583">K3692</f>
        <v>0</v>
      </c>
      <c r="L3691" s="406">
        <f t="shared" si="583"/>
        <v>3925.1834000000003</v>
      </c>
      <c r="M3691" s="453">
        <f>L3691/L$3718</f>
        <v>2.6856397700605134E-2</v>
      </c>
      <c r="N3691" s="796"/>
      <c r="P3691" s="399"/>
    </row>
    <row r="3692" spans="1:16" s="780" customFormat="1" ht="15" customHeight="1" x14ac:dyDescent="0.25">
      <c r="A3692" s="397"/>
      <c r="B3692" s="1383" t="s">
        <v>9584</v>
      </c>
      <c r="C3692" s="1383"/>
      <c r="D3692" s="1383"/>
      <c r="E3692" s="1383"/>
      <c r="F3692" s="1383"/>
      <c r="G3692" s="407"/>
      <c r="H3692" s="407"/>
      <c r="I3692" s="429"/>
      <c r="J3692" s="414"/>
      <c r="K3692" s="408">
        <f t="shared" si="583"/>
        <v>0</v>
      </c>
      <c r="L3692" s="408">
        <f t="shared" si="583"/>
        <v>3925.1834000000003</v>
      </c>
      <c r="M3692" s="454">
        <f>L3692/L$3718</f>
        <v>2.6856397700605134E-2</v>
      </c>
      <c r="N3692" s="796"/>
      <c r="P3692" s="399"/>
    </row>
    <row r="3693" spans="1:16" s="780" customFormat="1" ht="15" customHeight="1" x14ac:dyDescent="0.25">
      <c r="A3693" s="397"/>
      <c r="B3693" s="1385" t="s">
        <v>9489</v>
      </c>
      <c r="C3693" s="1385"/>
      <c r="D3693" s="1385"/>
      <c r="E3693" s="1385"/>
      <c r="F3693" s="1385"/>
      <c r="G3693" s="401"/>
      <c r="H3693" s="401"/>
      <c r="I3693" s="426"/>
      <c r="J3693" s="411"/>
      <c r="K3693" s="402">
        <f t="shared" si="583"/>
        <v>0</v>
      </c>
      <c r="L3693" s="402">
        <f t="shared" si="583"/>
        <v>3925.1834000000003</v>
      </c>
      <c r="M3693" s="451">
        <f>L3693/L$3718</f>
        <v>2.6856397700605134E-2</v>
      </c>
      <c r="N3693" s="796"/>
      <c r="P3693" s="399"/>
    </row>
    <row r="3694" spans="1:16" s="780" customFormat="1" ht="15" customHeight="1" x14ac:dyDescent="0.25">
      <c r="A3694" s="397"/>
      <c r="B3694" s="1386" t="s">
        <v>9557</v>
      </c>
      <c r="C3694" s="1386"/>
      <c r="D3694" s="1386"/>
      <c r="E3694" s="1386"/>
      <c r="F3694" s="1386"/>
      <c r="G3694" s="403"/>
      <c r="H3694" s="403"/>
      <c r="I3694" s="427"/>
      <c r="J3694" s="412"/>
      <c r="K3694" s="404">
        <f>SUM(K3695:K3702)</f>
        <v>0</v>
      </c>
      <c r="L3694" s="404">
        <f>SUM(L3695:L3702)-0.01</f>
        <v>3925.1834000000003</v>
      </c>
      <c r="M3694" s="452">
        <f>L3694/L$3718</f>
        <v>2.6856397700605134E-2</v>
      </c>
      <c r="N3694" s="796"/>
      <c r="P3694" s="399"/>
    </row>
    <row r="3695" spans="1:16" s="780" customFormat="1" x14ac:dyDescent="0.25">
      <c r="B3695" s="1035"/>
      <c r="C3695" s="1031"/>
      <c r="D3695" s="853" t="s">
        <v>9758</v>
      </c>
      <c r="E3695" s="854">
        <v>333900800000000</v>
      </c>
      <c r="F3695" s="855" t="s">
        <v>9610</v>
      </c>
      <c r="G3695" s="468">
        <v>1</v>
      </c>
      <c r="H3695" s="468">
        <v>0</v>
      </c>
      <c r="I3695" s="856"/>
      <c r="J3695" s="857"/>
      <c r="K3695" s="1033">
        <f>('Parâmetros financeiros Despesa'!E1980)</f>
        <v>0</v>
      </c>
      <c r="L3695" s="1033">
        <f>('Parâmetros financeiros Despesa'!F1980*(1+'Parâmetros financeiros Despesa'!F$4)*(1+'Parâmetros financeiros Despesa'!F$7))</f>
        <v>545.16575</v>
      </c>
      <c r="M3695" s="799">
        <f t="shared" ref="M3695:M3702" si="584">L3695/L$3718</f>
        <v>3.7300647390765668E-3</v>
      </c>
      <c r="N3695" s="894"/>
      <c r="O3695" s="796"/>
      <c r="P3695" s="399"/>
    </row>
    <row r="3696" spans="1:16" s="780" customFormat="1" x14ac:dyDescent="0.25">
      <c r="B3696" s="1031"/>
      <c r="C3696" s="1031"/>
      <c r="D3696" s="853" t="s">
        <v>9759</v>
      </c>
      <c r="E3696" s="854">
        <v>333903000000000</v>
      </c>
      <c r="F3696" s="855" t="s">
        <v>9766</v>
      </c>
      <c r="G3696" s="468">
        <v>1</v>
      </c>
      <c r="H3696" s="468">
        <v>0</v>
      </c>
      <c r="I3696" s="856"/>
      <c r="J3696" s="857"/>
      <c r="K3696" s="1033">
        <f>('Parâmetros financeiros Despesa'!E1981)</f>
        <v>0</v>
      </c>
      <c r="L3696" s="1033">
        <f>('Parâmetros financeiros Despesa'!F1981*(1+'Parâmetros financeiros Despesa'!F$4)*(1+'Parâmetros financeiros Despesa'!F$7))</f>
        <v>545.16575</v>
      </c>
      <c r="M3696" s="799">
        <f t="shared" si="584"/>
        <v>3.7300647390765668E-3</v>
      </c>
      <c r="N3696" s="894"/>
      <c r="O3696" s="796"/>
      <c r="P3696" s="399"/>
    </row>
    <row r="3697" spans="1:16" s="780" customFormat="1" x14ac:dyDescent="0.25">
      <c r="B3697" s="852"/>
      <c r="C3697" s="1031"/>
      <c r="D3697" s="853" t="s">
        <v>9760</v>
      </c>
      <c r="E3697" s="854">
        <v>333903200000000</v>
      </c>
      <c r="F3697" s="855" t="s">
        <v>9611</v>
      </c>
      <c r="G3697" s="468">
        <v>1</v>
      </c>
      <c r="H3697" s="468">
        <v>0</v>
      </c>
      <c r="I3697" s="856"/>
      <c r="J3697" s="857"/>
      <c r="K3697" s="1033">
        <f>('Parâmetros financeiros Despesa'!E1982)</f>
        <v>0</v>
      </c>
      <c r="L3697" s="1033">
        <f>('Parâmetros financeiros Despesa'!F1982*(1+'Parâmetros financeiros Despesa'!F$4)*(1+'Parâmetros financeiros Despesa'!F$7))</f>
        <v>545.16575</v>
      </c>
      <c r="M3697" s="799">
        <f t="shared" si="584"/>
        <v>3.7300647390765668E-3</v>
      </c>
      <c r="N3697" s="894"/>
      <c r="O3697" s="796"/>
      <c r="P3697" s="399"/>
    </row>
    <row r="3698" spans="1:16" s="780" customFormat="1" x14ac:dyDescent="0.25">
      <c r="B3698" s="1031"/>
      <c r="C3698" s="1031"/>
      <c r="D3698" s="853" t="s">
        <v>9761</v>
      </c>
      <c r="E3698" s="854">
        <v>333903600000000</v>
      </c>
      <c r="F3698" s="855" t="s">
        <v>9767</v>
      </c>
      <c r="G3698" s="468">
        <v>1</v>
      </c>
      <c r="H3698" s="468">
        <v>0</v>
      </c>
      <c r="I3698" s="856"/>
      <c r="J3698" s="857"/>
      <c r="K3698" s="1033">
        <f>('Parâmetros financeiros Despesa'!E1983)</f>
        <v>0</v>
      </c>
      <c r="L3698" s="1033">
        <f>('Parâmetros financeiros Despesa'!F1983*(1+'Parâmetros financeiros Despesa'!F$4)*(1+'Parâmetros financeiros Despesa'!F$7))</f>
        <v>545.16575</v>
      </c>
      <c r="M3698" s="799">
        <f t="shared" si="584"/>
        <v>3.7300647390765668E-3</v>
      </c>
      <c r="N3698" s="894"/>
      <c r="O3698" s="796"/>
      <c r="P3698" s="399"/>
    </row>
    <row r="3699" spans="1:16" s="780" customFormat="1" x14ac:dyDescent="0.25">
      <c r="B3699" s="852"/>
      <c r="C3699" s="1031"/>
      <c r="D3699" s="853" t="s">
        <v>9762</v>
      </c>
      <c r="E3699" s="854">
        <v>333903900000000</v>
      </c>
      <c r="F3699" s="855" t="s">
        <v>9612</v>
      </c>
      <c r="G3699" s="468">
        <v>1</v>
      </c>
      <c r="H3699" s="468">
        <v>0</v>
      </c>
      <c r="I3699" s="856"/>
      <c r="J3699" s="857"/>
      <c r="K3699" s="1033">
        <f>('Parâmetros financeiros Despesa'!E1984)</f>
        <v>0</v>
      </c>
      <c r="L3699" s="1033">
        <f>('Parâmetros financeiros Despesa'!F1985*(1+'Parâmetros financeiros Despesa'!F$4)*(1+'Parâmetros financeiros Despesa'!F$7))</f>
        <v>545.16575</v>
      </c>
      <c r="M3699" s="799">
        <f t="shared" si="584"/>
        <v>3.7300647390765668E-3</v>
      </c>
      <c r="N3699" s="894"/>
      <c r="O3699" s="796"/>
      <c r="P3699" s="399"/>
    </row>
    <row r="3700" spans="1:16" s="780" customFormat="1" ht="15.75" customHeight="1" x14ac:dyDescent="0.25">
      <c r="B3700" s="852"/>
      <c r="C3700" s="852"/>
      <c r="D3700" s="853" t="s">
        <v>9763</v>
      </c>
      <c r="E3700" s="854">
        <v>333904700000000</v>
      </c>
      <c r="F3700" s="855" t="s">
        <v>9613</v>
      </c>
      <c r="G3700" s="468">
        <v>1</v>
      </c>
      <c r="H3700" s="468">
        <v>0</v>
      </c>
      <c r="I3700" s="856"/>
      <c r="J3700" s="857"/>
      <c r="K3700" s="1033">
        <f>('Parâmetros financeiros Despesa'!E1985)</f>
        <v>0</v>
      </c>
      <c r="L3700" s="1033">
        <f>('Parâmetros financeiros Despesa'!F1984*(1+'Parâmetros financeiros Despesa'!F$4)*(1+'Parâmetros financeiros Despesa'!F$7))</f>
        <v>109.03315000000001</v>
      </c>
      <c r="M3700" s="799">
        <f t="shared" si="584"/>
        <v>7.4601294781531343E-4</v>
      </c>
      <c r="N3700" s="894"/>
      <c r="O3700" s="796"/>
      <c r="P3700" s="399"/>
    </row>
    <row r="3701" spans="1:16" s="780" customFormat="1" ht="15.75" customHeight="1" x14ac:dyDescent="0.25">
      <c r="B3701" s="852"/>
      <c r="C3701" s="852"/>
      <c r="D3701" s="853" t="s">
        <v>9764</v>
      </c>
      <c r="E3701" s="854">
        <v>333933000000000</v>
      </c>
      <c r="F3701" s="855" t="s">
        <v>9614</v>
      </c>
      <c r="G3701" s="468">
        <v>1</v>
      </c>
      <c r="H3701" s="468">
        <v>0</v>
      </c>
      <c r="I3701" s="856"/>
      <c r="J3701" s="857"/>
      <c r="K3701" s="1033">
        <f>('Parâmetros financeiros Despesa'!E1986)</f>
        <v>0</v>
      </c>
      <c r="L3701" s="1033">
        <f>('Parâmetros financeiros Despesa'!F1986*(1+'Parâmetros financeiros Despesa'!F$4)*(1+'Parâmetros financeiros Despesa'!F$7))</f>
        <v>545.16575</v>
      </c>
      <c r="M3701" s="799">
        <f t="shared" si="584"/>
        <v>3.7300647390765668E-3</v>
      </c>
      <c r="N3701" s="894"/>
      <c r="O3701" s="796"/>
      <c r="P3701" s="399"/>
    </row>
    <row r="3702" spans="1:16" s="780" customFormat="1" ht="15.75" customHeight="1" x14ac:dyDescent="0.25">
      <c r="B3702" s="852"/>
      <c r="C3702" s="852"/>
      <c r="D3702" s="853" t="s">
        <v>9765</v>
      </c>
      <c r="E3702" s="854">
        <v>333933900000000</v>
      </c>
      <c r="F3702" s="855" t="s">
        <v>9615</v>
      </c>
      <c r="G3702" s="468">
        <v>1</v>
      </c>
      <c r="H3702" s="468">
        <v>0</v>
      </c>
      <c r="I3702" s="856"/>
      <c r="J3702" s="857"/>
      <c r="K3702" s="1033">
        <f>('Parâmetros financeiros Despesa'!E1987)</f>
        <v>0</v>
      </c>
      <c r="L3702" s="1033">
        <f>('Parâmetros financeiros Despesa'!F1987*(1+'Parâmetros financeiros Despesa'!F$4)*(1+'Parâmetros financeiros Despesa'!F$7))</f>
        <v>545.16575</v>
      </c>
      <c r="M3702" s="799">
        <f t="shared" si="584"/>
        <v>3.7300647390765668E-3</v>
      </c>
      <c r="N3702" s="894"/>
      <c r="O3702" s="796"/>
      <c r="P3702" s="399"/>
    </row>
    <row r="3703" spans="1:16" s="780" customFormat="1" ht="15" customHeight="1" x14ac:dyDescent="0.25">
      <c r="A3703" s="397"/>
      <c r="B3703" s="1382" t="s">
        <v>7831</v>
      </c>
      <c r="C3703" s="1382"/>
      <c r="D3703" s="1382"/>
      <c r="E3703" s="1382"/>
      <c r="F3703" s="1382"/>
      <c r="G3703" s="405"/>
      <c r="H3703" s="405"/>
      <c r="I3703" s="428"/>
      <c r="J3703" s="413"/>
      <c r="K3703" s="406">
        <f t="shared" ref="K3703:L3705" si="585">K3704</f>
        <v>0</v>
      </c>
      <c r="L3703" s="406">
        <f t="shared" si="585"/>
        <v>3925.1834000000003</v>
      </c>
      <c r="M3703" s="453">
        <f>L3703/L$3718</f>
        <v>2.6856397700605134E-2</v>
      </c>
      <c r="N3703" s="796"/>
      <c r="P3703" s="399"/>
    </row>
    <row r="3704" spans="1:16" s="780" customFormat="1" ht="15" customHeight="1" x14ac:dyDescent="0.25">
      <c r="A3704" s="397"/>
      <c r="B3704" s="1383" t="s">
        <v>9584</v>
      </c>
      <c r="C3704" s="1383"/>
      <c r="D3704" s="1383"/>
      <c r="E3704" s="1383"/>
      <c r="F3704" s="1383"/>
      <c r="G3704" s="407"/>
      <c r="H3704" s="407"/>
      <c r="I3704" s="429"/>
      <c r="J3704" s="414"/>
      <c r="K3704" s="408">
        <f t="shared" si="585"/>
        <v>0</v>
      </c>
      <c r="L3704" s="408">
        <f t="shared" si="585"/>
        <v>3925.1834000000003</v>
      </c>
      <c r="M3704" s="454">
        <f>L3704/L$3718</f>
        <v>2.6856397700605134E-2</v>
      </c>
      <c r="N3704" s="796"/>
      <c r="P3704" s="399"/>
    </row>
    <row r="3705" spans="1:16" s="780" customFormat="1" ht="15" customHeight="1" x14ac:dyDescent="0.25">
      <c r="A3705" s="397"/>
      <c r="B3705" s="1385" t="s">
        <v>9489</v>
      </c>
      <c r="C3705" s="1385"/>
      <c r="D3705" s="1385"/>
      <c r="E3705" s="1385"/>
      <c r="F3705" s="1385"/>
      <c r="G3705" s="401"/>
      <c r="H3705" s="401"/>
      <c r="I3705" s="426"/>
      <c r="J3705" s="411"/>
      <c r="K3705" s="402">
        <f t="shared" si="585"/>
        <v>0</v>
      </c>
      <c r="L3705" s="402">
        <f t="shared" si="585"/>
        <v>3925.1834000000003</v>
      </c>
      <c r="M3705" s="451">
        <f>L3705/L$3718</f>
        <v>2.6856397700605134E-2</v>
      </c>
      <c r="N3705" s="796"/>
      <c r="P3705" s="399"/>
    </row>
    <row r="3706" spans="1:16" s="780" customFormat="1" ht="15" customHeight="1" x14ac:dyDescent="0.25">
      <c r="A3706" s="397"/>
      <c r="B3706" s="1386" t="s">
        <v>9558</v>
      </c>
      <c r="C3706" s="1386"/>
      <c r="D3706" s="1386"/>
      <c r="E3706" s="1386"/>
      <c r="F3706" s="1386"/>
      <c r="G3706" s="403"/>
      <c r="H3706" s="403"/>
      <c r="I3706" s="427"/>
      <c r="J3706" s="412"/>
      <c r="K3706" s="404">
        <f>SUM(K3707:K3714)</f>
        <v>0</v>
      </c>
      <c r="L3706" s="404">
        <f>SUM(L3707:L3714)-0.01</f>
        <v>3925.1834000000003</v>
      </c>
      <c r="M3706" s="452">
        <f>L3706/L$3718</f>
        <v>2.6856397700605134E-2</v>
      </c>
      <c r="N3706" s="796"/>
      <c r="P3706" s="399"/>
    </row>
    <row r="3707" spans="1:16" s="780" customFormat="1" x14ac:dyDescent="0.25">
      <c r="B3707" s="1031"/>
      <c r="C3707" s="1031"/>
      <c r="D3707" s="853" t="s">
        <v>9768</v>
      </c>
      <c r="E3707" s="854">
        <v>333903000000000</v>
      </c>
      <c r="F3707" s="855" t="s">
        <v>9602</v>
      </c>
      <c r="G3707" s="468">
        <v>1</v>
      </c>
      <c r="H3707" s="468">
        <v>0</v>
      </c>
      <c r="I3707" s="856"/>
      <c r="J3707" s="857"/>
      <c r="K3707" s="1033">
        <f>('Parâmetros financeiros Despesa'!E1989)</f>
        <v>0</v>
      </c>
      <c r="L3707" s="1033">
        <f>('Parâmetros financeiros Despesa'!F1989*(1+'Parâmetros financeiros Despesa'!F$4)*(1+'Parâmetros financeiros Despesa'!F$7))</f>
        <v>545.16575</v>
      </c>
      <c r="M3707" s="799">
        <f t="shared" ref="M3707:M3714" si="586">L3707/L$3718</f>
        <v>3.7300647390765668E-3</v>
      </c>
      <c r="N3707" s="894"/>
      <c r="O3707" s="796"/>
      <c r="P3707" s="399"/>
    </row>
    <row r="3708" spans="1:16" s="780" customFormat="1" x14ac:dyDescent="0.25">
      <c r="B3708" s="852"/>
      <c r="C3708" s="1031"/>
      <c r="D3708" s="853" t="s">
        <v>9769</v>
      </c>
      <c r="E3708" s="854">
        <v>333903200000000</v>
      </c>
      <c r="F3708" s="855" t="s">
        <v>9603</v>
      </c>
      <c r="G3708" s="468">
        <v>1</v>
      </c>
      <c r="H3708" s="468">
        <v>0</v>
      </c>
      <c r="I3708" s="856"/>
      <c r="J3708" s="857"/>
      <c r="K3708" s="1033">
        <f>('Parâmetros financeiros Despesa'!E1990)</f>
        <v>0</v>
      </c>
      <c r="L3708" s="1033">
        <f>('Parâmetros financeiros Despesa'!F1990*(1+'Parâmetros financeiros Despesa'!F$4)*(1+'Parâmetros financeiros Despesa'!F$7))</f>
        <v>545.16575</v>
      </c>
      <c r="M3708" s="799">
        <f t="shared" si="586"/>
        <v>3.7300647390765668E-3</v>
      </c>
      <c r="N3708" s="894"/>
      <c r="O3708" s="796"/>
      <c r="P3708" s="399"/>
    </row>
    <row r="3709" spans="1:16" s="780" customFormat="1" x14ac:dyDescent="0.25">
      <c r="B3709" s="1031"/>
      <c r="C3709" s="1031"/>
      <c r="D3709" s="853" t="s">
        <v>9770</v>
      </c>
      <c r="E3709" s="854">
        <v>333903600000000</v>
      </c>
      <c r="F3709" s="855" t="s">
        <v>9604</v>
      </c>
      <c r="G3709" s="468">
        <v>1</v>
      </c>
      <c r="H3709" s="468">
        <v>0</v>
      </c>
      <c r="I3709" s="856"/>
      <c r="J3709" s="857"/>
      <c r="K3709" s="1033">
        <f>('Parâmetros financeiros Despesa'!E1991)</f>
        <v>0</v>
      </c>
      <c r="L3709" s="1033">
        <f>('Parâmetros financeiros Despesa'!F1991*(1+'Parâmetros financeiros Despesa'!F$4)*(1+'Parâmetros financeiros Despesa'!F$7))</f>
        <v>545.16575</v>
      </c>
      <c r="M3709" s="799">
        <f t="shared" si="586"/>
        <v>3.7300647390765668E-3</v>
      </c>
      <c r="N3709" s="894"/>
      <c r="O3709" s="796"/>
      <c r="P3709" s="399"/>
    </row>
    <row r="3710" spans="1:16" s="780" customFormat="1" x14ac:dyDescent="0.25">
      <c r="B3710" s="852"/>
      <c r="C3710" s="1031"/>
      <c r="D3710" s="853" t="s">
        <v>9771</v>
      </c>
      <c r="E3710" s="854">
        <v>333903900000000</v>
      </c>
      <c r="F3710" s="855" t="s">
        <v>9605</v>
      </c>
      <c r="G3710" s="468">
        <v>1</v>
      </c>
      <c r="H3710" s="468">
        <v>0</v>
      </c>
      <c r="I3710" s="856"/>
      <c r="J3710" s="857"/>
      <c r="K3710" s="1033">
        <f>('Parâmetros financeiros Despesa'!E1992)</f>
        <v>0</v>
      </c>
      <c r="L3710" s="1033">
        <f>('Parâmetros financeiros Despesa'!F1992*(1+'Parâmetros financeiros Despesa'!F$4)*(1+'Parâmetros financeiros Despesa'!F$7))</f>
        <v>545.16575</v>
      </c>
      <c r="M3710" s="799">
        <f t="shared" si="586"/>
        <v>3.7300647390765668E-3</v>
      </c>
      <c r="N3710" s="894"/>
      <c r="O3710" s="796"/>
      <c r="P3710" s="399"/>
    </row>
    <row r="3711" spans="1:16" s="780" customFormat="1" ht="15.75" customHeight="1" x14ac:dyDescent="0.25">
      <c r="B3711" s="852"/>
      <c r="C3711" s="852"/>
      <c r="D3711" s="853" t="s">
        <v>9772</v>
      </c>
      <c r="E3711" s="854">
        <v>333904700000000</v>
      </c>
      <c r="F3711" s="855" t="s">
        <v>9606</v>
      </c>
      <c r="G3711" s="468">
        <v>1</v>
      </c>
      <c r="H3711" s="468">
        <v>0</v>
      </c>
      <c r="I3711" s="856"/>
      <c r="J3711" s="857"/>
      <c r="K3711" s="1033">
        <f>('Parâmetros financeiros Despesa'!E1993)</f>
        <v>0</v>
      </c>
      <c r="L3711" s="1033">
        <f>('Parâmetros financeiros Despesa'!F1993*(1+'Parâmetros financeiros Despesa'!F$4)*(1+'Parâmetros financeiros Despesa'!F$7))</f>
        <v>109.03315000000001</v>
      </c>
      <c r="M3711" s="799">
        <f t="shared" si="586"/>
        <v>7.4601294781531343E-4</v>
      </c>
      <c r="N3711" s="894"/>
      <c r="O3711" s="796"/>
      <c r="P3711" s="399"/>
    </row>
    <row r="3712" spans="1:16" s="780" customFormat="1" ht="15.75" customHeight="1" x14ac:dyDescent="0.25">
      <c r="B3712" s="852"/>
      <c r="C3712" s="852"/>
      <c r="D3712" s="853" t="s">
        <v>9773</v>
      </c>
      <c r="E3712" s="854">
        <v>333933000000000</v>
      </c>
      <c r="F3712" s="855" t="s">
        <v>9607</v>
      </c>
      <c r="G3712" s="468">
        <v>1</v>
      </c>
      <c r="H3712" s="468">
        <v>0</v>
      </c>
      <c r="I3712" s="856"/>
      <c r="J3712" s="857"/>
      <c r="K3712" s="1033">
        <f>('Parâmetros financeiros Despesa'!E1994)</f>
        <v>0</v>
      </c>
      <c r="L3712" s="1033">
        <f>('Parâmetros financeiros Despesa'!F1994*(1+'Parâmetros financeiros Despesa'!F$4)*(1+'Parâmetros financeiros Despesa'!F$7))</f>
        <v>545.16575</v>
      </c>
      <c r="M3712" s="799">
        <f t="shared" si="586"/>
        <v>3.7300647390765668E-3</v>
      </c>
      <c r="N3712" s="894"/>
      <c r="O3712" s="796"/>
      <c r="P3712" s="399"/>
    </row>
    <row r="3713" spans="1:16" s="780" customFormat="1" ht="15.75" customHeight="1" x14ac:dyDescent="0.25">
      <c r="B3713" s="852"/>
      <c r="C3713" s="852"/>
      <c r="D3713" s="853" t="s">
        <v>9774</v>
      </c>
      <c r="E3713" s="854">
        <v>333933900000000</v>
      </c>
      <c r="F3713" s="855" t="s">
        <v>9608</v>
      </c>
      <c r="G3713" s="468">
        <v>1</v>
      </c>
      <c r="H3713" s="468">
        <v>0</v>
      </c>
      <c r="I3713" s="856"/>
      <c r="J3713" s="857"/>
      <c r="K3713" s="1033">
        <f>('Parâmetros financeiros Despesa'!E1995)</f>
        <v>0</v>
      </c>
      <c r="L3713" s="1033">
        <f>('Parâmetros financeiros Despesa'!F1995*(1+'Parâmetros financeiros Despesa'!F$4)*(1+'Parâmetros financeiros Despesa'!F$7))</f>
        <v>545.16575</v>
      </c>
      <c r="M3713" s="799">
        <f t="shared" si="586"/>
        <v>3.7300647390765668E-3</v>
      </c>
      <c r="N3713" s="894"/>
      <c r="O3713" s="796"/>
      <c r="P3713" s="399"/>
    </row>
    <row r="3714" spans="1:16" s="780" customFormat="1" ht="15.75" customHeight="1" x14ac:dyDescent="0.25">
      <c r="B3714" s="852"/>
      <c r="C3714" s="852"/>
      <c r="D3714" s="853" t="s">
        <v>9775</v>
      </c>
      <c r="E3714" s="854">
        <v>344905200000000</v>
      </c>
      <c r="F3714" s="855" t="s">
        <v>9609</v>
      </c>
      <c r="G3714" s="468">
        <v>1</v>
      </c>
      <c r="H3714" s="468">
        <v>0</v>
      </c>
      <c r="I3714" s="856"/>
      <c r="J3714" s="857"/>
      <c r="K3714" s="1033">
        <f>('Parâmetros financeiros Despesa'!E1996)</f>
        <v>0</v>
      </c>
      <c r="L3714" s="1033">
        <f>('Parâmetros financeiros Despesa'!F1996*(1+'Parâmetros financeiros Despesa'!F$4)*(1+'Parâmetros financeiros Despesa'!F$7))</f>
        <v>545.16575</v>
      </c>
      <c r="M3714" s="799">
        <f t="shared" si="586"/>
        <v>3.7300647390765668E-3</v>
      </c>
      <c r="N3714" s="894"/>
      <c r="O3714" s="796"/>
      <c r="P3714" s="399"/>
    </row>
    <row r="3715" spans="1:16" s="115" customFormat="1" ht="16.5" customHeight="1" x14ac:dyDescent="0.25">
      <c r="A3715" s="396"/>
      <c r="B3715" s="1395" t="s">
        <v>2172</v>
      </c>
      <c r="C3715" s="1395"/>
      <c r="D3715" s="1395"/>
      <c r="E3715" s="1395"/>
      <c r="F3715" s="1395"/>
      <c r="G3715" s="1395"/>
      <c r="H3715" s="1395"/>
      <c r="I3715" s="1395"/>
      <c r="J3715" s="1395"/>
      <c r="K3715" s="1023">
        <f>K3706+K3694+K3682+K3672+K3666+K3654+K3643+K3636+K3626+K3615+K3602+K3596+K3590</f>
        <v>59038.740000000005</v>
      </c>
      <c r="L3715" s="1023">
        <f>L3706+L3694+L3682+L3672+L3666+L3654+L3643+L3636+L3626+L3615+L3602+L3596+L3590+0.01</f>
        <v>146154.50082910998</v>
      </c>
      <c r="M3715" s="452">
        <f>L3715/L$3718</f>
        <v>1</v>
      </c>
      <c r="N3715" s="894"/>
      <c r="P3715" s="733"/>
    </row>
    <row r="3716" spans="1:16" s="820" customFormat="1" ht="15" customHeight="1" x14ac:dyDescent="0.25">
      <c r="B3716" s="864" t="s">
        <v>11469</v>
      </c>
      <c r="C3716" s="864"/>
      <c r="D3716" s="864"/>
      <c r="E3716" s="864"/>
      <c r="F3716" s="864"/>
      <c r="G3716" s="864"/>
      <c r="H3716" s="864"/>
      <c r="I3716" s="864"/>
      <c r="J3716" s="864"/>
      <c r="K3716" s="863"/>
      <c r="L3716" s="863"/>
      <c r="M3716" s="452"/>
      <c r="N3716" s="796"/>
      <c r="P3716" s="399"/>
    </row>
    <row r="3717" spans="1:16" s="820" customFormat="1" ht="15" customHeight="1" x14ac:dyDescent="0.25">
      <c r="B3717" s="869" t="s">
        <v>745</v>
      </c>
      <c r="C3717" s="869"/>
      <c r="D3717" s="869"/>
      <c r="E3717" s="869"/>
      <c r="F3717" s="869"/>
      <c r="G3717" s="869"/>
      <c r="H3717" s="869"/>
      <c r="I3717" s="869"/>
      <c r="J3717" s="869"/>
      <c r="K3717" s="870">
        <f>K3715</f>
        <v>59038.740000000005</v>
      </c>
      <c r="L3717" s="870">
        <f>L3715</f>
        <v>146154.50082910998</v>
      </c>
      <c r="M3717" s="871">
        <f>L3717/L$3718</f>
        <v>1</v>
      </c>
      <c r="N3717" s="796"/>
      <c r="P3717" s="399"/>
    </row>
    <row r="3718" spans="1:16" s="115" customFormat="1" ht="15" customHeight="1" x14ac:dyDescent="0.25">
      <c r="B3718" s="864" t="s">
        <v>2172</v>
      </c>
      <c r="C3718" s="864"/>
      <c r="D3718" s="864"/>
      <c r="E3718" s="864"/>
      <c r="F3718" s="864"/>
      <c r="G3718" s="864"/>
      <c r="H3718" s="864"/>
      <c r="I3718" s="864"/>
      <c r="J3718" s="864"/>
      <c r="K3718" s="863">
        <f>SUM(K3717:K3717)</f>
        <v>59038.740000000005</v>
      </c>
      <c r="L3718" s="863">
        <f>SUM(L3717:L3717)</f>
        <v>146154.50082910998</v>
      </c>
      <c r="M3718" s="452">
        <f>L3718/L$3718</f>
        <v>1</v>
      </c>
      <c r="O3718" s="796"/>
      <c r="P3718" s="733"/>
    </row>
    <row r="3720" spans="1:16" s="435" customFormat="1" ht="15" customHeight="1" x14ac:dyDescent="0.25">
      <c r="B3720" s="777" t="s">
        <v>989</v>
      </c>
      <c r="C3720" s="777"/>
      <c r="D3720" s="481"/>
      <c r="E3720" s="1371" t="s">
        <v>9486</v>
      </c>
      <c r="F3720" s="1371"/>
      <c r="G3720" s="1371"/>
      <c r="H3720" s="1371"/>
      <c r="I3720" s="1371"/>
      <c r="J3720" s="437"/>
      <c r="K3720" s="940"/>
      <c r="L3720" s="438"/>
      <c r="M3720" s="449"/>
      <c r="N3720" s="892"/>
      <c r="P3720" s="732"/>
    </row>
    <row r="3721" spans="1:16" s="435" customFormat="1" ht="15" customHeight="1" x14ac:dyDescent="0.25">
      <c r="B3721" s="777" t="s">
        <v>458</v>
      </c>
      <c r="C3721" s="777"/>
      <c r="D3721" s="481"/>
      <c r="E3721" s="1371" t="s">
        <v>9630</v>
      </c>
      <c r="F3721" s="1371"/>
      <c r="G3721" s="1371"/>
      <c r="H3721" s="1371"/>
      <c r="I3721" s="1371"/>
      <c r="J3721" s="437"/>
      <c r="K3721" s="940"/>
      <c r="L3721" s="438"/>
      <c r="M3721" s="449"/>
      <c r="N3721" s="892"/>
      <c r="P3721" s="732"/>
    </row>
    <row r="3722" spans="1:16" s="435" customFormat="1" ht="15" customHeight="1" x14ac:dyDescent="0.25">
      <c r="B3722" s="779" t="s">
        <v>5764</v>
      </c>
      <c r="C3722" s="779"/>
      <c r="D3722" s="779"/>
      <c r="E3722" s="1371" t="s">
        <v>749</v>
      </c>
      <c r="F3722" s="1371"/>
      <c r="G3722" s="1371"/>
      <c r="H3722" s="1371"/>
      <c r="I3722" s="1371"/>
      <c r="J3722" s="440"/>
      <c r="K3722" s="941"/>
      <c r="L3722" s="438"/>
      <c r="M3722" s="449"/>
      <c r="N3722" s="892"/>
      <c r="P3722" s="732"/>
    </row>
    <row r="3723" spans="1:16" s="851" customFormat="1" ht="113.25" customHeight="1" x14ac:dyDescent="0.25">
      <c r="A3723" s="396"/>
      <c r="B3723" s="1400" t="s">
        <v>2296</v>
      </c>
      <c r="C3723" s="1400"/>
      <c r="D3723" s="1400"/>
      <c r="E3723" s="1384" t="s">
        <v>2297</v>
      </c>
      <c r="F3723" s="1384"/>
      <c r="G3723" s="443" t="s">
        <v>444</v>
      </c>
      <c r="H3723" s="443" t="s">
        <v>2245</v>
      </c>
      <c r="I3723" s="444" t="s">
        <v>5725</v>
      </c>
      <c r="J3723" s="849" t="s">
        <v>2275</v>
      </c>
      <c r="K3723" s="893" t="s">
        <v>11644</v>
      </c>
      <c r="L3723" s="979" t="s">
        <v>11522</v>
      </c>
      <c r="M3723" s="450" t="s">
        <v>235</v>
      </c>
      <c r="N3723" s="796"/>
      <c r="P3723" s="399"/>
    </row>
    <row r="3724" spans="1:16" s="780" customFormat="1" ht="15" customHeight="1" x14ac:dyDescent="0.25">
      <c r="A3724" s="397"/>
      <c r="B3724" s="1382" t="s">
        <v>7831</v>
      </c>
      <c r="C3724" s="1382"/>
      <c r="D3724" s="1382"/>
      <c r="E3724" s="1382"/>
      <c r="F3724" s="1382"/>
      <c r="G3724" s="405"/>
      <c r="H3724" s="405"/>
      <c r="I3724" s="428"/>
      <c r="J3724" s="413"/>
      <c r="K3724" s="406">
        <f t="shared" ref="K3724:L3726" si="587">K3725</f>
        <v>0</v>
      </c>
      <c r="L3724" s="406">
        <f t="shared" si="587"/>
        <v>12060.619999999999</v>
      </c>
      <c r="M3724" s="453">
        <f>L3724/L$3764</f>
        <v>0.97212890121227735</v>
      </c>
      <c r="N3724" s="796"/>
      <c r="P3724" s="399"/>
    </row>
    <row r="3725" spans="1:16" s="780" customFormat="1" ht="15" customHeight="1" x14ac:dyDescent="0.25">
      <c r="A3725" s="397"/>
      <c r="B3725" s="1383" t="s">
        <v>9584</v>
      </c>
      <c r="C3725" s="1383"/>
      <c r="D3725" s="1383"/>
      <c r="E3725" s="1383"/>
      <c r="F3725" s="1383"/>
      <c r="G3725" s="407"/>
      <c r="H3725" s="407"/>
      <c r="I3725" s="429"/>
      <c r="J3725" s="414"/>
      <c r="K3725" s="408">
        <f t="shared" si="587"/>
        <v>0</v>
      </c>
      <c r="L3725" s="408">
        <f t="shared" si="587"/>
        <v>12060.619999999999</v>
      </c>
      <c r="M3725" s="454">
        <f>L3725/L$3764</f>
        <v>0.97212890121227735</v>
      </c>
      <c r="N3725" s="796"/>
      <c r="P3725" s="399"/>
    </row>
    <row r="3726" spans="1:16" s="780" customFormat="1" ht="15" customHeight="1" x14ac:dyDescent="0.25">
      <c r="A3726" s="397"/>
      <c r="B3726" s="1385" t="s">
        <v>9489</v>
      </c>
      <c r="C3726" s="1385"/>
      <c r="D3726" s="1385"/>
      <c r="E3726" s="1385"/>
      <c r="F3726" s="1385"/>
      <c r="G3726" s="401"/>
      <c r="H3726" s="401"/>
      <c r="I3726" s="426"/>
      <c r="J3726" s="411"/>
      <c r="K3726" s="402">
        <f t="shared" si="587"/>
        <v>0</v>
      </c>
      <c r="L3726" s="402">
        <f t="shared" si="587"/>
        <v>12060.619999999999</v>
      </c>
      <c r="M3726" s="451">
        <f>L3726/L$3764</f>
        <v>0.97212890121227735</v>
      </c>
      <c r="N3726" s="796"/>
      <c r="P3726" s="399"/>
    </row>
    <row r="3727" spans="1:16" s="780" customFormat="1" ht="15" customHeight="1" x14ac:dyDescent="0.25">
      <c r="A3727" s="397"/>
      <c r="B3727" s="1386" t="s">
        <v>9631</v>
      </c>
      <c r="C3727" s="1386"/>
      <c r="D3727" s="1386"/>
      <c r="E3727" s="1386"/>
      <c r="F3727" s="1386"/>
      <c r="G3727" s="403"/>
      <c r="H3727" s="403"/>
      <c r="I3727" s="427"/>
      <c r="J3727" s="412"/>
      <c r="K3727" s="404">
        <f>SUM(K3728:K3737)</f>
        <v>0</v>
      </c>
      <c r="L3727" s="404">
        <f>SUM(L3728:L3737)</f>
        <v>12060.619999999999</v>
      </c>
      <c r="M3727" s="452">
        <f>L3727/L$3764</f>
        <v>0.97212890121227735</v>
      </c>
      <c r="N3727" s="796"/>
      <c r="P3727" s="399"/>
    </row>
    <row r="3728" spans="1:16" s="780" customFormat="1" ht="15" customHeight="1" x14ac:dyDescent="0.25">
      <c r="A3728" s="397"/>
      <c r="B3728" s="830"/>
      <c r="C3728" s="830"/>
      <c r="D3728" s="822" t="s">
        <v>9776</v>
      </c>
      <c r="E3728" s="823">
        <v>333309300000000</v>
      </c>
      <c r="F3728" s="824" t="s">
        <v>9785</v>
      </c>
      <c r="G3728" s="825">
        <v>1152</v>
      </c>
      <c r="H3728" s="825">
        <v>0</v>
      </c>
      <c r="I3728" s="752"/>
      <c r="J3728" s="831"/>
      <c r="K3728" s="808">
        <f>'Parâmetros financeiros Despesa'!E2002</f>
        <v>0</v>
      </c>
      <c r="L3728" s="808">
        <f>'Parâmetros financeiros Despesa'!F2002</f>
        <v>1</v>
      </c>
      <c r="M3728" s="835">
        <f t="shared" ref="M3728:M3737" si="588">L3728/L$3764</f>
        <v>8.0603559453185439E-5</v>
      </c>
      <c r="N3728" s="796"/>
      <c r="P3728" s="399"/>
    </row>
    <row r="3729" spans="1:16" s="780" customFormat="1" ht="15" customHeight="1" x14ac:dyDescent="0.25">
      <c r="A3729" s="397"/>
      <c r="B3729" s="830"/>
      <c r="C3729" s="830"/>
      <c r="D3729" s="822" t="s">
        <v>9777</v>
      </c>
      <c r="E3729" s="823">
        <v>333903000000000</v>
      </c>
      <c r="F3729" s="824" t="s">
        <v>9641</v>
      </c>
      <c r="G3729" s="825">
        <v>1152</v>
      </c>
      <c r="H3729" s="825">
        <v>0</v>
      </c>
      <c r="I3729" s="752"/>
      <c r="J3729" s="831"/>
      <c r="K3729" s="808">
        <f>'Parâmetros financeiros Despesa'!E2003</f>
        <v>0</v>
      </c>
      <c r="L3729" s="808">
        <f>'Parâmetros financeiros Despesa'!F2003</f>
        <v>1259.6199999999999</v>
      </c>
      <c r="M3729" s="835">
        <f t="shared" si="588"/>
        <v>0.10152985555842144</v>
      </c>
      <c r="N3729" s="796"/>
      <c r="P3729" s="399"/>
    </row>
    <row r="3730" spans="1:16" s="780" customFormat="1" x14ac:dyDescent="0.25">
      <c r="B3730" s="828"/>
      <c r="C3730" s="821"/>
      <c r="D3730" s="822" t="s">
        <v>9778</v>
      </c>
      <c r="E3730" s="823">
        <v>333903200000000</v>
      </c>
      <c r="F3730" s="824" t="s">
        <v>9634</v>
      </c>
      <c r="G3730" s="825">
        <v>1152</v>
      </c>
      <c r="H3730" s="825">
        <v>0</v>
      </c>
      <c r="I3730" s="826"/>
      <c r="J3730" s="827"/>
      <c r="K3730" s="808">
        <f>'Parâmetros financeiros Despesa'!E2004</f>
        <v>0</v>
      </c>
      <c r="L3730" s="808">
        <f>'Parâmetros financeiros Despesa'!F2004</f>
        <v>3000</v>
      </c>
      <c r="M3730" s="835">
        <f t="shared" si="588"/>
        <v>0.24181067835955633</v>
      </c>
      <c r="N3730" s="796"/>
      <c r="P3730" s="399"/>
    </row>
    <row r="3731" spans="1:16" s="780" customFormat="1" x14ac:dyDescent="0.25">
      <c r="B3731" s="821"/>
      <c r="C3731" s="821"/>
      <c r="D3731" s="822" t="s">
        <v>9779</v>
      </c>
      <c r="E3731" s="823">
        <v>333903600000000</v>
      </c>
      <c r="F3731" s="824" t="s">
        <v>9635</v>
      </c>
      <c r="G3731" s="825">
        <v>1152</v>
      </c>
      <c r="H3731" s="825">
        <v>0</v>
      </c>
      <c r="I3731" s="826"/>
      <c r="J3731" s="827"/>
      <c r="K3731" s="808">
        <f>'Parâmetros financeiros Despesa'!E2005</f>
        <v>0</v>
      </c>
      <c r="L3731" s="808">
        <f>'Parâmetros financeiros Despesa'!F2005</f>
        <v>1500</v>
      </c>
      <c r="M3731" s="835">
        <f t="shared" si="588"/>
        <v>0.12090533917977817</v>
      </c>
      <c r="N3731" s="796"/>
      <c r="P3731" s="399"/>
    </row>
    <row r="3732" spans="1:16" s="780" customFormat="1" x14ac:dyDescent="0.25">
      <c r="B3732" s="828"/>
      <c r="C3732" s="821"/>
      <c r="D3732" s="822" t="s">
        <v>9780</v>
      </c>
      <c r="E3732" s="823">
        <v>333903900000000</v>
      </c>
      <c r="F3732" s="824" t="s">
        <v>9636</v>
      </c>
      <c r="G3732" s="825">
        <v>1</v>
      </c>
      <c r="H3732" s="825">
        <v>0</v>
      </c>
      <c r="I3732" s="826"/>
      <c r="J3732" s="827"/>
      <c r="K3732" s="808">
        <f>'Parâmetros financeiros Despesa'!E2006</f>
        <v>0</v>
      </c>
      <c r="L3732" s="808">
        <f>'Parâmetros financeiros Despesa'!F2006</f>
        <v>2000</v>
      </c>
      <c r="M3732" s="835">
        <f t="shared" si="588"/>
        <v>0.16120711890637088</v>
      </c>
      <c r="N3732" s="796"/>
      <c r="P3732" s="399"/>
    </row>
    <row r="3733" spans="1:16" s="780" customFormat="1" x14ac:dyDescent="0.25">
      <c r="B3733" s="828"/>
      <c r="C3733" s="821"/>
      <c r="D3733" s="822" t="s">
        <v>9781</v>
      </c>
      <c r="E3733" s="823">
        <v>333903900000000</v>
      </c>
      <c r="F3733" s="824" t="s">
        <v>9636</v>
      </c>
      <c r="G3733" s="825">
        <v>1152</v>
      </c>
      <c r="H3733" s="825">
        <v>0</v>
      </c>
      <c r="I3733" s="826"/>
      <c r="J3733" s="827"/>
      <c r="K3733" s="808">
        <f>'Parâmetros financeiros Despesa'!E2007</f>
        <v>0</v>
      </c>
      <c r="L3733" s="808">
        <f>'Parâmetros financeiros Despesa'!F2007</f>
        <v>1000</v>
      </c>
      <c r="M3733" s="835">
        <f t="shared" si="588"/>
        <v>8.0603559453185439E-2</v>
      </c>
      <c r="N3733" s="796"/>
      <c r="P3733" s="399"/>
    </row>
    <row r="3734" spans="1:16" s="780" customFormat="1" ht="15.75" customHeight="1" x14ac:dyDescent="0.25">
      <c r="B3734" s="828"/>
      <c r="C3734" s="828"/>
      <c r="D3734" s="822" t="s">
        <v>9782</v>
      </c>
      <c r="E3734" s="823">
        <v>333904700000000</v>
      </c>
      <c r="F3734" s="824" t="s">
        <v>9637</v>
      </c>
      <c r="G3734" s="825">
        <v>1152</v>
      </c>
      <c r="H3734" s="825">
        <v>0</v>
      </c>
      <c r="I3734" s="826"/>
      <c r="J3734" s="827"/>
      <c r="K3734" s="808">
        <f>'Parâmetros financeiros Despesa'!E2008</f>
        <v>0</v>
      </c>
      <c r="L3734" s="808">
        <f>'Parâmetros financeiros Despesa'!F2008</f>
        <v>300</v>
      </c>
      <c r="M3734" s="835">
        <f t="shared" si="588"/>
        <v>2.4181067835955632E-2</v>
      </c>
      <c r="N3734" s="796"/>
      <c r="P3734" s="399"/>
    </row>
    <row r="3735" spans="1:16" s="780" customFormat="1" ht="15.75" customHeight="1" x14ac:dyDescent="0.25">
      <c r="B3735" s="828"/>
      <c r="C3735" s="828"/>
      <c r="D3735" s="822" t="s">
        <v>9783</v>
      </c>
      <c r="E3735" s="823">
        <v>333933000000000</v>
      </c>
      <c r="F3735" s="824" t="s">
        <v>9638</v>
      </c>
      <c r="G3735" s="825">
        <v>1152</v>
      </c>
      <c r="H3735" s="825">
        <v>0</v>
      </c>
      <c r="I3735" s="826"/>
      <c r="J3735" s="827"/>
      <c r="K3735" s="808">
        <f>'Parâmetros financeiros Despesa'!E2009</f>
        <v>0</v>
      </c>
      <c r="L3735" s="808">
        <f>'Parâmetros financeiros Despesa'!F2009</f>
        <v>1000</v>
      </c>
      <c r="M3735" s="835">
        <f t="shared" si="588"/>
        <v>8.0603559453185439E-2</v>
      </c>
      <c r="N3735" s="796"/>
      <c r="P3735" s="399"/>
    </row>
    <row r="3736" spans="1:16" s="780" customFormat="1" ht="15.75" customHeight="1" x14ac:dyDescent="0.25">
      <c r="B3736" s="828"/>
      <c r="C3736" s="828"/>
      <c r="D3736" s="822" t="s">
        <v>9784</v>
      </c>
      <c r="E3736" s="823">
        <v>333933900000000</v>
      </c>
      <c r="F3736" s="824" t="s">
        <v>9639</v>
      </c>
      <c r="G3736" s="825">
        <v>1152</v>
      </c>
      <c r="H3736" s="825">
        <v>0</v>
      </c>
      <c r="I3736" s="826"/>
      <c r="J3736" s="827"/>
      <c r="K3736" s="808">
        <f>'Parâmetros financeiros Despesa'!E2010</f>
        <v>0</v>
      </c>
      <c r="L3736" s="808">
        <f>'Parâmetros financeiros Despesa'!F2010</f>
        <v>1000</v>
      </c>
      <c r="M3736" s="835">
        <f t="shared" si="588"/>
        <v>8.0603559453185439E-2</v>
      </c>
      <c r="N3736" s="796"/>
      <c r="P3736" s="399"/>
    </row>
    <row r="3737" spans="1:16" s="780" customFormat="1" ht="15.75" customHeight="1" x14ac:dyDescent="0.25">
      <c r="B3737" s="828"/>
      <c r="C3737" s="828"/>
      <c r="D3737" s="822" t="s">
        <v>9786</v>
      </c>
      <c r="E3737" s="823">
        <v>344905200000000</v>
      </c>
      <c r="F3737" s="824" t="s">
        <v>9640</v>
      </c>
      <c r="G3737" s="825">
        <v>1152</v>
      </c>
      <c r="H3737" s="825">
        <v>0</v>
      </c>
      <c r="I3737" s="826"/>
      <c r="J3737" s="827"/>
      <c r="K3737" s="808">
        <f>'Parâmetros financeiros Despesa'!E2011</f>
        <v>0</v>
      </c>
      <c r="L3737" s="808">
        <f>'Parâmetros financeiros Despesa'!F2011</f>
        <v>1000</v>
      </c>
      <c r="M3737" s="835">
        <f t="shared" si="588"/>
        <v>8.0603559453185439E-2</v>
      </c>
      <c r="N3737" s="796"/>
      <c r="P3737" s="399"/>
    </row>
    <row r="3738" spans="1:16" s="780" customFormat="1" ht="15" customHeight="1" x14ac:dyDescent="0.25">
      <c r="A3738" s="397"/>
      <c r="B3738" s="1382" t="s">
        <v>7831</v>
      </c>
      <c r="C3738" s="1382"/>
      <c r="D3738" s="1382"/>
      <c r="E3738" s="1382"/>
      <c r="F3738" s="1382"/>
      <c r="G3738" s="405"/>
      <c r="H3738" s="405"/>
      <c r="I3738" s="428"/>
      <c r="J3738" s="413"/>
      <c r="K3738" s="406">
        <f t="shared" ref="K3738:L3740" si="589">K3739</f>
        <v>0</v>
      </c>
      <c r="L3738" s="406">
        <f t="shared" si="589"/>
        <v>166.17000000000002</v>
      </c>
      <c r="M3738" s="453">
        <f>L3738/L$3764</f>
        <v>1.3393893474335826E-2</v>
      </c>
      <c r="N3738" s="796"/>
      <c r="P3738" s="399"/>
    </row>
    <row r="3739" spans="1:16" s="780" customFormat="1" ht="15" customHeight="1" x14ac:dyDescent="0.25">
      <c r="A3739" s="397"/>
      <c r="B3739" s="1383" t="s">
        <v>9584</v>
      </c>
      <c r="C3739" s="1383"/>
      <c r="D3739" s="1383"/>
      <c r="E3739" s="1383"/>
      <c r="F3739" s="1383"/>
      <c r="G3739" s="407"/>
      <c r="H3739" s="407"/>
      <c r="I3739" s="429"/>
      <c r="J3739" s="414"/>
      <c r="K3739" s="408">
        <f t="shared" si="589"/>
        <v>0</v>
      </c>
      <c r="L3739" s="408">
        <f t="shared" si="589"/>
        <v>166.17000000000002</v>
      </c>
      <c r="M3739" s="454">
        <f>L3739/L$3764</f>
        <v>1.3393893474335826E-2</v>
      </c>
      <c r="N3739" s="796"/>
      <c r="P3739" s="399"/>
    </row>
    <row r="3740" spans="1:16" s="780" customFormat="1" ht="15" customHeight="1" x14ac:dyDescent="0.25">
      <c r="A3740" s="397"/>
      <c r="B3740" s="1385" t="s">
        <v>9489</v>
      </c>
      <c r="C3740" s="1385"/>
      <c r="D3740" s="1385"/>
      <c r="E3740" s="1385"/>
      <c r="F3740" s="1385"/>
      <c r="G3740" s="401"/>
      <c r="H3740" s="401"/>
      <c r="I3740" s="426"/>
      <c r="J3740" s="411"/>
      <c r="K3740" s="402">
        <f t="shared" si="589"/>
        <v>0</v>
      </c>
      <c r="L3740" s="402">
        <f t="shared" si="589"/>
        <v>166.17000000000002</v>
      </c>
      <c r="M3740" s="451">
        <f>L3740/L$3764</f>
        <v>1.3393893474335826E-2</v>
      </c>
      <c r="N3740" s="796"/>
      <c r="P3740" s="399"/>
    </row>
    <row r="3741" spans="1:16" s="780" customFormat="1" ht="15" customHeight="1" x14ac:dyDescent="0.25">
      <c r="A3741" s="397"/>
      <c r="B3741" s="1386" t="s">
        <v>9632</v>
      </c>
      <c r="C3741" s="1386"/>
      <c r="D3741" s="1386"/>
      <c r="E3741" s="1386"/>
      <c r="F3741" s="1386"/>
      <c r="G3741" s="403"/>
      <c r="H3741" s="403"/>
      <c r="I3741" s="427"/>
      <c r="J3741" s="412"/>
      <c r="K3741" s="404">
        <f>SUM(K3742:K3744)</f>
        <v>0</v>
      </c>
      <c r="L3741" s="404">
        <f>SUM(L3742:L3744)</f>
        <v>166.17000000000002</v>
      </c>
      <c r="M3741" s="452">
        <f>L3741/L$3764</f>
        <v>1.3393893474335826E-2</v>
      </c>
      <c r="N3741" s="796"/>
      <c r="P3741" s="399"/>
    </row>
    <row r="3742" spans="1:16" s="780" customFormat="1" ht="15" customHeight="1" x14ac:dyDescent="0.25">
      <c r="A3742" s="397"/>
      <c r="B3742" s="830"/>
      <c r="C3742" s="830"/>
      <c r="D3742" s="822" t="s">
        <v>9787</v>
      </c>
      <c r="E3742" s="823">
        <v>333903000000000</v>
      </c>
      <c r="F3742" s="824" t="s">
        <v>9651</v>
      </c>
      <c r="G3742" s="825">
        <v>1106</v>
      </c>
      <c r="H3742" s="825">
        <v>0</v>
      </c>
      <c r="I3742" s="752"/>
      <c r="J3742" s="831"/>
      <c r="K3742" s="808">
        <f>'Parâmetros financeiros Despesa'!E2013</f>
        <v>0</v>
      </c>
      <c r="L3742" s="808">
        <f>'Parâmetros financeiros Despesa'!F2013</f>
        <v>100</v>
      </c>
      <c r="M3742" s="835">
        <f t="shared" ref="M3742:M3744" si="590">L3742/L$3764</f>
        <v>8.0603559453185439E-3</v>
      </c>
      <c r="N3742" s="796"/>
      <c r="P3742" s="399"/>
    </row>
    <row r="3743" spans="1:16" s="780" customFormat="1" x14ac:dyDescent="0.25">
      <c r="B3743" s="828"/>
      <c r="C3743" s="821"/>
      <c r="D3743" s="822" t="s">
        <v>9788</v>
      </c>
      <c r="E3743" s="823">
        <v>333903200000000</v>
      </c>
      <c r="F3743" s="824" t="s">
        <v>9650</v>
      </c>
      <c r="G3743" s="825">
        <v>1106</v>
      </c>
      <c r="H3743" s="825">
        <v>0</v>
      </c>
      <c r="I3743" s="826"/>
      <c r="J3743" s="827"/>
      <c r="K3743" s="808">
        <f>'Parâmetros financeiros Despesa'!E2014</f>
        <v>0</v>
      </c>
      <c r="L3743" s="808">
        <f>'Parâmetros financeiros Despesa'!F2014</f>
        <v>65.17</v>
      </c>
      <c r="M3743" s="835">
        <f t="shared" si="590"/>
        <v>5.2529339695640952E-3</v>
      </c>
      <c r="N3743" s="796"/>
      <c r="P3743" s="399"/>
    </row>
    <row r="3744" spans="1:16" s="780" customFormat="1" x14ac:dyDescent="0.25">
      <c r="B3744" s="828"/>
      <c r="C3744" s="821"/>
      <c r="D3744" s="822" t="s">
        <v>9789</v>
      </c>
      <c r="E3744" s="823">
        <v>333903900000000</v>
      </c>
      <c r="F3744" s="824" t="s">
        <v>9790</v>
      </c>
      <c r="G3744" s="825">
        <v>1106</v>
      </c>
      <c r="H3744" s="825">
        <v>0</v>
      </c>
      <c r="I3744" s="826"/>
      <c r="J3744" s="827"/>
      <c r="K3744" s="808">
        <f>'Parâmetros financeiros Despesa'!E2015</f>
        <v>0</v>
      </c>
      <c r="L3744" s="808">
        <f>'Parâmetros financeiros Despesa'!F2015</f>
        <v>1</v>
      </c>
      <c r="M3744" s="835">
        <f t="shared" si="590"/>
        <v>8.0603559453185439E-5</v>
      </c>
      <c r="N3744" s="796"/>
      <c r="P3744" s="399"/>
    </row>
    <row r="3745" spans="1:16" s="780" customFormat="1" ht="15" customHeight="1" x14ac:dyDescent="0.25">
      <c r="A3745" s="397"/>
      <c r="B3745" s="1382" t="s">
        <v>7831</v>
      </c>
      <c r="C3745" s="1382"/>
      <c r="D3745" s="1382"/>
      <c r="E3745" s="1382"/>
      <c r="F3745" s="1382"/>
      <c r="G3745" s="405"/>
      <c r="H3745" s="405"/>
      <c r="I3745" s="428"/>
      <c r="J3745" s="413"/>
      <c r="K3745" s="406">
        <f t="shared" ref="K3745:L3747" si="591">K3746</f>
        <v>0</v>
      </c>
      <c r="L3745" s="406">
        <f t="shared" si="591"/>
        <v>179.60999999999999</v>
      </c>
      <c r="M3745" s="453">
        <f>L3745/L$3764</f>
        <v>1.4477205313386636E-2</v>
      </c>
      <c r="N3745" s="796"/>
      <c r="P3745" s="399"/>
    </row>
    <row r="3746" spans="1:16" s="780" customFormat="1" ht="15" customHeight="1" x14ac:dyDescent="0.25">
      <c r="A3746" s="397"/>
      <c r="B3746" s="1383" t="s">
        <v>9584</v>
      </c>
      <c r="C3746" s="1383"/>
      <c r="D3746" s="1383"/>
      <c r="E3746" s="1383"/>
      <c r="F3746" s="1383"/>
      <c r="G3746" s="407"/>
      <c r="H3746" s="407"/>
      <c r="I3746" s="429"/>
      <c r="J3746" s="414"/>
      <c r="K3746" s="408">
        <f t="shared" si="591"/>
        <v>0</v>
      </c>
      <c r="L3746" s="408">
        <f t="shared" si="591"/>
        <v>179.60999999999999</v>
      </c>
      <c r="M3746" s="454">
        <f>L3746/L$3764</f>
        <v>1.4477205313386636E-2</v>
      </c>
      <c r="N3746" s="796"/>
      <c r="P3746" s="399"/>
    </row>
    <row r="3747" spans="1:16" s="780" customFormat="1" ht="15" customHeight="1" x14ac:dyDescent="0.25">
      <c r="A3747" s="397"/>
      <c r="B3747" s="1385" t="s">
        <v>9489</v>
      </c>
      <c r="C3747" s="1385"/>
      <c r="D3747" s="1385"/>
      <c r="E3747" s="1385"/>
      <c r="F3747" s="1385"/>
      <c r="G3747" s="401"/>
      <c r="H3747" s="401"/>
      <c r="I3747" s="426"/>
      <c r="J3747" s="411"/>
      <c r="K3747" s="402">
        <f t="shared" si="591"/>
        <v>0</v>
      </c>
      <c r="L3747" s="402">
        <f t="shared" si="591"/>
        <v>179.60999999999999</v>
      </c>
      <c r="M3747" s="451">
        <f>L3747/L$3764</f>
        <v>1.4477205313386636E-2</v>
      </c>
      <c r="N3747" s="796"/>
      <c r="P3747" s="399"/>
    </row>
    <row r="3748" spans="1:16" s="780" customFormat="1" ht="15" customHeight="1" x14ac:dyDescent="0.25">
      <c r="A3748" s="397"/>
      <c r="B3748" s="1386" t="s">
        <v>9633</v>
      </c>
      <c r="C3748" s="1386"/>
      <c r="D3748" s="1386"/>
      <c r="E3748" s="1386"/>
      <c r="F3748" s="1386"/>
      <c r="G3748" s="403"/>
      <c r="H3748" s="403"/>
      <c r="I3748" s="427"/>
      <c r="J3748" s="412"/>
      <c r="K3748" s="404">
        <f>SUM(K3749:K3757)</f>
        <v>0</v>
      </c>
      <c r="L3748" s="404">
        <f>SUM(L3749:L3757)</f>
        <v>179.60999999999999</v>
      </c>
      <c r="M3748" s="452">
        <f>L3748/L$3764</f>
        <v>1.4477205313386636E-2</v>
      </c>
      <c r="N3748" s="796"/>
      <c r="P3748" s="399"/>
    </row>
    <row r="3749" spans="1:16" s="780" customFormat="1" ht="15" customHeight="1" x14ac:dyDescent="0.25">
      <c r="A3749" s="397"/>
      <c r="B3749" s="830"/>
      <c r="C3749" s="830"/>
      <c r="D3749" s="822" t="s">
        <v>9791</v>
      </c>
      <c r="E3749" s="823">
        <v>333309300000000</v>
      </c>
      <c r="F3749" s="824" t="s">
        <v>9799</v>
      </c>
      <c r="G3749" s="825">
        <v>1099</v>
      </c>
      <c r="H3749" s="825">
        <v>0</v>
      </c>
      <c r="I3749" s="752"/>
      <c r="J3749" s="831"/>
      <c r="K3749" s="808">
        <f>'Parâmetros financeiros Despesa'!E2017</f>
        <v>0</v>
      </c>
      <c r="L3749" s="808">
        <f>'Parâmetros financeiros Despesa'!F2017</f>
        <v>1</v>
      </c>
      <c r="M3749" s="835">
        <f t="shared" ref="M3749:M3756" si="592">L3749/L$3764</f>
        <v>8.0603559453185439E-5</v>
      </c>
      <c r="N3749" s="796"/>
      <c r="P3749" s="399"/>
    </row>
    <row r="3750" spans="1:16" s="780" customFormat="1" ht="15" customHeight="1" x14ac:dyDescent="0.25">
      <c r="A3750" s="397"/>
      <c r="B3750" s="830"/>
      <c r="C3750" s="830"/>
      <c r="D3750" s="822" t="s">
        <v>9792</v>
      </c>
      <c r="E3750" s="823">
        <v>333903000000000</v>
      </c>
      <c r="F3750" s="824" t="s">
        <v>9642</v>
      </c>
      <c r="G3750" s="825">
        <v>1099</v>
      </c>
      <c r="H3750" s="825">
        <v>0</v>
      </c>
      <c r="I3750" s="752"/>
      <c r="J3750" s="831"/>
      <c r="K3750" s="808">
        <f>'Parâmetros financeiros Despesa'!E2018</f>
        <v>0</v>
      </c>
      <c r="L3750" s="808">
        <f>'Parâmetros financeiros Despesa'!F2018</f>
        <v>1</v>
      </c>
      <c r="M3750" s="835">
        <f t="shared" si="592"/>
        <v>8.0603559453185439E-5</v>
      </c>
      <c r="N3750" s="796"/>
      <c r="P3750" s="399"/>
    </row>
    <row r="3751" spans="1:16" s="780" customFormat="1" x14ac:dyDescent="0.25">
      <c r="B3751" s="828"/>
      <c r="C3751" s="821"/>
      <c r="D3751" s="822" t="s">
        <v>9793</v>
      </c>
      <c r="E3751" s="823">
        <v>333903200000000</v>
      </c>
      <c r="F3751" s="824" t="s">
        <v>9643</v>
      </c>
      <c r="G3751" s="825">
        <v>1099</v>
      </c>
      <c r="H3751" s="825">
        <v>0</v>
      </c>
      <c r="I3751" s="826"/>
      <c r="J3751" s="827"/>
      <c r="K3751" s="808">
        <f>'Parâmetros financeiros Despesa'!E2019</f>
        <v>0</v>
      </c>
      <c r="L3751" s="808">
        <f>'Parâmetros financeiros Despesa'!F2019</f>
        <v>172.41</v>
      </c>
      <c r="M3751" s="835">
        <f t="shared" si="592"/>
        <v>1.3896859685323702E-2</v>
      </c>
      <c r="N3751" s="796"/>
      <c r="P3751" s="399"/>
    </row>
    <row r="3752" spans="1:16" s="780" customFormat="1" x14ac:dyDescent="0.25">
      <c r="B3752" s="821"/>
      <c r="C3752" s="821"/>
      <c r="D3752" s="822" t="s">
        <v>9794</v>
      </c>
      <c r="E3752" s="823">
        <v>333903600000000</v>
      </c>
      <c r="F3752" s="824" t="s">
        <v>9644</v>
      </c>
      <c r="G3752" s="825">
        <v>1099</v>
      </c>
      <c r="H3752" s="825">
        <v>0</v>
      </c>
      <c r="I3752" s="826"/>
      <c r="J3752" s="827"/>
      <c r="K3752" s="808">
        <f>'Parâmetros financeiros Despesa'!E2020</f>
        <v>0</v>
      </c>
      <c r="L3752" s="808">
        <f>'Parâmetros financeiros Despesa'!F2020</f>
        <v>1</v>
      </c>
      <c r="M3752" s="835">
        <f t="shared" si="592"/>
        <v>8.0603559453185439E-5</v>
      </c>
      <c r="N3752" s="796"/>
      <c r="P3752" s="399"/>
    </row>
    <row r="3753" spans="1:16" s="780" customFormat="1" x14ac:dyDescent="0.25">
      <c r="B3753" s="828"/>
      <c r="C3753" s="821"/>
      <c r="D3753" s="822" t="s">
        <v>9795</v>
      </c>
      <c r="E3753" s="823">
        <v>333903900000000</v>
      </c>
      <c r="F3753" s="824" t="s">
        <v>9645</v>
      </c>
      <c r="G3753" s="825">
        <v>1099</v>
      </c>
      <c r="H3753" s="825">
        <v>0</v>
      </c>
      <c r="I3753" s="826"/>
      <c r="J3753" s="827"/>
      <c r="K3753" s="808">
        <f>'Parâmetros financeiros Despesa'!E2021</f>
        <v>0</v>
      </c>
      <c r="L3753" s="808">
        <f>'Parâmetros financeiros Despesa'!F2021</f>
        <v>1</v>
      </c>
      <c r="M3753" s="835">
        <f t="shared" si="592"/>
        <v>8.0603559453185439E-5</v>
      </c>
      <c r="N3753" s="796"/>
      <c r="P3753" s="399"/>
    </row>
    <row r="3754" spans="1:16" s="780" customFormat="1" ht="15.75" customHeight="1" x14ac:dyDescent="0.25">
      <c r="B3754" s="828"/>
      <c r="C3754" s="828"/>
      <c r="D3754" s="822" t="s">
        <v>9796</v>
      </c>
      <c r="E3754" s="823">
        <v>333904700000000</v>
      </c>
      <c r="F3754" s="824" t="s">
        <v>9649</v>
      </c>
      <c r="G3754" s="825">
        <v>1099</v>
      </c>
      <c r="H3754" s="825">
        <v>0</v>
      </c>
      <c r="I3754" s="826"/>
      <c r="J3754" s="827"/>
      <c r="K3754" s="808">
        <f>'Parâmetros financeiros Despesa'!E2022</f>
        <v>0</v>
      </c>
      <c r="L3754" s="808">
        <f>'Parâmetros financeiros Despesa'!F2022</f>
        <v>0.2</v>
      </c>
      <c r="M3754" s="835">
        <f t="shared" si="592"/>
        <v>1.6120711890637088E-5</v>
      </c>
      <c r="N3754" s="796"/>
      <c r="P3754" s="399"/>
    </row>
    <row r="3755" spans="1:16" s="780" customFormat="1" ht="15.75" customHeight="1" x14ac:dyDescent="0.25">
      <c r="B3755" s="828"/>
      <c r="C3755" s="828"/>
      <c r="D3755" s="822" t="s">
        <v>9797</v>
      </c>
      <c r="E3755" s="823">
        <v>333933000000000</v>
      </c>
      <c r="F3755" s="824" t="s">
        <v>9648</v>
      </c>
      <c r="G3755" s="825">
        <v>1099</v>
      </c>
      <c r="H3755" s="825">
        <v>0</v>
      </c>
      <c r="I3755" s="826"/>
      <c r="J3755" s="827"/>
      <c r="K3755" s="808">
        <f>'Parâmetros financeiros Despesa'!E2023</f>
        <v>0</v>
      </c>
      <c r="L3755" s="808">
        <f>'Parâmetros financeiros Despesa'!F2023</f>
        <v>1</v>
      </c>
      <c r="M3755" s="835">
        <f t="shared" si="592"/>
        <v>8.0603559453185439E-5</v>
      </c>
      <c r="N3755" s="796"/>
      <c r="P3755" s="399"/>
    </row>
    <row r="3756" spans="1:16" s="780" customFormat="1" ht="15.75" customHeight="1" x14ac:dyDescent="0.25">
      <c r="B3756" s="828"/>
      <c r="C3756" s="828"/>
      <c r="D3756" s="822" t="s">
        <v>9798</v>
      </c>
      <c r="E3756" s="823">
        <v>333933900000000</v>
      </c>
      <c r="F3756" s="824" t="s">
        <v>9646</v>
      </c>
      <c r="G3756" s="825">
        <v>1099</v>
      </c>
      <c r="H3756" s="825">
        <v>0</v>
      </c>
      <c r="I3756" s="826"/>
      <c r="J3756" s="827"/>
      <c r="K3756" s="808">
        <f>'Parâmetros financeiros Despesa'!E2024</f>
        <v>0</v>
      </c>
      <c r="L3756" s="808">
        <f>'Parâmetros financeiros Despesa'!F2024</f>
        <v>1</v>
      </c>
      <c r="M3756" s="835">
        <f t="shared" si="592"/>
        <v>8.0603559453185439E-5</v>
      </c>
      <c r="N3756" s="796"/>
      <c r="P3756" s="399"/>
    </row>
    <row r="3757" spans="1:16" s="780" customFormat="1" ht="15.75" customHeight="1" x14ac:dyDescent="0.25">
      <c r="B3757" s="828"/>
      <c r="C3757" s="828"/>
      <c r="D3757" s="822" t="s">
        <v>9800</v>
      </c>
      <c r="E3757" s="823">
        <v>344905200000000</v>
      </c>
      <c r="F3757" s="824" t="s">
        <v>9647</v>
      </c>
      <c r="G3757" s="825">
        <v>1099</v>
      </c>
      <c r="H3757" s="825">
        <v>0</v>
      </c>
      <c r="I3757" s="826"/>
      <c r="J3757" s="827"/>
      <c r="K3757" s="808">
        <f>'Parâmetros financeiros Despesa'!E2025</f>
        <v>0</v>
      </c>
      <c r="L3757" s="808">
        <f>'Parâmetros financeiros Despesa'!F2025</f>
        <v>1</v>
      </c>
      <c r="M3757" s="835">
        <f>L3757/L$3764</f>
        <v>8.0603559453185439E-5</v>
      </c>
      <c r="N3757" s="796"/>
      <c r="P3757" s="399"/>
    </row>
    <row r="3758" spans="1:16" s="115" customFormat="1" ht="16.5" customHeight="1" x14ac:dyDescent="0.25">
      <c r="A3758" s="396"/>
      <c r="B3758" s="1395" t="s">
        <v>2172</v>
      </c>
      <c r="C3758" s="1395"/>
      <c r="D3758" s="1395"/>
      <c r="E3758" s="1395"/>
      <c r="F3758" s="1395"/>
      <c r="G3758" s="1395"/>
      <c r="H3758" s="1395"/>
      <c r="I3758" s="1395"/>
      <c r="J3758" s="1395"/>
      <c r="K3758" s="1023">
        <f>K3748+K3741+K3727</f>
        <v>0</v>
      </c>
      <c r="L3758" s="1023">
        <f>L3748+L3741+L3727</f>
        <v>12406.4</v>
      </c>
      <c r="M3758" s="452">
        <f>L3758/L$3764</f>
        <v>0.99999999999999989</v>
      </c>
      <c r="N3758" s="894"/>
      <c r="P3758" s="733"/>
    </row>
    <row r="3759" spans="1:16" s="820" customFormat="1" ht="15" customHeight="1" x14ac:dyDescent="0.25">
      <c r="B3759" s="864" t="s">
        <v>11469</v>
      </c>
      <c r="C3759" s="864"/>
      <c r="D3759" s="864"/>
      <c r="E3759" s="864"/>
      <c r="F3759" s="864"/>
      <c r="G3759" s="864"/>
      <c r="H3759" s="864"/>
      <c r="I3759" s="864"/>
      <c r="J3759" s="864"/>
      <c r="K3759" s="863"/>
      <c r="L3759" s="863"/>
      <c r="M3759" s="452"/>
      <c r="N3759" s="796"/>
      <c r="P3759" s="399"/>
    </row>
    <row r="3760" spans="1:16" s="820" customFormat="1" ht="15" customHeight="1" x14ac:dyDescent="0.25">
      <c r="B3760" s="869" t="s">
        <v>745</v>
      </c>
      <c r="C3760" s="869"/>
      <c r="D3760" s="869"/>
      <c r="E3760" s="869"/>
      <c r="F3760" s="869"/>
      <c r="G3760" s="869"/>
      <c r="H3760" s="869"/>
      <c r="I3760" s="869"/>
      <c r="J3760" s="869"/>
      <c r="K3760" s="870">
        <v>0</v>
      </c>
      <c r="L3760" s="870">
        <f>L3732</f>
        <v>2000</v>
      </c>
      <c r="M3760" s="871">
        <f>L3760/L$3764</f>
        <v>0.16120711890637088</v>
      </c>
      <c r="N3760" s="796"/>
      <c r="P3760" s="399"/>
    </row>
    <row r="3761" spans="1:16" s="820" customFormat="1" ht="15" customHeight="1" x14ac:dyDescent="0.25">
      <c r="B3761" s="869" t="s">
        <v>840</v>
      </c>
      <c r="C3761" s="869"/>
      <c r="D3761" s="869"/>
      <c r="E3761" s="869"/>
      <c r="F3761" s="869"/>
      <c r="G3761" s="869"/>
      <c r="H3761" s="869"/>
      <c r="I3761" s="869"/>
      <c r="J3761" s="869"/>
      <c r="K3761" s="870">
        <v>0</v>
      </c>
      <c r="L3761" s="870">
        <v>179.61</v>
      </c>
      <c r="M3761" s="871">
        <f>L3761/L$3764</f>
        <v>1.4477205313386638E-2</v>
      </c>
      <c r="N3761" s="796"/>
      <c r="P3761" s="399"/>
    </row>
    <row r="3762" spans="1:16" s="820" customFormat="1" ht="15" customHeight="1" x14ac:dyDescent="0.25">
      <c r="B3762" s="869" t="s">
        <v>11478</v>
      </c>
      <c r="C3762" s="869"/>
      <c r="D3762" s="869"/>
      <c r="E3762" s="869"/>
      <c r="F3762" s="869"/>
      <c r="G3762" s="869"/>
      <c r="H3762" s="869"/>
      <c r="I3762" s="869"/>
      <c r="J3762" s="869"/>
      <c r="K3762" s="870">
        <v>0</v>
      </c>
      <c r="L3762" s="870">
        <v>166.17</v>
      </c>
      <c r="M3762" s="871">
        <f>L3762/L$3764</f>
        <v>1.3393893474335825E-2</v>
      </c>
      <c r="N3762" s="796"/>
      <c r="P3762" s="399"/>
    </row>
    <row r="3763" spans="1:16" s="820" customFormat="1" ht="15" customHeight="1" x14ac:dyDescent="0.25">
      <c r="B3763" s="869" t="s">
        <v>11479</v>
      </c>
      <c r="C3763" s="869"/>
      <c r="D3763" s="869"/>
      <c r="E3763" s="869"/>
      <c r="F3763" s="869"/>
      <c r="G3763" s="869"/>
      <c r="H3763" s="869"/>
      <c r="I3763" s="869"/>
      <c r="J3763" s="869"/>
      <c r="K3763" s="870">
        <v>0</v>
      </c>
      <c r="L3763" s="870">
        <v>10060.620000000001</v>
      </c>
      <c r="M3763" s="871">
        <f>L3763/L$3764</f>
        <v>0.81092178230590661</v>
      </c>
      <c r="N3763" s="796"/>
      <c r="P3763" s="399"/>
    </row>
    <row r="3764" spans="1:16" s="115" customFormat="1" ht="15" customHeight="1" x14ac:dyDescent="0.25">
      <c r="B3764" s="864" t="s">
        <v>2172</v>
      </c>
      <c r="C3764" s="864"/>
      <c r="D3764" s="864"/>
      <c r="E3764" s="864"/>
      <c r="F3764" s="864"/>
      <c r="G3764" s="864"/>
      <c r="H3764" s="864"/>
      <c r="I3764" s="864"/>
      <c r="J3764" s="864"/>
      <c r="K3764" s="863">
        <f>SUM(K3760:K3763)</f>
        <v>0</v>
      </c>
      <c r="L3764" s="863">
        <f>SUM(L3760:L3763)</f>
        <v>12406.400000000001</v>
      </c>
      <c r="M3764" s="452">
        <f>L3764/L$3764</f>
        <v>1</v>
      </c>
      <c r="N3764" s="894"/>
      <c r="P3764" s="733"/>
    </row>
    <row r="3765" spans="1:16" x14ac:dyDescent="0.25">
      <c r="F3765" s="784"/>
      <c r="G3765" s="859"/>
      <c r="H3765" s="860"/>
      <c r="I3765" s="860"/>
    </row>
    <row r="3766" spans="1:16" x14ac:dyDescent="0.25">
      <c r="F3766" s="784"/>
      <c r="G3766" s="859"/>
      <c r="H3766" s="860"/>
      <c r="I3766" s="860"/>
    </row>
    <row r="3767" spans="1:16" x14ac:dyDescent="0.25">
      <c r="F3767" s="784"/>
      <c r="G3767" s="859"/>
      <c r="H3767" s="860"/>
      <c r="I3767" s="860"/>
    </row>
    <row r="3768" spans="1:16" x14ac:dyDescent="0.25">
      <c r="F3768" s="784"/>
      <c r="G3768" s="859"/>
      <c r="H3768" s="860"/>
      <c r="I3768" s="860"/>
    </row>
    <row r="3769" spans="1:16" x14ac:dyDescent="0.25">
      <c r="F3769" s="784"/>
      <c r="G3769" s="859"/>
      <c r="H3769" s="860"/>
      <c r="I3769" s="860"/>
    </row>
    <row r="3770" spans="1:16" x14ac:dyDescent="0.25">
      <c r="F3770" s="784"/>
      <c r="G3770" s="859"/>
      <c r="H3770" s="860"/>
      <c r="I3770" s="860"/>
    </row>
    <row r="3771" spans="1:16" x14ac:dyDescent="0.25">
      <c r="F3771" s="1399"/>
      <c r="G3771" s="1399"/>
      <c r="H3771" s="1399"/>
      <c r="I3771" s="865"/>
    </row>
    <row r="3772" spans="1:16" s="780" customFormat="1" x14ac:dyDescent="0.25">
      <c r="B3772" s="400"/>
      <c r="C3772" s="400"/>
      <c r="D3772" s="480"/>
      <c r="E3772" s="399"/>
      <c r="F3772" s="866"/>
      <c r="G3772" s="866"/>
      <c r="H3772" s="866"/>
      <c r="I3772" s="865"/>
      <c r="K3772" s="783"/>
      <c r="L3772" s="110"/>
      <c r="M3772" s="448"/>
      <c r="N3772" s="796"/>
      <c r="P3772" s="399"/>
    </row>
    <row r="3773" spans="1:16" s="435" customFormat="1" ht="15" customHeight="1" x14ac:dyDescent="0.25">
      <c r="B3773" s="777" t="s">
        <v>989</v>
      </c>
      <c r="C3773" s="777"/>
      <c r="D3773" s="481"/>
      <c r="E3773" s="1371" t="s">
        <v>9486</v>
      </c>
      <c r="F3773" s="1371"/>
      <c r="G3773" s="1371"/>
      <c r="H3773" s="1371"/>
      <c r="I3773" s="1371"/>
      <c r="J3773" s="437"/>
      <c r="K3773" s="940"/>
      <c r="L3773" s="438"/>
      <c r="M3773" s="449"/>
      <c r="N3773" s="892"/>
      <c r="P3773" s="732"/>
    </row>
    <row r="3774" spans="1:16" s="435" customFormat="1" ht="15" customHeight="1" x14ac:dyDescent="0.25">
      <c r="B3774" s="777" t="s">
        <v>458</v>
      </c>
      <c r="C3774" s="777"/>
      <c r="D3774" s="481"/>
      <c r="E3774" s="1371" t="s">
        <v>9943</v>
      </c>
      <c r="F3774" s="1371"/>
      <c r="G3774" s="1371"/>
      <c r="H3774" s="1371"/>
      <c r="I3774" s="1371"/>
      <c r="J3774" s="437"/>
      <c r="K3774" s="940"/>
      <c r="L3774" s="438"/>
      <c r="M3774" s="449"/>
      <c r="N3774" s="892"/>
      <c r="P3774" s="732"/>
    </row>
    <row r="3775" spans="1:16" s="435" customFormat="1" ht="15" customHeight="1" x14ac:dyDescent="0.25">
      <c r="B3775" s="779" t="s">
        <v>5764</v>
      </c>
      <c r="C3775" s="779"/>
      <c r="D3775" s="779"/>
      <c r="E3775" s="1371" t="s">
        <v>749</v>
      </c>
      <c r="F3775" s="1371"/>
      <c r="G3775" s="1371"/>
      <c r="H3775" s="1371"/>
      <c r="I3775" s="1371"/>
      <c r="J3775" s="440"/>
      <c r="K3775" s="941"/>
      <c r="L3775" s="438"/>
      <c r="M3775" s="449"/>
      <c r="N3775" s="892"/>
      <c r="P3775" s="732"/>
    </row>
    <row r="3776" spans="1:16" s="851" customFormat="1" ht="113.25" customHeight="1" x14ac:dyDescent="0.25">
      <c r="A3776" s="396"/>
      <c r="B3776" s="1400" t="s">
        <v>2296</v>
      </c>
      <c r="C3776" s="1400"/>
      <c r="D3776" s="1400"/>
      <c r="E3776" s="1384" t="s">
        <v>2297</v>
      </c>
      <c r="F3776" s="1384"/>
      <c r="G3776" s="443" t="s">
        <v>444</v>
      </c>
      <c r="H3776" s="443" t="s">
        <v>2245</v>
      </c>
      <c r="I3776" s="444" t="s">
        <v>5725</v>
      </c>
      <c r="J3776" s="849" t="s">
        <v>2275</v>
      </c>
      <c r="K3776" s="893" t="s">
        <v>11644</v>
      </c>
      <c r="L3776" s="979" t="s">
        <v>11522</v>
      </c>
      <c r="M3776" s="450" t="s">
        <v>235</v>
      </c>
      <c r="N3776" s="796"/>
      <c r="P3776" s="399"/>
    </row>
    <row r="3777" spans="1:16" s="780" customFormat="1" ht="15" customHeight="1" x14ac:dyDescent="0.25">
      <c r="A3777" s="397"/>
      <c r="B3777" s="1382" t="s">
        <v>7831</v>
      </c>
      <c r="C3777" s="1382"/>
      <c r="D3777" s="1382"/>
      <c r="E3777" s="1382"/>
      <c r="F3777" s="1382"/>
      <c r="G3777" s="405"/>
      <c r="H3777" s="405"/>
      <c r="I3777" s="428"/>
      <c r="J3777" s="413"/>
      <c r="K3777" s="406">
        <f t="shared" ref="K3777:L3779" si="593">K3778</f>
        <v>7198.8899999999994</v>
      </c>
      <c r="L3777" s="406">
        <f t="shared" si="593"/>
        <v>2789.6</v>
      </c>
      <c r="M3777" s="453">
        <f>L3777/L$3933</f>
        <v>1.39459834107988E-2</v>
      </c>
      <c r="N3777" s="796"/>
      <c r="P3777" s="399"/>
    </row>
    <row r="3778" spans="1:16" s="780" customFormat="1" ht="15" customHeight="1" x14ac:dyDescent="0.25">
      <c r="A3778" s="397"/>
      <c r="B3778" s="1383" t="s">
        <v>9584</v>
      </c>
      <c r="C3778" s="1383"/>
      <c r="D3778" s="1383"/>
      <c r="E3778" s="1383"/>
      <c r="F3778" s="1383"/>
      <c r="G3778" s="407"/>
      <c r="H3778" s="407"/>
      <c r="I3778" s="429"/>
      <c r="J3778" s="414"/>
      <c r="K3778" s="408">
        <f t="shared" si="593"/>
        <v>7198.8899999999994</v>
      </c>
      <c r="L3778" s="408">
        <f t="shared" si="593"/>
        <v>2789.6</v>
      </c>
      <c r="M3778" s="454">
        <f>L3778/L$3933</f>
        <v>1.39459834107988E-2</v>
      </c>
      <c r="N3778" s="796"/>
      <c r="P3778" s="399"/>
    </row>
    <row r="3779" spans="1:16" s="780" customFormat="1" ht="15" customHeight="1" x14ac:dyDescent="0.25">
      <c r="A3779" s="397"/>
      <c r="B3779" s="1385" t="s">
        <v>9489</v>
      </c>
      <c r="C3779" s="1385"/>
      <c r="D3779" s="1385"/>
      <c r="E3779" s="1385"/>
      <c r="F3779" s="1385"/>
      <c r="G3779" s="401"/>
      <c r="H3779" s="401"/>
      <c r="I3779" s="426"/>
      <c r="J3779" s="411"/>
      <c r="K3779" s="402">
        <f t="shared" si="593"/>
        <v>7198.8899999999994</v>
      </c>
      <c r="L3779" s="402">
        <f t="shared" si="593"/>
        <v>2789.6</v>
      </c>
      <c r="M3779" s="451">
        <f>L3779/L$3933</f>
        <v>1.39459834107988E-2</v>
      </c>
      <c r="N3779" s="796"/>
      <c r="P3779" s="399"/>
    </row>
    <row r="3780" spans="1:16" s="780" customFormat="1" ht="15" customHeight="1" x14ac:dyDescent="0.25">
      <c r="A3780" s="397"/>
      <c r="B3780" s="1386" t="s">
        <v>9690</v>
      </c>
      <c r="C3780" s="1386"/>
      <c r="D3780" s="1386"/>
      <c r="E3780" s="1386"/>
      <c r="F3780" s="1386"/>
      <c r="G3780" s="403"/>
      <c r="H3780" s="403"/>
      <c r="I3780" s="427"/>
      <c r="J3780" s="412"/>
      <c r="K3780" s="404">
        <f>SUM(K3781:K3790)</f>
        <v>7198.8899999999994</v>
      </c>
      <c r="L3780" s="404">
        <f>SUM(L3781:L3790)</f>
        <v>2789.6</v>
      </c>
      <c r="M3780" s="452">
        <f>L3780/L$3933</f>
        <v>1.39459834107988E-2</v>
      </c>
      <c r="N3780" s="796"/>
      <c r="P3780" s="399"/>
    </row>
    <row r="3781" spans="1:16" x14ac:dyDescent="0.25">
      <c r="B3781" s="828"/>
      <c r="C3781" s="828"/>
      <c r="D3781" s="822" t="s">
        <v>9801</v>
      </c>
      <c r="E3781" s="823">
        <v>333901400000000</v>
      </c>
      <c r="F3781" s="824" t="s">
        <v>9807</v>
      </c>
      <c r="G3781" s="824">
        <v>1074</v>
      </c>
      <c r="H3781" s="824">
        <v>0</v>
      </c>
      <c r="I3781" s="826"/>
      <c r="J3781" s="827"/>
      <c r="K3781" s="809">
        <f>'Parâmetros financeiros Despesa'!E2032</f>
        <v>2052</v>
      </c>
      <c r="L3781" s="809">
        <f>'Parâmetros financeiros Despesa'!F2032</f>
        <v>500</v>
      </c>
      <c r="M3781" s="835">
        <f>L3781/L$3933</f>
        <v>2.4996385522653426E-3</v>
      </c>
    </row>
    <row r="3782" spans="1:16" x14ac:dyDescent="0.25">
      <c r="B3782" s="828"/>
      <c r="C3782" s="828"/>
      <c r="D3782" s="822" t="s">
        <v>9802</v>
      </c>
      <c r="E3782" s="823">
        <v>333903000000000</v>
      </c>
      <c r="F3782" s="824" t="s">
        <v>9808</v>
      </c>
      <c r="G3782" s="824">
        <v>1074</v>
      </c>
      <c r="H3782" s="824">
        <v>0</v>
      </c>
      <c r="I3782" s="826"/>
      <c r="J3782" s="827"/>
      <c r="K3782" s="809">
        <f>'Parâmetros financeiros Despesa'!E2033</f>
        <v>2031.54</v>
      </c>
      <c r="L3782" s="809">
        <f>'Parâmetros financeiros Despesa'!F2033</f>
        <v>300</v>
      </c>
      <c r="M3782" s="835">
        <f t="shared" ref="M3782:M3790" si="594">L3782/L$3933</f>
        <v>1.4997831313592056E-3</v>
      </c>
    </row>
    <row r="3783" spans="1:16" s="780" customFormat="1" x14ac:dyDescent="0.25">
      <c r="B3783" s="828"/>
      <c r="C3783" s="828"/>
      <c r="D3783" s="822" t="s">
        <v>9803</v>
      </c>
      <c r="E3783" s="823">
        <v>333903200000000</v>
      </c>
      <c r="F3783" s="824" t="s">
        <v>9813</v>
      </c>
      <c r="G3783" s="824">
        <v>1074</v>
      </c>
      <c r="H3783" s="824">
        <v>0</v>
      </c>
      <c r="I3783" s="826"/>
      <c r="J3783" s="827"/>
      <c r="K3783" s="809">
        <f>'Parâmetros financeiros Despesa'!E2034</f>
        <v>0</v>
      </c>
      <c r="L3783" s="809">
        <f>'Parâmetros financeiros Despesa'!F2034</f>
        <v>489.6</v>
      </c>
      <c r="M3783" s="835">
        <f t="shared" si="594"/>
        <v>2.4476460703782236E-3</v>
      </c>
      <c r="N3783" s="796"/>
      <c r="P3783" s="399"/>
    </row>
    <row r="3784" spans="1:16" x14ac:dyDescent="0.25">
      <c r="B3784" s="828"/>
      <c r="C3784" s="828"/>
      <c r="D3784" s="822" t="s">
        <v>9804</v>
      </c>
      <c r="E3784" s="823">
        <v>333903600000000</v>
      </c>
      <c r="F3784" s="824" t="s">
        <v>9811</v>
      </c>
      <c r="G3784" s="824">
        <v>1074</v>
      </c>
      <c r="H3784" s="824">
        <v>0</v>
      </c>
      <c r="I3784" s="826"/>
      <c r="J3784" s="827"/>
      <c r="K3784" s="809">
        <f>'Parâmetros financeiros Despesa'!E2035</f>
        <v>0</v>
      </c>
      <c r="L3784" s="809">
        <f>'Parâmetros financeiros Despesa'!F2035</f>
        <v>500</v>
      </c>
      <c r="M3784" s="835">
        <f t="shared" si="594"/>
        <v>2.4996385522653426E-3</v>
      </c>
    </row>
    <row r="3785" spans="1:16" x14ac:dyDescent="0.25">
      <c r="B3785" s="828"/>
      <c r="C3785" s="828"/>
      <c r="D3785" s="822" t="s">
        <v>9805</v>
      </c>
      <c r="E3785" s="823">
        <v>333903900000000</v>
      </c>
      <c r="F3785" s="824" t="s">
        <v>9812</v>
      </c>
      <c r="G3785" s="824">
        <v>1074</v>
      </c>
      <c r="H3785" s="824">
        <v>0</v>
      </c>
      <c r="I3785" s="826"/>
      <c r="J3785" s="827"/>
      <c r="K3785" s="809">
        <f>'Parâmetros financeiros Despesa'!E2036</f>
        <v>1168.3499999999999</v>
      </c>
      <c r="L3785" s="809">
        <f>'Parâmetros financeiros Despesa'!F2036</f>
        <v>500</v>
      </c>
      <c r="M3785" s="835">
        <f t="shared" si="594"/>
        <v>2.4996385522653426E-3</v>
      </c>
    </row>
    <row r="3786" spans="1:16" x14ac:dyDescent="0.25">
      <c r="B3786" s="828"/>
      <c r="C3786" s="828"/>
      <c r="D3786" s="822" t="s">
        <v>9806</v>
      </c>
      <c r="E3786" s="823">
        <v>333904700000000</v>
      </c>
      <c r="F3786" s="824" t="s">
        <v>9809</v>
      </c>
      <c r="G3786" s="824">
        <v>1074</v>
      </c>
      <c r="H3786" s="824">
        <v>0</v>
      </c>
      <c r="I3786" s="826"/>
      <c r="J3786" s="827"/>
      <c r="K3786" s="809">
        <f>'Parâmetros financeiros Despesa'!E2037</f>
        <v>15</v>
      </c>
      <c r="L3786" s="809">
        <f>'Parâmetros financeiros Despesa'!F2037</f>
        <v>100</v>
      </c>
      <c r="M3786" s="835">
        <f t="shared" si="594"/>
        <v>4.999277104530685E-4</v>
      </c>
    </row>
    <row r="3787" spans="1:16" s="780" customFormat="1" x14ac:dyDescent="0.25">
      <c r="B3787" s="828"/>
      <c r="C3787" s="828"/>
      <c r="D3787" s="822" t="s">
        <v>9814</v>
      </c>
      <c r="E3787" s="823">
        <v>333933000000000</v>
      </c>
      <c r="F3787" s="824" t="s">
        <v>9823</v>
      </c>
      <c r="G3787" s="824">
        <v>1074</v>
      </c>
      <c r="H3787" s="824">
        <v>0</v>
      </c>
      <c r="I3787" s="826"/>
      <c r="J3787" s="827"/>
      <c r="K3787" s="809">
        <f>'Parâmetros financeiros Despesa'!E2038</f>
        <v>0</v>
      </c>
      <c r="L3787" s="809">
        <f>'Parâmetros financeiros Despesa'!F2038</f>
        <v>100</v>
      </c>
      <c r="M3787" s="835">
        <f t="shared" si="594"/>
        <v>4.999277104530685E-4</v>
      </c>
      <c r="N3787" s="796"/>
      <c r="P3787" s="399"/>
    </row>
    <row r="3788" spans="1:16" s="780" customFormat="1" x14ac:dyDescent="0.25">
      <c r="B3788" s="828"/>
      <c r="C3788" s="828"/>
      <c r="D3788" s="822" t="s">
        <v>9825</v>
      </c>
      <c r="E3788" s="823">
        <v>333933900000000</v>
      </c>
      <c r="F3788" s="824" t="s">
        <v>9824</v>
      </c>
      <c r="G3788" s="824">
        <v>1074</v>
      </c>
      <c r="H3788" s="824">
        <v>0</v>
      </c>
      <c r="I3788" s="826"/>
      <c r="J3788" s="827"/>
      <c r="K3788" s="809">
        <f>'Parâmetros financeiros Despesa'!E2039</f>
        <v>0</v>
      </c>
      <c r="L3788" s="809">
        <f>'Parâmetros financeiros Despesa'!F2039</f>
        <v>100</v>
      </c>
      <c r="M3788" s="835">
        <f t="shared" si="594"/>
        <v>4.999277104530685E-4</v>
      </c>
      <c r="N3788" s="796"/>
      <c r="P3788" s="399"/>
    </row>
    <row r="3789" spans="1:16" s="780" customFormat="1" x14ac:dyDescent="0.25">
      <c r="B3789" s="828"/>
      <c r="C3789" s="828"/>
      <c r="D3789" s="822" t="s">
        <v>9826</v>
      </c>
      <c r="E3789" s="823">
        <v>344905100000000</v>
      </c>
      <c r="F3789" s="824" t="s">
        <v>9828</v>
      </c>
      <c r="G3789" s="824">
        <v>1074</v>
      </c>
      <c r="H3789" s="824">
        <v>0</v>
      </c>
      <c r="I3789" s="826"/>
      <c r="J3789" s="827"/>
      <c r="K3789" s="809">
        <f>'Parâmetros financeiros Despesa'!E2040</f>
        <v>0</v>
      </c>
      <c r="L3789" s="809">
        <f>'Parâmetros financeiros Despesa'!F2040</f>
        <v>100</v>
      </c>
      <c r="M3789" s="835">
        <f t="shared" si="594"/>
        <v>4.999277104530685E-4</v>
      </c>
      <c r="N3789" s="796"/>
      <c r="P3789" s="399"/>
    </row>
    <row r="3790" spans="1:16" x14ac:dyDescent="0.25">
      <c r="B3790" s="828"/>
      <c r="C3790" s="828"/>
      <c r="D3790" s="822" t="s">
        <v>9827</v>
      </c>
      <c r="E3790" s="823">
        <v>344905200000000</v>
      </c>
      <c r="F3790" s="824" t="s">
        <v>9810</v>
      </c>
      <c r="G3790" s="824">
        <v>1074</v>
      </c>
      <c r="H3790" s="824">
        <v>0</v>
      </c>
      <c r="I3790" s="826"/>
      <c r="J3790" s="827"/>
      <c r="K3790" s="809">
        <f>'Parâmetros financeiros Despesa'!E2041</f>
        <v>1932</v>
      </c>
      <c r="L3790" s="809">
        <f>'Parâmetros financeiros Despesa'!F2041</f>
        <v>100</v>
      </c>
      <c r="M3790" s="835">
        <f t="shared" si="594"/>
        <v>4.999277104530685E-4</v>
      </c>
    </row>
    <row r="3791" spans="1:16" s="780" customFormat="1" ht="15" customHeight="1" x14ac:dyDescent="0.25">
      <c r="A3791" s="397"/>
      <c r="B3791" s="1382" t="s">
        <v>7831</v>
      </c>
      <c r="C3791" s="1382"/>
      <c r="D3791" s="1382"/>
      <c r="E3791" s="1382"/>
      <c r="F3791" s="1382"/>
      <c r="G3791" s="405"/>
      <c r="H3791" s="405"/>
      <c r="I3791" s="428"/>
      <c r="J3791" s="413"/>
      <c r="K3791" s="406">
        <f t="shared" ref="K3791:L3793" si="595">K3792</f>
        <v>0</v>
      </c>
      <c r="L3791" s="406">
        <f t="shared" si="595"/>
        <v>27993.25</v>
      </c>
      <c r="M3791" s="453">
        <f>L3791/L$3933</f>
        <v>0.13994601380640362</v>
      </c>
      <c r="N3791" s="796"/>
      <c r="P3791" s="399"/>
    </row>
    <row r="3792" spans="1:16" s="780" customFormat="1" ht="15" customHeight="1" x14ac:dyDescent="0.25">
      <c r="A3792" s="397"/>
      <c r="B3792" s="1383" t="s">
        <v>9584</v>
      </c>
      <c r="C3792" s="1383"/>
      <c r="D3792" s="1383"/>
      <c r="E3792" s="1383"/>
      <c r="F3792" s="1383"/>
      <c r="G3792" s="407"/>
      <c r="H3792" s="407"/>
      <c r="I3792" s="429"/>
      <c r="J3792" s="414"/>
      <c r="K3792" s="408">
        <f t="shared" si="595"/>
        <v>0</v>
      </c>
      <c r="L3792" s="408">
        <f t="shared" si="595"/>
        <v>27993.25</v>
      </c>
      <c r="M3792" s="454">
        <f>L3792/L$3933</f>
        <v>0.13994601380640362</v>
      </c>
      <c r="N3792" s="796"/>
      <c r="P3792" s="399"/>
    </row>
    <row r="3793" spans="1:16" s="780" customFormat="1" ht="15" customHeight="1" x14ac:dyDescent="0.25">
      <c r="A3793" s="397"/>
      <c r="B3793" s="1385" t="s">
        <v>9489</v>
      </c>
      <c r="C3793" s="1385"/>
      <c r="D3793" s="1385"/>
      <c r="E3793" s="1385"/>
      <c r="F3793" s="1385"/>
      <c r="G3793" s="401"/>
      <c r="H3793" s="401"/>
      <c r="I3793" s="426"/>
      <c r="J3793" s="411"/>
      <c r="K3793" s="402">
        <f t="shared" si="595"/>
        <v>0</v>
      </c>
      <c r="L3793" s="402">
        <f t="shared" si="595"/>
        <v>27993.25</v>
      </c>
      <c r="M3793" s="451">
        <f>L3793/L$3933</f>
        <v>0.13994601380640362</v>
      </c>
      <c r="N3793" s="796"/>
      <c r="P3793" s="399"/>
    </row>
    <row r="3794" spans="1:16" s="780" customFormat="1" ht="15" customHeight="1" x14ac:dyDescent="0.25">
      <c r="A3794" s="397"/>
      <c r="B3794" s="1386" t="s">
        <v>9558</v>
      </c>
      <c r="C3794" s="1386"/>
      <c r="D3794" s="1386"/>
      <c r="E3794" s="1386"/>
      <c r="F3794" s="1386"/>
      <c r="G3794" s="403"/>
      <c r="H3794" s="403"/>
      <c r="I3794" s="427"/>
      <c r="J3794" s="412"/>
      <c r="K3794" s="404">
        <f>SUM(K3795:K3805)</f>
        <v>0</v>
      </c>
      <c r="L3794" s="404">
        <f>SUM(L3795:L3805)</f>
        <v>27993.25</v>
      </c>
      <c r="M3794" s="452">
        <f>L3794/L$3933</f>
        <v>0.13994601380640362</v>
      </c>
      <c r="N3794" s="796"/>
      <c r="P3794" s="399"/>
    </row>
    <row r="3795" spans="1:16" s="780" customFormat="1" ht="15" customHeight="1" x14ac:dyDescent="0.25">
      <c r="A3795" s="397"/>
      <c r="B3795" s="830"/>
      <c r="C3795" s="830"/>
      <c r="D3795" s="822" t="s">
        <v>9815</v>
      </c>
      <c r="E3795" s="823">
        <v>333901400000000</v>
      </c>
      <c r="F3795" s="824" t="s">
        <v>9829</v>
      </c>
      <c r="G3795" s="824">
        <v>1149</v>
      </c>
      <c r="H3795" s="824">
        <v>0</v>
      </c>
      <c r="I3795" s="752"/>
      <c r="J3795" s="831"/>
      <c r="K3795" s="808">
        <f>'Parâmetros financeiros Despesa'!E2043</f>
        <v>0</v>
      </c>
      <c r="L3795" s="808">
        <f>'Parâmetros financeiros Despesa'!F2043</f>
        <v>1000</v>
      </c>
      <c r="M3795" s="835">
        <f>L3795/L$3933</f>
        <v>4.9992771045306852E-3</v>
      </c>
      <c r="N3795" s="796"/>
      <c r="P3795" s="399"/>
    </row>
    <row r="3796" spans="1:16" s="115" customFormat="1" x14ac:dyDescent="0.25">
      <c r="B3796" s="821"/>
      <c r="C3796" s="821"/>
      <c r="D3796" s="822" t="s">
        <v>9816</v>
      </c>
      <c r="E3796" s="823">
        <v>333903000000000</v>
      </c>
      <c r="F3796" s="824" t="s">
        <v>9830</v>
      </c>
      <c r="G3796" s="824">
        <v>1149</v>
      </c>
      <c r="H3796" s="824">
        <v>0</v>
      </c>
      <c r="I3796" s="833"/>
      <c r="J3796" s="834"/>
      <c r="K3796" s="808">
        <f>'Parâmetros financeiros Despesa'!E2044</f>
        <v>0</v>
      </c>
      <c r="L3796" s="808">
        <f>'Parâmetros financeiros Despesa'!F2044</f>
        <v>3000</v>
      </c>
      <c r="M3796" s="835">
        <f t="shared" ref="M3796:M3805" si="596">L3796/L$3933</f>
        <v>1.4997831313592056E-2</v>
      </c>
      <c r="N3796" s="894"/>
      <c r="P3796" s="733"/>
    </row>
    <row r="3797" spans="1:16" s="115" customFormat="1" x14ac:dyDescent="0.25">
      <c r="B3797" s="821"/>
      <c r="C3797" s="821"/>
      <c r="D3797" s="822" t="s">
        <v>9817</v>
      </c>
      <c r="E3797" s="823">
        <v>333903200000000</v>
      </c>
      <c r="F3797" s="824" t="s">
        <v>9837</v>
      </c>
      <c r="G3797" s="824">
        <v>1149</v>
      </c>
      <c r="H3797" s="824">
        <v>0</v>
      </c>
      <c r="I3797" s="833"/>
      <c r="J3797" s="834"/>
      <c r="K3797" s="808">
        <f>'Parâmetros financeiros Despesa'!E2045</f>
        <v>0</v>
      </c>
      <c r="L3797" s="808">
        <f>'Parâmetros financeiros Despesa'!F2045</f>
        <v>3000</v>
      </c>
      <c r="M3797" s="835">
        <f t="shared" si="596"/>
        <v>1.4997831313592056E-2</v>
      </c>
      <c r="N3797" s="894"/>
      <c r="P3797" s="733"/>
    </row>
    <row r="3798" spans="1:16" s="115" customFormat="1" x14ac:dyDescent="0.25">
      <c r="B3798" s="821"/>
      <c r="C3798" s="821"/>
      <c r="D3798" s="822" t="s">
        <v>9818</v>
      </c>
      <c r="E3798" s="823">
        <v>333903600000000</v>
      </c>
      <c r="F3798" s="824" t="s">
        <v>9838</v>
      </c>
      <c r="G3798" s="824">
        <v>1149</v>
      </c>
      <c r="H3798" s="824">
        <v>0</v>
      </c>
      <c r="I3798" s="833"/>
      <c r="J3798" s="834"/>
      <c r="K3798" s="808">
        <f>'Parâmetros financeiros Despesa'!E2046</f>
        <v>0</v>
      </c>
      <c r="L3798" s="808">
        <f>'Parâmetros financeiros Despesa'!F2046</f>
        <v>3000</v>
      </c>
      <c r="M3798" s="835">
        <f t="shared" si="596"/>
        <v>1.4997831313592056E-2</v>
      </c>
      <c r="N3798" s="894"/>
      <c r="P3798" s="733"/>
    </row>
    <row r="3799" spans="1:16" s="115" customFormat="1" x14ac:dyDescent="0.25">
      <c r="B3799" s="821"/>
      <c r="C3799" s="821"/>
      <c r="D3799" s="822" t="s">
        <v>9819</v>
      </c>
      <c r="E3799" s="823">
        <v>333903900000000</v>
      </c>
      <c r="F3799" s="824" t="s">
        <v>9839</v>
      </c>
      <c r="G3799" s="824">
        <v>1149</v>
      </c>
      <c r="H3799" s="824">
        <v>0</v>
      </c>
      <c r="I3799" s="833"/>
      <c r="J3799" s="834"/>
      <c r="K3799" s="808">
        <f>'Parâmetros financeiros Despesa'!E2047+'Parâmetros financeiros Despesa'!E2048</f>
        <v>0</v>
      </c>
      <c r="L3799" s="808">
        <f>'Parâmetros financeiros Despesa'!F2047+'Parâmetros financeiros Despesa'!F2048</f>
        <v>6000</v>
      </c>
      <c r="M3799" s="835">
        <f t="shared" si="596"/>
        <v>2.9995662627184113E-2</v>
      </c>
      <c r="N3799" s="894"/>
      <c r="P3799" s="733"/>
    </row>
    <row r="3800" spans="1:16" s="31" customFormat="1" x14ac:dyDescent="0.25">
      <c r="B3800" s="829" t="s">
        <v>9841</v>
      </c>
      <c r="C3800" s="821" t="s">
        <v>6062</v>
      </c>
      <c r="D3800" s="822" t="s">
        <v>9819</v>
      </c>
      <c r="E3800" s="836">
        <v>333903999130000</v>
      </c>
      <c r="F3800" s="832" t="s">
        <v>9831</v>
      </c>
      <c r="G3800" s="832">
        <v>1149</v>
      </c>
      <c r="H3800" s="832">
        <v>0</v>
      </c>
      <c r="I3800" s="837"/>
      <c r="J3800" s="838"/>
      <c r="K3800" s="868">
        <v>0</v>
      </c>
      <c r="L3800" s="868">
        <v>0</v>
      </c>
      <c r="M3800" s="839">
        <f t="shared" si="596"/>
        <v>0</v>
      </c>
      <c r="N3800" s="897"/>
      <c r="P3800" s="736"/>
    </row>
    <row r="3801" spans="1:16" s="115" customFormat="1" x14ac:dyDescent="0.25">
      <c r="B3801" s="821"/>
      <c r="C3801" s="821"/>
      <c r="D3801" s="822" t="s">
        <v>9820</v>
      </c>
      <c r="E3801" s="823">
        <v>333904700000000</v>
      </c>
      <c r="F3801" s="824" t="s">
        <v>9832</v>
      </c>
      <c r="G3801" s="824">
        <v>1149</v>
      </c>
      <c r="H3801" s="824">
        <v>0</v>
      </c>
      <c r="I3801" s="833"/>
      <c r="J3801" s="834"/>
      <c r="K3801" s="808">
        <f>'Parâmetros financeiros Despesa'!E2049</f>
        <v>0</v>
      </c>
      <c r="L3801" s="808">
        <f>'Parâmetros financeiros Despesa'!F2049</f>
        <v>600</v>
      </c>
      <c r="M3801" s="835">
        <f t="shared" si="596"/>
        <v>2.9995662627184112E-3</v>
      </c>
      <c r="N3801" s="894"/>
      <c r="P3801" s="733"/>
    </row>
    <row r="3802" spans="1:16" s="115" customFormat="1" x14ac:dyDescent="0.25">
      <c r="B3802" s="821"/>
      <c r="C3802" s="821"/>
      <c r="D3802" s="822" t="s">
        <v>9821</v>
      </c>
      <c r="E3802" s="823">
        <v>333933000000000</v>
      </c>
      <c r="F3802" s="824" t="s">
        <v>9833</v>
      </c>
      <c r="G3802" s="824">
        <v>1149</v>
      </c>
      <c r="H3802" s="824">
        <v>0</v>
      </c>
      <c r="I3802" s="833"/>
      <c r="J3802" s="834"/>
      <c r="K3802" s="808">
        <f>'Parâmetros financeiros Despesa'!E2050</f>
        <v>0</v>
      </c>
      <c r="L3802" s="808">
        <f>'Parâmetros financeiros Despesa'!F2050</f>
        <v>3000</v>
      </c>
      <c r="M3802" s="835">
        <f t="shared" si="596"/>
        <v>1.4997831313592056E-2</v>
      </c>
      <c r="N3802" s="894"/>
      <c r="P3802" s="733"/>
    </row>
    <row r="3803" spans="1:16" s="115" customFormat="1" x14ac:dyDescent="0.25">
      <c r="B3803" s="821"/>
      <c r="C3803" s="821"/>
      <c r="D3803" s="822" t="s">
        <v>9822</v>
      </c>
      <c r="E3803" s="823">
        <v>333933900000000</v>
      </c>
      <c r="F3803" s="824" t="s">
        <v>9834</v>
      </c>
      <c r="G3803" s="824">
        <v>1149</v>
      </c>
      <c r="H3803" s="824">
        <v>0</v>
      </c>
      <c r="I3803" s="833"/>
      <c r="J3803" s="834"/>
      <c r="K3803" s="808">
        <f>'Parâmetros financeiros Despesa'!E2051</f>
        <v>0</v>
      </c>
      <c r="L3803" s="808">
        <f>'Parâmetros financeiros Despesa'!F2051</f>
        <v>3000</v>
      </c>
      <c r="M3803" s="835">
        <f t="shared" si="596"/>
        <v>1.4997831313592056E-2</v>
      </c>
      <c r="N3803" s="894"/>
      <c r="P3803" s="733"/>
    </row>
    <row r="3804" spans="1:16" s="115" customFormat="1" x14ac:dyDescent="0.25">
      <c r="B3804" s="821"/>
      <c r="C3804" s="821"/>
      <c r="D3804" s="822" t="s">
        <v>9822</v>
      </c>
      <c r="E3804" s="823">
        <v>344905100000000</v>
      </c>
      <c r="F3804" s="824" t="s">
        <v>9836</v>
      </c>
      <c r="G3804" s="824">
        <v>1149</v>
      </c>
      <c r="H3804" s="824">
        <v>0</v>
      </c>
      <c r="I3804" s="833"/>
      <c r="J3804" s="834"/>
      <c r="K3804" s="808">
        <f>'Parâmetros financeiros Despesa'!E2052</f>
        <v>0</v>
      </c>
      <c r="L3804" s="808">
        <f>'Parâmetros financeiros Despesa'!F2052</f>
        <v>3000</v>
      </c>
      <c r="M3804" s="835">
        <f t="shared" si="596"/>
        <v>1.4997831313592056E-2</v>
      </c>
      <c r="N3804" s="894"/>
      <c r="P3804" s="733"/>
    </row>
    <row r="3805" spans="1:16" s="115" customFormat="1" x14ac:dyDescent="0.25">
      <c r="B3805" s="821"/>
      <c r="C3805" s="821"/>
      <c r="D3805" s="822" t="s">
        <v>9840</v>
      </c>
      <c r="E3805" s="823">
        <v>344905200000000</v>
      </c>
      <c r="F3805" s="824" t="s">
        <v>9835</v>
      </c>
      <c r="G3805" s="824">
        <v>1149</v>
      </c>
      <c r="H3805" s="824">
        <v>0</v>
      </c>
      <c r="I3805" s="833"/>
      <c r="J3805" s="834"/>
      <c r="K3805" s="808">
        <f>'Parâmetros financeiros Despesa'!E2053</f>
        <v>0</v>
      </c>
      <c r="L3805" s="808">
        <f>'Parâmetros financeiros Despesa'!F2053</f>
        <v>2393.25</v>
      </c>
      <c r="M3805" s="835">
        <f t="shared" si="596"/>
        <v>1.1964519930418062E-2</v>
      </c>
      <c r="N3805" s="894"/>
      <c r="P3805" s="733"/>
    </row>
    <row r="3806" spans="1:16" s="780" customFormat="1" ht="15" customHeight="1" x14ac:dyDescent="0.25">
      <c r="A3806" s="397"/>
      <c r="B3806" s="1382" t="s">
        <v>7831</v>
      </c>
      <c r="C3806" s="1382"/>
      <c r="D3806" s="1382"/>
      <c r="E3806" s="1382"/>
      <c r="F3806" s="1382"/>
      <c r="G3806" s="405"/>
      <c r="H3806" s="405"/>
      <c r="I3806" s="428"/>
      <c r="J3806" s="413"/>
      <c r="K3806" s="406">
        <f t="shared" ref="K3806:L3808" si="597">K3807</f>
        <v>9300</v>
      </c>
      <c r="L3806" s="406">
        <f t="shared" si="597"/>
        <v>6395.3600000000006</v>
      </c>
      <c r="M3806" s="453">
        <f>L3806/L$3933</f>
        <v>3.1972176823231363E-2</v>
      </c>
      <c r="N3806" s="796"/>
      <c r="P3806" s="399"/>
    </row>
    <row r="3807" spans="1:16" s="780" customFormat="1" ht="15" customHeight="1" x14ac:dyDescent="0.25">
      <c r="A3807" s="397"/>
      <c r="B3807" s="1383" t="s">
        <v>9584</v>
      </c>
      <c r="C3807" s="1383"/>
      <c r="D3807" s="1383"/>
      <c r="E3807" s="1383"/>
      <c r="F3807" s="1383"/>
      <c r="G3807" s="407"/>
      <c r="H3807" s="407"/>
      <c r="I3807" s="429"/>
      <c r="J3807" s="414"/>
      <c r="K3807" s="408">
        <f t="shared" si="597"/>
        <v>9300</v>
      </c>
      <c r="L3807" s="408">
        <f t="shared" si="597"/>
        <v>6395.3600000000006</v>
      </c>
      <c r="M3807" s="454">
        <f>L3807/L$3933</f>
        <v>3.1972176823231363E-2</v>
      </c>
      <c r="N3807" s="796"/>
      <c r="P3807" s="399"/>
    </row>
    <row r="3808" spans="1:16" s="780" customFormat="1" ht="15" customHeight="1" x14ac:dyDescent="0.25">
      <c r="A3808" s="397"/>
      <c r="B3808" s="1385" t="s">
        <v>9489</v>
      </c>
      <c r="C3808" s="1385"/>
      <c r="D3808" s="1385"/>
      <c r="E3808" s="1385"/>
      <c r="F3808" s="1385"/>
      <c r="G3808" s="401"/>
      <c r="H3808" s="401"/>
      <c r="I3808" s="426"/>
      <c r="J3808" s="411"/>
      <c r="K3808" s="402">
        <f t="shared" si="597"/>
        <v>9300</v>
      </c>
      <c r="L3808" s="402">
        <f t="shared" si="597"/>
        <v>6395.3600000000006</v>
      </c>
      <c r="M3808" s="451">
        <f>L3808/L$3933</f>
        <v>3.1972176823231363E-2</v>
      </c>
      <c r="N3808" s="796"/>
      <c r="P3808" s="399"/>
    </row>
    <row r="3809" spans="1:16" s="780" customFormat="1" ht="15" customHeight="1" x14ac:dyDescent="0.25">
      <c r="A3809" s="397"/>
      <c r="B3809" s="1386" t="s">
        <v>9691</v>
      </c>
      <c r="C3809" s="1386"/>
      <c r="D3809" s="1386"/>
      <c r="E3809" s="1386"/>
      <c r="F3809" s="1386"/>
      <c r="G3809" s="403"/>
      <c r="H3809" s="403"/>
      <c r="I3809" s="427"/>
      <c r="J3809" s="412"/>
      <c r="K3809" s="404">
        <f>K3810+K3813+K3814+K3815+K3816+K3818+K3819+K3820+K3821+K3822</f>
        <v>9300</v>
      </c>
      <c r="L3809" s="404">
        <f>L3810+L3813+L3814+L3815+L3816+L3818+L3819+L3820+L3821+L3822</f>
        <v>6395.3600000000006</v>
      </c>
      <c r="M3809" s="452">
        <f>L3809/L$3933</f>
        <v>3.1972176823231363E-2</v>
      </c>
      <c r="N3809" s="796"/>
      <c r="P3809" s="399"/>
    </row>
    <row r="3810" spans="1:16" s="115" customFormat="1" x14ac:dyDescent="0.25">
      <c r="B3810" s="821"/>
      <c r="C3810" s="821"/>
      <c r="D3810" s="822" t="s">
        <v>9855</v>
      </c>
      <c r="E3810" s="823">
        <v>333901400000000</v>
      </c>
      <c r="F3810" s="824" t="s">
        <v>9854</v>
      </c>
      <c r="G3810" s="824">
        <v>1128</v>
      </c>
      <c r="H3810" s="824">
        <v>0</v>
      </c>
      <c r="I3810" s="833"/>
      <c r="J3810" s="834"/>
      <c r="K3810" s="809">
        <f>'Parâmetros financeiros Despesa'!E2055</f>
        <v>1404</v>
      </c>
      <c r="L3810" s="809">
        <f>'Parâmetros financeiros Despesa'!F2055</f>
        <v>3000</v>
      </c>
      <c r="M3810" s="835">
        <f>L3810/L$3933</f>
        <v>1.4997831313592056E-2</v>
      </c>
      <c r="N3810" s="894"/>
      <c r="P3810" s="733"/>
    </row>
    <row r="3811" spans="1:16" x14ac:dyDescent="0.25">
      <c r="B3811" s="829" t="s">
        <v>9865</v>
      </c>
      <c r="C3811" s="821" t="s">
        <v>6062</v>
      </c>
      <c r="D3811" s="822" t="s">
        <v>9855</v>
      </c>
      <c r="E3811" s="840">
        <v>333901414010000</v>
      </c>
      <c r="F3811" s="841" t="s">
        <v>9853</v>
      </c>
      <c r="G3811" s="841">
        <v>1128</v>
      </c>
      <c r="H3811" s="841">
        <v>0</v>
      </c>
      <c r="I3811" s="826"/>
      <c r="J3811" s="827"/>
      <c r="K3811" s="843">
        <v>0</v>
      </c>
      <c r="L3811" s="843">
        <v>0</v>
      </c>
      <c r="M3811" s="839">
        <f t="shared" ref="M3811:M3823" si="598">L3811/L$3933</f>
        <v>0</v>
      </c>
    </row>
    <row r="3812" spans="1:16" x14ac:dyDescent="0.25">
      <c r="B3812" s="829" t="s">
        <v>9866</v>
      </c>
      <c r="C3812" s="821" t="s">
        <v>6062</v>
      </c>
      <c r="D3812" s="822" t="s">
        <v>9855</v>
      </c>
      <c r="E3812" s="840">
        <v>333901414030000</v>
      </c>
      <c r="F3812" s="841" t="s">
        <v>9852</v>
      </c>
      <c r="G3812" s="841">
        <v>1128</v>
      </c>
      <c r="H3812" s="841">
        <v>0</v>
      </c>
      <c r="I3812" s="826"/>
      <c r="J3812" s="827"/>
      <c r="K3812" s="843">
        <v>0</v>
      </c>
      <c r="L3812" s="843">
        <v>0</v>
      </c>
      <c r="M3812" s="839">
        <f t="shared" si="598"/>
        <v>0</v>
      </c>
    </row>
    <row r="3813" spans="1:16" s="115" customFormat="1" x14ac:dyDescent="0.25">
      <c r="B3813" s="821"/>
      <c r="C3813" s="821"/>
      <c r="D3813" s="822" t="s">
        <v>9856</v>
      </c>
      <c r="E3813" s="823">
        <v>333903000000000</v>
      </c>
      <c r="F3813" s="824" t="s">
        <v>9851</v>
      </c>
      <c r="G3813" s="824">
        <v>1128</v>
      </c>
      <c r="H3813" s="824">
        <v>0</v>
      </c>
      <c r="I3813" s="833"/>
      <c r="J3813" s="834"/>
      <c r="K3813" s="809">
        <f>'Parâmetros financeiros Despesa'!E2056</f>
        <v>0</v>
      </c>
      <c r="L3813" s="809">
        <f>'Parâmetros financeiros Despesa'!F2056</f>
        <v>795.36</v>
      </c>
      <c r="M3813" s="835">
        <f t="shared" si="598"/>
        <v>3.9762250378595262E-3</v>
      </c>
      <c r="N3813" s="894"/>
      <c r="P3813" s="733"/>
    </row>
    <row r="3814" spans="1:16" s="115" customFormat="1" x14ac:dyDescent="0.25">
      <c r="B3814" s="821"/>
      <c r="C3814" s="821"/>
      <c r="D3814" s="822" t="s">
        <v>9857</v>
      </c>
      <c r="E3814" s="823">
        <v>333903200000000</v>
      </c>
      <c r="F3814" s="824" t="s">
        <v>9850</v>
      </c>
      <c r="G3814" s="824">
        <v>1128</v>
      </c>
      <c r="H3814" s="824">
        <v>0</v>
      </c>
      <c r="I3814" s="833"/>
      <c r="J3814" s="834"/>
      <c r="K3814" s="809">
        <f>'Parâmetros financeiros Despesa'!E2057</f>
        <v>0</v>
      </c>
      <c r="L3814" s="809">
        <f>'Parâmetros financeiros Despesa'!F2057</f>
        <v>300</v>
      </c>
      <c r="M3814" s="835">
        <f t="shared" si="598"/>
        <v>1.4997831313592056E-3</v>
      </c>
      <c r="N3814" s="894"/>
      <c r="P3814" s="733"/>
    </row>
    <row r="3815" spans="1:16" s="115" customFormat="1" x14ac:dyDescent="0.25">
      <c r="B3815" s="821"/>
      <c r="C3815" s="821"/>
      <c r="D3815" s="822" t="s">
        <v>9858</v>
      </c>
      <c r="E3815" s="823">
        <v>333903600000000</v>
      </c>
      <c r="F3815" s="824" t="s">
        <v>9849</v>
      </c>
      <c r="G3815" s="824">
        <v>1128</v>
      </c>
      <c r="H3815" s="824">
        <v>0</v>
      </c>
      <c r="I3815" s="833"/>
      <c r="J3815" s="834"/>
      <c r="K3815" s="809">
        <f>'Parâmetros financeiros Despesa'!E2058</f>
        <v>0</v>
      </c>
      <c r="L3815" s="809">
        <f>'Parâmetros financeiros Despesa'!F2058</f>
        <v>300</v>
      </c>
      <c r="M3815" s="835">
        <f t="shared" si="598"/>
        <v>1.4997831313592056E-3</v>
      </c>
      <c r="N3815" s="894"/>
      <c r="P3815" s="733"/>
    </row>
    <row r="3816" spans="1:16" s="115" customFormat="1" x14ac:dyDescent="0.25">
      <c r="B3816" s="821"/>
      <c r="C3816" s="821"/>
      <c r="D3816" s="822" t="s">
        <v>9859</v>
      </c>
      <c r="E3816" s="823">
        <v>333903900000000</v>
      </c>
      <c r="F3816" s="824" t="s">
        <v>9848</v>
      </c>
      <c r="G3816" s="824">
        <v>1128</v>
      </c>
      <c r="H3816" s="824">
        <v>0</v>
      </c>
      <c r="I3816" s="833"/>
      <c r="J3816" s="834"/>
      <c r="K3816" s="809">
        <f>'Parâmetros financeiros Despesa'!E2059</f>
        <v>5970</v>
      </c>
      <c r="L3816" s="809">
        <f>'Parâmetros financeiros Despesa'!F2059</f>
        <v>300</v>
      </c>
      <c r="M3816" s="835">
        <f t="shared" si="598"/>
        <v>1.4997831313592056E-3</v>
      </c>
      <c r="N3816" s="894"/>
      <c r="P3816" s="733"/>
    </row>
    <row r="3817" spans="1:16" s="31" customFormat="1" x14ac:dyDescent="0.25">
      <c r="B3817" s="829" t="s">
        <v>9867</v>
      </c>
      <c r="C3817" s="829" t="s">
        <v>6062</v>
      </c>
      <c r="D3817" s="845" t="s">
        <v>9859</v>
      </c>
      <c r="E3817" s="836">
        <v>333903981000000</v>
      </c>
      <c r="F3817" s="832" t="s">
        <v>9847</v>
      </c>
      <c r="G3817" s="832">
        <v>1128</v>
      </c>
      <c r="H3817" s="832">
        <v>0</v>
      </c>
      <c r="I3817" s="837"/>
      <c r="J3817" s="838"/>
      <c r="K3817" s="843">
        <v>0</v>
      </c>
      <c r="L3817" s="843">
        <v>0</v>
      </c>
      <c r="M3817" s="839">
        <f t="shared" si="598"/>
        <v>0</v>
      </c>
      <c r="N3817" s="897"/>
      <c r="P3817" s="736"/>
    </row>
    <row r="3818" spans="1:16" s="115" customFormat="1" x14ac:dyDescent="0.25">
      <c r="B3818" s="821"/>
      <c r="C3818" s="821"/>
      <c r="D3818" s="822" t="s">
        <v>9860</v>
      </c>
      <c r="E3818" s="823">
        <v>333904700000000</v>
      </c>
      <c r="F3818" s="824" t="s">
        <v>9869</v>
      </c>
      <c r="G3818" s="824">
        <v>1128</v>
      </c>
      <c r="H3818" s="824">
        <v>0</v>
      </c>
      <c r="I3818" s="833"/>
      <c r="J3818" s="834"/>
      <c r="K3818" s="809">
        <f>'Parâmetros financeiros Despesa'!E2060</f>
        <v>0</v>
      </c>
      <c r="L3818" s="809">
        <f>'Parâmetros financeiros Despesa'!F2060</f>
        <v>60</v>
      </c>
      <c r="M3818" s="835">
        <f t="shared" si="598"/>
        <v>2.9995662627184112E-4</v>
      </c>
      <c r="N3818" s="894"/>
      <c r="P3818" s="733"/>
    </row>
    <row r="3819" spans="1:16" s="115" customFormat="1" x14ac:dyDescent="0.25">
      <c r="B3819" s="821"/>
      <c r="C3819" s="821"/>
      <c r="D3819" s="822" t="s">
        <v>9861</v>
      </c>
      <c r="E3819" s="823">
        <v>333933000000000</v>
      </c>
      <c r="F3819" s="824" t="s">
        <v>9846</v>
      </c>
      <c r="G3819" s="824">
        <v>1128</v>
      </c>
      <c r="H3819" s="824">
        <v>0</v>
      </c>
      <c r="I3819" s="833"/>
      <c r="J3819" s="834"/>
      <c r="K3819" s="809">
        <f>'Parâmetros financeiros Despesa'!E2061</f>
        <v>0</v>
      </c>
      <c r="L3819" s="809">
        <f>'Parâmetros financeiros Despesa'!F2061</f>
        <v>300</v>
      </c>
      <c r="M3819" s="835">
        <f t="shared" si="598"/>
        <v>1.4997831313592056E-3</v>
      </c>
      <c r="N3819" s="894"/>
      <c r="P3819" s="733"/>
    </row>
    <row r="3820" spans="1:16" s="115" customFormat="1" x14ac:dyDescent="0.25">
      <c r="B3820" s="821"/>
      <c r="C3820" s="821"/>
      <c r="D3820" s="822" t="s">
        <v>9862</v>
      </c>
      <c r="E3820" s="823">
        <v>333933900000000</v>
      </c>
      <c r="F3820" s="824" t="s">
        <v>9845</v>
      </c>
      <c r="G3820" s="824">
        <v>1128</v>
      </c>
      <c r="H3820" s="824">
        <v>0</v>
      </c>
      <c r="I3820" s="833"/>
      <c r="J3820" s="834"/>
      <c r="K3820" s="809">
        <f>'Parâmetros financeiros Despesa'!E2062</f>
        <v>0</v>
      </c>
      <c r="L3820" s="809">
        <f>'Parâmetros financeiros Despesa'!F2062</f>
        <v>440</v>
      </c>
      <c r="M3820" s="835">
        <f t="shared" si="598"/>
        <v>2.1996819259935017E-3</v>
      </c>
      <c r="N3820" s="894"/>
      <c r="P3820" s="733"/>
    </row>
    <row r="3821" spans="1:16" s="115" customFormat="1" x14ac:dyDescent="0.25">
      <c r="B3821" s="821"/>
      <c r="C3821" s="821"/>
      <c r="D3821" s="822" t="s">
        <v>9863</v>
      </c>
      <c r="E3821" s="823">
        <v>344905100000000</v>
      </c>
      <c r="F3821" s="824" t="s">
        <v>9844</v>
      </c>
      <c r="G3821" s="824">
        <v>1128</v>
      </c>
      <c r="H3821" s="824">
        <v>0</v>
      </c>
      <c r="I3821" s="833"/>
      <c r="J3821" s="834"/>
      <c r="K3821" s="809">
        <f>'Parâmetros financeiros Despesa'!E2063</f>
        <v>0</v>
      </c>
      <c r="L3821" s="809">
        <f>'Parâmetros financeiros Despesa'!F2063</f>
        <v>400</v>
      </c>
      <c r="M3821" s="835">
        <f t="shared" si="598"/>
        <v>1.999710841812274E-3</v>
      </c>
      <c r="N3821" s="894"/>
      <c r="P3821" s="733"/>
    </row>
    <row r="3822" spans="1:16" s="115" customFormat="1" x14ac:dyDescent="0.25">
      <c r="B3822" s="821"/>
      <c r="C3822" s="821"/>
      <c r="D3822" s="822" t="s">
        <v>9864</v>
      </c>
      <c r="E3822" s="823">
        <v>344905200000000</v>
      </c>
      <c r="F3822" s="824" t="s">
        <v>9843</v>
      </c>
      <c r="G3822" s="824">
        <v>1128</v>
      </c>
      <c r="H3822" s="824">
        <v>0</v>
      </c>
      <c r="I3822" s="833"/>
      <c r="J3822" s="834"/>
      <c r="K3822" s="809">
        <f>'Parâmetros financeiros Despesa'!E2064</f>
        <v>1926</v>
      </c>
      <c r="L3822" s="809">
        <f>'Parâmetros financeiros Despesa'!F2064</f>
        <v>500</v>
      </c>
      <c r="M3822" s="835">
        <f t="shared" si="598"/>
        <v>2.4996385522653426E-3</v>
      </c>
      <c r="N3822" s="894"/>
      <c r="P3822" s="733"/>
    </row>
    <row r="3823" spans="1:16" s="31" customFormat="1" x14ac:dyDescent="0.25">
      <c r="B3823" s="829" t="s">
        <v>9868</v>
      </c>
      <c r="C3823" s="829" t="s">
        <v>6062</v>
      </c>
      <c r="D3823" s="845" t="s">
        <v>9864</v>
      </c>
      <c r="E3823" s="836">
        <v>344905234000000</v>
      </c>
      <c r="F3823" s="832" t="s">
        <v>9842</v>
      </c>
      <c r="G3823" s="832">
        <v>1128</v>
      </c>
      <c r="H3823" s="832">
        <v>0</v>
      </c>
      <c r="I3823" s="837"/>
      <c r="J3823" s="838"/>
      <c r="K3823" s="843">
        <v>0</v>
      </c>
      <c r="L3823" s="843">
        <v>0</v>
      </c>
      <c r="M3823" s="839">
        <f t="shared" si="598"/>
        <v>0</v>
      </c>
      <c r="N3823" s="897"/>
      <c r="P3823" s="736"/>
    </row>
    <row r="3824" spans="1:16" s="780" customFormat="1" ht="15" customHeight="1" x14ac:dyDescent="0.25">
      <c r="A3824" s="397"/>
      <c r="B3824" s="1382" t="s">
        <v>7831</v>
      </c>
      <c r="C3824" s="1382"/>
      <c r="D3824" s="1382"/>
      <c r="E3824" s="1382"/>
      <c r="F3824" s="1382"/>
      <c r="G3824" s="405"/>
      <c r="H3824" s="405"/>
      <c r="I3824" s="428"/>
      <c r="J3824" s="413"/>
      <c r="K3824" s="406">
        <f t="shared" ref="K3824:L3826" si="599">K3825</f>
        <v>81487.564212500001</v>
      </c>
      <c r="L3824" s="406">
        <f t="shared" si="599"/>
        <v>103470.06519628879</v>
      </c>
      <c r="M3824" s="453">
        <f>L3824/L$3933</f>
        <v>0.5172755279401039</v>
      </c>
      <c r="N3824" s="796"/>
      <c r="P3824" s="399"/>
    </row>
    <row r="3825" spans="1:16" s="780" customFormat="1" ht="15" customHeight="1" x14ac:dyDescent="0.25">
      <c r="A3825" s="397"/>
      <c r="B3825" s="1383" t="s">
        <v>9584</v>
      </c>
      <c r="C3825" s="1383"/>
      <c r="D3825" s="1383"/>
      <c r="E3825" s="1383"/>
      <c r="F3825" s="1383"/>
      <c r="G3825" s="407"/>
      <c r="H3825" s="407"/>
      <c r="I3825" s="429"/>
      <c r="J3825" s="414"/>
      <c r="K3825" s="408">
        <f t="shared" si="599"/>
        <v>81487.564212500001</v>
      </c>
      <c r="L3825" s="408">
        <f t="shared" si="599"/>
        <v>103470.06519628879</v>
      </c>
      <c r="M3825" s="454">
        <f>L3825/L$3933</f>
        <v>0.5172755279401039</v>
      </c>
      <c r="N3825" s="796"/>
      <c r="P3825" s="399"/>
    </row>
    <row r="3826" spans="1:16" s="780" customFormat="1" ht="15" customHeight="1" x14ac:dyDescent="0.25">
      <c r="A3826" s="397"/>
      <c r="B3826" s="1385" t="s">
        <v>9489</v>
      </c>
      <c r="C3826" s="1385"/>
      <c r="D3826" s="1385"/>
      <c r="E3826" s="1385"/>
      <c r="F3826" s="1385"/>
      <c r="G3826" s="401"/>
      <c r="H3826" s="401"/>
      <c r="I3826" s="426"/>
      <c r="J3826" s="411"/>
      <c r="K3826" s="402">
        <f t="shared" si="599"/>
        <v>81487.564212500001</v>
      </c>
      <c r="L3826" s="402">
        <f t="shared" si="599"/>
        <v>103470.06519628879</v>
      </c>
      <c r="M3826" s="451">
        <f>L3826/L$3933</f>
        <v>0.5172755279401039</v>
      </c>
      <c r="N3826" s="796"/>
      <c r="P3826" s="399"/>
    </row>
    <row r="3827" spans="1:16" s="780" customFormat="1" ht="15" customHeight="1" x14ac:dyDescent="0.25">
      <c r="A3827" s="397"/>
      <c r="B3827" s="1386" t="s">
        <v>9692</v>
      </c>
      <c r="C3827" s="1386"/>
      <c r="D3827" s="1386"/>
      <c r="E3827" s="1386"/>
      <c r="F3827" s="1386"/>
      <c r="G3827" s="403"/>
      <c r="H3827" s="403"/>
      <c r="I3827" s="427"/>
      <c r="J3827" s="412"/>
      <c r="K3827" s="404">
        <f>K3828+K3833+K3834+K3835+K3836+K3837+K3840+K3841+K3858+K3859+K3860+K3864+K3867+K3869+K3870+K3874+K3875+K3876+0.01</f>
        <v>81487.564212500001</v>
      </c>
      <c r="L3827" s="404">
        <f>L3828+L3833+L3834+L3835+L3836+L3837+L3840+L3841+L3858+L3859+L3860+L3864+L3867+L3869+L3870+L3874+L3875+L3876+0.01</f>
        <v>103470.06519628879</v>
      </c>
      <c r="M3827" s="452">
        <f>L3827/L$3933</f>
        <v>0.5172755279401039</v>
      </c>
      <c r="N3827" s="796"/>
      <c r="P3827" s="399"/>
    </row>
    <row r="3828" spans="1:16" s="115" customFormat="1" x14ac:dyDescent="0.25">
      <c r="B3828" s="821"/>
      <c r="C3828" s="821"/>
      <c r="D3828" s="822" t="s">
        <v>9870</v>
      </c>
      <c r="E3828" s="823">
        <v>331900400000000</v>
      </c>
      <c r="F3828" s="824" t="s">
        <v>9872</v>
      </c>
      <c r="G3828" s="824">
        <v>1110</v>
      </c>
      <c r="H3828" s="824">
        <v>0</v>
      </c>
      <c r="I3828" s="833"/>
      <c r="J3828" s="834"/>
      <c r="K3828" s="809">
        <f>'Parâmetros financeiros Despesa'!E2066</f>
        <v>62500.854212500002</v>
      </c>
      <c r="L3828" s="809">
        <f>'Parâmetros financeiros Despesa'!F2066</f>
        <v>1</v>
      </c>
      <c r="M3828" s="835">
        <f>L3828/L$3933</f>
        <v>4.9992771045306853E-6</v>
      </c>
      <c r="N3828" s="894"/>
      <c r="P3828" s="733"/>
    </row>
    <row r="3829" spans="1:16" x14ac:dyDescent="0.25">
      <c r="B3829" s="829" t="s">
        <v>9871</v>
      </c>
      <c r="C3829" s="821" t="s">
        <v>6062</v>
      </c>
      <c r="D3829" s="822" t="s">
        <v>9870</v>
      </c>
      <c r="E3829" s="840">
        <v>331900499020000</v>
      </c>
      <c r="F3829" s="841" t="s">
        <v>9655</v>
      </c>
      <c r="G3829" s="841">
        <v>1110</v>
      </c>
      <c r="H3829" s="841">
        <v>0</v>
      </c>
      <c r="I3829" s="826"/>
      <c r="J3829" s="827"/>
      <c r="K3829" s="844">
        <v>0</v>
      </c>
      <c r="L3829" s="844">
        <v>0</v>
      </c>
      <c r="M3829" s="839">
        <f t="shared" ref="M3829:M3832" si="600">L3829/L$3933</f>
        <v>0</v>
      </c>
    </row>
    <row r="3830" spans="1:16" x14ac:dyDescent="0.25">
      <c r="B3830" s="829" t="s">
        <v>11480</v>
      </c>
      <c r="C3830" s="821" t="s">
        <v>6062</v>
      </c>
      <c r="D3830" s="822" t="s">
        <v>9870</v>
      </c>
      <c r="E3830" s="840">
        <v>331900499020000</v>
      </c>
      <c r="F3830" s="841" t="s">
        <v>9656</v>
      </c>
      <c r="G3830" s="841">
        <v>1110</v>
      </c>
      <c r="H3830" s="841">
        <v>0</v>
      </c>
      <c r="I3830" s="826"/>
      <c r="J3830" s="827"/>
      <c r="K3830" s="844">
        <v>0</v>
      </c>
      <c r="L3830" s="844">
        <v>0</v>
      </c>
      <c r="M3830" s="839">
        <f t="shared" si="600"/>
        <v>0</v>
      </c>
    </row>
    <row r="3831" spans="1:16" x14ac:dyDescent="0.25">
      <c r="B3831" s="829" t="s">
        <v>11481</v>
      </c>
      <c r="C3831" s="821" t="s">
        <v>6062</v>
      </c>
      <c r="D3831" s="822" t="s">
        <v>9870</v>
      </c>
      <c r="E3831" s="840">
        <v>331900499020000</v>
      </c>
      <c r="F3831" s="841" t="s">
        <v>9657</v>
      </c>
      <c r="G3831" s="841">
        <v>1110</v>
      </c>
      <c r="H3831" s="841">
        <v>0</v>
      </c>
      <c r="I3831" s="826"/>
      <c r="J3831" s="827"/>
      <c r="K3831" s="844">
        <v>0</v>
      </c>
      <c r="L3831" s="844">
        <v>0</v>
      </c>
      <c r="M3831" s="839">
        <f t="shared" si="600"/>
        <v>0</v>
      </c>
    </row>
    <row r="3832" spans="1:16" x14ac:dyDescent="0.25">
      <c r="B3832" s="829" t="s">
        <v>11482</v>
      </c>
      <c r="C3832" s="821" t="s">
        <v>6062</v>
      </c>
      <c r="D3832" s="822" t="s">
        <v>9870</v>
      </c>
      <c r="E3832" s="840">
        <v>331900415000000</v>
      </c>
      <c r="F3832" s="841" t="s">
        <v>9658</v>
      </c>
      <c r="G3832" s="841">
        <v>1110</v>
      </c>
      <c r="H3832" s="841">
        <v>0</v>
      </c>
      <c r="I3832" s="826"/>
      <c r="J3832" s="827"/>
      <c r="K3832" s="844">
        <v>0</v>
      </c>
      <c r="L3832" s="844">
        <v>0</v>
      </c>
      <c r="M3832" s="839">
        <f t="shared" si="600"/>
        <v>0</v>
      </c>
    </row>
    <row r="3833" spans="1:16" s="115" customFormat="1" x14ac:dyDescent="0.25">
      <c r="B3833" s="821"/>
      <c r="C3833" s="821"/>
      <c r="D3833" s="822" t="s">
        <v>11457</v>
      </c>
      <c r="E3833" s="823">
        <v>331900400000000</v>
      </c>
      <c r="F3833" s="824" t="s">
        <v>11458</v>
      </c>
      <c r="G3833" s="824">
        <v>1</v>
      </c>
      <c r="H3833" s="824">
        <v>0</v>
      </c>
      <c r="I3833" s="833"/>
      <c r="J3833" s="834"/>
      <c r="K3833" s="809">
        <f>'Parâmetros financeiros Despesa'!E2067</f>
        <v>0</v>
      </c>
      <c r="L3833" s="809">
        <f>'Parâmetros financeiros Despesa'!F2067</f>
        <v>39907.664361186296</v>
      </c>
      <c r="M3833" s="835">
        <f>L3833/L$3933</f>
        <v>0.19950947273617384</v>
      </c>
      <c r="N3833" s="894"/>
      <c r="P3833" s="733"/>
    </row>
    <row r="3834" spans="1:16" s="115" customFormat="1" x14ac:dyDescent="0.25">
      <c r="B3834" s="821"/>
      <c r="C3834" s="821"/>
      <c r="D3834" s="822" t="s">
        <v>9888</v>
      </c>
      <c r="E3834" s="823">
        <v>331901100000000</v>
      </c>
      <c r="F3834" s="824" t="s">
        <v>9873</v>
      </c>
      <c r="G3834" s="824">
        <v>1110</v>
      </c>
      <c r="H3834" s="824">
        <v>0</v>
      </c>
      <c r="I3834" s="833"/>
      <c r="J3834" s="834"/>
      <c r="K3834" s="809">
        <f>'Parâmetros financeiros Despesa'!E2068</f>
        <v>0</v>
      </c>
      <c r="L3834" s="809">
        <f>'Parâmetros financeiros Despesa'!F2068</f>
        <v>25422.170000000006</v>
      </c>
      <c r="M3834" s="835">
        <f>L3834/L$3933</f>
        <v>0.12709247242848687</v>
      </c>
      <c r="N3834" s="894"/>
      <c r="P3834" s="733"/>
    </row>
    <row r="3835" spans="1:16" s="115" customFormat="1" x14ac:dyDescent="0.25">
      <c r="B3835" s="821"/>
      <c r="C3835" s="821"/>
      <c r="D3835" s="822" t="s">
        <v>9889</v>
      </c>
      <c r="E3835" s="823">
        <v>331901300000000</v>
      </c>
      <c r="F3835" s="824" t="s">
        <v>9874</v>
      </c>
      <c r="G3835" s="824">
        <v>1110</v>
      </c>
      <c r="H3835" s="824">
        <v>0</v>
      </c>
      <c r="I3835" s="833"/>
      <c r="J3835" s="834"/>
      <c r="K3835" s="809">
        <f>'Parâmetros financeiros Despesa'!E2069</f>
        <v>0</v>
      </c>
      <c r="L3835" s="809">
        <f>'Parâmetros financeiros Despesa'!F2069</f>
        <v>6056.1889435014073</v>
      </c>
      <c r="M3835" s="835">
        <f>L3835/L$3933</f>
        <v>3.0276566725958465E-2</v>
      </c>
      <c r="N3835" s="894"/>
      <c r="P3835" s="733"/>
    </row>
    <row r="3836" spans="1:16" s="115" customFormat="1" x14ac:dyDescent="0.25">
      <c r="B3836" s="821"/>
      <c r="C3836" s="821"/>
      <c r="D3836" s="822" t="s">
        <v>11460</v>
      </c>
      <c r="E3836" s="823">
        <v>331901300000000</v>
      </c>
      <c r="F3836" s="824" t="s">
        <v>11459</v>
      </c>
      <c r="G3836" s="824">
        <v>1</v>
      </c>
      <c r="H3836" s="824">
        <v>0</v>
      </c>
      <c r="I3836" s="833"/>
      <c r="J3836" s="834"/>
      <c r="K3836" s="809">
        <f>'Parâmetros financeiros Despesa'!E2070</f>
        <v>0</v>
      </c>
      <c r="L3836" s="809">
        <f>'Parâmetros financeiros Despesa'!F2070</f>
        <v>9501.7754384122909</v>
      </c>
      <c r="M3836" s="835">
        <f>L3836/L$3933</f>
        <v>4.7502008401646582E-2</v>
      </c>
      <c r="N3836" s="894"/>
      <c r="P3836" s="733"/>
    </row>
    <row r="3837" spans="1:16" s="115" customFormat="1" x14ac:dyDescent="0.25">
      <c r="B3837" s="821"/>
      <c r="C3837" s="821"/>
      <c r="D3837" s="822" t="s">
        <v>9890</v>
      </c>
      <c r="E3837" s="823">
        <v>331901600000000</v>
      </c>
      <c r="F3837" s="824" t="s">
        <v>9875</v>
      </c>
      <c r="G3837" s="824">
        <v>1110</v>
      </c>
      <c r="H3837" s="824">
        <v>0</v>
      </c>
      <c r="I3837" s="833"/>
      <c r="J3837" s="834"/>
      <c r="K3837" s="809">
        <f>'Parâmetros financeiros Despesa'!E2071</f>
        <v>0</v>
      </c>
      <c r="L3837" s="809">
        <f>'Parâmetros financeiros Despesa'!F2071</f>
        <v>13.955830560223728</v>
      </c>
      <c r="M3837" s="835">
        <f>L3837/L$3933</f>
        <v>6.9769064194436133E-5</v>
      </c>
      <c r="N3837" s="894"/>
      <c r="P3837" s="733"/>
    </row>
    <row r="3838" spans="1:16" x14ac:dyDescent="0.25">
      <c r="B3838" s="829" t="s">
        <v>9891</v>
      </c>
      <c r="C3838" s="821" t="s">
        <v>6062</v>
      </c>
      <c r="D3838" s="822" t="s">
        <v>9890</v>
      </c>
      <c r="E3838" s="840">
        <v>331901644000000</v>
      </c>
      <c r="F3838" s="841" t="s">
        <v>9659</v>
      </c>
      <c r="G3838" s="841">
        <v>1110</v>
      </c>
      <c r="H3838" s="841">
        <v>0</v>
      </c>
      <c r="I3838" s="826"/>
      <c r="J3838" s="827"/>
      <c r="K3838" s="844">
        <v>0</v>
      </c>
      <c r="L3838" s="844">
        <v>0</v>
      </c>
      <c r="M3838" s="839">
        <f t="shared" ref="M3838:M3839" si="601">L3838/L$3933</f>
        <v>0</v>
      </c>
    </row>
    <row r="3839" spans="1:16" x14ac:dyDescent="0.25">
      <c r="B3839" s="829" t="s">
        <v>11483</v>
      </c>
      <c r="C3839" s="821" t="s">
        <v>6062</v>
      </c>
      <c r="D3839" s="822" t="s">
        <v>9890</v>
      </c>
      <c r="E3839" s="840">
        <v>331901644000000</v>
      </c>
      <c r="F3839" s="841" t="s">
        <v>9660</v>
      </c>
      <c r="G3839" s="841">
        <v>1110</v>
      </c>
      <c r="H3839" s="841">
        <v>0</v>
      </c>
      <c r="I3839" s="826"/>
      <c r="J3839" s="827"/>
      <c r="K3839" s="844">
        <v>0</v>
      </c>
      <c r="L3839" s="844">
        <v>0</v>
      </c>
      <c r="M3839" s="839">
        <f t="shared" si="601"/>
        <v>0</v>
      </c>
    </row>
    <row r="3840" spans="1:16" s="780" customFormat="1" x14ac:dyDescent="0.25">
      <c r="B3840" s="828"/>
      <c r="C3840" s="828"/>
      <c r="D3840" s="822" t="s">
        <v>9892</v>
      </c>
      <c r="E3840" s="823">
        <v>333901400000000</v>
      </c>
      <c r="F3840" s="824" t="s">
        <v>9877</v>
      </c>
      <c r="G3840" s="824">
        <v>1110</v>
      </c>
      <c r="H3840" s="824">
        <v>0</v>
      </c>
      <c r="I3840" s="826"/>
      <c r="J3840" s="827"/>
      <c r="K3840" s="809">
        <f>'Parâmetros financeiros Despesa'!E2072</f>
        <v>0</v>
      </c>
      <c r="L3840" s="809">
        <f>'Parâmetros financeiros Despesa'!F2072</f>
        <v>1000</v>
      </c>
      <c r="M3840" s="835">
        <f>L3840/L$3933</f>
        <v>4.9992771045306852E-3</v>
      </c>
      <c r="N3840" s="796"/>
      <c r="P3840" s="399"/>
    </row>
    <row r="3841" spans="2:16" s="115" customFormat="1" x14ac:dyDescent="0.25">
      <c r="B3841" s="821"/>
      <c r="C3841" s="821"/>
      <c r="D3841" s="822" t="s">
        <v>9893</v>
      </c>
      <c r="E3841" s="823">
        <v>333903000000000</v>
      </c>
      <c r="F3841" s="824" t="s">
        <v>9878</v>
      </c>
      <c r="G3841" s="824">
        <v>1110</v>
      </c>
      <c r="H3841" s="824">
        <v>0</v>
      </c>
      <c r="I3841" s="833"/>
      <c r="J3841" s="834"/>
      <c r="K3841" s="809">
        <f>'Parâmetros financeiros Despesa'!E2073</f>
        <v>9113.744999999999</v>
      </c>
      <c r="L3841" s="809">
        <f>'Parâmetros financeiros Despesa'!F2073</f>
        <v>10000</v>
      </c>
      <c r="M3841" s="835">
        <f>L3841/L$3933</f>
        <v>4.9992771045306854E-2</v>
      </c>
      <c r="N3841" s="894"/>
      <c r="P3841" s="733"/>
    </row>
    <row r="3842" spans="2:16" x14ac:dyDescent="0.25">
      <c r="B3842" s="829" t="s">
        <v>9894</v>
      </c>
      <c r="C3842" s="821" t="s">
        <v>6062</v>
      </c>
      <c r="D3842" s="822" t="s">
        <v>9893</v>
      </c>
      <c r="E3842" s="840">
        <v>333903039020000</v>
      </c>
      <c r="F3842" s="841" t="s">
        <v>9661</v>
      </c>
      <c r="G3842" s="841">
        <v>1110</v>
      </c>
      <c r="H3842" s="841">
        <v>0</v>
      </c>
      <c r="I3842" s="826"/>
      <c r="J3842" s="827"/>
      <c r="K3842" s="844">
        <v>0</v>
      </c>
      <c r="L3842" s="844">
        <v>0</v>
      </c>
      <c r="M3842" s="839">
        <f t="shared" ref="M3842:M3857" si="602">L3842/L$3933</f>
        <v>0</v>
      </c>
    </row>
    <row r="3843" spans="2:16" x14ac:dyDescent="0.25">
      <c r="B3843" s="829" t="s">
        <v>11484</v>
      </c>
      <c r="C3843" s="821" t="s">
        <v>6062</v>
      </c>
      <c r="D3843" s="822" t="s">
        <v>9893</v>
      </c>
      <c r="E3843" s="840">
        <v>333903099000000</v>
      </c>
      <c r="F3843" s="841" t="s">
        <v>8840</v>
      </c>
      <c r="G3843" s="841">
        <v>1110</v>
      </c>
      <c r="H3843" s="841">
        <v>0</v>
      </c>
      <c r="I3843" s="826"/>
      <c r="J3843" s="827"/>
      <c r="K3843" s="844">
        <v>0</v>
      </c>
      <c r="L3843" s="844">
        <v>0</v>
      </c>
      <c r="M3843" s="839">
        <f t="shared" si="602"/>
        <v>0</v>
      </c>
    </row>
    <row r="3844" spans="2:16" x14ac:dyDescent="0.25">
      <c r="B3844" s="829" t="s">
        <v>11485</v>
      </c>
      <c r="C3844" s="821" t="s">
        <v>6062</v>
      </c>
      <c r="D3844" s="822" t="s">
        <v>9893</v>
      </c>
      <c r="E3844" s="840">
        <v>333903017010100</v>
      </c>
      <c r="F3844" s="841" t="s">
        <v>9662</v>
      </c>
      <c r="G3844" s="841">
        <v>1110</v>
      </c>
      <c r="H3844" s="841">
        <v>0</v>
      </c>
      <c r="I3844" s="826"/>
      <c r="J3844" s="827"/>
      <c r="K3844" s="844">
        <v>0</v>
      </c>
      <c r="L3844" s="844">
        <v>0</v>
      </c>
      <c r="M3844" s="839">
        <f t="shared" si="602"/>
        <v>0</v>
      </c>
    </row>
    <row r="3845" spans="2:16" x14ac:dyDescent="0.25">
      <c r="B3845" s="829" t="s">
        <v>11485</v>
      </c>
      <c r="C3845" s="821" t="s">
        <v>6062</v>
      </c>
      <c r="D3845" s="822" t="s">
        <v>9893</v>
      </c>
      <c r="E3845" s="840">
        <v>333903017010200</v>
      </c>
      <c r="F3845" s="841" t="s">
        <v>9663</v>
      </c>
      <c r="G3845" s="841">
        <v>1110</v>
      </c>
      <c r="H3845" s="841">
        <v>0</v>
      </c>
      <c r="I3845" s="826"/>
      <c r="J3845" s="827"/>
      <c r="K3845" s="844">
        <v>0</v>
      </c>
      <c r="L3845" s="844">
        <v>0</v>
      </c>
      <c r="M3845" s="839">
        <f t="shared" si="602"/>
        <v>0</v>
      </c>
    </row>
    <row r="3846" spans="2:16" x14ac:dyDescent="0.25">
      <c r="B3846" s="829" t="s">
        <v>11486</v>
      </c>
      <c r="C3846" s="821" t="s">
        <v>6062</v>
      </c>
      <c r="D3846" s="822" t="s">
        <v>9893</v>
      </c>
      <c r="E3846" s="840">
        <v>333903039100000</v>
      </c>
      <c r="F3846" s="841" t="s">
        <v>9664</v>
      </c>
      <c r="G3846" s="841">
        <v>1110</v>
      </c>
      <c r="H3846" s="841">
        <v>0</v>
      </c>
      <c r="I3846" s="826"/>
      <c r="J3846" s="827"/>
      <c r="K3846" s="844">
        <v>0</v>
      </c>
      <c r="L3846" s="844">
        <v>0</v>
      </c>
      <c r="M3846" s="839">
        <f t="shared" si="602"/>
        <v>0</v>
      </c>
    </row>
    <row r="3847" spans="2:16" x14ac:dyDescent="0.25">
      <c r="B3847" s="829" t="s">
        <v>11487</v>
      </c>
      <c r="C3847" s="821" t="s">
        <v>6062</v>
      </c>
      <c r="D3847" s="822" t="s">
        <v>9893</v>
      </c>
      <c r="E3847" s="840">
        <v>333903039100000</v>
      </c>
      <c r="F3847" s="841" t="s">
        <v>9665</v>
      </c>
      <c r="G3847" s="841">
        <v>1110</v>
      </c>
      <c r="H3847" s="841">
        <v>0</v>
      </c>
      <c r="I3847" s="826"/>
      <c r="J3847" s="827"/>
      <c r="K3847" s="844">
        <v>0</v>
      </c>
      <c r="L3847" s="844">
        <v>0</v>
      </c>
      <c r="M3847" s="839">
        <f t="shared" si="602"/>
        <v>0</v>
      </c>
    </row>
    <row r="3848" spans="2:16" x14ac:dyDescent="0.25">
      <c r="B3848" s="829" t="s">
        <v>11487</v>
      </c>
      <c r="C3848" s="821" t="s">
        <v>6062</v>
      </c>
      <c r="D3848" s="822" t="s">
        <v>9893</v>
      </c>
      <c r="E3848" s="840">
        <v>333903022010200</v>
      </c>
      <c r="F3848" s="841" t="s">
        <v>2161</v>
      </c>
      <c r="G3848" s="841">
        <v>1110</v>
      </c>
      <c r="H3848" s="841">
        <v>0</v>
      </c>
      <c r="I3848" s="826"/>
      <c r="J3848" s="827"/>
      <c r="K3848" s="844">
        <v>0</v>
      </c>
      <c r="L3848" s="844">
        <v>0</v>
      </c>
      <c r="M3848" s="839">
        <f t="shared" si="602"/>
        <v>0</v>
      </c>
    </row>
    <row r="3849" spans="2:16" x14ac:dyDescent="0.25">
      <c r="B3849" s="829" t="s">
        <v>11488</v>
      </c>
      <c r="C3849" s="821" t="s">
        <v>6062</v>
      </c>
      <c r="D3849" s="822" t="s">
        <v>9893</v>
      </c>
      <c r="E3849" s="840">
        <v>333903026020000</v>
      </c>
      <c r="F3849" s="841" t="s">
        <v>9666</v>
      </c>
      <c r="G3849" s="841">
        <v>1110</v>
      </c>
      <c r="H3849" s="841">
        <v>0</v>
      </c>
      <c r="I3849" s="826"/>
      <c r="J3849" s="827"/>
      <c r="K3849" s="844">
        <v>0</v>
      </c>
      <c r="L3849" s="844">
        <v>0</v>
      </c>
      <c r="M3849" s="839">
        <f t="shared" si="602"/>
        <v>0</v>
      </c>
    </row>
    <row r="3850" spans="2:16" x14ac:dyDescent="0.25">
      <c r="B3850" s="829" t="s">
        <v>11489</v>
      </c>
      <c r="C3850" s="821" t="s">
        <v>6062</v>
      </c>
      <c r="D3850" s="822" t="s">
        <v>9893</v>
      </c>
      <c r="E3850" s="840">
        <v>333903024000000</v>
      </c>
      <c r="F3850" s="841" t="s">
        <v>9652</v>
      </c>
      <c r="G3850" s="841">
        <v>1110</v>
      </c>
      <c r="H3850" s="841">
        <v>0</v>
      </c>
      <c r="I3850" s="826"/>
      <c r="J3850" s="827"/>
      <c r="K3850" s="844">
        <v>0</v>
      </c>
      <c r="L3850" s="844">
        <v>0</v>
      </c>
      <c r="M3850" s="839">
        <f t="shared" si="602"/>
        <v>0</v>
      </c>
    </row>
    <row r="3851" spans="2:16" x14ac:dyDescent="0.25">
      <c r="B3851" s="829" t="s">
        <v>11490</v>
      </c>
      <c r="C3851" s="821" t="s">
        <v>6062</v>
      </c>
      <c r="D3851" s="822" t="s">
        <v>9893</v>
      </c>
      <c r="E3851" s="840">
        <v>333903024000000</v>
      </c>
      <c r="F3851" s="841" t="s">
        <v>9653</v>
      </c>
      <c r="G3851" s="841">
        <v>1110</v>
      </c>
      <c r="H3851" s="841">
        <v>0</v>
      </c>
      <c r="I3851" s="826"/>
      <c r="J3851" s="827"/>
      <c r="K3851" s="844">
        <v>0</v>
      </c>
      <c r="L3851" s="844">
        <v>0</v>
      </c>
      <c r="M3851" s="839">
        <f t="shared" si="602"/>
        <v>0</v>
      </c>
    </row>
    <row r="3852" spans="2:16" x14ac:dyDescent="0.25">
      <c r="B3852" s="829" t="s">
        <v>11491</v>
      </c>
      <c r="C3852" s="821" t="s">
        <v>6062</v>
      </c>
      <c r="D3852" s="822" t="s">
        <v>9893</v>
      </c>
      <c r="E3852" s="840">
        <v>333903022010100</v>
      </c>
      <c r="F3852" s="841" t="s">
        <v>2162</v>
      </c>
      <c r="G3852" s="841">
        <v>1110</v>
      </c>
      <c r="H3852" s="841">
        <v>0</v>
      </c>
      <c r="I3852" s="826"/>
      <c r="J3852" s="827"/>
      <c r="K3852" s="844">
        <v>0</v>
      </c>
      <c r="L3852" s="844">
        <v>0</v>
      </c>
      <c r="M3852" s="839">
        <f t="shared" si="602"/>
        <v>0</v>
      </c>
    </row>
    <row r="3853" spans="2:16" x14ac:dyDescent="0.25">
      <c r="B3853" s="829" t="s">
        <v>9894</v>
      </c>
      <c r="C3853" s="821" t="s">
        <v>6062</v>
      </c>
      <c r="D3853" s="822" t="s">
        <v>9893</v>
      </c>
      <c r="E3853" s="840">
        <v>333903016010100</v>
      </c>
      <c r="F3853" s="841" t="s">
        <v>9667</v>
      </c>
      <c r="G3853" s="841">
        <v>1110</v>
      </c>
      <c r="H3853" s="841">
        <v>0</v>
      </c>
      <c r="I3853" s="826"/>
      <c r="J3853" s="827"/>
      <c r="K3853" s="844">
        <v>0</v>
      </c>
      <c r="L3853" s="844">
        <v>0</v>
      </c>
      <c r="M3853" s="839">
        <f t="shared" si="602"/>
        <v>0</v>
      </c>
    </row>
    <row r="3854" spans="2:16" x14ac:dyDescent="0.25">
      <c r="B3854" s="829" t="s">
        <v>9894</v>
      </c>
      <c r="C3854" s="821" t="s">
        <v>6062</v>
      </c>
      <c r="D3854" s="822" t="s">
        <v>9893</v>
      </c>
      <c r="E3854" s="840">
        <v>333903016010200</v>
      </c>
      <c r="F3854" s="841" t="s">
        <v>9668</v>
      </c>
      <c r="G3854" s="841">
        <v>1110</v>
      </c>
      <c r="H3854" s="841">
        <v>0</v>
      </c>
      <c r="I3854" s="826"/>
      <c r="J3854" s="827"/>
      <c r="K3854" s="844">
        <v>0</v>
      </c>
      <c r="L3854" s="844">
        <v>0</v>
      </c>
      <c r="M3854" s="839">
        <f t="shared" si="602"/>
        <v>0</v>
      </c>
    </row>
    <row r="3855" spans="2:16" x14ac:dyDescent="0.25">
      <c r="B3855" s="829" t="s">
        <v>9894</v>
      </c>
      <c r="C3855" s="821" t="s">
        <v>6062</v>
      </c>
      <c r="D3855" s="822" t="s">
        <v>9893</v>
      </c>
      <c r="E3855" s="840">
        <v>333903007010000</v>
      </c>
      <c r="F3855" s="841" t="s">
        <v>2197</v>
      </c>
      <c r="G3855" s="841">
        <v>1110</v>
      </c>
      <c r="H3855" s="841">
        <v>0</v>
      </c>
      <c r="I3855" s="826"/>
      <c r="J3855" s="827"/>
      <c r="K3855" s="844">
        <v>0</v>
      </c>
      <c r="L3855" s="844">
        <v>0</v>
      </c>
      <c r="M3855" s="839">
        <f t="shared" si="602"/>
        <v>0</v>
      </c>
    </row>
    <row r="3856" spans="2:16" x14ac:dyDescent="0.25">
      <c r="B3856" s="829" t="s">
        <v>9894</v>
      </c>
      <c r="C3856" s="821" t="s">
        <v>6062</v>
      </c>
      <c r="D3856" s="822" t="s">
        <v>9893</v>
      </c>
      <c r="E3856" s="840">
        <v>333903039020000</v>
      </c>
      <c r="F3856" s="841" t="s">
        <v>9669</v>
      </c>
      <c r="G3856" s="841">
        <v>1110</v>
      </c>
      <c r="H3856" s="841">
        <v>0</v>
      </c>
      <c r="I3856" s="826"/>
      <c r="J3856" s="827"/>
      <c r="K3856" s="844">
        <v>0</v>
      </c>
      <c r="L3856" s="844">
        <v>0</v>
      </c>
      <c r="M3856" s="839">
        <f t="shared" si="602"/>
        <v>0</v>
      </c>
    </row>
    <row r="3857" spans="2:16" x14ac:dyDescent="0.25">
      <c r="B3857" s="829" t="s">
        <v>9894</v>
      </c>
      <c r="C3857" s="821" t="s">
        <v>6062</v>
      </c>
      <c r="D3857" s="822" t="s">
        <v>9893</v>
      </c>
      <c r="E3857" s="840">
        <v>333903026010000</v>
      </c>
      <c r="F3857" s="841" t="s">
        <v>9670</v>
      </c>
      <c r="G3857" s="841">
        <v>1110</v>
      </c>
      <c r="H3857" s="841">
        <v>0</v>
      </c>
      <c r="I3857" s="826"/>
      <c r="J3857" s="827"/>
      <c r="K3857" s="844">
        <v>0</v>
      </c>
      <c r="L3857" s="844">
        <v>0</v>
      </c>
      <c r="M3857" s="839">
        <f t="shared" si="602"/>
        <v>0</v>
      </c>
    </row>
    <row r="3858" spans="2:16" s="115" customFormat="1" x14ac:dyDescent="0.25">
      <c r="B3858" s="821"/>
      <c r="C3858" s="821"/>
      <c r="D3858" s="822" t="s">
        <v>9895</v>
      </c>
      <c r="E3858" s="823">
        <v>333903200000000</v>
      </c>
      <c r="F3858" s="824" t="s">
        <v>9879</v>
      </c>
      <c r="G3858" s="824">
        <v>1110</v>
      </c>
      <c r="H3858" s="824">
        <v>0</v>
      </c>
      <c r="I3858" s="833"/>
      <c r="J3858" s="834"/>
      <c r="K3858" s="809">
        <f>'Parâmetros financeiros Despesa'!E2074</f>
        <v>0</v>
      </c>
      <c r="L3858" s="809">
        <f>'Parâmetros financeiros Despesa'!F2074</f>
        <v>1000</v>
      </c>
      <c r="M3858" s="835">
        <f t="shared" ref="M3858:M3863" si="603">L3858/L$3933</f>
        <v>4.9992771045306852E-3</v>
      </c>
      <c r="N3858" s="894"/>
      <c r="P3858" s="733"/>
    </row>
    <row r="3859" spans="2:16" s="115" customFormat="1" x14ac:dyDescent="0.25">
      <c r="B3859" s="821"/>
      <c r="C3859" s="821"/>
      <c r="D3859" s="822" t="s">
        <v>9896</v>
      </c>
      <c r="E3859" s="823">
        <v>333903600000000</v>
      </c>
      <c r="F3859" s="824" t="s">
        <v>9880</v>
      </c>
      <c r="G3859" s="824">
        <v>1110</v>
      </c>
      <c r="H3859" s="824">
        <v>0</v>
      </c>
      <c r="I3859" s="833"/>
      <c r="J3859" s="834"/>
      <c r="K3859" s="809">
        <f>'Parâmetros financeiros Despesa'!E2075</f>
        <v>0</v>
      </c>
      <c r="L3859" s="809">
        <f>'Parâmetros financeiros Despesa'!F2075</f>
        <v>3000</v>
      </c>
      <c r="M3859" s="835">
        <f t="shared" si="603"/>
        <v>1.4997831313592056E-2</v>
      </c>
      <c r="N3859" s="894"/>
      <c r="P3859" s="733"/>
    </row>
    <row r="3860" spans="2:16" s="115" customFormat="1" x14ac:dyDescent="0.25">
      <c r="B3860" s="821"/>
      <c r="C3860" s="821"/>
      <c r="D3860" s="822" t="s">
        <v>9897</v>
      </c>
      <c r="E3860" s="823">
        <v>333903900000000</v>
      </c>
      <c r="F3860" s="824" t="s">
        <v>9881</v>
      </c>
      <c r="G3860" s="824">
        <v>1110</v>
      </c>
      <c r="H3860" s="824">
        <v>0</v>
      </c>
      <c r="I3860" s="833"/>
      <c r="J3860" s="834"/>
      <c r="K3860" s="809">
        <f>'Parâmetros financeiros Despesa'!E2076</f>
        <v>7429.5</v>
      </c>
      <c r="L3860" s="809">
        <f>'Parâmetros financeiros Despesa'!F2076</f>
        <v>2000</v>
      </c>
      <c r="M3860" s="835">
        <f t="shared" si="603"/>
        <v>9.9985542090613704E-3</v>
      </c>
      <c r="N3860" s="894"/>
      <c r="P3860" s="733"/>
    </row>
    <row r="3861" spans="2:16" x14ac:dyDescent="0.25">
      <c r="B3861" s="829" t="s">
        <v>9898</v>
      </c>
      <c r="C3861" s="821" t="s">
        <v>6062</v>
      </c>
      <c r="D3861" s="822" t="s">
        <v>9897</v>
      </c>
      <c r="E3861" s="840">
        <v>333903912000000</v>
      </c>
      <c r="F3861" s="841" t="s">
        <v>9671</v>
      </c>
      <c r="G3861" s="841">
        <v>1110</v>
      </c>
      <c r="H3861" s="841">
        <v>0</v>
      </c>
      <c r="I3861" s="826"/>
      <c r="J3861" s="827"/>
      <c r="K3861" s="844">
        <v>0</v>
      </c>
      <c r="L3861" s="844">
        <v>0</v>
      </c>
      <c r="M3861" s="839">
        <f t="shared" si="603"/>
        <v>0</v>
      </c>
    </row>
    <row r="3862" spans="2:16" x14ac:dyDescent="0.25">
      <c r="B3862" s="828" t="s">
        <v>11639</v>
      </c>
      <c r="C3862" s="821" t="s">
        <v>6062</v>
      </c>
      <c r="D3862" s="822" t="s">
        <v>9897</v>
      </c>
      <c r="E3862" s="840">
        <v>333903981000000</v>
      </c>
      <c r="F3862" s="841" t="s">
        <v>991</v>
      </c>
      <c r="G3862" s="841">
        <v>1110</v>
      </c>
      <c r="H3862" s="841">
        <v>0</v>
      </c>
      <c r="I3862" s="826"/>
      <c r="J3862" s="827"/>
      <c r="K3862" s="844">
        <v>0</v>
      </c>
      <c r="L3862" s="844">
        <v>0</v>
      </c>
      <c r="M3862" s="839">
        <f t="shared" si="603"/>
        <v>0</v>
      </c>
    </row>
    <row r="3863" spans="2:16" x14ac:dyDescent="0.25">
      <c r="B3863" s="828" t="s">
        <v>11640</v>
      </c>
      <c r="C3863" s="821" t="s">
        <v>6062</v>
      </c>
      <c r="D3863" s="822" t="s">
        <v>9897</v>
      </c>
      <c r="E3863" s="840">
        <v>333903995000000</v>
      </c>
      <c r="F3863" s="841" t="s">
        <v>9672</v>
      </c>
      <c r="G3863" s="841">
        <v>1110</v>
      </c>
      <c r="H3863" s="841">
        <v>0</v>
      </c>
      <c r="I3863" s="826"/>
      <c r="J3863" s="827"/>
      <c r="K3863" s="844">
        <v>0</v>
      </c>
      <c r="L3863" s="844">
        <v>0</v>
      </c>
      <c r="M3863" s="839">
        <f t="shared" si="603"/>
        <v>0</v>
      </c>
    </row>
    <row r="3864" spans="2:16" s="115" customFormat="1" x14ac:dyDescent="0.25">
      <c r="B3864" s="821"/>
      <c r="C3864" s="821"/>
      <c r="D3864" s="822" t="s">
        <v>9899</v>
      </c>
      <c r="E3864" s="823">
        <v>333904700000000</v>
      </c>
      <c r="F3864" s="824" t="s">
        <v>9882</v>
      </c>
      <c r="G3864" s="824">
        <v>1110</v>
      </c>
      <c r="H3864" s="824">
        <v>0</v>
      </c>
      <c r="I3864" s="833"/>
      <c r="J3864" s="834"/>
      <c r="K3864" s="809">
        <f>'Parâmetros financeiros Despesa'!E2077</f>
        <v>42.015000000000001</v>
      </c>
      <c r="L3864" s="809">
        <f>'Parâmetros financeiros Despesa'!F2077</f>
        <v>600</v>
      </c>
      <c r="M3864" s="835">
        <f>L3864/L$3933</f>
        <v>2.9995662627184112E-3</v>
      </c>
      <c r="N3864" s="894"/>
      <c r="P3864" s="733"/>
    </row>
    <row r="3865" spans="2:16" x14ac:dyDescent="0.25">
      <c r="B3865" s="829" t="s">
        <v>9900</v>
      </c>
      <c r="C3865" s="821" t="s">
        <v>6062</v>
      </c>
      <c r="D3865" s="822" t="s">
        <v>9899</v>
      </c>
      <c r="E3865" s="840">
        <v>333904720000000</v>
      </c>
      <c r="F3865" s="841" t="s">
        <v>9673</v>
      </c>
      <c r="G3865" s="841">
        <v>1110</v>
      </c>
      <c r="H3865" s="841">
        <v>0</v>
      </c>
      <c r="I3865" s="826"/>
      <c r="J3865" s="827"/>
      <c r="K3865" s="844">
        <v>0</v>
      </c>
      <c r="L3865" s="844">
        <v>0</v>
      </c>
      <c r="M3865" s="839">
        <f t="shared" ref="M3865:M3866" si="604">L3865/L$3933</f>
        <v>0</v>
      </c>
    </row>
    <row r="3866" spans="2:16" x14ac:dyDescent="0.25">
      <c r="B3866" s="829" t="s">
        <v>11641</v>
      </c>
      <c r="C3866" s="821" t="s">
        <v>6062</v>
      </c>
      <c r="D3866" s="822" t="s">
        <v>9899</v>
      </c>
      <c r="E3866" s="840">
        <v>333904715000000</v>
      </c>
      <c r="F3866" s="841" t="s">
        <v>9674</v>
      </c>
      <c r="G3866" s="841">
        <v>1110</v>
      </c>
      <c r="H3866" s="841">
        <v>0</v>
      </c>
      <c r="I3866" s="826"/>
      <c r="J3866" s="827"/>
      <c r="K3866" s="844">
        <v>0</v>
      </c>
      <c r="L3866" s="844">
        <v>0</v>
      </c>
      <c r="M3866" s="839">
        <f t="shared" si="604"/>
        <v>0</v>
      </c>
    </row>
    <row r="3867" spans="2:16" s="115" customFormat="1" x14ac:dyDescent="0.25">
      <c r="B3867" s="821"/>
      <c r="C3867" s="821"/>
      <c r="D3867" s="822" t="s">
        <v>9901</v>
      </c>
      <c r="E3867" s="823">
        <v>333904900000000</v>
      </c>
      <c r="F3867" s="824" t="s">
        <v>9876</v>
      </c>
      <c r="G3867" s="824">
        <v>1110</v>
      </c>
      <c r="H3867" s="824">
        <v>0</v>
      </c>
      <c r="I3867" s="833"/>
      <c r="J3867" s="834"/>
      <c r="K3867" s="809">
        <f>'Parâmetros financeiros Despesa'!E2078</f>
        <v>0</v>
      </c>
      <c r="L3867" s="809">
        <f>'Parâmetros financeiros Despesa'!F2078</f>
        <v>584.63062262856215</v>
      </c>
      <c r="M3867" s="835">
        <f>L3867/L$3933</f>
        <v>2.9227304863144901E-3</v>
      </c>
      <c r="N3867" s="894"/>
      <c r="P3867" s="733"/>
    </row>
    <row r="3868" spans="2:16" x14ac:dyDescent="0.25">
      <c r="B3868" s="829" t="s">
        <v>9902</v>
      </c>
      <c r="C3868" s="821" t="s">
        <v>6062</v>
      </c>
      <c r="D3868" s="822" t="s">
        <v>9901</v>
      </c>
      <c r="E3868" s="840">
        <v>333904901000000</v>
      </c>
      <c r="F3868" s="841" t="s">
        <v>9675</v>
      </c>
      <c r="G3868" s="841">
        <v>1110</v>
      </c>
      <c r="H3868" s="841">
        <v>0</v>
      </c>
      <c r="I3868" s="826"/>
      <c r="J3868" s="827"/>
      <c r="K3868" s="844">
        <v>0</v>
      </c>
      <c r="L3868" s="844">
        <v>0</v>
      </c>
      <c r="M3868" s="839">
        <f>L3868/L$3933</f>
        <v>0</v>
      </c>
    </row>
    <row r="3869" spans="2:16" s="780" customFormat="1" x14ac:dyDescent="0.25">
      <c r="B3869" s="829"/>
      <c r="C3869" s="821"/>
      <c r="D3869" s="822" t="s">
        <v>9908</v>
      </c>
      <c r="E3869" s="823">
        <v>333909300000000</v>
      </c>
      <c r="F3869" s="824" t="s">
        <v>9887</v>
      </c>
      <c r="G3869" s="824">
        <v>1110</v>
      </c>
      <c r="H3869" s="824">
        <v>0</v>
      </c>
      <c r="I3869" s="826"/>
      <c r="J3869" s="827"/>
      <c r="K3869" s="809">
        <f>'Parâmetros financeiros Despesa'!E2079</f>
        <v>0</v>
      </c>
      <c r="L3869" s="809">
        <f>'Parâmetros financeiros Despesa'!F2079</f>
        <v>500</v>
      </c>
      <c r="M3869" s="835">
        <f>L3869/L$3933</f>
        <v>2.4996385522653426E-3</v>
      </c>
      <c r="N3869" s="796"/>
      <c r="P3869" s="399"/>
    </row>
    <row r="3870" spans="2:16" s="115" customFormat="1" x14ac:dyDescent="0.25">
      <c r="B3870" s="821"/>
      <c r="C3870" s="821"/>
      <c r="D3870" s="822" t="s">
        <v>9903</v>
      </c>
      <c r="E3870" s="823">
        <v>333933000000000</v>
      </c>
      <c r="F3870" s="824" t="s">
        <v>9883</v>
      </c>
      <c r="G3870" s="824">
        <v>1110</v>
      </c>
      <c r="H3870" s="824">
        <v>0</v>
      </c>
      <c r="I3870" s="833"/>
      <c r="J3870" s="834"/>
      <c r="K3870" s="809">
        <f>'Parâmetros financeiros Despesa'!E2080</f>
        <v>1200.72</v>
      </c>
      <c r="L3870" s="809">
        <f>'Parâmetros financeiros Despesa'!F2080</f>
        <v>1000</v>
      </c>
      <c r="M3870" s="835">
        <f t="shared" ref="M3870" si="605">L3870/L$3924</f>
        <v>4.9992769746610285E-3</v>
      </c>
      <c r="N3870" s="894"/>
      <c r="P3870" s="733"/>
    </row>
    <row r="3871" spans="2:16" x14ac:dyDescent="0.25">
      <c r="B3871" s="829" t="s">
        <v>9904</v>
      </c>
      <c r="C3871" s="821" t="s">
        <v>6062</v>
      </c>
      <c r="D3871" s="822" t="s">
        <v>9903</v>
      </c>
      <c r="E3871" s="840">
        <v>333933005000000</v>
      </c>
      <c r="F3871" s="841" t="s">
        <v>9676</v>
      </c>
      <c r="G3871" s="841">
        <v>1110</v>
      </c>
      <c r="H3871" s="841">
        <v>0</v>
      </c>
      <c r="I3871" s="826"/>
      <c r="J3871" s="827"/>
      <c r="K3871" s="844">
        <v>0</v>
      </c>
      <c r="L3871" s="844">
        <v>0</v>
      </c>
      <c r="M3871" s="839">
        <f t="shared" ref="M3871:M3872" si="606">L3871/L$3933</f>
        <v>0</v>
      </c>
    </row>
    <row r="3872" spans="2:16" x14ac:dyDescent="0.25">
      <c r="B3872" s="829" t="s">
        <v>11642</v>
      </c>
      <c r="C3872" s="821" t="s">
        <v>6062</v>
      </c>
      <c r="D3872" s="822" t="s">
        <v>9903</v>
      </c>
      <c r="E3872" s="840">
        <v>333933002000000</v>
      </c>
      <c r="F3872" s="841" t="s">
        <v>9677</v>
      </c>
      <c r="G3872" s="841">
        <v>1110</v>
      </c>
      <c r="H3872" s="841">
        <v>0</v>
      </c>
      <c r="I3872" s="826"/>
      <c r="J3872" s="827"/>
      <c r="K3872" s="844">
        <v>0</v>
      </c>
      <c r="L3872" s="844">
        <v>0</v>
      </c>
      <c r="M3872" s="839">
        <f t="shared" si="606"/>
        <v>0</v>
      </c>
    </row>
    <row r="3873" spans="1:16" x14ac:dyDescent="0.25">
      <c r="B3873" s="829" t="s">
        <v>11643</v>
      </c>
      <c r="C3873" s="821" t="s">
        <v>6062</v>
      </c>
      <c r="D3873" s="822" t="s">
        <v>9903</v>
      </c>
      <c r="E3873" s="840">
        <v>333933005000000</v>
      </c>
      <c r="F3873" s="841" t="s">
        <v>9678</v>
      </c>
      <c r="G3873" s="841">
        <v>1110</v>
      </c>
      <c r="H3873" s="841">
        <v>0</v>
      </c>
      <c r="I3873" s="826"/>
      <c r="J3873" s="827"/>
      <c r="K3873" s="844">
        <v>0</v>
      </c>
      <c r="L3873" s="844">
        <v>0</v>
      </c>
      <c r="M3873" s="839">
        <f>L3873/L$3933</f>
        <v>0</v>
      </c>
    </row>
    <row r="3874" spans="1:16" s="780" customFormat="1" x14ac:dyDescent="0.25">
      <c r="B3874" s="828"/>
      <c r="C3874" s="828"/>
      <c r="D3874" s="822" t="s">
        <v>9905</v>
      </c>
      <c r="E3874" s="823">
        <v>333933900000000</v>
      </c>
      <c r="F3874" s="824" t="s">
        <v>9884</v>
      </c>
      <c r="G3874" s="824">
        <v>1110</v>
      </c>
      <c r="H3874" s="824">
        <v>0</v>
      </c>
      <c r="I3874" s="826"/>
      <c r="J3874" s="827"/>
      <c r="K3874" s="809">
        <f>'Parâmetros financeiros Despesa'!E2080</f>
        <v>1200.72</v>
      </c>
      <c r="L3874" s="809">
        <f>'Parâmetros financeiros Despesa'!F2080</f>
        <v>1000</v>
      </c>
      <c r="M3874" s="835">
        <f t="shared" ref="M3874:M3876" si="607">L3874/L$3933</f>
        <v>4.9992771045306852E-3</v>
      </c>
      <c r="N3874" s="796"/>
      <c r="P3874" s="399"/>
    </row>
    <row r="3875" spans="1:16" s="780" customFormat="1" x14ac:dyDescent="0.25">
      <c r="B3875" s="828"/>
      <c r="C3875" s="828"/>
      <c r="D3875" s="822" t="s">
        <v>9907</v>
      </c>
      <c r="E3875" s="823">
        <v>344905100000000</v>
      </c>
      <c r="F3875" s="824" t="s">
        <v>9885</v>
      </c>
      <c r="G3875" s="824">
        <v>1110</v>
      </c>
      <c r="H3875" s="824">
        <v>0</v>
      </c>
      <c r="I3875" s="826"/>
      <c r="J3875" s="827"/>
      <c r="K3875" s="809">
        <f>'Parâmetros financeiros Despesa'!E2081</f>
        <v>0</v>
      </c>
      <c r="L3875" s="809">
        <f>'Parâmetros financeiros Despesa'!F2081</f>
        <v>1000</v>
      </c>
      <c r="M3875" s="835">
        <f t="shared" si="607"/>
        <v>4.9992771045306852E-3</v>
      </c>
      <c r="N3875" s="796"/>
      <c r="P3875" s="399"/>
    </row>
    <row r="3876" spans="1:16" s="780" customFormat="1" x14ac:dyDescent="0.25">
      <c r="B3876" s="828"/>
      <c r="C3876" s="828"/>
      <c r="D3876" s="822" t="s">
        <v>9906</v>
      </c>
      <c r="E3876" s="823">
        <v>344905200000000</v>
      </c>
      <c r="F3876" s="824" t="s">
        <v>9886</v>
      </c>
      <c r="G3876" s="824">
        <v>1110</v>
      </c>
      <c r="H3876" s="824">
        <v>0</v>
      </c>
      <c r="I3876" s="826"/>
      <c r="J3876" s="827"/>
      <c r="K3876" s="809">
        <f>'Parâmetros financeiros Despesa'!E2083</f>
        <v>0</v>
      </c>
      <c r="L3876" s="809">
        <f>'Parâmetros financeiros Despesa'!F2083</f>
        <v>882.67</v>
      </c>
      <c r="M3876" s="835">
        <f t="shared" si="607"/>
        <v>4.4127119218560999E-3</v>
      </c>
      <c r="N3876" s="1394"/>
      <c r="O3876" s="1252"/>
      <c r="P3876" s="399"/>
    </row>
    <row r="3877" spans="1:16" s="780" customFormat="1" ht="15" customHeight="1" x14ac:dyDescent="0.25">
      <c r="A3877" s="397"/>
      <c r="B3877" s="1382" t="s">
        <v>7831</v>
      </c>
      <c r="C3877" s="1382"/>
      <c r="D3877" s="1382"/>
      <c r="E3877" s="1382"/>
      <c r="F3877" s="1382"/>
      <c r="G3877" s="405"/>
      <c r="H3877" s="405"/>
      <c r="I3877" s="428"/>
      <c r="J3877" s="413"/>
      <c r="K3877" s="406">
        <f t="shared" ref="K3877:L3879" si="608">K3878</f>
        <v>68068.23</v>
      </c>
      <c r="L3877" s="406">
        <f t="shared" si="608"/>
        <v>57363.12</v>
      </c>
      <c r="M3877" s="453">
        <f>L3877/L$3933</f>
        <v>0.28677413246044625</v>
      </c>
      <c r="N3877" s="796"/>
      <c r="P3877" s="399"/>
    </row>
    <row r="3878" spans="1:16" s="780" customFormat="1" ht="15" customHeight="1" x14ac:dyDescent="0.25">
      <c r="A3878" s="397"/>
      <c r="B3878" s="1383" t="s">
        <v>9584</v>
      </c>
      <c r="C3878" s="1383"/>
      <c r="D3878" s="1383"/>
      <c r="E3878" s="1383"/>
      <c r="F3878" s="1383"/>
      <c r="G3878" s="407"/>
      <c r="H3878" s="407"/>
      <c r="I3878" s="429"/>
      <c r="J3878" s="414"/>
      <c r="K3878" s="408">
        <f t="shared" si="608"/>
        <v>68068.23</v>
      </c>
      <c r="L3878" s="408">
        <f t="shared" si="608"/>
        <v>57363.12</v>
      </c>
      <c r="M3878" s="454">
        <f>L3878/L$3933</f>
        <v>0.28677413246044625</v>
      </c>
      <c r="N3878" s="796"/>
      <c r="P3878" s="399"/>
    </row>
    <row r="3879" spans="1:16" s="780" customFormat="1" ht="15" customHeight="1" x14ac:dyDescent="0.25">
      <c r="A3879" s="397"/>
      <c r="B3879" s="1385" t="s">
        <v>9489</v>
      </c>
      <c r="C3879" s="1385"/>
      <c r="D3879" s="1385"/>
      <c r="E3879" s="1385"/>
      <c r="F3879" s="1385"/>
      <c r="G3879" s="401"/>
      <c r="H3879" s="401"/>
      <c r="I3879" s="426"/>
      <c r="J3879" s="411"/>
      <c r="K3879" s="402">
        <f t="shared" si="608"/>
        <v>68068.23</v>
      </c>
      <c r="L3879" s="402">
        <f t="shared" si="608"/>
        <v>57363.12</v>
      </c>
      <c r="M3879" s="451">
        <f>L3879/L$3933</f>
        <v>0.28677413246044625</v>
      </c>
      <c r="N3879" s="796"/>
      <c r="P3879" s="399"/>
    </row>
    <row r="3880" spans="1:16" s="780" customFormat="1" ht="15" customHeight="1" x14ac:dyDescent="0.25">
      <c r="A3880" s="397"/>
      <c r="B3880" s="1386" t="s">
        <v>9694</v>
      </c>
      <c r="C3880" s="1386"/>
      <c r="D3880" s="1386"/>
      <c r="E3880" s="1386"/>
      <c r="F3880" s="1386"/>
      <c r="G3880" s="403"/>
      <c r="H3880" s="403"/>
      <c r="I3880" s="427"/>
      <c r="J3880" s="412"/>
      <c r="K3880" s="404">
        <f>K3881+K3882+K3883+K3884+K3885+K3886+K3895+K3896+K3899+K3909+K3912+K3913+K3914+K3915+K3916+K3917</f>
        <v>68068.23</v>
      </c>
      <c r="L3880" s="404">
        <f>L3881+L3882+L3883+L3884+L3885+L3886+L3895+L3896+L3899+L3909+L3912+L3913+L3914+L3915+L3916+L3917</f>
        <v>57363.12</v>
      </c>
      <c r="M3880" s="452">
        <f>L3880/L$3933</f>
        <v>0.28677413246044625</v>
      </c>
      <c r="N3880" s="796"/>
      <c r="P3880" s="399"/>
    </row>
    <row r="3881" spans="1:16" s="115" customFormat="1" x14ac:dyDescent="0.25">
      <c r="B3881" s="821"/>
      <c r="C3881" s="821"/>
      <c r="D3881" s="822" t="s">
        <v>9922</v>
      </c>
      <c r="E3881" s="823">
        <v>331900400000000</v>
      </c>
      <c r="F3881" s="824" t="s">
        <v>9909</v>
      </c>
      <c r="G3881" s="824">
        <v>1109</v>
      </c>
      <c r="H3881" s="824">
        <v>0</v>
      </c>
      <c r="I3881" s="833"/>
      <c r="J3881" s="834"/>
      <c r="K3881" s="809">
        <f>'Parâmetros financeiros Despesa'!E2085</f>
        <v>0</v>
      </c>
      <c r="L3881" s="809">
        <f>'Parâmetros financeiros Despesa'!F2085</f>
        <v>1</v>
      </c>
      <c r="M3881" s="835">
        <f>L3881/L$3933</f>
        <v>4.9992771045306853E-6</v>
      </c>
      <c r="N3881" s="894"/>
      <c r="P3881" s="733"/>
    </row>
    <row r="3882" spans="1:16" s="115" customFormat="1" x14ac:dyDescent="0.25">
      <c r="B3882" s="821"/>
      <c r="C3882" s="821"/>
      <c r="D3882" s="822" t="s">
        <v>9923</v>
      </c>
      <c r="E3882" s="823">
        <v>331901100000000</v>
      </c>
      <c r="F3882" s="824" t="s">
        <v>9912</v>
      </c>
      <c r="G3882" s="824">
        <v>1109</v>
      </c>
      <c r="H3882" s="824">
        <v>0</v>
      </c>
      <c r="I3882" s="833"/>
      <c r="J3882" s="834"/>
      <c r="K3882" s="809">
        <f>'Parâmetros financeiros Despesa'!E2086</f>
        <v>0</v>
      </c>
      <c r="L3882" s="809">
        <f>'Parâmetros financeiros Despesa'!F2086</f>
        <v>1</v>
      </c>
      <c r="M3882" s="835">
        <f t="shared" ref="M3882:M3917" si="609">L3882/L$3933</f>
        <v>4.9992771045306853E-6</v>
      </c>
      <c r="N3882" s="894"/>
      <c r="P3882" s="733"/>
    </row>
    <row r="3883" spans="1:16" s="115" customFormat="1" x14ac:dyDescent="0.25">
      <c r="B3883" s="821"/>
      <c r="C3883" s="821"/>
      <c r="D3883" s="822" t="s">
        <v>9925</v>
      </c>
      <c r="E3883" s="823">
        <v>331901300000000</v>
      </c>
      <c r="F3883" s="824" t="s">
        <v>9911</v>
      </c>
      <c r="G3883" s="824">
        <v>1109</v>
      </c>
      <c r="H3883" s="824">
        <v>0</v>
      </c>
      <c r="I3883" s="833"/>
      <c r="J3883" s="834"/>
      <c r="K3883" s="809">
        <f>'Parâmetros financeiros Despesa'!E2087</f>
        <v>0</v>
      </c>
      <c r="L3883" s="809">
        <f>'Parâmetros financeiros Despesa'!F2087</f>
        <v>1</v>
      </c>
      <c r="M3883" s="835">
        <f t="shared" si="609"/>
        <v>4.9992771045306853E-6</v>
      </c>
      <c r="N3883" s="894"/>
      <c r="P3883" s="733"/>
    </row>
    <row r="3884" spans="1:16" s="115" customFormat="1" x14ac:dyDescent="0.25">
      <c r="B3884" s="821"/>
      <c r="C3884" s="821"/>
      <c r="D3884" s="822" t="s">
        <v>9924</v>
      </c>
      <c r="E3884" s="823">
        <v>331901600000000</v>
      </c>
      <c r="F3884" s="824" t="s">
        <v>9910</v>
      </c>
      <c r="G3884" s="824">
        <v>1109</v>
      </c>
      <c r="H3884" s="824">
        <v>0</v>
      </c>
      <c r="I3884" s="833"/>
      <c r="J3884" s="834"/>
      <c r="K3884" s="809">
        <f>'Parâmetros financeiros Despesa'!E2088</f>
        <v>0</v>
      </c>
      <c r="L3884" s="809">
        <f>'Parâmetros financeiros Despesa'!F2088</f>
        <v>1</v>
      </c>
      <c r="M3884" s="835">
        <f t="shared" si="609"/>
        <v>4.9992771045306853E-6</v>
      </c>
      <c r="N3884" s="894"/>
      <c r="P3884" s="733"/>
    </row>
    <row r="3885" spans="1:16" s="780" customFormat="1" x14ac:dyDescent="0.25">
      <c r="B3885" s="828"/>
      <c r="C3885" s="828"/>
      <c r="D3885" s="822" t="s">
        <v>9926</v>
      </c>
      <c r="E3885" s="823">
        <v>333901400000000</v>
      </c>
      <c r="F3885" s="824" t="s">
        <v>9913</v>
      </c>
      <c r="G3885" s="824">
        <v>1109</v>
      </c>
      <c r="H3885" s="824">
        <v>0</v>
      </c>
      <c r="I3885" s="826"/>
      <c r="J3885" s="827"/>
      <c r="K3885" s="809">
        <f>'Parâmetros financeiros Despesa'!E2089</f>
        <v>0</v>
      </c>
      <c r="L3885" s="809">
        <f>'Parâmetros financeiros Despesa'!F2089</f>
        <v>1000</v>
      </c>
      <c r="M3885" s="835">
        <f t="shared" si="609"/>
        <v>4.9992771045306852E-3</v>
      </c>
      <c r="N3885" s="796"/>
      <c r="P3885" s="399"/>
    </row>
    <row r="3886" spans="1:16" s="115" customFormat="1" x14ac:dyDescent="0.25">
      <c r="B3886" s="821"/>
      <c r="C3886" s="821"/>
      <c r="D3886" s="822" t="s">
        <v>9927</v>
      </c>
      <c r="E3886" s="823">
        <v>333903000000000</v>
      </c>
      <c r="F3886" s="824" t="s">
        <v>9938</v>
      </c>
      <c r="G3886" s="824">
        <v>1109</v>
      </c>
      <c r="H3886" s="824">
        <v>0</v>
      </c>
      <c r="I3886" s="833"/>
      <c r="J3886" s="834"/>
      <c r="K3886" s="809">
        <f>'Parâmetros financeiros Despesa'!E2090</f>
        <v>9814.1849999999995</v>
      </c>
      <c r="L3886" s="809">
        <f>'Parâmetros financeiros Despesa'!F2090</f>
        <v>9859.1200000000008</v>
      </c>
      <c r="M3886" s="835">
        <f t="shared" si="609"/>
        <v>4.9288472886820575E-2</v>
      </c>
      <c r="N3886" s="894"/>
      <c r="P3886" s="733"/>
    </row>
    <row r="3887" spans="1:16" x14ac:dyDescent="0.25">
      <c r="B3887" s="828" t="s">
        <v>11631</v>
      </c>
      <c r="C3887" s="821" t="s">
        <v>6062</v>
      </c>
      <c r="D3887" s="822" t="s">
        <v>9927</v>
      </c>
      <c r="E3887" s="840">
        <v>333903007020000</v>
      </c>
      <c r="F3887" s="841" t="s">
        <v>9679</v>
      </c>
      <c r="G3887" s="841">
        <v>1109</v>
      </c>
      <c r="H3887" s="841">
        <v>0</v>
      </c>
      <c r="I3887" s="826"/>
      <c r="J3887" s="827"/>
      <c r="K3887" s="844">
        <v>0</v>
      </c>
      <c r="L3887" s="844">
        <v>0</v>
      </c>
      <c r="M3887" s="839">
        <f t="shared" si="609"/>
        <v>0</v>
      </c>
    </row>
    <row r="3888" spans="1:16" x14ac:dyDescent="0.25">
      <c r="B3888" s="828" t="s">
        <v>11632</v>
      </c>
      <c r="C3888" s="821" t="s">
        <v>6062</v>
      </c>
      <c r="D3888" s="822" t="s">
        <v>9927</v>
      </c>
      <c r="E3888" s="840">
        <v>333903014000000</v>
      </c>
      <c r="F3888" s="841" t="s">
        <v>9680</v>
      </c>
      <c r="G3888" s="841">
        <v>1109</v>
      </c>
      <c r="H3888" s="841">
        <v>0</v>
      </c>
      <c r="I3888" s="826"/>
      <c r="J3888" s="827"/>
      <c r="K3888" s="844">
        <v>0</v>
      </c>
      <c r="L3888" s="844">
        <v>0</v>
      </c>
      <c r="M3888" s="839">
        <f t="shared" si="609"/>
        <v>0</v>
      </c>
    </row>
    <row r="3889" spans="2:16" x14ac:dyDescent="0.25">
      <c r="B3889" s="828" t="s">
        <v>11633</v>
      </c>
      <c r="C3889" s="821" t="s">
        <v>6062</v>
      </c>
      <c r="D3889" s="822" t="s">
        <v>9927</v>
      </c>
      <c r="E3889" s="840">
        <v>333903014000000</v>
      </c>
      <c r="F3889" s="841" t="s">
        <v>9681</v>
      </c>
      <c r="G3889" s="841">
        <v>1109</v>
      </c>
      <c r="H3889" s="841">
        <v>0</v>
      </c>
      <c r="I3889" s="826"/>
      <c r="J3889" s="827"/>
      <c r="K3889" s="844">
        <v>0</v>
      </c>
      <c r="L3889" s="844">
        <v>0</v>
      </c>
      <c r="M3889" s="839">
        <f t="shared" si="609"/>
        <v>0</v>
      </c>
    </row>
    <row r="3890" spans="2:16" x14ac:dyDescent="0.25">
      <c r="B3890" s="828" t="s">
        <v>11634</v>
      </c>
      <c r="C3890" s="821" t="s">
        <v>6062</v>
      </c>
      <c r="D3890" s="822" t="s">
        <v>9927</v>
      </c>
      <c r="E3890" s="840">
        <v>333903099010100</v>
      </c>
      <c r="F3890" s="841" t="s">
        <v>8840</v>
      </c>
      <c r="G3890" s="841">
        <v>1109</v>
      </c>
      <c r="H3890" s="841">
        <v>0</v>
      </c>
      <c r="I3890" s="826"/>
      <c r="J3890" s="827"/>
      <c r="K3890" s="844">
        <v>0</v>
      </c>
      <c r="L3890" s="844">
        <v>0</v>
      </c>
      <c r="M3890" s="839">
        <f t="shared" si="609"/>
        <v>0</v>
      </c>
    </row>
    <row r="3891" spans="2:16" x14ac:dyDescent="0.25">
      <c r="B3891" s="828" t="s">
        <v>11635</v>
      </c>
      <c r="C3891" s="821" t="s">
        <v>6062</v>
      </c>
      <c r="D3891" s="822" t="s">
        <v>9927</v>
      </c>
      <c r="E3891" s="840">
        <v>333903007010000</v>
      </c>
      <c r="F3891" s="841" t="s">
        <v>2197</v>
      </c>
      <c r="G3891" s="841">
        <v>1109</v>
      </c>
      <c r="H3891" s="841">
        <v>0</v>
      </c>
      <c r="I3891" s="826"/>
      <c r="J3891" s="827"/>
      <c r="K3891" s="844">
        <v>0</v>
      </c>
      <c r="L3891" s="844">
        <v>0</v>
      </c>
      <c r="M3891" s="839">
        <f t="shared" si="609"/>
        <v>0</v>
      </c>
    </row>
    <row r="3892" spans="2:16" x14ac:dyDescent="0.25">
      <c r="B3892" s="828" t="s">
        <v>11636</v>
      </c>
      <c r="C3892" s="821" t="s">
        <v>6062</v>
      </c>
      <c r="D3892" s="822" t="s">
        <v>9927</v>
      </c>
      <c r="E3892" s="840">
        <v>333903039020000</v>
      </c>
      <c r="F3892" s="841" t="s">
        <v>9682</v>
      </c>
      <c r="G3892" s="841">
        <v>1109</v>
      </c>
      <c r="H3892" s="841">
        <v>0</v>
      </c>
      <c r="I3892" s="826"/>
      <c r="J3892" s="827"/>
      <c r="K3892" s="844">
        <v>0</v>
      </c>
      <c r="L3892" s="844">
        <v>0</v>
      </c>
      <c r="M3892" s="839">
        <f t="shared" si="609"/>
        <v>0</v>
      </c>
    </row>
    <row r="3893" spans="2:16" x14ac:dyDescent="0.25">
      <c r="B3893" s="828" t="s">
        <v>11637</v>
      </c>
      <c r="C3893" s="821" t="s">
        <v>6062</v>
      </c>
      <c r="D3893" s="822" t="s">
        <v>9927</v>
      </c>
      <c r="E3893" s="840">
        <v>333903039020000</v>
      </c>
      <c r="F3893" s="841" t="s">
        <v>9683</v>
      </c>
      <c r="G3893" s="841">
        <v>1109</v>
      </c>
      <c r="H3893" s="841">
        <v>0</v>
      </c>
      <c r="I3893" s="826"/>
      <c r="J3893" s="827"/>
      <c r="K3893" s="844">
        <v>0</v>
      </c>
      <c r="L3893" s="844">
        <v>0</v>
      </c>
      <c r="M3893" s="839">
        <f t="shared" si="609"/>
        <v>0</v>
      </c>
    </row>
    <row r="3894" spans="2:16" x14ac:dyDescent="0.25">
      <c r="B3894" s="828" t="s">
        <v>11638</v>
      </c>
      <c r="C3894" s="821" t="s">
        <v>6062</v>
      </c>
      <c r="D3894" s="822" t="s">
        <v>9927</v>
      </c>
      <c r="E3894" s="840">
        <v>333903099010200</v>
      </c>
      <c r="F3894" s="841" t="s">
        <v>8841</v>
      </c>
      <c r="G3894" s="841">
        <v>1109</v>
      </c>
      <c r="H3894" s="841">
        <v>0</v>
      </c>
      <c r="I3894" s="826"/>
      <c r="J3894" s="827"/>
      <c r="K3894" s="844">
        <v>0</v>
      </c>
      <c r="L3894" s="844">
        <v>0</v>
      </c>
      <c r="M3894" s="839">
        <f t="shared" si="609"/>
        <v>0</v>
      </c>
    </row>
    <row r="3895" spans="2:16" s="115" customFormat="1" x14ac:dyDescent="0.25">
      <c r="B3895" s="821"/>
      <c r="C3895" s="821"/>
      <c r="D3895" s="822" t="s">
        <v>9928</v>
      </c>
      <c r="E3895" s="823">
        <v>333903200000000</v>
      </c>
      <c r="F3895" s="824" t="s">
        <v>9914</v>
      </c>
      <c r="G3895" s="824">
        <v>1109</v>
      </c>
      <c r="H3895" s="824">
        <v>0</v>
      </c>
      <c r="I3895" s="833"/>
      <c r="J3895" s="834"/>
      <c r="K3895" s="809">
        <f>'Parâmetros financeiros Despesa'!E2091</f>
        <v>0</v>
      </c>
      <c r="L3895" s="809">
        <f>'Parâmetros financeiros Despesa'!F2091</f>
        <v>5000</v>
      </c>
      <c r="M3895" s="835">
        <f t="shared" si="609"/>
        <v>2.4996385522653427E-2</v>
      </c>
      <c r="N3895" s="894"/>
      <c r="P3895" s="733"/>
    </row>
    <row r="3896" spans="2:16" s="115" customFormat="1" x14ac:dyDescent="0.25">
      <c r="B3896" s="821"/>
      <c r="C3896" s="821"/>
      <c r="D3896" s="822" t="s">
        <v>9929</v>
      </c>
      <c r="E3896" s="823">
        <v>333903600000000</v>
      </c>
      <c r="F3896" s="824" t="s">
        <v>9915</v>
      </c>
      <c r="G3896" s="824">
        <v>1109</v>
      </c>
      <c r="H3896" s="824">
        <v>0</v>
      </c>
      <c r="I3896" s="833"/>
      <c r="J3896" s="834"/>
      <c r="K3896" s="809">
        <f>'Parâmetros financeiros Despesa'!E2092</f>
        <v>12315</v>
      </c>
      <c r="L3896" s="809">
        <f>'Parâmetros financeiros Despesa'!F2092</f>
        <v>15000</v>
      </c>
      <c r="M3896" s="835">
        <f t="shared" si="609"/>
        <v>7.4989156567960277E-2</v>
      </c>
      <c r="N3896" s="894"/>
      <c r="P3896" s="733"/>
    </row>
    <row r="3897" spans="2:16" x14ac:dyDescent="0.25">
      <c r="B3897" s="828" t="s">
        <v>11629</v>
      </c>
      <c r="C3897" s="821" t="s">
        <v>6062</v>
      </c>
      <c r="D3897" s="822" t="s">
        <v>9929</v>
      </c>
      <c r="E3897" s="840">
        <v>333903615000000</v>
      </c>
      <c r="F3897" s="841" t="s">
        <v>9684</v>
      </c>
      <c r="G3897" s="841">
        <v>1109</v>
      </c>
      <c r="H3897" s="841">
        <v>0</v>
      </c>
      <c r="I3897" s="826"/>
      <c r="J3897" s="827"/>
      <c r="K3897" s="844">
        <v>0</v>
      </c>
      <c r="L3897" s="844">
        <v>0</v>
      </c>
      <c r="M3897" s="839">
        <f t="shared" si="609"/>
        <v>0</v>
      </c>
    </row>
    <row r="3898" spans="2:16" x14ac:dyDescent="0.25">
      <c r="B3898" s="828" t="s">
        <v>11630</v>
      </c>
      <c r="C3898" s="821" t="s">
        <v>6062</v>
      </c>
      <c r="D3898" s="822" t="s">
        <v>9929</v>
      </c>
      <c r="E3898" s="840">
        <v>333903606000000</v>
      </c>
      <c r="F3898" s="841" t="s">
        <v>9685</v>
      </c>
      <c r="G3898" s="841">
        <v>1109</v>
      </c>
      <c r="H3898" s="841">
        <v>0</v>
      </c>
      <c r="I3898" s="826"/>
      <c r="J3898" s="827"/>
      <c r="K3898" s="844">
        <v>0</v>
      </c>
      <c r="L3898" s="844">
        <v>0</v>
      </c>
      <c r="M3898" s="839">
        <f t="shared" si="609"/>
        <v>0</v>
      </c>
    </row>
    <row r="3899" spans="2:16" s="115" customFormat="1" x14ac:dyDescent="0.25">
      <c r="B3899" s="821"/>
      <c r="C3899" s="821"/>
      <c r="D3899" s="822" t="s">
        <v>9930</v>
      </c>
      <c r="E3899" s="823">
        <v>333903900000000</v>
      </c>
      <c r="F3899" s="824" t="s">
        <v>9916</v>
      </c>
      <c r="G3899" s="824">
        <v>1109</v>
      </c>
      <c r="H3899" s="824">
        <v>0</v>
      </c>
      <c r="I3899" s="833"/>
      <c r="J3899" s="834"/>
      <c r="K3899" s="809">
        <f>'Parâmetros financeiros Despesa'!E2093</f>
        <v>44923.305</v>
      </c>
      <c r="L3899" s="809">
        <f>'Parâmetros financeiros Despesa'!F2093</f>
        <v>15000</v>
      </c>
      <c r="M3899" s="835">
        <f t="shared" si="609"/>
        <v>7.4989156567960277E-2</v>
      </c>
      <c r="N3899" s="894"/>
      <c r="P3899" s="733"/>
    </row>
    <row r="3900" spans="2:16" x14ac:dyDescent="0.25">
      <c r="B3900" s="828" t="s">
        <v>11620</v>
      </c>
      <c r="C3900" s="821" t="s">
        <v>6062</v>
      </c>
      <c r="D3900" s="822" t="s">
        <v>11619</v>
      </c>
      <c r="E3900" s="840">
        <v>333903905000000</v>
      </c>
      <c r="F3900" s="841" t="s">
        <v>4732</v>
      </c>
      <c r="G3900" s="841">
        <v>1109</v>
      </c>
      <c r="H3900" s="841">
        <v>0</v>
      </c>
      <c r="I3900" s="826"/>
      <c r="J3900" s="827"/>
      <c r="K3900" s="844">
        <v>0</v>
      </c>
      <c r="L3900" s="844">
        <v>0</v>
      </c>
      <c r="M3900" s="839">
        <f t="shared" si="609"/>
        <v>0</v>
      </c>
    </row>
    <row r="3901" spans="2:16" x14ac:dyDescent="0.25">
      <c r="B3901" s="828" t="s">
        <v>11621</v>
      </c>
      <c r="C3901" s="821" t="s">
        <v>6062</v>
      </c>
      <c r="D3901" s="822" t="s">
        <v>11619</v>
      </c>
      <c r="E3901" s="840">
        <v>333903999040000</v>
      </c>
      <c r="F3901" s="841" t="s">
        <v>5812</v>
      </c>
      <c r="G3901" s="841">
        <v>1109</v>
      </c>
      <c r="H3901" s="841">
        <v>0</v>
      </c>
      <c r="I3901" s="826"/>
      <c r="J3901" s="827"/>
      <c r="K3901" s="844">
        <v>0</v>
      </c>
      <c r="L3901" s="844">
        <v>0</v>
      </c>
      <c r="M3901" s="839">
        <f t="shared" si="609"/>
        <v>0</v>
      </c>
    </row>
    <row r="3902" spans="2:16" x14ac:dyDescent="0.25">
      <c r="B3902" s="828" t="s">
        <v>11622</v>
      </c>
      <c r="C3902" s="821" t="s">
        <v>6062</v>
      </c>
      <c r="D3902" s="822" t="s">
        <v>11619</v>
      </c>
      <c r="E3902" s="840">
        <v>333903981000000</v>
      </c>
      <c r="F3902" s="841" t="s">
        <v>991</v>
      </c>
      <c r="G3902" s="841">
        <v>1109</v>
      </c>
      <c r="H3902" s="841">
        <v>0</v>
      </c>
      <c r="I3902" s="826"/>
      <c r="J3902" s="827"/>
      <c r="K3902" s="844">
        <v>0</v>
      </c>
      <c r="L3902" s="844">
        <v>0</v>
      </c>
      <c r="M3902" s="839">
        <f t="shared" si="609"/>
        <v>0</v>
      </c>
    </row>
    <row r="3903" spans="2:16" x14ac:dyDescent="0.25">
      <c r="B3903" s="828" t="s">
        <v>11623</v>
      </c>
      <c r="C3903" s="821" t="s">
        <v>6062</v>
      </c>
      <c r="D3903" s="822" t="s">
        <v>11619</v>
      </c>
      <c r="E3903" s="840">
        <v>333903905000000</v>
      </c>
      <c r="F3903" s="841" t="s">
        <v>4739</v>
      </c>
      <c r="G3903" s="841">
        <v>1109</v>
      </c>
      <c r="H3903" s="841">
        <v>0</v>
      </c>
      <c r="I3903" s="826"/>
      <c r="J3903" s="827"/>
      <c r="K3903" s="844">
        <v>0</v>
      </c>
      <c r="L3903" s="844">
        <v>0</v>
      </c>
      <c r="M3903" s="839">
        <f t="shared" si="609"/>
        <v>0</v>
      </c>
    </row>
    <row r="3904" spans="2:16" x14ac:dyDescent="0.25">
      <c r="B3904" s="828" t="s">
        <v>11624</v>
      </c>
      <c r="C3904" s="821" t="s">
        <v>6062</v>
      </c>
      <c r="D3904" s="822" t="s">
        <v>11619</v>
      </c>
      <c r="E3904" s="840">
        <v>333903995000000</v>
      </c>
      <c r="F3904" s="841" t="s">
        <v>9686</v>
      </c>
      <c r="G3904" s="841">
        <v>1109</v>
      </c>
      <c r="H3904" s="841">
        <v>0</v>
      </c>
      <c r="I3904" s="826"/>
      <c r="J3904" s="827"/>
      <c r="K3904" s="844">
        <v>0</v>
      </c>
      <c r="L3904" s="844">
        <v>0</v>
      </c>
      <c r="M3904" s="839">
        <f t="shared" si="609"/>
        <v>0</v>
      </c>
    </row>
    <row r="3905" spans="1:16" x14ac:dyDescent="0.25">
      <c r="B3905" s="828" t="s">
        <v>11625</v>
      </c>
      <c r="C3905" s="821" t="s">
        <v>6062</v>
      </c>
      <c r="D3905" s="822" t="s">
        <v>11619</v>
      </c>
      <c r="E3905" s="840">
        <v>333903919020000</v>
      </c>
      <c r="F3905" s="841" t="s">
        <v>9654</v>
      </c>
      <c r="G3905" s="841">
        <v>1109</v>
      </c>
      <c r="H3905" s="841">
        <v>0</v>
      </c>
      <c r="I3905" s="826"/>
      <c r="J3905" s="827"/>
      <c r="K3905" s="844">
        <v>0</v>
      </c>
      <c r="L3905" s="844">
        <v>0</v>
      </c>
      <c r="M3905" s="839">
        <f t="shared" si="609"/>
        <v>0</v>
      </c>
    </row>
    <row r="3906" spans="1:16" x14ac:dyDescent="0.25">
      <c r="B3906" s="828" t="s">
        <v>11626</v>
      </c>
      <c r="C3906" s="821" t="s">
        <v>6062</v>
      </c>
      <c r="D3906" s="822" t="s">
        <v>11619</v>
      </c>
      <c r="E3906" s="840">
        <v>333903912000000</v>
      </c>
      <c r="F3906" s="841" t="s">
        <v>9687</v>
      </c>
      <c r="G3906" s="841">
        <v>1109</v>
      </c>
      <c r="H3906" s="841">
        <v>0</v>
      </c>
      <c r="I3906" s="826"/>
      <c r="J3906" s="827"/>
      <c r="K3906" s="844">
        <v>0</v>
      </c>
      <c r="L3906" s="844">
        <v>0</v>
      </c>
      <c r="M3906" s="839">
        <f t="shared" si="609"/>
        <v>0</v>
      </c>
    </row>
    <row r="3907" spans="1:16" x14ac:dyDescent="0.25">
      <c r="B3907" s="828" t="s">
        <v>11627</v>
      </c>
      <c r="C3907" s="821" t="s">
        <v>6062</v>
      </c>
      <c r="D3907" s="822" t="s">
        <v>11619</v>
      </c>
      <c r="E3907" s="840">
        <v>333903905000000</v>
      </c>
      <c r="F3907" s="841" t="s">
        <v>4735</v>
      </c>
      <c r="G3907" s="841">
        <v>1109</v>
      </c>
      <c r="H3907" s="841">
        <v>0</v>
      </c>
      <c r="I3907" s="826"/>
      <c r="J3907" s="827"/>
      <c r="K3907" s="844">
        <v>0</v>
      </c>
      <c r="L3907" s="844">
        <v>0</v>
      </c>
      <c r="M3907" s="839">
        <f t="shared" si="609"/>
        <v>0</v>
      </c>
    </row>
    <row r="3908" spans="1:16" x14ac:dyDescent="0.25">
      <c r="B3908" s="828" t="s">
        <v>11628</v>
      </c>
      <c r="C3908" s="821" t="s">
        <v>6062</v>
      </c>
      <c r="D3908" s="822" t="s">
        <v>11619</v>
      </c>
      <c r="E3908" s="840">
        <v>333903905000000</v>
      </c>
      <c r="F3908" s="841" t="s">
        <v>4737</v>
      </c>
      <c r="G3908" s="841">
        <v>1109</v>
      </c>
      <c r="H3908" s="841">
        <v>0</v>
      </c>
      <c r="I3908" s="826"/>
      <c r="J3908" s="827"/>
      <c r="K3908" s="844">
        <v>0</v>
      </c>
      <c r="L3908" s="844">
        <v>0</v>
      </c>
      <c r="M3908" s="839">
        <f t="shared" si="609"/>
        <v>0</v>
      </c>
    </row>
    <row r="3909" spans="1:16" s="115" customFormat="1" x14ac:dyDescent="0.25">
      <c r="B3909" s="821"/>
      <c r="C3909" s="821"/>
      <c r="D3909" s="822" t="s">
        <v>9931</v>
      </c>
      <c r="E3909" s="823">
        <v>333904700000000</v>
      </c>
      <c r="F3909" s="824" t="s">
        <v>9917</v>
      </c>
      <c r="G3909" s="824">
        <v>1109</v>
      </c>
      <c r="H3909" s="824">
        <v>0</v>
      </c>
      <c r="I3909" s="833"/>
      <c r="J3909" s="834"/>
      <c r="K3909" s="809">
        <f>'Parâmetros financeiros Despesa'!E2094</f>
        <v>1015.74</v>
      </c>
      <c r="L3909" s="809">
        <f>'Parâmetros financeiros Despesa'!F2094</f>
        <v>3000</v>
      </c>
      <c r="M3909" s="835">
        <f t="shared" si="609"/>
        <v>1.4997831313592056E-2</v>
      </c>
      <c r="N3909" s="894"/>
      <c r="P3909" s="733"/>
    </row>
    <row r="3910" spans="1:16" x14ac:dyDescent="0.25">
      <c r="B3910" s="828" t="s">
        <v>11617</v>
      </c>
      <c r="C3910" s="821" t="s">
        <v>6062</v>
      </c>
      <c r="D3910" s="822" t="s">
        <v>9931</v>
      </c>
      <c r="E3910" s="840">
        <v>333904720000000</v>
      </c>
      <c r="F3910" s="841" t="s">
        <v>9688</v>
      </c>
      <c r="G3910" s="841">
        <v>1109</v>
      </c>
      <c r="H3910" s="841">
        <v>0</v>
      </c>
      <c r="I3910" s="826"/>
      <c r="J3910" s="827"/>
      <c r="K3910" s="844">
        <v>0</v>
      </c>
      <c r="L3910" s="844">
        <v>0</v>
      </c>
      <c r="M3910" s="839">
        <f t="shared" si="609"/>
        <v>0</v>
      </c>
    </row>
    <row r="3911" spans="1:16" x14ac:dyDescent="0.25">
      <c r="B3911" s="828" t="s">
        <v>11618</v>
      </c>
      <c r="C3911" s="821" t="s">
        <v>6062</v>
      </c>
      <c r="D3911" s="822" t="s">
        <v>9931</v>
      </c>
      <c r="E3911" s="840">
        <v>333904718000000</v>
      </c>
      <c r="F3911" s="841" t="s">
        <v>9689</v>
      </c>
      <c r="G3911" s="841">
        <v>1109</v>
      </c>
      <c r="H3911" s="841">
        <v>0</v>
      </c>
      <c r="I3911" s="826"/>
      <c r="J3911" s="827"/>
      <c r="K3911" s="844">
        <v>0</v>
      </c>
      <c r="L3911" s="844">
        <v>0</v>
      </c>
      <c r="M3911" s="839">
        <f t="shared" si="609"/>
        <v>0</v>
      </c>
    </row>
    <row r="3912" spans="1:16" s="115" customFormat="1" x14ac:dyDescent="0.25">
      <c r="B3912" s="821"/>
      <c r="C3912" s="821"/>
      <c r="D3912" s="822" t="s">
        <v>9932</v>
      </c>
      <c r="E3912" s="823">
        <v>333904900000000</v>
      </c>
      <c r="F3912" s="824" t="s">
        <v>9939</v>
      </c>
      <c r="G3912" s="824">
        <v>1109</v>
      </c>
      <c r="H3912" s="824">
        <v>0</v>
      </c>
      <c r="I3912" s="833"/>
      <c r="J3912" s="834"/>
      <c r="K3912" s="809">
        <f>'Parâmetros financeiros Despesa'!E2095</f>
        <v>0</v>
      </c>
      <c r="L3912" s="809">
        <f>'Parâmetros financeiros Despesa'!F2095</f>
        <v>2000</v>
      </c>
      <c r="M3912" s="835">
        <f t="shared" si="609"/>
        <v>9.9985542090613704E-3</v>
      </c>
      <c r="N3912" s="894"/>
      <c r="P3912" s="733"/>
    </row>
    <row r="3913" spans="1:16" s="780" customFormat="1" x14ac:dyDescent="0.25">
      <c r="B3913" s="829"/>
      <c r="C3913" s="821"/>
      <c r="D3913" s="822" t="s">
        <v>9933</v>
      </c>
      <c r="E3913" s="823">
        <v>333909300000000</v>
      </c>
      <c r="F3913" s="824" t="s">
        <v>9918</v>
      </c>
      <c r="G3913" s="824">
        <v>1109</v>
      </c>
      <c r="H3913" s="824">
        <v>0</v>
      </c>
      <c r="I3913" s="826"/>
      <c r="J3913" s="827"/>
      <c r="K3913" s="809">
        <f>'Parâmetros financeiros Despesa'!E2096</f>
        <v>0</v>
      </c>
      <c r="L3913" s="809">
        <f>'Parâmetros financeiros Despesa'!F2096</f>
        <v>500</v>
      </c>
      <c r="M3913" s="835">
        <f t="shared" si="609"/>
        <v>2.4996385522653426E-3</v>
      </c>
      <c r="N3913" s="796"/>
      <c r="P3913" s="399"/>
    </row>
    <row r="3914" spans="1:16" s="115" customFormat="1" x14ac:dyDescent="0.25">
      <c r="B3914" s="821"/>
      <c r="C3914" s="821"/>
      <c r="D3914" s="822" t="s">
        <v>9934</v>
      </c>
      <c r="E3914" s="823">
        <v>333933000000000</v>
      </c>
      <c r="F3914" s="824" t="s">
        <v>9940</v>
      </c>
      <c r="G3914" s="824">
        <v>1109</v>
      </c>
      <c r="H3914" s="824">
        <v>0</v>
      </c>
      <c r="I3914" s="833"/>
      <c r="J3914" s="834"/>
      <c r="K3914" s="809">
        <f>'Parâmetros financeiros Despesa'!E2097</f>
        <v>0</v>
      </c>
      <c r="L3914" s="809">
        <f>'Parâmetros financeiros Despesa'!F2097</f>
        <v>1000</v>
      </c>
      <c r="M3914" s="835">
        <f t="shared" si="609"/>
        <v>4.9992771045306852E-3</v>
      </c>
      <c r="N3914" s="894"/>
      <c r="P3914" s="733"/>
    </row>
    <row r="3915" spans="1:16" s="780" customFormat="1" x14ac:dyDescent="0.25">
      <c r="B3915" s="828"/>
      <c r="C3915" s="828"/>
      <c r="D3915" s="822" t="s">
        <v>9935</v>
      </c>
      <c r="E3915" s="823">
        <v>333933900000000</v>
      </c>
      <c r="F3915" s="824" t="s">
        <v>9919</v>
      </c>
      <c r="G3915" s="824">
        <v>1109</v>
      </c>
      <c r="H3915" s="824">
        <v>0</v>
      </c>
      <c r="I3915" s="826"/>
      <c r="J3915" s="827"/>
      <c r="K3915" s="809">
        <f>'Parâmetros financeiros Despesa'!E2098</f>
        <v>0</v>
      </c>
      <c r="L3915" s="809">
        <f>'Parâmetros financeiros Despesa'!F2098</f>
        <v>3000</v>
      </c>
      <c r="M3915" s="835">
        <f t="shared" si="609"/>
        <v>1.4997831313592056E-2</v>
      </c>
      <c r="N3915" s="796"/>
      <c r="P3915" s="399"/>
    </row>
    <row r="3916" spans="1:16" s="780" customFormat="1" x14ac:dyDescent="0.25">
      <c r="B3916" s="828"/>
      <c r="C3916" s="828"/>
      <c r="D3916" s="822" t="s">
        <v>9936</v>
      </c>
      <c r="E3916" s="823">
        <v>344905100000000</v>
      </c>
      <c r="F3916" s="824" t="s">
        <v>9920</v>
      </c>
      <c r="G3916" s="824">
        <v>1109</v>
      </c>
      <c r="H3916" s="824">
        <v>0</v>
      </c>
      <c r="I3916" s="826"/>
      <c r="J3916" s="827"/>
      <c r="K3916" s="809">
        <f>'Parâmetros financeiros Despesa'!E2099</f>
        <v>0</v>
      </c>
      <c r="L3916" s="809">
        <f>'Parâmetros financeiros Despesa'!F2099</f>
        <v>1000</v>
      </c>
      <c r="M3916" s="835">
        <f t="shared" si="609"/>
        <v>4.9992771045306852E-3</v>
      </c>
      <c r="N3916" s="796"/>
      <c r="P3916" s="399"/>
    </row>
    <row r="3917" spans="1:16" s="780" customFormat="1" x14ac:dyDescent="0.25">
      <c r="B3917" s="828"/>
      <c r="C3917" s="828"/>
      <c r="D3917" s="822" t="s">
        <v>9937</v>
      </c>
      <c r="E3917" s="823">
        <v>344905200000000</v>
      </c>
      <c r="F3917" s="824" t="s">
        <v>9921</v>
      </c>
      <c r="G3917" s="824">
        <v>1109</v>
      </c>
      <c r="H3917" s="824">
        <v>0</v>
      </c>
      <c r="I3917" s="826"/>
      <c r="J3917" s="827"/>
      <c r="K3917" s="809">
        <f>'Parâmetros financeiros Despesa'!E2100</f>
        <v>0</v>
      </c>
      <c r="L3917" s="809">
        <f>'Parâmetros financeiros Despesa'!F2100</f>
        <v>1000</v>
      </c>
      <c r="M3917" s="835">
        <f t="shared" si="609"/>
        <v>4.9992771045306852E-3</v>
      </c>
      <c r="N3917" s="796"/>
      <c r="P3917" s="399"/>
    </row>
    <row r="3918" spans="1:16" s="780" customFormat="1" ht="15" customHeight="1" x14ac:dyDescent="0.25">
      <c r="A3918" s="397"/>
      <c r="B3918" s="1382" t="s">
        <v>7831</v>
      </c>
      <c r="C3918" s="1382"/>
      <c r="D3918" s="1382"/>
      <c r="E3918" s="1382"/>
      <c r="F3918" s="1382"/>
      <c r="G3918" s="405"/>
      <c r="H3918" s="405"/>
      <c r="I3918" s="428"/>
      <c r="J3918" s="413"/>
      <c r="K3918" s="406">
        <f t="shared" ref="K3918:L3920" si="610">K3919</f>
        <v>0</v>
      </c>
      <c r="L3918" s="406">
        <f t="shared" si="610"/>
        <v>2017.53</v>
      </c>
      <c r="M3918" s="453">
        <f t="shared" ref="M3918:M3924" si="611">L3918/L$3933</f>
        <v>1.0086191536703794E-2</v>
      </c>
      <c r="N3918" s="796"/>
      <c r="P3918" s="399"/>
    </row>
    <row r="3919" spans="1:16" s="780" customFormat="1" ht="15" customHeight="1" x14ac:dyDescent="0.25">
      <c r="A3919" s="397"/>
      <c r="B3919" s="1383" t="s">
        <v>9584</v>
      </c>
      <c r="C3919" s="1383"/>
      <c r="D3919" s="1383"/>
      <c r="E3919" s="1383"/>
      <c r="F3919" s="1383"/>
      <c r="G3919" s="407"/>
      <c r="H3919" s="407"/>
      <c r="I3919" s="429"/>
      <c r="J3919" s="414"/>
      <c r="K3919" s="408">
        <f t="shared" si="610"/>
        <v>0</v>
      </c>
      <c r="L3919" s="408">
        <f t="shared" si="610"/>
        <v>2017.53</v>
      </c>
      <c r="M3919" s="454">
        <f t="shared" si="611"/>
        <v>1.0086191536703794E-2</v>
      </c>
      <c r="N3919" s="796"/>
      <c r="P3919" s="399"/>
    </row>
    <row r="3920" spans="1:16" s="780" customFormat="1" ht="15" customHeight="1" x14ac:dyDescent="0.25">
      <c r="A3920" s="397"/>
      <c r="B3920" s="1385" t="s">
        <v>9489</v>
      </c>
      <c r="C3920" s="1385"/>
      <c r="D3920" s="1385"/>
      <c r="E3920" s="1385"/>
      <c r="F3920" s="1385"/>
      <c r="G3920" s="401"/>
      <c r="H3920" s="401"/>
      <c r="I3920" s="426"/>
      <c r="J3920" s="411"/>
      <c r="K3920" s="402">
        <f t="shared" si="610"/>
        <v>0</v>
      </c>
      <c r="L3920" s="402">
        <f t="shared" si="610"/>
        <v>2017.53</v>
      </c>
      <c r="M3920" s="451">
        <f t="shared" si="611"/>
        <v>1.0086191536703794E-2</v>
      </c>
      <c r="N3920" s="796"/>
      <c r="P3920" s="399"/>
    </row>
    <row r="3921" spans="1:16" s="780" customFormat="1" ht="15" customHeight="1" x14ac:dyDescent="0.25">
      <c r="A3921" s="397"/>
      <c r="B3921" s="1386" t="s">
        <v>9693</v>
      </c>
      <c r="C3921" s="1386"/>
      <c r="D3921" s="1386"/>
      <c r="E3921" s="1386"/>
      <c r="F3921" s="1386"/>
      <c r="G3921" s="403"/>
      <c r="H3921" s="403"/>
      <c r="I3921" s="427"/>
      <c r="J3921" s="412"/>
      <c r="K3921" s="404">
        <f>K3922+K3923</f>
        <v>0</v>
      </c>
      <c r="L3921" s="404">
        <f>L3922+L3923</f>
        <v>2017.53</v>
      </c>
      <c r="M3921" s="452">
        <f t="shared" si="611"/>
        <v>1.0086191536703794E-2</v>
      </c>
      <c r="N3921" s="796"/>
      <c r="P3921" s="399"/>
    </row>
    <row r="3922" spans="1:16" s="115" customFormat="1" x14ac:dyDescent="0.25">
      <c r="B3922" s="821"/>
      <c r="C3922" s="821"/>
      <c r="D3922" s="822" t="s">
        <v>11470</v>
      </c>
      <c r="E3922" s="823">
        <v>333903000000000</v>
      </c>
      <c r="F3922" s="824" t="s">
        <v>9941</v>
      </c>
      <c r="G3922" s="824">
        <v>1073</v>
      </c>
      <c r="H3922" s="824">
        <v>0</v>
      </c>
      <c r="I3922" s="833"/>
      <c r="J3922" s="834"/>
      <c r="K3922" s="809">
        <f>'Parâmetros financeiros Despesa'!E2102</f>
        <v>0</v>
      </c>
      <c r="L3922" s="809">
        <f>'Parâmetros financeiros Despesa'!F2102</f>
        <v>1017.53</v>
      </c>
      <c r="M3922" s="835">
        <f t="shared" si="611"/>
        <v>5.0869144321731077E-3</v>
      </c>
      <c r="N3922" s="894"/>
      <c r="P3922" s="733"/>
    </row>
    <row r="3923" spans="1:16" s="115" customFormat="1" x14ac:dyDescent="0.25">
      <c r="B3923" s="821"/>
      <c r="C3923" s="821"/>
      <c r="D3923" s="822" t="s">
        <v>11471</v>
      </c>
      <c r="E3923" s="823">
        <v>333903900000000</v>
      </c>
      <c r="F3923" s="824" t="s">
        <v>9942</v>
      </c>
      <c r="G3923" s="824">
        <v>1073</v>
      </c>
      <c r="H3923" s="824">
        <v>0</v>
      </c>
      <c r="I3923" s="833"/>
      <c r="J3923" s="834"/>
      <c r="K3923" s="809">
        <f>'Parâmetros financeiros Despesa'!E2103</f>
        <v>0</v>
      </c>
      <c r="L3923" s="809">
        <f>'Parâmetros financeiros Despesa'!F2103</f>
        <v>1000</v>
      </c>
      <c r="M3923" s="835">
        <f t="shared" si="611"/>
        <v>4.9992771045306852E-3</v>
      </c>
      <c r="N3923" s="894"/>
      <c r="P3923" s="733"/>
    </row>
    <row r="3924" spans="1:16" s="115" customFormat="1" ht="16.5" customHeight="1" x14ac:dyDescent="0.25">
      <c r="A3924" s="396"/>
      <c r="B3924" s="1395" t="s">
        <v>2172</v>
      </c>
      <c r="C3924" s="1395"/>
      <c r="D3924" s="1395"/>
      <c r="E3924" s="1395"/>
      <c r="F3924" s="1395"/>
      <c r="G3924" s="1395"/>
      <c r="H3924" s="1395"/>
      <c r="I3924" s="1395"/>
      <c r="J3924" s="1395"/>
      <c r="K3924" s="1023">
        <f>K3921+K3880+K3827+K3809+K3794+K3780</f>
        <v>166054.6842125</v>
      </c>
      <c r="L3924" s="1023">
        <f>L3921+L3880+L3827+L3809+L3794+L3780</f>
        <v>200028.92519628882</v>
      </c>
      <c r="M3924" s="452">
        <f t="shared" si="611"/>
        <v>1.0000000259776878</v>
      </c>
      <c r="N3924" s="894"/>
      <c r="P3924" s="733"/>
    </row>
    <row r="3925" spans="1:16" s="820" customFormat="1" ht="15" customHeight="1" x14ac:dyDescent="0.25">
      <c r="B3925" s="864" t="s">
        <v>11469</v>
      </c>
      <c r="C3925" s="864"/>
      <c r="D3925" s="864"/>
      <c r="E3925" s="864"/>
      <c r="F3925" s="864"/>
      <c r="G3925" s="864"/>
      <c r="H3925" s="864"/>
      <c r="I3925" s="864"/>
      <c r="J3925" s="864"/>
      <c r="K3925" s="863"/>
      <c r="L3925" s="863"/>
      <c r="M3925" s="452"/>
      <c r="N3925" s="796"/>
      <c r="P3925" s="399"/>
    </row>
    <row r="3926" spans="1:16" s="820" customFormat="1" ht="15" customHeight="1" x14ac:dyDescent="0.25">
      <c r="B3926" s="869" t="s">
        <v>745</v>
      </c>
      <c r="C3926" s="869"/>
      <c r="D3926" s="869"/>
      <c r="E3926" s="869"/>
      <c r="F3926" s="869"/>
      <c r="G3926" s="869"/>
      <c r="H3926" s="869"/>
      <c r="I3926" s="869"/>
      <c r="J3926" s="869"/>
      <c r="K3926" s="870">
        <v>0</v>
      </c>
      <c r="L3926" s="870">
        <v>49409.440000000002</v>
      </c>
      <c r="M3926" s="871">
        <f t="shared" ref="M3926:M3932" si="612">L3927/L$3933</f>
        <v>1.0086191536703794E-2</v>
      </c>
      <c r="N3926" s="796"/>
      <c r="P3926" s="399"/>
    </row>
    <row r="3927" spans="1:16" s="820" customFormat="1" ht="15" customHeight="1" x14ac:dyDescent="0.25">
      <c r="B3927" s="869" t="s">
        <v>11472</v>
      </c>
      <c r="C3927" s="869"/>
      <c r="D3927" s="869"/>
      <c r="E3927" s="869"/>
      <c r="F3927" s="869"/>
      <c r="G3927" s="869"/>
      <c r="H3927" s="869"/>
      <c r="I3927" s="869"/>
      <c r="J3927" s="869"/>
      <c r="K3927" s="870">
        <f>K3921</f>
        <v>0</v>
      </c>
      <c r="L3927" s="870">
        <v>2017.53</v>
      </c>
      <c r="M3927" s="871">
        <f t="shared" si="612"/>
        <v>1.39459834107988E-2</v>
      </c>
      <c r="N3927" s="796"/>
      <c r="P3927" s="399"/>
    </row>
    <row r="3928" spans="1:16" s="820" customFormat="1" ht="15" customHeight="1" x14ac:dyDescent="0.25">
      <c r="B3928" s="869" t="s">
        <v>11473</v>
      </c>
      <c r="C3928" s="869"/>
      <c r="D3928" s="869"/>
      <c r="E3928" s="869"/>
      <c r="F3928" s="869"/>
      <c r="G3928" s="869"/>
      <c r="H3928" s="869"/>
      <c r="I3928" s="869"/>
      <c r="J3928" s="869"/>
      <c r="K3928" s="870">
        <f>K3780</f>
        <v>7198.8899999999994</v>
      </c>
      <c r="L3928" s="870">
        <v>2789.6</v>
      </c>
      <c r="M3928" s="871">
        <f t="shared" si="612"/>
        <v>0.28677413246044625</v>
      </c>
      <c r="N3928" s="796"/>
      <c r="P3928" s="399"/>
    </row>
    <row r="3929" spans="1:16" s="820" customFormat="1" ht="15" customHeight="1" x14ac:dyDescent="0.25">
      <c r="B3929" s="869" t="s">
        <v>11474</v>
      </c>
      <c r="C3929" s="869"/>
      <c r="D3929" s="869"/>
      <c r="E3929" s="869"/>
      <c r="F3929" s="869"/>
      <c r="G3929" s="869"/>
      <c r="H3929" s="869"/>
      <c r="I3929" s="869"/>
      <c r="J3929" s="869"/>
      <c r="K3929" s="870">
        <f>K3880</f>
        <v>68068.23</v>
      </c>
      <c r="L3929" s="870">
        <v>57363.12</v>
      </c>
      <c r="M3929" s="871">
        <f t="shared" si="612"/>
        <v>0.27026401982273368</v>
      </c>
      <c r="N3929" s="796"/>
      <c r="P3929" s="399"/>
    </row>
    <row r="3930" spans="1:16" s="820" customFormat="1" ht="15" customHeight="1" x14ac:dyDescent="0.25">
      <c r="B3930" s="869" t="s">
        <v>11475</v>
      </c>
      <c r="C3930" s="869"/>
      <c r="D3930" s="869"/>
      <c r="E3930" s="869"/>
      <c r="F3930" s="869"/>
      <c r="G3930" s="869"/>
      <c r="H3930" s="869"/>
      <c r="I3930" s="869"/>
      <c r="J3930" s="869"/>
      <c r="K3930" s="870">
        <f>K3827</f>
        <v>81487.564212500001</v>
      </c>
      <c r="L3930" s="870">
        <v>54060.62</v>
      </c>
      <c r="M3930" s="871">
        <f t="shared" si="612"/>
        <v>3.1972176823231363E-2</v>
      </c>
      <c r="N3930" s="796"/>
      <c r="P3930" s="399"/>
    </row>
    <row r="3931" spans="1:16" s="820" customFormat="1" ht="15" customHeight="1" x14ac:dyDescent="0.25">
      <c r="B3931" s="869" t="s">
        <v>11476</v>
      </c>
      <c r="C3931" s="869"/>
      <c r="D3931" s="869"/>
      <c r="E3931" s="869"/>
      <c r="F3931" s="869"/>
      <c r="G3931" s="869"/>
      <c r="H3931" s="869"/>
      <c r="I3931" s="869"/>
      <c r="J3931" s="869"/>
      <c r="K3931" s="870">
        <f>K3809</f>
        <v>9300</v>
      </c>
      <c r="L3931" s="870">
        <v>6395.36</v>
      </c>
      <c r="M3931" s="871">
        <f t="shared" si="612"/>
        <v>0.13994601380640362</v>
      </c>
      <c r="N3931" s="796"/>
      <c r="P3931" s="399"/>
    </row>
    <row r="3932" spans="1:16" s="820" customFormat="1" ht="15" customHeight="1" x14ac:dyDescent="0.25">
      <c r="B3932" s="869" t="s">
        <v>11477</v>
      </c>
      <c r="C3932" s="869"/>
      <c r="D3932" s="869"/>
      <c r="E3932" s="869"/>
      <c r="F3932" s="869"/>
      <c r="G3932" s="869"/>
      <c r="H3932" s="869"/>
      <c r="I3932" s="869"/>
      <c r="J3932" s="869"/>
      <c r="K3932" s="870">
        <f>K3794</f>
        <v>0</v>
      </c>
      <c r="L3932" s="870">
        <f>24993.25+3000</f>
        <v>27993.25</v>
      </c>
      <c r="M3932" s="871">
        <f t="shared" si="612"/>
        <v>1</v>
      </c>
      <c r="N3932" s="796"/>
      <c r="P3932" s="399"/>
    </row>
    <row r="3933" spans="1:16" s="115" customFormat="1" ht="15" customHeight="1" x14ac:dyDescent="0.25">
      <c r="B3933" s="864" t="s">
        <v>2172</v>
      </c>
      <c r="C3933" s="864"/>
      <c r="D3933" s="864"/>
      <c r="E3933" s="864"/>
      <c r="F3933" s="864"/>
      <c r="G3933" s="864"/>
      <c r="H3933" s="864"/>
      <c r="I3933" s="864"/>
      <c r="J3933" s="864"/>
      <c r="K3933" s="863">
        <f>SUM(K3926:K3932)</f>
        <v>166054.6842125</v>
      </c>
      <c r="L3933" s="863">
        <f>SUM(L3926:L3932)</f>
        <v>200028.91999999998</v>
      </c>
      <c r="M3933" s="452">
        <f>L3933/L$3933</f>
        <v>1</v>
      </c>
      <c r="N3933" s="894"/>
      <c r="P3933" s="733"/>
    </row>
    <row r="3935" spans="1:16" s="435" customFormat="1" ht="15" customHeight="1" x14ac:dyDescent="0.25">
      <c r="B3935" s="777" t="s">
        <v>989</v>
      </c>
      <c r="C3935" s="777"/>
      <c r="D3935" s="481"/>
      <c r="E3935" s="1371" t="s">
        <v>9486</v>
      </c>
      <c r="F3935" s="1371"/>
      <c r="G3935" s="1371"/>
      <c r="H3935" s="1371"/>
      <c r="I3935" s="1371"/>
      <c r="J3935" s="437"/>
      <c r="K3935" s="940"/>
      <c r="L3935" s="438"/>
      <c r="M3935" s="449"/>
      <c r="N3935" s="892"/>
      <c r="P3935" s="732"/>
    </row>
    <row r="3936" spans="1:16" s="435" customFormat="1" ht="15" customHeight="1" x14ac:dyDescent="0.25">
      <c r="B3936" s="777" t="s">
        <v>458</v>
      </c>
      <c r="C3936" s="777"/>
      <c r="D3936" s="481"/>
      <c r="E3936" s="1371" t="s">
        <v>9944</v>
      </c>
      <c r="F3936" s="1371"/>
      <c r="G3936" s="1371"/>
      <c r="H3936" s="1371"/>
      <c r="I3936" s="1371"/>
      <c r="J3936" s="437"/>
      <c r="K3936" s="940"/>
      <c r="L3936" s="438"/>
      <c r="M3936" s="449"/>
      <c r="N3936" s="892"/>
      <c r="P3936" s="732"/>
    </row>
    <row r="3937" spans="1:16" s="435" customFormat="1" ht="15" customHeight="1" x14ac:dyDescent="0.25">
      <c r="B3937" s="779" t="s">
        <v>5764</v>
      </c>
      <c r="C3937" s="779"/>
      <c r="D3937" s="779"/>
      <c r="E3937" s="1371" t="s">
        <v>749</v>
      </c>
      <c r="F3937" s="1371"/>
      <c r="G3937" s="1371"/>
      <c r="H3937" s="1371"/>
      <c r="I3937" s="1371"/>
      <c r="J3937" s="440"/>
      <c r="K3937" s="941"/>
      <c r="L3937" s="438"/>
      <c r="M3937" s="449"/>
      <c r="N3937" s="892"/>
      <c r="P3937" s="732"/>
    </row>
    <row r="3938" spans="1:16" s="851" customFormat="1" ht="113.25" customHeight="1" x14ac:dyDescent="0.25">
      <c r="A3938" s="396"/>
      <c r="B3938" s="1400" t="s">
        <v>2296</v>
      </c>
      <c r="C3938" s="1400"/>
      <c r="D3938" s="1400"/>
      <c r="E3938" s="1384" t="s">
        <v>2297</v>
      </c>
      <c r="F3938" s="1384"/>
      <c r="G3938" s="443" t="s">
        <v>444</v>
      </c>
      <c r="H3938" s="443" t="s">
        <v>2245</v>
      </c>
      <c r="I3938" s="444" t="s">
        <v>5725</v>
      </c>
      <c r="J3938" s="849" t="s">
        <v>2275</v>
      </c>
      <c r="K3938" s="893" t="s">
        <v>11644</v>
      </c>
      <c r="L3938" s="979" t="s">
        <v>11522</v>
      </c>
      <c r="M3938" s="450" t="s">
        <v>235</v>
      </c>
      <c r="N3938" s="796"/>
      <c r="P3938" s="399"/>
    </row>
    <row r="3939" spans="1:16" s="780" customFormat="1" ht="15" customHeight="1" x14ac:dyDescent="0.25">
      <c r="A3939" s="397"/>
      <c r="B3939" s="1382" t="s">
        <v>7831</v>
      </c>
      <c r="C3939" s="1382"/>
      <c r="D3939" s="1382"/>
      <c r="E3939" s="1382"/>
      <c r="F3939" s="1382"/>
      <c r="G3939" s="405"/>
      <c r="H3939" s="405"/>
      <c r="I3939" s="428"/>
      <c r="J3939" s="413"/>
      <c r="K3939" s="406">
        <f t="shared" ref="K3939:L3941" si="613">K3940</f>
        <v>0</v>
      </c>
      <c r="L3939" s="406">
        <f t="shared" si="613"/>
        <v>5560.7306500000004</v>
      </c>
      <c r="M3939" s="453">
        <f>L3939/L$3957</f>
        <v>1</v>
      </c>
      <c r="N3939" s="796"/>
      <c r="P3939" s="399"/>
    </row>
    <row r="3940" spans="1:16" s="780" customFormat="1" ht="15" customHeight="1" x14ac:dyDescent="0.25">
      <c r="A3940" s="397"/>
      <c r="B3940" s="1383" t="s">
        <v>6044</v>
      </c>
      <c r="C3940" s="1383"/>
      <c r="D3940" s="1383"/>
      <c r="E3940" s="1383"/>
      <c r="F3940" s="1383"/>
      <c r="G3940" s="407"/>
      <c r="H3940" s="407"/>
      <c r="I3940" s="429"/>
      <c r="J3940" s="414"/>
      <c r="K3940" s="408">
        <f t="shared" si="613"/>
        <v>0</v>
      </c>
      <c r="L3940" s="408">
        <f t="shared" si="613"/>
        <v>5560.7306500000004</v>
      </c>
      <c r="M3940" s="454">
        <f>L3940/L$3957</f>
        <v>1</v>
      </c>
      <c r="N3940" s="796"/>
      <c r="P3940" s="399"/>
    </row>
    <row r="3941" spans="1:16" s="780" customFormat="1" ht="15" customHeight="1" x14ac:dyDescent="0.25">
      <c r="A3941" s="397"/>
      <c r="B3941" s="1385" t="s">
        <v>9489</v>
      </c>
      <c r="C3941" s="1385"/>
      <c r="D3941" s="1385"/>
      <c r="E3941" s="1385"/>
      <c r="F3941" s="1385"/>
      <c r="G3941" s="401"/>
      <c r="H3941" s="401"/>
      <c r="I3941" s="426"/>
      <c r="J3941" s="411"/>
      <c r="K3941" s="402">
        <f t="shared" si="613"/>
        <v>0</v>
      </c>
      <c r="L3941" s="402">
        <f t="shared" si="613"/>
        <v>5560.7306500000004</v>
      </c>
      <c r="M3941" s="451">
        <f>L3941/L$3957</f>
        <v>1</v>
      </c>
      <c r="N3941" s="796"/>
      <c r="P3941" s="399"/>
    </row>
    <row r="3942" spans="1:16" s="780" customFormat="1" ht="15" customHeight="1" x14ac:dyDescent="0.25">
      <c r="A3942" s="397"/>
      <c r="B3942" s="1386" t="s">
        <v>9945</v>
      </c>
      <c r="C3942" s="1386"/>
      <c r="D3942" s="1386"/>
      <c r="E3942" s="1386"/>
      <c r="F3942" s="1386"/>
      <c r="G3942" s="403"/>
      <c r="H3942" s="403"/>
      <c r="I3942" s="427"/>
      <c r="J3942" s="412"/>
      <c r="K3942" s="404">
        <f>SUM(K3943:K3953)</f>
        <v>0</v>
      </c>
      <c r="L3942" s="404">
        <f>SUM(L3943:L3953)+0.04</f>
        <v>5560.7306500000004</v>
      </c>
      <c r="M3942" s="452">
        <f>L3942/L$3957</f>
        <v>1</v>
      </c>
      <c r="N3942" s="796"/>
      <c r="P3942" s="399"/>
    </row>
    <row r="3943" spans="1:16" s="780" customFormat="1" x14ac:dyDescent="0.25">
      <c r="B3943" s="852"/>
      <c r="C3943" s="852"/>
      <c r="D3943" s="853" t="s">
        <v>9947</v>
      </c>
      <c r="E3943" s="854">
        <v>333901400000000</v>
      </c>
      <c r="F3943" s="855" t="s">
        <v>9956</v>
      </c>
      <c r="G3943" s="855">
        <v>1</v>
      </c>
      <c r="H3943" s="855">
        <v>0</v>
      </c>
      <c r="I3943" s="856"/>
      <c r="J3943" s="857"/>
      <c r="K3943" s="1033">
        <f>('Parâmetros financeiros Despesa'!E2109)</f>
        <v>0</v>
      </c>
      <c r="L3943" s="1033">
        <f>('Parâmetros financeiros Despesa'!F2109*(1+'Parâmetros financeiros Despesa'!F$4)*(1+'Parâmetros financeiros Despesa'!F$7))</f>
        <v>545.16575</v>
      </c>
      <c r="M3943" s="872">
        <f t="shared" ref="M3943:M3952" si="614">L3943/L$3957</f>
        <v>9.8038510460851033E-2</v>
      </c>
      <c r="N3943" s="894"/>
      <c r="O3943" s="796"/>
      <c r="P3943" s="399"/>
    </row>
    <row r="3944" spans="1:16" s="780" customFormat="1" x14ac:dyDescent="0.25">
      <c r="B3944" s="852"/>
      <c r="C3944" s="852"/>
      <c r="D3944" s="853" t="s">
        <v>9946</v>
      </c>
      <c r="E3944" s="854">
        <v>333903000000000</v>
      </c>
      <c r="F3944" s="855" t="s">
        <v>9957</v>
      </c>
      <c r="G3944" s="855">
        <v>1</v>
      </c>
      <c r="H3944" s="855">
        <v>0</v>
      </c>
      <c r="I3944" s="856"/>
      <c r="J3944" s="857"/>
      <c r="K3944" s="1033">
        <f>('Parâmetros financeiros Despesa'!E2110)</f>
        <v>0</v>
      </c>
      <c r="L3944" s="1033">
        <f>('Parâmetros financeiros Despesa'!F2110*(1+'Parâmetros financeiros Despesa'!F$4)*(1+'Parâmetros financeiros Despesa'!F$7))</f>
        <v>545.16575</v>
      </c>
      <c r="M3944" s="872">
        <f t="shared" si="614"/>
        <v>9.8038510460851033E-2</v>
      </c>
      <c r="N3944" s="894"/>
      <c r="O3944" s="796"/>
      <c r="P3944" s="399"/>
    </row>
    <row r="3945" spans="1:16" s="780" customFormat="1" x14ac:dyDescent="0.25">
      <c r="B3945" s="852"/>
      <c r="C3945" s="852"/>
      <c r="D3945" s="853" t="s">
        <v>9948</v>
      </c>
      <c r="E3945" s="854">
        <v>333903200000000</v>
      </c>
      <c r="F3945" s="855" t="s">
        <v>9958</v>
      </c>
      <c r="G3945" s="855">
        <v>1</v>
      </c>
      <c r="H3945" s="855">
        <v>0</v>
      </c>
      <c r="I3945" s="856"/>
      <c r="J3945" s="857"/>
      <c r="K3945" s="1033">
        <f>('Parâmetros financeiros Despesa'!E2111)</f>
        <v>0</v>
      </c>
      <c r="L3945" s="1033">
        <f>('Parâmetros financeiros Despesa'!F2111*(1+'Parâmetros financeiros Despesa'!F$4)*(1+'Parâmetros financeiros Despesa'!F$7))</f>
        <v>545.16575</v>
      </c>
      <c r="M3945" s="872">
        <f t="shared" si="614"/>
        <v>9.8038510460851033E-2</v>
      </c>
      <c r="N3945" s="894"/>
      <c r="O3945" s="796"/>
      <c r="P3945" s="399"/>
    </row>
    <row r="3946" spans="1:16" s="780" customFormat="1" x14ac:dyDescent="0.25">
      <c r="B3946" s="852"/>
      <c r="C3946" s="852"/>
      <c r="D3946" s="853" t="s">
        <v>9949</v>
      </c>
      <c r="E3946" s="854">
        <v>333903600000000</v>
      </c>
      <c r="F3946" s="855" t="s">
        <v>9959</v>
      </c>
      <c r="G3946" s="855">
        <v>1</v>
      </c>
      <c r="H3946" s="855">
        <v>0</v>
      </c>
      <c r="I3946" s="856"/>
      <c r="J3946" s="857"/>
      <c r="K3946" s="1033">
        <f>('Parâmetros financeiros Despesa'!E2112)</f>
        <v>0</v>
      </c>
      <c r="L3946" s="1033">
        <f>('Parâmetros financeiros Despesa'!F2112*(1+'Parâmetros financeiros Despesa'!F$4)*(1+'Parâmetros financeiros Despesa'!F$7))</f>
        <v>545.16575</v>
      </c>
      <c r="M3946" s="872">
        <f t="shared" si="614"/>
        <v>9.8038510460851033E-2</v>
      </c>
      <c r="N3946" s="894"/>
      <c r="O3946" s="796"/>
      <c r="P3946" s="399"/>
    </row>
    <row r="3947" spans="1:16" s="780" customFormat="1" x14ac:dyDescent="0.25">
      <c r="B3947" s="852"/>
      <c r="C3947" s="852"/>
      <c r="D3947" s="853" t="s">
        <v>9950</v>
      </c>
      <c r="E3947" s="854">
        <v>333903900000000</v>
      </c>
      <c r="F3947" s="855" t="s">
        <v>9961</v>
      </c>
      <c r="G3947" s="855">
        <v>1</v>
      </c>
      <c r="H3947" s="855">
        <v>0</v>
      </c>
      <c r="I3947" s="856"/>
      <c r="J3947" s="857"/>
      <c r="K3947" s="1033">
        <f>('Parâmetros financeiros Despesa'!E2113)</f>
        <v>0</v>
      </c>
      <c r="L3947" s="1033">
        <f>('Parâmetros financeiros Despesa'!F2113*(1+'Parâmetros financeiros Despesa'!F$4)*(1+'Parâmetros financeiros Despesa'!F$7))</f>
        <v>545.16575</v>
      </c>
      <c r="M3947" s="872">
        <f t="shared" si="614"/>
        <v>9.8038510460851033E-2</v>
      </c>
      <c r="N3947" s="894"/>
      <c r="O3947" s="796"/>
      <c r="P3947" s="399"/>
    </row>
    <row r="3948" spans="1:16" s="780" customFormat="1" x14ac:dyDescent="0.25">
      <c r="B3948" s="852"/>
      <c r="C3948" s="852"/>
      <c r="D3948" s="853" t="s">
        <v>9951</v>
      </c>
      <c r="E3948" s="854">
        <v>333904700000000</v>
      </c>
      <c r="F3948" s="855" t="s">
        <v>9960</v>
      </c>
      <c r="G3948" s="855">
        <v>1</v>
      </c>
      <c r="H3948" s="855">
        <v>0</v>
      </c>
      <c r="I3948" s="856"/>
      <c r="J3948" s="857"/>
      <c r="K3948" s="1033">
        <f>('Parâmetros financeiros Despesa'!E2114)</f>
        <v>0</v>
      </c>
      <c r="L3948" s="1033">
        <f>('Parâmetros financeiros Despesa'!F2114*(1+'Parâmetros financeiros Despesa'!F$4)*(1+'Parâmetros financeiros Despesa'!F$7))</f>
        <v>109.03315000000001</v>
      </c>
      <c r="M3948" s="872">
        <f t="shared" si="614"/>
        <v>1.9607702092170207E-2</v>
      </c>
      <c r="N3948" s="894"/>
      <c r="O3948" s="796"/>
      <c r="P3948" s="399"/>
    </row>
    <row r="3949" spans="1:16" s="780" customFormat="1" x14ac:dyDescent="0.25">
      <c r="B3949" s="852"/>
      <c r="C3949" s="852"/>
      <c r="D3949" s="853" t="s">
        <v>9952</v>
      </c>
      <c r="E3949" s="854">
        <v>333909300000000</v>
      </c>
      <c r="F3949" s="855" t="s">
        <v>9966</v>
      </c>
      <c r="G3949" s="855">
        <v>1</v>
      </c>
      <c r="H3949" s="855">
        <v>0</v>
      </c>
      <c r="I3949" s="856"/>
      <c r="J3949" s="857"/>
      <c r="K3949" s="1033">
        <f>('Parâmetros financeiros Despesa'!E2115)</f>
        <v>0</v>
      </c>
      <c r="L3949" s="1033">
        <f>('Parâmetros financeiros Despesa'!F2115*(1+'Parâmetros financeiros Despesa'!F$4)*(1+'Parâmetros financeiros Despesa'!F$7))</f>
        <v>545.16575</v>
      </c>
      <c r="M3949" s="872">
        <f t="shared" si="614"/>
        <v>9.8038510460851033E-2</v>
      </c>
      <c r="N3949" s="894"/>
      <c r="O3949" s="796"/>
      <c r="P3949" s="399"/>
    </row>
    <row r="3950" spans="1:16" s="780" customFormat="1" x14ac:dyDescent="0.25">
      <c r="B3950" s="852"/>
      <c r="C3950" s="852"/>
      <c r="D3950" s="853" t="s">
        <v>9953</v>
      </c>
      <c r="E3950" s="854">
        <v>333933000000000</v>
      </c>
      <c r="F3950" s="855" t="s">
        <v>9962</v>
      </c>
      <c r="G3950" s="855">
        <v>1</v>
      </c>
      <c r="H3950" s="855">
        <v>0</v>
      </c>
      <c r="I3950" s="856"/>
      <c r="J3950" s="857"/>
      <c r="K3950" s="1033">
        <f>('Parâmetros financeiros Despesa'!E2116)</f>
        <v>0</v>
      </c>
      <c r="L3950" s="1033">
        <f>('Parâmetros financeiros Despesa'!F2116*(1+'Parâmetros financeiros Despesa'!F$4)*(1+'Parâmetros financeiros Despesa'!F$7))</f>
        <v>545.16575</v>
      </c>
      <c r="M3950" s="872">
        <f t="shared" si="614"/>
        <v>9.8038510460851033E-2</v>
      </c>
      <c r="N3950" s="894"/>
      <c r="O3950" s="796"/>
      <c r="P3950" s="399"/>
    </row>
    <row r="3951" spans="1:16" s="780" customFormat="1" x14ac:dyDescent="0.25">
      <c r="B3951" s="852"/>
      <c r="C3951" s="852"/>
      <c r="D3951" s="853" t="s">
        <v>9967</v>
      </c>
      <c r="E3951" s="854">
        <v>333933900000000</v>
      </c>
      <c r="F3951" s="855" t="s">
        <v>9963</v>
      </c>
      <c r="G3951" s="855">
        <v>1</v>
      </c>
      <c r="H3951" s="855">
        <v>0</v>
      </c>
      <c r="I3951" s="856"/>
      <c r="J3951" s="857"/>
      <c r="K3951" s="1033">
        <f>('Parâmetros financeiros Despesa'!E2117)</f>
        <v>0</v>
      </c>
      <c r="L3951" s="1033">
        <f>('Parâmetros financeiros Despesa'!F2117*(1+'Parâmetros financeiros Despesa'!F$4)*(1+'Parâmetros financeiros Despesa'!F$7))</f>
        <v>545.16575</v>
      </c>
      <c r="M3951" s="872">
        <f t="shared" si="614"/>
        <v>9.8038510460851033E-2</v>
      </c>
      <c r="N3951" s="894"/>
      <c r="O3951" s="796"/>
      <c r="P3951" s="399"/>
    </row>
    <row r="3952" spans="1:16" s="780" customFormat="1" x14ac:dyDescent="0.25">
      <c r="B3952" s="852"/>
      <c r="C3952" s="852"/>
      <c r="D3952" s="853" t="s">
        <v>9954</v>
      </c>
      <c r="E3952" s="854">
        <v>344905100000000</v>
      </c>
      <c r="F3952" s="855" t="s">
        <v>9964</v>
      </c>
      <c r="G3952" s="855">
        <v>1</v>
      </c>
      <c r="H3952" s="855">
        <v>0</v>
      </c>
      <c r="I3952" s="856"/>
      <c r="J3952" s="857"/>
      <c r="K3952" s="1033">
        <f>('Parâmetros financeiros Despesa'!E2118)</f>
        <v>0</v>
      </c>
      <c r="L3952" s="1033">
        <f>('Parâmetros financeiros Despesa'!F2118*(1+'Parâmetros financeiros Despesa'!F$4)*(1+'Parâmetros financeiros Despesa'!F$7))</f>
        <v>545.16575</v>
      </c>
      <c r="M3952" s="872">
        <f t="shared" si="614"/>
        <v>9.8038510460851033E-2</v>
      </c>
      <c r="N3952" s="894"/>
      <c r="O3952" s="796"/>
      <c r="P3952" s="399"/>
    </row>
    <row r="3953" spans="1:16" s="780" customFormat="1" x14ac:dyDescent="0.25">
      <c r="B3953" s="852"/>
      <c r="C3953" s="852"/>
      <c r="D3953" s="853" t="s">
        <v>9955</v>
      </c>
      <c r="E3953" s="854">
        <v>344905200000000</v>
      </c>
      <c r="F3953" s="855" t="s">
        <v>9965</v>
      </c>
      <c r="G3953" s="855">
        <v>1</v>
      </c>
      <c r="H3953" s="855">
        <v>0</v>
      </c>
      <c r="I3953" s="856"/>
      <c r="J3953" s="857"/>
      <c r="K3953" s="1033">
        <f>('Parâmetros financeiros Despesa'!E2119)</f>
        <v>0</v>
      </c>
      <c r="L3953" s="1033">
        <f>('Parâmetros financeiros Despesa'!F2119*(1+'Parâmetros financeiros Despesa'!F$4)*(1+'Parâmetros financeiros Despesa'!F$7))</f>
        <v>545.16575</v>
      </c>
      <c r="M3953" s="872">
        <f>L3953/L$3957</f>
        <v>9.8038510460851033E-2</v>
      </c>
      <c r="N3953" s="894"/>
      <c r="O3953" s="796"/>
      <c r="P3953" s="399"/>
    </row>
    <row r="3954" spans="1:16" s="115" customFormat="1" ht="16.5" customHeight="1" x14ac:dyDescent="0.25">
      <c r="A3954" s="396"/>
      <c r="B3954" s="1395" t="s">
        <v>2172</v>
      </c>
      <c r="C3954" s="1395"/>
      <c r="D3954" s="1395"/>
      <c r="E3954" s="1395"/>
      <c r="F3954" s="1395"/>
      <c r="G3954" s="1395"/>
      <c r="H3954" s="1395"/>
      <c r="I3954" s="1395"/>
      <c r="J3954" s="1395"/>
      <c r="K3954" s="1023">
        <f>K3942</f>
        <v>0</v>
      </c>
      <c r="L3954" s="1023">
        <f>L3942</f>
        <v>5560.7306500000004</v>
      </c>
      <c r="M3954" s="452">
        <f>L3954/L$3957</f>
        <v>1</v>
      </c>
      <c r="N3954" s="894"/>
      <c r="P3954" s="733"/>
    </row>
    <row r="3955" spans="1:16" s="820" customFormat="1" ht="15" customHeight="1" x14ac:dyDescent="0.25">
      <c r="B3955" s="864" t="s">
        <v>11469</v>
      </c>
      <c r="C3955" s="864"/>
      <c r="D3955" s="864"/>
      <c r="E3955" s="864"/>
      <c r="F3955" s="864"/>
      <c r="G3955" s="864"/>
      <c r="H3955" s="864"/>
      <c r="I3955" s="864"/>
      <c r="J3955" s="864"/>
      <c r="K3955" s="863"/>
      <c r="L3955" s="863"/>
      <c r="M3955" s="452"/>
      <c r="N3955" s="796"/>
      <c r="P3955" s="399"/>
    </row>
    <row r="3956" spans="1:16" s="820" customFormat="1" ht="15" customHeight="1" x14ac:dyDescent="0.25">
      <c r="B3956" s="869" t="s">
        <v>745</v>
      </c>
      <c r="C3956" s="869"/>
      <c r="D3956" s="869"/>
      <c r="E3956" s="869"/>
      <c r="F3956" s="869"/>
      <c r="G3956" s="869"/>
      <c r="H3956" s="869"/>
      <c r="I3956" s="869"/>
      <c r="J3956" s="869"/>
      <c r="K3956" s="870">
        <f>K3954</f>
        <v>0</v>
      </c>
      <c r="L3956" s="870">
        <f>L3954</f>
        <v>5560.7306500000004</v>
      </c>
      <c r="M3956" s="871">
        <f>L3956/L$3957</f>
        <v>1</v>
      </c>
      <c r="N3956" s="796"/>
      <c r="P3956" s="399"/>
    </row>
    <row r="3957" spans="1:16" s="115" customFormat="1" ht="15" customHeight="1" x14ac:dyDescent="0.25">
      <c r="B3957" s="864" t="s">
        <v>2172</v>
      </c>
      <c r="C3957" s="864"/>
      <c r="D3957" s="864"/>
      <c r="E3957" s="864"/>
      <c r="F3957" s="864"/>
      <c r="G3957" s="864"/>
      <c r="H3957" s="864"/>
      <c r="I3957" s="864"/>
      <c r="J3957" s="864"/>
      <c r="K3957" s="863">
        <f>SUM(K3956:K3956)</f>
        <v>0</v>
      </c>
      <c r="L3957" s="863">
        <f>SUM(L3956:L3956)</f>
        <v>5560.7306500000004</v>
      </c>
      <c r="M3957" s="452">
        <f>L3957/L$3957</f>
        <v>1</v>
      </c>
      <c r="N3957" s="894"/>
      <c r="O3957" s="796"/>
      <c r="P3957" s="733"/>
    </row>
    <row r="3959" spans="1:16" s="435" customFormat="1" ht="15" customHeight="1" x14ac:dyDescent="0.25">
      <c r="B3959" s="777" t="s">
        <v>989</v>
      </c>
      <c r="C3959" s="777"/>
      <c r="D3959" s="481"/>
      <c r="E3959" s="1371" t="s">
        <v>9486</v>
      </c>
      <c r="F3959" s="1371"/>
      <c r="G3959" s="1371"/>
      <c r="H3959" s="1371"/>
      <c r="I3959" s="1371"/>
      <c r="J3959" s="437"/>
      <c r="K3959" s="940"/>
      <c r="L3959" s="438"/>
      <c r="M3959" s="449"/>
      <c r="N3959" s="892"/>
      <c r="P3959" s="732"/>
    </row>
    <row r="3960" spans="1:16" s="435" customFormat="1" ht="15" customHeight="1" x14ac:dyDescent="0.25">
      <c r="B3960" s="777" t="s">
        <v>458</v>
      </c>
      <c r="C3960" s="777"/>
      <c r="D3960" s="481"/>
      <c r="E3960" s="1371" t="s">
        <v>9969</v>
      </c>
      <c r="F3960" s="1371"/>
      <c r="G3960" s="1371"/>
      <c r="H3960" s="1371"/>
      <c r="I3960" s="1371"/>
      <c r="J3960" s="437"/>
      <c r="K3960" s="940"/>
      <c r="L3960" s="438"/>
      <c r="M3960" s="449"/>
      <c r="N3960" s="892"/>
      <c r="P3960" s="732"/>
    </row>
    <row r="3961" spans="1:16" s="435" customFormat="1" ht="15" customHeight="1" x14ac:dyDescent="0.25">
      <c r="B3961" s="779" t="s">
        <v>5764</v>
      </c>
      <c r="C3961" s="779"/>
      <c r="D3961" s="779"/>
      <c r="E3961" s="1371" t="s">
        <v>749</v>
      </c>
      <c r="F3961" s="1371"/>
      <c r="G3961" s="1371"/>
      <c r="H3961" s="1371"/>
      <c r="I3961" s="1371"/>
      <c r="J3961" s="440"/>
      <c r="K3961" s="941"/>
      <c r="L3961" s="438"/>
      <c r="M3961" s="449"/>
      <c r="N3961" s="892"/>
      <c r="P3961" s="732"/>
    </row>
    <row r="3962" spans="1:16" s="851" customFormat="1" ht="113.25" customHeight="1" x14ac:dyDescent="0.25">
      <c r="A3962" s="396"/>
      <c r="B3962" s="1400" t="s">
        <v>2296</v>
      </c>
      <c r="C3962" s="1400"/>
      <c r="D3962" s="1400"/>
      <c r="E3962" s="1384" t="s">
        <v>2297</v>
      </c>
      <c r="F3962" s="1384"/>
      <c r="G3962" s="443" t="s">
        <v>444</v>
      </c>
      <c r="H3962" s="443" t="s">
        <v>2245</v>
      </c>
      <c r="I3962" s="444" t="s">
        <v>5725</v>
      </c>
      <c r="J3962" s="849" t="s">
        <v>2275</v>
      </c>
      <c r="K3962" s="893" t="s">
        <v>11644</v>
      </c>
      <c r="L3962" s="979" t="s">
        <v>11522</v>
      </c>
      <c r="M3962" s="450" t="s">
        <v>235</v>
      </c>
      <c r="N3962" s="796"/>
      <c r="P3962" s="399"/>
    </row>
    <row r="3963" spans="1:16" s="780" customFormat="1" ht="15" customHeight="1" x14ac:dyDescent="0.25">
      <c r="A3963" s="397"/>
      <c r="B3963" s="1382" t="s">
        <v>7831</v>
      </c>
      <c r="C3963" s="1382"/>
      <c r="D3963" s="1382"/>
      <c r="E3963" s="1382"/>
      <c r="F3963" s="1382"/>
      <c r="G3963" s="405"/>
      <c r="H3963" s="405"/>
      <c r="I3963" s="428"/>
      <c r="J3963" s="413"/>
      <c r="K3963" s="406">
        <f t="shared" ref="K3963:L3965" si="615">K3964</f>
        <v>0</v>
      </c>
      <c r="L3963" s="406">
        <f t="shared" si="615"/>
        <v>5560.7106500000009</v>
      </c>
      <c r="M3963" s="453">
        <f>L3963/L$3977</f>
        <v>1</v>
      </c>
      <c r="N3963" s="796"/>
      <c r="P3963" s="399"/>
    </row>
    <row r="3964" spans="1:16" s="780" customFormat="1" ht="15" customHeight="1" x14ac:dyDescent="0.25">
      <c r="A3964" s="397"/>
      <c r="B3964" s="1383" t="s">
        <v>9584</v>
      </c>
      <c r="C3964" s="1383"/>
      <c r="D3964" s="1383"/>
      <c r="E3964" s="1383"/>
      <c r="F3964" s="1383"/>
      <c r="G3964" s="407"/>
      <c r="H3964" s="407"/>
      <c r="I3964" s="429"/>
      <c r="J3964" s="414"/>
      <c r="K3964" s="408">
        <f t="shared" si="615"/>
        <v>0</v>
      </c>
      <c r="L3964" s="408">
        <f t="shared" si="615"/>
        <v>5560.7106500000009</v>
      </c>
      <c r="M3964" s="454">
        <f>L3964/L$3977</f>
        <v>1</v>
      </c>
      <c r="N3964" s="796"/>
      <c r="P3964" s="399"/>
    </row>
    <row r="3965" spans="1:16" s="780" customFormat="1" ht="15" customHeight="1" x14ac:dyDescent="0.25">
      <c r="A3965" s="397"/>
      <c r="B3965" s="1385" t="s">
        <v>9489</v>
      </c>
      <c r="C3965" s="1385"/>
      <c r="D3965" s="1385"/>
      <c r="E3965" s="1385"/>
      <c r="F3965" s="1385"/>
      <c r="G3965" s="401"/>
      <c r="H3965" s="401"/>
      <c r="I3965" s="426"/>
      <c r="J3965" s="411"/>
      <c r="K3965" s="402">
        <f t="shared" si="615"/>
        <v>0</v>
      </c>
      <c r="L3965" s="402">
        <f t="shared" si="615"/>
        <v>5560.7106500000009</v>
      </c>
      <c r="M3965" s="451">
        <f>L3965/L$3977</f>
        <v>1</v>
      </c>
      <c r="N3965" s="796"/>
      <c r="P3965" s="399"/>
    </row>
    <row r="3966" spans="1:16" s="780" customFormat="1" ht="15" customHeight="1" x14ac:dyDescent="0.25">
      <c r="A3966" s="397"/>
      <c r="B3966" s="1386" t="s">
        <v>9983</v>
      </c>
      <c r="C3966" s="1386"/>
      <c r="D3966" s="1386"/>
      <c r="E3966" s="1386"/>
      <c r="F3966" s="1386"/>
      <c r="G3966" s="403"/>
      <c r="H3966" s="403"/>
      <c r="I3966" s="427"/>
      <c r="J3966" s="412"/>
      <c r="K3966" s="404">
        <f>SUM(K3967:K3973)</f>
        <v>0</v>
      </c>
      <c r="L3966" s="404">
        <f>SUM(L3967:L3973)+0.02</f>
        <v>5560.7106500000009</v>
      </c>
      <c r="M3966" s="452">
        <f>L3966/L$3977</f>
        <v>1</v>
      </c>
      <c r="N3966" s="796"/>
      <c r="P3966" s="399"/>
    </row>
    <row r="3967" spans="1:16" s="780" customFormat="1" x14ac:dyDescent="0.25">
      <c r="B3967" s="852"/>
      <c r="C3967" s="852"/>
      <c r="D3967" s="853" t="s">
        <v>9976</v>
      </c>
      <c r="E3967" s="854">
        <v>333901400000000</v>
      </c>
      <c r="F3967" s="855" t="s">
        <v>9984</v>
      </c>
      <c r="G3967" s="855">
        <v>1</v>
      </c>
      <c r="H3967" s="855">
        <v>0</v>
      </c>
      <c r="I3967" s="856"/>
      <c r="J3967" s="857"/>
      <c r="K3967" s="423">
        <f>('Parâmetros financeiros Despesa'!E2125)</f>
        <v>0</v>
      </c>
      <c r="L3967" s="423">
        <f>('Parâmetros financeiros Despesa'!F2125*(1+'Parâmetros financeiros Despesa'!F$4)*(1+'Parâmetros financeiros Despesa'!F$7))</f>
        <v>545.16575</v>
      </c>
      <c r="M3967" s="858">
        <f t="shared" ref="M3967:M3972" si="616">L3967/L$3977</f>
        <v>9.8038863072294535E-2</v>
      </c>
      <c r="N3967" s="894"/>
      <c r="O3967" s="796"/>
      <c r="P3967" s="399"/>
    </row>
    <row r="3968" spans="1:16" s="780" customFormat="1" x14ac:dyDescent="0.25">
      <c r="B3968" s="852"/>
      <c r="C3968" s="852"/>
      <c r="D3968" s="853" t="s">
        <v>9977</v>
      </c>
      <c r="E3968" s="854">
        <v>333903000000000</v>
      </c>
      <c r="F3968" s="855" t="s">
        <v>9970</v>
      </c>
      <c r="G3968" s="855">
        <v>1</v>
      </c>
      <c r="H3968" s="855">
        <v>0</v>
      </c>
      <c r="I3968" s="856"/>
      <c r="J3968" s="857"/>
      <c r="K3968" s="423">
        <f>('Parâmetros financeiros Despesa'!E2126)</f>
        <v>0</v>
      </c>
      <c r="L3968" s="423">
        <f>('Parâmetros financeiros Despesa'!F2126*(1+'Parâmetros financeiros Despesa'!F$4)*(1+'Parâmetros financeiros Despesa'!F$7))</f>
        <v>545.16575</v>
      </c>
      <c r="M3968" s="858">
        <f t="shared" si="616"/>
        <v>9.8038863072294535E-2</v>
      </c>
      <c r="N3968" s="894"/>
      <c r="O3968" s="796"/>
      <c r="P3968" s="399"/>
    </row>
    <row r="3969" spans="1:16" s="780" customFormat="1" x14ac:dyDescent="0.25">
      <c r="B3969" s="852"/>
      <c r="C3969" s="852"/>
      <c r="D3969" s="853" t="s">
        <v>9978</v>
      </c>
      <c r="E3969" s="854">
        <v>333903200000000</v>
      </c>
      <c r="F3969" s="855" t="s">
        <v>9971</v>
      </c>
      <c r="G3969" s="855">
        <v>1</v>
      </c>
      <c r="H3969" s="855">
        <v>0</v>
      </c>
      <c r="I3969" s="856"/>
      <c r="J3969" s="857"/>
      <c r="K3969" s="423">
        <f>('Parâmetros financeiros Despesa'!E2127)</f>
        <v>0</v>
      </c>
      <c r="L3969" s="423">
        <f>('Parâmetros financeiros Despesa'!F2127*(1+'Parâmetros financeiros Despesa'!F$4)*(1+'Parâmetros financeiros Despesa'!F$7))</f>
        <v>545.16575</v>
      </c>
      <c r="M3969" s="858">
        <f t="shared" si="616"/>
        <v>9.8038863072294535E-2</v>
      </c>
      <c r="N3969" s="894"/>
      <c r="O3969" s="796"/>
      <c r="P3969" s="399"/>
    </row>
    <row r="3970" spans="1:16" s="780" customFormat="1" x14ac:dyDescent="0.25">
      <c r="B3970" s="852"/>
      <c r="C3970" s="852"/>
      <c r="D3970" s="853" t="s">
        <v>9979</v>
      </c>
      <c r="E3970" s="854">
        <v>333903600000000</v>
      </c>
      <c r="F3970" s="855" t="s">
        <v>9975</v>
      </c>
      <c r="G3970" s="855">
        <v>1</v>
      </c>
      <c r="H3970" s="855">
        <v>0</v>
      </c>
      <c r="I3970" s="856"/>
      <c r="J3970" s="857"/>
      <c r="K3970" s="423">
        <f>('Parâmetros financeiros Despesa'!E2128)</f>
        <v>0</v>
      </c>
      <c r="L3970" s="423">
        <f>('Parâmetros financeiros Despesa'!F2128*(1+'Parâmetros financeiros Despesa'!F$4)*(1+'Parâmetros financeiros Despesa'!F$7))</f>
        <v>545.16575</v>
      </c>
      <c r="M3970" s="858">
        <f t="shared" si="616"/>
        <v>9.8038863072294535E-2</v>
      </c>
      <c r="N3970" s="894"/>
      <c r="O3970" s="796"/>
      <c r="P3970" s="399"/>
    </row>
    <row r="3971" spans="1:16" s="780" customFormat="1" x14ac:dyDescent="0.25">
      <c r="B3971" s="852"/>
      <c r="C3971" s="852"/>
      <c r="D3971" s="853" t="s">
        <v>9980</v>
      </c>
      <c r="E3971" s="854">
        <v>333903900000000</v>
      </c>
      <c r="F3971" s="855" t="s">
        <v>9972</v>
      </c>
      <c r="G3971" s="855">
        <v>1</v>
      </c>
      <c r="H3971" s="855">
        <v>0</v>
      </c>
      <c r="I3971" s="856"/>
      <c r="J3971" s="857"/>
      <c r="K3971" s="423">
        <f>('Parâmetros financeiros Despesa'!E2129)</f>
        <v>0</v>
      </c>
      <c r="L3971" s="423">
        <f>('Parâmetros financeiros Despesa'!F2129*(1+'Parâmetros financeiros Despesa'!F$4)*(1+'Parâmetros financeiros Despesa'!F$7))</f>
        <v>545.16575</v>
      </c>
      <c r="M3971" s="858">
        <f t="shared" si="616"/>
        <v>9.8038863072294535E-2</v>
      </c>
      <c r="N3971" s="894"/>
      <c r="O3971" s="796"/>
      <c r="P3971" s="399"/>
    </row>
    <row r="3972" spans="1:16" s="780" customFormat="1" x14ac:dyDescent="0.25">
      <c r="B3972" s="852"/>
      <c r="C3972" s="852"/>
      <c r="D3972" s="853" t="s">
        <v>9981</v>
      </c>
      <c r="E3972" s="854">
        <v>333904700000000</v>
      </c>
      <c r="F3972" s="855" t="s">
        <v>9973</v>
      </c>
      <c r="G3972" s="855">
        <v>1</v>
      </c>
      <c r="H3972" s="855">
        <v>0</v>
      </c>
      <c r="I3972" s="856"/>
      <c r="J3972" s="857"/>
      <c r="K3972" s="423">
        <f>('Parâmetros financeiros Despesa'!E2130)</f>
        <v>0</v>
      </c>
      <c r="L3972" s="423">
        <f>('Parâmetros financeiros Despesa'!F2130*(1+'Parâmetros financeiros Despesa'!F$4)*(1+'Parâmetros financeiros Despesa'!F$7))</f>
        <v>109.03315000000001</v>
      </c>
      <c r="M3972" s="858">
        <f t="shared" si="616"/>
        <v>1.9607772614458906E-2</v>
      </c>
      <c r="N3972" s="894"/>
      <c r="O3972" s="796"/>
      <c r="P3972" s="399"/>
    </row>
    <row r="3973" spans="1:16" s="780" customFormat="1" x14ac:dyDescent="0.25">
      <c r="B3973" s="852"/>
      <c r="C3973" s="852"/>
      <c r="D3973" s="853" t="s">
        <v>9982</v>
      </c>
      <c r="E3973" s="854">
        <v>344905200000000</v>
      </c>
      <c r="F3973" s="855" t="s">
        <v>9974</v>
      </c>
      <c r="G3973" s="855">
        <v>1</v>
      </c>
      <c r="H3973" s="855">
        <v>0</v>
      </c>
      <c r="I3973" s="856"/>
      <c r="J3973" s="857"/>
      <c r="K3973" s="423">
        <f>('Parâmetros financeiros Despesa'!E2131)</f>
        <v>0</v>
      </c>
      <c r="L3973" s="423">
        <f>('Parâmetros financeiros Despesa'!F2131*(1+'Parâmetros financeiros Despesa'!F$4)*(1+'Parâmetros financeiros Despesa'!F$7))</f>
        <v>2725.8287500000001</v>
      </c>
      <c r="M3973" s="858">
        <f>L3973/L$3977</f>
        <v>0.49019431536147268</v>
      </c>
      <c r="N3973" s="894"/>
      <c r="O3973" s="796"/>
      <c r="P3973" s="399"/>
    </row>
    <row r="3974" spans="1:16" s="115" customFormat="1" ht="16.5" customHeight="1" x14ac:dyDescent="0.25">
      <c r="A3974" s="396"/>
      <c r="B3974" s="1395" t="s">
        <v>2172</v>
      </c>
      <c r="C3974" s="1395"/>
      <c r="D3974" s="1395"/>
      <c r="E3974" s="1395"/>
      <c r="F3974" s="1395"/>
      <c r="G3974" s="1395"/>
      <c r="H3974" s="1395"/>
      <c r="I3974" s="1395"/>
      <c r="J3974" s="1395"/>
      <c r="K3974" s="1023">
        <f>K3966</f>
        <v>0</v>
      </c>
      <c r="L3974" s="1023">
        <f>L3966</f>
        <v>5560.7106500000009</v>
      </c>
      <c r="M3974" s="1036">
        <f>L3974/L$3977</f>
        <v>1</v>
      </c>
      <c r="N3974" s="894"/>
      <c r="P3974" s="733"/>
    </row>
    <row r="3975" spans="1:16" s="820" customFormat="1" ht="15" customHeight="1" x14ac:dyDescent="0.25">
      <c r="B3975" s="864" t="s">
        <v>11469</v>
      </c>
      <c r="C3975" s="864"/>
      <c r="D3975" s="864"/>
      <c r="E3975" s="864"/>
      <c r="F3975" s="864"/>
      <c r="G3975" s="864"/>
      <c r="H3975" s="864"/>
      <c r="I3975" s="864"/>
      <c r="J3975" s="864"/>
      <c r="K3975" s="863"/>
      <c r="L3975" s="863"/>
      <c r="M3975" s="452"/>
      <c r="N3975" s="796"/>
      <c r="P3975" s="399"/>
    </row>
    <row r="3976" spans="1:16" s="820" customFormat="1" ht="15" customHeight="1" x14ac:dyDescent="0.25">
      <c r="B3976" s="869" t="s">
        <v>745</v>
      </c>
      <c r="C3976" s="869"/>
      <c r="D3976" s="869"/>
      <c r="E3976" s="869"/>
      <c r="F3976" s="869"/>
      <c r="G3976" s="869"/>
      <c r="H3976" s="869"/>
      <c r="I3976" s="869"/>
      <c r="J3976" s="869"/>
      <c r="K3976" s="870">
        <f>K3966</f>
        <v>0</v>
      </c>
      <c r="L3976" s="870">
        <f>L3966</f>
        <v>5560.7106500000009</v>
      </c>
      <c r="M3976" s="871">
        <f>L3976/L$3977</f>
        <v>1</v>
      </c>
      <c r="N3976" s="796"/>
      <c r="P3976" s="399"/>
    </row>
    <row r="3977" spans="1:16" s="115" customFormat="1" ht="15" customHeight="1" x14ac:dyDescent="0.25">
      <c r="B3977" s="864" t="s">
        <v>2172</v>
      </c>
      <c r="C3977" s="864"/>
      <c r="D3977" s="864"/>
      <c r="E3977" s="864"/>
      <c r="F3977" s="864"/>
      <c r="G3977" s="864"/>
      <c r="H3977" s="864"/>
      <c r="I3977" s="864"/>
      <c r="J3977" s="864"/>
      <c r="K3977" s="863">
        <f>SUM(K3976:K3976)</f>
        <v>0</v>
      </c>
      <c r="L3977" s="863">
        <f>SUM(L3976:L3976)</f>
        <v>5560.7106500000009</v>
      </c>
      <c r="M3977" s="452">
        <f>L3977/L$3977</f>
        <v>1</v>
      </c>
      <c r="O3977" s="796"/>
      <c r="P3977" s="733"/>
    </row>
    <row r="3979" spans="1:16" x14ac:dyDescent="0.25">
      <c r="L3979" s="783"/>
    </row>
    <row r="3981" spans="1:16" x14ac:dyDescent="0.25">
      <c r="L3981" s="783"/>
    </row>
  </sheetData>
  <mergeCells count="2138">
    <mergeCell ref="B1857:F1857"/>
    <mergeCell ref="B1858:F1858"/>
    <mergeCell ref="B1859:F1859"/>
    <mergeCell ref="B1860:D1860"/>
    <mergeCell ref="B1861:D1861"/>
    <mergeCell ref="B1862:D1862"/>
    <mergeCell ref="B1863:D1863"/>
    <mergeCell ref="B1864:D1864"/>
    <mergeCell ref="B1865:D1865"/>
    <mergeCell ref="B1866:D1866"/>
    <mergeCell ref="E236:F236"/>
    <mergeCell ref="B984:D984"/>
    <mergeCell ref="E984:F984"/>
    <mergeCell ref="B2717:D2717"/>
    <mergeCell ref="E2717:F2717"/>
    <mergeCell ref="B2753:D2753"/>
    <mergeCell ref="E2753:F2753"/>
    <mergeCell ref="E2750:I2750"/>
    <mergeCell ref="E2751:I2751"/>
    <mergeCell ref="E2752:I2752"/>
    <mergeCell ref="B2744:D2744"/>
    <mergeCell ref="B2722:D2722"/>
    <mergeCell ref="B2726:D2726"/>
    <mergeCell ref="B2730:D2730"/>
    <mergeCell ref="B2738:D2738"/>
    <mergeCell ref="B2698:F2698"/>
    <mergeCell ref="B2699:F2699"/>
    <mergeCell ref="B2700:D2700"/>
    <mergeCell ref="B2701:D2701"/>
    <mergeCell ref="E2713:I2713"/>
    <mergeCell ref="E2714:I2714"/>
    <mergeCell ref="B2649:D2649"/>
    <mergeCell ref="B3506:D3506"/>
    <mergeCell ref="E3506:F3506"/>
    <mergeCell ref="B3531:D3531"/>
    <mergeCell ref="E3531:F3531"/>
    <mergeCell ref="B3448:F3448"/>
    <mergeCell ref="B3450:F3450"/>
    <mergeCell ref="B3397:F3397"/>
    <mergeCell ref="B3453:F3453"/>
    <mergeCell ref="B3458:F3458"/>
    <mergeCell ref="B3459:F3459"/>
    <mergeCell ref="B3460:F3460"/>
    <mergeCell ref="B3302:F3302"/>
    <mergeCell ref="B3303:F3303"/>
    <mergeCell ref="B3304:F3304"/>
    <mergeCell ref="B3305:F3305"/>
    <mergeCell ref="B3333:D3333"/>
    <mergeCell ref="B3331:D3331"/>
    <mergeCell ref="B3335:F3335"/>
    <mergeCell ref="B3336:F3336"/>
    <mergeCell ref="B3424:F3424"/>
    <mergeCell ref="B3425:F3425"/>
    <mergeCell ref="B3426:F3426"/>
    <mergeCell ref="B3372:D3372"/>
    <mergeCell ref="B3374:D3374"/>
    <mergeCell ref="E3392:I3392"/>
    <mergeCell ref="E3393:I3393"/>
    <mergeCell ref="E3394:I3394"/>
    <mergeCell ref="B3353:D3353"/>
    <mergeCell ref="B3352:D3352"/>
    <mergeCell ref="B3507:F3507"/>
    <mergeCell ref="B3508:F3508"/>
    <mergeCell ref="B3359:D3359"/>
    <mergeCell ref="E3586:F3586"/>
    <mergeCell ref="B3723:D3723"/>
    <mergeCell ref="E3723:F3723"/>
    <mergeCell ref="B3776:D3776"/>
    <mergeCell ref="E3776:F3776"/>
    <mergeCell ref="B3715:J3715"/>
    <mergeCell ref="B3758:J3758"/>
    <mergeCell ref="B1309:D1309"/>
    <mergeCell ref="B1310:D1310"/>
    <mergeCell ref="E3503:I3503"/>
    <mergeCell ref="E3504:I3504"/>
    <mergeCell ref="E3505:I3505"/>
    <mergeCell ref="B3434:F3434"/>
    <mergeCell ref="B3435:F3435"/>
    <mergeCell ref="B3436:F3436"/>
    <mergeCell ref="B3437:F3437"/>
    <mergeCell ref="B3445:F3445"/>
    <mergeCell ref="B3465:D3465"/>
    <mergeCell ref="B3466:D3466"/>
    <mergeCell ref="B3473:D3473"/>
    <mergeCell ref="B3474:D3474"/>
    <mergeCell ref="B3476:D3476"/>
    <mergeCell ref="B3477:D3477"/>
    <mergeCell ref="B3337:F3337"/>
    <mergeCell ref="B3338:F3338"/>
    <mergeCell ref="B3339:D3339"/>
    <mergeCell ref="B3340:D3340"/>
    <mergeCell ref="B3463:D3463"/>
    <mergeCell ref="B3464:D3464"/>
    <mergeCell ref="B3446:F3446"/>
    <mergeCell ref="B3447:F3447"/>
    <mergeCell ref="B3423:F3423"/>
    <mergeCell ref="B3162:F3162"/>
    <mergeCell ref="B3298:F3298"/>
    <mergeCell ref="B3320:F3320"/>
    <mergeCell ref="B3342:D3342"/>
    <mergeCell ref="B3343:D3343"/>
    <mergeCell ref="B3370:D3370"/>
    <mergeCell ref="B3371:D3371"/>
    <mergeCell ref="B3414:F3414"/>
    <mergeCell ref="B3415:F3415"/>
    <mergeCell ref="B3324:D3324"/>
    <mergeCell ref="B3330:D3330"/>
    <mergeCell ref="B3334:D3334"/>
    <mergeCell ref="B3360:D3360"/>
    <mergeCell ref="B3361:D3361"/>
    <mergeCell ref="B3362:D3362"/>
    <mergeCell ref="B3351:D3351"/>
    <mergeCell ref="B3412:F3412"/>
    <mergeCell ref="B3413:F3413"/>
    <mergeCell ref="B3231:D3231"/>
    <mergeCell ref="E3231:F3231"/>
    <mergeCell ref="B3395:D3395"/>
    <mergeCell ref="E3395:F3395"/>
    <mergeCell ref="B3354:D3354"/>
    <mergeCell ref="B3355:F3355"/>
    <mergeCell ref="B3356:F3356"/>
    <mergeCell ref="B3357:F3357"/>
    <mergeCell ref="B3358:F3358"/>
    <mergeCell ref="B3167:D3167"/>
    <mergeCell ref="B3168:D3168"/>
    <mergeCell ref="B3200:F3200"/>
    <mergeCell ref="B3201:F3201"/>
    <mergeCell ref="B3202:F3202"/>
    <mergeCell ref="B3143:D3143"/>
    <mergeCell ref="B3144:D3144"/>
    <mergeCell ref="B3145:D3145"/>
    <mergeCell ref="B3146:D3146"/>
    <mergeCell ref="B3147:D3147"/>
    <mergeCell ref="B3157:D3157"/>
    <mergeCell ref="B3158:D3158"/>
    <mergeCell ref="B3159:D3159"/>
    <mergeCell ref="B3161:D3161"/>
    <mergeCell ref="B3296:F3296"/>
    <mergeCell ref="B3297:F3297"/>
    <mergeCell ref="E3228:I3228"/>
    <mergeCell ref="E3229:I3229"/>
    <mergeCell ref="E3230:I3230"/>
    <mergeCell ref="B3252:F3252"/>
    <mergeCell ref="B3253:F3253"/>
    <mergeCell ref="B3208:D3208"/>
    <mergeCell ref="B3233:F3233"/>
    <mergeCell ref="B3234:F3234"/>
    <mergeCell ref="B3235:F3235"/>
    <mergeCell ref="B3288:F3288"/>
    <mergeCell ref="B3203:F3203"/>
    <mergeCell ref="B3204:D3204"/>
    <mergeCell ref="B3291:F3291"/>
    <mergeCell ref="B3295:F3295"/>
    <mergeCell ref="B3254:F3254"/>
    <mergeCell ref="B3255:F3255"/>
    <mergeCell ref="B3270:F3270"/>
    <mergeCell ref="B3163:F3163"/>
    <mergeCell ref="B3164:F3164"/>
    <mergeCell ref="B3165:F3165"/>
    <mergeCell ref="B3166:D3166"/>
    <mergeCell ref="B3141:F3141"/>
    <mergeCell ref="B3142:F3142"/>
    <mergeCell ref="B3272:F3272"/>
    <mergeCell ref="B3273:F3273"/>
    <mergeCell ref="B3271:F3271"/>
    <mergeCell ref="B3232:F3232"/>
    <mergeCell ref="B3363:D3363"/>
    <mergeCell ref="B3398:F3398"/>
    <mergeCell ref="B3399:F3399"/>
    <mergeCell ref="B3400:D3400"/>
    <mergeCell ref="B3521:D3521"/>
    <mergeCell ref="B3205:D3205"/>
    <mergeCell ref="B3206:D3206"/>
    <mergeCell ref="B3216:D3216"/>
    <mergeCell ref="B3217:D3217"/>
    <mergeCell ref="B3218:D3218"/>
    <mergeCell ref="B3220:D3220"/>
    <mergeCell ref="B3341:D3341"/>
    <mergeCell ref="B3407:D3407"/>
    <mergeCell ref="B3408:D3408"/>
    <mergeCell ref="B3509:F3509"/>
    <mergeCell ref="B3510:F3510"/>
    <mergeCell ref="B3511:D3511"/>
    <mergeCell ref="B3514:D3514"/>
    <mergeCell ref="B3519:D3519"/>
    <mergeCell ref="B3520:D3520"/>
    <mergeCell ref="B3321:F3321"/>
    <mergeCell ref="B3322:F3322"/>
    <mergeCell ref="B3323:F3323"/>
    <mergeCell ref="B3478:J3478"/>
    <mergeCell ref="B3289:F3289"/>
    <mergeCell ref="B3290:F3290"/>
    <mergeCell ref="B3169:D3169"/>
    <mergeCell ref="B3170:D3170"/>
    <mergeCell ref="B3461:F3461"/>
    <mergeCell ref="B3462:D3462"/>
    <mergeCell ref="B3451:F3451"/>
    <mergeCell ref="B3452:F3452"/>
    <mergeCell ref="B3185:F3185"/>
    <mergeCell ref="B3186:F3186"/>
    <mergeCell ref="B3187:F3187"/>
    <mergeCell ref="B3188:F3188"/>
    <mergeCell ref="B3332:D3332"/>
    <mergeCell ref="B3207:D3207"/>
    <mergeCell ref="B3396:F3396"/>
    <mergeCell ref="B3411:D3411"/>
    <mergeCell ref="B3410:D3410"/>
    <mergeCell ref="B3189:D3189"/>
    <mergeCell ref="B3196:D3196"/>
    <mergeCell ref="B3197:D3197"/>
    <mergeCell ref="B3199:D3199"/>
    <mergeCell ref="B3350:D3350"/>
    <mergeCell ref="B3103:F3103"/>
    <mergeCell ref="B3104:F3104"/>
    <mergeCell ref="B3105:F3105"/>
    <mergeCell ref="B3106:F3106"/>
    <mergeCell ref="B3118:F3118"/>
    <mergeCell ref="B3119:F3119"/>
    <mergeCell ref="B2997:F2997"/>
    <mergeCell ref="B3180:D3180"/>
    <mergeCell ref="B3181:D3181"/>
    <mergeCell ref="B3184:D3184"/>
    <mergeCell ref="B3136:D3136"/>
    <mergeCell ref="B3182:D3182"/>
    <mergeCell ref="B3120:F3120"/>
    <mergeCell ref="B3121:F3121"/>
    <mergeCell ref="B3122:D3122"/>
    <mergeCell ref="B3123:D3123"/>
    <mergeCell ref="B3091:F3091"/>
    <mergeCell ref="B3092:F3092"/>
    <mergeCell ref="B3093:F3093"/>
    <mergeCell ref="B3094:F3094"/>
    <mergeCell ref="B3097:F3097"/>
    <mergeCell ref="B3098:F3098"/>
    <mergeCell ref="B3099:F3099"/>
    <mergeCell ref="B3100:F3100"/>
    <mergeCell ref="B3124:D3124"/>
    <mergeCell ref="B3125:D3125"/>
    <mergeCell ref="B3126:D3126"/>
    <mergeCell ref="B3134:D3134"/>
    <mergeCell ref="B3135:D3135"/>
    <mergeCell ref="B3138:D3138"/>
    <mergeCell ref="B3139:F3139"/>
    <mergeCell ref="B3140:F3140"/>
    <mergeCell ref="B2982:D2982"/>
    <mergeCell ref="B2983:D2983"/>
    <mergeCell ref="B2984:D2984"/>
    <mergeCell ref="B2992:D2992"/>
    <mergeCell ref="B2993:D2993"/>
    <mergeCell ref="B2996:D2996"/>
    <mergeCell ref="B2975:F2975"/>
    <mergeCell ref="B2976:F2976"/>
    <mergeCell ref="B2977:F2977"/>
    <mergeCell ref="B2978:F2978"/>
    <mergeCell ref="B2979:D2979"/>
    <mergeCell ref="B2981:D2981"/>
    <mergeCell ref="B2998:F2998"/>
    <mergeCell ref="B2999:F2999"/>
    <mergeCell ref="B3000:F3000"/>
    <mergeCell ref="B2968:D2968"/>
    <mergeCell ref="B2969:D2969"/>
    <mergeCell ref="B2970:D2970"/>
    <mergeCell ref="B2971:D2971"/>
    <mergeCell ref="B2972:D2972"/>
    <mergeCell ref="B2973:D2973"/>
    <mergeCell ref="B2974:D2974"/>
    <mergeCell ref="B2959:F2959"/>
    <mergeCell ref="B2960:F2960"/>
    <mergeCell ref="B2961:F2961"/>
    <mergeCell ref="B2962:F2962"/>
    <mergeCell ref="B2963:D2963"/>
    <mergeCell ref="B2967:D2967"/>
    <mergeCell ref="B2965:D2965"/>
    <mergeCell ref="B2925:D2925"/>
    <mergeCell ref="B2956:F2956"/>
    <mergeCell ref="B2957:D2957"/>
    <mergeCell ref="B2958:D2958"/>
    <mergeCell ref="B2951:D2951"/>
    <mergeCell ref="B2952:D2952"/>
    <mergeCell ref="B2930:D2930"/>
    <mergeCell ref="B2948:D2948"/>
    <mergeCell ref="B2949:D2949"/>
    <mergeCell ref="B2953:F2953"/>
    <mergeCell ref="B2954:F2954"/>
    <mergeCell ref="B2955:F2955"/>
    <mergeCell ref="B2914:D2914"/>
    <mergeCell ref="B2916:D2916"/>
    <mergeCell ref="B2917:D2917"/>
    <mergeCell ref="B2918:D2918"/>
    <mergeCell ref="B2919:D2919"/>
    <mergeCell ref="B2934:F2934"/>
    <mergeCell ref="B2935:D2935"/>
    <mergeCell ref="B2937:D2937"/>
    <mergeCell ref="B2938:D2938"/>
    <mergeCell ref="B2939:D2939"/>
    <mergeCell ref="B2940:D2940"/>
    <mergeCell ref="B2927:D2927"/>
    <mergeCell ref="B2928:D2928"/>
    <mergeCell ref="B2908:D2908"/>
    <mergeCell ref="B2931:F2931"/>
    <mergeCell ref="B2932:F2932"/>
    <mergeCell ref="B2933:F2933"/>
    <mergeCell ref="B2929:D2929"/>
    <mergeCell ref="B2922:D2922"/>
    <mergeCell ref="B2923:D2923"/>
    <mergeCell ref="B2924:D2924"/>
    <mergeCell ref="B2913:F2913"/>
    <mergeCell ref="B2894:D2894"/>
    <mergeCell ref="B2896:D2896"/>
    <mergeCell ref="B2897:D2897"/>
    <mergeCell ref="B2898:D2898"/>
    <mergeCell ref="B2899:D2899"/>
    <mergeCell ref="B2906:D2906"/>
    <mergeCell ref="B2907:D2907"/>
    <mergeCell ref="B2909:D2909"/>
    <mergeCell ref="B2891:F2891"/>
    <mergeCell ref="B2892:F2892"/>
    <mergeCell ref="B2893:F2893"/>
    <mergeCell ref="B2910:F2910"/>
    <mergeCell ref="B2911:F2911"/>
    <mergeCell ref="B2912:F2912"/>
    <mergeCell ref="B2885:D2885"/>
    <mergeCell ref="B2886:D2886"/>
    <mergeCell ref="B2887:D2887"/>
    <mergeCell ref="B2888:D2888"/>
    <mergeCell ref="B2889:D2889"/>
    <mergeCell ref="B2890:F2890"/>
    <mergeCell ref="B2879:D2879"/>
    <mergeCell ref="B2880:D2880"/>
    <mergeCell ref="B2881:D2881"/>
    <mergeCell ref="B2882:D2882"/>
    <mergeCell ref="B2883:D2883"/>
    <mergeCell ref="B2884:D2884"/>
    <mergeCell ref="B2872:F2872"/>
    <mergeCell ref="B2873:F2873"/>
    <mergeCell ref="B2874:D2874"/>
    <mergeCell ref="B2876:D2876"/>
    <mergeCell ref="B2877:D2877"/>
    <mergeCell ref="B2878:D2878"/>
    <mergeCell ref="B2866:D2866"/>
    <mergeCell ref="B2867:D2867"/>
    <mergeCell ref="B2868:D2868"/>
    <mergeCell ref="B2869:D2869"/>
    <mergeCell ref="B2870:F2870"/>
    <mergeCell ref="B2871:F2871"/>
    <mergeCell ref="B2860:D2860"/>
    <mergeCell ref="B2861:F2861"/>
    <mergeCell ref="B2862:F2862"/>
    <mergeCell ref="B2863:F2863"/>
    <mergeCell ref="B2864:F2864"/>
    <mergeCell ref="B2865:D2865"/>
    <mergeCell ref="B2854:F2854"/>
    <mergeCell ref="B2855:F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F2852"/>
    <mergeCell ref="B2853:F2853"/>
    <mergeCell ref="B2842:D2842"/>
    <mergeCell ref="B2843:F2843"/>
    <mergeCell ref="B2844:F2844"/>
    <mergeCell ref="B2845:F2845"/>
    <mergeCell ref="B2846:F2846"/>
    <mergeCell ref="B2847:D2847"/>
    <mergeCell ref="B2836:F2836"/>
    <mergeCell ref="B2837:F2837"/>
    <mergeCell ref="B2838:D2838"/>
    <mergeCell ref="B2839:D2839"/>
    <mergeCell ref="B2840:D2840"/>
    <mergeCell ref="B2841:D2841"/>
    <mergeCell ref="E2830:I2830"/>
    <mergeCell ref="E2831:I2831"/>
    <mergeCell ref="E2832:I2832"/>
    <mergeCell ref="B2834:F2834"/>
    <mergeCell ref="B2835:F2835"/>
    <mergeCell ref="B2833:D2833"/>
    <mergeCell ref="E2833:F2833"/>
    <mergeCell ref="B2806:D2806"/>
    <mergeCell ref="B2807:D2807"/>
    <mergeCell ref="B2808:D2808"/>
    <mergeCell ref="B2809:D2809"/>
    <mergeCell ref="B2794:D2794"/>
    <mergeCell ref="B2796:D2796"/>
    <mergeCell ref="B2797:D2797"/>
    <mergeCell ref="B2822:D2822"/>
    <mergeCell ref="B2823:D2823"/>
    <mergeCell ref="B2798:D2798"/>
    <mergeCell ref="B2799:D2799"/>
    <mergeCell ref="B2800:D2800"/>
    <mergeCell ref="B2801:D2801"/>
    <mergeCell ref="B2802:D2802"/>
    <mergeCell ref="B2803:D2803"/>
    <mergeCell ref="B2804:D2804"/>
    <mergeCell ref="B2816:F2816"/>
    <mergeCell ref="B2817:F2817"/>
    <mergeCell ref="B2818:F2818"/>
    <mergeCell ref="B2819:D2819"/>
    <mergeCell ref="B2820:D2820"/>
    <mergeCell ref="B2821:D2821"/>
    <mergeCell ref="B2810:F2810"/>
    <mergeCell ref="B2811:F2811"/>
    <mergeCell ref="B2812:F2812"/>
    <mergeCell ref="B2813:F2813"/>
    <mergeCell ref="B2814:D2814"/>
    <mergeCell ref="B2815:F2815"/>
    <mergeCell ref="B2754:F2754"/>
    <mergeCell ref="B2755:F2755"/>
    <mergeCell ref="B2758:D2758"/>
    <mergeCell ref="B2759:D2759"/>
    <mergeCell ref="B2783:F2783"/>
    <mergeCell ref="B2784:F2784"/>
    <mergeCell ref="B2785:D2785"/>
    <mergeCell ref="B2786:D2786"/>
    <mergeCell ref="B2787:D2787"/>
    <mergeCell ref="B2788:D2788"/>
    <mergeCell ref="B2777:D2777"/>
    <mergeCell ref="B2778:D2778"/>
    <mergeCell ref="B2779:D2779"/>
    <mergeCell ref="B2780:D2780"/>
    <mergeCell ref="B2781:F2781"/>
    <mergeCell ref="B2782:F2782"/>
    <mergeCell ref="B2805:D2805"/>
    <mergeCell ref="B2792:F2792"/>
    <mergeCell ref="B2793:F2793"/>
    <mergeCell ref="B2790:F2790"/>
    <mergeCell ref="B2791:F2791"/>
    <mergeCell ref="B2774:F2774"/>
    <mergeCell ref="B2775:F2775"/>
    <mergeCell ref="B2776:D2776"/>
    <mergeCell ref="B2771:D2771"/>
    <mergeCell ref="B2772:F2772"/>
    <mergeCell ref="B2773:F2773"/>
    <mergeCell ref="B2766:F2766"/>
    <mergeCell ref="B2767:D2767"/>
    <mergeCell ref="B2768:D2768"/>
    <mergeCell ref="B2769:D2769"/>
    <mergeCell ref="B2770:D2770"/>
    <mergeCell ref="B2789:D2789"/>
    <mergeCell ref="B2760:D2760"/>
    <mergeCell ref="B2761:D2761"/>
    <mergeCell ref="B2762:D2762"/>
    <mergeCell ref="B2763:F2763"/>
    <mergeCell ref="B2764:F2764"/>
    <mergeCell ref="B2765:F2765"/>
    <mergeCell ref="B2757:F2757"/>
    <mergeCell ref="B2756:F2756"/>
    <mergeCell ref="B2743:D2743"/>
    <mergeCell ref="B2702:D2702"/>
    <mergeCell ref="B2703:D2703"/>
    <mergeCell ref="B2704:D2704"/>
    <mergeCell ref="B2705:D2705"/>
    <mergeCell ref="B2706:D2706"/>
    <mergeCell ref="B2707:D2707"/>
    <mergeCell ref="B2725:D2725"/>
    <mergeCell ref="B2736:F2736"/>
    <mergeCell ref="B2737:F2737"/>
    <mergeCell ref="B2739:D2739"/>
    <mergeCell ref="B2740:D2740"/>
    <mergeCell ref="B2741:D2741"/>
    <mergeCell ref="B2742:D2742"/>
    <mergeCell ref="B2729:D2729"/>
    <mergeCell ref="B2731:D2731"/>
    <mergeCell ref="B2733:D2733"/>
    <mergeCell ref="B2732:D2732"/>
    <mergeCell ref="B2734:F2734"/>
    <mergeCell ref="B2735:F2735"/>
    <mergeCell ref="B2724:D2724"/>
    <mergeCell ref="B2727:D2727"/>
    <mergeCell ref="B2728:D2728"/>
    <mergeCell ref="B2660:D2660"/>
    <mergeCell ref="B2683:D2683"/>
    <mergeCell ref="B2681:D2681"/>
    <mergeCell ref="B2696:F2696"/>
    <mergeCell ref="B2697:F2697"/>
    <mergeCell ref="B2612:F2612"/>
    <mergeCell ref="B2613:F2613"/>
    <mergeCell ref="B2614:F2614"/>
    <mergeCell ref="B2615:D2615"/>
    <mergeCell ref="B2626:D2626"/>
    <mergeCell ref="B2638:D2638"/>
    <mergeCell ref="E2715:I2715"/>
    <mergeCell ref="B2718:F2718"/>
    <mergeCell ref="B2719:F2719"/>
    <mergeCell ref="B2720:F2720"/>
    <mergeCell ref="B2721:F2721"/>
    <mergeCell ref="B2723:D2723"/>
    <mergeCell ref="B2606:D2606"/>
    <mergeCell ref="B2607:D2607"/>
    <mergeCell ref="B2608:D2608"/>
    <mergeCell ref="B2609:D2609"/>
    <mergeCell ref="B2611:F2611"/>
    <mergeCell ref="B2599:D2599"/>
    <mergeCell ref="B2600:D2600"/>
    <mergeCell ref="B2601:D2601"/>
    <mergeCell ref="B2602:D2602"/>
    <mergeCell ref="B2603:D2603"/>
    <mergeCell ref="B2604:D2604"/>
    <mergeCell ref="B2590:D2590"/>
    <mergeCell ref="B2591:D2591"/>
    <mergeCell ref="B2592:F2592"/>
    <mergeCell ref="B2610:D2610"/>
    <mergeCell ref="B2593:F2593"/>
    <mergeCell ref="B2594:F2594"/>
    <mergeCell ref="B2595:F2595"/>
    <mergeCell ref="B2596:D2596"/>
    <mergeCell ref="B2597:D2597"/>
    <mergeCell ref="B2598:D2598"/>
    <mergeCell ref="B2584:F2584"/>
    <mergeCell ref="B2585:F2585"/>
    <mergeCell ref="B2586:F2586"/>
    <mergeCell ref="B2587:D2587"/>
    <mergeCell ref="B2588:D2588"/>
    <mergeCell ref="B2589:D2589"/>
    <mergeCell ref="E2579:I2579"/>
    <mergeCell ref="E2580:I2580"/>
    <mergeCell ref="E2581:I2581"/>
    <mergeCell ref="B2582:D2582"/>
    <mergeCell ref="E2582:F2582"/>
    <mergeCell ref="B2583:F2583"/>
    <mergeCell ref="B2557:D2557"/>
    <mergeCell ref="B2558:D2558"/>
    <mergeCell ref="B2559:D2559"/>
    <mergeCell ref="B2556:D2556"/>
    <mergeCell ref="B2605:D2605"/>
    <mergeCell ref="B2550:F2550"/>
    <mergeCell ref="B2551:F2551"/>
    <mergeCell ref="B2552:D2552"/>
    <mergeCell ref="B2553:D2553"/>
    <mergeCell ref="B2554:D2554"/>
    <mergeCell ref="B2555:D2555"/>
    <mergeCell ref="B2544:D2544"/>
    <mergeCell ref="B2545:D2545"/>
    <mergeCell ref="B2546:D2546"/>
    <mergeCell ref="B2547:D2547"/>
    <mergeCell ref="B2548:F2548"/>
    <mergeCell ref="B2549:F2549"/>
    <mergeCell ref="B2538:F2538"/>
    <mergeCell ref="B2539:F2539"/>
    <mergeCell ref="B2540:F2540"/>
    <mergeCell ref="B2541:D2541"/>
    <mergeCell ref="B2542:D2542"/>
    <mergeCell ref="B2543:D2543"/>
    <mergeCell ref="B2518:F2518"/>
    <mergeCell ref="B2526:F2526"/>
    <mergeCell ref="B2527:F2527"/>
    <mergeCell ref="B2528:F2528"/>
    <mergeCell ref="B2529:F2529"/>
    <mergeCell ref="B2537:F2537"/>
    <mergeCell ref="B2512:D2512"/>
    <mergeCell ref="B2513:D2513"/>
    <mergeCell ref="B2514:D2514"/>
    <mergeCell ref="B2515:F2515"/>
    <mergeCell ref="B2516:F2516"/>
    <mergeCell ref="B2517:F2517"/>
    <mergeCell ref="B2507:F2507"/>
    <mergeCell ref="B2508:D2508"/>
    <mergeCell ref="B2502:D2502"/>
    <mergeCell ref="B2509:D2509"/>
    <mergeCell ref="B2510:D2510"/>
    <mergeCell ref="B2511:D2511"/>
    <mergeCell ref="B2500:D2500"/>
    <mergeCell ref="B2501:D2501"/>
    <mergeCell ref="B2503:D2503"/>
    <mergeCell ref="B2504:F2504"/>
    <mergeCell ref="B2505:F2505"/>
    <mergeCell ref="B2506:F2506"/>
    <mergeCell ref="B2494:F2494"/>
    <mergeCell ref="B2495:F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F2492"/>
    <mergeCell ref="B2493:F2493"/>
    <mergeCell ref="B2482:F2482"/>
    <mergeCell ref="B2483:F2483"/>
    <mergeCell ref="B2484:F2484"/>
    <mergeCell ref="B2485:D2485"/>
    <mergeCell ref="B2486:D2486"/>
    <mergeCell ref="B2487:D2487"/>
    <mergeCell ref="B2476:D2476"/>
    <mergeCell ref="B2477:D2477"/>
    <mergeCell ref="B2478:D2478"/>
    <mergeCell ref="B2479:D2479"/>
    <mergeCell ref="B2480:D2480"/>
    <mergeCell ref="B2481:F2481"/>
    <mergeCell ref="B2470:F2470"/>
    <mergeCell ref="B2471:F2471"/>
    <mergeCell ref="B2472:F2472"/>
    <mergeCell ref="B2473:F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58:D2458"/>
    <mergeCell ref="B2459:F2459"/>
    <mergeCell ref="B2460:F2460"/>
    <mergeCell ref="B2461:F2461"/>
    <mergeCell ref="B2462:F2462"/>
    <mergeCell ref="B2463:D2463"/>
    <mergeCell ref="B2452:D2452"/>
    <mergeCell ref="B2453:D2453"/>
    <mergeCell ref="B2454:D2454"/>
    <mergeCell ref="B2455:D2455"/>
    <mergeCell ref="B2456:D2456"/>
    <mergeCell ref="B2457:D2457"/>
    <mergeCell ref="B2450:F2450"/>
    <mergeCell ref="B2451:D2451"/>
    <mergeCell ref="B2440:D2440"/>
    <mergeCell ref="B2441:D2441"/>
    <mergeCell ref="B2442:D2442"/>
    <mergeCell ref="B2443:D2443"/>
    <mergeCell ref="B2444:D2444"/>
    <mergeCell ref="B2445:D2445"/>
    <mergeCell ref="B2428:D2428"/>
    <mergeCell ref="B2435:F2435"/>
    <mergeCell ref="B2436:F2436"/>
    <mergeCell ref="B2437:F2437"/>
    <mergeCell ref="B2438:F2438"/>
    <mergeCell ref="B2439:D2439"/>
    <mergeCell ref="B2429:D2429"/>
    <mergeCell ref="B2430:D2430"/>
    <mergeCell ref="B2431:D2431"/>
    <mergeCell ref="B2432:D2432"/>
    <mergeCell ref="B2433:D2433"/>
    <mergeCell ref="B2434:D2434"/>
    <mergeCell ref="B2423:F2423"/>
    <mergeCell ref="B2424:F2424"/>
    <mergeCell ref="B2425:F2425"/>
    <mergeCell ref="B2426:F2426"/>
    <mergeCell ref="B2427:D2427"/>
    <mergeCell ref="B2422:D2422"/>
    <mergeCell ref="B2411:D2411"/>
    <mergeCell ref="B2416:D2416"/>
    <mergeCell ref="B2417:D2417"/>
    <mergeCell ref="B2418:D2418"/>
    <mergeCell ref="B2419:D2419"/>
    <mergeCell ref="B2420:D2420"/>
    <mergeCell ref="B2421:D2421"/>
    <mergeCell ref="B2446:D2446"/>
    <mergeCell ref="B2447:F2447"/>
    <mergeCell ref="B2448:F2448"/>
    <mergeCell ref="B2449:F2449"/>
    <mergeCell ref="B2409:D2409"/>
    <mergeCell ref="B2410:D2410"/>
    <mergeCell ref="B2412:F2412"/>
    <mergeCell ref="B2413:F2413"/>
    <mergeCell ref="B2414:F2414"/>
    <mergeCell ref="B2415:F2415"/>
    <mergeCell ref="B2403:F2403"/>
    <mergeCell ref="B2404:D2404"/>
    <mergeCell ref="B2405:D2405"/>
    <mergeCell ref="B2406:D2406"/>
    <mergeCell ref="B2407:D2407"/>
    <mergeCell ref="B2408:D2408"/>
    <mergeCell ref="B2387:D2387"/>
    <mergeCell ref="B2388:D2388"/>
    <mergeCell ref="B2389:D2389"/>
    <mergeCell ref="B2400:F2400"/>
    <mergeCell ref="B2401:F2401"/>
    <mergeCell ref="B2402:F2402"/>
    <mergeCell ref="B2396:D2396"/>
    <mergeCell ref="B2397:D2397"/>
    <mergeCell ref="B2398:D2398"/>
    <mergeCell ref="B2399:D2399"/>
    <mergeCell ref="B2381:F2381"/>
    <mergeCell ref="B2382:F2382"/>
    <mergeCell ref="B2383:F2383"/>
    <mergeCell ref="B2384:F2384"/>
    <mergeCell ref="B2385:D2385"/>
    <mergeCell ref="B2386:D2386"/>
    <mergeCell ref="B2390:D2390"/>
    <mergeCell ref="B2391:D2391"/>
    <mergeCell ref="B2392:D2392"/>
    <mergeCell ref="B2393:D2393"/>
    <mergeCell ref="B2394:D2394"/>
    <mergeCell ref="B2395:D2395"/>
    <mergeCell ref="B2380:D2380"/>
    <mergeCell ref="B2337:D2337"/>
    <mergeCell ref="B2338:D2338"/>
    <mergeCell ref="B2339:D2339"/>
    <mergeCell ref="B2340:D2340"/>
    <mergeCell ref="B2341:D2341"/>
    <mergeCell ref="B2346:D2346"/>
    <mergeCell ref="B2348:D2348"/>
    <mergeCell ref="B2350:D2350"/>
    <mergeCell ref="B2374:F2374"/>
    <mergeCell ref="B2375:F2375"/>
    <mergeCell ref="B2376:D2376"/>
    <mergeCell ref="B2377:D2377"/>
    <mergeCell ref="B2378:D2378"/>
    <mergeCell ref="B2379:D2379"/>
    <mergeCell ref="E2369:I2369"/>
    <mergeCell ref="E2370:I2370"/>
    <mergeCell ref="B2371:D2371"/>
    <mergeCell ref="E2371:F2371"/>
    <mergeCell ref="B2372:F2372"/>
    <mergeCell ref="B2373:F2373"/>
    <mergeCell ref="B2317:D2317"/>
    <mergeCell ref="B2318:D2318"/>
    <mergeCell ref="B2319:D2319"/>
    <mergeCell ref="B2324:D2324"/>
    <mergeCell ref="E2368:I2368"/>
    <mergeCell ref="B2329:F2329"/>
    <mergeCell ref="B2330:D2330"/>
    <mergeCell ref="B2332:D2332"/>
    <mergeCell ref="B2334:D2334"/>
    <mergeCell ref="B2336:D2336"/>
    <mergeCell ref="E2309:I2309"/>
    <mergeCell ref="B2310:D2310"/>
    <mergeCell ref="E2310:F2310"/>
    <mergeCell ref="B2311:F2311"/>
    <mergeCell ref="B2312:F2312"/>
    <mergeCell ref="B2331:D2331"/>
    <mergeCell ref="B2333:D2333"/>
    <mergeCell ref="B2335:D2335"/>
    <mergeCell ref="B2320:F2320"/>
    <mergeCell ref="B2321:F2321"/>
    <mergeCell ref="B2322:F2322"/>
    <mergeCell ref="B2323:F2323"/>
    <mergeCell ref="B2326:F2326"/>
    <mergeCell ref="B2327:F2327"/>
    <mergeCell ref="B2328:F2328"/>
    <mergeCell ref="B2294:D2294"/>
    <mergeCell ref="E2307:I2307"/>
    <mergeCell ref="E2308:I2308"/>
    <mergeCell ref="B2325:D2325"/>
    <mergeCell ref="B2313:F2313"/>
    <mergeCell ref="B2314:F2314"/>
    <mergeCell ref="B2315:D2315"/>
    <mergeCell ref="B2316:D2316"/>
    <mergeCell ref="B2288:F2288"/>
    <mergeCell ref="B2289:D2289"/>
    <mergeCell ref="B2290:F2290"/>
    <mergeCell ref="B2291:F2291"/>
    <mergeCell ref="B2292:F2292"/>
    <mergeCell ref="B2293:F2293"/>
    <mergeCell ref="B2282:F2282"/>
    <mergeCell ref="B2283:F2283"/>
    <mergeCell ref="B2284:D2284"/>
    <mergeCell ref="B2285:F2285"/>
    <mergeCell ref="B2286:F2286"/>
    <mergeCell ref="B2287:F2287"/>
    <mergeCell ref="B2258:D2258"/>
    <mergeCell ref="B2259:D2259"/>
    <mergeCell ref="B2264:D2264"/>
    <mergeCell ref="B2266:D2266"/>
    <mergeCell ref="B2250:D2250"/>
    <mergeCell ref="B2251:D2251"/>
    <mergeCell ref="B2252:D2252"/>
    <mergeCell ref="B2253:D2253"/>
    <mergeCell ref="B2254:D2254"/>
    <mergeCell ref="B2255:D2255"/>
    <mergeCell ref="B2277:F2277"/>
    <mergeCell ref="B2278:F2278"/>
    <mergeCell ref="B2279:D2279"/>
    <mergeCell ref="B2280:F2280"/>
    <mergeCell ref="B2281:F2281"/>
    <mergeCell ref="B2268:D2268"/>
    <mergeCell ref="B2271:F2271"/>
    <mergeCell ref="B2272:F2272"/>
    <mergeCell ref="B2273:F2273"/>
    <mergeCell ref="B2274:D2274"/>
    <mergeCell ref="B2275:F2275"/>
    <mergeCell ref="B2276:F2276"/>
    <mergeCell ref="E2189:I2189"/>
    <mergeCell ref="B2190:D2190"/>
    <mergeCell ref="E2190:F2190"/>
    <mergeCell ref="B2191:F2191"/>
    <mergeCell ref="B2192:F2192"/>
    <mergeCell ref="B2219:F2219"/>
    <mergeCell ref="B2220:F2220"/>
    <mergeCell ref="B2221:D2221"/>
    <mergeCell ref="B2222:D2222"/>
    <mergeCell ref="B2223:D2223"/>
    <mergeCell ref="B2270:F2270"/>
    <mergeCell ref="B2246:F2246"/>
    <mergeCell ref="B2247:F2247"/>
    <mergeCell ref="B2248:F2248"/>
    <mergeCell ref="B2249:D2249"/>
    <mergeCell ref="B2245:F2245"/>
    <mergeCell ref="B2205:D2205"/>
    <mergeCell ref="B2210:F2210"/>
    <mergeCell ref="B2211:F2211"/>
    <mergeCell ref="B2212:F2212"/>
    <mergeCell ref="B2213:F2213"/>
    <mergeCell ref="B2214:D2214"/>
    <mergeCell ref="B2215:D2215"/>
    <mergeCell ref="B2217:F2217"/>
    <mergeCell ref="B2218:F2218"/>
    <mergeCell ref="E2241:I2241"/>
    <mergeCell ref="E2242:I2242"/>
    <mergeCell ref="E2243:I2243"/>
    <mergeCell ref="B2244:D2244"/>
    <mergeCell ref="E2244:F2244"/>
    <mergeCell ref="B2256:D2256"/>
    <mergeCell ref="B2257:D2257"/>
    <mergeCell ref="B2178:D2178"/>
    <mergeCell ref="B2179:D2179"/>
    <mergeCell ref="E2187:I2187"/>
    <mergeCell ref="B2163:F2163"/>
    <mergeCell ref="B2164:F2164"/>
    <mergeCell ref="B2165:F2165"/>
    <mergeCell ref="B2166:D2166"/>
    <mergeCell ref="B2168:D2168"/>
    <mergeCell ref="B2169:D2169"/>
    <mergeCell ref="B2170:D2170"/>
    <mergeCell ref="B2171:D2171"/>
    <mergeCell ref="B2144:F2144"/>
    <mergeCell ref="B2145:F2145"/>
    <mergeCell ref="B2177:D2177"/>
    <mergeCell ref="B2172:D2172"/>
    <mergeCell ref="B2167:D2167"/>
    <mergeCell ref="B2173:F2173"/>
    <mergeCell ref="B2174:F2174"/>
    <mergeCell ref="B2146:F2146"/>
    <mergeCell ref="B2147:D2147"/>
    <mergeCell ref="B2148:D2148"/>
    <mergeCell ref="B2162:F2162"/>
    <mergeCell ref="B2143:F2143"/>
    <mergeCell ref="B2129:D2129"/>
    <mergeCell ref="B2130:D2130"/>
    <mergeCell ref="B2131:F2131"/>
    <mergeCell ref="B2132:F2132"/>
    <mergeCell ref="B2133:F2133"/>
    <mergeCell ref="B2134:F2134"/>
    <mergeCell ref="B2135:D2135"/>
    <mergeCell ref="B2136:D2136"/>
    <mergeCell ref="B2137:F2137"/>
    <mergeCell ref="E2158:I2158"/>
    <mergeCell ref="E2159:I2159"/>
    <mergeCell ref="E2160:I2160"/>
    <mergeCell ref="B2161:D2161"/>
    <mergeCell ref="E2161:F2161"/>
    <mergeCell ref="B2175:F2175"/>
    <mergeCell ref="B2176:F2176"/>
    <mergeCell ref="B2122:D2122"/>
    <mergeCell ref="B2124:D2124"/>
    <mergeCell ref="B2125:F2125"/>
    <mergeCell ref="B2126:F2126"/>
    <mergeCell ref="B2127:F2127"/>
    <mergeCell ref="B2128:F2128"/>
    <mergeCell ref="B2110:D2110"/>
    <mergeCell ref="B2111:D2111"/>
    <mergeCell ref="B2112:D2112"/>
    <mergeCell ref="B2113:D2113"/>
    <mergeCell ref="B2114:D2114"/>
    <mergeCell ref="B2115:D2115"/>
    <mergeCell ref="B2138:F2138"/>
    <mergeCell ref="B2139:F2139"/>
    <mergeCell ref="B2140:F2140"/>
    <mergeCell ref="B2141:D2141"/>
    <mergeCell ref="B2142:D2142"/>
    <mergeCell ref="B2033:D2033"/>
    <mergeCell ref="B2102:F2102"/>
    <mergeCell ref="B2103:F2103"/>
    <mergeCell ref="B2069:D2069"/>
    <mergeCell ref="B2071:D2071"/>
    <mergeCell ref="B2073:D2073"/>
    <mergeCell ref="B2074:F2074"/>
    <mergeCell ref="B2075:F2075"/>
    <mergeCell ref="B2076:F2076"/>
    <mergeCell ref="B2097:D2097"/>
    <mergeCell ref="B2099:D2099"/>
    <mergeCell ref="B2101:D2101"/>
    <mergeCell ref="B2058:D2058"/>
    <mergeCell ref="B2059:D2059"/>
    <mergeCell ref="B2086:D2086"/>
    <mergeCell ref="B2087:D2087"/>
    <mergeCell ref="B2088:D2088"/>
    <mergeCell ref="B2089:D2089"/>
    <mergeCell ref="B2090:D2090"/>
    <mergeCell ref="B2095:D2095"/>
    <mergeCell ref="B2057:D2057"/>
    <mergeCell ref="B2082:D2082"/>
    <mergeCell ref="B2039:D2039"/>
    <mergeCell ref="B1840:D1840"/>
    <mergeCell ref="B1841:D1841"/>
    <mergeCell ref="B1842:D1842"/>
    <mergeCell ref="B1690:F1690"/>
    <mergeCell ref="B1702:D1702"/>
    <mergeCell ref="B1704:D1704"/>
    <mergeCell ref="B1705:D1705"/>
    <mergeCell ref="B1707:F1707"/>
    <mergeCell ref="B2084:D2084"/>
    <mergeCell ref="B2085:D2085"/>
    <mergeCell ref="B2060:D2060"/>
    <mergeCell ref="B2061:D2061"/>
    <mergeCell ref="B2062:D2062"/>
    <mergeCell ref="B2067:D2067"/>
    <mergeCell ref="B2056:D2056"/>
    <mergeCell ref="B2083:D2083"/>
    <mergeCell ref="B1708:F1708"/>
    <mergeCell ref="B1709:F1709"/>
    <mergeCell ref="B1710:D1710"/>
    <mergeCell ref="B1711:D1711"/>
    <mergeCell ref="B1712:D1712"/>
    <mergeCell ref="B1713:D1713"/>
    <mergeCell ref="B1714:D1714"/>
    <mergeCell ref="B1719:D1719"/>
    <mergeCell ref="B1721:D1721"/>
    <mergeCell ref="B1737:D1737"/>
    <mergeCell ref="B1741:D1741"/>
    <mergeCell ref="B1743:D1743"/>
    <mergeCell ref="B1748:D1748"/>
    <mergeCell ref="B1779:D1779"/>
    <mergeCell ref="B1781:D1781"/>
    <mergeCell ref="B1899:D1899"/>
    <mergeCell ref="E1654:I1654"/>
    <mergeCell ref="B1673:F1673"/>
    <mergeCell ref="B1676:D1676"/>
    <mergeCell ref="B1677:D1677"/>
    <mergeCell ref="E1686:I1686"/>
    <mergeCell ref="E1687:I1687"/>
    <mergeCell ref="E1688:I1688"/>
    <mergeCell ref="B1689:D1689"/>
    <mergeCell ref="E1689:F1689"/>
    <mergeCell ref="B1701:F1701"/>
    <mergeCell ref="B1854:D1854"/>
    <mergeCell ref="B1855:D1855"/>
    <mergeCell ref="B1856:D1856"/>
    <mergeCell ref="B1874:F1874"/>
    <mergeCell ref="B1875:D1875"/>
    <mergeCell ref="B1717:F1717"/>
    <mergeCell ref="B1718:F1718"/>
    <mergeCell ref="B1703:D1703"/>
    <mergeCell ref="B1706:D1706"/>
    <mergeCell ref="B1715:F1715"/>
    <mergeCell ref="B1716:F1716"/>
    <mergeCell ref="B1788:D1788"/>
    <mergeCell ref="B1790:D1790"/>
    <mergeCell ref="B1794:D1794"/>
    <mergeCell ref="B1853:D1853"/>
    <mergeCell ref="B1872:F1872"/>
    <mergeCell ref="B1830:F1830"/>
    <mergeCell ref="B1831:F1831"/>
    <mergeCell ref="B1832:F1832"/>
    <mergeCell ref="B1837:D1837"/>
    <mergeCell ref="B1838:D1838"/>
    <mergeCell ref="B1839:D1839"/>
    <mergeCell ref="B1656:F1656"/>
    <mergeCell ref="B1657:F1657"/>
    <mergeCell ref="B1658:F1658"/>
    <mergeCell ref="B1659:F1659"/>
    <mergeCell ref="B1660:D1660"/>
    <mergeCell ref="B1666:D1666"/>
    <mergeCell ref="E1666:I1666"/>
    <mergeCell ref="B1641:F1641"/>
    <mergeCell ref="B1642:F1642"/>
    <mergeCell ref="B1643:F1643"/>
    <mergeCell ref="B1644:F1644"/>
    <mergeCell ref="B1645:D1645"/>
    <mergeCell ref="B1646:D1646"/>
    <mergeCell ref="B1691:F1691"/>
    <mergeCell ref="B1692:F1692"/>
    <mergeCell ref="B1693:F1693"/>
    <mergeCell ref="B1669:D1669"/>
    <mergeCell ref="E1669:F1669"/>
    <mergeCell ref="B1670:F1670"/>
    <mergeCell ref="B1671:F1671"/>
    <mergeCell ref="B1672:F1672"/>
    <mergeCell ref="B1652:D1652"/>
    <mergeCell ref="E1652:I1652"/>
    <mergeCell ref="B1653:D1653"/>
    <mergeCell ref="E1653:I1653"/>
    <mergeCell ref="B1667:D1667"/>
    <mergeCell ref="E1667:I1667"/>
    <mergeCell ref="B1668:D1668"/>
    <mergeCell ref="E1668:I1668"/>
    <mergeCell ref="B1655:D1655"/>
    <mergeCell ref="E1655:F1655"/>
    <mergeCell ref="B1654:D1654"/>
    <mergeCell ref="B1611:F1611"/>
    <mergeCell ref="B1612:F1612"/>
    <mergeCell ref="B1613:F1613"/>
    <mergeCell ref="B1614:D1614"/>
    <mergeCell ref="B1616:D1616"/>
    <mergeCell ref="B1617:D1617"/>
    <mergeCell ref="B1619:D1619"/>
    <mergeCell ref="B1610:F1610"/>
    <mergeCell ref="B1628:D1628"/>
    <mergeCell ref="B1632:D1632"/>
    <mergeCell ref="B1636:D1636"/>
    <mergeCell ref="B1638:D1638"/>
    <mergeCell ref="B1640:D1640"/>
    <mergeCell ref="B1620:D1620"/>
    <mergeCell ref="B1622:D1622"/>
    <mergeCell ref="B1621:D1621"/>
    <mergeCell ref="E1606:I1606"/>
    <mergeCell ref="B1607:D1607"/>
    <mergeCell ref="E1607:I1607"/>
    <mergeCell ref="B1608:D1608"/>
    <mergeCell ref="E1608:I1608"/>
    <mergeCell ref="B1609:D1609"/>
    <mergeCell ref="E1609:F1609"/>
    <mergeCell ref="B1112:D1112"/>
    <mergeCell ref="B1148:D1148"/>
    <mergeCell ref="B1151:D1151"/>
    <mergeCell ref="B1153:D1153"/>
    <mergeCell ref="B1155:D1155"/>
    <mergeCell ref="B1343:F1343"/>
    <mergeCell ref="B1265:F1265"/>
    <mergeCell ref="B1266:F1266"/>
    <mergeCell ref="B1344:D1344"/>
    <mergeCell ref="B1323:F1323"/>
    <mergeCell ref="B1324:F1324"/>
    <mergeCell ref="B1325:F1325"/>
    <mergeCell ref="B1326:D1326"/>
    <mergeCell ref="B1328:D1328"/>
    <mergeCell ref="B1329:D1329"/>
    <mergeCell ref="B1348:D1348"/>
    <mergeCell ref="B1349:D1349"/>
    <mergeCell ref="B1337:D1337"/>
    <mergeCell ref="B1338:D1338"/>
    <mergeCell ref="B1279:D1279"/>
    <mergeCell ref="B1282:D1282"/>
    <mergeCell ref="B1284:D1284"/>
    <mergeCell ref="B1286:D1286"/>
    <mergeCell ref="B1287:D1287"/>
    <mergeCell ref="B1333:D1333"/>
    <mergeCell ref="B1288:F1288"/>
    <mergeCell ref="B1289:F1289"/>
    <mergeCell ref="B1290:F1290"/>
    <mergeCell ref="B1291:F1291"/>
    <mergeCell ref="B1292:D1292"/>
    <mergeCell ref="B1293:D1293"/>
    <mergeCell ref="B1294:D1294"/>
    <mergeCell ref="B1340:F1340"/>
    <mergeCell ref="B1341:F1341"/>
    <mergeCell ref="B1342:F1342"/>
    <mergeCell ref="B1295:D1295"/>
    <mergeCell ref="B1296:D1296"/>
    <mergeCell ref="B1297:D1297"/>
    <mergeCell ref="B1298:D1298"/>
    <mergeCell ref="B1301:D1301"/>
    <mergeCell ref="B1302:D1302"/>
    <mergeCell ref="B1305:D1305"/>
    <mergeCell ref="B1307:D1307"/>
    <mergeCell ref="B1201:D1201"/>
    <mergeCell ref="B1202:D1202"/>
    <mergeCell ref="B1203:D1203"/>
    <mergeCell ref="B1204:D1204"/>
    <mergeCell ref="B1244:D1244"/>
    <mergeCell ref="B1245:D1245"/>
    <mergeCell ref="B1243:D1243"/>
    <mergeCell ref="B1228:F1228"/>
    <mergeCell ref="B1229:F1229"/>
    <mergeCell ref="B1230:F1230"/>
    <mergeCell ref="B1231:F1231"/>
    <mergeCell ref="B1232:D1232"/>
    <mergeCell ref="B1234:D1234"/>
    <mergeCell ref="B1235:D1235"/>
    <mergeCell ref="B1236:F1236"/>
    <mergeCell ref="B1237:F1237"/>
    <mergeCell ref="B1238:F1238"/>
    <mergeCell ref="B1239:F1239"/>
    <mergeCell ref="B1240:D1240"/>
    <mergeCell ref="B1242:D1242"/>
    <mergeCell ref="B1312:F1312"/>
    <mergeCell ref="B998:D998"/>
    <mergeCell ref="B1003:D1003"/>
    <mergeCell ref="B1008:D1008"/>
    <mergeCell ref="B1013:D1013"/>
    <mergeCell ref="B1018:F1018"/>
    <mergeCell ref="B1019:F1019"/>
    <mergeCell ref="E981:I981"/>
    <mergeCell ref="B1035:F1035"/>
    <mergeCell ref="B1036:F1036"/>
    <mergeCell ref="B1037:D1037"/>
    <mergeCell ref="B1119:D1119"/>
    <mergeCell ref="B1125:D1125"/>
    <mergeCell ref="B1159:F1159"/>
    <mergeCell ref="B1157:F1157"/>
    <mergeCell ref="B1158:F1158"/>
    <mergeCell ref="B1166:D1166"/>
    <mergeCell ref="B1173:D1173"/>
    <mergeCell ref="B1020:F1020"/>
    <mergeCell ref="B1021:F1021"/>
    <mergeCell ref="B1022:D1022"/>
    <mergeCell ref="E982:I982"/>
    <mergeCell ref="E983:I983"/>
    <mergeCell ref="B985:F985"/>
    <mergeCell ref="B986:F986"/>
    <mergeCell ref="B1160:F1160"/>
    <mergeCell ref="B1161:D1161"/>
    <mergeCell ref="B1052:D1052"/>
    <mergeCell ref="B1069:D1069"/>
    <mergeCell ref="B1073:D1073"/>
    <mergeCell ref="B1076:D1076"/>
    <mergeCell ref="B1081:D1081"/>
    <mergeCell ref="B1110:D1110"/>
    <mergeCell ref="B969:D969"/>
    <mergeCell ref="B970:D970"/>
    <mergeCell ref="B971:D971"/>
    <mergeCell ref="B972:D972"/>
    <mergeCell ref="B973:D973"/>
    <mergeCell ref="B963:D963"/>
    <mergeCell ref="B964:D964"/>
    <mergeCell ref="B965:F965"/>
    <mergeCell ref="B966:F966"/>
    <mergeCell ref="B967:F967"/>
    <mergeCell ref="B968:F968"/>
    <mergeCell ref="B957:F957"/>
    <mergeCell ref="B958:F958"/>
    <mergeCell ref="B959:D959"/>
    <mergeCell ref="B960:D960"/>
    <mergeCell ref="B961:D961"/>
    <mergeCell ref="B962:D962"/>
    <mergeCell ref="B951:D951"/>
    <mergeCell ref="B952:D952"/>
    <mergeCell ref="B953:D953"/>
    <mergeCell ref="B954:D954"/>
    <mergeCell ref="B955:F955"/>
    <mergeCell ref="B956:F956"/>
    <mergeCell ref="B945:F945"/>
    <mergeCell ref="B946:F946"/>
    <mergeCell ref="B947:F947"/>
    <mergeCell ref="B948:F948"/>
    <mergeCell ref="B949:D949"/>
    <mergeCell ref="B950:D950"/>
    <mergeCell ref="B939:D939"/>
    <mergeCell ref="B940:D940"/>
    <mergeCell ref="B941:D941"/>
    <mergeCell ref="B942:D942"/>
    <mergeCell ref="B943:D943"/>
    <mergeCell ref="B944:D944"/>
    <mergeCell ref="B875:F875"/>
    <mergeCell ref="B933:D933"/>
    <mergeCell ref="B934:D934"/>
    <mergeCell ref="B935:F935"/>
    <mergeCell ref="B936:F936"/>
    <mergeCell ref="B937:F937"/>
    <mergeCell ref="B938:F938"/>
    <mergeCell ref="B927:F927"/>
    <mergeCell ref="B928:F928"/>
    <mergeCell ref="B929:D929"/>
    <mergeCell ref="B930:D930"/>
    <mergeCell ref="B931:D931"/>
    <mergeCell ref="B932:D932"/>
    <mergeCell ref="B888:F888"/>
    <mergeCell ref="B889:F889"/>
    <mergeCell ref="B890:F890"/>
    <mergeCell ref="B891:D891"/>
    <mergeCell ref="B882:F882"/>
    <mergeCell ref="B883:F883"/>
    <mergeCell ref="B884:F884"/>
    <mergeCell ref="B885:F885"/>
    <mergeCell ref="B914:D914"/>
    <mergeCell ref="B915:D915"/>
    <mergeCell ref="B916:F916"/>
    <mergeCell ref="B917:F917"/>
    <mergeCell ref="B918:F918"/>
    <mergeCell ref="B901:D901"/>
    <mergeCell ref="B902:D902"/>
    <mergeCell ref="B903:D903"/>
    <mergeCell ref="B926:F926"/>
    <mergeCell ref="B907:F907"/>
    <mergeCell ref="B908:F908"/>
    <mergeCell ref="B910:D910"/>
    <mergeCell ref="B911:D911"/>
    <mergeCell ref="B912:D912"/>
    <mergeCell ref="B913:D913"/>
    <mergeCell ref="B920:D920"/>
    <mergeCell ref="B921:D921"/>
    <mergeCell ref="B922:D922"/>
    <mergeCell ref="B923:D923"/>
    <mergeCell ref="B924:D924"/>
    <mergeCell ref="B925:F925"/>
    <mergeCell ref="B876:D876"/>
    <mergeCell ref="B877:D877"/>
    <mergeCell ref="B878:D878"/>
    <mergeCell ref="B879:D879"/>
    <mergeCell ref="B880:D880"/>
    <mergeCell ref="B881:D881"/>
    <mergeCell ref="B919:F919"/>
    <mergeCell ref="B906:F906"/>
    <mergeCell ref="B895:D895"/>
    <mergeCell ref="B896:F896"/>
    <mergeCell ref="B897:F897"/>
    <mergeCell ref="B905:D905"/>
    <mergeCell ref="B904:D904"/>
    <mergeCell ref="B898:F898"/>
    <mergeCell ref="B899:F899"/>
    <mergeCell ref="B900:D900"/>
    <mergeCell ref="B909:F909"/>
    <mergeCell ref="B887:F887"/>
    <mergeCell ref="B886:D886"/>
    <mergeCell ref="B873:F873"/>
    <mergeCell ref="B874:F874"/>
    <mergeCell ref="B625:F625"/>
    <mergeCell ref="B626:F626"/>
    <mergeCell ref="B672:F672"/>
    <mergeCell ref="B805:D805"/>
    <mergeCell ref="B846:D846"/>
    <mergeCell ref="B825:F825"/>
    <mergeCell ref="B826:F826"/>
    <mergeCell ref="B827:F827"/>
    <mergeCell ref="B828:F828"/>
    <mergeCell ref="B829:D829"/>
    <mergeCell ref="B817:F817"/>
    <mergeCell ref="B627:F627"/>
    <mergeCell ref="B628:D628"/>
    <mergeCell ref="B637:D637"/>
    <mergeCell ref="B642:D642"/>
    <mergeCell ref="B647:D647"/>
    <mergeCell ref="B652:D652"/>
    <mergeCell ref="B821:D821"/>
    <mergeCell ref="B823:D823"/>
    <mergeCell ref="B824:D824"/>
    <mergeCell ref="B831:F831"/>
    <mergeCell ref="B832:F832"/>
    <mergeCell ref="B847:D847"/>
    <mergeCell ref="B848:D848"/>
    <mergeCell ref="B849:D849"/>
    <mergeCell ref="B850:F850"/>
    <mergeCell ref="B851:F851"/>
    <mergeCell ref="B852:F852"/>
    <mergeCell ref="B658:F658"/>
    <mergeCell ref="B659:F659"/>
    <mergeCell ref="B606:F606"/>
    <mergeCell ref="B607:F607"/>
    <mergeCell ref="B677:D677"/>
    <mergeCell ref="B678:D678"/>
    <mergeCell ref="B679:D679"/>
    <mergeCell ref="B680:D680"/>
    <mergeCell ref="B603:D603"/>
    <mergeCell ref="B611:D611"/>
    <mergeCell ref="B612:D612"/>
    <mergeCell ref="B584:F584"/>
    <mergeCell ref="B585:F585"/>
    <mergeCell ref="B586:F586"/>
    <mergeCell ref="B587:F587"/>
    <mergeCell ref="B588:D588"/>
    <mergeCell ref="B604:F604"/>
    <mergeCell ref="B853:F853"/>
    <mergeCell ref="B840:F840"/>
    <mergeCell ref="B841:F841"/>
    <mergeCell ref="B842:F842"/>
    <mergeCell ref="B843:F843"/>
    <mergeCell ref="B844:D844"/>
    <mergeCell ref="B845:D845"/>
    <mergeCell ref="B834:D834"/>
    <mergeCell ref="B835:D835"/>
    <mergeCell ref="B836:D836"/>
    <mergeCell ref="B839:D839"/>
    <mergeCell ref="B837:D837"/>
    <mergeCell ref="B838:D838"/>
    <mergeCell ref="B673:F673"/>
    <mergeCell ref="B613:D613"/>
    <mergeCell ref="B609:D609"/>
    <mergeCell ref="B657:F657"/>
    <mergeCell ref="B539:D539"/>
    <mergeCell ref="B546:D546"/>
    <mergeCell ref="B552:D552"/>
    <mergeCell ref="B575:D575"/>
    <mergeCell ref="B578:D578"/>
    <mergeCell ref="B507:D507"/>
    <mergeCell ref="B509:D509"/>
    <mergeCell ref="B514:D514"/>
    <mergeCell ref="B537:D537"/>
    <mergeCell ref="B475:D475"/>
    <mergeCell ref="B476:D476"/>
    <mergeCell ref="B466:D466"/>
    <mergeCell ref="B480:F480"/>
    <mergeCell ref="B481:F481"/>
    <mergeCell ref="B477:D477"/>
    <mergeCell ref="B478:D478"/>
    <mergeCell ref="B479:D479"/>
    <mergeCell ref="B471:F471"/>
    <mergeCell ref="B472:F472"/>
    <mergeCell ref="B473:F473"/>
    <mergeCell ref="B474:F474"/>
    <mergeCell ref="B580:D580"/>
    <mergeCell ref="B582:D582"/>
    <mergeCell ref="B593:D593"/>
    <mergeCell ref="B600:D600"/>
    <mergeCell ref="B482:F482"/>
    <mergeCell ref="B483:F483"/>
    <mergeCell ref="B484:D484"/>
    <mergeCell ref="B485:D485"/>
    <mergeCell ref="B503:D503"/>
    <mergeCell ref="B265:D265"/>
    <mergeCell ref="B255:D255"/>
    <mergeCell ref="B260:D260"/>
    <mergeCell ref="B387:D387"/>
    <mergeCell ref="B389:D389"/>
    <mergeCell ref="B291:F291"/>
    <mergeCell ref="B292:D292"/>
    <mergeCell ref="B293:D293"/>
    <mergeCell ref="B310:D310"/>
    <mergeCell ref="B314:D314"/>
    <mergeCell ref="B316:D316"/>
    <mergeCell ref="B320:D320"/>
    <mergeCell ref="B345:D345"/>
    <mergeCell ref="B347:D347"/>
    <mergeCell ref="B289:F289"/>
    <mergeCell ref="B290:F290"/>
    <mergeCell ref="B284:D284"/>
    <mergeCell ref="B285:D285"/>
    <mergeCell ref="B286:D286"/>
    <mergeCell ref="B287:D287"/>
    <mergeCell ref="B276:D276"/>
    <mergeCell ref="B277:D277"/>
    <mergeCell ref="B278:D278"/>
    <mergeCell ref="B288:F288"/>
    <mergeCell ref="E436:I436"/>
    <mergeCell ref="B437:D437"/>
    <mergeCell ref="E437:F437"/>
    <mergeCell ref="B237:F237"/>
    <mergeCell ref="B238:F238"/>
    <mergeCell ref="B239:F239"/>
    <mergeCell ref="B405:F405"/>
    <mergeCell ref="B406:F406"/>
    <mergeCell ref="B407:D407"/>
    <mergeCell ref="B410:D410"/>
    <mergeCell ref="B412:D412"/>
    <mergeCell ref="B270:F270"/>
    <mergeCell ref="B271:F271"/>
    <mergeCell ref="B272:F272"/>
    <mergeCell ref="B273:F273"/>
    <mergeCell ref="B274:D274"/>
    <mergeCell ref="B275:D275"/>
    <mergeCell ref="B404:F404"/>
    <mergeCell ref="B398:D398"/>
    <mergeCell ref="B399:D399"/>
    <mergeCell ref="B400:D400"/>
    <mergeCell ref="B401:D401"/>
    <mergeCell ref="B402:D402"/>
    <mergeCell ref="B403:F403"/>
    <mergeCell ref="B391:D391"/>
    <mergeCell ref="B393:F393"/>
    <mergeCell ref="B394:F394"/>
    <mergeCell ref="B395:F395"/>
    <mergeCell ref="B660:F660"/>
    <mergeCell ref="B624:F624"/>
    <mergeCell ref="B681:F681"/>
    <mergeCell ref="B797:F797"/>
    <mergeCell ref="B396:F396"/>
    <mergeCell ref="B397:D397"/>
    <mergeCell ref="B354:D354"/>
    <mergeCell ref="B356:D356"/>
    <mergeCell ref="B362:D362"/>
    <mergeCell ref="B384:D384"/>
    <mergeCell ref="B279:F279"/>
    <mergeCell ref="B280:F280"/>
    <mergeCell ref="B281:F281"/>
    <mergeCell ref="B282:F282"/>
    <mergeCell ref="B283:D283"/>
    <mergeCell ref="B451:D451"/>
    <mergeCell ref="B456:D456"/>
    <mergeCell ref="B461:D461"/>
    <mergeCell ref="B420:D420"/>
    <mergeCell ref="B423:D423"/>
    <mergeCell ref="E434:I434"/>
    <mergeCell ref="B438:F438"/>
    <mergeCell ref="B439:F439"/>
    <mergeCell ref="B440:F440"/>
    <mergeCell ref="B441:F441"/>
    <mergeCell ref="B442:D442"/>
    <mergeCell ref="E435:I435"/>
    <mergeCell ref="B605:F605"/>
    <mergeCell ref="B720:D720"/>
    <mergeCell ref="B749:D749"/>
    <mergeCell ref="B751:D751"/>
    <mergeCell ref="B794:D794"/>
    <mergeCell ref="B174:F174"/>
    <mergeCell ref="B172:D172"/>
    <mergeCell ref="B183:F183"/>
    <mergeCell ref="B184:D184"/>
    <mergeCell ref="B200:D200"/>
    <mergeCell ref="B210:D210"/>
    <mergeCell ref="B211:D211"/>
    <mergeCell ref="B205:F205"/>
    <mergeCell ref="B206:F206"/>
    <mergeCell ref="B207:F207"/>
    <mergeCell ref="B208:F208"/>
    <mergeCell ref="B1530:D1530"/>
    <mergeCell ref="B1537:D1537"/>
    <mergeCell ref="B1562:D1562"/>
    <mergeCell ref="B1526:F1526"/>
    <mergeCell ref="B1527:F1527"/>
    <mergeCell ref="B168:D168"/>
    <mergeCell ref="E1520:I1520"/>
    <mergeCell ref="E1521:I1521"/>
    <mergeCell ref="E1522:I1522"/>
    <mergeCell ref="B1523:D1523"/>
    <mergeCell ref="B175:F175"/>
    <mergeCell ref="B1522:D1522"/>
    <mergeCell ref="E233:I233"/>
    <mergeCell ref="E234:I234"/>
    <mergeCell ref="E235:I235"/>
    <mergeCell ref="B236:D236"/>
    <mergeCell ref="B192:D192"/>
    <mergeCell ref="B758:D758"/>
    <mergeCell ref="B1525:F1525"/>
    <mergeCell ref="B661:D661"/>
    <mergeCell ref="B222:D222"/>
    <mergeCell ref="B27:D27"/>
    <mergeCell ref="B32:D32"/>
    <mergeCell ref="B37:D37"/>
    <mergeCell ref="B46:D46"/>
    <mergeCell ref="B49:D49"/>
    <mergeCell ref="B51:D51"/>
    <mergeCell ref="B614:D614"/>
    <mergeCell ref="B1027:D1027"/>
    <mergeCell ref="B892:D892"/>
    <mergeCell ref="B893:D893"/>
    <mergeCell ref="B894:D894"/>
    <mergeCell ref="B860:F860"/>
    <mergeCell ref="B864:D864"/>
    <mergeCell ref="B138:D138"/>
    <mergeCell ref="B163:D163"/>
    <mergeCell ref="B170:D170"/>
    <mergeCell ref="B213:D213"/>
    <mergeCell ref="B178:D178"/>
    <mergeCell ref="B176:F176"/>
    <mergeCell ref="B177:F177"/>
    <mergeCell ref="B189:D189"/>
    <mergeCell ref="B87:D87"/>
    <mergeCell ref="B92:D92"/>
    <mergeCell ref="B123:D123"/>
    <mergeCell ref="B125:D125"/>
    <mergeCell ref="B132:D132"/>
    <mergeCell ref="B134:D134"/>
    <mergeCell ref="B664:D664"/>
    <mergeCell ref="B666:D666"/>
    <mergeCell ref="B668:D668"/>
    <mergeCell ref="B670:D670"/>
    <mergeCell ref="E620:I620"/>
    <mergeCell ref="B223:D223"/>
    <mergeCell ref="B181:F181"/>
    <mergeCell ref="B182:F182"/>
    <mergeCell ref="B180:F180"/>
    <mergeCell ref="B830:F830"/>
    <mergeCell ref="B799:F799"/>
    <mergeCell ref="B800:D800"/>
    <mergeCell ref="B708:D708"/>
    <mergeCell ref="B712:D712"/>
    <mergeCell ref="B715:D715"/>
    <mergeCell ref="B61:D61"/>
    <mergeCell ref="B62:D62"/>
    <mergeCell ref="B78:D78"/>
    <mergeCell ref="B82:D82"/>
    <mergeCell ref="B84:D84"/>
    <mergeCell ref="B1524:F1524"/>
    <mergeCell ref="E621:I621"/>
    <mergeCell ref="E622:I622"/>
    <mergeCell ref="B623:D623"/>
    <mergeCell ref="E623:F623"/>
    <mergeCell ref="B221:D221"/>
    <mergeCell ref="B225:D225"/>
    <mergeCell ref="B226:D226"/>
    <mergeCell ref="B224:D224"/>
    <mergeCell ref="E1523:F1523"/>
    <mergeCell ref="B1520:D1520"/>
    <mergeCell ref="B1521:D1521"/>
    <mergeCell ref="B240:F240"/>
    <mergeCell ref="B241:D241"/>
    <mergeCell ref="B250:D250"/>
    <mergeCell ref="B608:D608"/>
    <mergeCell ref="B796:F796"/>
    <mergeCell ref="B1:L1"/>
    <mergeCell ref="B3:L3"/>
    <mergeCell ref="E5:I5"/>
    <mergeCell ref="E6:I6"/>
    <mergeCell ref="E7:I7"/>
    <mergeCell ref="B57:F57"/>
    <mergeCell ref="E8:F8"/>
    <mergeCell ref="B9:F9"/>
    <mergeCell ref="B10:F10"/>
    <mergeCell ref="B53:D53"/>
    <mergeCell ref="B209:D209"/>
    <mergeCell ref="B212:D212"/>
    <mergeCell ref="B214:D214"/>
    <mergeCell ref="B215:D215"/>
    <mergeCell ref="B220:D220"/>
    <mergeCell ref="B216:F216"/>
    <mergeCell ref="B217:F217"/>
    <mergeCell ref="B218:F218"/>
    <mergeCell ref="B219:F219"/>
    <mergeCell ref="B55:D55"/>
    <mergeCell ref="B8:D8"/>
    <mergeCell ref="B43:F43"/>
    <mergeCell ref="B44:F44"/>
    <mergeCell ref="B45:F45"/>
    <mergeCell ref="B11:F11"/>
    <mergeCell ref="B12:F12"/>
    <mergeCell ref="B13:D13"/>
    <mergeCell ref="B42:F42"/>
    <mergeCell ref="B58:F58"/>
    <mergeCell ref="B59:F59"/>
    <mergeCell ref="B60:F60"/>
    <mergeCell ref="B22:D22"/>
    <mergeCell ref="B682:F682"/>
    <mergeCell ref="B683:F683"/>
    <mergeCell ref="B798:F798"/>
    <mergeCell ref="B674:F674"/>
    <mergeCell ref="B675:F675"/>
    <mergeCell ref="B676:D676"/>
    <mergeCell ref="B1183:D1183"/>
    <mergeCell ref="B1184:D1184"/>
    <mergeCell ref="E1182:I1182"/>
    <mergeCell ref="B1029:D1029"/>
    <mergeCell ref="B1031:D1031"/>
    <mergeCell ref="B1033:F1033"/>
    <mergeCell ref="B1034:F1034"/>
    <mergeCell ref="B987:F987"/>
    <mergeCell ref="B988:F988"/>
    <mergeCell ref="B989:D989"/>
    <mergeCell ref="B1038:D1038"/>
    <mergeCell ref="B1039:D1039"/>
    <mergeCell ref="B1040:D1040"/>
    <mergeCell ref="B1041:D1041"/>
    <mergeCell ref="B1042:F1042"/>
    <mergeCell ref="B684:F684"/>
    <mergeCell ref="B685:D685"/>
    <mergeCell ref="B691:D691"/>
    <mergeCell ref="B816:F816"/>
    <mergeCell ref="B764:D764"/>
    <mergeCell ref="B787:D787"/>
    <mergeCell ref="B790:D790"/>
    <mergeCell ref="B792:D792"/>
    <mergeCell ref="B812:D812"/>
    <mergeCell ref="B815:D815"/>
    <mergeCell ref="B818:F818"/>
    <mergeCell ref="B819:F819"/>
    <mergeCell ref="B820:D820"/>
    <mergeCell ref="B861:F861"/>
    <mergeCell ref="B862:F862"/>
    <mergeCell ref="B863:F863"/>
    <mergeCell ref="B1043:F1043"/>
    <mergeCell ref="B1044:F1044"/>
    <mergeCell ref="B1045:F1045"/>
    <mergeCell ref="B1046:D1046"/>
    <mergeCell ref="B1025:D1025"/>
    <mergeCell ref="B1188:F1188"/>
    <mergeCell ref="B869:D869"/>
    <mergeCell ref="B833:F833"/>
    <mergeCell ref="B858:D858"/>
    <mergeCell ref="B859:D859"/>
    <mergeCell ref="B865:D865"/>
    <mergeCell ref="B866:D866"/>
    <mergeCell ref="B867:D867"/>
    <mergeCell ref="B868:D868"/>
    <mergeCell ref="B870:D870"/>
    <mergeCell ref="B854:D854"/>
    <mergeCell ref="B855:D855"/>
    <mergeCell ref="B856:D856"/>
    <mergeCell ref="B857:D857"/>
    <mergeCell ref="B871:D871"/>
    <mergeCell ref="B872:F872"/>
    <mergeCell ref="B1176:D1176"/>
    <mergeCell ref="B1186:F1186"/>
    <mergeCell ref="B1187:F1187"/>
    <mergeCell ref="E1183:I1183"/>
    <mergeCell ref="E1184:I1184"/>
    <mergeCell ref="B1185:D1185"/>
    <mergeCell ref="E1185:F1185"/>
    <mergeCell ref="B1222:D1222"/>
    <mergeCell ref="B1224:D1224"/>
    <mergeCell ref="B1227:D1227"/>
    <mergeCell ref="B1206:F1206"/>
    <mergeCell ref="B1207:F1207"/>
    <mergeCell ref="B1208:F1208"/>
    <mergeCell ref="B1209:F1209"/>
    <mergeCell ref="B1210:D1210"/>
    <mergeCell ref="B1211:D1211"/>
    <mergeCell ref="B1212:D1212"/>
    <mergeCell ref="B1215:F1215"/>
    <mergeCell ref="B1216:F1216"/>
    <mergeCell ref="B1217:F1217"/>
    <mergeCell ref="B1218:F1218"/>
    <mergeCell ref="B1219:D1219"/>
    <mergeCell ref="B1189:F1189"/>
    <mergeCell ref="B1190:D1190"/>
    <mergeCell ref="B1191:D1191"/>
    <mergeCell ref="B1192:D1192"/>
    <mergeCell ref="B1193:D1193"/>
    <mergeCell ref="B1205:D1205"/>
    <mergeCell ref="B1194:D1194"/>
    <mergeCell ref="B1195:D1195"/>
    <mergeCell ref="B1196:F1196"/>
    <mergeCell ref="B1213:D1213"/>
    <mergeCell ref="B1214:D1214"/>
    <mergeCell ref="B1197:F1197"/>
    <mergeCell ref="B1198:F1198"/>
    <mergeCell ref="B1199:F1199"/>
    <mergeCell ref="B1200:D1200"/>
    <mergeCell ref="B1313:F1313"/>
    <mergeCell ref="B1314:F1314"/>
    <mergeCell ref="B1255:D1255"/>
    <mergeCell ref="B1268:F1268"/>
    <mergeCell ref="B1269:D1269"/>
    <mergeCell ref="B1271:D1271"/>
    <mergeCell ref="B1272:D1272"/>
    <mergeCell ref="B1270:D1270"/>
    <mergeCell ref="B1263:D1263"/>
    <mergeCell ref="B1264:D1264"/>
    <mergeCell ref="B1267:F1267"/>
    <mergeCell ref="B1246:F1246"/>
    <mergeCell ref="B1247:F1247"/>
    <mergeCell ref="B1248:F1248"/>
    <mergeCell ref="B1249:F1249"/>
    <mergeCell ref="B1250:D1250"/>
    <mergeCell ref="B1252:D1252"/>
    <mergeCell ref="B1253:D1253"/>
    <mergeCell ref="B1254:D1254"/>
    <mergeCell ref="B1278:D1278"/>
    <mergeCell ref="B1273:D1273"/>
    <mergeCell ref="B1275:D1275"/>
    <mergeCell ref="B1374:F1374"/>
    <mergeCell ref="B1375:F1375"/>
    <mergeCell ref="B1376:F1376"/>
    <mergeCell ref="B1256:F1256"/>
    <mergeCell ref="B1257:F1257"/>
    <mergeCell ref="B1258:F1258"/>
    <mergeCell ref="B1259:F1259"/>
    <mergeCell ref="B1260:D1260"/>
    <mergeCell ref="B1262:D1262"/>
    <mergeCell ref="B1359:D1359"/>
    <mergeCell ref="B1360:D1360"/>
    <mergeCell ref="B1361:D1361"/>
    <mergeCell ref="B1355:D1355"/>
    <mergeCell ref="B1356:D1356"/>
    <mergeCell ref="B1367:F1367"/>
    <mergeCell ref="B1350:F1350"/>
    <mergeCell ref="B1351:F1351"/>
    <mergeCell ref="B1352:F1352"/>
    <mergeCell ref="B1353:F1353"/>
    <mergeCell ref="B1354:D1354"/>
    <mergeCell ref="B1358:D1358"/>
    <mergeCell ref="B1274:D1274"/>
    <mergeCell ref="B1322:F1322"/>
    <mergeCell ref="B1315:F1315"/>
    <mergeCell ref="B1316:D1316"/>
    <mergeCell ref="B1318:D1318"/>
    <mergeCell ref="B1319:D1319"/>
    <mergeCell ref="B1321:D1321"/>
    <mergeCell ref="B1320:D1320"/>
    <mergeCell ref="B1346:D1346"/>
    <mergeCell ref="B1347:D1347"/>
    <mergeCell ref="B1334:D1334"/>
    <mergeCell ref="B1428:D1428"/>
    <mergeCell ref="B1425:D1425"/>
    <mergeCell ref="B1427:D1427"/>
    <mergeCell ref="B1387:F1387"/>
    <mergeCell ref="B1362:F1362"/>
    <mergeCell ref="B1363:F1363"/>
    <mergeCell ref="B1364:F1364"/>
    <mergeCell ref="B1365:F1365"/>
    <mergeCell ref="B1366:D1366"/>
    <mergeCell ref="B1368:F1368"/>
    <mergeCell ref="B1369:F1369"/>
    <mergeCell ref="B1370:F1370"/>
    <mergeCell ref="B1373:D1373"/>
    <mergeCell ref="B1415:D1415"/>
    <mergeCell ref="B1416:D1416"/>
    <mergeCell ref="B1377:F1377"/>
    <mergeCell ref="B1379:F1379"/>
    <mergeCell ref="B1380:F1380"/>
    <mergeCell ref="B1381:F1381"/>
    <mergeCell ref="B1382:F1382"/>
    <mergeCell ref="B1384:F1384"/>
    <mergeCell ref="B1385:F1385"/>
    <mergeCell ref="B1386:F1386"/>
    <mergeCell ref="E1398:I1398"/>
    <mergeCell ref="B1403:F1403"/>
    <mergeCell ref="B1404:F1404"/>
    <mergeCell ref="E1399:I1399"/>
    <mergeCell ref="E1400:I1400"/>
    <mergeCell ref="B1401:D1401"/>
    <mergeCell ref="E1401:F1401"/>
    <mergeCell ref="B1402:F1402"/>
    <mergeCell ref="B1372:D1372"/>
    <mergeCell ref="B1430:F1430"/>
    <mergeCell ref="B1431:F1431"/>
    <mergeCell ref="B1469:D1469"/>
    <mergeCell ref="B1468:D1468"/>
    <mergeCell ref="B1429:D1429"/>
    <mergeCell ref="B1461:F1461"/>
    <mergeCell ref="B1462:F1462"/>
    <mergeCell ref="B1463:F1463"/>
    <mergeCell ref="B1464:D1464"/>
    <mergeCell ref="B1465:D1465"/>
    <mergeCell ref="B1460:F1460"/>
    <mergeCell ref="B1409:D1409"/>
    <mergeCell ref="B1405:F1405"/>
    <mergeCell ref="B1406:D1406"/>
    <mergeCell ref="B1407:D1407"/>
    <mergeCell ref="B1411:F1411"/>
    <mergeCell ref="B1412:F1412"/>
    <mergeCell ref="B1413:F1413"/>
    <mergeCell ref="B1414:F1414"/>
    <mergeCell ref="B1440:F1440"/>
    <mergeCell ref="B1435:D1435"/>
    <mergeCell ref="B1437:D1437"/>
    <mergeCell ref="B1439:D1439"/>
    <mergeCell ref="B1418:D1418"/>
    <mergeCell ref="B1420:D1420"/>
    <mergeCell ref="B1432:F1432"/>
    <mergeCell ref="B1433:F1433"/>
    <mergeCell ref="B1434:D1434"/>
    <mergeCell ref="B1421:F1421"/>
    <mergeCell ref="B1422:F1422"/>
    <mergeCell ref="B1423:F1423"/>
    <mergeCell ref="B1424:F1424"/>
    <mergeCell ref="B1483:D1483"/>
    <mergeCell ref="B1489:D1489"/>
    <mergeCell ref="B1445:D1445"/>
    <mergeCell ref="B1447:D1447"/>
    <mergeCell ref="B1449:D1449"/>
    <mergeCell ref="B1450:F1450"/>
    <mergeCell ref="B1481:D1481"/>
    <mergeCell ref="B1482:D1482"/>
    <mergeCell ref="B1485:D1485"/>
    <mergeCell ref="B1486:D1486"/>
    <mergeCell ref="B1476:D1476"/>
    <mergeCell ref="B1451:F1451"/>
    <mergeCell ref="B1452:F1452"/>
    <mergeCell ref="B1453:F1453"/>
    <mergeCell ref="B1454:D1454"/>
    <mergeCell ref="B1455:D1455"/>
    <mergeCell ref="B1457:D1457"/>
    <mergeCell ref="B1459:D1459"/>
    <mergeCell ref="B1467:D1467"/>
    <mergeCell ref="B1471:D1471"/>
    <mergeCell ref="B1699:F1699"/>
    <mergeCell ref="B1700:F1700"/>
    <mergeCell ref="B1606:D1606"/>
    <mergeCell ref="B1694:D1694"/>
    <mergeCell ref="B1695:D1695"/>
    <mergeCell ref="B1696:D1696"/>
    <mergeCell ref="B1697:D1697"/>
    <mergeCell ref="B1698:D1698"/>
    <mergeCell ref="B1564:D1564"/>
    <mergeCell ref="B1569:D1569"/>
    <mergeCell ref="B1532:D1532"/>
    <mergeCell ref="B1528:D1528"/>
    <mergeCell ref="B1441:F1441"/>
    <mergeCell ref="B1442:F1442"/>
    <mergeCell ref="B1443:F1443"/>
    <mergeCell ref="B1444:D1444"/>
    <mergeCell ref="B1597:D1597"/>
    <mergeCell ref="B1595:D1595"/>
    <mergeCell ref="B1575:D1575"/>
    <mergeCell ref="B1590:D1590"/>
    <mergeCell ref="B1491:D1491"/>
    <mergeCell ref="B1493:D1493"/>
    <mergeCell ref="B1494:D1494"/>
    <mergeCell ref="B1504:D1504"/>
    <mergeCell ref="E1504:F1504"/>
    <mergeCell ref="B1478:D1478"/>
    <mergeCell ref="B1479:D1479"/>
    <mergeCell ref="B1480:D1480"/>
    <mergeCell ref="B1472:F1472"/>
    <mergeCell ref="B1473:F1473"/>
    <mergeCell ref="B1474:F1474"/>
    <mergeCell ref="B1475:F1475"/>
    <mergeCell ref="B1819:D1819"/>
    <mergeCell ref="B1824:D1824"/>
    <mergeCell ref="B1826:D1826"/>
    <mergeCell ref="B1828:D1828"/>
    <mergeCell ref="B1833:F1833"/>
    <mergeCell ref="B1834:D1834"/>
    <mergeCell ref="B1836:D1836"/>
    <mergeCell ref="B1880:F1880"/>
    <mergeCell ref="B1879:D1879"/>
    <mergeCell ref="B1876:D1876"/>
    <mergeCell ref="B1877:D1877"/>
    <mergeCell ref="B1878:D1878"/>
    <mergeCell ref="B1919:D1919"/>
    <mergeCell ref="B1843:D1843"/>
    <mergeCell ref="B1844:D1844"/>
    <mergeCell ref="B1845:D1845"/>
    <mergeCell ref="B1852:D1852"/>
    <mergeCell ref="B1911:D1911"/>
    <mergeCell ref="B1891:D1891"/>
    <mergeCell ref="B1881:F1881"/>
    <mergeCell ref="B1882:F1882"/>
    <mergeCell ref="B1883:D1883"/>
    <mergeCell ref="B1847:D1847"/>
    <mergeCell ref="B1848:D1848"/>
    <mergeCell ref="B1846:D1846"/>
    <mergeCell ref="B1849:F1849"/>
    <mergeCell ref="B1850:F1850"/>
    <mergeCell ref="B1851:F1851"/>
    <mergeCell ref="B1886:D1886"/>
    <mergeCell ref="B1887:D1887"/>
    <mergeCell ref="B1903:F1903"/>
    <mergeCell ref="B1904:D1904"/>
    <mergeCell ref="B1889:D1889"/>
    <mergeCell ref="B1890:D1890"/>
    <mergeCell ref="B1892:D1892"/>
    <mergeCell ref="B1893:D1893"/>
    <mergeCell ref="B1894:D1894"/>
    <mergeCell ref="B1895:D1895"/>
    <mergeCell ref="B1912:D1912"/>
    <mergeCell ref="B1896:D1896"/>
    <mergeCell ref="B1897:D1897"/>
    <mergeCell ref="B1898:D1898"/>
    <mergeCell ref="B1907:D1907"/>
    <mergeCell ref="B1908:D1908"/>
    <mergeCell ref="B1909:D1909"/>
    <mergeCell ref="B1910:D1910"/>
    <mergeCell ref="B1873:F1873"/>
    <mergeCell ref="B1888:D1888"/>
    <mergeCell ref="B1885:D1885"/>
    <mergeCell ref="B1906:D1906"/>
    <mergeCell ref="B1900:F1900"/>
    <mergeCell ref="B1901:F1901"/>
    <mergeCell ref="B1902:F1902"/>
    <mergeCell ref="B1949:F1949"/>
    <mergeCell ref="B1950:D1950"/>
    <mergeCell ref="B1951:D1951"/>
    <mergeCell ref="B1940:F1940"/>
    <mergeCell ref="B1941:F1941"/>
    <mergeCell ref="B1942:D1942"/>
    <mergeCell ref="B1943:D1943"/>
    <mergeCell ref="B1930:F1930"/>
    <mergeCell ref="B1936:D1936"/>
    <mergeCell ref="B1937:D1937"/>
    <mergeCell ref="B1938:D1938"/>
    <mergeCell ref="B1939:F1939"/>
    <mergeCell ref="E1927:I1927"/>
    <mergeCell ref="E1928:I1928"/>
    <mergeCell ref="B1929:D1929"/>
    <mergeCell ref="E1929:F1929"/>
    <mergeCell ref="B1913:D1913"/>
    <mergeCell ref="B1915:D1915"/>
    <mergeCell ref="B1916:D1916"/>
    <mergeCell ref="B1917:D1917"/>
    <mergeCell ref="B1918:D1918"/>
    <mergeCell ref="B1944:D1944"/>
    <mergeCell ref="B1945:D1945"/>
    <mergeCell ref="B1946:D1946"/>
    <mergeCell ref="E1926:I1926"/>
    <mergeCell ref="B1947:F1947"/>
    <mergeCell ref="B1948:F1948"/>
    <mergeCell ref="B1931:F1931"/>
    <mergeCell ref="B1932:F1932"/>
    <mergeCell ref="B1933:F1933"/>
    <mergeCell ref="B1934:D1934"/>
    <mergeCell ref="B1935:D1935"/>
    <mergeCell ref="B1952:D1952"/>
    <mergeCell ref="B1953:D1953"/>
    <mergeCell ref="B1954:D1954"/>
    <mergeCell ref="B1955:F1955"/>
    <mergeCell ref="B1956:F1956"/>
    <mergeCell ref="B1957:F1957"/>
    <mergeCell ref="B2034:D2034"/>
    <mergeCell ref="B2006:D2006"/>
    <mergeCell ref="B2007:D2007"/>
    <mergeCell ref="B2008:D2008"/>
    <mergeCell ref="B2009:D2009"/>
    <mergeCell ref="B2002:F2002"/>
    <mergeCell ref="B2003:F2003"/>
    <mergeCell ref="B1988:D1988"/>
    <mergeCell ref="B2021:F2021"/>
    <mergeCell ref="B2022:D2022"/>
    <mergeCell ref="B2024:D2024"/>
    <mergeCell ref="B2025:D2025"/>
    <mergeCell ref="B2026:D2026"/>
    <mergeCell ref="B1965:D1965"/>
    <mergeCell ref="B1966:D1966"/>
    <mergeCell ref="B1967:D1967"/>
    <mergeCell ref="B1982:F1982"/>
    <mergeCell ref="B1983:F1983"/>
    <mergeCell ref="B1984:F1984"/>
    <mergeCell ref="B1985:F1985"/>
    <mergeCell ref="B1986:D1986"/>
    <mergeCell ref="B1987:D1987"/>
    <mergeCell ref="B1958:F1958"/>
    <mergeCell ref="B1959:D1959"/>
    <mergeCell ref="B1961:D1961"/>
    <mergeCell ref="B1962:D1962"/>
    <mergeCell ref="B1963:D1963"/>
    <mergeCell ref="B1964:D1964"/>
    <mergeCell ref="B2018:F2018"/>
    <mergeCell ref="B2019:F2019"/>
    <mergeCell ref="B2020:F2020"/>
    <mergeCell ref="B2081:D2081"/>
    <mergeCell ref="B2032:D2032"/>
    <mergeCell ref="B2027:D2027"/>
    <mergeCell ref="B2028:D2028"/>
    <mergeCell ref="B2029:D2029"/>
    <mergeCell ref="B2030:D2030"/>
    <mergeCell ref="B2014:D2014"/>
    <mergeCell ref="B2017:D2017"/>
    <mergeCell ref="B2016:D2016"/>
    <mergeCell ref="B1980:D1980"/>
    <mergeCell ref="B1978:D1978"/>
    <mergeCell ref="B1976:D1976"/>
    <mergeCell ref="B1971:D1971"/>
    <mergeCell ref="B1968:D1968"/>
    <mergeCell ref="B1969:D1969"/>
    <mergeCell ref="B1970:D1970"/>
    <mergeCell ref="B2004:F2004"/>
    <mergeCell ref="B2005:F2005"/>
    <mergeCell ref="B2031:D2031"/>
    <mergeCell ref="B1989:D1989"/>
    <mergeCell ref="B1994:D1994"/>
    <mergeCell ref="B1996:D1996"/>
    <mergeCell ref="B1997:F1997"/>
    <mergeCell ref="B1998:F1998"/>
    <mergeCell ref="B1999:F1999"/>
    <mergeCell ref="B2000:F2000"/>
    <mergeCell ref="B2001:D2001"/>
    <mergeCell ref="E3528:I3528"/>
    <mergeCell ref="E3529:I3529"/>
    <mergeCell ref="E3530:I3530"/>
    <mergeCell ref="B3532:F3532"/>
    <mergeCell ref="B3533:F3533"/>
    <mergeCell ref="B3561:F3561"/>
    <mergeCell ref="B3562:F3562"/>
    <mergeCell ref="B2049:F2049"/>
    <mergeCell ref="B2050:D2050"/>
    <mergeCell ref="B2052:D2052"/>
    <mergeCell ref="B2053:D2053"/>
    <mergeCell ref="B2054:D2054"/>
    <mergeCell ref="B2055:D2055"/>
    <mergeCell ref="B2041:D2041"/>
    <mergeCell ref="B2043:D2043"/>
    <mergeCell ref="B2045:D2045"/>
    <mergeCell ref="B2046:F2046"/>
    <mergeCell ref="B2047:F2047"/>
    <mergeCell ref="B2048:F2048"/>
    <mergeCell ref="B2104:F2104"/>
    <mergeCell ref="B2105:F2105"/>
    <mergeCell ref="B2106:D2106"/>
    <mergeCell ref="E2188:I2188"/>
    <mergeCell ref="B2107:D2107"/>
    <mergeCell ref="B2108:D2108"/>
    <mergeCell ref="B2109:D2109"/>
    <mergeCell ref="B2077:F2077"/>
    <mergeCell ref="B2078:D2078"/>
    <mergeCell ref="B2080:D2080"/>
    <mergeCell ref="B2117:D2117"/>
    <mergeCell ref="B2118:D2118"/>
    <mergeCell ref="B2120:D2120"/>
    <mergeCell ref="B3563:F3563"/>
    <mergeCell ref="B3543:F3543"/>
    <mergeCell ref="B3544:F3544"/>
    <mergeCell ref="B3541:F3541"/>
    <mergeCell ref="B3542:F3542"/>
    <mergeCell ref="B3545:D3545"/>
    <mergeCell ref="B3547:D3547"/>
    <mergeCell ref="B3548:D3548"/>
    <mergeCell ref="B3540:D3540"/>
    <mergeCell ref="B3535:F3535"/>
    <mergeCell ref="B3538:D3538"/>
    <mergeCell ref="B3539:D3539"/>
    <mergeCell ref="B3549:D3549"/>
    <mergeCell ref="B3589:F3589"/>
    <mergeCell ref="B3552:D3552"/>
    <mergeCell ref="B3553:D3553"/>
    <mergeCell ref="B3554:D3554"/>
    <mergeCell ref="B3555:D3555"/>
    <mergeCell ref="B3556:D3556"/>
    <mergeCell ref="B3557:D3557"/>
    <mergeCell ref="B3558:D3558"/>
    <mergeCell ref="B3559:D3559"/>
    <mergeCell ref="B3560:D3560"/>
    <mergeCell ref="B3573:D3573"/>
    <mergeCell ref="E3583:I3583"/>
    <mergeCell ref="E3584:I3584"/>
    <mergeCell ref="E3585:I3585"/>
    <mergeCell ref="B3587:F3587"/>
    <mergeCell ref="B3588:F3588"/>
    <mergeCell ref="B3550:D3550"/>
    <mergeCell ref="B3551:D3551"/>
    <mergeCell ref="B3586:D3586"/>
    <mergeCell ref="B3642:F3642"/>
    <mergeCell ref="B3643:F3643"/>
    <mergeCell ref="B3651:F3651"/>
    <mergeCell ref="B3652:F3652"/>
    <mergeCell ref="B3653:F3653"/>
    <mergeCell ref="B3704:F3704"/>
    <mergeCell ref="B3705:F3705"/>
    <mergeCell ref="B3706:F3706"/>
    <mergeCell ref="B3602:F3602"/>
    <mergeCell ref="B3564:F3564"/>
    <mergeCell ref="B3566:D3566"/>
    <mergeCell ref="B3568:D3568"/>
    <mergeCell ref="B3569:D3569"/>
    <mergeCell ref="B3570:D3570"/>
    <mergeCell ref="B3572:D3572"/>
    <mergeCell ref="B3565:D3565"/>
    <mergeCell ref="B3625:F3625"/>
    <mergeCell ref="B3626:F3626"/>
    <mergeCell ref="B3590:F3590"/>
    <mergeCell ref="B3593:F3593"/>
    <mergeCell ref="B3594:F3594"/>
    <mergeCell ref="B3595:F3595"/>
    <mergeCell ref="B3596:F3596"/>
    <mergeCell ref="B3599:F3599"/>
    <mergeCell ref="B3600:F3600"/>
    <mergeCell ref="B3601:F3601"/>
    <mergeCell ref="B3612:F3612"/>
    <mergeCell ref="B3613:F3613"/>
    <mergeCell ref="B3614:F3614"/>
    <mergeCell ref="B3615:F3615"/>
    <mergeCell ref="B3623:F3623"/>
    <mergeCell ref="B3624:F3624"/>
    <mergeCell ref="B3738:F3738"/>
    <mergeCell ref="B3739:F3739"/>
    <mergeCell ref="B3740:F3740"/>
    <mergeCell ref="B3741:F3741"/>
    <mergeCell ref="B3824:F3824"/>
    <mergeCell ref="B3825:F3825"/>
    <mergeCell ref="B3826:F3826"/>
    <mergeCell ref="B3827:F3827"/>
    <mergeCell ref="B3633:F3633"/>
    <mergeCell ref="B3634:F3634"/>
    <mergeCell ref="B3635:F3635"/>
    <mergeCell ref="B3636:F3636"/>
    <mergeCell ref="B3640:F3640"/>
    <mergeCell ref="B3682:F3682"/>
    <mergeCell ref="B3691:F3691"/>
    <mergeCell ref="B3692:F3692"/>
    <mergeCell ref="B3693:F3693"/>
    <mergeCell ref="B3694:F3694"/>
    <mergeCell ref="B3703:F3703"/>
    <mergeCell ref="B3670:F3670"/>
    <mergeCell ref="B3671:F3671"/>
    <mergeCell ref="B3672:F3672"/>
    <mergeCell ref="B3679:F3679"/>
    <mergeCell ref="B3680:F3680"/>
    <mergeCell ref="B3681:F3681"/>
    <mergeCell ref="B3654:F3654"/>
    <mergeCell ref="B3663:F3663"/>
    <mergeCell ref="B3664:F3664"/>
    <mergeCell ref="B3665:F3665"/>
    <mergeCell ref="B3666:F3666"/>
    <mergeCell ref="B3669:F3669"/>
    <mergeCell ref="B3641:F3641"/>
    <mergeCell ref="B3880:F3880"/>
    <mergeCell ref="B3918:F3918"/>
    <mergeCell ref="B3919:F3919"/>
    <mergeCell ref="B3920:F3920"/>
    <mergeCell ref="B3921:F3921"/>
    <mergeCell ref="E3961:I3961"/>
    <mergeCell ref="B3963:F3963"/>
    <mergeCell ref="B3964:F3964"/>
    <mergeCell ref="B3965:F3965"/>
    <mergeCell ref="B3966:F3966"/>
    <mergeCell ref="B3941:F3941"/>
    <mergeCell ref="B3942:F3942"/>
    <mergeCell ref="E3959:I3959"/>
    <mergeCell ref="E3960:I3960"/>
    <mergeCell ref="B3924:J3924"/>
    <mergeCell ref="B3954:J3954"/>
    <mergeCell ref="B3974:J3974"/>
    <mergeCell ref="B3939:F3939"/>
    <mergeCell ref="B3940:F3940"/>
    <mergeCell ref="E3935:I3935"/>
    <mergeCell ref="E3936:I3936"/>
    <mergeCell ref="E3937:I3937"/>
    <mergeCell ref="B3938:D3938"/>
    <mergeCell ref="E3938:F3938"/>
    <mergeCell ref="B3962:D3962"/>
    <mergeCell ref="E3962:F3962"/>
    <mergeCell ref="B1519:J1519"/>
    <mergeCell ref="B1507:F1507"/>
    <mergeCell ref="B1508:F1508"/>
    <mergeCell ref="B1509:D1509"/>
    <mergeCell ref="B1510:D1510"/>
    <mergeCell ref="B1512:D1512"/>
    <mergeCell ref="B1599:D1599"/>
    <mergeCell ref="B1600:D1600"/>
    <mergeCell ref="E1501:I1501"/>
    <mergeCell ref="E1502:I1502"/>
    <mergeCell ref="E1503:I1503"/>
    <mergeCell ref="B1477:D1477"/>
    <mergeCell ref="B1505:F1505"/>
    <mergeCell ref="B1506:F1506"/>
    <mergeCell ref="B3878:F3878"/>
    <mergeCell ref="B3879:F3879"/>
    <mergeCell ref="B3877:F3877"/>
    <mergeCell ref="E3720:I3720"/>
    <mergeCell ref="E3721:I3721"/>
    <mergeCell ref="E3722:I3722"/>
    <mergeCell ref="B3724:F3724"/>
    <mergeCell ref="B3725:F3725"/>
    <mergeCell ref="B3777:F3777"/>
    <mergeCell ref="B3778:F3778"/>
    <mergeCell ref="B3779:F3779"/>
    <mergeCell ref="B3780:F3780"/>
    <mergeCell ref="B3791:F3791"/>
    <mergeCell ref="B3792:F3792"/>
    <mergeCell ref="B3793:F3793"/>
    <mergeCell ref="B3794:F3794"/>
    <mergeCell ref="E3773:I3773"/>
    <mergeCell ref="B3727:F3727"/>
    <mergeCell ref="N3876:O3876"/>
    <mergeCell ref="B3523:J3523"/>
    <mergeCell ref="B3574:J3574"/>
    <mergeCell ref="B2637:D2637"/>
    <mergeCell ref="B2824:J2824"/>
    <mergeCell ref="B3221:J3221"/>
    <mergeCell ref="B3375:J3375"/>
    <mergeCell ref="B3534:F3534"/>
    <mergeCell ref="B3536:D3536"/>
    <mergeCell ref="B3537:D3537"/>
    <mergeCell ref="B2203:F2203"/>
    <mergeCell ref="B2204:F2204"/>
    <mergeCell ref="B2197:D2197"/>
    <mergeCell ref="B2195:D2195"/>
    <mergeCell ref="B2193:F2193"/>
    <mergeCell ref="B2194:F2194"/>
    <mergeCell ref="B2196:D2196"/>
    <mergeCell ref="B2198:D2198"/>
    <mergeCell ref="B2201:F2201"/>
    <mergeCell ref="B2202:F2202"/>
    <mergeCell ref="E3774:I3774"/>
    <mergeCell ref="E3775:I3775"/>
    <mergeCell ref="B3806:F3806"/>
    <mergeCell ref="B3807:F3807"/>
    <mergeCell ref="B3808:F3808"/>
    <mergeCell ref="B3809:F3809"/>
    <mergeCell ref="B3745:F3745"/>
    <mergeCell ref="B3746:F3746"/>
    <mergeCell ref="B3747:F3747"/>
    <mergeCell ref="B3748:F3748"/>
    <mergeCell ref="F3771:H3771"/>
    <mergeCell ref="B3726:F3726"/>
  </mergeCells>
  <dataValidations count="851">
    <dataValidation type="list" allowBlank="1" showInputMessage="1" showErrorMessage="1" sqref="B58:F58 B206:F206 B217:F217 B181:F181 B289:F289 B481:F481 B682:F682 B2382:F2382 B1043:F1043 B2593:F2593">
      <formula1>$A$83:$A$108</formula1>
    </dataValidation>
    <dataValidation type="list" allowBlank="1" showInputMessage="1" showErrorMessage="1" sqref="B205:F205 B216:F216 B180:F180 B174:F174 B57:F57 B288:F288 B393:F393 B403:F403 B480:F480 B584:F584 B681:F681 B796:F796 B2592:F2592 B604:F604 B1715:F1715 B1042:F1042 B1157:F1157 B2381:F2381">
      <formula1>$A$109:$A$122</formula1>
    </dataValidation>
    <dataValidation type="list" allowBlank="1" showInputMessage="1" showErrorMessage="1" sqref="B218:F219 B182:F183 B176:F177 B59:F60 B290:F291 B207:F208 B586:F586 B482:F482 B405:F405 B798:F798 B683:F683 B395:F396 B606:F606">
      <formula1>$A$123:$A$225</formula1>
    </dataValidation>
    <dataValidation type="list" allowBlank="1" showInputMessage="1" showErrorMessage="1" sqref="B42:D42 B657:D657 B1018:D1018">
      <formula1>$A$73:$A$82</formula1>
    </dataValidation>
    <dataValidation type="list" allowBlank="1" showInputMessage="1" showErrorMessage="1" sqref="B237:D237 B270:D270 B438:D438 B624:D624 B279:D279 B471:D471 B672:D672 B985:D985 B1033:D1033">
      <formula1>$A$78:$A$88</formula1>
    </dataValidation>
    <dataValidation type="list" allowBlank="1" showInputMessage="1" showErrorMessage="1" sqref="B43:D43 B658:D658 B439:D439 B271:D271 B238:D238 B1019:D1019">
      <formula1>$A$52:$A$64</formula1>
    </dataValidation>
    <dataValidation type="list" allowBlank="1" showInputMessage="1" showErrorMessage="1" sqref="E620:I622 E983:I983 E981:I981 E434:I436 E233:I235 E1503:I1503 E1184:I1184 E1398:I1398 E1400:I1400 E1501:I1501 E1182:I1182">
      <formula1>$A$1:$A$50</formula1>
    </dataValidation>
    <dataValidation type="list" allowBlank="1" showInputMessage="1" showErrorMessage="1" sqref="B404:F404 B797:F797 B585:F585 B1158:F1158">
      <formula1>$A$52:$A$79</formula1>
    </dataValidation>
    <dataValidation type="list" allowBlank="1" showInputMessage="1" showErrorMessage="1" sqref="B659:F660 B1021:F1021 B44:F45">
      <formula1>$A$83:$A$226</formula1>
    </dataValidation>
    <dataValidation type="list" allowBlank="1" showInputMessage="1" showErrorMessage="1" sqref="B239:F240 B674:F674 B281:F282 B473:F473 B440:F440 B272:F273">
      <formula1>$A$89:$A$226</formula1>
    </dataValidation>
    <dataValidation type="list" allowBlank="1" showInputMessage="1" showErrorMessage="1" sqref="B441:F441 B1036:F1036 B988:F988 B1045:F1045 B1160:F1160 B607:F607 B675:F675 B474:F474 B406:F406 B483:F483 B627:F627 B684:F684 B799:F799">
      <formula1>$A$92:$A$226</formula1>
    </dataValidation>
    <dataValidation type="list" allowBlank="1" showInputMessage="1" showErrorMessage="1" sqref="B280:F280 B472:F472 B673:F673 B1034:F1034">
      <formula1>$A$53:$A$81</formula1>
    </dataValidation>
    <dataValidation type="list" allowBlank="1" showInputMessage="1" showErrorMessage="1" sqref="B626:F626">
      <formula1>$A$95:$A$238</formula1>
    </dataValidation>
    <dataValidation type="list" allowBlank="1" showInputMessage="1" showErrorMessage="1" sqref="B605:F605">
      <formula1>$A$53:$A$82</formula1>
    </dataValidation>
    <dataValidation type="list" allowBlank="1" showInputMessage="1" showErrorMessage="1" sqref="B831:F831">
      <formula1>$A$52:$A$91</formula1>
    </dataValidation>
    <dataValidation type="list" allowBlank="1" showInputMessage="1" showErrorMessage="1" sqref="B832:F833 B862:F862 B852:F853 B842:F843">
      <formula1>$A$143:$A$231</formula1>
    </dataValidation>
    <dataValidation type="list" allowBlank="1" showInputMessage="1" showErrorMessage="1" sqref="B841:F841">
      <formula1>$A$52:$A$92</formula1>
    </dataValidation>
    <dataValidation type="list" allowBlank="1" showInputMessage="1" showErrorMessage="1" sqref="B851:F851 B873:F873">
      <formula1>$A$52:$A$93</formula1>
    </dataValidation>
    <dataValidation type="list" allowBlank="1" showInputMessage="1" showErrorMessage="1" sqref="B874:F875 B1290:F1290 B1386:F1386 B1381:F1381 B1376:F1376 B1352:F1352 B1364:F1364 B1369:F1369 B1342:F1342 B1267:F1267 B1324:F1324 B1314:F1314 B1258:F1258 B1248:F1248 B1238:F1238 B1230:F1230 B1217:F1217 B1208:F1208 B1198:F1198 B1188:F1188 B1159:F1159 B1044:F1044 B1035:F1035 B1020:F1020 B987:F987 B884:F885">
      <formula1>$A$144:$A$232</formula1>
    </dataValidation>
    <dataValidation type="list" allowBlank="1" showInputMessage="1" showErrorMessage="1" sqref="B897:F897">
      <formula1>$A$52:$A$99</formula1>
    </dataValidation>
    <dataValidation type="list" allowBlank="1" showInputMessage="1" showErrorMessage="1" sqref="B898:F899 B908:F909 B918:F919 B927:F928 B937:F938 B947:F948 B957:F958 B967:F968">
      <formula1>$A$150:$A$342</formula1>
    </dataValidation>
    <dataValidation type="list" allowBlank="1" showInputMessage="1" showErrorMessage="1" sqref="B827:F828">
      <formula1>$A$158:$A$246</formula1>
    </dataValidation>
    <dataValidation type="list" allowBlank="1" showInputMessage="1" showErrorMessage="1" sqref="B917:F917 B883:F883 B966:F966 B956:F956 B946:F946 B936:F936 B926:F926 B888:F888 B826:F826">
      <formula1>$A$52:$A$102</formula1>
    </dataValidation>
    <dataValidation type="list" allowBlank="1" showInputMessage="1" showErrorMessage="1" sqref="B1196:F1196 B1288:F1288 B1265:F1265 B1256:F1256 B1246:F1246 B1236:F1236 B1228:F1228 B1206:F1206 B1215:F1215">
      <formula1>$A$1:$A$972</formula1>
    </dataValidation>
    <dataValidation type="list" allowBlank="1" showInputMessage="1" showErrorMessage="1" sqref="B1199:F1199 B1291:F1291 B1387:F1387 B1382:F1382 B1377:F1377 B1353:F1353 B1365:F1365 B1370:F1370 B1343:F1343 B1268:F1268 B1325:F1325 B1315:F1315 B1259:F1259 B1249:F1249 B1239:F1239 B1231:F1231 B1209:F1209 B1218:F1218">
      <formula1>$A$92:$A$966</formula1>
    </dataValidation>
    <dataValidation type="list" allowBlank="1" showInputMessage="1" showErrorMessage="1" sqref="B1229:F1229 B1237:F1237 B1247:F1247 B1257:F1257">
      <formula1>$A$52:$A$964</formula1>
    </dataValidation>
    <dataValidation type="list" allowBlank="1" showInputMessage="1" showErrorMessage="1" sqref="B1322:F1322 B1379:F1379 B1374:F1374 B1350:F1350 B1362:F1362 B1367:F1367 B1340:F1340 B1384:F1384">
      <formula1>$A$1:$A$973</formula1>
    </dataValidation>
    <dataValidation type="list" allowBlank="1" showInputMessage="1" showErrorMessage="1" sqref="B1323:F1323 B1266:F1266 B1341:F1341 B1368:F1368 B1363:F1363 B1351:F1351">
      <formula1>$A$52:$A$966</formula1>
    </dataValidation>
    <dataValidation type="list" allowBlank="1" showInputMessage="1" showErrorMessage="1" sqref="B1375:F1375">
      <formula1>$A$52:$A$968</formula1>
    </dataValidation>
    <dataValidation type="list" allowBlank="1" showInputMessage="1" showErrorMessage="1" sqref="B1380:F1380 B1385:F1385">
      <formula1>$A$52:$A$970</formula1>
    </dataValidation>
    <dataValidation type="list" allowBlank="1" showInputMessage="1" showErrorMessage="1" sqref="B986:F986 B1207:F1207 B1197:F1197 B1187:F1187">
      <formula1>$A$52:$A$76</formula1>
    </dataValidation>
    <dataValidation type="list" allowBlank="1" showInputMessage="1" showErrorMessage="1" sqref="B2372:D2372">
      <formula1>$A$175:$A$212</formula1>
    </dataValidation>
    <dataValidation type="list" allowBlank="1" showInputMessage="1" showErrorMessage="1" sqref="B2374:F2375 B2383:F2384 B2595:F2595">
      <formula1>$A$213:$A$357</formula1>
    </dataValidation>
    <dataValidation type="list" allowBlank="1" showInputMessage="1" showErrorMessage="1" sqref="B2373:D2373">
      <formula1>$A$53:$A$88</formula1>
    </dataValidation>
    <dataValidation type="list" allowBlank="1" showInputMessage="1" showErrorMessage="1" sqref="E1520:I1522 E3393:I3394 E2831:I2832 E1652:I1654 E2713:I2716 E2751:I2752 E1606:I1608 E2579:I2581 E2368:I2370 E2307:I2309 E2241:I2243 E2187:I2189 E2158:I2160 E1926:I1928 E1686:I1688 E1666:I1668 E3229:I3230">
      <formula1>$A$1:$A$52</formula1>
    </dataValidation>
    <dataValidation type="list" allowBlank="1" showInputMessage="1" showErrorMessage="1" sqref="E1183:I1183 E1502:I1502 E1399:I1399">
      <formula1>$A$1:$A$51</formula1>
    </dataValidation>
    <dataValidation type="list" allowBlank="1" showInputMessage="1" showErrorMessage="1" sqref="B3097:F3099 B3091:F3092">
      <formula1>#REF!</formula1>
    </dataValidation>
    <dataValidation type="list" allowBlank="1" showInputMessage="1" showErrorMessage="1" sqref="B825:F825">
      <formula1>$A$1:$A$989</formula1>
    </dataValidation>
    <dataValidation type="list" allowBlank="1" showInputMessage="1" showErrorMessage="1" sqref="J3966">
      <formula1>A2668:A4702</formula1>
    </dataValidation>
    <dataValidation type="list" allowBlank="1" showInputMessage="1" showErrorMessage="1" sqref="J3951">
      <formula1>A3264:A5209</formula1>
    </dataValidation>
    <dataValidation type="list" allowBlank="1" showInputMessage="1" showErrorMessage="1" sqref="J3605">
      <formula1>A2916:A4850</formula1>
    </dataValidation>
    <dataValidation type="list" allowBlank="1" showInputMessage="1" showErrorMessage="1" sqref="J3597 J3591">
      <formula1>A2879:A4856</formula1>
    </dataValidation>
    <dataValidation type="list" allowBlank="1" showInputMessage="1" showErrorMessage="1" sqref="J3662">
      <formula1>A2945:A4919</formula1>
    </dataValidation>
    <dataValidation type="list" allowBlank="1" showInputMessage="1" showErrorMessage="1" sqref="J3667">
      <formula1>A2963:A4930</formula1>
    </dataValidation>
    <dataValidation type="list" allowBlank="1" showInputMessage="1" showErrorMessage="1" sqref="J3673">
      <formula1>A2976:A4943</formula1>
    </dataValidation>
    <dataValidation type="list" allowBlank="1" showInputMessage="1" showErrorMessage="1" sqref="J3695 J3683">
      <formula1>A2989:A4955</formula1>
    </dataValidation>
    <dataValidation type="list" allowBlank="1" showInputMessage="1" showErrorMessage="1" sqref="J3668 J3655:J3661">
      <formula1>A2940:A4914</formula1>
    </dataValidation>
    <dataValidation type="list" allowBlank="1" showInputMessage="1" showErrorMessage="1" sqref="J3917">
      <formula1>A3215:A5147</formula1>
    </dataValidation>
    <dataValidation type="list" allowBlank="1" showInputMessage="1" showErrorMessage="1" sqref="J3916">
      <formula1>A3215:A5147</formula1>
    </dataValidation>
    <dataValidation type="list" allowBlank="1" showInputMessage="1" showErrorMessage="1" sqref="J3841:J3858 J3895">
      <formula1>A3143:A5075</formula1>
    </dataValidation>
    <dataValidation type="list" allowBlank="1" showInputMessage="1" showErrorMessage="1" sqref="J3885">
      <formula1>A3188:A5120</formula1>
    </dataValidation>
    <dataValidation type="list" allowBlank="1" showInputMessage="1" showErrorMessage="1" sqref="J3592 J3598">
      <formula1>A2881:A4858</formula1>
    </dataValidation>
    <dataValidation type="list" allowBlank="1" showInputMessage="1" showErrorMessage="1" sqref="J3650">
      <formula1>A2934:A4909</formula1>
    </dataValidation>
    <dataValidation type="list" allowBlank="1" showInputMessage="1" showErrorMessage="1" sqref="J3678 J3684:J3690">
      <formula1>A2971:A4945</formula1>
    </dataValidation>
    <dataValidation type="list" allowBlank="1" showInputMessage="1" showErrorMessage="1" sqref="J3965">
      <formula1>A2683:A4717</formula1>
    </dataValidation>
    <dataValidation type="list" allowBlank="1" showInputMessage="1" showErrorMessage="1" sqref="J3942">
      <formula1>A2632:A4667</formula1>
    </dataValidation>
    <dataValidation type="list" allowBlank="1" showInputMessage="1" showErrorMessage="1" sqref="J3920">
      <formula1>A2596:A4631</formula1>
    </dataValidation>
    <dataValidation type="list" allowBlank="1" showInputMessage="1" showErrorMessage="1" sqref="J3941">
      <formula1>A2648:A4682</formula1>
    </dataValidation>
    <dataValidation type="list" allowBlank="1" showInputMessage="1" showErrorMessage="1" sqref="J3793">
      <formula1>A2491:A4527</formula1>
    </dataValidation>
    <dataValidation type="list" allowBlank="1" showInputMessage="1" showErrorMessage="1" sqref="J3880">
      <formula1>A2546:A4582</formula1>
    </dataValidation>
    <dataValidation type="list" allowBlank="1" showInputMessage="1" showErrorMessage="1" sqref="J3809">
      <formula1>A2486:A4522</formula1>
    </dataValidation>
    <dataValidation type="list" allowBlank="1" showInputMessage="1" showErrorMessage="1" sqref="J3827">
      <formula1>A2500:A4536</formula1>
    </dataValidation>
    <dataValidation type="list" allowBlank="1" showInputMessage="1" showErrorMessage="1" sqref="J3921">
      <formula1>A2581:A4616</formula1>
    </dataValidation>
    <dataValidation type="list" allowBlank="1" showInputMessage="1" showErrorMessage="1" sqref="J3826 J3748:J3749">
      <formula1>A2437:A4473</formula1>
    </dataValidation>
    <dataValidation type="list" allowBlank="1" showInputMessage="1" showErrorMessage="1" sqref="J3750 J3741:J3742">
      <formula1>A2429:A4465</formula1>
    </dataValidation>
    <dataValidation type="list" allowBlank="1" showInputMessage="1" showErrorMessage="1" sqref="J3740">
      <formula1>A2444:A4480</formula1>
    </dataValidation>
    <dataValidation type="list" allowBlank="1" showInputMessage="1" showErrorMessage="1" sqref="J3879">
      <formula1>A2562:A4597</formula1>
    </dataValidation>
    <dataValidation type="list" allowBlank="1" showInputMessage="1" showErrorMessage="1" sqref="J3779 J3791:J3792">
      <formula1>A2481:A4517</formula1>
    </dataValidation>
    <dataValidation type="list" allowBlank="1" showInputMessage="1" showErrorMessage="1" sqref="J3780">
      <formula1>A2466:A4502</formula1>
    </dataValidation>
    <dataValidation type="list" allowBlank="1" showInputMessage="1" showErrorMessage="1" sqref="J3808 J3824:J3825">
      <formula1>A2501:A4537</formula1>
    </dataValidation>
    <dataValidation type="list" allowBlank="1" showInputMessage="1" showErrorMessage="1" sqref="J3726 J3747">
      <formula1>A2431:A4467</formula1>
    </dataValidation>
    <dataValidation type="list" allowBlank="1" showInputMessage="1" showErrorMessage="1" sqref="J3970:J3973">
      <formula1>A3293:A5241</formula1>
    </dataValidation>
    <dataValidation type="list" allowBlank="1" showInputMessage="1" showErrorMessage="1" sqref="J3946:J3949">
      <formula1>A3262:A5206</formula1>
    </dataValidation>
    <dataValidation type="list" allowBlank="1" showInputMessage="1" showErrorMessage="1" sqref="J3696:J3702">
      <formula1>A2990:A4963</formula1>
    </dataValidation>
    <dataValidation type="list" allowBlank="1" showInputMessage="1" showErrorMessage="1" sqref="J3751:J3757 J3730:J3731 J3743:J3744">
      <formula1>A3033:A5006</formula1>
    </dataValidation>
    <dataValidation type="list" allowBlank="1" showInputMessage="1" showErrorMessage="1" sqref="J3732:J3737">
      <formula1>A3034:A5007</formula1>
    </dataValidation>
    <dataValidation type="list" allowBlank="1" showInputMessage="1" showErrorMessage="1" sqref="J3674:J3677">
      <formula1>A2966:A4940</formula1>
    </dataValidation>
    <dataValidation type="list" allowBlank="1" showInputMessage="1" showErrorMessage="1" sqref="J3627:J3632">
      <formula1>A2910:A4886</formula1>
    </dataValidation>
    <dataValidation type="list" allowBlank="1" showInputMessage="1" showErrorMessage="1" sqref="J3939:J3940">
      <formula1>A2650:A4684</formula1>
    </dataValidation>
    <dataValidation type="list" allowBlank="1" showInputMessage="1" showErrorMessage="1" sqref="J3777:J3778">
      <formula1>A2483:A4519</formula1>
    </dataValidation>
    <dataValidation type="list" allowBlank="1" showInputMessage="1" showErrorMessage="1" sqref="J3738:J3739">
      <formula1>A2446:A4482</formula1>
    </dataValidation>
    <dataValidation type="list" allowBlank="1" showInputMessage="1" showErrorMessage="1" sqref="J3918:J3919">
      <formula1>A2598:A4633</formula1>
    </dataValidation>
    <dataValidation type="list" allowBlank="1" showInputMessage="1" showErrorMessage="1" sqref="J3963:J3964">
      <formula1>A2685:A4719</formula1>
    </dataValidation>
    <dataValidation type="list" allowBlank="1" showInputMessage="1" showErrorMessage="1" sqref="J3877:J3878">
      <formula1>A2564:A4599</formula1>
    </dataValidation>
    <dataValidation type="list" allowBlank="1" showInputMessage="1" showErrorMessage="1" sqref="J3794:J3795">
      <formula1>A2476:A4512</formula1>
    </dataValidation>
    <dataValidation type="list" allowBlank="1" showInputMessage="1" showErrorMessage="1" sqref="J3806:J3807">
      <formula1>A2503:A4539</formula1>
    </dataValidation>
    <dataValidation type="list" allowBlank="1" showInputMessage="1" showErrorMessage="1" sqref="B872:F872 B945:F945 B935:F935 B896:F896 B887:F887 B906:F906 B916:F916 B925:F925 B965:F965 B955:F955 B882:F882">
      <formula1>$A$1:$A$1604</formula1>
    </dataValidation>
    <dataValidation type="list" allowBlank="1" showInputMessage="1" showErrorMessage="1" sqref="B830:F830 B850:F850 B840:F840">
      <formula1>$A$1:$A$1613</formula1>
    </dataValidation>
    <dataValidation type="list" allowBlank="1" showInputMessage="1" showErrorMessage="1" sqref="J1835 J1719:J1720">
      <formula1>A385:A2121</formula1>
    </dataValidation>
    <dataValidation type="list" allowBlank="1" showInputMessage="1" showErrorMessage="1" sqref="J1599">
      <formula1>A137:A1970</formula1>
    </dataValidation>
    <dataValidation type="list" allowBlank="1" showInputMessage="1" showErrorMessage="1" sqref="J1900">
      <formula1>A502:A2212</formula1>
    </dataValidation>
    <dataValidation type="list" allowBlank="1" showInputMessage="1" showErrorMessage="1" sqref="J2002">
      <formula1>A630:A2294</formula1>
    </dataValidation>
    <dataValidation type="list" allowBlank="1" showInputMessage="1" showErrorMessage="1" sqref="J1997">
      <formula1>A624:A2288</formula1>
    </dataValidation>
    <dataValidation type="list" allowBlank="1" showInputMessage="1" showErrorMessage="1" sqref="J2018">
      <formula1>A646:A2305</formula1>
    </dataValidation>
    <dataValidation type="list" allowBlank="1" showInputMessage="1" showErrorMessage="1" sqref="J1982">
      <formula1>A619:A2279</formula1>
    </dataValidation>
    <dataValidation type="list" allowBlank="1" showInputMessage="1" showErrorMessage="1" sqref="J1955">
      <formula1>A594:A2269</formula1>
    </dataValidation>
    <dataValidation type="list" allowBlank="1" showInputMessage="1" showErrorMessage="1" sqref="J1715">
      <formula1>A389:A2269</formula1>
    </dataValidation>
    <dataValidation type="list" allowBlank="1" showInputMessage="1" showErrorMessage="1" sqref="J1834">
      <formula1>A487:A2193</formula1>
    </dataValidation>
    <dataValidation type="list" allowBlank="1" showInputMessage="1" showErrorMessage="1" sqref="J2046">
      <formula1>A673:A2332</formula1>
    </dataValidation>
    <dataValidation type="list" allowBlank="1" showInputMessage="1" showErrorMessage="1" sqref="J2023">
      <formula1>A674:A2409</formula1>
    </dataValidation>
    <dataValidation type="list" allowBlank="1" showInputMessage="1" showErrorMessage="1" sqref="J2102">
      <formula1>A727:A2377</formula1>
    </dataValidation>
    <dataValidation type="list" allowBlank="1" showInputMessage="1" showErrorMessage="1" sqref="J2125">
      <formula1>A750:A2380</formula1>
    </dataValidation>
    <dataValidation type="list" allowBlank="1" showInputMessage="1" showErrorMessage="1" sqref="J2137">
      <formula1>A762:A2381</formula1>
    </dataValidation>
    <dataValidation type="list" allowBlank="1" showInputMessage="1" showErrorMessage="1" sqref="J2131">
      <formula1>A756:A2380</formula1>
    </dataValidation>
    <dataValidation type="list" allowBlank="1" showInputMessage="1" showErrorMessage="1" sqref="J2143">
      <formula1>A768:A2386</formula1>
    </dataValidation>
    <dataValidation type="list" allowBlank="1" showInputMessage="1" showErrorMessage="1" sqref="J2173">
      <formula1>A807:A2390</formula1>
    </dataValidation>
    <dataValidation type="list" allowBlank="1" showInputMessage="1" showErrorMessage="1" sqref="J1977">
      <formula1>A806:A2390</formula1>
    </dataValidation>
    <dataValidation type="list" allowBlank="1" showInputMessage="1" showErrorMessage="1" sqref="J2217">
      <formula1>A855:A2395</formula1>
    </dataValidation>
    <dataValidation type="list" allowBlank="1" showInputMessage="1" showErrorMessage="1" sqref="J2040">
      <formula1>A874:A2396</formula1>
    </dataValidation>
    <dataValidation type="list" allowBlank="1" showInputMessage="1" showErrorMessage="1" sqref="J2245">
      <formula1>A883:A2402</formula1>
    </dataValidation>
    <dataValidation type="list" allowBlank="1" showInputMessage="1" showErrorMessage="1" sqref="J2068 J2063:J2066 J2070:J2072">
      <formula1>A896:A2414</formula1>
    </dataValidation>
    <dataValidation type="list" allowBlank="1" showInputMessage="1" showErrorMessage="1" sqref="J2210">
      <formula1>A820:A2390</formula1>
    </dataValidation>
    <dataValidation type="list" allowBlank="1" showInputMessage="1" showErrorMessage="1" sqref="J2162 J2158:K2160">
      <formula1>A764:A2383</formula1>
    </dataValidation>
    <dataValidation type="list" allowBlank="1" showInputMessage="1" showErrorMessage="1" sqref="J2191 J2187:K2189">
      <formula1>A801:A2390</formula1>
    </dataValidation>
    <dataValidation type="list" allowBlank="1" showInputMessage="1" showErrorMessage="1" sqref="J2074">
      <formula1>A700:A2358</formula1>
    </dataValidation>
    <dataValidation type="list" allowBlank="1" showInputMessage="1" showErrorMessage="1" sqref="E2750:I2750 E3503:I3503 E3392:I3392 E3228:I3228 E2830:I2830">
      <formula1>$A$1:$A$5005</formula1>
    </dataValidation>
    <dataValidation type="list" allowBlank="1" showInputMessage="1" showErrorMessage="1" sqref="J1884 J1905 J1960">
      <formula1>A535:A2271</formula1>
    </dataValidation>
    <dataValidation type="list" allowBlank="1" showInputMessage="1" showErrorMessage="1" sqref="J1699:J1701 J1707:J1709">
      <formula1>A342:A2086</formula1>
    </dataValidation>
    <dataValidation type="list" allowBlank="1" showInputMessage="1" showErrorMessage="1" sqref="J1605:K1608">
      <formula1>A420:A2112</formula1>
    </dataValidation>
    <dataValidation type="list" allowBlank="1" showInputMessage="1" showErrorMessage="1" sqref="J1641:J1644">
      <formula1>A456:A2140</formula1>
    </dataValidation>
    <dataValidation type="list" allowBlank="1" showInputMessage="1" showErrorMessage="1" sqref="J1610:J1613">
      <formula1>A425:A2118</formula1>
    </dataValidation>
    <dataValidation type="list" allowBlank="1" showInputMessage="1" showErrorMessage="1" sqref="J1721:J1742">
      <formula1>A386:A2122</formula1>
    </dataValidation>
    <dataValidation type="list" allowBlank="1" showInputMessage="1" showErrorMessage="1" sqref="J1430:J1433">
      <formula1>A48:A2096</formula1>
    </dataValidation>
    <dataValidation type="list" allowBlank="1" showInputMessage="1" showErrorMessage="1" sqref="B1440:F1443">
      <formula1>A55:A2103</formula1>
    </dataValidation>
    <dataValidation type="list" allowBlank="1" showInputMessage="1" showErrorMessage="1" sqref="J1656:J1659">
      <formula1>A475:A2153</formula1>
    </dataValidation>
    <dataValidation type="list" allowBlank="1" showInputMessage="1" showErrorMessage="1" sqref="J1666:K1668 J1670:J1673">
      <formula1>A470:A2153</formula1>
    </dataValidation>
    <dataValidation type="list" allowBlank="1" showInputMessage="1" showErrorMessage="1" sqref="J1849:J1851">
      <formula1>A430:A2153</formula1>
    </dataValidation>
    <dataValidation type="list" allowBlank="1" showInputMessage="1" showErrorMessage="1" sqref="J1880:J1882">
      <formula1>A446:A2162</formula1>
    </dataValidation>
    <dataValidation type="list" allowBlank="1" showInputMessage="1" showErrorMessage="1" sqref="J1872:J1874">
      <formula1>A460:A2176</formula1>
    </dataValidation>
    <dataValidation type="list" allowBlank="1" showInputMessage="1" showErrorMessage="1" sqref="J1901:J1903">
      <formula1>A466:A2183</formula1>
    </dataValidation>
    <dataValidation type="list" allowBlank="1" showInputMessage="1" showErrorMessage="1" sqref="J1836:J1838">
      <formula1>A488:A2194</formula1>
    </dataValidation>
    <dataValidation type="list" allowBlank="1" showInputMessage="1" showErrorMessage="1" sqref="J1926:K1928">
      <formula1>A538:A2237</formula1>
    </dataValidation>
    <dataValidation type="list" allowBlank="1" showInputMessage="1" showErrorMessage="1" sqref="J2047:J2049">
      <formula1>A643:A2304</formula1>
    </dataValidation>
    <dataValidation type="list" allowBlank="1" showInputMessage="1" showErrorMessage="1" sqref="J2019:J2021">
      <formula1>A619:A2280</formula1>
    </dataValidation>
    <dataValidation type="list" allowBlank="1" showInputMessage="1" showErrorMessage="1" sqref="J1930:J1933">
      <formula1>A546:A2245</formula1>
    </dataValidation>
    <dataValidation type="list" allowBlank="1" showInputMessage="1" showErrorMessage="1" sqref="J1939:J1941 J1947:J1949">
      <formula1>A548:A2258</formula1>
    </dataValidation>
    <dataValidation type="list" allowBlank="1" showInputMessage="1" showErrorMessage="1" sqref="J1956:J1958">
      <formula1>A564:A2260</formula1>
    </dataValidation>
    <dataValidation type="list" allowBlank="1" showInputMessage="1" showErrorMessage="1" sqref="J2003:J2005">
      <formula1>A614:A2269</formula1>
    </dataValidation>
    <dataValidation type="list" allowBlank="1" showInputMessage="1" showErrorMessage="1" sqref="J1998:J2000">
      <formula1>A608:A2269</formula1>
    </dataValidation>
    <dataValidation type="list" allowBlank="1" showInputMessage="1" showErrorMessage="1" sqref="J1983:J1985">
      <formula1>A599:A2269</formula1>
    </dataValidation>
    <dataValidation type="list" allowBlank="1" showInputMessage="1" showErrorMessage="1" sqref="J1716:J1718">
      <formula1>A359:A2264</formula1>
    </dataValidation>
    <dataValidation type="list" allowBlank="1" showInputMessage="1" showErrorMessage="1" sqref="J2075:J2077">
      <formula1>A670:A2329</formula1>
    </dataValidation>
    <dataValidation type="list" allowBlank="1" showInputMessage="1" showErrorMessage="1" sqref="J2103:J2105">
      <formula1>A697:A2355</formula1>
    </dataValidation>
    <dataValidation type="list" allowBlank="1" showInputMessage="1" showErrorMessage="1" sqref="J2126:J2128">
      <formula1>A720:A2376</formula1>
    </dataValidation>
    <dataValidation type="list" allowBlank="1" showInputMessage="1" showErrorMessage="1" sqref="J2201:J2204">
      <formula1>A813:A2390</formula1>
    </dataValidation>
    <dataValidation type="list" allowBlank="1" showInputMessage="1" showErrorMessage="1" sqref="J2211:J2213">
      <formula1>A821:A2392</formula1>
    </dataValidation>
    <dataValidation type="list" allowBlank="1" showInputMessage="1" showErrorMessage="1" sqref="J2042:J2044">
      <formula1>A876:A2397</formula1>
    </dataValidation>
    <dataValidation type="list" allowBlank="1" showInputMessage="1" showErrorMessage="1" sqref="J2035:J2038">
      <formula1>A868:A2395</formula1>
    </dataValidation>
    <dataValidation type="list" allowBlank="1" showInputMessage="1" showErrorMessage="1" sqref="J2132:J2134">
      <formula1>A726:A2376</formula1>
    </dataValidation>
    <dataValidation type="list" allowBlank="1" showInputMessage="1" showErrorMessage="1" sqref="J2138:J2140">
      <formula1>A732:A2378</formula1>
    </dataValidation>
    <dataValidation type="list" allowBlank="1" showInputMessage="1" showErrorMessage="1" sqref="J2144:J2146">
      <formula1>A738:A2379</formula1>
    </dataValidation>
    <dataValidation type="list" allowBlank="1" showInputMessage="1" showErrorMessage="1" sqref="J2174:J2176">
      <formula1>A777:A2386</formula1>
    </dataValidation>
    <dataValidation type="list" allowBlank="1" showInputMessage="1" showErrorMessage="1" sqref="J2163:J2165">
      <formula1>A769:A2387</formula1>
    </dataValidation>
    <dataValidation type="list" allowBlank="1" showInputMessage="1" showErrorMessage="1" sqref="J1979:J1981">
      <formula1>A808:A2390</formula1>
    </dataValidation>
    <dataValidation type="list" allowBlank="1" showInputMessage="1" showErrorMessage="1" sqref="J2192:J2194">
      <formula1>A806:A2390</formula1>
    </dataValidation>
    <dataValidation type="list" allowBlank="1" showInputMessage="1" showErrorMessage="1" sqref="J2218:J2220">
      <formula1>A825:A2390</formula1>
    </dataValidation>
    <dataValidation type="list" allowBlank="1" showInputMessage="1" showErrorMessage="1" sqref="J1972:J1975">
      <formula1>A801:A2390</formula1>
    </dataValidation>
    <dataValidation type="list" allowBlank="1" showInputMessage="1" showErrorMessage="1" sqref="J1990:J1993">
      <formula1>A836:A2392</formula1>
    </dataValidation>
    <dataValidation type="list" allowBlank="1" showInputMessage="1" showErrorMessage="1" sqref="J2014:J2015">
      <formula1>A859:A2395</formula1>
    </dataValidation>
    <dataValidation type="list" allowBlank="1" showInputMessage="1" showErrorMessage="1" sqref="J2016:J2017">
      <formula1>A860:A2395</formula1>
    </dataValidation>
    <dataValidation type="list" allowBlank="1" showInputMessage="1" showErrorMessage="1" sqref="J1994:J1996">
      <formula1>A844:A2395</formula1>
    </dataValidation>
    <dataValidation type="list" allowBlank="1" showInputMessage="1" showErrorMessage="1" sqref="J2246:J2248">
      <formula1>A851:A2395</formula1>
    </dataValidation>
    <dataValidation type="list" allowBlank="1" showInputMessage="1" showErrorMessage="1" sqref="J2241:K2243">
      <formula1>A854:A2395</formula1>
    </dataValidation>
    <dataValidation type="list" allowBlank="1" showInputMessage="1" showErrorMessage="1" sqref="J2010:J2013">
      <formula1>A851:A2395</formula1>
    </dataValidation>
    <dataValidation type="list" allowBlank="1" showInputMessage="1" showErrorMessage="1" sqref="J1839:J1846">
      <formula1>A502:A2367</formula1>
    </dataValidation>
    <dataValidation type="list" allowBlank="1" showInputMessage="1" showErrorMessage="1" sqref="J1857:J1859">
      <formula1>A697:A2161</formula1>
    </dataValidation>
    <dataValidation type="list" allowBlank="1" showInputMessage="1" showErrorMessage="1" sqref="J3161 J2696:J2699">
      <formula1>A1409:A3432</formula1>
    </dataValidation>
    <dataValidation type="list" allowBlank="1" showInputMessage="1" showErrorMessage="1" sqref="J3568">
      <formula1>A2359:A4384</formula1>
    </dataValidation>
    <dataValidation type="list" allowBlank="1" showInputMessage="1" showErrorMessage="1" sqref="J3557">
      <formula1>A2361:A4389</formula1>
    </dataValidation>
    <dataValidation type="list" allowBlank="1" showInputMessage="1" showErrorMessage="1" sqref="J3558">
      <formula1>A2377:A4402</formula1>
    </dataValidation>
    <dataValidation type="list" allowBlank="1" showInputMessage="1" showErrorMessage="1" sqref="J3559">
      <formula1>A2379:A4404</formula1>
    </dataValidation>
    <dataValidation type="list" allowBlank="1" showInputMessage="1" showErrorMessage="1" sqref="J3727:J3728">
      <formula1>A2423:A4452</formula1>
    </dataValidation>
    <dataValidation type="list" allowBlank="1" showInputMessage="1" showErrorMessage="1" sqref="J3729">
      <formula1>A2423:A4453</formula1>
    </dataValidation>
    <dataValidation type="list" allowBlank="1" showInputMessage="1" showErrorMessage="1" sqref="J3560">
      <formula1>A2370:A4398</formula1>
    </dataValidation>
    <dataValidation type="list" allowBlank="1" showInputMessage="1" showErrorMessage="1" sqref="J2397">
      <formula1>A1196:A3224</formula1>
    </dataValidation>
    <dataValidation type="list" allowBlank="1" showInputMessage="1" showErrorMessage="1" sqref="J3569">
      <formula1>A2363:A4388</formula1>
    </dataValidation>
    <dataValidation type="list" allowBlank="1" showInputMessage="1" showErrorMessage="1" sqref="J3671:J3672">
      <formula1>A2358:A4383</formula1>
    </dataValidation>
    <dataValidation type="list" allowBlank="1" showInputMessage="1" showErrorMessage="1" sqref="J3101:J3102">
      <formula1>A1792:A3816</formula1>
    </dataValidation>
    <dataValidation type="list" allowBlank="1" showInputMessage="1" showErrorMessage="1" sqref="J3679:J3680 J3691:J3692 J3703:J3704">
      <formula1>A2372:A4397</formula1>
    </dataValidation>
    <dataValidation type="list" allowBlank="1" showInputMessage="1" showErrorMessage="1" sqref="J3669:J3670">
      <formula1>A2360:A4385</formula1>
    </dataValidation>
    <dataValidation type="list" allowBlank="1" showInputMessage="1" showErrorMessage="1" sqref="J3681:J3682 J3693:J3694 J3705:J3706">
      <formula1>A2370:A4395</formula1>
    </dataValidation>
    <dataValidation type="list" allowBlank="1" showInputMessage="1" showErrorMessage="1" sqref="J3720:K3722">
      <formula1>A2409:A3968</formula1>
    </dataValidation>
    <dataValidation type="list" allowBlank="1" showInputMessage="1" showErrorMessage="1" sqref="J3556">
      <formula1>A2348:A4372</formula1>
    </dataValidation>
    <dataValidation type="list" allowBlank="1" showInputMessage="1" showErrorMessage="1" sqref="J3623:J3624 J3663:J3664 J3651:J3652">
      <formula1>A2308:A4332</formula1>
    </dataValidation>
    <dataValidation type="list" allowBlank="1" showInputMessage="1" showErrorMessage="1" sqref="J3553">
      <formula1>A2335:A4359</formula1>
    </dataValidation>
    <dataValidation type="list" allowBlank="1" showInputMessage="1" showErrorMessage="1" sqref="J3554">
      <formula1>A2342:A4366</formula1>
    </dataValidation>
    <dataValidation type="list" allowBlank="1" showInputMessage="1" showErrorMessage="1" sqref="J3565">
      <formula1>A2312:A4336</formula1>
    </dataValidation>
    <dataValidation type="list" allowBlank="1" showInputMessage="1" showErrorMessage="1" sqref="J3555">
      <formula1>A2344:A4368</formula1>
    </dataValidation>
    <dataValidation type="list" allowBlank="1" showInputMessage="1" showErrorMessage="1" sqref="J3552">
      <formula1>A2333:A4357</formula1>
    </dataValidation>
    <dataValidation type="list" allowBlank="1" showInputMessage="1" showErrorMessage="1" sqref="J3589 J3543 J3601">
      <formula1>A2247:A4266</formula1>
    </dataValidation>
    <dataValidation type="list" allowBlank="1" showInputMessage="1" showErrorMessage="1" sqref="J3551">
      <formula1>A2305:A4326</formula1>
    </dataValidation>
    <dataValidation type="list" allowBlank="1" showInputMessage="1" showErrorMessage="1" sqref="J3595">
      <formula1>A2300:A4318</formula1>
    </dataValidation>
    <dataValidation type="list" allowBlank="1" showInputMessage="1" showErrorMessage="1" sqref="J3539">
      <formula1>A2258:A4239</formula1>
    </dataValidation>
    <dataValidation type="list" allowBlank="1" showInputMessage="1" showErrorMessage="1" sqref="J3548">
      <formula1>A2293:A4312</formula1>
    </dataValidation>
    <dataValidation type="list" allowBlank="1" showInputMessage="1" showErrorMessage="1" sqref="J3549">
      <formula1>A2298:A4316</formula1>
    </dataValidation>
    <dataValidation type="list" allowBlank="1" showInputMessage="1" showErrorMessage="1" sqref="J3537">
      <formula1>A2248:A4227</formula1>
    </dataValidation>
    <dataValidation type="list" allowBlank="1" showInputMessage="1" showErrorMessage="1" sqref="J3540">
      <formula1>A2263:A4244</formula1>
    </dataValidation>
    <dataValidation type="list" allowBlank="1" showInputMessage="1" showErrorMessage="1" sqref="J3604">
      <formula1>A2296:A4314</formula1>
    </dataValidation>
    <dataValidation type="list" allowBlank="1" showInputMessage="1" showErrorMessage="1" sqref="J3590 J3602:J3603 J3596">
      <formula1>A2282:A4301</formula1>
    </dataValidation>
    <dataValidation type="list" allowBlank="1" showInputMessage="1" showErrorMessage="1" sqref="J3550">
      <formula1>A2304:A4321</formula1>
    </dataValidation>
    <dataValidation type="list" allowBlank="1" showInputMessage="1" showErrorMessage="1" sqref="J3544">
      <formula1>A2246:A4265</formula1>
    </dataValidation>
    <dataValidation type="list" allowBlank="1" showInputMessage="1" showErrorMessage="1" sqref="J3538">
      <formula1>A2253:A4233</formula1>
    </dataValidation>
    <dataValidation type="list" allowBlank="1" showInputMessage="1" showErrorMessage="1" sqref="J3536">
      <formula1>A2239:A4218</formula1>
    </dataValidation>
    <dataValidation type="list" allowBlank="1" showInputMessage="1" showErrorMessage="1" sqref="J3438 J3427">
      <formula1>A2191:A4211</formula1>
    </dataValidation>
    <dataValidation type="list" allowBlank="1" showInputMessage="1" showErrorMessage="1" sqref="J3457">
      <formula1>A2195:A4216</formula1>
    </dataValidation>
    <dataValidation type="list" allowBlank="1" showInputMessage="1" showErrorMessage="1" sqref="J3444 J3421:J3422 J3432:J3433">
      <formula1>A2190:A4210</formula1>
    </dataValidation>
    <dataValidation type="list" allowBlank="1" showInputMessage="1" showErrorMessage="1" sqref="J3456">
      <formula1>A2195:A4215</formula1>
    </dataValidation>
    <dataValidation type="list" allowBlank="1" showInputMessage="1" showErrorMessage="1" sqref="J3416">
      <formula1>A2186:A4200</formula1>
    </dataValidation>
    <dataValidation type="list" allowBlank="1" showInputMessage="1" showErrorMessage="1" sqref="J3431 J3442:J3443 J3420">
      <formula1>A2161:A4174</formula1>
    </dataValidation>
    <dataValidation type="list" allowBlank="1" showInputMessage="1" showErrorMessage="1" sqref="J3449">
      <formula1>A2183:A4195</formula1>
    </dataValidation>
    <dataValidation type="list" allowBlank="1" showInputMessage="1" showErrorMessage="1" sqref="J3477 J3467">
      <formula1>A2163:A4173</formula1>
    </dataValidation>
    <dataValidation type="list" allowBlank="1" showInputMessage="1" showErrorMessage="1" sqref="J3473 J3468:J3469">
      <formula1>A2166:A4176</formula1>
    </dataValidation>
    <dataValidation type="list" allowBlank="1" showInputMessage="1" showErrorMessage="1" sqref="J3441 J3430 J3419">
      <formula1>A2161:A4173</formula1>
    </dataValidation>
    <dataValidation type="list" allowBlank="1" showInputMessage="1" showErrorMessage="1" sqref="J3429 J3440">
      <formula1>A2161:A4173</formula1>
    </dataValidation>
    <dataValidation type="list" allowBlank="1" showInputMessage="1" showErrorMessage="1" sqref="J3418">
      <formula1>A2154:A4162</formula1>
    </dataValidation>
    <dataValidation type="list" allowBlank="1" showInputMessage="1" showErrorMessage="1" sqref="J3547">
      <formula1>A2277:A4296</formula1>
    </dataValidation>
    <dataValidation type="list" allowBlank="1" showInputMessage="1" showErrorMessage="1" sqref="J3528:K3530">
      <formula1>A2196:A3719</formula1>
    </dataValidation>
    <dataValidation type="list" allowBlank="1" showInputMessage="1" showErrorMessage="1" sqref="J3583:K3585">
      <formula1>A2260:A3790</formula1>
    </dataValidation>
    <dataValidation type="list" allowBlank="1" showInputMessage="1" showErrorMessage="1" sqref="J3633:J3634">
      <formula1>A2317:A4341</formula1>
    </dataValidation>
    <dataValidation type="list" allowBlank="1" showInputMessage="1" showErrorMessage="1" sqref="J3210:J3212">
      <formula1>A1930:A3954</formula1>
    </dataValidation>
    <dataValidation type="list" allowBlank="1" showInputMessage="1" showErrorMessage="1" sqref="J3635:J3636">
      <formula1>A2315:A4339</formula1>
    </dataValidation>
    <dataValidation type="list" allowBlank="1" showInputMessage="1" showErrorMessage="1" sqref="J3642:J3643">
      <formula1>A2324:A4348</formula1>
    </dataValidation>
    <dataValidation type="list" allowBlank="1" showInputMessage="1" showErrorMessage="1" sqref="J3640:J3641">
      <formula1>A2326:A4350</formula1>
    </dataValidation>
    <dataValidation type="list" allowBlank="1" showInputMessage="1" showErrorMessage="1" sqref="J3665:J3666 J3625:J3626 J3653:J3654">
      <formula1>A2306:A4330</formula1>
    </dataValidation>
    <dataValidation type="list" allowBlank="1" showInputMessage="1" showErrorMessage="1" sqref="J3545:J3546">
      <formula1>A2276:A4295</formula1>
    </dataValidation>
    <dataValidation type="list" allowBlank="1" showInputMessage="1" showErrorMessage="1" sqref="J3612:J3613">
      <formula1>A2305:A4323</formula1>
    </dataValidation>
    <dataValidation type="list" allowBlank="1" showInputMessage="1" showErrorMessage="1" sqref="J3614:J3615">
      <formula1>A2304:A4321</formula1>
    </dataValidation>
    <dataValidation type="list" allowBlank="1" showInputMessage="1" showErrorMessage="1" sqref="J3593:J3594">
      <formula1>A2303:A4320</formula1>
    </dataValidation>
    <dataValidation type="list" allowBlank="1" showInputMessage="1" showErrorMessage="1" sqref="J3599:J3600">
      <formula1>A2305:A4326</formula1>
    </dataValidation>
    <dataValidation type="list" allowBlank="1" showInputMessage="1" showErrorMessage="1" sqref="J3587:J3588">
      <formula1>A2296:A4314</formula1>
    </dataValidation>
    <dataValidation type="list" allowBlank="1" showInputMessage="1" showErrorMessage="1" sqref="J3532:J3533">
      <formula1>A2237:A4249</formula1>
    </dataValidation>
    <dataValidation type="list" allowBlank="1" showInputMessage="1" showErrorMessage="1" sqref="J3534:J3535 J2935">
      <formula1>A1636:A3648</formula1>
    </dataValidation>
    <dataValidation type="list" allowBlank="1" showInputMessage="1" showErrorMessage="1" sqref="J3470:J3472">
      <formula1>A2167:A4177</formula1>
    </dataValidation>
    <dataValidation type="list" allowBlank="1" showInputMessage="1" showErrorMessage="1" sqref="J3474:J3476">
      <formula1>A2173:A4183</formula1>
    </dataValidation>
    <dataValidation type="list" allowBlank="1" showInputMessage="1" showErrorMessage="1" sqref="J2051 J2079">
      <formula1>A702:A2426</formula1>
    </dataValidation>
    <dataValidation type="list" allowBlank="1" showInputMessage="1" showErrorMessage="1" sqref="J3251">
      <formula1>A2056:A4059</formula1>
    </dataValidation>
    <dataValidation type="list" allowBlank="1" showInputMessage="1" showErrorMessage="1" sqref="J3240">
      <formula1>A1974:A3979</formula1>
    </dataValidation>
    <dataValidation type="list" allowBlank="1" showInputMessage="1" showErrorMessage="1" sqref="J3239">
      <formula1>A1969:A3976</formula1>
    </dataValidation>
    <dataValidation type="list" allowBlank="1" showInputMessage="1" showErrorMessage="1" sqref="J3076">
      <formula1>A1877:A3900</formula1>
    </dataValidation>
    <dataValidation type="list" allowBlank="1" showInputMessage="1" showErrorMessage="1" sqref="J3134">
      <formula1>A1903:A3925</formula1>
    </dataValidation>
    <dataValidation type="list" allowBlank="1" showInputMessage="1" showErrorMessage="1" sqref="J3206">
      <formula1>A1843:A3880</formula1>
    </dataValidation>
    <dataValidation type="list" allowBlank="1" showInputMessage="1" showErrorMessage="1" sqref="J3189">
      <formula1>A1842:A3873</formula1>
    </dataValidation>
    <dataValidation type="list" allowBlank="1" showInputMessage="1" showErrorMessage="1" sqref="J3208">
      <formula1>A1852:A3889</formula1>
    </dataValidation>
    <dataValidation type="list" allowBlank="1" showInputMessage="1" showErrorMessage="1" sqref="J3512">
      <formula1>A1851:A3888</formula1>
    </dataValidation>
    <dataValidation type="list" allowBlank="1" showInputMessage="1" showErrorMessage="1" sqref="J3513">
      <formula1>A1854:A3891</formula1>
    </dataValidation>
    <dataValidation type="list" allowBlank="1" showInputMessage="1" showErrorMessage="1" sqref="J3207">
      <formula1>A1847:A3883</formula1>
    </dataValidation>
    <dataValidation type="list" allowBlank="1" showInputMessage="1" showErrorMessage="1" sqref="J3273">
      <formula1>A1907:A3935</formula1>
    </dataValidation>
    <dataValidation type="list" allowBlank="1" showInputMessage="1" showErrorMessage="1" sqref="J3272">
      <formula1>A1908:A3936</formula1>
    </dataValidation>
    <dataValidation type="list" allowBlank="1" showInputMessage="1" showErrorMessage="1" sqref="J3254">
      <formula1>A1895:A3925</formula1>
    </dataValidation>
    <dataValidation type="list" allowBlank="1" showInputMessage="1" showErrorMessage="1" sqref="J3255">
      <formula1>A1894:A3925</formula1>
    </dataValidation>
    <dataValidation type="list" allowBlank="1" showInputMessage="1" showErrorMessage="1" sqref="J3117">
      <formula1>A1901:A3925</formula1>
    </dataValidation>
    <dataValidation type="list" allowBlank="1" showInputMessage="1" showErrorMessage="1" sqref="J3138">
      <formula1>A1906:A3925</formula1>
    </dataValidation>
    <dataValidation type="list" allowBlank="1" showInputMessage="1" showErrorMessage="1" sqref="J3127">
      <formula1>A1895:A3925</formula1>
    </dataValidation>
    <dataValidation type="list" allowBlank="1" showInputMessage="1" showErrorMessage="1" sqref="J3343">
      <formula1>A1995:A4000</formula1>
    </dataValidation>
    <dataValidation type="list" allowBlank="1" showInputMessage="1" showErrorMessage="1" sqref="J3234">
      <formula1>A1929:A3958</formula1>
    </dataValidation>
    <dataValidation type="list" allowBlank="1" showInputMessage="1" showErrorMessage="1" sqref="J3181">
      <formula1>A1924:A3947</formula1>
    </dataValidation>
    <dataValidation type="list" allowBlank="1" showInputMessage="1" showErrorMessage="1" sqref="J3184">
      <formula1>A1924:A3947</formula1>
    </dataValidation>
    <dataValidation type="list" allowBlank="1" showInputMessage="1" showErrorMessage="1" sqref="J3196">
      <formula1>A1928:A3954</formula1>
    </dataValidation>
    <dataValidation type="list" allowBlank="1" showInputMessage="1" showErrorMessage="1" sqref="J3216 J2781:J2782">
      <formula1>A1497:A3526</formula1>
    </dataValidation>
    <dataValidation type="list" allowBlank="1" showInputMessage="1" showErrorMessage="1" sqref="J3215">
      <formula1>A1930:A3954</formula1>
    </dataValidation>
    <dataValidation type="list" allowBlank="1" showInputMessage="1" showErrorMessage="1" sqref="J3199">
      <formula1>A1928:A3954</formula1>
    </dataValidation>
    <dataValidation type="list" allowBlank="1" showInputMessage="1" showErrorMessage="1" sqref="J3291">
      <formula1>A1925:A3954</formula1>
    </dataValidation>
    <dataValidation type="list" allowBlank="1" showInputMessage="1" showErrorMessage="1" sqref="J3195">
      <formula1>A1925:A3954</formula1>
    </dataValidation>
    <dataValidation type="list" allowBlank="1" showInputMessage="1" showErrorMessage="1" sqref="J3193">
      <formula1>A1925:A3954</formula1>
    </dataValidation>
    <dataValidation type="list" allowBlank="1" showInputMessage="1" showErrorMessage="1" sqref="J3190">
      <formula1>A1925:A3954</formula1>
    </dataValidation>
    <dataValidation type="list" allowBlank="1" showInputMessage="1" showErrorMessage="1" sqref="J3194">
      <formula1>A1925:A3954</formula1>
    </dataValidation>
    <dataValidation type="list" allowBlank="1" showInputMessage="1" showErrorMessage="1" sqref="J3298">
      <formula1>A1925:A3954</formula1>
    </dataValidation>
    <dataValidation type="list" allowBlank="1" showInputMessage="1" showErrorMessage="1" sqref="J3297">
      <formula1>A1925:A3954</formula1>
    </dataValidation>
    <dataValidation type="list" allowBlank="1" showInputMessage="1" showErrorMessage="1" sqref="J3290">
      <formula1>A1925:A3954</formula1>
    </dataValidation>
    <dataValidation type="list" allowBlank="1" showInputMessage="1" showErrorMessage="1" sqref="J3235">
      <formula1>A1928:A3954</formula1>
    </dataValidation>
    <dataValidation type="list" allowBlank="1" showInputMessage="1" showErrorMessage="1" sqref="J3354 J3344">
      <formula1>A2067:A4070</formula1>
    </dataValidation>
    <dataValidation type="list" allowBlank="1" showInputMessage="1" showErrorMessage="1" sqref="J3257">
      <formula1>A2017:A4024</formula1>
    </dataValidation>
    <dataValidation type="list" allowBlank="1" showInputMessage="1" showErrorMessage="1" sqref="J3087:J3088">
      <formula1>A1883:A3906</formula1>
    </dataValidation>
    <dataValidation type="list" allowBlank="1" showInputMessage="1" showErrorMessage="1" sqref="J3266">
      <formula1>A1990:A3998</formula1>
    </dataValidation>
    <dataValidation type="list" allowBlank="1" showInputMessage="1" showErrorMessage="1" sqref="J3294 J3301">
      <formula1>A2033:A4040</formula1>
    </dataValidation>
    <dataValidation type="list" allowBlank="1" showInputMessage="1" showErrorMessage="1" sqref="J3371">
      <formula1>A2080:A4082</formula1>
    </dataValidation>
    <dataValidation type="list" allowBlank="1" showInputMessage="1" showErrorMessage="1" sqref="J3220">
      <formula1>A1934:A3964</formula1>
    </dataValidation>
    <dataValidation type="list" allowBlank="1" showInputMessage="1" showErrorMessage="1" sqref="J3217">
      <formula1>A1934:A3964</formula1>
    </dataValidation>
    <dataValidation type="list" allowBlank="1" showInputMessage="1" showErrorMessage="1" sqref="J3322">
      <formula1>A1941:A3972</formula1>
    </dataValidation>
    <dataValidation type="list" allowBlank="1" showInputMessage="1" showErrorMessage="1" sqref="J3238">
      <formula1>A1965:A3976</formula1>
    </dataValidation>
    <dataValidation type="list" allowBlank="1" showInputMessage="1" showErrorMessage="1" sqref="J3304">
      <formula1>A1956:A3975</formula1>
    </dataValidation>
    <dataValidation type="list" allowBlank="1" showInputMessage="1" showErrorMessage="1" sqref="J3305">
      <formula1>A1955:A3975</formula1>
    </dataValidation>
    <dataValidation type="list" allowBlank="1" showInputMessage="1" showErrorMessage="1" sqref="J3374">
      <formula1>A2080:A4082</formula1>
    </dataValidation>
    <dataValidation type="list" allowBlank="1" showInputMessage="1" showErrorMessage="1" sqref="J3407">
      <formula1>A2114:A4116</formula1>
    </dataValidation>
    <dataValidation type="list" allowBlank="1" showInputMessage="1" showErrorMessage="1" sqref="J3370 J3365:J3366">
      <formula1>A2072:A4075</formula1>
    </dataValidation>
    <dataValidation type="list" allowBlank="1" showInputMessage="1" showErrorMessage="1" sqref="J3325">
      <formula1>A2062:A4065</formula1>
    </dataValidation>
    <dataValidation type="list" allowBlank="1" showInputMessage="1" showErrorMessage="1" sqref="J3465">
      <formula1>A2096:A4098</formula1>
    </dataValidation>
    <dataValidation type="list" allowBlank="1" showInputMessage="1" showErrorMessage="1" sqref="J3361">
      <formula1>A1988:A3993</formula1>
    </dataValidation>
    <dataValidation type="list" allowBlank="1" showInputMessage="1" showErrorMessage="1" sqref="J3342">
      <formula1>A1990:A3995</formula1>
    </dataValidation>
    <dataValidation type="list" allowBlank="1" showInputMessage="1" showErrorMessage="1" sqref="J3452">
      <formula1>A2104:A4110</formula1>
    </dataValidation>
    <dataValidation type="list" allowBlank="1" showInputMessage="1" showErrorMessage="1" sqref="J3436 J3447">
      <formula1>A2084:A4090</formula1>
    </dataValidation>
    <dataValidation type="list" allowBlank="1" showInputMessage="1" showErrorMessage="1" sqref="J3400">
      <formula1>A2032:A4036</formula1>
    </dataValidation>
    <dataValidation type="list" allowBlank="1" showInputMessage="1" showErrorMessage="1" sqref="J3362">
      <formula1>A1992:A3997</formula1>
    </dataValidation>
    <dataValidation type="list" allowBlank="1" showInputMessage="1" showErrorMessage="1" sqref="J3460 J3445:J3446 J3434:J3435">
      <formula1>A2085:A4091</formula1>
    </dataValidation>
    <dataValidation type="list" allowBlank="1" showInputMessage="1" showErrorMessage="1" sqref="J3461">
      <formula1>A2110:A4116</formula1>
    </dataValidation>
    <dataValidation type="list" allowBlank="1" showInputMessage="1" showErrorMessage="1" sqref="J3466">
      <formula1>A2101:A4103</formula1>
    </dataValidation>
    <dataValidation type="list" allowBlank="1" showInputMessage="1" showErrorMessage="1" sqref="J3324">
      <formula1>A1990:A3995</formula1>
    </dataValidation>
    <dataValidation type="list" allowBlank="1" showInputMessage="1" showErrorMessage="1" sqref="J3453">
      <formula1>A2103:A4109</formula1>
    </dataValidation>
    <dataValidation type="list" allowBlank="1" showInputMessage="1" showErrorMessage="1" sqref="J3263">
      <formula1>A1989:A3996</formula1>
    </dataValidation>
    <dataValidation type="list" allowBlank="1" showInputMessage="1" showErrorMessage="1" sqref="J3437 J3448">
      <formula1>A2083:A4089</formula1>
    </dataValidation>
    <dataValidation type="list" allowBlank="1" showInputMessage="1" showErrorMessage="1" sqref="J3341">
      <formula1>A1986:A3991</formula1>
    </dataValidation>
    <dataValidation type="list" allowBlank="1" showInputMessage="1" showErrorMessage="1" sqref="J3401 J3410:J3411">
      <formula1>A2104:A4106</formula1>
    </dataValidation>
    <dataValidation type="list" allowBlank="1" showInputMessage="1" showErrorMessage="1" sqref="J3464">
      <formula1>A2092:A4094</formula1>
    </dataValidation>
    <dataValidation type="list" allowBlank="1" showInputMessage="1" showErrorMessage="1" sqref="J3363">
      <formula1>A1997:A4002</formula1>
    </dataValidation>
    <dataValidation type="list" allowBlank="1" showInputMessage="1" showErrorMessage="1" sqref="J3350 J3345:J3346">
      <formula1>A2070:A4073</formula1>
    </dataValidation>
    <dataValidation type="list" allowBlank="1" showInputMessage="1" showErrorMessage="1" sqref="J3267">
      <formula1>A1992:A4000</formula1>
    </dataValidation>
    <dataValidation type="list" allowBlank="1" showInputMessage="1" showErrorMessage="1" sqref="J3428 J3439 J3417">
      <formula1>A2126:A4129</formula1>
    </dataValidation>
    <dataValidation type="list" allowBlank="1" showInputMessage="1" showErrorMessage="1" sqref="J3323">
      <formula1>A1940:A3972</formula1>
    </dataValidation>
    <dataValidation type="list" allowBlank="1" showInputMessage="1" showErrorMessage="1" sqref="J3247">
      <formula1>A2054:A4057</formula1>
    </dataValidation>
    <dataValidation type="list" allowBlank="1" showInputMessage="1" showErrorMessage="1" sqref="J3262">
      <formula1>A1987:A3994</formula1>
    </dataValidation>
    <dataValidation type="list" allowBlank="1" showInputMessage="1" showErrorMessage="1" sqref="J2347">
      <formula1>A1215:A2743</formula1>
    </dataValidation>
    <dataValidation type="list" allowBlank="1" showInputMessage="1" showErrorMessage="1" sqref="J2682">
      <formula1>A1568:A3128</formula1>
    </dataValidation>
    <dataValidation type="list" allowBlank="1" showInputMessage="1" showErrorMessage="1" sqref="J2727">
      <formula1>A1521:A3540</formula1>
    </dataValidation>
    <dataValidation type="list" allowBlank="1" showInputMessage="1" showErrorMessage="1" sqref="J2463">
      <formula1>A1203:A3229</formula1>
    </dataValidation>
    <dataValidation type="list" allowBlank="1" showInputMessage="1" showErrorMessage="1" sqref="J2419">
      <formula1>A1191:A3224</formula1>
    </dataValidation>
    <dataValidation type="list" allowBlank="1" showInputMessage="1" showErrorMessage="1" sqref="J2396">
      <formula1>A1191:A3224</formula1>
    </dataValidation>
    <dataValidation type="list" allowBlank="1" showInputMessage="1" showErrorMessage="1" sqref="J2418 J2486">
      <formula1>A1187:A3224</formula1>
    </dataValidation>
    <dataValidation type="list" allowBlank="1" showInputMessage="1" showErrorMessage="1" sqref="J2399">
      <formula1>A1200:A3226</formula1>
    </dataValidation>
    <dataValidation type="list" allowBlank="1" showInputMessage="1" showErrorMessage="1" sqref="J2398">
      <formula1>A1198:A3224</formula1>
    </dataValidation>
    <dataValidation type="list" allowBlank="1" showInputMessage="1" showErrorMessage="1" sqref="J2429">
      <formula1>A1198:A3224</formula1>
    </dataValidation>
    <dataValidation type="list" allowBlank="1" showInputMessage="1" showErrorMessage="1" sqref="J2417">
      <formula1>A1183:A3208</formula1>
    </dataValidation>
    <dataValidation type="list" allowBlank="1" showInputMessage="1" showErrorMessage="1" sqref="J2454">
      <formula1>A1232:A3282</formula1>
    </dataValidation>
    <dataValidation type="list" allowBlank="1" showInputMessage="1" showErrorMessage="1" sqref="J2430">
      <formula1>A1209:A3258</formula1>
    </dataValidation>
    <dataValidation type="list" allowBlank="1" showInputMessage="1" showErrorMessage="1" sqref="J2432">
      <formula1>A1237:A3285</formula1>
    </dataValidation>
    <dataValidation type="list" allowBlank="1" showInputMessage="1" showErrorMessage="1" sqref="J2542">
      <formula1>A1335:A3344</formula1>
    </dataValidation>
    <dataValidation type="list" allowBlank="1" showInputMessage="1" showErrorMessage="1" sqref="J2520">
      <formula1>A1313:A3323</formula1>
    </dataValidation>
    <dataValidation type="list" allowBlank="1" showInputMessage="1" showErrorMessage="1" sqref="J2487">
      <formula1>A1266:A3299</formula1>
    </dataValidation>
    <dataValidation type="list" allowBlank="1" showInputMessage="1" showErrorMessage="1" sqref="J2532">
      <formula1>A1335:A3344</formula1>
    </dataValidation>
    <dataValidation type="list" allowBlank="1" showInputMessage="1" showErrorMessage="1" sqref="J2477">
      <formula1>A1259:A3294</formula1>
    </dataValidation>
    <dataValidation type="list" allowBlank="1" showInputMessage="1" showErrorMessage="1" sqref="J2541">
      <formula1>A1280:A3241</formula1>
    </dataValidation>
    <dataValidation type="list" allowBlank="1" showInputMessage="1" showErrorMessage="1" sqref="J2522">
      <formula1>A1328:A3337</formula1>
    </dataValidation>
    <dataValidation type="list" allowBlank="1" showInputMessage="1" showErrorMessage="1" sqref="J2488">
      <formula1>A1270:A3233</formula1>
    </dataValidation>
    <dataValidation type="list" allowBlank="1" showInputMessage="1" showErrorMessage="1" sqref="J2509">
      <formula1>A1278:A3240</formula1>
    </dataValidation>
    <dataValidation type="list" allowBlank="1" showInputMessage="1" showErrorMessage="1" sqref="J2498">
      <formula1>A1278:A3240</formula1>
    </dataValidation>
    <dataValidation type="list" allowBlank="1" showInputMessage="1" showErrorMessage="1" sqref="J2499">
      <formula1>A1282:A3242</formula1>
    </dataValidation>
    <dataValidation type="list" allowBlank="1" showInputMessage="1" showErrorMessage="1" sqref="J2474">
      <formula1>A1214:A3256</formula1>
    </dataValidation>
    <dataValidation type="list" allowBlank="1" showInputMessage="1" showErrorMessage="1" sqref="J2431">
      <formula1>A1213:A3266</formula1>
    </dataValidation>
    <dataValidation type="list" allowBlank="1" showInputMessage="1" showErrorMessage="1" sqref="J2420">
      <formula1>A1215:A3268</formula1>
    </dataValidation>
    <dataValidation type="list" allowBlank="1" showInputMessage="1" showErrorMessage="1" sqref="J2455">
      <formula1>A1236:A3285</formula1>
    </dataValidation>
    <dataValidation type="list" allowBlank="1" showInputMessage="1" showErrorMessage="1" sqref="J2500">
      <formula1>A1331:A3340</formula1>
    </dataValidation>
    <dataValidation type="list" allowBlank="1" showInputMessage="1" showErrorMessage="1" sqref="J2489">
      <formula1>A1320:A3325</formula1>
    </dataValidation>
    <dataValidation type="list" allowBlank="1" showInputMessage="1" showErrorMessage="1" sqref="J2503">
      <formula1>A1339:A3352</formula1>
    </dataValidation>
    <dataValidation type="list" allowBlank="1" showInputMessage="1" showErrorMessage="1" sqref="J2512">
      <formula1>A1342:A3356</formula1>
    </dataValidation>
    <dataValidation type="list" allowBlank="1" showInputMessage="1" showErrorMessage="1" sqref="J2523">
      <formula1>A1353:A3365</formula1>
    </dataValidation>
    <dataValidation type="list" allowBlank="1" showInputMessage="1" showErrorMessage="1" sqref="J2531">
      <formula1>A1324:A3330</formula1>
    </dataValidation>
    <dataValidation type="list" allowBlank="1" showInputMessage="1" showErrorMessage="1" sqref="J2533">
      <formula1>A1339:A3352</formula1>
    </dataValidation>
    <dataValidation type="list" allowBlank="1" showInputMessage="1" showErrorMessage="1" sqref="J2442">
      <formula1>A1220:A3276</formula1>
    </dataValidation>
    <dataValidation type="list" allowBlank="1" showInputMessage="1" showErrorMessage="1" sqref="J2453">
      <formula1>A1221:A3277</formula1>
    </dataValidation>
    <dataValidation type="list" allowBlank="1" showInputMessage="1" showErrorMessage="1" sqref="J2443">
      <formula1>A1224:A3279</formula1>
    </dataValidation>
    <dataValidation type="list" allowBlank="1" showInputMessage="1" showErrorMessage="1" sqref="J2485">
      <formula1>A1224:A3279</formula1>
    </dataValidation>
    <dataValidation type="list" allowBlank="1" showInputMessage="1" showErrorMessage="1" sqref="J2508">
      <formula1>A1246:A3290</formula1>
    </dataValidation>
    <dataValidation type="list" allowBlank="1" showInputMessage="1" showErrorMessage="1" sqref="J2476">
      <formula1>A1255:A3292</formula1>
    </dataValidation>
    <dataValidation type="list" allowBlank="1" showInputMessage="1" showErrorMessage="1" sqref="J2456">
      <formula1>A1261:A3294</formula1>
    </dataValidation>
    <dataValidation type="list" allowBlank="1" showInputMessage="1" showErrorMessage="1" sqref="J2519">
      <formula1>A1257:A3294</formula1>
    </dataValidation>
    <dataValidation type="list" allowBlank="1" showInputMessage="1" showErrorMessage="1" sqref="J2478">
      <formula1>A1285:A3301</formula1>
    </dataValidation>
    <dataValidation type="list" allowBlank="1" showInputMessage="1" showErrorMessage="1" sqref="J2530">
      <formula1>A1268:A3301</formula1>
    </dataValidation>
    <dataValidation type="list" allowBlank="1" showInputMessage="1" showErrorMessage="1" sqref="J2496">
      <formula1>A1235:A3284</formula1>
    </dataValidation>
    <dataValidation type="list" allowBlank="1" showInputMessage="1" showErrorMessage="1" sqref="J2534">
      <formula1>A1364:A3382</formula1>
    </dataValidation>
    <dataValidation type="list" allowBlank="1" showInputMessage="1" showErrorMessage="1" sqref="J2543">
      <formula1>A1346:A3360</formula1>
    </dataValidation>
    <dataValidation type="list" allowBlank="1" showInputMessage="1" showErrorMessage="1" sqref="J2444">
      <formula1>A1249:A3291</formula1>
    </dataValidation>
    <dataValidation type="list" allowBlank="1" showInputMessage="1" showErrorMessage="1" sqref="J2497">
      <formula1>A1266:A3299</formula1>
    </dataValidation>
    <dataValidation type="list" allowBlank="1" showInputMessage="1" showErrorMessage="1" sqref="J2521">
      <formula1>A1324:A3330</formula1>
    </dataValidation>
    <dataValidation type="list" allowBlank="1" showInputMessage="1" showErrorMessage="1" sqref="J2510">
      <formula1>A1313:A3323</formula1>
    </dataValidation>
    <dataValidation type="list" allowBlank="1" showInputMessage="1" showErrorMessage="1" sqref="J2511">
      <formula1>A1317:A3323</formula1>
    </dataValidation>
    <dataValidation type="list" allowBlank="1" showInputMessage="1" showErrorMessage="1" sqref="J2774 J2459:J2462">
      <formula1>A1172:A3190</formula1>
    </dataValidation>
    <dataValidation type="list" allowBlank="1" showInputMessage="1" showErrorMessage="1" sqref="J2787">
      <formula1>A1509:A3505</formula1>
    </dataValidation>
    <dataValidation type="list" allowBlank="1" showInputMessage="1" showErrorMessage="1" sqref="J2788">
      <formula1>A1520:A3505</formula1>
    </dataValidation>
    <dataValidation type="list" allowBlank="1" showInputMessage="1" showErrorMessage="1" sqref="J2779">
      <formula1>A1505:A3504</formula1>
    </dataValidation>
    <dataValidation type="list" allowBlank="1" showInputMessage="1" showErrorMessage="1" sqref="J2770 J2780">
      <formula1>A1500:A3495</formula1>
    </dataValidation>
    <dataValidation type="list" allowBlank="1" showInputMessage="1" showErrorMessage="1" sqref="J2771">
      <formula1>A1501:A3500</formula1>
    </dataValidation>
    <dataValidation type="list" allowBlank="1" showInputMessage="1" showErrorMessage="1" sqref="J2722">
      <formula1>A1482:A3505</formula1>
    </dataValidation>
    <dataValidation type="list" allowBlank="1" showInputMessage="1" showErrorMessage="1" sqref="J2776">
      <formula1>A1497:A3477</formula1>
    </dataValidation>
    <dataValidation type="list" allowBlank="1" showInputMessage="1" showErrorMessage="1" sqref="J2660 J2649">
      <formula1>A1404:A3425</formula1>
    </dataValidation>
    <dataValidation type="list" allowBlank="1" showInputMessage="1" showErrorMessage="1" sqref="J2607">
      <formula1>A1426:A3448</formula1>
    </dataValidation>
    <dataValidation type="list" allowBlank="1" showInputMessage="1" showErrorMessage="1" sqref="J2610">
      <formula1>A1435:A3451</formula1>
    </dataValidation>
    <dataValidation type="list" allowBlank="1" showInputMessage="1" showErrorMessage="1" sqref="J2758 J2767">
      <formula1>A1479:A3457</formula1>
    </dataValidation>
    <dataValidation type="list" allowBlank="1" showInputMessage="1" showErrorMessage="1" sqref="J2759">
      <formula1>A1488:A3466</formula1>
    </dataValidation>
    <dataValidation type="list" allowBlank="1" showInputMessage="1" showErrorMessage="1" sqref="J2760">
      <formula1>A1493:A3472</formula1>
    </dataValidation>
    <dataValidation type="list" allowBlank="1" showInputMessage="1" showErrorMessage="1" sqref="J2681">
      <formula1>A1434:A3449</formula1>
    </dataValidation>
    <dataValidation type="list" allowBlank="1" showInputMessage="1" showErrorMessage="1" sqref="J2404">
      <formula1>A1146:A3161</formula1>
    </dataValidation>
    <dataValidation type="list" allowBlank="1" showInputMessage="1" showErrorMessage="1" sqref="J2761">
      <formula1>A1498:A3479</formula1>
    </dataValidation>
    <dataValidation type="list" allowBlank="1" showInputMessage="1" showErrorMessage="1" sqref="J2778">
      <formula1>A1500:A3499</formula1>
    </dataValidation>
    <dataValidation type="list" allowBlank="1" showInputMessage="1" showErrorMessage="1" sqref="J2762">
      <formula1>A1500:A3491</formula1>
    </dataValidation>
    <dataValidation type="list" allowBlank="1" showInputMessage="1" showErrorMessage="1" sqref="J2769">
      <formula1>A1500:A3490</formula1>
    </dataValidation>
    <dataValidation type="list" allowBlank="1" showInputMessage="1" showErrorMessage="1" sqref="J2701 J2908:J2909">
      <formula1>A1485:A3505</formula1>
    </dataValidation>
    <dataValidation type="list" allowBlank="1" showInputMessage="1" showErrorMessage="1" sqref="J2777">
      <formula1>A1500:A3494</formula1>
    </dataValidation>
    <dataValidation type="list" allowBlank="1" showInputMessage="1" showErrorMessage="1" sqref="J2768">
      <formula1>A1497:A3477</formula1>
    </dataValidation>
    <dataValidation type="list" allowBlank="1" showInputMessage="1" showErrorMessage="1" sqref="J2785">
      <formula1>A1500:A3494</formula1>
    </dataValidation>
    <dataValidation type="list" allowBlank="1" showInputMessage="1" showErrorMessage="1" sqref="J2700">
      <formula1>A1454:A3468</formula1>
    </dataValidation>
    <dataValidation type="list" allowBlank="1" showInputMessage="1" showErrorMessage="1" sqref="J2637">
      <formula1>A1397:A3419</formula1>
    </dataValidation>
    <dataValidation type="list" allowBlank="1" showInputMessage="1" showErrorMessage="1" sqref="J2638">
      <formula1>A1398:A3418</formula1>
    </dataValidation>
    <dataValidation type="list" allowBlank="1" showInputMessage="1" showErrorMessage="1" sqref="J2626 J2615">
      <formula1>A1380:A3397</formula1>
    </dataValidation>
    <dataValidation type="list" allowBlank="1" showInputMessage="1" showErrorMessage="1" sqref="J2775">
      <formula1>A1486:A3505</formula1>
    </dataValidation>
    <dataValidation type="list" allowBlank="1" showInputMessage="1" showErrorMessage="1" sqref="J2786">
      <formula1>A1504:A3503</formula1>
    </dataValidation>
    <dataValidation type="list" allowBlank="1" showInputMessage="1" showErrorMessage="1" sqref="J2783">
      <formula1>A1496:A3526</formula1>
    </dataValidation>
    <dataValidation type="list" allowBlank="1" showInputMessage="1" showErrorMessage="1" sqref="J2789">
      <formula1>A1525:A3524</formula1>
    </dataValidation>
    <dataValidation type="list" allowBlank="1" showInputMessage="1" showErrorMessage="1" sqref="J2702">
      <formula1>A1496:A3526</formula1>
    </dataValidation>
    <dataValidation type="list" allowBlank="1" showInputMessage="1" showErrorMessage="1" sqref="J2784">
      <formula1>A1495:A3526</formula1>
    </dataValidation>
    <dataValidation type="list" allowBlank="1" showInputMessage="1" showErrorMessage="1" sqref="J2739">
      <formula1>A1498:A3526</formula1>
    </dataValidation>
    <dataValidation type="list" allowBlank="1" showInputMessage="1" showErrorMessage="1" sqref="J2741">
      <formula1>A1535:A3540</formula1>
    </dataValidation>
    <dataValidation type="list" allowBlank="1" showInputMessage="1" showErrorMessage="1" sqref="J2728">
      <formula1>A1528:A3540</formula1>
    </dataValidation>
    <dataValidation type="list" allowBlank="1" showInputMessage="1" showErrorMessage="1" sqref="J2740">
      <formula1>A1524:A3540</formula1>
    </dataValidation>
    <dataValidation type="list" allowBlank="1" showInputMessage="1" showErrorMessage="1" sqref="J2869">
      <formula1>A1605:A3576</formula1>
    </dataValidation>
    <dataValidation type="list" allowBlank="1" showInputMessage="1" showErrorMessage="1" sqref="J2868">
      <formula1>A1604:A3568</formula1>
    </dataValidation>
    <dataValidation type="list" allowBlank="1" showInputMessage="1" showErrorMessage="1" sqref="J2860">
      <formula1>A1603:A3562</formula1>
    </dataValidation>
    <dataValidation type="list" allowBlank="1" showInputMessage="1" showErrorMessage="1" sqref="J2798">
      <formula1>A1532:A3540</formula1>
    </dataValidation>
    <dataValidation type="list" allowBlank="1" showInputMessage="1" showErrorMessage="1" sqref="J2838">
      <formula1>A1563:A3540</formula1>
    </dataValidation>
    <dataValidation type="list" allowBlank="1" showInputMessage="1" showErrorMessage="1" sqref="J2799">
      <formula1>A1537:A3540</formula1>
    </dataValidation>
    <dataValidation type="list" allowBlank="1" showInputMessage="1" showErrorMessage="1" sqref="J2800">
      <formula1>A1542:A3540</formula1>
    </dataValidation>
    <dataValidation type="list" allowBlank="1" showInputMessage="1" showErrorMessage="1" sqref="J2819">
      <formula1>A1561:A3557</formula1>
    </dataValidation>
    <dataValidation type="list" allowBlank="1" showInputMessage="1" showErrorMessage="1" sqref="J2738">
      <formula1>A1558:A3556</formula1>
    </dataValidation>
    <dataValidation type="list" allowBlank="1" showInputMessage="1" showErrorMessage="1" sqref="J2731">
      <formula1>A1560:A3559</formula1>
    </dataValidation>
    <dataValidation type="list" allowBlank="1" showInputMessage="1" showErrorMessage="1" sqref="J2837">
      <formula1>A1552:A3552</formula1>
    </dataValidation>
    <dataValidation type="list" allowBlank="1" showInputMessage="1" showErrorMessage="1" sqref="J2841">
      <formula1>A1582:A3543</formula1>
    </dataValidation>
    <dataValidation type="list" allowBlank="1" showInputMessage="1" showErrorMessage="1" sqref="J2851 J2842">
      <formula1>A1587:A3549</formula1>
    </dataValidation>
    <dataValidation type="list" allowBlank="1" showInputMessage="1" showErrorMessage="1" sqref="J2836">
      <formula1>A1553:A3553</formula1>
    </dataValidation>
    <dataValidation type="list" allowBlank="1" showInputMessage="1" showErrorMessage="1" sqref="J2847">
      <formula1>A1572:A3540</formula1>
    </dataValidation>
    <dataValidation type="list" allowBlank="1" showInputMessage="1" showErrorMessage="1" sqref="J2856">
      <formula1>A1581:A3542</formula1>
    </dataValidation>
    <dataValidation type="list" allowBlank="1" showInputMessage="1" showErrorMessage="1" sqref="J2839">
      <formula1>A1572:A3540</formula1>
    </dataValidation>
    <dataValidation type="list" allowBlank="1" showInputMessage="1" showErrorMessage="1" sqref="J2848 J2866">
      <formula1>A1581:A3542</formula1>
    </dataValidation>
    <dataValidation type="list" allowBlank="1" showInputMessage="1" showErrorMessage="1" sqref="J2849 J2858">
      <formula1>A1586:A3548</formula1>
    </dataValidation>
    <dataValidation type="list" allowBlank="1" showInputMessage="1" showErrorMessage="1" sqref="J2802">
      <formula1>A1575:A3568</formula1>
    </dataValidation>
    <dataValidation type="list" allowBlank="1" showInputMessage="1" showErrorMessage="1" sqref="J2801">
      <formula1>A1573:A3564</formula1>
    </dataValidation>
    <dataValidation type="list" allowBlank="1" showInputMessage="1" showErrorMessage="1" sqref="J2846">
      <formula1>A1561:A3560</formula1>
    </dataValidation>
    <dataValidation type="list" allowBlank="1" showInputMessage="1" showErrorMessage="1" sqref="J2855">
      <formula1>A1570:A3566</formula1>
    </dataValidation>
    <dataValidation type="list" allowBlank="1" showInputMessage="1" showErrorMessage="1" sqref="J2859">
      <formula1>A1600:A3560</formula1>
    </dataValidation>
    <dataValidation type="list" allowBlank="1" showInputMessage="1" showErrorMessage="1" sqref="J2845">
      <formula1>A1562:A3560</formula1>
    </dataValidation>
    <dataValidation type="list" allowBlank="1" showInputMessage="1" showErrorMessage="1" sqref="J2863 J2854">
      <formula1>A1571:A3568</formula1>
    </dataValidation>
    <dataValidation type="list" allowBlank="1" showInputMessage="1" showErrorMessage="1" sqref="J2867">
      <formula1>A1603:A3561</formula1>
    </dataValidation>
    <dataValidation type="list" allowBlank="1" showInputMessage="1" showErrorMessage="1" sqref="J2864">
      <formula1>A1579:A3577</formula1>
    </dataValidation>
    <dataValidation type="list" allowBlank="1" showInputMessage="1" showErrorMessage="1" sqref="J2820">
      <formula1>A1600:A3583</formula1>
    </dataValidation>
    <dataValidation type="list" allowBlank="1" showInputMessage="1" showErrorMessage="1" sqref="J2804">
      <formula1>A1584:A3577</formula1>
    </dataValidation>
    <dataValidation type="list" allowBlank="1" showInputMessage="1" showErrorMessage="1" sqref="J2803">
      <formula1>A1582:A3577</formula1>
    </dataValidation>
    <dataValidation type="list" allowBlank="1" showInputMessage="1" showErrorMessage="1" sqref="J2805">
      <formula1>A1588:A3577</formula1>
    </dataValidation>
    <dataValidation type="list" allowBlank="1" showInputMessage="1" showErrorMessage="1" sqref="J2744">
      <formula1>A1572:A3566</formula1>
    </dataValidation>
    <dataValidation type="list" allowBlank="1" showInputMessage="1" showErrorMessage="1" sqref="J2840">
      <formula1>A1577:A3540</formula1>
    </dataValidation>
    <dataValidation type="list" allowBlank="1" showInputMessage="1" showErrorMessage="1" sqref="J2356:K2356 J2358:K2367">
      <formula1>A1563:A3567</formula1>
    </dataValidation>
    <dataValidation type="list" allowBlank="1" showInputMessage="1" showErrorMessage="1" sqref="J2705">
      <formula1>A1520:A3540</formula1>
    </dataValidation>
    <dataValidation type="list" allowBlank="1" showInputMessage="1" showErrorMessage="1" sqref="J2797">
      <formula1>A1528:A3540</formula1>
    </dataValidation>
    <dataValidation type="list" allowBlank="1" showInputMessage="1" showErrorMessage="1" sqref="J2876">
      <formula1>A1601:A3584</formula1>
    </dataValidation>
    <dataValidation type="list" allowBlank="1" showInputMessage="1" showErrorMessage="1" sqref="J2874">
      <formula1>A1600:A3583</formula1>
    </dataValidation>
    <dataValidation type="list" allowBlank="1" showInputMessage="1" showErrorMessage="1" sqref="J2980 J2794:J2795 J2915 J2895 J2936 J2875">
      <formula1>A1505:A3533</formula1>
    </dataValidation>
    <dataValidation type="list" allowBlank="1" showInputMessage="1" showErrorMessage="1" sqref="J2938">
      <formula1>A1651:A3668</formula1>
    </dataValidation>
    <dataValidation type="list" allowBlank="1" showInputMessage="1" showErrorMessage="1" sqref="J2984">
      <formula1>A1690:A3707</formula1>
    </dataValidation>
    <dataValidation type="list" allowBlank="1" showInputMessage="1" showErrorMessage="1" sqref="J2900">
      <formula1>A1691:A3708</formula1>
    </dataValidation>
    <dataValidation type="list" allowBlank="1" showInputMessage="1" showErrorMessage="1" sqref="J2920">
      <formula1>A1706:A3718</formula1>
    </dataValidation>
    <dataValidation type="list" allowBlank="1" showInputMessage="1" showErrorMessage="1" sqref="J2928">
      <formula1>A1716:A3721</formula1>
    </dataValidation>
    <dataValidation type="list" allowBlank="1" showInputMessage="1" showErrorMessage="1" sqref="J2929">
      <formula1>A1706:A3718</formula1>
    </dataValidation>
    <dataValidation type="list" allowBlank="1" showInputMessage="1" showErrorMessage="1" sqref="J2930">
      <formula1>A1714:A3719</formula1>
    </dataValidation>
    <dataValidation type="list" allowBlank="1" showInputMessage="1" showErrorMessage="1" sqref="J2927">
      <formula1>A1714:A3719</formula1>
    </dataValidation>
    <dataValidation type="list" allowBlank="1" showInputMessage="1" showErrorMessage="1" sqref="J2907">
      <formula1>A1701:A3717</formula1>
    </dataValidation>
    <dataValidation type="list" allowBlank="1" showInputMessage="1" showErrorMessage="1" sqref="J2921">
      <formula1>A1709:A3718</formula1>
    </dataValidation>
    <dataValidation type="list" allowBlank="1" showInputMessage="1" showErrorMessage="1" sqref="J2887">
      <formula1>A1683:A3701</formula1>
    </dataValidation>
    <dataValidation type="list" allowBlank="1" showInputMessage="1" showErrorMessage="1" sqref="J2886">
      <formula1>A1670:A3688</formula1>
    </dataValidation>
    <dataValidation type="list" allowBlank="1" showInputMessage="1" showErrorMessage="1" sqref="J2405">
      <formula1>A1178:A3196</formula1>
    </dataValidation>
    <dataValidation type="list" allowBlank="1" showInputMessage="1" showErrorMessage="1" sqref="J3100">
      <formula1>A1682:A3704</formula1>
    </dataValidation>
    <dataValidation type="list" allowBlank="1" showInputMessage="1" showErrorMessage="1" sqref="J3099">
      <formula1>A1683:A3705</formula1>
    </dataValidation>
    <dataValidation type="list" allowBlank="1" showInputMessage="1" showErrorMessage="1" sqref="J2982">
      <formula1>A1682:A3699</formula1>
    </dataValidation>
    <dataValidation type="list" allowBlank="1" showInputMessage="1" showErrorMessage="1" sqref="J3094">
      <formula1>A1678:A3697</formula1>
    </dataValidation>
    <dataValidation type="list" allowBlank="1" showInputMessage="1" showErrorMessage="1" sqref="J3093">
      <formula1>A1679:A3698</formula1>
    </dataValidation>
    <dataValidation type="list" allowBlank="1" showInputMessage="1" showErrorMessage="1" sqref="J2983">
      <formula1>A1685:A3703</formula1>
    </dataValidation>
    <dataValidation type="list" allowBlank="1" showInputMessage="1" showErrorMessage="1" sqref="J2888">
      <formula1>A1685:A3703</formula1>
    </dataValidation>
    <dataValidation type="list" allowBlank="1" showInputMessage="1" showErrorMessage="1" sqref="J2940">
      <formula1>A1658:A3671</formula1>
    </dataValidation>
    <dataValidation type="list" allowBlank="1" showInputMessage="1" showErrorMessage="1" sqref="J2885">
      <formula1>A1660:A3673</formula1>
    </dataValidation>
    <dataValidation type="list" allowBlank="1" showInputMessage="1" showErrorMessage="1" sqref="J2884">
      <formula1>A1656:A3669</formula1>
    </dataValidation>
    <dataValidation type="list" allowBlank="1" showInputMessage="1" showErrorMessage="1" sqref="J2814">
      <formula1>A1613:A3626</formula1>
    </dataValidation>
    <dataValidation type="list" allowBlank="1" showInputMessage="1" showErrorMessage="1" sqref="J2883">
      <formula1>A1654:A3668</formula1>
    </dataValidation>
    <dataValidation type="list" allowBlank="1" showInputMessage="1" showErrorMessage="1" sqref="J2939">
      <formula1>A1653:A3668</formula1>
    </dataValidation>
    <dataValidation type="list" allowBlank="1" showInputMessage="1" showErrorMessage="1" sqref="J2898">
      <formula1>A1627:A3639</formula1>
    </dataValidation>
    <dataValidation type="list" allowBlank="1" showInputMessage="1" showErrorMessage="1" sqref="J2882">
      <formula1>A1649:A3666</formula1>
    </dataValidation>
    <dataValidation type="list" allowBlank="1" showInputMessage="1" showErrorMessage="1" sqref="J2880">
      <formula1>A1618:A3631</formula1>
    </dataValidation>
    <dataValidation type="list" allowBlank="1" showInputMessage="1" showErrorMessage="1" sqref="J2879">
      <formula1>A1613:A3626</formula1>
    </dataValidation>
    <dataValidation type="list" allowBlank="1" showInputMessage="1" showErrorMessage="1" sqref="J2897">
      <formula1>A1623:A3637</formula1>
    </dataValidation>
    <dataValidation type="list" allowBlank="1" showInputMessage="1" showErrorMessage="1" sqref="J2918">
      <formula1>A1642:A3655</formula1>
    </dataValidation>
    <dataValidation type="list" allowBlank="1" showInputMessage="1" showErrorMessage="1" sqref="J2917">
      <formula1>A1638:A3651</formula1>
    </dataValidation>
    <dataValidation type="list" allowBlank="1" showInputMessage="1" showErrorMessage="1" sqref="J2881">
      <formula1>A1649:A3664</formula1>
    </dataValidation>
    <dataValidation type="list" allowBlank="1" showInputMessage="1" showErrorMessage="1" sqref="J2919">
      <formula1>A1647:A3662</formula1>
    </dataValidation>
    <dataValidation type="list" allowBlank="1" showInputMessage="1" showErrorMessage="1" sqref="J2899">
      <formula1>A1632:A3644</formula1>
    </dataValidation>
    <dataValidation type="list" allowBlank="1" showInputMessage="1" showErrorMessage="1" sqref="J2823">
      <formula1>A1612:A3628</formula1>
    </dataValidation>
    <dataValidation type="list" allowBlank="1" showInputMessage="1" showErrorMessage="1" sqref="J2877">
      <formula1>A1605:A3615</formula1>
    </dataValidation>
    <dataValidation type="list" allowBlank="1" showInputMessage="1" showErrorMessage="1" sqref="J2878">
      <formula1>A1608:A3619</formula1>
    </dataValidation>
    <dataValidation type="list" allowBlank="1" showInputMessage="1" showErrorMessage="1" sqref="J2808">
      <formula1>A1607:A3618</formula1>
    </dataValidation>
    <dataValidation type="list" allowBlank="1" showInputMessage="1" showErrorMessage="1" sqref="J2807">
      <formula1>A1605:A3616</formula1>
    </dataValidation>
    <dataValidation type="list" allowBlank="1" showInputMessage="1" showErrorMessage="1" sqref="J2822">
      <formula1>A1605:A3619</formula1>
    </dataValidation>
    <dataValidation type="list" allowBlank="1" showInputMessage="1" showErrorMessage="1" sqref="J2821">
      <formula1>A1603:A3588</formula1>
    </dataValidation>
    <dataValidation type="list" allowBlank="1" showInputMessage="1" showErrorMessage="1" sqref="J2806">
      <formula1>A1602:A3589</formula1>
    </dataValidation>
    <dataValidation type="list" allowBlank="1" showInputMessage="1" showErrorMessage="1" sqref="J2809">
      <formula1>A1604:A3612</formula1>
    </dataValidation>
    <dataValidation type="list" allowBlank="1" showInputMessage="1" showErrorMessage="1" sqref="J2894">
      <formula1>A1606:A3617</formula1>
    </dataValidation>
    <dataValidation type="list" allowBlank="1" showInputMessage="1" showErrorMessage="1" sqref="J2896">
      <formula1>A1607:A3618</formula1>
    </dataValidation>
    <dataValidation type="list" allowBlank="1" showInputMessage="1" showErrorMessage="1" sqref="J2914">
      <formula1>A1621:A3635</formula1>
    </dataValidation>
    <dataValidation type="list" allowBlank="1" showInputMessage="1" showErrorMessage="1" sqref="J2916">
      <formula1>A1622:A3636</formula1>
    </dataValidation>
    <dataValidation type="list" allowBlank="1" showInputMessage="1" showErrorMessage="1" sqref="J2937">
      <formula1>A1637:A3649</formula1>
    </dataValidation>
    <dataValidation type="list" allowBlank="1" showInputMessage="1" showErrorMessage="1" sqref="J2979">
      <formula1>A1667:A3682</formula1>
    </dataValidation>
    <dataValidation type="list" allowBlank="1" showInputMessage="1" showErrorMessage="1" sqref="J2981">
      <formula1>A1668:A3683</formula1>
    </dataValidation>
    <dataValidation type="list" allowBlank="1" showInputMessage="1" showErrorMessage="1" sqref="J2850">
      <formula1>A1591:A3553</formula1>
    </dataValidation>
    <dataValidation type="list" allowBlank="1" showInputMessage="1" showErrorMessage="1" sqref="J2865">
      <formula1>A1590:A3552</formula1>
    </dataValidation>
    <dataValidation type="list" allowBlank="1" showInputMessage="1" showErrorMessage="1" sqref="J2857">
      <formula1>A1590:A3552</formula1>
    </dataValidation>
    <dataValidation type="list" allowBlank="1" showInputMessage="1" showErrorMessage="1" sqref="J2992">
      <formula1>A1769:A3770</formula1>
    </dataValidation>
    <dataValidation type="list" allowBlank="1" showInputMessage="1" showErrorMessage="1" sqref="J2948">
      <formula1>A1730:A3739</formula1>
    </dataValidation>
    <dataValidation type="list" allowBlank="1" showInputMessage="1" showErrorMessage="1" sqref="J2942">
      <formula1>A1719:A3725</formula1>
    </dataValidation>
    <dataValidation type="list" allowBlank="1" showInputMessage="1" showErrorMessage="1" sqref="J2941">
      <formula1>A1722:A3730</formula1>
    </dataValidation>
    <dataValidation type="list" allowBlank="1" showInputMessage="1" showErrorMessage="1" sqref="J3145">
      <formula1>A1769:A3770</formula1>
    </dataValidation>
    <dataValidation type="list" allowBlank="1" showInputMessage="1" showErrorMessage="1" sqref="J2996">
      <formula1>A1771:A3775</formula1>
    </dataValidation>
    <dataValidation type="list" allowBlank="1" showInputMessage="1" showErrorMessage="1" sqref="J3124">
      <formula1>A1799:A3827</formula1>
    </dataValidation>
    <dataValidation type="list" allowBlank="1" showInputMessage="1" showErrorMessage="1" sqref="J3511">
      <formula1>A1780:A3790</formula1>
    </dataValidation>
    <dataValidation type="list" allowBlank="1" showInputMessage="1" showErrorMessage="1" sqref="J3147">
      <formula1>A1778:A3785</formula1>
    </dataValidation>
    <dataValidation type="list" allowBlank="1" showInputMessage="1" showErrorMessage="1" sqref="J3146">
      <formula1>A1773:A3780</formula1>
    </dataValidation>
    <dataValidation type="list" allowBlank="1" showInputMessage="1" showErrorMessage="1" sqref="J3170">
      <formula1>A1824:A3854</formula1>
    </dataValidation>
    <dataValidation type="list" allowBlank="1" showInputMessage="1" showErrorMessage="1" sqref="J3168">
      <formula1>A1815:A3845</formula1>
    </dataValidation>
    <dataValidation type="list" allowBlank="1" showInputMessage="1" showErrorMessage="1" sqref="J3126">
      <formula1>A1808:A3837</formula1>
    </dataValidation>
    <dataValidation type="list" allowBlank="1" showInputMessage="1" showErrorMessage="1" sqref="J3169">
      <formula1>A1819:A3849</formula1>
    </dataValidation>
    <dataValidation type="list" allowBlank="1" showInputMessage="1" showErrorMessage="1" sqref="J2441 J2464">
      <formula1>A1210:A3260</formula1>
    </dataValidation>
    <dataValidation type="list" allowBlank="1" showInputMessage="1" showErrorMessage="1" sqref="J2756 J2765">
      <formula1>A1469:A3495</formula1>
    </dataValidation>
    <dataValidation type="list" allowBlank="1" showInputMessage="1" showErrorMessage="1" sqref="J2766 J2757">
      <formula1>A1468:A3494</formula1>
    </dataValidation>
    <dataValidation type="list" allowBlank="1" showInputMessage="1" showErrorMessage="1" sqref="J2475">
      <formula1>A1244:A3288</formula1>
    </dataValidation>
    <dataValidation type="list" allowBlank="1" showInputMessage="1" showErrorMessage="1" sqref="J2796">
      <formula1>A1506:A3534</formula1>
    </dataValidation>
    <dataValidation type="list" allowBlank="1" showInputMessage="1" showErrorMessage="1" sqref="J3209">
      <formula1>A1928:A3954</formula1>
    </dataValidation>
    <dataValidation type="list" allowBlank="1" showInputMessage="1" showErrorMessage="1" sqref="J3125">
      <formula1>A1803:A3831</formula1>
    </dataValidation>
    <dataValidation type="list" allowBlank="1" showInputMessage="1" showErrorMessage="1" sqref="J3241">
      <formula1>A2045:A4049</formula1>
    </dataValidation>
    <dataValidation type="list" allowBlank="1" showInputMessage="1" showErrorMessage="1" sqref="J3399">
      <formula1>A2045:A4053</formula1>
    </dataValidation>
    <dataValidation type="list" allowBlank="1" showInputMessage="1" showErrorMessage="1" sqref="J3398">
      <formula1>A2046:A4054</formula1>
    </dataValidation>
    <dataValidation type="list" allowBlank="1" showInputMessage="1" showErrorMessage="1" sqref="J3364">
      <formula1>A2069:A4072</formula1>
    </dataValidation>
    <dataValidation type="list" allowBlank="1" showInputMessage="1" showErrorMessage="1" sqref="J3425 J3414">
      <formula1>A2061:A4068</formula1>
    </dataValidation>
    <dataValidation type="list" allowBlank="1" showInputMessage="1" showErrorMessage="1" sqref="J3426 J3415">
      <formula1>A2060:A4067</formula1>
    </dataValidation>
    <dataValidation type="list" allowBlank="1" showInputMessage="1" showErrorMessage="1" sqref="J3503:K3505">
      <formula1>A2115:A3681</formula1>
    </dataValidation>
    <dataValidation type="list" allowBlank="1" showInputMessage="1" showErrorMessage="1" sqref="J3408:J3409">
      <formula1>A2117:A4118</formula1>
    </dataValidation>
    <dataValidation type="list" allowBlank="1" showInputMessage="1" showErrorMessage="1" sqref="J3402:J3403">
      <formula1>A2107:A4109</formula1>
    </dataValidation>
    <dataValidation type="list" allowBlank="1" showInputMessage="1" showErrorMessage="1" sqref="J3318:J3319">
      <formula1>A2104:A4108</formula1>
    </dataValidation>
    <dataValidation type="list" allowBlank="1" showInputMessage="1" showErrorMessage="1" sqref="J3404:J3406">
      <formula1>A2108:A4110</formula1>
    </dataValidation>
    <dataValidation type="list" allowBlank="1" showInputMessage="1" showErrorMessage="1" sqref="J3372:J3373">
      <formula1>A2082:A4084</formula1>
    </dataValidation>
    <dataValidation type="list" allowBlank="1" showInputMessage="1" showErrorMessage="1" sqref="J3450:J3451">
      <formula1>A2105:A4111</formula1>
    </dataValidation>
    <dataValidation type="list" allowBlank="1" showInputMessage="1" showErrorMessage="1" sqref="J3326:J3329">
      <formula1>A2065:A4068</formula1>
    </dataValidation>
    <dataValidation type="list" allowBlank="1" showInputMessage="1" showErrorMessage="1" sqref="J3367:J3369">
      <formula1>A2073:A4076</formula1>
    </dataValidation>
    <dataValidation type="list" allowBlank="1" showInputMessage="1" showErrorMessage="1" sqref="J3423:J3424 J3412:J3413">
      <formula1>A2062:A4069</formula1>
    </dataValidation>
    <dataValidation type="list" allowBlank="1" showInputMessage="1" showErrorMessage="1" sqref="J3330:J3332">
      <formula1>A2072:A4075</formula1>
    </dataValidation>
    <dataValidation type="list" allowBlank="1" showInputMessage="1" showErrorMessage="1" sqref="J3310:J3311">
      <formula1>A2055:A4060</formula1>
    </dataValidation>
    <dataValidation type="list" allowBlank="1" showInputMessage="1" showErrorMessage="1" sqref="J3242:J3243">
      <formula1>A2048:A4052</formula1>
    </dataValidation>
    <dataValidation type="list" allowBlank="1" showInputMessage="1" showErrorMessage="1" sqref="J3244:J3246">
      <formula1>A2049:A4053</formula1>
    </dataValidation>
    <dataValidation type="list" allowBlank="1" showInputMessage="1" showErrorMessage="1" sqref="J3396:J3397">
      <formula1>A2047:A4055</formula1>
    </dataValidation>
    <dataValidation type="list" allowBlank="1" showInputMessage="1" showErrorMessage="1" sqref="J3392:K3394">
      <formula1>A2011:A3577</formula1>
    </dataValidation>
    <dataValidation type="list" allowBlank="1" showInputMessage="1" showErrorMessage="1" sqref="J3308:J3309">
      <formula1>A2020:A4027</formula1>
    </dataValidation>
    <dataValidation type="list" allowBlank="1" showInputMessage="1" showErrorMessage="1" sqref="J3339:J3340">
      <formula1>A1969:A3976</formula1>
    </dataValidation>
    <dataValidation type="list" allowBlank="1" showInputMessage="1" showErrorMessage="1" sqref="J3232:J3233">
      <formula1>A1930:A3959</formula1>
    </dataValidation>
    <dataValidation type="list" allowBlank="1" showInputMessage="1" showErrorMessage="1" sqref="J3197:J3198">
      <formula1>A1930:A3954</formula1>
    </dataValidation>
    <dataValidation type="list" allowBlank="1" showInputMessage="1" showErrorMessage="1" sqref="J3213:J3214">
      <formula1>A1930:A3958</formula1>
    </dataValidation>
    <dataValidation type="list" allowBlank="1" showInputMessage="1" showErrorMessage="1" sqref="J3337:J3338">
      <formula1>A1930:A3960</formula1>
    </dataValidation>
    <dataValidation type="list" allowBlank="1" showInputMessage="1" showErrorMessage="1" sqref="J3182:J3183">
      <formula1>A1925:A3950</formula1>
    </dataValidation>
    <dataValidation type="list" allowBlank="1" showInputMessage="1" showErrorMessage="1" sqref="J3191:J3192">
      <formula1>A1925:A3954</formula1>
    </dataValidation>
    <dataValidation type="list" allowBlank="1" showInputMessage="1" showErrorMessage="1" sqref="J3295:J3296">
      <formula1>A1925:A3954</formula1>
    </dataValidation>
    <dataValidation type="list" allowBlank="1" showInputMessage="1" showErrorMessage="1" sqref="J3288:J3289">
      <formula1>A1925:A3954</formula1>
    </dataValidation>
    <dataValidation type="list" allowBlank="1" showInputMessage="1" showErrorMessage="1" sqref="J3089:J3090">
      <formula1>A1890:A3921</formula1>
    </dataValidation>
    <dataValidation type="list" allowBlank="1" showInputMessage="1" showErrorMessage="1" sqref="J3218:J3219">
      <formula1>A1936:A3966</formula1>
    </dataValidation>
    <dataValidation type="list" allowBlank="1" showInputMessage="1" showErrorMessage="1" sqref="J3355:J3356">
      <formula1>A1931:A3965</formula1>
    </dataValidation>
    <dataValidation type="list" allowBlank="1" showInputMessage="1" showErrorMessage="1" sqref="J3335:J3336">
      <formula1>A1930:A3963</formula1>
    </dataValidation>
    <dataValidation type="list" allowBlank="1" showInputMessage="1" showErrorMessage="1" sqref="J3357:J3358">
      <formula1>A1930:A3963</formula1>
    </dataValidation>
    <dataValidation type="list" allowBlank="1" showInputMessage="1" showErrorMessage="1" sqref="J3135:J3137">
      <formula1>A1906:A3925</formula1>
    </dataValidation>
    <dataValidation type="list" allowBlank="1" showInputMessage="1" showErrorMessage="1" sqref="J3270:J3271">
      <formula1>A1909:A3937</formula1>
    </dataValidation>
    <dataValidation type="list" allowBlank="1" showInputMessage="1" showErrorMessage="1" sqref="J3171:J3180">
      <formula1>A1912:A3936</formula1>
    </dataValidation>
    <dataValidation type="list" allowBlank="1" showInputMessage="1" showErrorMessage="1" sqref="J3107:J3110">
      <formula1>A1893:A3925</formula1>
    </dataValidation>
    <dataValidation type="list" allowBlank="1" showInputMessage="1" showErrorMessage="1" sqref="J3113:J3114 J3049:J3075">
      <formula1>A1830:A3861</formula1>
    </dataValidation>
    <dataValidation type="list" allowBlank="1" showInputMessage="1" showErrorMessage="1" sqref="J3115:J3116">
      <formula1>A1900:A3925</formula1>
    </dataValidation>
    <dataValidation type="list" allowBlank="1" showInputMessage="1" showErrorMessage="1" sqref="J3111:J3112">
      <formula1>A1896:A3925</formula1>
    </dataValidation>
    <dataValidation type="list" allowBlank="1" showInputMessage="1" showErrorMessage="1" sqref="J3085:J3086">
      <formula1>A1886:A3908</formula1>
    </dataValidation>
    <dataValidation type="list" allowBlank="1" showInputMessage="1" showErrorMessage="1" sqref="J3128:J3133">
      <formula1>A1898:A3925</formula1>
    </dataValidation>
    <dataValidation type="list" allowBlank="1" showInputMessage="1" showErrorMessage="1" sqref="J3252:J3253">
      <formula1>A1896:A3925</formula1>
    </dataValidation>
    <dataValidation type="list" allowBlank="1" showInputMessage="1" showErrorMessage="1" sqref="J3158:J3160">
      <formula1>A1874:A3897</formula1>
    </dataValidation>
    <dataValidation type="list" allowBlank="1" showInputMessage="1" showErrorMessage="1" sqref="J3521:J3522">
      <formula1>A1876:A3899</formula1>
    </dataValidation>
    <dataValidation type="list" allowBlank="1" showInputMessage="1" showErrorMessage="1" sqref="J3077:J3084">
      <formula1>A1874:A3897</formula1>
    </dataValidation>
    <dataValidation type="list" allowBlank="1" showInputMessage="1" showErrorMessage="1" sqref="J3519:J3520">
      <formula1>A1876:A3899</formula1>
    </dataValidation>
    <dataValidation type="list" allowBlank="1" showInputMessage="1" showErrorMessage="1" sqref="J3514:J3518">
      <formula1>A1874:A3897</formula1>
    </dataValidation>
    <dataValidation type="list" allowBlank="1" showInputMessage="1" showErrorMessage="1" sqref="J2311 J2326">
      <formula1>A986:A2504</formula1>
    </dataValidation>
    <dataValidation type="list" allowBlank="1" showInputMessage="1" showErrorMessage="1" sqref="J2320">
      <formula1>A974:A2487</formula1>
    </dataValidation>
    <dataValidation type="list" allowBlank="1" showInputMessage="1" showErrorMessage="1" sqref="J2270">
      <formula1>A953:A2461</formula1>
    </dataValidation>
    <dataValidation type="list" allowBlank="1" showInputMessage="1" showErrorMessage="1" sqref="J2119">
      <formula1>A955:A2463</formula1>
    </dataValidation>
    <dataValidation type="list" allowBlank="1" showInputMessage="1" showErrorMessage="1" sqref="J2096 J2098:J2100 J2091:J2094">
      <formula1>A923:A2431</formula1>
    </dataValidation>
    <dataValidation type="list" allowBlank="1" showInputMessage="1" showErrorMessage="1" sqref="J2290 J2285 J2280 J2275">
      <formula1>A958:A2465</formula1>
    </dataValidation>
    <dataValidation type="list" allowBlank="1" showInputMessage="1" showErrorMessage="1" sqref="J2265 J2267:J2269 J2260:J2263">
      <formula1>A1094:A2614</formula1>
    </dataValidation>
    <dataValidation type="list" allowBlank="1" showInputMessage="1" showErrorMessage="1" sqref="J2394">
      <formula1>A1174:A3190</formula1>
    </dataValidation>
    <dataValidation type="list" allowBlank="1" showInputMessage="1" showErrorMessage="1" sqref="J2395">
      <formula1>A1180:A3197</formula1>
    </dataValidation>
    <dataValidation type="list" allowBlank="1" showInputMessage="1" showErrorMessage="1" sqref="J2391">
      <formula1>A1163:A3185</formula1>
    </dataValidation>
    <dataValidation type="list" allowBlank="1" showInputMessage="1" showErrorMessage="1" sqref="J2416">
      <formula1>A1157:A3172</formula1>
    </dataValidation>
    <dataValidation type="list" allowBlank="1" showInputMessage="1" showErrorMessage="1" sqref="J2317 J2332">
      <formula1>A657:A5239</formula1>
    </dataValidation>
    <dataValidation type="list" allowBlank="1" showInputMessage="1" showErrorMessage="1" sqref="J2319 J2334">
      <formula1>A663:A5245</formula1>
    </dataValidation>
    <dataValidation type="list" allowBlank="1" showInputMessage="1" showErrorMessage="1" sqref="J2318 J2333">
      <formula1>A661:A5243</formula1>
    </dataValidation>
    <dataValidation type="list" allowBlank="1" showInputMessage="1" showErrorMessage="1" sqref="J2340">
      <formula1>A729:A5311</formula1>
    </dataValidation>
    <dataValidation type="list" allowBlank="1" showInputMessage="1" showErrorMessage="1" sqref="J2348 J2341 J2346">
      <formula1>A870:A5450</formula1>
    </dataValidation>
    <dataValidation type="list" allowBlank="1" showInputMessage="1" showErrorMessage="1" sqref="J2259 J2264 J2266">
      <formula1>A740:A5322</formula1>
    </dataValidation>
    <dataValidation type="list" allowBlank="1" showInputMessage="1" showErrorMessage="1" sqref="J2142 J2148">
      <formula1>A621:A5203</formula1>
    </dataValidation>
    <dataValidation type="list" allowBlank="1" showInputMessage="1" showErrorMessage="1" sqref="J2339">
      <formula1>A725:A5307</formula1>
    </dataValidation>
    <dataValidation type="list" allowBlank="1" showInputMessage="1" showErrorMessage="1" sqref="J2338">
      <formula1>A723:A5305</formula1>
    </dataValidation>
    <dataValidation type="list" allowBlank="1" showInputMessage="1" showErrorMessage="1" sqref="J2337">
      <formula1>A716:A5298</formula1>
    </dataValidation>
    <dataValidation type="list" allowBlank="1" showInputMessage="1" showErrorMessage="1" sqref="J2335">
      <formula1>A683:A5265</formula1>
    </dataValidation>
    <dataValidation type="list" allowBlank="1" showInputMessage="1" showErrorMessage="1" sqref="J2336">
      <formula1>A714:A5296</formula1>
    </dataValidation>
    <dataValidation type="list" allowBlank="1" showInputMessage="1" showErrorMessage="1" sqref="J2279 J2274 J2294 J2289 J2284">
      <formula1>A671:A5253</formula1>
    </dataValidation>
    <dataValidation type="list" allowBlank="1" showInputMessage="1" showErrorMessage="1" sqref="J2179">
      <formula1>A666:A5248</formula1>
    </dataValidation>
    <dataValidation type="list" allowBlank="1" showInputMessage="1" showErrorMessage="1" sqref="B3453:F3453">
      <formula1>A644:A5937</formula1>
    </dataValidation>
    <dataValidation type="list" allowBlank="1" showInputMessage="1" showErrorMessage="1" sqref="B3448:F3448 B3437:F3437">
      <formula1>A624:A5917</formula1>
    </dataValidation>
    <dataValidation type="list" allowBlank="1" showInputMessage="1" showErrorMessage="1" sqref="B3461:F3461">
      <formula1>A651:A5944</formula1>
    </dataValidation>
    <dataValidation type="list" allowBlank="1" showInputMessage="1" showErrorMessage="1" sqref="J2223">
      <formula1>A714:A5296</formula1>
    </dataValidation>
    <dataValidation type="list" allowBlank="1" showInputMessage="1" showErrorMessage="1" sqref="J2136">
      <formula1>A619:A5197</formula1>
    </dataValidation>
    <dataValidation type="list" allowBlank="1" showInputMessage="1" showErrorMessage="1" sqref="B3426:F3426">
      <formula1>A619:A5906</formula1>
    </dataValidation>
    <dataValidation type="list" allowBlank="1" showInputMessage="1" showErrorMessage="1" sqref="J2130">
      <formula1>A619:A5191</formula1>
    </dataValidation>
    <dataValidation type="list" allowBlank="1" showInputMessage="1" showErrorMessage="1" sqref="J2112">
      <formula1>A448:A5016</formula1>
    </dataValidation>
    <dataValidation type="list" allowBlank="1" showInputMessage="1" showErrorMessage="1" sqref="J2258">
      <formula1>A615:A5183</formula1>
    </dataValidation>
    <dataValidation type="list" allowBlank="1" showInputMessage="1" showErrorMessage="1" sqref="J2129 J2147 J2141 J2135">
      <formula1>A484:A5052</formula1>
    </dataValidation>
    <dataValidation type="list" allowBlank="1" showInputMessage="1" showErrorMessage="1" sqref="J2256 J2115:J2116">
      <formula1>A461:A5029</formula1>
    </dataValidation>
    <dataValidation type="list" allowBlank="1" showInputMessage="1" showErrorMessage="1" sqref="J2089 J2255">
      <formula1>A434:A5002</formula1>
    </dataValidation>
    <dataValidation type="list" allowBlank="1" showInputMessage="1" showErrorMessage="1" sqref="J2114">
      <formula1>A457:A5025</formula1>
    </dataValidation>
    <dataValidation type="list" allowBlank="1" showInputMessage="1" showErrorMessage="1" sqref="J2088 J2113">
      <formula1>A430:A4998</formula1>
    </dataValidation>
    <dataValidation type="list" allowBlank="1" showInputMessage="1" showErrorMessage="1" sqref="J1971 J1976 J1978">
      <formula1>A453:A5021</formula1>
    </dataValidation>
    <dataValidation type="list" allowBlank="1" showInputMessage="1" showErrorMessage="1" sqref="J2034 J2039 J2045 J2041">
      <formula1>A519:A5087</formula1>
    </dataValidation>
    <dataValidation type="list" allowBlank="1" showInputMessage="1" showErrorMessage="1" sqref="J2118 J2124 J2120">
      <formula1>A605:A5173</formula1>
    </dataValidation>
    <dataValidation type="list" allowBlank="1" showInputMessage="1" showErrorMessage="1" sqref="J1989">
      <formula1>A488:A5056</formula1>
    </dataValidation>
    <dataValidation type="list" allowBlank="1" showInputMessage="1" showErrorMessage="1" sqref="J2009">
      <formula1>A503:A5071</formula1>
    </dataValidation>
    <dataValidation type="list" allowBlank="1" showInputMessage="1" showErrorMessage="1" sqref="J2251">
      <formula1>A558:A5126</formula1>
    </dataValidation>
    <dataValidation type="list" allowBlank="1" showInputMessage="1" showErrorMessage="1" sqref="J2252">
      <formula1>A562:A5130</formula1>
    </dataValidation>
    <dataValidation type="list" allowBlank="1" showInputMessage="1" showErrorMessage="1" sqref="J2253">
      <formula1>A564:A5132</formula1>
    </dataValidation>
    <dataValidation type="list" allowBlank="1" showInputMessage="1" showErrorMessage="1" sqref="J2254">
      <formula1>A569:A5137</formula1>
    </dataValidation>
    <dataValidation type="list" allowBlank="1" showInputMessage="1" showErrorMessage="1" sqref="B3235:F3235">
      <formula1>A483:A5762</formula1>
    </dataValidation>
    <dataValidation type="list" allowBlank="1" showInputMessage="1" showErrorMessage="1" sqref="B3323:F3323">
      <formula1>A499:A5778</formula1>
    </dataValidation>
    <dataValidation type="list" allowBlank="1" showInputMessage="1" showErrorMessage="1" sqref="B3255:F3255">
      <formula1>A439:A5718</formula1>
    </dataValidation>
    <dataValidation type="list" allowBlank="1" showInputMessage="1" showErrorMessage="1" sqref="B3415:F3415">
      <formula1>A616:A5895</formula1>
    </dataValidation>
    <dataValidation type="list" allowBlank="1" showInputMessage="1" showErrorMessage="1" sqref="B3298:F3298 B3291:F3291 B3273:F3273">
      <formula1>A451:A5730</formula1>
    </dataValidation>
    <dataValidation type="list" allowBlank="1" showInputMessage="1" showErrorMessage="1" sqref="B3305:F3305">
      <formula1>A514:A5793</formula1>
    </dataValidation>
    <dataValidation type="list" allowBlank="1" showInputMessage="1" showErrorMessage="1" sqref="B3965:F3965">
      <formula1>A445:A6531</formula1>
    </dataValidation>
    <dataValidation type="list" allowBlank="1" showInputMessage="1" showErrorMessage="1" sqref="B3963:F3963">
      <formula1>A446:A5331</formula1>
    </dataValidation>
    <dataValidation type="list" allowBlank="1" showInputMessage="1" showErrorMessage="1" sqref="E3961:I3961">
      <formula1>A457:A5308</formula1>
    </dataValidation>
    <dataValidation type="list" allowBlank="1" showInputMessage="1" showErrorMessage="1" sqref="B3399:F3399">
      <formula1>A602:A5881</formula1>
    </dataValidation>
    <dataValidation type="list" allowBlank="1" showInputMessage="1" showErrorMessage="1" sqref="J2257">
      <formula1>A611:A5179</formula1>
    </dataValidation>
    <dataValidation type="list" allowBlank="1" showInputMessage="1" showErrorMessage="1" sqref="J2086">
      <formula1>A429:A4989</formula1>
    </dataValidation>
    <dataValidation type="list" allowBlank="1" showInputMessage="1" showErrorMessage="1" sqref="J2085">
      <formula1>A429:A4987</formula1>
    </dataValidation>
    <dataValidation type="list" allowBlank="1" showInputMessage="1" showErrorMessage="1" sqref="J1962">
      <formula1>A269:A4825</formula1>
    </dataValidation>
    <dataValidation type="list" allowBlank="1" showInputMessage="1" showErrorMessage="1" sqref="J1967">
      <formula1>A313:A4869</formula1>
    </dataValidation>
    <dataValidation type="list" allowBlank="1" showInputMessage="1" showErrorMessage="1" sqref="J2108 J2081">
      <formula1>A389:A4945</formula1>
    </dataValidation>
    <dataValidation type="list" allowBlank="1" showInputMessage="1" showErrorMessage="1" sqref="J2058 J2029 J2001">
      <formula1>A349:A4905</formula1>
    </dataValidation>
    <dataValidation type="list" allowBlank="1" showInputMessage="1" showErrorMessage="1" sqref="J2109 J2082 J1964">
      <formula1>A275:A4831</formula1>
    </dataValidation>
    <dataValidation type="list" allowBlank="1" showInputMessage="1" showErrorMessage="1" sqref="J2059">
      <formula1>A413:A4969</formula1>
    </dataValidation>
    <dataValidation type="list" allowBlank="1" showInputMessage="1" showErrorMessage="1" sqref="J2032 J1970">
      <formula1>A326:A4882</formula1>
    </dataValidation>
    <dataValidation type="list" allowBlank="1" showInputMessage="1" showErrorMessage="1" sqref="J2061">
      <formula1>A419:A4975</formula1>
    </dataValidation>
    <dataValidation type="list" allowBlank="1" showInputMessage="1" showErrorMessage="1" sqref="J1987">
      <formula1>A357:A4913</formula1>
    </dataValidation>
    <dataValidation type="list" allowBlank="1" showInputMessage="1" showErrorMessage="1" sqref="J1988">
      <formula1>A361:A4917</formula1>
    </dataValidation>
    <dataValidation type="list" allowBlank="1" showInputMessage="1" showErrorMessage="1" sqref="J1969">
      <formula1>A322:A4878</formula1>
    </dataValidation>
    <dataValidation type="list" allowBlank="1" showInputMessage="1" showErrorMessage="1" sqref="J1966">
      <formula1>A311:A4867</formula1>
    </dataValidation>
    <dataValidation type="list" allowBlank="1" showInputMessage="1" showErrorMessage="1" sqref="J2110 J2083 J2054">
      <formula1>A366:A4922</formula1>
    </dataValidation>
    <dataValidation type="list" allowBlank="1" showInputMessage="1" showErrorMessage="1" sqref="J2084">
      <formula1>A400:A4956</formula1>
    </dataValidation>
    <dataValidation type="list" allowBlank="1" showInputMessage="1" showErrorMessage="1" sqref="J2111">
      <formula1>A426:A4983</formula1>
    </dataValidation>
    <dataValidation type="list" allowBlank="1" showInputMessage="1" showErrorMessage="1" sqref="J1986">
      <formula1>A315:A4871</formula1>
    </dataValidation>
    <dataValidation type="list" allowBlank="1" showInputMessage="1" showErrorMessage="1" sqref="J2008">
      <formula1>A376:A4932</formula1>
    </dataValidation>
    <dataValidation type="list" allowBlank="1" showInputMessage="1" showErrorMessage="1" sqref="J2007">
      <formula1>A372:A4928</formula1>
    </dataValidation>
    <dataValidation type="list" allowBlank="1" showInputMessage="1" showErrorMessage="1" sqref="J2006">
      <formula1>A330:A4886</formula1>
    </dataValidation>
    <dataValidation type="list" allowBlank="1" showInputMessage="1" showErrorMessage="1" sqref="J1968">
      <formula1>A320:A4876</formula1>
    </dataValidation>
    <dataValidation type="list" allowBlank="1" showInputMessage="1" showErrorMessage="1" sqref="E3937:I3937">
      <formula1>A429:A5273</formula1>
    </dataValidation>
    <dataValidation type="list" allowBlank="1" showInputMessage="1" showErrorMessage="1" sqref="B3100:F3100">
      <formula1>A257:A5524</formula1>
    </dataValidation>
    <dataValidation type="list" allowBlank="1" showInputMessage="1" showErrorMessage="1" sqref="B3094:F3094">
      <formula1>A250:A5517</formula1>
    </dataValidation>
    <dataValidation type="list" allowBlank="1" showInputMessage="1" showErrorMessage="1" sqref="B3335:F3335">
      <formula1>A309:A5237</formula1>
    </dataValidation>
    <dataValidation type="list" allowBlank="1" showInputMessage="1" showErrorMessage="1" sqref="B3877:F3877">
      <formula1>A338:A5211</formula1>
    </dataValidation>
    <dataValidation type="list" allowBlank="1" showInputMessage="1" showErrorMessage="1" sqref="B3779:F3779">
      <formula1>A257:A6331</formula1>
    </dataValidation>
    <dataValidation type="list" allowBlank="1" showInputMessage="1" showErrorMessage="1" sqref="B3777:F3777">
      <formula1>A258:A5131</formula1>
    </dataValidation>
    <dataValidation type="list" allowBlank="1" showInputMessage="1" showErrorMessage="1" sqref="B3791:F3791">
      <formula1>A268:A5141</formula1>
    </dataValidation>
    <dataValidation type="list" allowBlank="1" showInputMessage="1" showErrorMessage="1" sqref="B3939:F3939">
      <formula1>A423:A5296</formula1>
    </dataValidation>
    <dataValidation type="list" allowBlank="1" showInputMessage="1" showErrorMessage="1" sqref="B3879:F3879">
      <formula1>A337:A6411</formula1>
    </dataValidation>
    <dataValidation type="list" allowBlank="1" showInputMessage="1" showErrorMessage="1" sqref="B3806:F3806">
      <formula1>A278:A5151</formula1>
    </dataValidation>
    <dataValidation type="list" allowBlank="1" showInputMessage="1" showErrorMessage="1" sqref="B3808:F3808">
      <formula1>A277:A6351</formula1>
    </dataValidation>
    <dataValidation type="list" allowBlank="1" showInputMessage="1" showErrorMessage="1" sqref="B3824:F3824">
      <formula1>A292:A5165</formula1>
    </dataValidation>
    <dataValidation type="list" allowBlank="1" showInputMessage="1" showErrorMessage="1" sqref="B3826:F3826">
      <formula1>A291:A6365</formula1>
    </dataValidation>
    <dataValidation type="list" allowBlank="1" showInputMessage="1" showErrorMessage="1" sqref="B3918:F3918">
      <formula1>A372:A5245</formula1>
    </dataValidation>
    <dataValidation type="list" allowBlank="1" showInputMessage="1" showErrorMessage="1" sqref="B3920:F3920">
      <formula1>A371:A6445</formula1>
    </dataValidation>
    <dataValidation type="list" allowBlank="1" showInputMessage="1" showErrorMessage="1" sqref="B3793:F3793">
      <formula1>A267:A6341</formula1>
    </dataValidation>
    <dataValidation type="list" allowBlank="1" showInputMessage="1" showErrorMessage="1" sqref="B3941:F3941">
      <formula1>A422:A6496</formula1>
    </dataValidation>
    <dataValidation type="list" allowBlank="1" showInputMessage="1" showErrorMessage="1" sqref="E3775:I3775">
      <formula1>A269:A5108</formula1>
    </dataValidation>
    <dataValidation type="list" allowBlank="1" showInputMessage="1" showErrorMessage="1" sqref="E3959:I3959">
      <formula1>A252:A5306</formula1>
    </dataValidation>
    <dataValidation type="list" allowBlank="1" showInputMessage="1" showErrorMessage="1" sqref="J2087">
      <formula1>A429:A4996</formula1>
    </dataValidation>
    <dataValidation type="list" allowBlank="1" showInputMessage="1" showErrorMessage="1" sqref="B3747:F3747">
      <formula1>A231:A6302</formula1>
    </dataValidation>
    <dataValidation type="list" allowBlank="1" showInputMessage="1" showErrorMessage="1" sqref="B3745:F3745">
      <formula1>A231:A5102</formula1>
    </dataValidation>
    <dataValidation type="list" allowBlank="1" showInputMessage="1" showErrorMessage="1" sqref="B3740:F3740">
      <formula1>A230:A6294</formula1>
    </dataValidation>
    <dataValidation type="list" allowBlank="1" showInputMessage="1" showErrorMessage="1" sqref="E3935:I3935">
      <formula1>A228:A5271</formula1>
    </dataValidation>
    <dataValidation type="list" allowBlank="1" showInputMessage="1" showErrorMessage="1" sqref="J1965">
      <formula1>A280:A4836</formula1>
    </dataValidation>
    <dataValidation type="list" allowBlank="1" showInputMessage="1" showErrorMessage="1" sqref="J2117 J2097 J2090 J2095 J2101">
      <formula1>A573:A5141</formula1>
    </dataValidation>
    <dataValidation type="list" allowBlank="1" showInputMessage="1" showErrorMessage="1" sqref="J2025 J1963">
      <formula1>A273:A4829</formula1>
    </dataValidation>
    <dataValidation type="list" allowBlank="1" showInputMessage="1" showErrorMessage="1" sqref="J2030">
      <formula1>A379:A4935</formula1>
    </dataValidation>
    <dataValidation type="list" allowBlank="1" showInputMessage="1" showErrorMessage="1" sqref="J2057">
      <formula1>A404:A4960</formula1>
    </dataValidation>
    <dataValidation type="list" allowBlank="1" showInputMessage="1" showErrorMessage="1" sqref="J2031 J2060">
      <formula1>A386:A4942</formula1>
    </dataValidation>
    <dataValidation type="list" allowBlank="1" showInputMessage="1" showErrorMessage="1" sqref="J2033">
      <formula1>A392:A4948</formula1>
    </dataValidation>
    <dataValidation type="list" allowBlank="1" showInputMessage="1" showErrorMessage="1" sqref="J2027">
      <formula1>A341:A4897</formula1>
    </dataValidation>
    <dataValidation type="list" allowBlank="1" showInputMessage="1" showErrorMessage="1" sqref="J2028">
      <formula1>A346:A4902</formula1>
    </dataValidation>
    <dataValidation type="list" allowBlank="1" showInputMessage="1" showErrorMessage="1" sqref="J2053">
      <formula1>A362:A4918</formula1>
    </dataValidation>
    <dataValidation type="list" allowBlank="1" showInputMessage="1" showErrorMessage="1" sqref="J2055 J2026">
      <formula1>A339:A4895</formula1>
    </dataValidation>
    <dataValidation type="list" allowBlank="1" showInputMessage="1" showErrorMessage="1" sqref="J2056">
      <formula1>A373:A4929</formula1>
    </dataValidation>
    <dataValidation type="list" allowBlank="1" showInputMessage="1" showErrorMessage="1" sqref="J2073 J2069 J2062 J2067">
      <formula1>A546:A5114</formula1>
    </dataValidation>
    <dataValidation type="list" allowBlank="1" showInputMessage="1" showErrorMessage="1" sqref="J1494 J1491">
      <formula1>A23:A4197</formula1>
    </dataValidation>
    <dataValidation type="list" allowBlank="1" showInputMessage="1" showErrorMessage="1" sqref="J1429">
      <formula1>A45:A4243</formula1>
    </dataValidation>
    <dataValidation type="list" allowBlank="1" showInputMessage="1" showErrorMessage="1" sqref="J1899 J1911 J1904">
      <formula1>A194:A4741</formula1>
    </dataValidation>
    <dataValidation type="list" allowBlank="1" showInputMessage="1" showErrorMessage="1" sqref="E2279 E2274 E2284 E2294">
      <formula1>D6:D4953</formula1>
    </dataValidation>
    <dataValidation type="list" allowBlank="1" showInputMessage="1" showErrorMessage="1" sqref="D3727:F3727 D3748:F3748">
      <formula1>C133:C4986</formula1>
    </dataValidation>
    <dataValidation type="list" allowBlank="1" showInputMessage="1" showErrorMessage="1" sqref="D3741:F3741 B3750:C3750">
      <formula1>A146:A4970</formula1>
    </dataValidation>
    <dataValidation type="list" allowBlank="1" showInputMessage="1" showErrorMessage="1" sqref="B3726:F3726">
      <formula1>A221:A6281</formula1>
    </dataValidation>
    <dataValidation type="list" allowBlank="1" showInputMessage="1" showErrorMessage="1" sqref="B3724:F3724">
      <formula1>A222:A5081</formula1>
    </dataValidation>
    <dataValidation type="list" allowBlank="1" showInputMessage="1" showErrorMessage="1" sqref="B2870:F2870">
      <formula1>A138:A5391</formula1>
    </dataValidation>
    <dataValidation type="list" allowBlank="1" showInputMessage="1" showErrorMessage="1" sqref="B2931:F2931">
      <formula1>A177:A5430</formula1>
    </dataValidation>
    <dataValidation type="list" allowBlank="1" showInputMessage="1" showErrorMessage="1" sqref="B2975:F2975">
      <formula1>A23:A4937</formula1>
    </dataValidation>
    <dataValidation type="list" allowBlank="1" showInputMessage="1" showErrorMessage="1" sqref="B3507:F3507">
      <formula1>A128:A5042</formula1>
    </dataValidation>
    <dataValidation type="list" allowBlank="1" showInputMessage="1" showErrorMessage="1" sqref="B3139:F3139">
      <formula1>A123:A5037</formula1>
    </dataValidation>
    <dataValidation type="list" allowBlank="1" showInputMessage="1" showErrorMessage="1" sqref="B3140:F3140">
      <formula1>A123:A5037</formula1>
    </dataValidation>
    <dataValidation type="list" allowBlank="1" showInputMessage="1" showErrorMessage="1" sqref="B3118:F3118">
      <formula1>A140:A5054</formula1>
    </dataValidation>
    <dataValidation type="list" allowBlank="1" showInputMessage="1" showErrorMessage="1" sqref="B2765:F2765 B2783:F2783 B2774:F2774">
      <formula1>A38:A5291</formula1>
    </dataValidation>
    <dataValidation type="list" allowBlank="1" showInputMessage="1" showErrorMessage="1" sqref="B2932:F2932">
      <formula1>A195:A5448</formula1>
    </dataValidation>
    <dataValidation type="list" allowBlank="1" showInputMessage="1" showErrorMessage="1" sqref="B2976:F2976">
      <formula1>A23:A4937</formula1>
    </dataValidation>
    <dataValidation type="list" allowBlank="1" showInputMessage="1" showErrorMessage="1" sqref="B3508:F3508">
      <formula1>A128:A5042</formula1>
    </dataValidation>
    <dataValidation type="list" allowBlank="1" showInputMessage="1" showErrorMessage="1" sqref="B3105:F3105">
      <formula1>A131:A5040</formula1>
    </dataValidation>
    <dataValidation type="list" allowBlank="1" showInputMessage="1" showErrorMessage="1" sqref="B3103:F3103">
      <formula1>A128:A5042</formula1>
    </dataValidation>
    <dataValidation type="list" allowBlank="1" showInputMessage="1" showErrorMessage="1" sqref="B3104:F3104">
      <formula1>A128:A5042</formula1>
    </dataValidation>
    <dataValidation type="list" allowBlank="1" showInputMessage="1" showErrorMessage="1" sqref="B3563:F3563">
      <formula1>A37:A6066</formula1>
    </dataValidation>
    <dataValidation type="list" allowBlank="1" showInputMessage="1" showErrorMessage="1" sqref="B3589:F3589 B3595:F3595 B3601:F3601">
      <formula1>A66:A6126</formula1>
    </dataValidation>
    <dataValidation type="list" allowBlank="1" showInputMessage="1" showErrorMessage="1" sqref="B3602:F3602 B3596:F3596">
      <formula1>A7:A4936</formula1>
    </dataValidation>
    <dataValidation type="list" allowBlank="1" showInputMessage="1" showErrorMessage="1" sqref="B3739:F3739 B3746:F3746">
      <formula1>A145:A4969</formula1>
    </dataValidation>
    <dataValidation type="list" allowBlank="1" showInputMessage="1" showErrorMessage="1" sqref="B2837:F2837 B2864:F2864 B2846:F2846 B2855:F2855">
      <formula1>A117:A5370</formula1>
    </dataValidation>
    <dataValidation type="list" allowBlank="1" showInputMessage="1" showErrorMessage="1" sqref="B2836:F2836 B2863:F2863 B2845:F2845 B2854:F2854">
      <formula1>A118:A5371</formula1>
    </dataValidation>
    <dataValidation type="list" allowBlank="1" showInputMessage="1" showErrorMessage="1" sqref="J1600">
      <formula1>A137:A4311</formula1>
    </dataValidation>
    <dataValidation type="list" allowBlank="1" showInputMessage="1" showErrorMessage="1" sqref="B2766:F2766 B2775:F2775 B2784:F2784">
      <formula1>A37:A5290</formula1>
    </dataValidation>
    <dataValidation type="list" allowBlank="1" showInputMessage="1" showErrorMessage="1" sqref="B3544:F3544">
      <formula1>A19:A6048</formula1>
    </dataValidation>
    <dataValidation type="list" allowBlank="1" showInputMessage="1" showErrorMessage="1" sqref="B2959:F2959">
      <formula1>A7:A4887</formula1>
    </dataValidation>
    <dataValidation type="list" allowBlank="1" showInputMessage="1" showErrorMessage="1" sqref="B2960:F2960">
      <formula1>A7:A4887</formula1>
    </dataValidation>
    <dataValidation type="list" allowBlank="1" showInputMessage="1" showErrorMessage="1" sqref="J2393">
      <formula1>A1172:A3190</formula1>
    </dataValidation>
    <dataValidation type="list" allowBlank="1" showInputMessage="1" showErrorMessage="1" sqref="J2889">
      <formula1>A1679:A3697</formula1>
    </dataValidation>
    <dataValidation type="list" allowBlank="1" showInputMessage="1" showErrorMessage="1" sqref="J2754:J2755 J2763:J2764">
      <formula1>A1470:A3496</formula1>
    </dataValidation>
    <dataValidation type="list" allowBlank="1" showInputMessage="1" showErrorMessage="1" sqref="J2812:J2813">
      <formula1>A1500:A3526</formula1>
    </dataValidation>
    <dataValidation type="list" allowBlank="1" showInputMessage="1" showErrorMessage="1" sqref="J2406">
      <formula1>A1183:A3208</formula1>
    </dataValidation>
    <dataValidation type="list" allowBlank="1" showInputMessage="1" showErrorMessage="1" sqref="J2957:J2958">
      <formula1>A1649:A3666</formula1>
    </dataValidation>
    <dataValidation type="list" allowBlank="1" showInputMessage="1" showErrorMessage="1" sqref="J2723:J2724">
      <formula1>A1484:A3505</formula1>
    </dataValidation>
    <dataValidation type="list" allowBlank="1" showInputMessage="1" showErrorMessage="1" sqref="J2870:J2871">
      <formula1>A1573:A3570</formula1>
    </dataValidation>
    <dataValidation type="list" allowBlank="1" showInputMessage="1" showErrorMessage="1" sqref="J3095:J3096">
      <formula1>A1785:A3805</formula1>
    </dataValidation>
    <dataValidation type="list" allowBlank="1" showInputMessage="1" showErrorMessage="1" sqref="J3166:J3167">
      <formula1>A1798:A3823</formula1>
    </dataValidation>
    <dataValidation type="list" allowBlank="1" showInputMessage="1" showErrorMessage="1" sqref="J2548:J2551">
      <formula1>A1247:A3291</formula1>
    </dataValidation>
    <dataValidation type="list" allowBlank="1" showInputMessage="1" showErrorMessage="1" sqref="J3228:K3230">
      <formula1>A1845:A3447</formula1>
    </dataValidation>
    <dataValidation type="list" allowBlank="1" showInputMessage="1" showErrorMessage="1" sqref="J3153:J3157">
      <formula1>A1853:A3890</formula1>
    </dataValidation>
    <dataValidation type="list" allowBlank="1" showInputMessage="1" showErrorMessage="1" sqref="J3148:J3152">
      <formula1>A1849:A3886</formula1>
    </dataValidation>
    <dataValidation type="list" allowBlank="1" showInputMessage="1" showErrorMessage="1" sqref="J2504:J2507">
      <formula1>A1204:A3252</formula1>
    </dataValidation>
    <dataValidation type="list" allowBlank="1" showInputMessage="1" showErrorMessage="1" sqref="J2537:J2540">
      <formula1>A1236:A3285</formula1>
    </dataValidation>
    <dataValidation type="list" allowBlank="1" showInputMessage="1" showErrorMessage="1" sqref="J2949:J2950">
      <formula1>A1732:A3741</formula1>
    </dataValidation>
    <dataValidation type="list" allowBlank="1" showInputMessage="1" showErrorMessage="1" sqref="J2951:J2952">
      <formula1>A1731:A3740</formula1>
    </dataValidation>
    <dataValidation type="list" allowBlank="1" showInputMessage="1" showErrorMessage="1" sqref="J2943:J2944">
      <formula1>A1724:A3733</formula1>
    </dataValidation>
    <dataValidation type="list" allowBlank="1" showInputMessage="1" showErrorMessage="1" sqref="J3105:J3106">
      <formula1>A1729:A3742</formula1>
    </dataValidation>
    <dataValidation type="list" allowBlank="1" showInputMessage="1" showErrorMessage="1" sqref="J2945:J2947">
      <formula1>A1723:A3731</formula1>
    </dataValidation>
    <dataValidation type="list" allowBlank="1" showInputMessage="1" showErrorMessage="1" sqref="J3141:J3142">
      <formula1>A1724:A3737</formula1>
    </dataValidation>
    <dataValidation type="list" allowBlank="1" showInputMessage="1" showErrorMessage="1" sqref="J3139:J3140">
      <formula1>A1726:A3739</formula1>
    </dataValidation>
    <dataValidation type="list" allowBlank="1" showInputMessage="1" showErrorMessage="1" sqref="J3509:J3510">
      <formula1>A1729:A3742</formula1>
    </dataValidation>
    <dataValidation type="list" allowBlank="1" showInputMessage="1" showErrorMessage="1" sqref="J3103:J3104">
      <formula1>A1731:A3743</formula1>
    </dataValidation>
    <dataValidation type="list" allowBlank="1" showInputMessage="1" showErrorMessage="1" sqref="J3507:J3508">
      <formula1>A1731:A3743</formula1>
    </dataValidation>
    <dataValidation type="list" allowBlank="1" showInputMessage="1" showErrorMessage="1" sqref="J2973:J2974">
      <formula1>A1753:A3756</formula1>
    </dataValidation>
    <dataValidation type="list" allowBlank="1" showInputMessage="1" showErrorMessage="1" sqref="J3118:J3119">
      <formula1>A1743:A3751</formula1>
    </dataValidation>
    <dataValidation type="list" allowBlank="1" showInputMessage="1" showErrorMessage="1" sqref="J3120:J3121">
      <formula1>A1741:A3748</formula1>
    </dataValidation>
    <dataValidation type="list" allowBlank="1" showInputMessage="1" showErrorMessage="1" sqref="J3143:J3144">
      <formula1>A1752:A3755</formula1>
    </dataValidation>
    <dataValidation type="list" allowBlank="1" showInputMessage="1" showErrorMessage="1" sqref="J2985:J2988">
      <formula1>A1761:A3763</formula1>
    </dataValidation>
    <dataValidation type="list" allowBlank="1" showInputMessage="1" showErrorMessage="1" sqref="J2989:J2991">
      <formula1>A1762:A3763</formula1>
    </dataValidation>
    <dataValidation type="list" allowBlank="1" showInputMessage="1" showErrorMessage="1" sqref="J3162:J3163">
      <formula1>A1759:A3764</formula1>
    </dataValidation>
    <dataValidation type="list" allowBlank="1" showInputMessage="1" showErrorMessage="1" sqref="J3164:J3165">
      <formula1>A1757:A3763</formula1>
    </dataValidation>
    <dataValidation type="list" allowBlank="1" showInputMessage="1" showErrorMessage="1" sqref="J3003:J3046">
      <formula1>A1785:A3799</formula1>
    </dataValidation>
    <dataValidation type="list" allowBlank="1" showInputMessage="1" showErrorMessage="1" sqref="J3001:J3002">
      <formula1>A1787:A3805</formula1>
    </dataValidation>
    <dataValidation type="list" allowBlank="1" showInputMessage="1" showErrorMessage="1" sqref="J3047:J3048">
      <formula1>A1832:A3863</formula1>
    </dataValidation>
    <dataValidation type="list" allowBlank="1" showInputMessage="1" showErrorMessage="1" sqref="J3187:J3188">
      <formula1>A1774:A3785</formula1>
    </dataValidation>
    <dataValidation type="list" allowBlank="1" showInputMessage="1" showErrorMessage="1" sqref="J2993:J2995">
      <formula1>A1771:A3775</formula1>
    </dataValidation>
    <dataValidation type="list" allowBlank="1" showInputMessage="1" showErrorMessage="1" sqref="J3185:J3186">
      <formula1>A1776:A3790</formula1>
    </dataValidation>
    <dataValidation type="list" allowBlank="1" showInputMessage="1" showErrorMessage="1" sqref="J3122:J3123">
      <formula1>A1782:A3796</formula1>
    </dataValidation>
    <dataValidation type="list" allowBlank="1" showInputMessage="1" showErrorMessage="1" sqref="J3202:J3203">
      <formula1>A1784:A3809</formula1>
    </dataValidation>
    <dataValidation type="list" allowBlank="1" showInputMessage="1" showErrorMessage="1" sqref="J3200:J3201">
      <formula1>A1786:A3811</formula1>
    </dataValidation>
    <dataValidation type="list" allowBlank="1" showInputMessage="1" showErrorMessage="1" sqref="J3204:J3205">
      <formula1>A1825:A3855</formula1>
    </dataValidation>
    <dataValidation type="list" allowBlank="1" showInputMessage="1" showErrorMessage="1" sqref="J2342:J2345">
      <formula1>A1210:A2739</formula1>
    </dataValidation>
    <dataValidation type="list" allowBlank="1" showInputMessage="1" showErrorMessage="1" sqref="J2349:J2351">
      <formula1>A1216:A2744</formula1>
    </dataValidation>
    <dataValidation type="list" allowBlank="1" showInputMessage="1" showErrorMessage="1" sqref="J2579:K2581">
      <formula1>A1228:A2748</formula1>
    </dataValidation>
    <dataValidation type="list" allowBlank="1" showInputMessage="1" showErrorMessage="1" sqref="J2750:K2752">
      <formula1>A1435:A2977</formula1>
    </dataValidation>
    <dataValidation type="list" allowBlank="1" showInputMessage="1" showErrorMessage="1" sqref="J2713:K2716">
      <formula1>A1397:A2937</formula1>
    </dataValidation>
    <dataValidation type="list" allowBlank="1" showInputMessage="1" showErrorMessage="1" sqref="J2650:J2659 J2639:J2648">
      <formula1>A1527:A3071</formula1>
    </dataValidation>
    <dataValidation type="list" allowBlank="1" showInputMessage="1" showErrorMessage="1" sqref="J2661:J2680">
      <formula1>A1549:A3109</formula1>
    </dataValidation>
    <dataValidation type="list" allowBlank="1" showInputMessage="1" showErrorMessage="1" sqref="J2684:J2695">
      <formula1>A1570:A3135</formula1>
    </dataValidation>
    <dataValidation type="list" allowBlank="1" showInputMessage="1" showErrorMessage="1" sqref="J2830:K2832">
      <formula1>A1519:A3062</formula1>
    </dataValidation>
    <dataValidation type="list" allowBlank="1" showInputMessage="1" showErrorMessage="1" sqref="J2627:J2636">
      <formula1>A1510:A3060</formula1>
    </dataValidation>
    <dataValidation type="list" allowBlank="1" showInputMessage="1" showErrorMessage="1" sqref="J2616:J2625">
      <formula1>A1500:A3049</formula1>
    </dataValidation>
    <dataValidation type="list" allowBlank="1" showInputMessage="1" showErrorMessage="1" sqref="J2439:J2440">
      <formula1>A1183:A3209</formula1>
    </dataValidation>
    <dataValidation type="list" allowBlank="1" showInputMessage="1" showErrorMessage="1" sqref="J2481:J2484">
      <formula1>A1183:A3218</formula1>
    </dataValidation>
    <dataValidation type="list" allowBlank="1" showInputMessage="1" showErrorMessage="1" sqref="J2492:J2495">
      <formula1>A1193:A3224</formula1>
    </dataValidation>
    <dataValidation type="list" allowBlank="1" showInputMessage="1" showErrorMessage="1" sqref="J2451:J2452">
      <formula1>A1191:A3224</formula1>
    </dataValidation>
    <dataValidation type="list" allowBlank="1" showInputMessage="1" showErrorMessage="1" sqref="J2515:J2518">
      <formula1>A1215:A3268</formula1>
    </dataValidation>
    <dataValidation type="list" allowBlank="1" showInputMessage="1" showErrorMessage="1" sqref="J2526:J2529">
      <formula1>A1225:A3279</formula1>
    </dataValidation>
    <dataValidation type="list" allowBlank="1" showInputMessage="1" showErrorMessage="1" sqref="J2611:J2614">
      <formula1>A1348:A3362</formula1>
    </dataValidation>
    <dataValidation type="list" allowBlank="1" showInputMessage="1" showErrorMessage="1" sqref="J2524:J2525">
      <formula1>A1360:A3378</formula1>
    </dataValidation>
    <dataValidation type="list" allowBlank="1" showInputMessage="1" showErrorMessage="1" sqref="J2479:J2480">
      <formula1>A1316:A3323</formula1>
    </dataValidation>
    <dataValidation type="list" allowBlank="1" showInputMessage="1" showErrorMessage="1" sqref="J2490:J2491">
      <formula1>A1327:A3336</formula1>
    </dataValidation>
    <dataValidation type="list" allowBlank="1" showInputMessage="1" showErrorMessage="1" sqref="J2501:J2502">
      <formula1>A1338:A3351</formula1>
    </dataValidation>
    <dataValidation type="list" allowBlank="1" showInputMessage="1" showErrorMessage="1" sqref="J2513:J2514">
      <formula1>A1349:A3363</formula1>
    </dataValidation>
    <dataValidation type="list" allowBlank="1" showInputMessage="1" showErrorMessage="1" sqref="J2457:J2458">
      <formula1>A1268:A3301</formula1>
    </dataValidation>
    <dataValidation type="list" allowBlank="1" showInputMessage="1" showErrorMessage="1" sqref="J2445:J2446">
      <formula1>A1256:A3294</formula1>
    </dataValidation>
    <dataValidation type="list" allowBlank="1" showInputMessage="1" showErrorMessage="1" sqref="J2433:J2434">
      <formula1>A1244:A3288</formula1>
    </dataValidation>
    <dataValidation type="list" allowBlank="1" showInputMessage="1" showErrorMessage="1" sqref="J2421:J2422">
      <formula1>A1222:A3277</formula1>
    </dataValidation>
    <dataValidation type="list" allowBlank="1" showInputMessage="1" showErrorMessage="1" sqref="J2555:J2556">
      <formula1>A1361:A3379</formula1>
    </dataValidation>
    <dataValidation type="list" allowBlank="1" showInputMessage="1" showErrorMessage="1" sqref="J2535:J2536">
      <formula1>A1371:A3390</formula1>
    </dataValidation>
    <dataValidation type="list" allowBlank="1" showInputMessage="1" showErrorMessage="1" sqref="J2772:J2773">
      <formula1>A1488:A3505</formula1>
    </dataValidation>
    <dataValidation type="list" allowBlank="1" showInputMessage="1" showErrorMessage="1" sqref="J2734:J2737">
      <formula1>A1453:A3470</formula1>
    </dataValidation>
    <dataValidation type="list" allowBlank="1" showInputMessage="1" showErrorMessage="1" sqref="J2792:J2793">
      <formula1>A1487:A3505</formula1>
    </dataValidation>
    <dataValidation type="list" allowBlank="1" showInputMessage="1" showErrorMessage="1" sqref="J2718:J2721">
      <formula1>A1441:A3457</formula1>
    </dataValidation>
    <dataValidation type="list" allowBlank="1" showInputMessage="1" showErrorMessage="1" sqref="J2790:J2791">
      <formula1>A1489:A3505</formula1>
    </dataValidation>
    <dataValidation type="list" allowBlank="1" showInputMessage="1" showErrorMessage="1" sqref="J2810:J2811">
      <formula1>A1500:A3528</formula1>
    </dataValidation>
    <dataValidation type="list" allowBlank="1" showInputMessage="1" showErrorMessage="1" sqref="J2703:J2704">
      <formula1>A1498:A3526</formula1>
    </dataValidation>
    <dataValidation type="list" allowBlank="1" showInputMessage="1" showErrorMessage="1" sqref="J2817:J2818">
      <formula1>A1500:A3532</formula1>
    </dataValidation>
    <dataValidation type="list" allowBlank="1" showInputMessage="1" showErrorMessage="1" sqref="J2742:J2743">
      <formula1>A1537:A3540</formula1>
    </dataValidation>
    <dataValidation type="list" allowBlank="1" showInputMessage="1" showErrorMessage="1" sqref="J2706:J2707">
      <formula1>A1527:A3540</formula1>
    </dataValidation>
    <dataValidation type="list" allowBlank="1" showInputMessage="1" showErrorMessage="1" sqref="J2725:J2726">
      <formula1>A1504:A3535</formula1>
    </dataValidation>
    <dataValidation type="list" allowBlank="1" showInputMessage="1" showErrorMessage="1" sqref="J2815:J2816">
      <formula1>A1502:A3535</formula1>
    </dataValidation>
    <dataValidation type="list" allowBlank="1" showInputMessage="1" showErrorMessage="1" sqref="J2872:J2873">
      <formula1>A1571:A3568</formula1>
    </dataValidation>
    <dataValidation type="list" allowBlank="1" showInputMessage="1" showErrorMessage="1" sqref="J2861:J2862">
      <formula1>A1581:A3577</formula1>
    </dataValidation>
    <dataValidation type="list" allowBlank="1" showInputMessage="1" showErrorMessage="1" sqref="J2843:J2844 J2852:J2853">
      <formula1>A1563:A3560</formula1>
    </dataValidation>
    <dataValidation type="list" allowBlank="1" showInputMessage="1" showErrorMessage="1" sqref="J2834:J2835">
      <formula1>A1554:A3554</formula1>
    </dataValidation>
    <dataValidation type="list" allowBlank="1" showInputMessage="1" showErrorMessage="1" sqref="J2732:J2733">
      <formula1>A1560:A3559</formula1>
    </dataValidation>
    <dataValidation type="list" allowBlank="1" showInputMessage="1" showErrorMessage="1" sqref="J2729:J2730">
      <formula1>A1553:A3552</formula1>
    </dataValidation>
    <dataValidation type="list" allowBlank="1" showInputMessage="1" showErrorMessage="1" sqref="J2890:J2891">
      <formula1>A1592:A3579</formula1>
    </dataValidation>
    <dataValidation type="list" allowBlank="1" showInputMessage="1" showErrorMessage="1" sqref="J2910:J2911">
      <formula1>A1597:A3584</formula1>
    </dataValidation>
    <dataValidation type="list" allowBlank="1" showInputMessage="1" showErrorMessage="1" sqref="J2912:J2913">
      <formula1>A1595:A3582</formula1>
    </dataValidation>
    <dataValidation type="list" allowBlank="1" showInputMessage="1" showErrorMessage="1" sqref="J2892:J2893">
      <formula1>A1590:A3577</formula1>
    </dataValidation>
    <dataValidation type="list" allowBlank="1" showInputMessage="1" showErrorMessage="1" sqref="J2901:J2906">
      <formula1>A1694:A3711</formula1>
    </dataValidation>
    <dataValidation type="list" allowBlank="1" showInputMessage="1" showErrorMessage="1" sqref="J2922:J2926">
      <formula1>A1713:A3718</formula1>
    </dataValidation>
    <dataValidation type="list" allowBlank="1" showInputMessage="1" showErrorMessage="1" sqref="J3097:J3098">
      <formula1>A1684:A3706</formula1>
    </dataValidation>
    <dataValidation type="list" allowBlank="1" showInputMessage="1" showErrorMessage="1" sqref="J3091:J3092">
      <formula1>A1681:A3699</formula1>
    </dataValidation>
    <dataValidation type="list" allowBlank="1" showInputMessage="1" showErrorMessage="1" sqref="J2999:J3000">
      <formula1>A1649:A3668</formula1>
    </dataValidation>
    <dataValidation type="list" allowBlank="1" showInputMessage="1" showErrorMessage="1" sqref="J2967:J2972">
      <formula1>A1654:A3668</formula1>
    </dataValidation>
    <dataValidation type="list" allowBlank="1" showInputMessage="1" showErrorMessage="1" sqref="J2963:J2966">
      <formula1>A1653:A3668</formula1>
    </dataValidation>
    <dataValidation type="list" allowBlank="1" showInputMessage="1" showErrorMessage="1" sqref="J2997:J2998">
      <formula1>A1651:A3668</formula1>
    </dataValidation>
    <dataValidation type="list" allowBlank="1" showInputMessage="1" showErrorMessage="1" sqref="J2977:J2978 J2955:J2956">
      <formula1>A1612:A3629</formula1>
    </dataValidation>
    <dataValidation type="list" allowBlank="1" showInputMessage="1" showErrorMessage="1" sqref="J2961:J2962">
      <formula1>A1618:A3636</formula1>
    </dataValidation>
    <dataValidation type="list" allowBlank="1" showInputMessage="1" showErrorMessage="1" sqref="J2975:J2976 J2953:J2954">
      <formula1>A1614:A3631</formula1>
    </dataValidation>
    <dataValidation type="list" allowBlank="1" showInputMessage="1" showErrorMessage="1" sqref="J2959:J2960">
      <formula1>A1620:A3638</formula1>
    </dataValidation>
    <dataValidation type="list" allowBlank="1" showInputMessage="1" showErrorMessage="1" sqref="J2931:J2932">
      <formula1>A1604:A3614</formula1>
    </dataValidation>
    <dataValidation type="list" allowBlank="1" showInputMessage="1" showErrorMessage="1" sqref="J2933:J2934">
      <formula1>A1604:A3612</formula1>
    </dataValidation>
    <dataValidation type="list" allowBlank="1" showInputMessage="1" showErrorMessage="1" sqref="F3771:F3772">
      <formula1>A1643:A6651</formula1>
    </dataValidation>
    <dataValidation type="list" allowBlank="1" showInputMessage="1" showErrorMessage="1" sqref="J2368:K2370">
      <formula1>A1021:A2539</formula1>
    </dataValidation>
    <dataValidation type="list" allowBlank="1" showInputMessage="1" showErrorMessage="1" sqref="J2327:J2329">
      <formula1>A974:A2488</formula1>
    </dataValidation>
    <dataValidation type="list" allowBlank="1" showInputMessage="1" showErrorMessage="1" sqref="J2321:J2323">
      <formula1>A974:A2503</formula1>
    </dataValidation>
    <dataValidation type="list" allowBlank="1" showInputMessage="1" showErrorMessage="1" sqref="J2276:J2278 J2281:J2283 J2286:J2288 J2291:J2293 J2271:J2273">
      <formula1>A923:A2431</formula1>
    </dataValidation>
    <dataValidation type="list" allowBlank="1" showInputMessage="1" showErrorMessage="1" sqref="J2121:J2123">
      <formula1>A957:A2464</formula1>
    </dataValidation>
    <dataValidation type="list" allowBlank="1" showInputMessage="1" showErrorMessage="1" sqref="J2307:K2309">
      <formula1>A969:A2476</formula1>
    </dataValidation>
    <dataValidation type="list" allowBlank="1" showInputMessage="1" showErrorMessage="1" sqref="J2312:J2314">
      <formula1>A966:A2473</formula1>
    </dataValidation>
    <dataValidation type="list" allowBlank="1" showInputMessage="1" showErrorMessage="1" sqref="J1847:J1848">
      <formula1>A540:A2464</formula1>
    </dataValidation>
    <dataValidation type="list" allowBlank="1" showInputMessage="1" showErrorMessage="1" sqref="J1743:J1829">
      <formula1>A429:A2360</formula1>
    </dataValidation>
    <dataValidation type="list" allowBlank="1" showInputMessage="1" showErrorMessage="1" sqref="J2435:J2438">
      <formula1>A1148:A3164</formula1>
    </dataValidation>
    <dataValidation type="list" allowBlank="1" showInputMessage="1" showErrorMessage="1" sqref="J2447:J2450">
      <formula1>A1160:A3181</formula1>
    </dataValidation>
    <dataValidation type="list" allowBlank="1" showInputMessage="1" showErrorMessage="1" sqref="J2470:J2473">
      <formula1>A1180:A3204</formula1>
    </dataValidation>
    <dataValidation type="list" allowBlank="1" showInputMessage="1" showErrorMessage="1" sqref="J2423:J2426">
      <formula1>A1136:A3124</formula1>
    </dataValidation>
    <dataValidation type="list" allowBlank="1" showInputMessage="1" showErrorMessage="1" sqref="J2427:J2428">
      <formula1>A1180:A3199</formula1>
    </dataValidation>
    <dataValidation type="list" allowBlank="1" showInputMessage="1" showErrorMessage="1" sqref="J2400:J2403">
      <formula1>A1103:A3073</formula1>
    </dataValidation>
    <dataValidation type="list" allowBlank="1" showInputMessage="1" showErrorMessage="1" sqref="J2412:J2415">
      <formula1>A1114:A3084</formula1>
    </dataValidation>
    <dataValidation type="list" allowBlank="1" showInputMessage="1" showErrorMessage="1" sqref="J2177:J2178">
      <formula1>A540:A5108</formula1>
    </dataValidation>
    <dataValidation type="list" allowBlank="1" showInputMessage="1" showErrorMessage="1" sqref="J2197:J2200 J2205:J2209">
      <formula1>A566:A5134</formula1>
    </dataValidation>
    <dataValidation type="list" allowBlank="1" showInputMessage="1" showErrorMessage="1" sqref="J1906:J1910">
      <formula1>A200:A4747</formula1>
    </dataValidation>
  </dataValidations>
  <printOptions horizontalCentered="1"/>
  <pageMargins left="0.31496062992125984" right="0.31496062992125984" top="0.78740157480314965" bottom="0.78740157480314965" header="0.31496062992125984" footer="0.31496062992125984"/>
  <pageSetup paperSize="9" scale="46" fitToHeight="0" orientation="landscape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'PTD '!$A$1:$A$5001</xm:f>
          </x14:formula1>
          <xm:sqref>B1289:F1289</xm:sqref>
        </x14:dataValidation>
        <x14:dataValidation type="list" allowBlank="1" showInputMessage="1" showErrorMessage="1">
          <x14:formula1>
            <xm:f>'PTD '!A1:A502</xm:f>
          </x14:formula1>
          <xm:sqref>B861:F861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32"/>
  <sheetViews>
    <sheetView topLeftCell="A411" zoomScaleNormal="100" workbookViewId="0">
      <selection activeCell="H423" sqref="H423"/>
    </sheetView>
  </sheetViews>
  <sheetFormatPr defaultRowHeight="15" x14ac:dyDescent="0.25"/>
  <cols>
    <col min="1" max="1" width="2.42578125" style="1006" customWidth="1"/>
    <col min="2" max="2" width="9.85546875" style="400" customWidth="1"/>
    <col min="3" max="3" width="1.85546875" style="400" customWidth="1"/>
    <col min="4" max="4" width="8.7109375" style="480" customWidth="1"/>
    <col min="5" max="5" width="18.42578125" style="399" customWidth="1"/>
    <col min="6" max="6" width="63.28515625" style="1006" customWidth="1"/>
    <col min="7" max="7" width="6.85546875" style="998" customWidth="1"/>
    <col min="8" max="8" width="6.28515625" style="998" customWidth="1"/>
    <col min="9" max="9" width="18.5703125" style="399" customWidth="1"/>
    <col min="10" max="10" width="23.7109375" style="783" customWidth="1"/>
    <col min="11" max="11" width="25.5703125" style="110" customWidth="1"/>
    <col min="12" max="12" width="11" style="448" customWidth="1"/>
    <col min="13" max="13" width="26.140625" style="796" customWidth="1"/>
    <col min="14" max="14" width="22.140625" style="1006" customWidth="1"/>
    <col min="15" max="15" width="18.28515625" style="399" customWidth="1"/>
    <col min="16" max="16" width="40.42578125" style="1006" customWidth="1"/>
    <col min="17" max="16384" width="9.140625" style="1006"/>
  </cols>
  <sheetData>
    <row r="1" spans="1:15" ht="21" x14ac:dyDescent="0.35">
      <c r="B1" s="1388" t="s">
        <v>5834</v>
      </c>
      <c r="C1" s="1388"/>
      <c r="D1" s="1388"/>
      <c r="E1" s="1388"/>
      <c r="F1" s="1388"/>
      <c r="G1" s="1388"/>
      <c r="H1" s="1388"/>
      <c r="I1" s="1388"/>
      <c r="J1" s="1388"/>
      <c r="K1" s="1388"/>
      <c r="L1" s="30"/>
    </row>
    <row r="2" spans="1:15" ht="21" x14ac:dyDescent="0.35">
      <c r="B2" s="1001"/>
      <c r="C2" s="1001"/>
      <c r="D2" s="479"/>
      <c r="E2" s="1001"/>
      <c r="F2" s="1001"/>
      <c r="G2" s="1001"/>
      <c r="H2" s="1001"/>
      <c r="I2" s="1001"/>
      <c r="J2" s="939"/>
      <c r="K2" s="1001"/>
      <c r="L2" s="447"/>
    </row>
    <row r="3" spans="1:15" ht="21" x14ac:dyDescent="0.35">
      <c r="B3" s="1388" t="s">
        <v>5835</v>
      </c>
      <c r="C3" s="1388"/>
      <c r="D3" s="1388"/>
      <c r="E3" s="1388"/>
      <c r="F3" s="1388"/>
      <c r="G3" s="1388"/>
      <c r="H3" s="1388"/>
      <c r="I3" s="1388"/>
      <c r="J3" s="1388"/>
      <c r="K3" s="1388"/>
      <c r="L3" s="30"/>
    </row>
    <row r="5" spans="1:15" s="435" customFormat="1" ht="15.75" x14ac:dyDescent="0.25">
      <c r="B5" s="999" t="s">
        <v>989</v>
      </c>
      <c r="C5" s="999"/>
      <c r="D5" s="481"/>
      <c r="E5" s="1371" t="s">
        <v>6887</v>
      </c>
      <c r="F5" s="1371"/>
      <c r="G5" s="1371"/>
      <c r="H5" s="1371"/>
      <c r="I5" s="1371"/>
      <c r="J5" s="940"/>
      <c r="K5" s="438"/>
      <c r="L5" s="449"/>
      <c r="M5" s="892"/>
      <c r="O5" s="732"/>
    </row>
    <row r="6" spans="1:15" s="435" customFormat="1" ht="18.75" customHeight="1" x14ac:dyDescent="0.25">
      <c r="B6" s="999" t="s">
        <v>458</v>
      </c>
      <c r="C6" s="999"/>
      <c r="D6" s="481"/>
      <c r="E6" s="1371" t="s">
        <v>6888</v>
      </c>
      <c r="F6" s="1371"/>
      <c r="G6" s="1371"/>
      <c r="H6" s="1371"/>
      <c r="I6" s="1371"/>
      <c r="J6" s="940"/>
      <c r="K6" s="438"/>
      <c r="L6" s="449"/>
      <c r="M6" s="892"/>
      <c r="O6" s="732"/>
    </row>
    <row r="7" spans="1:15" s="435" customFormat="1" ht="15.75" x14ac:dyDescent="0.25">
      <c r="B7" s="1005" t="s">
        <v>5764</v>
      </c>
      <c r="C7" s="1005"/>
      <c r="D7" s="1005"/>
      <c r="E7" s="1371" t="s">
        <v>749</v>
      </c>
      <c r="F7" s="1371"/>
      <c r="G7" s="1371"/>
      <c r="H7" s="1371"/>
      <c r="I7" s="1371"/>
      <c r="J7" s="941"/>
      <c r="K7" s="438"/>
      <c r="L7" s="449"/>
      <c r="M7" s="892"/>
      <c r="O7" s="732"/>
    </row>
    <row r="8" spans="1:15" ht="88.5" x14ac:dyDescent="0.25">
      <c r="A8" s="396"/>
      <c r="B8" s="1400" t="s">
        <v>2296</v>
      </c>
      <c r="C8" s="1400"/>
      <c r="D8" s="1400"/>
      <c r="E8" s="1384" t="s">
        <v>2297</v>
      </c>
      <c r="F8" s="1384"/>
      <c r="G8" s="443" t="s">
        <v>444</v>
      </c>
      <c r="H8" s="443" t="s">
        <v>2245</v>
      </c>
      <c r="I8" s="444" t="s">
        <v>5725</v>
      </c>
      <c r="J8" s="893" t="s">
        <v>11644</v>
      </c>
      <c r="K8" s="1000" t="s">
        <v>11522</v>
      </c>
      <c r="L8" s="450" t="s">
        <v>235</v>
      </c>
    </row>
    <row r="9" spans="1:15" s="115" customFormat="1" x14ac:dyDescent="0.25">
      <c r="A9" s="396"/>
      <c r="B9" s="1385" t="s">
        <v>5951</v>
      </c>
      <c r="C9" s="1385"/>
      <c r="D9" s="1385"/>
      <c r="E9" s="1385"/>
      <c r="F9" s="1385"/>
      <c r="G9" s="401"/>
      <c r="H9" s="401"/>
      <c r="I9" s="426"/>
      <c r="J9" s="402">
        <f t="shared" ref="J9:K11" si="0">J10</f>
        <v>0</v>
      </c>
      <c r="K9" s="402">
        <f t="shared" si="0"/>
        <v>14389.104805499999</v>
      </c>
      <c r="L9" s="451">
        <f t="shared" ref="L9:L40" si="1">K9/K$85</f>
        <v>2.1197798795404371E-2</v>
      </c>
      <c r="M9" s="894"/>
      <c r="O9" s="733"/>
    </row>
    <row r="10" spans="1:15" x14ac:dyDescent="0.25">
      <c r="A10" s="396"/>
      <c r="B10" s="1386" t="s">
        <v>5950</v>
      </c>
      <c r="C10" s="1386"/>
      <c r="D10" s="1386"/>
      <c r="E10" s="1386"/>
      <c r="F10" s="1386"/>
      <c r="G10" s="403"/>
      <c r="H10" s="403"/>
      <c r="I10" s="427"/>
      <c r="J10" s="404">
        <f t="shared" si="0"/>
        <v>0</v>
      </c>
      <c r="K10" s="404">
        <f t="shared" si="0"/>
        <v>14389.104805499999</v>
      </c>
      <c r="L10" s="452">
        <f t="shared" si="1"/>
        <v>2.1197798795404371E-2</v>
      </c>
    </row>
    <row r="11" spans="1:15" x14ac:dyDescent="0.25">
      <c r="A11" s="396"/>
      <c r="B11" s="1382" t="s">
        <v>2286</v>
      </c>
      <c r="C11" s="1382"/>
      <c r="D11" s="1382"/>
      <c r="E11" s="1382"/>
      <c r="F11" s="1382"/>
      <c r="G11" s="405"/>
      <c r="H11" s="405"/>
      <c r="I11" s="428"/>
      <c r="J11" s="406">
        <f t="shared" si="0"/>
        <v>0</v>
      </c>
      <c r="K11" s="406">
        <f t="shared" si="0"/>
        <v>14389.104805499999</v>
      </c>
      <c r="L11" s="453">
        <f t="shared" si="1"/>
        <v>2.1197798795404371E-2</v>
      </c>
    </row>
    <row r="12" spans="1:15" x14ac:dyDescent="0.25">
      <c r="A12" s="396"/>
      <c r="B12" s="1383" t="s">
        <v>2290</v>
      </c>
      <c r="C12" s="1383"/>
      <c r="D12" s="1383"/>
      <c r="E12" s="1383"/>
      <c r="F12" s="1383"/>
      <c r="G12" s="407"/>
      <c r="H12" s="407"/>
      <c r="I12" s="429"/>
      <c r="J12" s="408">
        <f>J13+J14+J15+J16+J17</f>
        <v>0</v>
      </c>
      <c r="K12" s="408">
        <f>K13+K14+K15+K16+K17</f>
        <v>14389.104805499999</v>
      </c>
      <c r="L12" s="454">
        <f t="shared" si="1"/>
        <v>2.1197798795404371E-2</v>
      </c>
    </row>
    <row r="13" spans="1:15" x14ac:dyDescent="0.25">
      <c r="A13" s="396"/>
      <c r="B13" s="1396">
        <v>5000</v>
      </c>
      <c r="C13" s="1396"/>
      <c r="D13" s="1396"/>
      <c r="E13" s="417">
        <v>333904700000000</v>
      </c>
      <c r="F13" s="1017" t="s">
        <v>11747</v>
      </c>
      <c r="G13" s="468">
        <v>1</v>
      </c>
      <c r="H13" s="468">
        <v>0</v>
      </c>
      <c r="I13" s="751"/>
      <c r="J13" s="789">
        <f>'Parâmetros financeiros Despesa'!E93</f>
        <v>0</v>
      </c>
      <c r="K13" s="789">
        <f>((('Parâmetros financeiros Despesa'!F94+'Parâmetros financeiros Despesa'!F95+'Parâmetros financeiros Despesa'!F97+'Parâmetros financeiros Despesa'!F99))*((1+'Parâmetros financeiros Despesa'!F$4)*(1+'Parâmetros financeiros Despesa'!F$7)))*(1+'Parâmetros financeiros Despesa'!F$83)</f>
        <v>4448.5525200000002</v>
      </c>
      <c r="L13" s="799">
        <f t="shared" si="1"/>
        <v>6.5535363404750956E-3</v>
      </c>
      <c r="M13" s="894"/>
      <c r="N13" s="894"/>
    </row>
    <row r="14" spans="1:15" s="115" customFormat="1" ht="30" x14ac:dyDescent="0.25">
      <c r="A14" s="396"/>
      <c r="B14" s="1396">
        <v>5100</v>
      </c>
      <c r="C14" s="1396"/>
      <c r="D14" s="1396"/>
      <c r="E14" s="854">
        <v>344903000000000</v>
      </c>
      <c r="F14" s="855" t="s">
        <v>11746</v>
      </c>
      <c r="G14" s="468">
        <v>1</v>
      </c>
      <c r="H14" s="468">
        <v>0</v>
      </c>
      <c r="I14" s="751"/>
      <c r="J14" s="789">
        <f>'Parâmetros financeiros Despesa'!E94</f>
        <v>0</v>
      </c>
      <c r="K14" s="789">
        <f>('Parâmetros financeiros Despesa'!F93+'Parâmetros financeiros Despesa'!F94)*((1+'Parâmetros financeiros Despesa'!F$4)*(1+'Parâmetros financeiros Despesa'!F$5)*(1+'Parâmetros financeiros Despesa'!F$7)*(1+'Parâmetros financeiros Despesa'!F$83))</f>
        <v>2120.6511542399999</v>
      </c>
      <c r="L14" s="799">
        <f t="shared" si="1"/>
        <v>3.1241093237182453E-3</v>
      </c>
      <c r="M14" s="894"/>
      <c r="N14" s="894"/>
      <c r="O14" s="733"/>
    </row>
    <row r="15" spans="1:15" s="457" customFormat="1" x14ac:dyDescent="0.25">
      <c r="A15" s="396"/>
      <c r="B15" s="1398" t="s">
        <v>6564</v>
      </c>
      <c r="C15" s="1398"/>
      <c r="D15" s="1398"/>
      <c r="E15" s="854">
        <v>344903600000000</v>
      </c>
      <c r="F15" s="855" t="s">
        <v>11745</v>
      </c>
      <c r="G15" s="468">
        <v>1</v>
      </c>
      <c r="H15" s="468">
        <v>0</v>
      </c>
      <c r="I15" s="751"/>
      <c r="J15" s="789">
        <f>'Parâmetros financeiros Despesa'!E95</f>
        <v>0</v>
      </c>
      <c r="K15" s="789">
        <f>('Parâmetros financeiros Despesa'!F95)*((1+'Parâmetros financeiros Despesa'!F$4)*(1+'Parâmetros financeiros Despesa'!F$5)*(1+'Parâmetros financeiros Despesa'!F$7)*(1+'Parâmetros financeiros Despesa'!F$83))</f>
        <v>1060.3255771199999</v>
      </c>
      <c r="L15" s="799">
        <f t="shared" si="1"/>
        <v>1.5620546618591226E-3</v>
      </c>
      <c r="M15" s="894"/>
      <c r="N15" s="894"/>
      <c r="O15" s="734"/>
    </row>
    <row r="16" spans="1:15" s="457" customFormat="1" ht="18" customHeight="1" x14ac:dyDescent="0.25">
      <c r="A16" s="396"/>
      <c r="B16" s="1398" t="s">
        <v>6565</v>
      </c>
      <c r="C16" s="1398"/>
      <c r="D16" s="1398"/>
      <c r="E16" s="854">
        <v>344903900000000</v>
      </c>
      <c r="F16" s="855" t="s">
        <v>11748</v>
      </c>
      <c r="G16" s="468">
        <v>1</v>
      </c>
      <c r="H16" s="468">
        <v>0</v>
      </c>
      <c r="I16" s="751"/>
      <c r="J16" s="789">
        <f>'Parâmetros financeiros Despesa'!E96</f>
        <v>0</v>
      </c>
      <c r="K16" s="789">
        <f>('Parâmetros financeiros Despesa'!F96+'Parâmetros financeiros Despesa'!F97)*((1+'Parâmetros financeiros Despesa'!F$4)*(1+'Parâmetros financeiros Despesa'!F$5)*(1+'Parâmetros financeiros Despesa'!F$7)*(1+'Parâmetros financeiros Despesa'!F$83))</f>
        <v>2120.6511542399999</v>
      </c>
      <c r="L16" s="799">
        <f t="shared" si="1"/>
        <v>3.1241093237182453E-3</v>
      </c>
      <c r="M16" s="894"/>
      <c r="N16" s="894"/>
      <c r="O16" s="734"/>
    </row>
    <row r="17" spans="1:15" s="457" customFormat="1" x14ac:dyDescent="0.25">
      <c r="A17" s="396"/>
      <c r="B17" s="1398" t="s">
        <v>6566</v>
      </c>
      <c r="C17" s="1398"/>
      <c r="D17" s="1398"/>
      <c r="E17" s="854">
        <v>344905200000000</v>
      </c>
      <c r="F17" s="855" t="s">
        <v>5839</v>
      </c>
      <c r="G17" s="468">
        <v>1</v>
      </c>
      <c r="H17" s="468">
        <v>0</v>
      </c>
      <c r="I17" s="751"/>
      <c r="J17" s="789">
        <f>'Parâmetros financeiros Despesa'!E97</f>
        <v>0</v>
      </c>
      <c r="K17" s="789">
        <f>('Parâmetros financeiros Despesa'!F98+'Parâmetros financeiros Despesa'!F99)*((1+'Parâmetros financeiros Despesa'!F$4)*(1+'Parâmetros financeiros Despesa'!F$5)*(1+'Parâmetros financeiros Despesa'!F$7)*(1+'Parâmetros financeiros Despesa'!F$83))</f>
        <v>4638.9243998999991</v>
      </c>
      <c r="L17" s="799">
        <f t="shared" si="1"/>
        <v>6.8339891456336609E-3</v>
      </c>
      <c r="M17" s="894"/>
      <c r="N17" s="894"/>
      <c r="O17" s="734"/>
    </row>
    <row r="18" spans="1:15" s="115" customFormat="1" x14ac:dyDescent="0.25">
      <c r="A18" s="396"/>
      <c r="B18" s="1385" t="s">
        <v>5951</v>
      </c>
      <c r="C18" s="1385"/>
      <c r="D18" s="1385"/>
      <c r="E18" s="1385"/>
      <c r="F18" s="1385"/>
      <c r="G18" s="401"/>
      <c r="H18" s="401"/>
      <c r="I18" s="426"/>
      <c r="J18" s="402">
        <f t="shared" ref="J18:K20" si="2">J19</f>
        <v>0</v>
      </c>
      <c r="K18" s="402">
        <f t="shared" si="2"/>
        <v>88759.734155299986</v>
      </c>
      <c r="L18" s="451">
        <f t="shared" si="1"/>
        <v>0.13075941910148944</v>
      </c>
      <c r="M18" s="894"/>
      <c r="O18" s="733"/>
    </row>
    <row r="19" spans="1:15" x14ac:dyDescent="0.25">
      <c r="A19" s="396"/>
      <c r="B19" s="1386" t="s">
        <v>6900</v>
      </c>
      <c r="C19" s="1386"/>
      <c r="D19" s="1386"/>
      <c r="E19" s="1386"/>
      <c r="F19" s="1386"/>
      <c r="G19" s="403"/>
      <c r="H19" s="403"/>
      <c r="I19" s="427"/>
      <c r="J19" s="404">
        <f t="shared" si="2"/>
        <v>0</v>
      </c>
      <c r="K19" s="404">
        <f t="shared" si="2"/>
        <v>88759.734155299986</v>
      </c>
      <c r="L19" s="452">
        <f t="shared" si="1"/>
        <v>0.13075941910148944</v>
      </c>
    </row>
    <row r="20" spans="1:15" x14ac:dyDescent="0.25">
      <c r="A20" s="396"/>
      <c r="B20" s="1382" t="s">
        <v>2286</v>
      </c>
      <c r="C20" s="1382"/>
      <c r="D20" s="1382"/>
      <c r="E20" s="1382"/>
      <c r="F20" s="1382"/>
      <c r="G20" s="405"/>
      <c r="H20" s="405"/>
      <c r="I20" s="428"/>
      <c r="J20" s="406">
        <f t="shared" si="2"/>
        <v>0</v>
      </c>
      <c r="K20" s="406">
        <f t="shared" si="2"/>
        <v>88759.734155299986</v>
      </c>
      <c r="L20" s="453">
        <f t="shared" si="1"/>
        <v>0.13075941910148944</v>
      </c>
    </row>
    <row r="21" spans="1:15" x14ac:dyDescent="0.25">
      <c r="A21" s="396"/>
      <c r="B21" s="1383" t="s">
        <v>2290</v>
      </c>
      <c r="C21" s="1383"/>
      <c r="D21" s="1383"/>
      <c r="E21" s="1383"/>
      <c r="F21" s="1383"/>
      <c r="G21" s="407"/>
      <c r="H21" s="407"/>
      <c r="I21" s="429"/>
      <c r="J21" s="408">
        <f>J22+J23+J24+J25+J26</f>
        <v>0</v>
      </c>
      <c r="K21" s="408">
        <f>K22+K23+K24+K25+K26-0.01</f>
        <v>88759.734155299986</v>
      </c>
      <c r="L21" s="1007">
        <f t="shared" si="1"/>
        <v>0.13075941910148944</v>
      </c>
    </row>
    <row r="22" spans="1:15" x14ac:dyDescent="0.25">
      <c r="A22" s="396"/>
      <c r="B22" s="1396">
        <v>5500</v>
      </c>
      <c r="C22" s="1396"/>
      <c r="D22" s="1396"/>
      <c r="E22" s="854">
        <v>333904700000000</v>
      </c>
      <c r="F22" s="1017" t="s">
        <v>6889</v>
      </c>
      <c r="G22" s="468">
        <v>1</v>
      </c>
      <c r="H22" s="468">
        <v>0</v>
      </c>
      <c r="I22" s="751"/>
      <c r="J22" s="789">
        <f>'Parâmetros financeiros Despesa'!E101</f>
        <v>0</v>
      </c>
      <c r="K22" s="789">
        <f>((('Parâmetros financeiros Despesa'!F102+'Parâmetros financeiros Despesa'!F103+'Parâmetros financeiros Despesa'!F105))*((1+'Parâmetros financeiros Despesa'!F$4)*(1+'Parâmetros financeiros Despesa'!F$7)))*(1+'Parâmetros financeiros Despesa'!F$83)</f>
        <v>3270.9945000000002</v>
      </c>
      <c r="L22" s="799">
        <f t="shared" si="1"/>
        <v>4.8187767209375704E-3</v>
      </c>
      <c r="M22" s="894"/>
      <c r="N22" s="894"/>
    </row>
    <row r="23" spans="1:15" s="115" customFormat="1" x14ac:dyDescent="0.25">
      <c r="A23" s="396"/>
      <c r="B23" s="1396">
        <v>5600</v>
      </c>
      <c r="C23" s="1396"/>
      <c r="D23" s="1396"/>
      <c r="E23" s="854">
        <v>344903000000000</v>
      </c>
      <c r="F23" s="855" t="s">
        <v>6890</v>
      </c>
      <c r="G23" s="468">
        <v>1</v>
      </c>
      <c r="H23" s="468">
        <v>0</v>
      </c>
      <c r="I23" s="751"/>
      <c r="J23" s="789">
        <f>'Parâmetros financeiros Despesa'!E102</f>
        <v>0</v>
      </c>
      <c r="K23" s="789">
        <f>('Parâmetros financeiros Despesa'!F101+'Parâmetros financeiros Despesa'!F102)*((1+'Parâmetros financeiros Despesa'!F$4)*(1+'Parâmetros financeiros Despesa'!F$5)*(1+'Parâmetros financeiros Despesa'!F$7)*(1+'Parâmetros financeiros Despesa'!F$83))</f>
        <v>2650.8139427999995</v>
      </c>
      <c r="L23" s="799">
        <f t="shared" si="1"/>
        <v>3.905136654647806E-3</v>
      </c>
      <c r="M23" s="894"/>
      <c r="N23" s="894"/>
      <c r="O23" s="733"/>
    </row>
    <row r="24" spans="1:15" s="457" customFormat="1" ht="30" x14ac:dyDescent="0.25">
      <c r="A24" s="396"/>
      <c r="B24" s="1398" t="s">
        <v>6901</v>
      </c>
      <c r="C24" s="1398"/>
      <c r="D24" s="1398"/>
      <c r="E24" s="854">
        <v>344903600000000</v>
      </c>
      <c r="F24" s="855" t="s">
        <v>6891</v>
      </c>
      <c r="G24" s="468">
        <v>1</v>
      </c>
      <c r="H24" s="468">
        <v>0</v>
      </c>
      <c r="I24" s="751"/>
      <c r="J24" s="789">
        <f>'Parâmetros financeiros Despesa'!E103</f>
        <v>0</v>
      </c>
      <c r="K24" s="789">
        <f>('Parâmetros financeiros Despesa'!F103)*((1+'Parâmetros financeiros Despesa'!F$4)*(1+'Parâmetros financeiros Despesa'!F$5)*(1+'Parâmetros financeiros Despesa'!F$7)*(1+'Parâmetros financeiros Despesa'!F$83))</f>
        <v>662.70348569999987</v>
      </c>
      <c r="L24" s="799">
        <f t="shared" si="1"/>
        <v>9.7628416366195151E-4</v>
      </c>
      <c r="M24" s="894"/>
      <c r="N24" s="894"/>
      <c r="O24" s="734"/>
    </row>
    <row r="25" spans="1:15" s="457" customFormat="1" ht="30" x14ac:dyDescent="0.25">
      <c r="A25" s="396"/>
      <c r="B25" s="1398" t="s">
        <v>6902</v>
      </c>
      <c r="C25" s="1398"/>
      <c r="D25" s="1398"/>
      <c r="E25" s="854">
        <v>344903900000000</v>
      </c>
      <c r="F25" s="855" t="s">
        <v>6892</v>
      </c>
      <c r="G25" s="468">
        <v>1</v>
      </c>
      <c r="H25" s="468">
        <v>0</v>
      </c>
      <c r="I25" s="751"/>
      <c r="J25" s="789">
        <f>'Parâmetros financeiros Despesa'!E104</f>
        <v>0</v>
      </c>
      <c r="K25" s="789">
        <f>('Parâmetros financeiros Despesa'!F104+'Parâmetros financeiros Despesa'!F105)*((1+'Parâmetros financeiros Despesa'!F$4)*(1+'Parâmetros financeiros Despesa'!F$5)*(1+'Parâmetros financeiros Despesa'!F$7)*(1+'Parâmetros financeiros Despesa'!F$83))</f>
        <v>2650.8139427999995</v>
      </c>
      <c r="L25" s="799">
        <f t="shared" si="1"/>
        <v>3.905136654647806E-3</v>
      </c>
      <c r="M25" s="894"/>
      <c r="N25" s="894"/>
      <c r="O25" s="734"/>
    </row>
    <row r="26" spans="1:15" s="457" customFormat="1" x14ac:dyDescent="0.25">
      <c r="A26" s="396"/>
      <c r="B26" s="1398" t="s">
        <v>6903</v>
      </c>
      <c r="C26" s="1398"/>
      <c r="D26" s="1398"/>
      <c r="E26" s="854">
        <v>344905200000000</v>
      </c>
      <c r="F26" s="855" t="s">
        <v>6972</v>
      </c>
      <c r="G26" s="468">
        <v>1</v>
      </c>
      <c r="H26" s="468">
        <v>0</v>
      </c>
      <c r="I26" s="751"/>
      <c r="J26" s="789">
        <f>'Parâmetros financeiros Despesa'!E105</f>
        <v>0</v>
      </c>
      <c r="K26" s="789">
        <f>('Parâmetros financeiros Despesa'!F106)*((1+'Parâmetros financeiros Despesa'!F$4)*(1+'Parâmetros financeiros Despesa'!F$5)*(1+'Parâmetros financeiros Despesa'!F$7)*(1+'Parâmetros financeiros Despesa'!F$83))</f>
        <v>79524.418283999985</v>
      </c>
      <c r="L26" s="799">
        <f t="shared" si="1"/>
        <v>0.11715409963943418</v>
      </c>
      <c r="M26" s="894"/>
      <c r="N26" s="894"/>
      <c r="O26" s="734"/>
    </row>
    <row r="27" spans="1:15" x14ac:dyDescent="0.25">
      <c r="A27" s="397"/>
      <c r="B27" s="1385" t="s">
        <v>5951</v>
      </c>
      <c r="C27" s="1385"/>
      <c r="D27" s="1385"/>
      <c r="E27" s="1385"/>
      <c r="F27" s="1385"/>
      <c r="G27" s="401"/>
      <c r="H27" s="401"/>
      <c r="I27" s="426"/>
      <c r="J27" s="402">
        <f t="shared" ref="J27:K29" si="3">J28</f>
        <v>436885.40375</v>
      </c>
      <c r="K27" s="402">
        <f t="shared" si="3"/>
        <v>532580.60851517355</v>
      </c>
      <c r="L27" s="451">
        <f t="shared" si="1"/>
        <v>0.78458922457243008</v>
      </c>
    </row>
    <row r="28" spans="1:15" x14ac:dyDescent="0.25">
      <c r="A28" s="397"/>
      <c r="B28" s="1386" t="s">
        <v>5965</v>
      </c>
      <c r="C28" s="1386"/>
      <c r="D28" s="1386"/>
      <c r="E28" s="1386"/>
      <c r="F28" s="1386"/>
      <c r="G28" s="403"/>
      <c r="H28" s="403"/>
      <c r="I28" s="427"/>
      <c r="J28" s="404">
        <f t="shared" si="3"/>
        <v>436885.40375</v>
      </c>
      <c r="K28" s="404">
        <f t="shared" si="3"/>
        <v>532580.60851517355</v>
      </c>
      <c r="L28" s="452">
        <f t="shared" si="1"/>
        <v>0.78458922457243008</v>
      </c>
    </row>
    <row r="29" spans="1:15" x14ac:dyDescent="0.25">
      <c r="A29" s="397"/>
      <c r="B29" s="1382" t="s">
        <v>2286</v>
      </c>
      <c r="C29" s="1382"/>
      <c r="D29" s="1382"/>
      <c r="E29" s="1382"/>
      <c r="F29" s="1382"/>
      <c r="G29" s="405"/>
      <c r="H29" s="405"/>
      <c r="I29" s="428"/>
      <c r="J29" s="406">
        <f t="shared" si="3"/>
        <v>436885.40375</v>
      </c>
      <c r="K29" s="406">
        <f t="shared" si="3"/>
        <v>532580.60851517355</v>
      </c>
      <c r="L29" s="453">
        <f t="shared" si="1"/>
        <v>0.78458922457243008</v>
      </c>
    </row>
    <row r="30" spans="1:15" x14ac:dyDescent="0.25">
      <c r="A30" s="397"/>
      <c r="B30" s="1383" t="s">
        <v>2290</v>
      </c>
      <c r="C30" s="1383"/>
      <c r="D30" s="1383"/>
      <c r="E30" s="1383"/>
      <c r="F30" s="1383"/>
      <c r="G30" s="407"/>
      <c r="H30" s="407"/>
      <c r="I30" s="429"/>
      <c r="J30" s="408">
        <f>J31+J32+J33+J34+J35+J36+J37+J38+J39+J40+J41+J42+J43+J44+J45+J46+0.01</f>
        <v>436885.40375</v>
      </c>
      <c r="K30" s="408">
        <f>K31+K32+K33+K34+K35+K36+K37+K38+K39+K40+K41+K42+K43+K44+K45+K46+0.01</f>
        <v>532580.60851517355</v>
      </c>
      <c r="L30" s="1007">
        <f t="shared" si="1"/>
        <v>0.78458922457243008</v>
      </c>
    </row>
    <row r="31" spans="1:15" s="115" customFormat="1" x14ac:dyDescent="0.25">
      <c r="A31" s="396"/>
      <c r="B31" s="1398" t="s">
        <v>6063</v>
      </c>
      <c r="C31" s="1398"/>
      <c r="D31" s="1398"/>
      <c r="E31" s="854">
        <v>331900400000000</v>
      </c>
      <c r="F31" s="855" t="s">
        <v>5851</v>
      </c>
      <c r="G31" s="468">
        <v>1</v>
      </c>
      <c r="H31" s="468">
        <v>0</v>
      </c>
      <c r="I31" s="751"/>
      <c r="J31" s="789">
        <f>(('Parâmetros financeiros Despesa'!E108))</f>
        <v>0</v>
      </c>
      <c r="K31" s="789">
        <f>(('Parâmetros financeiros Despesa'!F108)*2.05+(('Parâmetros financeiros Despesa'!F108)*11.28)*(1+'Parâmetros financeiros Despesa'!F$4)*(1+'Parâmetros financeiros Despesa'!F$8)*(1+1+'Parâmetros financeiros Despesa'!F$80))</f>
        <v>28.69636794185336</v>
      </c>
      <c r="L31" s="799">
        <f t="shared" si="1"/>
        <v>4.2275029754303206E-5</v>
      </c>
      <c r="M31" s="894"/>
      <c r="O31" s="733"/>
    </row>
    <row r="32" spans="1:15" s="115" customFormat="1" x14ac:dyDescent="0.25">
      <c r="A32" s="396"/>
      <c r="B32" s="1398" t="s">
        <v>7032</v>
      </c>
      <c r="C32" s="1398"/>
      <c r="D32" s="1398"/>
      <c r="E32" s="854">
        <v>331901100000000</v>
      </c>
      <c r="F32" s="855" t="s">
        <v>5732</v>
      </c>
      <c r="G32" s="468">
        <v>1</v>
      </c>
      <c r="H32" s="468">
        <v>0</v>
      </c>
      <c r="I32" s="751"/>
      <c r="J32" s="789">
        <f>('Parâmetros financeiros Despesa'!E110)</f>
        <v>303302.98375000001</v>
      </c>
      <c r="K32" s="789">
        <f>('Parâmetros financeiros Despesa'!F110)*2.05+(('Parâmetros financeiros Despesa'!F110)*11.28)*(1+'Parâmetros financeiros Despesa'!F$4)*(1+'Parâmetros financeiros Despesa'!F$8)</f>
        <v>352737.08746877417</v>
      </c>
      <c r="L32" s="799">
        <f t="shared" si="1"/>
        <v>0.51964662909272652</v>
      </c>
      <c r="M32" s="894"/>
      <c r="O32" s="733"/>
    </row>
    <row r="33" spans="1:15" s="115" customFormat="1" x14ac:dyDescent="0.25">
      <c r="A33" s="396"/>
      <c r="B33" s="1398" t="s">
        <v>6064</v>
      </c>
      <c r="C33" s="1398"/>
      <c r="D33" s="1398"/>
      <c r="E33" s="854">
        <v>331901300000000</v>
      </c>
      <c r="F33" s="855" t="s">
        <v>5735</v>
      </c>
      <c r="G33" s="468">
        <v>1</v>
      </c>
      <c r="H33" s="468">
        <v>0</v>
      </c>
      <c r="I33" s="751"/>
      <c r="J33" s="789">
        <f>'Parâmetros financeiros Despesa'!E111</f>
        <v>54700.489999999991</v>
      </c>
      <c r="K33" s="789">
        <f>(K34+K32)*'Parâmetros financeiros Despesa'!F12</f>
        <v>74077.719092860221</v>
      </c>
      <c r="L33" s="799">
        <f t="shared" si="1"/>
        <v>0.10913010960575673</v>
      </c>
      <c r="M33" s="894"/>
      <c r="O33" s="733"/>
    </row>
    <row r="34" spans="1:15" s="115" customFormat="1" x14ac:dyDescent="0.25">
      <c r="A34" s="396"/>
      <c r="B34" s="1398" t="s">
        <v>6065</v>
      </c>
      <c r="C34" s="1398"/>
      <c r="D34" s="1398"/>
      <c r="E34" s="854">
        <v>331901600000000</v>
      </c>
      <c r="F34" s="855" t="s">
        <v>5736</v>
      </c>
      <c r="G34" s="468">
        <v>1</v>
      </c>
      <c r="H34" s="468">
        <v>0</v>
      </c>
      <c r="I34" s="751"/>
      <c r="J34" s="789">
        <f>'Parâmetros financeiros Despesa'!F113</f>
        <v>1</v>
      </c>
      <c r="K34" s="789">
        <f>('Parâmetros financeiros Despesa'!F113)*2.05+(('Parâmetros financeiros Despesa'!F113)*11.28)*(1+'Parâmetros financeiros Despesa'!F$4)*(1+'Parâmetros financeiros Despesa'!F$8)</f>
        <v>13.955830560223728</v>
      </c>
      <c r="L34" s="799">
        <f t="shared" si="1"/>
        <v>2.055950611502258E-5</v>
      </c>
      <c r="M34" s="894"/>
      <c r="O34" s="733"/>
    </row>
    <row r="35" spans="1:15" s="115" customFormat="1" x14ac:dyDescent="0.25">
      <c r="A35" s="396"/>
      <c r="B35" s="1398" t="s">
        <v>6066</v>
      </c>
      <c r="C35" s="1398"/>
      <c r="D35" s="1398"/>
      <c r="E35" s="854">
        <v>333504300000000</v>
      </c>
      <c r="F35" s="855" t="s">
        <v>6567</v>
      </c>
      <c r="G35" s="468">
        <v>1</v>
      </c>
      <c r="H35" s="468">
        <v>0</v>
      </c>
      <c r="I35" s="751"/>
      <c r="J35" s="789">
        <f>'Parâmetros financeiros Despesa'!E115</f>
        <v>0</v>
      </c>
      <c r="K35" s="789">
        <f>('Parâmetros financeiros Despesa'!F115+'Parâmetros financeiros Despesa'!F116)*(1+'Parâmetros financeiros Despesa'!F$4)*(1+'Parâmetros financeiros Despesa'!F$7)</f>
        <v>5451.6575000000003</v>
      </c>
      <c r="L35" s="799">
        <f t="shared" si="1"/>
        <v>8.03129453489595E-3</v>
      </c>
      <c r="M35" s="894"/>
      <c r="N35" s="894"/>
      <c r="O35" s="733"/>
    </row>
    <row r="36" spans="1:15" s="115" customFormat="1" x14ac:dyDescent="0.25">
      <c r="A36" s="396"/>
      <c r="B36" s="1398" t="s">
        <v>6067</v>
      </c>
      <c r="C36" s="1398"/>
      <c r="D36" s="1398"/>
      <c r="E36" s="854">
        <v>333901400000000</v>
      </c>
      <c r="F36" s="855" t="s">
        <v>6568</v>
      </c>
      <c r="G36" s="468">
        <v>1</v>
      </c>
      <c r="H36" s="468">
        <v>0</v>
      </c>
      <c r="I36" s="751"/>
      <c r="J36" s="789">
        <f>'Parâmetros financeiros Despesa'!E118</f>
        <v>27187.5</v>
      </c>
      <c r="K36" s="789">
        <f>('Parâmetros financeiros Despesa'!F118)*2+(('Parâmetros financeiros Despesa'!F118)*10)*(1+'Parâmetros financeiros Despesa'!F$4)*(1+'Parâmetros financeiros Despesa'!F$8)</f>
        <v>28444.501208339436</v>
      </c>
      <c r="L36" s="799">
        <f t="shared" si="1"/>
        <v>4.1903983715480618E-2</v>
      </c>
      <c r="M36" s="894"/>
      <c r="N36" s="894"/>
      <c r="O36" s="733"/>
    </row>
    <row r="37" spans="1:15" s="115" customFormat="1" x14ac:dyDescent="0.25">
      <c r="A37" s="396"/>
      <c r="B37" s="1396">
        <v>7600</v>
      </c>
      <c r="C37" s="1396"/>
      <c r="D37" s="1396"/>
      <c r="E37" s="854">
        <v>333903000000000</v>
      </c>
      <c r="F37" s="855" t="s">
        <v>6569</v>
      </c>
      <c r="G37" s="468">
        <v>1</v>
      </c>
      <c r="H37" s="468">
        <v>0</v>
      </c>
      <c r="I37" s="751"/>
      <c r="J37" s="789">
        <f>'Parâmetros financeiros Despesa'!E120+'Parâmetros financeiros Despesa'!E121</f>
        <v>6993.7349999999997</v>
      </c>
      <c r="K37" s="789">
        <f>('Parâmetros financeiros Despesa'!F120+'Parâmetros financeiros Despesa'!F121)*(1+'Parâmetros financeiros Despesa'!F$4)*(1+'Parâmetros financeiros Despesa'!F$7)</f>
        <v>9806.1525731524998</v>
      </c>
      <c r="L37" s="799">
        <f t="shared" si="1"/>
        <v>1.4446266950760485E-2</v>
      </c>
      <c r="M37" s="894"/>
      <c r="N37" s="894"/>
      <c r="O37" s="733"/>
    </row>
    <row r="38" spans="1:15" x14ac:dyDescent="0.25">
      <c r="A38" s="397"/>
      <c r="B38" s="1396">
        <v>7700</v>
      </c>
      <c r="C38" s="1396"/>
      <c r="D38" s="1396"/>
      <c r="E38" s="854">
        <v>333903200000000</v>
      </c>
      <c r="F38" s="855" t="s">
        <v>1021</v>
      </c>
      <c r="G38" s="468">
        <v>1</v>
      </c>
      <c r="H38" s="468">
        <v>0</v>
      </c>
      <c r="I38" s="751"/>
      <c r="J38" s="789">
        <f>'Parâmetros financeiros Despesa'!E123</f>
        <v>0</v>
      </c>
      <c r="K38" s="789">
        <f>('Parâmetros financeiros Despesa'!F123)*(1+'Parâmetros financeiros Despesa'!F$4)*(1+'Parâmetros financeiros Despesa'!F$7)</f>
        <v>2180.663</v>
      </c>
      <c r="L38" s="799">
        <f t="shared" si="1"/>
        <v>3.2125178139583801E-3</v>
      </c>
      <c r="M38" s="894"/>
      <c r="N38" s="894"/>
    </row>
    <row r="39" spans="1:15" x14ac:dyDescent="0.25">
      <c r="A39" s="397"/>
      <c r="B39" s="1396">
        <v>7800</v>
      </c>
      <c r="C39" s="1396"/>
      <c r="D39" s="1396"/>
      <c r="E39" s="854">
        <v>333903300000000</v>
      </c>
      <c r="F39" s="855" t="s">
        <v>3469</v>
      </c>
      <c r="G39" s="468">
        <v>1</v>
      </c>
      <c r="H39" s="468">
        <v>0</v>
      </c>
      <c r="I39" s="751"/>
      <c r="J39" s="789">
        <f>'Parâmetros financeiros Despesa'!E125</f>
        <v>6077.0550000000003</v>
      </c>
      <c r="K39" s="789">
        <f>('Parâmetros financeiros Despesa'!F125)*(1+'Parâmetros financeiros Despesa'!F$4)*(1+'Parâmetros financeiros Despesa'!F$7)</f>
        <v>6626.0044937325001</v>
      </c>
      <c r="L39" s="799">
        <f t="shared" si="1"/>
        <v>9.761323721952422E-3</v>
      </c>
      <c r="M39" s="894"/>
      <c r="N39" s="894"/>
    </row>
    <row r="40" spans="1:15" x14ac:dyDescent="0.25">
      <c r="A40" s="397"/>
      <c r="B40" s="1398" t="s">
        <v>7034</v>
      </c>
      <c r="C40" s="1398"/>
      <c r="D40" s="1398"/>
      <c r="E40" s="854">
        <v>333903500000000</v>
      </c>
      <c r="F40" s="855" t="s">
        <v>2190</v>
      </c>
      <c r="G40" s="468">
        <v>1</v>
      </c>
      <c r="H40" s="468">
        <v>0</v>
      </c>
      <c r="I40" s="751"/>
      <c r="J40" s="789">
        <f>'Parâmetros financeiros Despesa'!E127</f>
        <v>0</v>
      </c>
      <c r="K40" s="789">
        <f>('Parâmetros financeiros Despesa'!F127)*(1+'Parâmetros financeiros Despesa'!F$4)*(1+'Parâmetros financeiros Despesa'!F$7)</f>
        <v>3270.9945000000002</v>
      </c>
      <c r="L40" s="799">
        <f t="shared" si="1"/>
        <v>4.8187767209375704E-3</v>
      </c>
      <c r="M40" s="894"/>
      <c r="N40" s="894"/>
    </row>
    <row r="41" spans="1:15" x14ac:dyDescent="0.25">
      <c r="A41" s="397"/>
      <c r="B41" s="1398" t="s">
        <v>7035</v>
      </c>
      <c r="C41" s="1398"/>
      <c r="D41" s="1398"/>
      <c r="E41" s="854">
        <v>333903600000000</v>
      </c>
      <c r="F41" s="855" t="s">
        <v>993</v>
      </c>
      <c r="G41" s="468">
        <v>1</v>
      </c>
      <c r="H41" s="468">
        <v>0</v>
      </c>
      <c r="I41" s="751"/>
      <c r="J41" s="789">
        <f>'Parâmetros financeiros Despesa'!E129</f>
        <v>1074.4499999999998</v>
      </c>
      <c r="K41" s="789">
        <f>('Parâmetros financeiros Despesa'!F129)*(1+'Parâmetros financeiros Despesa'!F$4)*(1+'Parâmetros financeiros Despesa'!F$7)</f>
        <v>1171.5066801749997</v>
      </c>
      <c r="L41" s="799">
        <f t="shared" ref="L41:L63" si="4">K41/K$85</f>
        <v>1.7258448826037902E-3</v>
      </c>
      <c r="M41" s="894"/>
      <c r="N41" s="894"/>
    </row>
    <row r="42" spans="1:15" x14ac:dyDescent="0.25">
      <c r="A42" s="397"/>
      <c r="B42" s="1398" t="s">
        <v>6068</v>
      </c>
      <c r="C42" s="1398"/>
      <c r="D42" s="1398"/>
      <c r="E42" s="854">
        <v>333903900000000</v>
      </c>
      <c r="F42" s="855" t="s">
        <v>2268</v>
      </c>
      <c r="G42" s="468">
        <v>1</v>
      </c>
      <c r="H42" s="468">
        <v>0</v>
      </c>
      <c r="I42" s="751"/>
      <c r="J42" s="789">
        <f>'Parâmetros financeiros Despesa'!E131</f>
        <v>37515.18</v>
      </c>
      <c r="K42" s="789">
        <f>('Parâmetros financeiros Despesa'!F131+'Parâmetros financeiros Despesa'!F132)*(1+'Parâmetros financeiros Despesa'!F$4)*(1+'Parâmetros financeiros Despesa'!F$7)</f>
        <v>44174.976982170003</v>
      </c>
      <c r="L42" s="799">
        <f t="shared" si="4"/>
        <v>6.5077868742865141E-2</v>
      </c>
      <c r="M42" s="894"/>
      <c r="N42" s="894"/>
    </row>
    <row r="43" spans="1:15" x14ac:dyDescent="0.25">
      <c r="A43" s="397"/>
      <c r="B43" s="1398" t="s">
        <v>6205</v>
      </c>
      <c r="C43" s="1398"/>
      <c r="D43" s="1398"/>
      <c r="E43" s="854">
        <v>333904700000000</v>
      </c>
      <c r="F43" s="855" t="s">
        <v>990</v>
      </c>
      <c r="G43" s="468">
        <v>1</v>
      </c>
      <c r="H43" s="468">
        <v>0</v>
      </c>
      <c r="I43" s="751"/>
      <c r="J43" s="789">
        <f>'Parâmetros financeiros Despesa'!E133</f>
        <v>33</v>
      </c>
      <c r="K43" s="789">
        <f>('Parâmetros financeiros Despesa'!F132+'Parâmetros financeiros Despesa'!F129+'Parâmetros financeiros Despesa'!F121)*((1+'Parâmetros financeiros Despesa'!F4)*(1+'Parâmetros financeiros Despesa'!F7)*('Parâmetros financeiros Despesa'!F83))</f>
        <v>1324.6328360350001</v>
      </c>
      <c r="L43" s="799">
        <f t="shared" si="4"/>
        <v>1.9514278834999483E-3</v>
      </c>
      <c r="M43" s="894"/>
      <c r="N43" s="894"/>
    </row>
    <row r="44" spans="1:15" x14ac:dyDescent="0.25">
      <c r="A44" s="397"/>
      <c r="B44" s="1398" t="s">
        <v>6206</v>
      </c>
      <c r="C44" s="1398"/>
      <c r="D44" s="1398"/>
      <c r="E44" s="854">
        <v>333904900000000</v>
      </c>
      <c r="F44" s="855" t="s">
        <v>7167</v>
      </c>
      <c r="G44" s="468">
        <v>1</v>
      </c>
      <c r="H44" s="468">
        <v>0</v>
      </c>
      <c r="I44" s="751"/>
      <c r="J44" s="789">
        <f>'Parâmetros financeiros Despesa'!E135</f>
        <v>0</v>
      </c>
      <c r="K44" s="789">
        <f>('Parâmetros financeiros Despesa'!F135)*((1+'Parâmetros financeiros Despesa'!F4)*(1+'Parâmetros financeiros Despesa'!F8))</f>
        <v>1.0554814326439474</v>
      </c>
      <c r="L44" s="799">
        <f t="shared" si="4"/>
        <v>1.5549183457833664E-6</v>
      </c>
      <c r="M44" s="894"/>
      <c r="N44" s="894"/>
    </row>
    <row r="45" spans="1:15" x14ac:dyDescent="0.25">
      <c r="A45" s="397"/>
      <c r="B45" s="1398" t="s">
        <v>7036</v>
      </c>
      <c r="C45" s="1398"/>
      <c r="D45" s="1398"/>
      <c r="E45" s="854">
        <v>333909300000000</v>
      </c>
      <c r="F45" s="855" t="s">
        <v>5818</v>
      </c>
      <c r="G45" s="468">
        <v>1</v>
      </c>
      <c r="H45" s="468">
        <v>0</v>
      </c>
      <c r="I45" s="751"/>
      <c r="J45" s="789">
        <f>'Parâmetros financeiros Despesa'!E137</f>
        <v>0</v>
      </c>
      <c r="K45" s="789">
        <f>('Parâmetros financeiros Despesa'!F137)*((1+'Parâmetros financeiros Despesa'!F4)*(1+'Parâmetros financeiros Despesa'!F7))</f>
        <v>1635.4972500000001</v>
      </c>
      <c r="L45" s="799">
        <f t="shared" si="4"/>
        <v>2.4093883604687852E-3</v>
      </c>
      <c r="M45" s="894"/>
      <c r="N45" s="894"/>
    </row>
    <row r="46" spans="1:15" x14ac:dyDescent="0.25">
      <c r="A46" s="397"/>
      <c r="B46" s="1398" t="s">
        <v>7037</v>
      </c>
      <c r="C46" s="1398"/>
      <c r="D46" s="1398"/>
      <c r="E46" s="854">
        <v>333933000000000</v>
      </c>
      <c r="F46" s="855" t="s">
        <v>7066</v>
      </c>
      <c r="G46" s="468">
        <v>1</v>
      </c>
      <c r="H46" s="468">
        <v>0</v>
      </c>
      <c r="I46" s="751"/>
      <c r="J46" s="789">
        <f>'Parâmetros financeiros Despesa'!E137</f>
        <v>0</v>
      </c>
      <c r="K46" s="789">
        <f>('Parâmetros financeiros Despesa'!F137)*((1+'Parâmetros financeiros Despesa'!F4)*(1+'Parâmetros financeiros Despesa'!F7))</f>
        <v>1635.4972500000001</v>
      </c>
      <c r="L46" s="799">
        <f t="shared" si="4"/>
        <v>2.4093883604687852E-3</v>
      </c>
      <c r="M46" s="894"/>
      <c r="N46" s="894"/>
    </row>
    <row r="47" spans="1:15" x14ac:dyDescent="0.25">
      <c r="A47" s="397"/>
      <c r="B47" s="1385" t="s">
        <v>5951</v>
      </c>
      <c r="C47" s="1385"/>
      <c r="D47" s="1385"/>
      <c r="E47" s="1385"/>
      <c r="F47" s="1385"/>
      <c r="G47" s="401"/>
      <c r="H47" s="401"/>
      <c r="I47" s="426"/>
      <c r="J47" s="402">
        <f t="shared" ref="J47:K50" si="5">J48</f>
        <v>5023.68</v>
      </c>
      <c r="K47" s="402">
        <f t="shared" si="5"/>
        <v>5477.4765499200003</v>
      </c>
      <c r="L47" s="451">
        <f t="shared" si="4"/>
        <v>8.069330745813218E-3</v>
      </c>
    </row>
    <row r="48" spans="1:15" x14ac:dyDescent="0.25">
      <c r="A48" s="397"/>
      <c r="B48" s="1386" t="s">
        <v>6061</v>
      </c>
      <c r="C48" s="1386"/>
      <c r="D48" s="1386"/>
      <c r="E48" s="1386"/>
      <c r="F48" s="1386"/>
      <c r="G48" s="403"/>
      <c r="H48" s="403"/>
      <c r="I48" s="427"/>
      <c r="J48" s="404">
        <f t="shared" si="5"/>
        <v>5023.68</v>
      </c>
      <c r="K48" s="404">
        <f t="shared" si="5"/>
        <v>5477.4765499200003</v>
      </c>
      <c r="L48" s="452">
        <f t="shared" si="4"/>
        <v>8.069330745813218E-3</v>
      </c>
    </row>
    <row r="49" spans="1:15" x14ac:dyDescent="0.25">
      <c r="A49" s="397"/>
      <c r="B49" s="1382" t="s">
        <v>2286</v>
      </c>
      <c r="C49" s="1382"/>
      <c r="D49" s="1382"/>
      <c r="E49" s="1382"/>
      <c r="F49" s="1382"/>
      <c r="G49" s="405"/>
      <c r="H49" s="405"/>
      <c r="I49" s="428"/>
      <c r="J49" s="406">
        <f t="shared" si="5"/>
        <v>5023.68</v>
      </c>
      <c r="K49" s="406">
        <f t="shared" si="5"/>
        <v>5477.4765499200003</v>
      </c>
      <c r="L49" s="453">
        <f t="shared" si="4"/>
        <v>8.069330745813218E-3</v>
      </c>
    </row>
    <row r="50" spans="1:15" x14ac:dyDescent="0.25">
      <c r="A50" s="397"/>
      <c r="B50" s="1383" t="s">
        <v>2290</v>
      </c>
      <c r="C50" s="1383"/>
      <c r="D50" s="1383"/>
      <c r="E50" s="1383"/>
      <c r="F50" s="1383"/>
      <c r="G50" s="407"/>
      <c r="H50" s="407"/>
      <c r="I50" s="429"/>
      <c r="J50" s="408">
        <f t="shared" si="5"/>
        <v>5023.68</v>
      </c>
      <c r="K50" s="408">
        <f t="shared" si="5"/>
        <v>5477.4765499200003</v>
      </c>
      <c r="L50" s="1007">
        <f t="shared" si="4"/>
        <v>8.069330745813218E-3</v>
      </c>
    </row>
    <row r="51" spans="1:15" x14ac:dyDescent="0.25">
      <c r="A51" s="397"/>
      <c r="B51" s="1398" t="s">
        <v>6919</v>
      </c>
      <c r="C51" s="1398"/>
      <c r="D51" s="1398"/>
      <c r="E51" s="854">
        <v>331717000000000</v>
      </c>
      <c r="F51" s="855" t="s">
        <v>4792</v>
      </c>
      <c r="G51" s="468">
        <v>1</v>
      </c>
      <c r="H51" s="468">
        <v>0</v>
      </c>
      <c r="I51" s="751"/>
      <c r="J51" s="789">
        <f>('Parâmetros financeiros Despesa'!E142)</f>
        <v>5023.68</v>
      </c>
      <c r="K51" s="789">
        <f>('Parâmetros financeiros Despesa'!F142)*((1+'Parâmetros financeiros Despesa'!F4)*(1+'Parâmetros financeiros Despesa'!F7))</f>
        <v>5477.4765499200003</v>
      </c>
      <c r="L51" s="799">
        <f t="shared" si="4"/>
        <v>8.069330745813218E-3</v>
      </c>
    </row>
    <row r="52" spans="1:15" x14ac:dyDescent="0.25">
      <c r="A52" s="397"/>
      <c r="B52" s="1385" t="s">
        <v>6059</v>
      </c>
      <c r="C52" s="1385"/>
      <c r="D52" s="1385"/>
      <c r="E52" s="1385"/>
      <c r="F52" s="1385"/>
      <c r="G52" s="401"/>
      <c r="H52" s="401"/>
      <c r="I52" s="426"/>
      <c r="J52" s="402">
        <f t="shared" ref="J52:K54" si="6">J53</f>
        <v>16749.870000000003</v>
      </c>
      <c r="K52" s="402">
        <f t="shared" si="6"/>
        <v>30284.884194275</v>
      </c>
      <c r="L52" s="451">
        <f t="shared" si="4"/>
        <v>4.4615206461417936E-2</v>
      </c>
    </row>
    <row r="53" spans="1:15" x14ac:dyDescent="0.25">
      <c r="A53" s="397"/>
      <c r="B53" s="1386" t="s">
        <v>6060</v>
      </c>
      <c r="C53" s="1386"/>
      <c r="D53" s="1386"/>
      <c r="E53" s="1386"/>
      <c r="F53" s="1386"/>
      <c r="G53" s="403"/>
      <c r="H53" s="403"/>
      <c r="I53" s="427"/>
      <c r="J53" s="404">
        <f t="shared" si="6"/>
        <v>16749.870000000003</v>
      </c>
      <c r="K53" s="404">
        <f t="shared" si="6"/>
        <v>30284.884194275</v>
      </c>
      <c r="L53" s="452">
        <f t="shared" si="4"/>
        <v>4.4615206461417936E-2</v>
      </c>
    </row>
    <row r="54" spans="1:15" x14ac:dyDescent="0.25">
      <c r="A54" s="397"/>
      <c r="B54" s="1382" t="s">
        <v>2286</v>
      </c>
      <c r="C54" s="1382"/>
      <c r="D54" s="1382"/>
      <c r="E54" s="1382"/>
      <c r="F54" s="1382"/>
      <c r="G54" s="405"/>
      <c r="H54" s="405"/>
      <c r="I54" s="428"/>
      <c r="J54" s="406">
        <f t="shared" si="6"/>
        <v>16749.870000000003</v>
      </c>
      <c r="K54" s="406">
        <f t="shared" si="6"/>
        <v>30284.884194275</v>
      </c>
      <c r="L54" s="453">
        <f t="shared" si="4"/>
        <v>4.4615206461417936E-2</v>
      </c>
    </row>
    <row r="55" spans="1:15" x14ac:dyDescent="0.25">
      <c r="A55" s="397"/>
      <c r="B55" s="1383" t="s">
        <v>2290</v>
      </c>
      <c r="C55" s="1383"/>
      <c r="D55" s="1383"/>
      <c r="E55" s="1383"/>
      <c r="F55" s="1383"/>
      <c r="G55" s="407"/>
      <c r="H55" s="407"/>
      <c r="I55" s="429"/>
      <c r="J55" s="408">
        <f>SUM(J56+J57+J58+J59)</f>
        <v>16749.870000000003</v>
      </c>
      <c r="K55" s="408">
        <f>SUM(K56+K57+K58+K59)</f>
        <v>30284.884194275</v>
      </c>
      <c r="L55" s="1007">
        <f t="shared" si="4"/>
        <v>4.4615206461417936E-2</v>
      </c>
    </row>
    <row r="56" spans="1:15" x14ac:dyDescent="0.25">
      <c r="A56" s="397"/>
      <c r="B56" s="1398" t="s">
        <v>6069</v>
      </c>
      <c r="C56" s="1398"/>
      <c r="D56" s="1398"/>
      <c r="E56" s="854">
        <v>333903000000000</v>
      </c>
      <c r="F56" s="855" t="s">
        <v>996</v>
      </c>
      <c r="G56" s="468">
        <v>1</v>
      </c>
      <c r="H56" s="468">
        <v>0</v>
      </c>
      <c r="I56" s="751"/>
      <c r="J56" s="789">
        <f>('Parâmetros financeiros Despesa'!E145+'Parâmetros financeiros Despesa'!E146)</f>
        <v>374.52</v>
      </c>
      <c r="K56" s="789">
        <f>('Parâmetros financeiros Despesa'!F145+'Parâmetros financeiros Despesa'!F146)*((1+'Parâmetros financeiros Despesa'!F$4)*(1+'Parâmetros financeiros Despesa'!F$7))</f>
        <v>7825.8761478800006</v>
      </c>
      <c r="L56" s="799">
        <f t="shared" si="4"/>
        <v>1.1528955430021278E-2</v>
      </c>
      <c r="M56" s="894"/>
      <c r="N56" s="894"/>
    </row>
    <row r="57" spans="1:15" x14ac:dyDescent="0.25">
      <c r="A57" s="397"/>
      <c r="B57" s="1398" t="s">
        <v>6070</v>
      </c>
      <c r="C57" s="1398"/>
      <c r="D57" s="1398"/>
      <c r="E57" s="854">
        <v>333903600000000</v>
      </c>
      <c r="F57" s="855" t="s">
        <v>993</v>
      </c>
      <c r="G57" s="468">
        <v>1</v>
      </c>
      <c r="H57" s="468">
        <v>0</v>
      </c>
      <c r="I57" s="751"/>
      <c r="J57" s="789">
        <f>'Parâmetros financeiros Despesa'!E147</f>
        <v>9114.9000000000015</v>
      </c>
      <c r="K57" s="789">
        <f>'Parâmetros financeiros Despesa'!F147*((1+'Parâmetros financeiros Despesa'!F4)*(1+'Parâmetros financeiros Despesa'!F7))</f>
        <v>9938.2625893500008</v>
      </c>
      <c r="L57" s="799">
        <f t="shared" si="4"/>
        <v>1.464088931122462E-2</v>
      </c>
      <c r="M57" s="894"/>
      <c r="N57" s="894"/>
    </row>
    <row r="58" spans="1:15" x14ac:dyDescent="0.25">
      <c r="A58" s="397"/>
      <c r="B58" s="1398" t="s">
        <v>6920</v>
      </c>
      <c r="C58" s="1398"/>
      <c r="D58" s="1398"/>
      <c r="E58" s="854">
        <v>333903900000000</v>
      </c>
      <c r="F58" s="855" t="s">
        <v>992</v>
      </c>
      <c r="G58" s="468">
        <v>1</v>
      </c>
      <c r="H58" s="468">
        <v>0</v>
      </c>
      <c r="I58" s="751"/>
      <c r="J58" s="789">
        <f>'Parâmetros financeiros Despesa'!E148+'Parâmetros financeiros Despesa'!E149</f>
        <v>7260.4500000000007</v>
      </c>
      <c r="K58" s="789">
        <f>('Parâmetros financeiros Despesa'!F148+'Parâmetros financeiros Despesa'!F149)*((1+'Parâmetros financeiros Despesa'!F4)*(1+'Parâmetros financeiros Despesa'!F7))</f>
        <v>10096.960339175001</v>
      </c>
      <c r="L58" s="799">
        <f t="shared" si="4"/>
        <v>1.4874680295135442E-2</v>
      </c>
      <c r="M58" s="894"/>
      <c r="N58" s="894"/>
    </row>
    <row r="59" spans="1:15" x14ac:dyDescent="0.25">
      <c r="A59" s="397"/>
      <c r="B59" s="1398" t="s">
        <v>6925</v>
      </c>
      <c r="C59" s="1398"/>
      <c r="D59" s="1398"/>
      <c r="E59" s="854">
        <v>333904700000000</v>
      </c>
      <c r="F59" s="855" t="s">
        <v>990</v>
      </c>
      <c r="G59" s="468">
        <v>1</v>
      </c>
      <c r="H59" s="468">
        <v>0</v>
      </c>
      <c r="I59" s="751"/>
      <c r="J59" s="789">
        <f>'Parâmetros financeiros Despesa'!E150</f>
        <v>0</v>
      </c>
      <c r="K59" s="789">
        <f>(('Parâmetros financeiros Despesa'!F147+'Parâmetros financeiros Despesa'!F149)*((1+'Parâmetros financeiros Despesa'!F4)*(1+'Parâmetros financeiros Despesa'!F7)))*('Parâmetros financeiros Despesa'!F83)</f>
        <v>2423.7851178700002</v>
      </c>
      <c r="L59" s="799">
        <f t="shared" si="4"/>
        <v>3.5706814250366001E-3</v>
      </c>
      <c r="M59" s="894"/>
      <c r="N59" s="894"/>
    </row>
    <row r="60" spans="1:15" s="31" customFormat="1" x14ac:dyDescent="0.25">
      <c r="A60" s="472"/>
      <c r="B60" s="1385" t="s">
        <v>6055</v>
      </c>
      <c r="C60" s="1385"/>
      <c r="D60" s="1385"/>
      <c r="E60" s="1385"/>
      <c r="F60" s="1385"/>
      <c r="G60" s="401"/>
      <c r="H60" s="401"/>
      <c r="I60" s="426"/>
      <c r="J60" s="402">
        <f t="shared" ref="J60:K62" si="7">J61</f>
        <v>0</v>
      </c>
      <c r="K60" s="402">
        <f t="shared" si="7"/>
        <v>3493.8405500000003</v>
      </c>
      <c r="L60" s="451">
        <f t="shared" si="4"/>
        <v>5.1470699534981543E-3</v>
      </c>
      <c r="M60" s="897"/>
      <c r="O60" s="736"/>
    </row>
    <row r="61" spans="1:15" s="31" customFormat="1" x14ac:dyDescent="0.25">
      <c r="A61" s="472"/>
      <c r="B61" s="1386" t="s">
        <v>6056</v>
      </c>
      <c r="C61" s="1386"/>
      <c r="D61" s="1386"/>
      <c r="E61" s="1386"/>
      <c r="F61" s="1386"/>
      <c r="G61" s="403"/>
      <c r="H61" s="403"/>
      <c r="I61" s="427"/>
      <c r="J61" s="404">
        <f t="shared" si="7"/>
        <v>0</v>
      </c>
      <c r="K61" s="404">
        <f t="shared" si="7"/>
        <v>3493.8405500000003</v>
      </c>
      <c r="L61" s="452">
        <f t="shared" si="4"/>
        <v>5.1470699534981543E-3</v>
      </c>
      <c r="M61" s="897"/>
      <c r="O61" s="736"/>
    </row>
    <row r="62" spans="1:15" s="31" customFormat="1" x14ac:dyDescent="0.25">
      <c r="A62" s="472"/>
      <c r="B62" s="1382" t="s">
        <v>2286</v>
      </c>
      <c r="C62" s="1382"/>
      <c r="D62" s="1382"/>
      <c r="E62" s="1382"/>
      <c r="F62" s="1382"/>
      <c r="G62" s="405"/>
      <c r="H62" s="405"/>
      <c r="I62" s="428"/>
      <c r="J62" s="406">
        <f t="shared" si="7"/>
        <v>0</v>
      </c>
      <c r="K62" s="406">
        <f t="shared" si="7"/>
        <v>3493.8405500000003</v>
      </c>
      <c r="L62" s="453">
        <f t="shared" si="4"/>
        <v>5.1470699534981543E-3</v>
      </c>
      <c r="M62" s="897"/>
      <c r="O62" s="736"/>
    </row>
    <row r="63" spans="1:15" s="31" customFormat="1" x14ac:dyDescent="0.25">
      <c r="A63" s="472"/>
      <c r="B63" s="1383" t="s">
        <v>6057</v>
      </c>
      <c r="C63" s="1383"/>
      <c r="D63" s="1383"/>
      <c r="E63" s="1383"/>
      <c r="F63" s="1383"/>
      <c r="G63" s="407"/>
      <c r="H63" s="407"/>
      <c r="I63" s="429"/>
      <c r="J63" s="408">
        <f>SUM(J64:J70)</f>
        <v>0</v>
      </c>
      <c r="K63" s="408">
        <f>SUM(K64:K70)+0.03</f>
        <v>3493.8405500000003</v>
      </c>
      <c r="L63" s="1007">
        <f t="shared" si="4"/>
        <v>5.1470699534981543E-3</v>
      </c>
      <c r="M63" s="897"/>
      <c r="O63" s="736"/>
    </row>
    <row r="64" spans="1:15" s="31" customFormat="1" x14ac:dyDescent="0.25">
      <c r="A64" s="472"/>
      <c r="B64" s="1398" t="s">
        <v>6926</v>
      </c>
      <c r="C64" s="1398"/>
      <c r="D64" s="1398"/>
      <c r="E64" s="854">
        <v>333903000000000</v>
      </c>
      <c r="F64" s="855" t="s">
        <v>996</v>
      </c>
      <c r="G64" s="468">
        <v>1</v>
      </c>
      <c r="H64" s="468">
        <v>0</v>
      </c>
      <c r="I64" s="751"/>
      <c r="J64" s="789">
        <f>'Parâmetros financeiros Despesa'!E153</f>
        <v>0</v>
      </c>
      <c r="K64" s="789">
        <f>'Parâmetros financeiros Despesa'!F153*((1+'Parâmetros financeiros Despesa'!F$4)*(1+'Parâmetros financeiros Despesa'!F$7))</f>
        <v>545.16575</v>
      </c>
      <c r="L64" s="799">
        <f t="shared" ref="L64:L70" si="8">K64/K$85</f>
        <v>8.0312945348959503E-4</v>
      </c>
      <c r="M64" s="894"/>
      <c r="N64" s="894"/>
      <c r="O64" s="736"/>
    </row>
    <row r="65" spans="1:15" s="31" customFormat="1" x14ac:dyDescent="0.25">
      <c r="A65" s="472"/>
      <c r="B65" s="1398" t="s">
        <v>6927</v>
      </c>
      <c r="C65" s="1398"/>
      <c r="D65" s="1398"/>
      <c r="E65" s="854">
        <v>333903200000000</v>
      </c>
      <c r="F65" s="855" t="s">
        <v>1021</v>
      </c>
      <c r="G65" s="468">
        <v>1</v>
      </c>
      <c r="H65" s="468">
        <v>0</v>
      </c>
      <c r="I65" s="751"/>
      <c r="J65" s="789">
        <f>'Parâmetros financeiros Despesa'!E154</f>
        <v>0</v>
      </c>
      <c r="K65" s="789">
        <f>'Parâmetros financeiros Despesa'!F154*((1+'Parâmetros financeiros Despesa'!F$4)*(1+'Parâmetros financeiros Despesa'!F$7))</f>
        <v>545.16575</v>
      </c>
      <c r="L65" s="799">
        <f t="shared" si="8"/>
        <v>8.0312945348959503E-4</v>
      </c>
      <c r="M65" s="894"/>
      <c r="N65" s="894"/>
      <c r="O65" s="736"/>
    </row>
    <row r="66" spans="1:15" s="31" customFormat="1" x14ac:dyDescent="0.25">
      <c r="A66" s="472"/>
      <c r="B66" s="1398" t="s">
        <v>6928</v>
      </c>
      <c r="C66" s="1398"/>
      <c r="D66" s="1398"/>
      <c r="E66" s="854">
        <v>333903600000000</v>
      </c>
      <c r="F66" s="855" t="s">
        <v>993</v>
      </c>
      <c r="G66" s="468">
        <v>1</v>
      </c>
      <c r="H66" s="468">
        <v>0</v>
      </c>
      <c r="I66" s="751"/>
      <c r="J66" s="789">
        <f>'Parâmetros financeiros Despesa'!E155</f>
        <v>0</v>
      </c>
      <c r="K66" s="789">
        <f>'Parâmetros financeiros Despesa'!F155*((1+'Parâmetros financeiros Despesa'!F$4)*(1+'Parâmetros financeiros Despesa'!F$7))</f>
        <v>545.16575</v>
      </c>
      <c r="L66" s="799">
        <f t="shared" si="8"/>
        <v>8.0312945348959503E-4</v>
      </c>
      <c r="M66" s="894"/>
      <c r="N66" s="894"/>
      <c r="O66" s="736"/>
    </row>
    <row r="67" spans="1:15" s="31" customFormat="1" x14ac:dyDescent="0.25">
      <c r="A67" s="472"/>
      <c r="B67" s="1398" t="s">
        <v>6929</v>
      </c>
      <c r="C67" s="1398"/>
      <c r="D67" s="1398"/>
      <c r="E67" s="854">
        <v>333903900000000</v>
      </c>
      <c r="F67" s="855" t="s">
        <v>992</v>
      </c>
      <c r="G67" s="468">
        <v>1</v>
      </c>
      <c r="H67" s="468">
        <v>0</v>
      </c>
      <c r="I67" s="751"/>
      <c r="J67" s="789">
        <f>'Parâmetros financeiros Despesa'!E156</f>
        <v>0</v>
      </c>
      <c r="K67" s="789">
        <f>'Parâmetros financeiros Despesa'!F156*((1+'Parâmetros financeiros Despesa'!F$4)*(1+'Parâmetros financeiros Despesa'!F$7))</f>
        <v>545.16575</v>
      </c>
      <c r="L67" s="799">
        <f t="shared" si="8"/>
        <v>8.0312945348959503E-4</v>
      </c>
      <c r="M67" s="894"/>
      <c r="N67" s="894"/>
      <c r="O67" s="736"/>
    </row>
    <row r="68" spans="1:15" s="31" customFormat="1" x14ac:dyDescent="0.25">
      <c r="A68" s="472"/>
      <c r="B68" s="1398" t="s">
        <v>6930</v>
      </c>
      <c r="C68" s="1398"/>
      <c r="D68" s="1398"/>
      <c r="E68" s="854">
        <v>333904700000000</v>
      </c>
      <c r="F68" s="855" t="s">
        <v>990</v>
      </c>
      <c r="G68" s="468">
        <v>1</v>
      </c>
      <c r="H68" s="468">
        <v>0</v>
      </c>
      <c r="I68" s="751"/>
      <c r="J68" s="789">
        <f>'Parâmetros financeiros Despesa'!E157</f>
        <v>0</v>
      </c>
      <c r="K68" s="789">
        <f>(('Parâmetros financeiros Despesa'!F155+'Parâmetros financeiros Despesa'!F157)*((1+'Parâmetros financeiros Despesa'!F$4)*(1+'Parâmetros financeiros Despesa'!F$4)))*('Parâmetros financeiros Despesa'!F$83)</f>
        <v>222.81605000000005</v>
      </c>
      <c r="L68" s="799">
        <f t="shared" si="8"/>
        <v>3.2824903704095556E-4</v>
      </c>
      <c r="M68" s="894"/>
      <c r="N68" s="894"/>
      <c r="O68" s="736"/>
    </row>
    <row r="69" spans="1:15" s="31" customFormat="1" x14ac:dyDescent="0.25">
      <c r="A69" s="472"/>
      <c r="B69" s="1398" t="s">
        <v>6931</v>
      </c>
      <c r="C69" s="1398"/>
      <c r="D69" s="1398"/>
      <c r="E69" s="854">
        <v>344905100000000</v>
      </c>
      <c r="F69" s="855" t="s">
        <v>1029</v>
      </c>
      <c r="G69" s="468">
        <v>1</v>
      </c>
      <c r="H69" s="468">
        <v>0</v>
      </c>
      <c r="I69" s="751"/>
      <c r="J69" s="789">
        <f>'Parâmetros financeiros Despesa'!E158</f>
        <v>0</v>
      </c>
      <c r="K69" s="789">
        <f>'Parâmetros financeiros Despesa'!F158*((1+'Parâmetros financeiros Despesa'!F$4)*(1+'Parâmetros financeiros Despesa'!F$7))</f>
        <v>545.16575</v>
      </c>
      <c r="L69" s="799">
        <f t="shared" si="8"/>
        <v>8.0312945348959503E-4</v>
      </c>
      <c r="M69" s="894"/>
      <c r="N69" s="894"/>
      <c r="O69" s="736"/>
    </row>
    <row r="70" spans="1:15" s="31" customFormat="1" x14ac:dyDescent="0.25">
      <c r="A70" s="472"/>
      <c r="B70" s="1398" t="s">
        <v>6932</v>
      </c>
      <c r="C70" s="1398"/>
      <c r="D70" s="1398"/>
      <c r="E70" s="854">
        <v>344905200000000</v>
      </c>
      <c r="F70" s="855" t="s">
        <v>997</v>
      </c>
      <c r="G70" s="468">
        <v>1</v>
      </c>
      <c r="H70" s="468">
        <v>0</v>
      </c>
      <c r="I70" s="751"/>
      <c r="J70" s="789">
        <f>'Parâmetros financeiros Despesa'!E159</f>
        <v>0</v>
      </c>
      <c r="K70" s="789">
        <f>'Parâmetros financeiros Despesa'!F159*((1+'Parâmetros financeiros Despesa'!F$4)*(1+'Parâmetros financeiros Despesa'!F$7))</f>
        <v>545.16575</v>
      </c>
      <c r="L70" s="799">
        <f t="shared" si="8"/>
        <v>8.0312945348959503E-4</v>
      </c>
      <c r="M70" s="894"/>
      <c r="N70" s="894"/>
      <c r="O70" s="736"/>
    </row>
    <row r="71" spans="1:15" s="31" customFormat="1" x14ac:dyDescent="0.25">
      <c r="A71" s="472"/>
      <c r="B71" s="1385" t="s">
        <v>6055</v>
      </c>
      <c r="C71" s="1385"/>
      <c r="D71" s="1385"/>
      <c r="E71" s="1385"/>
      <c r="F71" s="1385"/>
      <c r="G71" s="401"/>
      <c r="H71" s="401"/>
      <c r="I71" s="426"/>
      <c r="J71" s="402">
        <f t="shared" ref="J71:K73" si="9">J72</f>
        <v>0</v>
      </c>
      <c r="K71" s="402">
        <f t="shared" si="9"/>
        <v>3816.1602500000004</v>
      </c>
      <c r="L71" s="451">
        <f>K71/K$85</f>
        <v>5.6219061744271657E-3</v>
      </c>
      <c r="M71" s="897"/>
      <c r="O71" s="736"/>
    </row>
    <row r="72" spans="1:15" s="31" customFormat="1" x14ac:dyDescent="0.25">
      <c r="A72" s="472"/>
      <c r="B72" s="1386" t="s">
        <v>6058</v>
      </c>
      <c r="C72" s="1386"/>
      <c r="D72" s="1386"/>
      <c r="E72" s="1386"/>
      <c r="F72" s="1386"/>
      <c r="G72" s="403"/>
      <c r="H72" s="403"/>
      <c r="I72" s="427"/>
      <c r="J72" s="404">
        <f t="shared" si="9"/>
        <v>0</v>
      </c>
      <c r="K72" s="404">
        <f t="shared" si="9"/>
        <v>3816.1602500000004</v>
      </c>
      <c r="L72" s="452">
        <f>K72/K$85</f>
        <v>5.6219061744271657E-3</v>
      </c>
      <c r="M72" s="897"/>
      <c r="O72" s="736"/>
    </row>
    <row r="73" spans="1:15" s="31" customFormat="1" x14ac:dyDescent="0.25">
      <c r="A73" s="472"/>
      <c r="B73" s="1382" t="s">
        <v>2286</v>
      </c>
      <c r="C73" s="1382"/>
      <c r="D73" s="1382"/>
      <c r="E73" s="1382"/>
      <c r="F73" s="1382"/>
      <c r="G73" s="405"/>
      <c r="H73" s="405"/>
      <c r="I73" s="428"/>
      <c r="J73" s="406">
        <f t="shared" si="9"/>
        <v>0</v>
      </c>
      <c r="K73" s="406">
        <f t="shared" si="9"/>
        <v>3816.1602500000004</v>
      </c>
      <c r="L73" s="453">
        <f>K73/K$85</f>
        <v>5.6219061744271657E-3</v>
      </c>
      <c r="M73" s="897"/>
      <c r="O73" s="736"/>
    </row>
    <row r="74" spans="1:15" s="31" customFormat="1" x14ac:dyDescent="0.25">
      <c r="A74" s="472"/>
      <c r="B74" s="1383" t="s">
        <v>6057</v>
      </c>
      <c r="C74" s="1383"/>
      <c r="D74" s="1383"/>
      <c r="E74" s="1383"/>
      <c r="F74" s="1383"/>
      <c r="G74" s="407"/>
      <c r="H74" s="407"/>
      <c r="I74" s="429"/>
      <c r="J74" s="408">
        <f>SUM(J75:J81)</f>
        <v>0</v>
      </c>
      <c r="K74" s="408">
        <f>SUM(K75:K81)</f>
        <v>3816.1602500000004</v>
      </c>
      <c r="L74" s="454">
        <f>K74/K$85</f>
        <v>5.6219061744271657E-3</v>
      </c>
      <c r="M74" s="897"/>
      <c r="O74" s="736"/>
    </row>
    <row r="75" spans="1:15" s="31" customFormat="1" x14ac:dyDescent="0.25">
      <c r="A75" s="472"/>
      <c r="B75" s="1398" t="s">
        <v>6933</v>
      </c>
      <c r="C75" s="1398"/>
      <c r="D75" s="1398"/>
      <c r="E75" s="854">
        <v>333903000000000</v>
      </c>
      <c r="F75" s="855" t="s">
        <v>996</v>
      </c>
      <c r="G75" s="468">
        <v>1</v>
      </c>
      <c r="H75" s="468">
        <v>0</v>
      </c>
      <c r="I75" s="751"/>
      <c r="J75" s="789">
        <f>'Parâmetros financeiros Despesa'!E163</f>
        <v>0</v>
      </c>
      <c r="K75" s="789">
        <f>'Parâmetros financeiros Despesa'!F163*((1+'Parâmetros financeiros Despesa'!F$4)*(1+'Parâmetros financeiros Despesa'!F$7))</f>
        <v>545.16575</v>
      </c>
      <c r="L75" s="799">
        <f t="shared" ref="L75:L80" si="10">K75/K$85</f>
        <v>8.0312945348959503E-4</v>
      </c>
      <c r="M75" s="894"/>
      <c r="N75" s="894"/>
      <c r="O75" s="736"/>
    </row>
    <row r="76" spans="1:15" s="31" customFormat="1" x14ac:dyDescent="0.25">
      <c r="A76" s="472"/>
      <c r="B76" s="1398" t="s">
        <v>6934</v>
      </c>
      <c r="C76" s="1398"/>
      <c r="D76" s="1398"/>
      <c r="E76" s="854">
        <v>333903200000000</v>
      </c>
      <c r="F76" s="855" t="s">
        <v>1021</v>
      </c>
      <c r="G76" s="468">
        <v>1</v>
      </c>
      <c r="H76" s="468">
        <v>0</v>
      </c>
      <c r="I76" s="751"/>
      <c r="J76" s="789">
        <f>'Parâmetros financeiros Despesa'!E164</f>
        <v>0</v>
      </c>
      <c r="K76" s="789">
        <f>'Parâmetros financeiros Despesa'!F164*((1+'Parâmetros financeiros Despesa'!F$4)*(1+'Parâmetros financeiros Despesa'!F$7))</f>
        <v>545.16575</v>
      </c>
      <c r="L76" s="799">
        <f t="shared" si="10"/>
        <v>8.0312945348959503E-4</v>
      </c>
      <c r="M76" s="894"/>
      <c r="N76" s="894"/>
      <c r="O76" s="736"/>
    </row>
    <row r="77" spans="1:15" s="31" customFormat="1" x14ac:dyDescent="0.25">
      <c r="A77" s="472"/>
      <c r="B77" s="1398" t="s">
        <v>6935</v>
      </c>
      <c r="C77" s="1398"/>
      <c r="D77" s="1398"/>
      <c r="E77" s="854">
        <v>333903600000000</v>
      </c>
      <c r="F77" s="855" t="s">
        <v>993</v>
      </c>
      <c r="G77" s="468">
        <v>1</v>
      </c>
      <c r="H77" s="468">
        <v>0</v>
      </c>
      <c r="I77" s="751"/>
      <c r="J77" s="789">
        <f>'Parâmetros financeiros Despesa'!E165</f>
        <v>0</v>
      </c>
      <c r="K77" s="789">
        <f>'Parâmetros financeiros Despesa'!F165*((1+'Parâmetros financeiros Despesa'!F$4)*(1+'Parâmetros financeiros Despesa'!F$7))</f>
        <v>545.16575</v>
      </c>
      <c r="L77" s="799">
        <f t="shared" si="10"/>
        <v>8.0312945348959503E-4</v>
      </c>
      <c r="M77" s="894"/>
      <c r="N77" s="894"/>
      <c r="O77" s="736"/>
    </row>
    <row r="78" spans="1:15" s="31" customFormat="1" x14ac:dyDescent="0.25">
      <c r="A78" s="472"/>
      <c r="B78" s="1398" t="s">
        <v>6936</v>
      </c>
      <c r="C78" s="1398"/>
      <c r="D78" s="1398"/>
      <c r="E78" s="854">
        <v>333903900000000</v>
      </c>
      <c r="F78" s="855" t="s">
        <v>992</v>
      </c>
      <c r="G78" s="468">
        <v>1</v>
      </c>
      <c r="H78" s="468">
        <v>0</v>
      </c>
      <c r="I78" s="751"/>
      <c r="J78" s="789">
        <f>'Parâmetros financeiros Despesa'!E166</f>
        <v>0</v>
      </c>
      <c r="K78" s="789">
        <f>'Parâmetros financeiros Despesa'!F166*((1+'Parâmetros financeiros Despesa'!F$4)*(1+'Parâmetros financeiros Despesa'!F$7))</f>
        <v>545.16575</v>
      </c>
      <c r="L78" s="799">
        <f t="shared" si="10"/>
        <v>8.0312945348959503E-4</v>
      </c>
      <c r="M78" s="894"/>
      <c r="N78" s="894"/>
      <c r="O78" s="736"/>
    </row>
    <row r="79" spans="1:15" s="31" customFormat="1" x14ac:dyDescent="0.25">
      <c r="A79" s="472"/>
      <c r="B79" s="1398" t="s">
        <v>6937</v>
      </c>
      <c r="C79" s="1398"/>
      <c r="D79" s="1398"/>
      <c r="E79" s="854">
        <v>333904700000000</v>
      </c>
      <c r="F79" s="855" t="s">
        <v>990</v>
      </c>
      <c r="G79" s="468">
        <v>1</v>
      </c>
      <c r="H79" s="468">
        <v>0</v>
      </c>
      <c r="I79" s="751"/>
      <c r="J79" s="789">
        <f>'Parâmetros financeiros Despesa'!E167</f>
        <v>0</v>
      </c>
      <c r="K79" s="789">
        <f>'Parâmetros financeiros Despesa'!F167*((1+'Parâmetros financeiros Despesa'!F$4)*(1+'Parâmetros financeiros Despesa'!F$7))</f>
        <v>545.16575</v>
      </c>
      <c r="L79" s="799">
        <f t="shared" si="10"/>
        <v>8.0312945348959503E-4</v>
      </c>
      <c r="M79" s="894"/>
      <c r="N79" s="894"/>
      <c r="O79" s="736"/>
    </row>
    <row r="80" spans="1:15" s="31" customFormat="1" x14ac:dyDescent="0.25">
      <c r="A80" s="472"/>
      <c r="B80" s="1398" t="s">
        <v>6938</v>
      </c>
      <c r="C80" s="1398"/>
      <c r="D80" s="1398"/>
      <c r="E80" s="854">
        <v>344905100000000</v>
      </c>
      <c r="F80" s="855" t="s">
        <v>1029</v>
      </c>
      <c r="G80" s="468">
        <v>1</v>
      </c>
      <c r="H80" s="468">
        <v>0</v>
      </c>
      <c r="I80" s="751"/>
      <c r="J80" s="789">
        <f>'Parâmetros financeiros Despesa'!E168</f>
        <v>0</v>
      </c>
      <c r="K80" s="789">
        <f>'Parâmetros financeiros Despesa'!F168*((1+'Parâmetros financeiros Despesa'!F$4)*(1+'Parâmetros financeiros Despesa'!F$7))</f>
        <v>545.16575</v>
      </c>
      <c r="L80" s="799">
        <f t="shared" si="10"/>
        <v>8.0312945348959503E-4</v>
      </c>
      <c r="M80" s="894"/>
      <c r="N80" s="894"/>
      <c r="O80" s="736"/>
    </row>
    <row r="81" spans="1:15" s="31" customFormat="1" x14ac:dyDescent="0.25">
      <c r="A81" s="472"/>
      <c r="B81" s="1398" t="s">
        <v>6939</v>
      </c>
      <c r="C81" s="1398"/>
      <c r="D81" s="1398"/>
      <c r="E81" s="854">
        <v>344905200000000</v>
      </c>
      <c r="F81" s="855" t="s">
        <v>997</v>
      </c>
      <c r="G81" s="468">
        <v>1</v>
      </c>
      <c r="H81" s="468">
        <v>0</v>
      </c>
      <c r="I81" s="751"/>
      <c r="J81" s="789">
        <f>'Parâmetros financeiros Despesa'!E169</f>
        <v>0</v>
      </c>
      <c r="K81" s="789">
        <f>'Parâmetros financeiros Despesa'!F169*((1+'Parâmetros financeiros Despesa'!F$4)*(1+'Parâmetros financeiros Despesa'!F$7))</f>
        <v>545.16575</v>
      </c>
      <c r="L81" s="799">
        <f>K81/K$85</f>
        <v>8.0312945348959503E-4</v>
      </c>
      <c r="M81" s="894"/>
      <c r="N81" s="894"/>
      <c r="O81" s="736"/>
    </row>
    <row r="82" spans="1:15" x14ac:dyDescent="0.25">
      <c r="B82" s="864" t="s">
        <v>22</v>
      </c>
      <c r="C82" s="864"/>
      <c r="D82" s="864"/>
      <c r="E82" s="864"/>
      <c r="F82" s="864"/>
      <c r="G82" s="864"/>
      <c r="H82" s="864"/>
      <c r="I82" s="864"/>
      <c r="J82" s="863">
        <f>J72+J61+J53+J48+J28+J19+J10</f>
        <v>458658.95374999999</v>
      </c>
      <c r="K82" s="863">
        <f>K72+K61+K53+K48+K28+K19+K10+0.03</f>
        <v>678801.83902016853</v>
      </c>
      <c r="L82" s="452">
        <f>K82/K$85</f>
        <v>1</v>
      </c>
    </row>
    <row r="83" spans="1:15" x14ac:dyDescent="0.25">
      <c r="B83" s="864" t="s">
        <v>11469</v>
      </c>
      <c r="C83" s="864"/>
      <c r="D83" s="864"/>
      <c r="E83" s="864"/>
      <c r="F83" s="864"/>
      <c r="G83" s="864"/>
      <c r="H83" s="864"/>
      <c r="I83" s="864"/>
      <c r="J83" s="863"/>
      <c r="K83" s="863"/>
      <c r="L83" s="452"/>
    </row>
    <row r="84" spans="1:15" s="31" customFormat="1" x14ac:dyDescent="0.25">
      <c r="B84" s="869" t="s">
        <v>745</v>
      </c>
      <c r="C84" s="869"/>
      <c r="D84" s="869"/>
      <c r="E84" s="869"/>
      <c r="F84" s="869"/>
      <c r="G84" s="869"/>
      <c r="H84" s="869"/>
      <c r="I84" s="869"/>
      <c r="J84" s="870">
        <f>J82</f>
        <v>458658.95374999999</v>
      </c>
      <c r="K84" s="870">
        <f>K82</f>
        <v>678801.83902016853</v>
      </c>
      <c r="L84" s="871">
        <f>K84/K$85</f>
        <v>1</v>
      </c>
      <c r="M84" s="897"/>
      <c r="O84" s="736"/>
    </row>
    <row r="85" spans="1:15" s="115" customFormat="1" x14ac:dyDescent="0.25">
      <c r="B85" s="864" t="s">
        <v>2172</v>
      </c>
      <c r="C85" s="864"/>
      <c r="D85" s="864"/>
      <c r="E85" s="864"/>
      <c r="F85" s="864"/>
      <c r="G85" s="864"/>
      <c r="H85" s="864"/>
      <c r="I85" s="864"/>
      <c r="J85" s="863">
        <f>SUM(J84:J84)</f>
        <v>458658.95374999999</v>
      </c>
      <c r="K85" s="863">
        <f>SUM(K84:K84)</f>
        <v>678801.83902016853</v>
      </c>
      <c r="L85" s="452">
        <f>K85/K$85</f>
        <v>1</v>
      </c>
      <c r="N85" s="894"/>
      <c r="O85" s="733"/>
    </row>
    <row r="88" spans="1:15" s="435" customFormat="1" ht="15.75" x14ac:dyDescent="0.25">
      <c r="B88" s="999" t="s">
        <v>989</v>
      </c>
      <c r="C88" s="999"/>
      <c r="D88" s="481"/>
      <c r="E88" s="1371" t="s">
        <v>6887</v>
      </c>
      <c r="F88" s="1371"/>
      <c r="G88" s="1371"/>
      <c r="H88" s="1371"/>
      <c r="I88" s="1371"/>
      <c r="J88" s="940"/>
      <c r="K88" s="438"/>
      <c r="L88" s="449"/>
      <c r="M88" s="892"/>
      <c r="O88" s="732"/>
    </row>
    <row r="89" spans="1:15" s="435" customFormat="1" ht="18.75" customHeight="1" x14ac:dyDescent="0.25">
      <c r="B89" s="999" t="s">
        <v>458</v>
      </c>
      <c r="C89" s="999"/>
      <c r="D89" s="481"/>
      <c r="E89" s="1371" t="s">
        <v>6975</v>
      </c>
      <c r="F89" s="1371"/>
      <c r="G89" s="1371"/>
      <c r="H89" s="1371"/>
      <c r="I89" s="1371"/>
      <c r="J89" s="940"/>
      <c r="K89" s="438"/>
      <c r="L89" s="449"/>
      <c r="M89" s="892"/>
      <c r="O89" s="732"/>
    </row>
    <row r="90" spans="1:15" s="435" customFormat="1" ht="15.75" x14ac:dyDescent="0.25">
      <c r="B90" s="1005" t="s">
        <v>5764</v>
      </c>
      <c r="C90" s="1005"/>
      <c r="D90" s="1005"/>
      <c r="E90" s="1371" t="s">
        <v>749</v>
      </c>
      <c r="F90" s="1371"/>
      <c r="G90" s="1371"/>
      <c r="H90" s="1371"/>
      <c r="I90" s="1371"/>
      <c r="J90" s="941"/>
      <c r="K90" s="438"/>
      <c r="L90" s="449"/>
      <c r="M90" s="892"/>
      <c r="O90" s="732"/>
    </row>
    <row r="91" spans="1:15" ht="88.5" x14ac:dyDescent="0.25">
      <c r="A91" s="396"/>
      <c r="B91" s="1400" t="s">
        <v>2296</v>
      </c>
      <c r="C91" s="1400"/>
      <c r="D91" s="1400"/>
      <c r="E91" s="1384" t="s">
        <v>2297</v>
      </c>
      <c r="F91" s="1384"/>
      <c r="G91" s="443" t="s">
        <v>444</v>
      </c>
      <c r="H91" s="443" t="s">
        <v>2245</v>
      </c>
      <c r="I91" s="444" t="s">
        <v>5725</v>
      </c>
      <c r="J91" s="893" t="s">
        <v>11644</v>
      </c>
      <c r="K91" s="1000" t="s">
        <v>11522</v>
      </c>
      <c r="L91" s="450" t="s">
        <v>235</v>
      </c>
    </row>
    <row r="92" spans="1:15" s="115" customFormat="1" x14ac:dyDescent="0.25">
      <c r="A92" s="396"/>
      <c r="B92" s="1385" t="s">
        <v>5951</v>
      </c>
      <c r="C92" s="1385"/>
      <c r="D92" s="1385"/>
      <c r="E92" s="1385"/>
      <c r="F92" s="1385"/>
      <c r="G92" s="401"/>
      <c r="H92" s="401"/>
      <c r="I92" s="426"/>
      <c r="J92" s="402">
        <f t="shared" ref="J92:K94" si="11">J93</f>
        <v>0</v>
      </c>
      <c r="K92" s="402">
        <f t="shared" si="11"/>
        <v>9164.4765138013099</v>
      </c>
      <c r="L92" s="451">
        <f t="shared" ref="L92:L123" si="12">K92/K$161</f>
        <v>1.6223810416781743E-2</v>
      </c>
      <c r="M92" s="894"/>
      <c r="O92" s="733"/>
    </row>
    <row r="93" spans="1:15" x14ac:dyDescent="0.25">
      <c r="A93" s="396"/>
      <c r="B93" s="1386" t="s">
        <v>5950</v>
      </c>
      <c r="C93" s="1386"/>
      <c r="D93" s="1386"/>
      <c r="E93" s="1386"/>
      <c r="F93" s="1386"/>
      <c r="G93" s="403"/>
      <c r="H93" s="403"/>
      <c r="I93" s="427"/>
      <c r="J93" s="404">
        <f t="shared" si="11"/>
        <v>0</v>
      </c>
      <c r="K93" s="404">
        <f t="shared" si="11"/>
        <v>9164.4765138013099</v>
      </c>
      <c r="L93" s="452">
        <f t="shared" si="12"/>
        <v>1.6223810416781743E-2</v>
      </c>
    </row>
    <row r="94" spans="1:15" x14ac:dyDescent="0.25">
      <c r="A94" s="396"/>
      <c r="B94" s="1382" t="s">
        <v>2286</v>
      </c>
      <c r="C94" s="1382"/>
      <c r="D94" s="1382"/>
      <c r="E94" s="1382"/>
      <c r="F94" s="1382"/>
      <c r="G94" s="405"/>
      <c r="H94" s="405"/>
      <c r="I94" s="428"/>
      <c r="J94" s="406">
        <f t="shared" si="11"/>
        <v>0</v>
      </c>
      <c r="K94" s="406">
        <f t="shared" si="11"/>
        <v>9164.4765138013099</v>
      </c>
      <c r="L94" s="453">
        <f t="shared" si="12"/>
        <v>1.6223810416781743E-2</v>
      </c>
    </row>
    <row r="95" spans="1:15" x14ac:dyDescent="0.25">
      <c r="A95" s="396"/>
      <c r="B95" s="1383" t="s">
        <v>2290</v>
      </c>
      <c r="C95" s="1383"/>
      <c r="D95" s="1383"/>
      <c r="E95" s="1383"/>
      <c r="F95" s="1383"/>
      <c r="G95" s="407"/>
      <c r="H95" s="407"/>
      <c r="I95" s="429"/>
      <c r="J95" s="408">
        <f>J96+J97+J98+J99+J100</f>
        <v>0</v>
      </c>
      <c r="K95" s="408">
        <f>K96+K97+K98+K99+K100</f>
        <v>9164.4765138013099</v>
      </c>
      <c r="L95" s="454">
        <f t="shared" si="12"/>
        <v>1.6223810416781743E-2</v>
      </c>
    </row>
    <row r="96" spans="1:15" ht="30" x14ac:dyDescent="0.25">
      <c r="A96" s="396"/>
      <c r="B96" s="1396">
        <v>12000</v>
      </c>
      <c r="C96" s="1396"/>
      <c r="D96" s="1396"/>
      <c r="E96" s="417">
        <v>333904700000000</v>
      </c>
      <c r="F96" s="1017" t="s">
        <v>6563</v>
      </c>
      <c r="G96" s="468">
        <v>1</v>
      </c>
      <c r="H96" s="468">
        <v>0</v>
      </c>
      <c r="I96" s="751"/>
      <c r="J96" s="789">
        <f>((('Parâmetros financeiros Despesa'!E176+'Parâmetros financeiros Despesa'!E177+'Parâmetros financeiros Despesa'!E179)))</f>
        <v>0</v>
      </c>
      <c r="K96" s="789">
        <f>((('Parâmetros financeiros Despesa'!F176+'Parâmetros financeiros Despesa'!F177+'Parâmetros financeiros Despesa'!F179))*((1+'Parâmetros financeiros Despesa'!F$4)*(1+'Parâmetros financeiros Despesa'!F$7)*(1+'Parâmetros financeiros Despesa'!F$78)))*(1+'Parâmetros financeiros Despesa'!F$83)</f>
        <v>1212.034685401311</v>
      </c>
      <c r="L96" s="799">
        <f t="shared" si="12"/>
        <v>2.1456567568154819E-3</v>
      </c>
      <c r="M96" s="894"/>
      <c r="N96" s="796"/>
    </row>
    <row r="97" spans="1:15" s="115" customFormat="1" ht="30" x14ac:dyDescent="0.25">
      <c r="A97" s="396"/>
      <c r="B97" s="1396">
        <v>12100</v>
      </c>
      <c r="C97" s="1396"/>
      <c r="D97" s="1396"/>
      <c r="E97" s="854">
        <v>344903000000000</v>
      </c>
      <c r="F97" s="855" t="s">
        <v>5836</v>
      </c>
      <c r="G97" s="468">
        <v>1</v>
      </c>
      <c r="H97" s="468">
        <v>0</v>
      </c>
      <c r="I97" s="751"/>
      <c r="J97" s="789">
        <f>('Parâmetros financeiros Despesa'!E175+'Parâmetros financeiros Despesa'!E176)</f>
        <v>0</v>
      </c>
      <c r="K97" s="789">
        <f>('Parâmetros financeiros Despesa'!F175+'Parâmetros financeiros Despesa'!F176)*((1+'Parâmetros financeiros Despesa'!F$4)*(1+'Parâmetros financeiros Despesa'!F$5)*(1+'Parâmetros financeiros Despesa'!F$7)*(1+'Parâmetros financeiros Despesa'!F$83))</f>
        <v>1325.4069713999997</v>
      </c>
      <c r="L97" s="799">
        <f t="shared" si="12"/>
        <v>2.34635894332771E-3</v>
      </c>
      <c r="M97" s="894"/>
      <c r="N97" s="796"/>
      <c r="O97" s="733"/>
    </row>
    <row r="98" spans="1:15" s="457" customFormat="1" ht="30" x14ac:dyDescent="0.25">
      <c r="A98" s="396"/>
      <c r="B98" s="1398" t="s">
        <v>7042</v>
      </c>
      <c r="C98" s="1398"/>
      <c r="D98" s="1398"/>
      <c r="E98" s="854">
        <v>344903600000000</v>
      </c>
      <c r="F98" s="855" t="s">
        <v>5837</v>
      </c>
      <c r="G98" s="468">
        <v>1</v>
      </c>
      <c r="H98" s="468">
        <v>0</v>
      </c>
      <c r="I98" s="751"/>
      <c r="J98" s="789">
        <f>'Parâmetros financeiros Despesa'!E177</f>
        <v>0</v>
      </c>
      <c r="K98" s="789">
        <f>('Parâmetros financeiros Despesa'!F177)*((1+'Parâmetros financeiros Despesa'!F$4)*(1+'Parâmetros financeiros Despesa'!F$5)*(1+'Parâmetros financeiros Despesa'!F$7)*(1+'Parâmetros financeiros Despesa'!F$83))</f>
        <v>662.70348569999987</v>
      </c>
      <c r="L98" s="799">
        <f t="shared" si="12"/>
        <v>1.173179471663855E-3</v>
      </c>
      <c r="M98" s="894"/>
      <c r="N98" s="796"/>
      <c r="O98" s="734"/>
    </row>
    <row r="99" spans="1:15" s="457" customFormat="1" ht="30" x14ac:dyDescent="0.25">
      <c r="A99" s="396"/>
      <c r="B99" s="1398" t="s">
        <v>7043</v>
      </c>
      <c r="C99" s="1398"/>
      <c r="D99" s="1398"/>
      <c r="E99" s="854">
        <v>344903900000000</v>
      </c>
      <c r="F99" s="855" t="s">
        <v>5838</v>
      </c>
      <c r="G99" s="468">
        <v>1</v>
      </c>
      <c r="H99" s="468">
        <v>0</v>
      </c>
      <c r="I99" s="751"/>
      <c r="J99" s="789">
        <f>('Parâmetros financeiros Despesa'!E178+'Parâmetros financeiros Despesa'!E179)</f>
        <v>0</v>
      </c>
      <c r="K99" s="789">
        <f>('Parâmetros financeiros Despesa'!F178+'Parâmetros financeiros Despesa'!F179)*((1+'Parâmetros financeiros Despesa'!F$4)*(1+'Parâmetros financeiros Despesa'!F$5)*(1+'Parâmetros financeiros Despesa'!F$7)*(1+'Parâmetros financeiros Despesa'!F$83))</f>
        <v>1325.4069713999997</v>
      </c>
      <c r="L99" s="799">
        <f t="shared" si="12"/>
        <v>2.34635894332771E-3</v>
      </c>
      <c r="M99" s="894"/>
      <c r="N99" s="796"/>
      <c r="O99" s="734"/>
    </row>
    <row r="100" spans="1:15" s="457" customFormat="1" x14ac:dyDescent="0.25">
      <c r="A100" s="396"/>
      <c r="B100" s="1398" t="s">
        <v>7044</v>
      </c>
      <c r="C100" s="1398"/>
      <c r="D100" s="1398"/>
      <c r="E100" s="854">
        <v>344905200000000</v>
      </c>
      <c r="F100" s="855" t="s">
        <v>7041</v>
      </c>
      <c r="G100" s="468">
        <v>1</v>
      </c>
      <c r="H100" s="468">
        <v>0</v>
      </c>
      <c r="I100" s="751"/>
      <c r="J100" s="789">
        <f>('Parâmetros financeiros Despesa'!E180)</f>
        <v>0</v>
      </c>
      <c r="K100" s="789">
        <f>('Parâmetros financeiros Despesa'!F180)*((1+'Parâmetros financeiros Despesa'!F$4)*(1+'Parâmetros financeiros Despesa'!F$5)*(1+'Parâmetros financeiros Despesa'!F$7)*(1+'Parâmetros financeiros Despesa'!F$83))</f>
        <v>4638.9243998999991</v>
      </c>
      <c r="L100" s="799">
        <f t="shared" si="12"/>
        <v>8.2122563016469863E-3</v>
      </c>
      <c r="M100" s="894"/>
      <c r="N100" s="796"/>
      <c r="O100" s="734"/>
    </row>
    <row r="101" spans="1:15" s="115" customFormat="1" x14ac:dyDescent="0.25">
      <c r="A101" s="396"/>
      <c r="B101" s="1385" t="s">
        <v>5951</v>
      </c>
      <c r="C101" s="1385"/>
      <c r="D101" s="1385"/>
      <c r="E101" s="1385"/>
      <c r="F101" s="1385"/>
      <c r="G101" s="401"/>
      <c r="H101" s="401"/>
      <c r="I101" s="426"/>
      <c r="J101" s="402">
        <f t="shared" ref="J101:K103" si="13">J102</f>
        <v>0</v>
      </c>
      <c r="K101" s="402">
        <f t="shared" si="13"/>
        <v>14352.732113402621</v>
      </c>
      <c r="L101" s="451">
        <f t="shared" si="12"/>
        <v>2.5408544003580356E-2</v>
      </c>
      <c r="M101" s="894"/>
      <c r="O101" s="733"/>
    </row>
    <row r="102" spans="1:15" x14ac:dyDescent="0.25">
      <c r="A102" s="396"/>
      <c r="B102" s="1386" t="s">
        <v>6983</v>
      </c>
      <c r="C102" s="1386"/>
      <c r="D102" s="1386"/>
      <c r="E102" s="1386"/>
      <c r="F102" s="1386"/>
      <c r="G102" s="403"/>
      <c r="H102" s="403"/>
      <c r="I102" s="427"/>
      <c r="J102" s="404">
        <f t="shared" si="13"/>
        <v>0</v>
      </c>
      <c r="K102" s="404">
        <f t="shared" si="13"/>
        <v>14352.732113402621</v>
      </c>
      <c r="L102" s="452">
        <f t="shared" si="12"/>
        <v>2.5408544003580356E-2</v>
      </c>
    </row>
    <row r="103" spans="1:15" x14ac:dyDescent="0.25">
      <c r="A103" s="396"/>
      <c r="B103" s="1382" t="s">
        <v>2286</v>
      </c>
      <c r="C103" s="1382"/>
      <c r="D103" s="1382"/>
      <c r="E103" s="1382"/>
      <c r="F103" s="1382"/>
      <c r="G103" s="405"/>
      <c r="H103" s="405"/>
      <c r="I103" s="428"/>
      <c r="J103" s="406">
        <f t="shared" si="13"/>
        <v>0</v>
      </c>
      <c r="K103" s="406">
        <f t="shared" si="13"/>
        <v>14352.732113402621</v>
      </c>
      <c r="L103" s="453">
        <f t="shared" si="12"/>
        <v>2.5408544003580356E-2</v>
      </c>
    </row>
    <row r="104" spans="1:15" x14ac:dyDescent="0.25">
      <c r="A104" s="396"/>
      <c r="B104" s="1383" t="s">
        <v>2290</v>
      </c>
      <c r="C104" s="1383"/>
      <c r="D104" s="1383"/>
      <c r="E104" s="1383"/>
      <c r="F104" s="1383"/>
      <c r="G104" s="407"/>
      <c r="H104" s="407"/>
      <c r="I104" s="429"/>
      <c r="J104" s="408">
        <f>SUM(J105:J109)</f>
        <v>0</v>
      </c>
      <c r="K104" s="408">
        <f>SUM(K105:K109)</f>
        <v>14352.732113402621</v>
      </c>
      <c r="L104" s="454">
        <f t="shared" si="12"/>
        <v>2.5408544003580356E-2</v>
      </c>
    </row>
    <row r="105" spans="1:15" ht="30" x14ac:dyDescent="0.25">
      <c r="A105" s="396"/>
      <c r="B105" s="1396">
        <v>12500</v>
      </c>
      <c r="C105" s="1396"/>
      <c r="D105" s="1396"/>
      <c r="E105" s="854">
        <v>333904700000000</v>
      </c>
      <c r="F105" s="1017" t="s">
        <v>7047</v>
      </c>
      <c r="G105" s="468">
        <v>1</v>
      </c>
      <c r="H105" s="468">
        <v>0</v>
      </c>
      <c r="I105" s="751"/>
      <c r="J105" s="789">
        <f>((('Parâmetros financeiros Despesa'!E183+'Parâmetros financeiros Despesa'!E185+'Parâmetros financeiros Despesa'!E184)))</f>
        <v>0</v>
      </c>
      <c r="K105" s="789">
        <f>((('Parâmetros financeiros Despesa'!F183+'Parâmetros financeiros Despesa'!F185+'Parâmetros financeiros Despesa'!F184))*((1+'Parâmetros financeiros Despesa'!F$4)*(1+'Parâmetros financeiros Despesa'!F$7)*(1+'Parâmetros financeiros Despesa'!F$78)))*(1+'Parâmetros financeiros Despesa'!F$83)</f>
        <v>2424.069370802622</v>
      </c>
      <c r="L105" s="799">
        <f t="shared" si="12"/>
        <v>4.2913135136309639E-3</v>
      </c>
      <c r="M105" s="894"/>
      <c r="N105" s="796"/>
    </row>
    <row r="106" spans="1:15" s="115" customFormat="1" x14ac:dyDescent="0.25">
      <c r="A106" s="396"/>
      <c r="B106" s="1396">
        <v>12600</v>
      </c>
      <c r="C106" s="1396"/>
      <c r="D106" s="1396"/>
      <c r="E106" s="854">
        <v>344903000000000</v>
      </c>
      <c r="F106" s="855" t="s">
        <v>7046</v>
      </c>
      <c r="G106" s="468">
        <v>1</v>
      </c>
      <c r="H106" s="468">
        <v>0</v>
      </c>
      <c r="I106" s="751"/>
      <c r="J106" s="789">
        <f>('Parâmetros financeiros Despesa'!E182+'Parâmetros financeiros Despesa'!E183)</f>
        <v>0</v>
      </c>
      <c r="K106" s="789">
        <f>('Parâmetros financeiros Despesa'!F182+'Parâmetros financeiros Despesa'!F183)*((1+'Parâmetros financeiros Despesa'!F$4)*(1+'Parâmetros financeiros Despesa'!F$5)*(1+'Parâmetros financeiros Despesa'!F$7)*(1+'Parâmetros financeiros Despesa'!F$83))</f>
        <v>2650.8139427999995</v>
      </c>
      <c r="L106" s="799">
        <f t="shared" si="12"/>
        <v>4.69271788665542E-3</v>
      </c>
      <c r="M106" s="894"/>
      <c r="N106" s="796"/>
      <c r="O106" s="733"/>
    </row>
    <row r="107" spans="1:15" s="457" customFormat="1" x14ac:dyDescent="0.25">
      <c r="A107" s="396"/>
      <c r="B107" s="1398" t="s">
        <v>7048</v>
      </c>
      <c r="C107" s="1398"/>
      <c r="D107" s="1398"/>
      <c r="E107" s="854">
        <v>344903600000000</v>
      </c>
      <c r="F107" s="855" t="s">
        <v>10017</v>
      </c>
      <c r="G107" s="468">
        <v>1</v>
      </c>
      <c r="H107" s="468">
        <v>0</v>
      </c>
      <c r="I107" s="751"/>
      <c r="J107" s="789">
        <f>('Parâmetros financeiros Despesa'!E184)</f>
        <v>0</v>
      </c>
      <c r="K107" s="789">
        <f>('Parâmetros financeiros Despesa'!F184)*((1+'Parâmetros financeiros Despesa'!F$4)*(1+'Parâmetros financeiros Despesa'!F$5)*(1+'Parâmetros financeiros Despesa'!F$7)*(1+'Parâmetros financeiros Despesa'!F$83))</f>
        <v>1325.4069713999997</v>
      </c>
      <c r="L107" s="799">
        <f t="shared" si="12"/>
        <v>2.34635894332771E-3</v>
      </c>
      <c r="M107" s="894"/>
      <c r="N107" s="796"/>
      <c r="O107" s="734"/>
    </row>
    <row r="108" spans="1:15" s="457" customFormat="1" x14ac:dyDescent="0.25">
      <c r="A108" s="396"/>
      <c r="B108" s="1398" t="s">
        <v>7049</v>
      </c>
      <c r="C108" s="1398"/>
      <c r="D108" s="1398"/>
      <c r="E108" s="854">
        <v>344903900000000</v>
      </c>
      <c r="F108" s="855" t="s">
        <v>10018</v>
      </c>
      <c r="G108" s="468">
        <v>1</v>
      </c>
      <c r="H108" s="468">
        <v>0</v>
      </c>
      <c r="I108" s="751"/>
      <c r="J108" s="789">
        <f>('Parâmetros financeiros Despesa'!E185+'Parâmetros financeiros Despesa'!E186)</f>
        <v>0</v>
      </c>
      <c r="K108" s="789">
        <f>('Parâmetros financeiros Despesa'!F185+'Parâmetros financeiros Despesa'!F186)*((1+'Parâmetros financeiros Despesa'!F$4)*(1+'Parâmetros financeiros Despesa'!F$5)*(1+'Parâmetros financeiros Despesa'!F$7)*(1+'Parâmetros financeiros Despesa'!F$83))</f>
        <v>2650.8139427999995</v>
      </c>
      <c r="L108" s="799">
        <f t="shared" si="12"/>
        <v>4.69271788665542E-3</v>
      </c>
      <c r="M108" s="894"/>
      <c r="N108" s="796"/>
      <c r="O108" s="734"/>
    </row>
    <row r="109" spans="1:15" s="457" customFormat="1" x14ac:dyDescent="0.25">
      <c r="A109" s="396"/>
      <c r="B109" s="1398" t="s">
        <v>7050</v>
      </c>
      <c r="C109" s="1398"/>
      <c r="D109" s="1398"/>
      <c r="E109" s="854">
        <v>344905100000000</v>
      </c>
      <c r="F109" s="855" t="s">
        <v>7045</v>
      </c>
      <c r="G109" s="468">
        <v>1</v>
      </c>
      <c r="H109" s="468">
        <v>0</v>
      </c>
      <c r="I109" s="751"/>
      <c r="J109" s="789">
        <f>('Parâmetros financeiros Despesa'!E187)</f>
        <v>0</v>
      </c>
      <c r="K109" s="789">
        <f>('Parâmetros financeiros Despesa'!F187)*((1+'Parâmetros financeiros Despesa'!F$4)*(1+'Parâmetros financeiros Despesa'!F$5)*(1+'Parâmetros financeiros Despesa'!F$7)*(1+'Parâmetros financeiros Despesa'!F$83))</f>
        <v>5301.627885599999</v>
      </c>
      <c r="L109" s="799">
        <f t="shared" si="12"/>
        <v>9.38543577331084E-3</v>
      </c>
      <c r="M109" s="894"/>
      <c r="N109" s="796"/>
      <c r="O109" s="734"/>
    </row>
    <row r="110" spans="1:15" s="115" customFormat="1" x14ac:dyDescent="0.25">
      <c r="A110" s="396"/>
      <c r="B110" s="1385" t="s">
        <v>5951</v>
      </c>
      <c r="C110" s="1385"/>
      <c r="D110" s="1385"/>
      <c r="E110" s="1385"/>
      <c r="F110" s="1385"/>
      <c r="G110" s="401"/>
      <c r="H110" s="401"/>
      <c r="I110" s="426"/>
      <c r="J110" s="402">
        <f t="shared" ref="J110:K112" si="14">J111</f>
        <v>0</v>
      </c>
      <c r="K110" s="402">
        <f t="shared" si="14"/>
        <v>14352.732113402621</v>
      </c>
      <c r="L110" s="451">
        <f t="shared" si="12"/>
        <v>2.5408544003580356E-2</v>
      </c>
      <c r="M110" s="894"/>
      <c r="O110" s="733"/>
    </row>
    <row r="111" spans="1:15" x14ac:dyDescent="0.25">
      <c r="A111" s="396"/>
      <c r="B111" s="1386" t="s">
        <v>6982</v>
      </c>
      <c r="C111" s="1386"/>
      <c r="D111" s="1386"/>
      <c r="E111" s="1386"/>
      <c r="F111" s="1386"/>
      <c r="G111" s="403"/>
      <c r="H111" s="403"/>
      <c r="I111" s="427"/>
      <c r="J111" s="404">
        <f t="shared" si="14"/>
        <v>0</v>
      </c>
      <c r="K111" s="404">
        <f t="shared" si="14"/>
        <v>14352.732113402621</v>
      </c>
      <c r="L111" s="452">
        <f t="shared" si="12"/>
        <v>2.5408544003580356E-2</v>
      </c>
    </row>
    <row r="112" spans="1:15" x14ac:dyDescent="0.25">
      <c r="A112" s="396"/>
      <c r="B112" s="1382" t="s">
        <v>2286</v>
      </c>
      <c r="C112" s="1382"/>
      <c r="D112" s="1382"/>
      <c r="E112" s="1382"/>
      <c r="F112" s="1382"/>
      <c r="G112" s="405"/>
      <c r="H112" s="405"/>
      <c r="I112" s="428"/>
      <c r="J112" s="406">
        <f t="shared" si="14"/>
        <v>0</v>
      </c>
      <c r="K112" s="406">
        <f t="shared" si="14"/>
        <v>14352.732113402621</v>
      </c>
      <c r="L112" s="453">
        <f t="shared" si="12"/>
        <v>2.5408544003580356E-2</v>
      </c>
    </row>
    <row r="113" spans="1:15" x14ac:dyDescent="0.25">
      <c r="A113" s="396"/>
      <c r="B113" s="1383" t="s">
        <v>2290</v>
      </c>
      <c r="C113" s="1383"/>
      <c r="D113" s="1383"/>
      <c r="E113" s="1383"/>
      <c r="F113" s="1383"/>
      <c r="G113" s="407"/>
      <c r="H113" s="407"/>
      <c r="I113" s="429"/>
      <c r="J113" s="408">
        <f>SUM(J114:J118)</f>
        <v>0</v>
      </c>
      <c r="K113" s="408">
        <f>SUM(K114:K118)</f>
        <v>14352.732113402621</v>
      </c>
      <c r="L113" s="454">
        <f t="shared" si="12"/>
        <v>2.5408544003580356E-2</v>
      </c>
    </row>
    <row r="114" spans="1:15" x14ac:dyDescent="0.25">
      <c r="A114" s="396"/>
      <c r="B114" s="1396">
        <v>13000</v>
      </c>
      <c r="C114" s="1396"/>
      <c r="D114" s="1396"/>
      <c r="E114" s="854">
        <v>333904700000000</v>
      </c>
      <c r="F114" s="1017" t="s">
        <v>7051</v>
      </c>
      <c r="G114" s="468">
        <v>1</v>
      </c>
      <c r="H114" s="468">
        <v>0</v>
      </c>
      <c r="I114" s="751"/>
      <c r="J114" s="789">
        <f>((('Parâmetros financeiros Despesa'!E191+'Parâmetros financeiros Despesa'!E190+'Parâmetros financeiros Despesa'!E193)))</f>
        <v>0</v>
      </c>
      <c r="K114" s="789">
        <f>((('Parâmetros financeiros Despesa'!F191+'Parâmetros financeiros Despesa'!F190+'Parâmetros financeiros Despesa'!F193))*((1+'Parâmetros financeiros Despesa'!F$4)*(1+'Parâmetros financeiros Despesa'!F$7)*(1+'Parâmetros financeiros Despesa'!F$78)))*(1+'Parâmetros financeiros Despesa'!F$83)</f>
        <v>2424.069370802622</v>
      </c>
      <c r="L114" s="799">
        <f t="shared" si="12"/>
        <v>4.2913135136309639E-3</v>
      </c>
      <c r="M114" s="894"/>
      <c r="N114" s="796"/>
    </row>
    <row r="115" spans="1:15" s="115" customFormat="1" x14ac:dyDescent="0.25">
      <c r="A115" s="396"/>
      <c r="B115" s="1396">
        <v>13100</v>
      </c>
      <c r="C115" s="1396"/>
      <c r="D115" s="1396"/>
      <c r="E115" s="854">
        <v>344903000000000</v>
      </c>
      <c r="F115" s="855" t="s">
        <v>7052</v>
      </c>
      <c r="G115" s="468">
        <v>1</v>
      </c>
      <c r="H115" s="468">
        <v>0</v>
      </c>
      <c r="I115" s="751"/>
      <c r="J115" s="789">
        <f>('Parâmetros financeiros Despesa'!E189+'Parâmetros financeiros Despesa'!E190)</f>
        <v>0</v>
      </c>
      <c r="K115" s="789">
        <f>('Parâmetros financeiros Despesa'!F189+'Parâmetros financeiros Despesa'!F190)*((1+'Parâmetros financeiros Despesa'!F$4)*(1+'Parâmetros financeiros Despesa'!F$5)*(1+'Parâmetros financeiros Despesa'!F$7)*(1+'Parâmetros financeiros Despesa'!F$83))</f>
        <v>2650.8139427999995</v>
      </c>
      <c r="L115" s="799">
        <f t="shared" si="12"/>
        <v>4.69271788665542E-3</v>
      </c>
      <c r="M115" s="894"/>
      <c r="N115" s="796"/>
      <c r="O115" s="733"/>
    </row>
    <row r="116" spans="1:15" s="457" customFormat="1" x14ac:dyDescent="0.25">
      <c r="A116" s="396"/>
      <c r="B116" s="1398" t="s">
        <v>6981</v>
      </c>
      <c r="C116" s="1398"/>
      <c r="D116" s="1398"/>
      <c r="E116" s="854">
        <v>344903600000000</v>
      </c>
      <c r="F116" s="855" t="s">
        <v>10019</v>
      </c>
      <c r="G116" s="468">
        <v>1</v>
      </c>
      <c r="H116" s="468">
        <v>0</v>
      </c>
      <c r="I116" s="751"/>
      <c r="J116" s="789">
        <f>('Parâmetros financeiros Despesa'!E191)</f>
        <v>0</v>
      </c>
      <c r="K116" s="789">
        <f>('Parâmetros financeiros Despesa'!F191)*((1+'Parâmetros financeiros Despesa'!F$4)*(1+'Parâmetros financeiros Despesa'!F$5)*(1+'Parâmetros financeiros Despesa'!F$7)*(1+'Parâmetros financeiros Despesa'!F$83))</f>
        <v>1325.4069713999997</v>
      </c>
      <c r="L116" s="799">
        <f t="shared" si="12"/>
        <v>2.34635894332771E-3</v>
      </c>
      <c r="M116" s="894"/>
      <c r="N116" s="796"/>
      <c r="O116" s="734"/>
    </row>
    <row r="117" spans="1:15" s="457" customFormat="1" x14ac:dyDescent="0.25">
      <c r="A117" s="396"/>
      <c r="B117" s="1398" t="s">
        <v>6984</v>
      </c>
      <c r="C117" s="1398"/>
      <c r="D117" s="1398"/>
      <c r="E117" s="854">
        <v>344903900000000</v>
      </c>
      <c r="F117" s="855" t="s">
        <v>10020</v>
      </c>
      <c r="G117" s="468">
        <v>1</v>
      </c>
      <c r="H117" s="468">
        <v>0</v>
      </c>
      <c r="I117" s="751"/>
      <c r="J117" s="789">
        <f>('Parâmetros financeiros Despesa'!E192+'Parâmetros financeiros Despesa'!E193)</f>
        <v>0</v>
      </c>
      <c r="K117" s="789">
        <f>('Parâmetros financeiros Despesa'!F192+'Parâmetros financeiros Despesa'!F193)*((1+'Parâmetros financeiros Despesa'!F$4)*(1+'Parâmetros financeiros Despesa'!F$5)*(1+'Parâmetros financeiros Despesa'!F$7)*(1+'Parâmetros financeiros Despesa'!F$83))</f>
        <v>2650.8139427999995</v>
      </c>
      <c r="L117" s="799">
        <f t="shared" si="12"/>
        <v>4.69271788665542E-3</v>
      </c>
      <c r="M117" s="894"/>
      <c r="N117" s="796"/>
      <c r="O117" s="734"/>
    </row>
    <row r="118" spans="1:15" s="457" customFormat="1" x14ac:dyDescent="0.25">
      <c r="A118" s="396"/>
      <c r="B118" s="1398" t="s">
        <v>6985</v>
      </c>
      <c r="C118" s="1398"/>
      <c r="D118" s="1398"/>
      <c r="E118" s="854">
        <v>344905200000000</v>
      </c>
      <c r="F118" s="855" t="s">
        <v>7053</v>
      </c>
      <c r="G118" s="468">
        <v>1</v>
      </c>
      <c r="H118" s="468">
        <v>0</v>
      </c>
      <c r="I118" s="751"/>
      <c r="J118" s="789">
        <f>('Parâmetros financeiros Despesa'!E194)</f>
        <v>0</v>
      </c>
      <c r="K118" s="789">
        <f>('Parâmetros financeiros Despesa'!F194)*((1+'Parâmetros financeiros Despesa'!F$4)*(1+'Parâmetros financeiros Despesa'!F$5)*(1+'Parâmetros financeiros Despesa'!F$7)*(1+'Parâmetros financeiros Despesa'!F$83))</f>
        <v>5301.627885599999</v>
      </c>
      <c r="L118" s="799">
        <f t="shared" si="12"/>
        <v>9.38543577331084E-3</v>
      </c>
      <c r="M118" s="894"/>
      <c r="N118" s="796"/>
      <c r="O118" s="734"/>
    </row>
    <row r="119" spans="1:15" x14ac:dyDescent="0.25">
      <c r="A119" s="397"/>
      <c r="B119" s="1385" t="s">
        <v>5951</v>
      </c>
      <c r="C119" s="1385"/>
      <c r="D119" s="1385"/>
      <c r="E119" s="1385"/>
      <c r="F119" s="1385"/>
      <c r="G119" s="401"/>
      <c r="H119" s="401"/>
      <c r="I119" s="426"/>
      <c r="J119" s="402">
        <f t="shared" ref="J119:K121" si="15">J120</f>
        <v>344777.10999999993</v>
      </c>
      <c r="K119" s="402">
        <f t="shared" si="15"/>
        <v>415448.20370601717</v>
      </c>
      <c r="L119" s="451">
        <f t="shared" si="12"/>
        <v>0.73546512828840394</v>
      </c>
    </row>
    <row r="120" spans="1:15" x14ac:dyDescent="0.25">
      <c r="A120" s="397"/>
      <c r="B120" s="1386" t="s">
        <v>5965</v>
      </c>
      <c r="C120" s="1386"/>
      <c r="D120" s="1386"/>
      <c r="E120" s="1386"/>
      <c r="F120" s="1386"/>
      <c r="G120" s="403"/>
      <c r="H120" s="403"/>
      <c r="I120" s="427"/>
      <c r="J120" s="404">
        <f t="shared" si="15"/>
        <v>344777.10999999993</v>
      </c>
      <c r="K120" s="404">
        <f t="shared" si="15"/>
        <v>415448.20370601717</v>
      </c>
      <c r="L120" s="452">
        <f t="shared" si="12"/>
        <v>0.73546512828840394</v>
      </c>
    </row>
    <row r="121" spans="1:15" x14ac:dyDescent="0.25">
      <c r="A121" s="397"/>
      <c r="B121" s="1382" t="s">
        <v>2286</v>
      </c>
      <c r="C121" s="1382"/>
      <c r="D121" s="1382"/>
      <c r="E121" s="1382"/>
      <c r="F121" s="1382"/>
      <c r="G121" s="405"/>
      <c r="H121" s="405"/>
      <c r="I121" s="428"/>
      <c r="J121" s="406">
        <f t="shared" si="15"/>
        <v>344777.10999999993</v>
      </c>
      <c r="K121" s="406">
        <f t="shared" si="15"/>
        <v>415448.20370601717</v>
      </c>
      <c r="L121" s="453">
        <f t="shared" si="12"/>
        <v>0.73546512828840394</v>
      </c>
    </row>
    <row r="122" spans="1:15" x14ac:dyDescent="0.25">
      <c r="A122" s="397"/>
      <c r="B122" s="1383" t="s">
        <v>2290</v>
      </c>
      <c r="C122" s="1383"/>
      <c r="D122" s="1383"/>
      <c r="E122" s="1383"/>
      <c r="F122" s="1383"/>
      <c r="G122" s="407"/>
      <c r="H122" s="407"/>
      <c r="I122" s="429"/>
      <c r="J122" s="408">
        <f>J123+J124+J125+J126+J127+J128+J129+J130+J131+J132+J133+J134+J135+J136+J137</f>
        <v>344777.10999999993</v>
      </c>
      <c r="K122" s="408">
        <f>K123+K124+K125+K126+K127+K128+K129+K130+K131+K132+K133+K134+K135+K136+K137</f>
        <v>415448.20370601717</v>
      </c>
      <c r="L122" s="454">
        <f t="shared" si="12"/>
        <v>0.73546512828840394</v>
      </c>
    </row>
    <row r="123" spans="1:15" s="115" customFormat="1" x14ac:dyDescent="0.25">
      <c r="A123" s="396"/>
      <c r="B123" s="1398" t="s">
        <v>6986</v>
      </c>
      <c r="C123" s="1398"/>
      <c r="D123" s="1398"/>
      <c r="E123" s="854">
        <v>331900400000000</v>
      </c>
      <c r="F123" s="855" t="s">
        <v>5851</v>
      </c>
      <c r="G123" s="468">
        <v>1</v>
      </c>
      <c r="H123" s="468">
        <v>0</v>
      </c>
      <c r="I123" s="751"/>
      <c r="J123" s="789">
        <f>'Parâmetros financeiros Despesa'!E196</f>
        <v>0</v>
      </c>
      <c r="K123" s="789">
        <f>(('Parâmetros financeiros Despesa'!F196)*2.05+(('Parâmetros financeiros Despesa'!F196)*11.28)*(1+'Parâmetros financeiros Despesa'!F$4)*(1+'Parâmetros financeiros Despesa'!F$8))*(1+'Parâmetros financeiros Despesa'!F$80)</f>
        <v>27.357830962580255</v>
      </c>
      <c r="L123" s="799">
        <f t="shared" si="12"/>
        <v>4.8431382008873845E-5</v>
      </c>
      <c r="M123" s="894"/>
      <c r="O123" s="733"/>
    </row>
    <row r="124" spans="1:15" s="115" customFormat="1" x14ac:dyDescent="0.25">
      <c r="A124" s="396"/>
      <c r="B124" s="1398" t="s">
        <v>6987</v>
      </c>
      <c r="C124" s="1398"/>
      <c r="D124" s="1398"/>
      <c r="E124" s="854">
        <v>331901100000000</v>
      </c>
      <c r="F124" s="855" t="s">
        <v>5732</v>
      </c>
      <c r="G124" s="468">
        <v>1</v>
      </c>
      <c r="H124" s="468">
        <v>0</v>
      </c>
      <c r="I124" s="751"/>
      <c r="J124" s="789">
        <f>'Parâmetros financeiros Despesa'!E197</f>
        <v>183665.46249999999</v>
      </c>
      <c r="K124" s="789">
        <f>('Parâmetros financeiros Despesa'!F197)*2.05+(('Parâmetros financeiros Despesa'!F197)*11.28)*(1+'Parâmetros financeiros Despesa'!F$4)*(1+'Parâmetros financeiros Despesa'!F$8)</f>
        <v>213600.33953459375</v>
      </c>
      <c r="L124" s="799">
        <f t="shared" ref="L124:L155" si="16">K124/K$161</f>
        <v>0.37813522772966879</v>
      </c>
      <c r="M124" s="894"/>
      <c r="O124" s="733"/>
    </row>
    <row r="125" spans="1:15" s="115" customFormat="1" x14ac:dyDescent="0.25">
      <c r="A125" s="396"/>
      <c r="B125" s="1398" t="s">
        <v>7056</v>
      </c>
      <c r="C125" s="1398"/>
      <c r="D125" s="1398"/>
      <c r="E125" s="854">
        <v>331901300000000</v>
      </c>
      <c r="F125" s="855" t="s">
        <v>5735</v>
      </c>
      <c r="G125" s="468">
        <v>1</v>
      </c>
      <c r="H125" s="468">
        <v>0</v>
      </c>
      <c r="I125" s="751"/>
      <c r="J125" s="789">
        <f>'Parâmetros financeiros Despesa'!E198</f>
        <v>35670.017500000002</v>
      </c>
      <c r="K125" s="789">
        <f>(K126+K124)*'Parâmetros financeiros Despesa'!F$80</f>
        <v>51128.598102024502</v>
      </c>
      <c r="L125" s="799">
        <f t="shared" si="16"/>
        <v>9.0512609338228953E-2</v>
      </c>
      <c r="M125" s="894"/>
      <c r="O125" s="733"/>
    </row>
    <row r="126" spans="1:15" s="115" customFormat="1" x14ac:dyDescent="0.25">
      <c r="A126" s="396"/>
      <c r="B126" s="1398" t="s">
        <v>7057</v>
      </c>
      <c r="C126" s="1398"/>
      <c r="D126" s="1398"/>
      <c r="E126" s="854">
        <v>331901600000000</v>
      </c>
      <c r="F126" s="855" t="s">
        <v>5736</v>
      </c>
      <c r="G126" s="468">
        <v>1</v>
      </c>
      <c r="H126" s="468">
        <v>0</v>
      </c>
      <c r="I126" s="751"/>
      <c r="J126" s="789">
        <f>'Parâmetros financeiros Despesa'!E199</f>
        <v>81.75</v>
      </c>
      <c r="K126" s="789">
        <f>('Parâmetros financeiros Despesa'!F199)*2.05+(('Parâmetros financeiros Despesa'!F199)*11.28)*(1+'Parâmetros financeiros Despesa'!F$4)*(1+'Parâmetros financeiros Despesa'!F$8)</f>
        <v>1140.8891482982897</v>
      </c>
      <c r="L126" s="799">
        <f t="shared" si="16"/>
        <v>2.0197082965601387E-3</v>
      </c>
      <c r="M126" s="894"/>
      <c r="O126" s="733"/>
    </row>
    <row r="127" spans="1:15" s="115" customFormat="1" x14ac:dyDescent="0.25">
      <c r="A127" s="396"/>
      <c r="B127" s="1398" t="s">
        <v>7058</v>
      </c>
      <c r="C127" s="1398"/>
      <c r="D127" s="1398"/>
      <c r="E127" s="854">
        <v>333901400000000</v>
      </c>
      <c r="F127" s="855" t="s">
        <v>6568</v>
      </c>
      <c r="G127" s="468">
        <v>1</v>
      </c>
      <c r="H127" s="468">
        <v>0</v>
      </c>
      <c r="I127" s="751"/>
      <c r="J127" s="789">
        <f>'Parâmetros financeiros Despesa'!E200</f>
        <v>2880</v>
      </c>
      <c r="K127" s="789">
        <f>('Parâmetros financeiros Despesa'!F200)*2+(('Parâmetros financeiros Despesa'!F200)*10)*(1+'Parâmetros financeiros Despesa'!F$4)*(1+'Parâmetros financeiros Despesa'!F$8)</f>
        <v>3013.1554383454741</v>
      </c>
      <c r="L127" s="799">
        <f t="shared" si="16"/>
        <v>5.3341685708281697E-3</v>
      </c>
      <c r="M127" s="894"/>
      <c r="N127" s="796"/>
      <c r="O127" s="733"/>
    </row>
    <row r="128" spans="1:15" s="115" customFormat="1" x14ac:dyDescent="0.25">
      <c r="A128" s="396"/>
      <c r="B128" s="1396">
        <v>14500</v>
      </c>
      <c r="C128" s="1396"/>
      <c r="D128" s="1396"/>
      <c r="E128" s="854">
        <v>333903000000000</v>
      </c>
      <c r="F128" s="855" t="s">
        <v>6994</v>
      </c>
      <c r="G128" s="468">
        <v>1</v>
      </c>
      <c r="H128" s="468">
        <v>0</v>
      </c>
      <c r="I128" s="751"/>
      <c r="J128" s="789">
        <f>'Parâmetros financeiros Despesa'!E201+'Parâmetros financeiros Despesa'!E202</f>
        <v>8403.630000000001</v>
      </c>
      <c r="K128" s="789">
        <f>('Parâmetros financeiros Despesa'!F201+'Parâmetros financeiros Despesa'!F202)*(1+'Parâmetros financeiros Despesa'!F$4)*(1+'Parâmetros financeiros Despesa'!F$7)</f>
        <v>11343.405503345</v>
      </c>
      <c r="L128" s="799">
        <f t="shared" si="16"/>
        <v>2.0081153581418616E-2</v>
      </c>
      <c r="M128" s="894"/>
      <c r="N128" s="796"/>
      <c r="O128" s="733"/>
    </row>
    <row r="129" spans="1:14" x14ac:dyDescent="0.25">
      <c r="A129" s="397"/>
      <c r="B129" s="1396">
        <v>14600</v>
      </c>
      <c r="C129" s="1396"/>
      <c r="D129" s="1396"/>
      <c r="E129" s="854">
        <v>333903200000000</v>
      </c>
      <c r="F129" s="855" t="s">
        <v>1021</v>
      </c>
      <c r="G129" s="468">
        <v>1</v>
      </c>
      <c r="H129" s="468">
        <v>0</v>
      </c>
      <c r="I129" s="751"/>
      <c r="J129" s="789">
        <f>'Parâmetros financeiros Despesa'!E203</f>
        <v>0</v>
      </c>
      <c r="K129" s="789">
        <f>('Parâmetros financeiros Despesa'!F203)*(1+'Parâmetros financeiros Despesa'!F$4)*(1+'Parâmetros financeiros Despesa'!F$7)</f>
        <v>2180.663</v>
      </c>
      <c r="L129" s="799">
        <f t="shared" si="16"/>
        <v>3.8604128715493758E-3</v>
      </c>
      <c r="M129" s="894"/>
      <c r="N129" s="796"/>
    </row>
    <row r="130" spans="1:14" x14ac:dyDescent="0.25">
      <c r="A130" s="397"/>
      <c r="B130" s="1396">
        <v>14700</v>
      </c>
      <c r="C130" s="1396"/>
      <c r="D130" s="1396"/>
      <c r="E130" s="854">
        <v>333903300000000</v>
      </c>
      <c r="F130" s="855" t="s">
        <v>3469</v>
      </c>
      <c r="G130" s="468">
        <v>1</v>
      </c>
      <c r="H130" s="468">
        <v>0</v>
      </c>
      <c r="I130" s="751"/>
      <c r="J130" s="789">
        <f>'Parâmetros financeiros Despesa'!E204</f>
        <v>3648.8999999999996</v>
      </c>
      <c r="K130" s="789">
        <f>('Parâmetros financeiros Despesa'!F204)*(1+'Parâmetros financeiros Despesa'!F$4)*(1+'Parâmetros financeiros Despesa'!F$7)</f>
        <v>3978.5106103499998</v>
      </c>
      <c r="L130" s="799">
        <f t="shared" si="16"/>
        <v>7.0431302634982578E-3</v>
      </c>
      <c r="M130" s="894"/>
      <c r="N130" s="796"/>
    </row>
    <row r="131" spans="1:14" x14ac:dyDescent="0.25">
      <c r="A131" s="397"/>
      <c r="B131" s="1398" t="s">
        <v>7059</v>
      </c>
      <c r="C131" s="1398"/>
      <c r="D131" s="1398"/>
      <c r="E131" s="854">
        <v>333903500000000</v>
      </c>
      <c r="F131" s="855" t="s">
        <v>2190</v>
      </c>
      <c r="G131" s="468">
        <v>1</v>
      </c>
      <c r="H131" s="468">
        <v>0</v>
      </c>
      <c r="I131" s="751"/>
      <c r="J131" s="789">
        <f>'Parâmetros financeiros Despesa'!E205</f>
        <v>21856.14</v>
      </c>
      <c r="K131" s="789">
        <f>('Parâmetros financeiros Despesa'!F205)*(1+'Parâmetros financeiros Despesa'!F$4)*(1+'Parâmetros financeiros Despesa'!F$7)</f>
        <v>23830.437910410001</v>
      </c>
      <c r="L131" s="799">
        <f t="shared" si="16"/>
        <v>4.2186862089192589E-2</v>
      </c>
      <c r="M131" s="894"/>
      <c r="N131" s="796"/>
    </row>
    <row r="132" spans="1:14" x14ac:dyDescent="0.25">
      <c r="A132" s="397"/>
      <c r="B132" s="1398" t="s">
        <v>7060</v>
      </c>
      <c r="C132" s="1398"/>
      <c r="D132" s="1398"/>
      <c r="E132" s="854">
        <v>333903600000000</v>
      </c>
      <c r="F132" s="855" t="s">
        <v>993</v>
      </c>
      <c r="G132" s="468">
        <v>1</v>
      </c>
      <c r="H132" s="468">
        <v>0</v>
      </c>
      <c r="I132" s="751"/>
      <c r="J132" s="789">
        <f>'Parâmetros financeiros Despesa'!E206+'Parâmetros financeiros Despesa'!E207</f>
        <v>12647.099999999999</v>
      </c>
      <c r="K132" s="789">
        <f>('Parâmetros financeiros Despesa'!F206+'Parâmetros financeiros Despesa'!E207)*(1+'Parâmetros financeiros Despesa'!F$4)*(1+'Parâmetros financeiros Despesa'!F$7)</f>
        <v>13789.531513649999</v>
      </c>
      <c r="L132" s="799">
        <f t="shared" si="16"/>
        <v>2.4411513813886055E-2</v>
      </c>
      <c r="M132" s="894"/>
      <c r="N132" s="796"/>
    </row>
    <row r="133" spans="1:14" x14ac:dyDescent="0.25">
      <c r="A133" s="397"/>
      <c r="B133" s="1398" t="s">
        <v>7061</v>
      </c>
      <c r="C133" s="1398"/>
      <c r="D133" s="1398"/>
      <c r="E133" s="854">
        <v>333903900000000</v>
      </c>
      <c r="F133" s="855" t="s">
        <v>2268</v>
      </c>
      <c r="G133" s="468">
        <v>1</v>
      </c>
      <c r="H133" s="468">
        <v>0</v>
      </c>
      <c r="I133" s="751"/>
      <c r="J133" s="789">
        <f>('Parâmetros financeiros Despesa'!E208+'Parâmetros financeiros Despesa'!E209+'Parâmetros financeiros Despesa'!E210)</f>
        <v>71575.445000000007</v>
      </c>
      <c r="K133" s="789">
        <f>('Parâmetros financeiros Despesa'!F208+'Parâmetros financeiros Despesa'!F209+'Parâmetros financeiros Despesa'!F210)*(1+'Parâmetros financeiros Despesa'!F$4)*(1+'Parâmetros financeiros Despesa'!F$7)</f>
        <v>78586.128060017509</v>
      </c>
      <c r="L133" s="799">
        <f t="shared" si="16"/>
        <v>0.13912048780032457</v>
      </c>
      <c r="M133" s="894"/>
      <c r="N133" s="796"/>
    </row>
    <row r="134" spans="1:14" x14ac:dyDescent="0.25">
      <c r="A134" s="397"/>
      <c r="B134" s="1398" t="s">
        <v>7062</v>
      </c>
      <c r="C134" s="1398"/>
      <c r="D134" s="1398"/>
      <c r="E134" s="854">
        <v>333904700000000</v>
      </c>
      <c r="F134" s="855" t="s">
        <v>990</v>
      </c>
      <c r="G134" s="468">
        <v>1</v>
      </c>
      <c r="H134" s="468">
        <v>0</v>
      </c>
      <c r="I134" s="751"/>
      <c r="J134" s="789">
        <f>'Parâmetros financeiros Despesa'!E211</f>
        <v>1058.25</v>
      </c>
      <c r="K134" s="789">
        <f>((('Parâmetros financeiros Despesa'!F202+'Parâmetros financeiros Despesa'!F206+'Parâmetros financeiros Despesa'!F209))*((1+'Parâmetros financeiros Despesa'!F$4)*(1+'Parâmetros financeiros Despesa'!F$7)))*(1+'Parâmetros financeiros Despesa'!F$83)</f>
        <v>5239.4789900999995</v>
      </c>
      <c r="L134" s="799">
        <f t="shared" si="16"/>
        <v>9.2754140064716835E-3</v>
      </c>
      <c r="M134" s="894"/>
      <c r="N134" s="796"/>
    </row>
    <row r="135" spans="1:14" x14ac:dyDescent="0.25">
      <c r="A135" s="397"/>
      <c r="B135" s="1398" t="s">
        <v>7063</v>
      </c>
      <c r="C135" s="1398"/>
      <c r="D135" s="1398"/>
      <c r="E135" s="854">
        <v>333904900000000</v>
      </c>
      <c r="F135" s="855" t="s">
        <v>7167</v>
      </c>
      <c r="G135" s="468">
        <v>1</v>
      </c>
      <c r="H135" s="468">
        <v>0</v>
      </c>
      <c r="I135" s="751"/>
      <c r="J135" s="789">
        <f>'Parâmetros financeiros Despesa'!E212</f>
        <v>3201.915</v>
      </c>
      <c r="K135" s="789">
        <f>('Parâmetros financeiros Despesa'!F212)*2+(('Parâmetros financeiros Despesa'!F212)*10)*(1+'Parâmetros financeiros Despesa'!F$4)*(1+'Parâmetros financeiros Despesa'!F$8)</f>
        <v>3349.9540261701213</v>
      </c>
      <c r="L135" s="799">
        <f t="shared" si="16"/>
        <v>5.9304008192580838E-3</v>
      </c>
      <c r="M135" s="894"/>
      <c r="N135" s="796"/>
    </row>
    <row r="136" spans="1:14" x14ac:dyDescent="0.25">
      <c r="A136" s="397"/>
      <c r="B136" s="1398" t="s">
        <v>7064</v>
      </c>
      <c r="C136" s="1398"/>
      <c r="D136" s="1398"/>
      <c r="E136" s="854">
        <v>333909300000000</v>
      </c>
      <c r="F136" s="855" t="s">
        <v>5818</v>
      </c>
      <c r="G136" s="468">
        <v>1</v>
      </c>
      <c r="H136" s="468">
        <v>0</v>
      </c>
      <c r="I136" s="751"/>
      <c r="J136" s="789">
        <f>'Parâmetros financeiros Despesa'!E213</f>
        <v>88.5</v>
      </c>
      <c r="K136" s="789">
        <f>('Parâmetros financeiros Despesa'!F213)*((1+'Parâmetros financeiros Despesa'!F$4)*(1+'Parâmetros financeiros Despesa'!F$7))</f>
        <v>968.75953775000005</v>
      </c>
      <c r="L136" s="799">
        <f t="shared" si="16"/>
        <v>1.7149884181858102E-3</v>
      </c>
      <c r="M136" s="894"/>
      <c r="N136" s="796"/>
    </row>
    <row r="137" spans="1:14" x14ac:dyDescent="0.25">
      <c r="A137" s="397"/>
      <c r="B137" s="1398" t="s">
        <v>7065</v>
      </c>
      <c r="C137" s="1398"/>
      <c r="D137" s="1398"/>
      <c r="E137" s="854">
        <v>333933000000000</v>
      </c>
      <c r="F137" s="855" t="s">
        <v>7066</v>
      </c>
      <c r="G137" s="468">
        <v>1</v>
      </c>
      <c r="H137" s="468">
        <v>0</v>
      </c>
      <c r="I137" s="751"/>
      <c r="J137" s="789">
        <f>'Parâmetros financeiros Despesa'!E214</f>
        <v>0</v>
      </c>
      <c r="K137" s="789">
        <f>('Parâmetros financeiros Despesa'!F214)*((1+'Parâmetros financeiros Despesa'!F$4)*(1+'Parâmetros financeiros Despesa'!F$7))</f>
        <v>3270.9945000000002</v>
      </c>
      <c r="L137" s="799">
        <f t="shared" si="16"/>
        <v>5.7906193073240641E-3</v>
      </c>
      <c r="M137" s="894"/>
      <c r="N137" s="796"/>
    </row>
    <row r="138" spans="1:14" x14ac:dyDescent="0.25">
      <c r="A138" s="397"/>
      <c r="B138" s="1385" t="s">
        <v>5951</v>
      </c>
      <c r="C138" s="1385"/>
      <c r="D138" s="1385"/>
      <c r="E138" s="1385"/>
      <c r="F138" s="1385"/>
      <c r="G138" s="401"/>
      <c r="H138" s="401"/>
      <c r="I138" s="426"/>
      <c r="J138" s="402">
        <f t="shared" ref="J138:K140" si="17">J139</f>
        <v>0</v>
      </c>
      <c r="K138" s="402">
        <f t="shared" si="17"/>
        <v>31325.784999999996</v>
      </c>
      <c r="L138" s="451">
        <f t="shared" si="16"/>
        <v>5.5455824043141165E-2</v>
      </c>
    </row>
    <row r="139" spans="1:14" x14ac:dyDescent="0.25">
      <c r="A139" s="397"/>
      <c r="B139" s="1386" t="s">
        <v>7005</v>
      </c>
      <c r="C139" s="1386"/>
      <c r="D139" s="1386"/>
      <c r="E139" s="1386"/>
      <c r="F139" s="1386"/>
      <c r="G139" s="403"/>
      <c r="H139" s="403"/>
      <c r="I139" s="427"/>
      <c r="J139" s="404">
        <f t="shared" si="17"/>
        <v>0</v>
      </c>
      <c r="K139" s="404">
        <f t="shared" si="17"/>
        <v>31325.784999999996</v>
      </c>
      <c r="L139" s="452">
        <f t="shared" si="16"/>
        <v>5.5455824043141165E-2</v>
      </c>
    </row>
    <row r="140" spans="1:14" x14ac:dyDescent="0.25">
      <c r="A140" s="397"/>
      <c r="B140" s="1382" t="s">
        <v>2286</v>
      </c>
      <c r="C140" s="1382"/>
      <c r="D140" s="1382"/>
      <c r="E140" s="1382"/>
      <c r="F140" s="1382"/>
      <c r="G140" s="405"/>
      <c r="H140" s="405"/>
      <c r="I140" s="428"/>
      <c r="J140" s="406">
        <f t="shared" si="17"/>
        <v>0</v>
      </c>
      <c r="K140" s="406">
        <f t="shared" si="17"/>
        <v>31325.784999999996</v>
      </c>
      <c r="L140" s="453">
        <f t="shared" si="16"/>
        <v>5.5455824043141165E-2</v>
      </c>
    </row>
    <row r="141" spans="1:14" x14ac:dyDescent="0.25">
      <c r="A141" s="397"/>
      <c r="B141" s="1383" t="s">
        <v>2290</v>
      </c>
      <c r="C141" s="1383"/>
      <c r="D141" s="1383"/>
      <c r="E141" s="1383"/>
      <c r="F141" s="1383"/>
      <c r="G141" s="407"/>
      <c r="H141" s="407"/>
      <c r="I141" s="429"/>
      <c r="J141" s="408">
        <f>SUM(J142:J147)</f>
        <v>0</v>
      </c>
      <c r="K141" s="408">
        <f>SUM(K142:K147)+0.01</f>
        <v>31325.784999999996</v>
      </c>
      <c r="L141" s="454">
        <f t="shared" si="16"/>
        <v>5.5455824043141165E-2</v>
      </c>
    </row>
    <row r="142" spans="1:14" x14ac:dyDescent="0.25">
      <c r="A142" s="397"/>
      <c r="B142" s="1398" t="s">
        <v>7067</v>
      </c>
      <c r="C142" s="1398"/>
      <c r="D142" s="1398"/>
      <c r="E142" s="854">
        <v>333309300000000</v>
      </c>
      <c r="F142" s="855" t="s">
        <v>7006</v>
      </c>
      <c r="G142" s="468">
        <v>1155</v>
      </c>
      <c r="H142" s="468">
        <v>0</v>
      </c>
      <c r="I142" s="751"/>
      <c r="J142" s="789">
        <f>'Parâmetros financeiros Despesa'!E216</f>
        <v>0</v>
      </c>
      <c r="K142" s="789">
        <f>'Parâmetros financeiros Despesa'!F216</f>
        <v>1000</v>
      </c>
      <c r="L142" s="799">
        <f t="shared" si="16"/>
        <v>1.770293195945167E-3</v>
      </c>
    </row>
    <row r="143" spans="1:14" x14ac:dyDescent="0.25">
      <c r="A143" s="397"/>
      <c r="B143" s="1396">
        <v>16100</v>
      </c>
      <c r="C143" s="1396"/>
      <c r="D143" s="1396"/>
      <c r="E143" s="854">
        <v>333903000000000</v>
      </c>
      <c r="F143" s="855" t="s">
        <v>1955</v>
      </c>
      <c r="G143" s="468">
        <v>1155</v>
      </c>
      <c r="H143" s="468">
        <v>0</v>
      </c>
      <c r="I143" s="751"/>
      <c r="J143" s="789">
        <f>'Parâmetros financeiros Despesa'!E217</f>
        <v>0</v>
      </c>
      <c r="K143" s="789">
        <f>'Parâmetros financeiros Despesa'!F217</f>
        <v>1000</v>
      </c>
      <c r="L143" s="799">
        <f t="shared" si="16"/>
        <v>1.770293195945167E-3</v>
      </c>
    </row>
    <row r="144" spans="1:14" x14ac:dyDescent="0.25">
      <c r="A144" s="397"/>
      <c r="B144" s="1396">
        <v>16200</v>
      </c>
      <c r="C144" s="1396"/>
      <c r="D144" s="1396"/>
      <c r="E144" s="854">
        <v>333903000000000</v>
      </c>
      <c r="F144" s="855" t="s">
        <v>7009</v>
      </c>
      <c r="G144" s="468">
        <v>1</v>
      </c>
      <c r="H144" s="468">
        <v>0</v>
      </c>
      <c r="I144" s="751"/>
      <c r="J144" s="789">
        <f>'Parâmetros financeiros Despesa'!E218</f>
        <v>0</v>
      </c>
      <c r="K144" s="789">
        <f>'Parâmetros financeiros Despesa'!F218</f>
        <v>6265.1549999999997</v>
      </c>
      <c r="L144" s="799">
        <f t="shared" si="16"/>
        <v>1.1091161268041843E-2</v>
      </c>
      <c r="M144" s="894"/>
      <c r="N144" s="796"/>
    </row>
    <row r="145" spans="1:15" x14ac:dyDescent="0.25">
      <c r="A145" s="397"/>
      <c r="B145" s="1398" t="s">
        <v>7068</v>
      </c>
      <c r="C145" s="1398"/>
      <c r="D145" s="1398"/>
      <c r="E145" s="854">
        <v>333903600000000</v>
      </c>
      <c r="F145" s="855" t="s">
        <v>5388</v>
      </c>
      <c r="G145" s="468">
        <v>1155</v>
      </c>
      <c r="H145" s="468">
        <v>0</v>
      </c>
      <c r="I145" s="751"/>
      <c r="J145" s="789">
        <f>'Parâmetros financeiros Despesa'!E219</f>
        <v>0</v>
      </c>
      <c r="K145" s="789">
        <f>'Parâmetros financeiros Despesa'!F219</f>
        <v>1000</v>
      </c>
      <c r="L145" s="799">
        <f t="shared" si="16"/>
        <v>1.770293195945167E-3</v>
      </c>
    </row>
    <row r="146" spans="1:15" x14ac:dyDescent="0.25">
      <c r="A146" s="397"/>
      <c r="B146" s="1398" t="s">
        <v>7069</v>
      </c>
      <c r="C146" s="1398"/>
      <c r="D146" s="1398"/>
      <c r="E146" s="854">
        <v>333903900000000</v>
      </c>
      <c r="F146" s="855" t="s">
        <v>7007</v>
      </c>
      <c r="G146" s="468">
        <v>1155</v>
      </c>
      <c r="H146" s="468">
        <v>0</v>
      </c>
      <c r="I146" s="751"/>
      <c r="J146" s="789">
        <f>'Parâmetros financeiros Despesa'!E220</f>
        <v>0</v>
      </c>
      <c r="K146" s="789">
        <f>'Parâmetros financeiros Despesa'!F220</f>
        <v>21860.62</v>
      </c>
      <c r="L146" s="799">
        <f t="shared" si="16"/>
        <v>3.8699706845142838E-2</v>
      </c>
    </row>
    <row r="147" spans="1:15" x14ac:dyDescent="0.25">
      <c r="A147" s="397"/>
      <c r="B147" s="1398" t="s">
        <v>7070</v>
      </c>
      <c r="C147" s="1398"/>
      <c r="D147" s="1398"/>
      <c r="E147" s="854">
        <v>333904700000000</v>
      </c>
      <c r="F147" s="855" t="s">
        <v>990</v>
      </c>
      <c r="G147" s="468">
        <v>1155</v>
      </c>
      <c r="H147" s="468">
        <v>0</v>
      </c>
      <c r="I147" s="751"/>
      <c r="J147" s="789">
        <f>'Parâmetros financeiros Despesa'!E221</f>
        <v>0</v>
      </c>
      <c r="K147" s="789">
        <f>'Parâmetros financeiros Despesa'!F221</f>
        <v>200</v>
      </c>
      <c r="L147" s="799">
        <f t="shared" si="16"/>
        <v>3.5405863918903338E-4</v>
      </c>
    </row>
    <row r="148" spans="1:15" x14ac:dyDescent="0.25">
      <c r="A148" s="397"/>
      <c r="B148" s="1385" t="s">
        <v>5951</v>
      </c>
      <c r="C148" s="1385"/>
      <c r="D148" s="1385"/>
      <c r="E148" s="1385"/>
      <c r="F148" s="1385"/>
      <c r="G148" s="401"/>
      <c r="H148" s="401"/>
      <c r="I148" s="426"/>
      <c r="J148" s="402">
        <f t="shared" ref="J148:K150" si="18">J149</f>
        <v>59987.024999999994</v>
      </c>
      <c r="K148" s="402">
        <f t="shared" si="18"/>
        <v>80234.251348787497</v>
      </c>
      <c r="L148" s="451">
        <f t="shared" si="16"/>
        <v>0.14203814924451286</v>
      </c>
    </row>
    <row r="149" spans="1:15" x14ac:dyDescent="0.25">
      <c r="A149" s="397"/>
      <c r="B149" s="1386" t="s">
        <v>7008</v>
      </c>
      <c r="C149" s="1386"/>
      <c r="D149" s="1386"/>
      <c r="E149" s="1386"/>
      <c r="F149" s="1386"/>
      <c r="G149" s="403"/>
      <c r="H149" s="403"/>
      <c r="I149" s="427"/>
      <c r="J149" s="404">
        <f t="shared" si="18"/>
        <v>59987.024999999994</v>
      </c>
      <c r="K149" s="404">
        <f t="shared" si="18"/>
        <v>80234.251348787497</v>
      </c>
      <c r="L149" s="452">
        <f t="shared" si="16"/>
        <v>0.14203814924451286</v>
      </c>
    </row>
    <row r="150" spans="1:15" x14ac:dyDescent="0.25">
      <c r="A150" s="397"/>
      <c r="B150" s="1382" t="s">
        <v>2286</v>
      </c>
      <c r="C150" s="1382"/>
      <c r="D150" s="1382"/>
      <c r="E150" s="1382"/>
      <c r="F150" s="1382"/>
      <c r="G150" s="405"/>
      <c r="H150" s="405"/>
      <c r="I150" s="428"/>
      <c r="J150" s="406">
        <f t="shared" si="18"/>
        <v>59987.024999999994</v>
      </c>
      <c r="K150" s="406">
        <f t="shared" si="18"/>
        <v>80234.251348787497</v>
      </c>
      <c r="L150" s="453">
        <f t="shared" si="16"/>
        <v>0.14203814924451286</v>
      </c>
    </row>
    <row r="151" spans="1:15" x14ac:dyDescent="0.25">
      <c r="A151" s="397"/>
      <c r="B151" s="1383" t="s">
        <v>2287</v>
      </c>
      <c r="C151" s="1383"/>
      <c r="D151" s="1383"/>
      <c r="E151" s="1383"/>
      <c r="F151" s="1383"/>
      <c r="G151" s="407"/>
      <c r="H151" s="407"/>
      <c r="I151" s="429"/>
      <c r="J151" s="408">
        <f>SUM(J152+J153+J154+J155+J156)</f>
        <v>59987.024999999994</v>
      </c>
      <c r="K151" s="408">
        <f>SUM(K152+K153+K154+K155+K156)</f>
        <v>80234.251348787497</v>
      </c>
      <c r="L151" s="454">
        <f t="shared" si="16"/>
        <v>0.14203814924451286</v>
      </c>
    </row>
    <row r="152" spans="1:15" x14ac:dyDescent="0.25">
      <c r="A152" s="397"/>
      <c r="B152" s="1396">
        <v>17000</v>
      </c>
      <c r="C152" s="1396"/>
      <c r="D152" s="1396"/>
      <c r="E152" s="854">
        <v>333903000000000</v>
      </c>
      <c r="F152" s="855" t="s">
        <v>7181</v>
      </c>
      <c r="G152" s="468">
        <v>1</v>
      </c>
      <c r="H152" s="468">
        <v>0</v>
      </c>
      <c r="I152" s="751"/>
      <c r="J152" s="789">
        <f>'Parâmetros financeiros Despesa'!E223+'Parâmetros financeiros Despesa'!E224</f>
        <v>0</v>
      </c>
      <c r="K152" s="789">
        <f>('Parâmetros financeiros Despesa'!F223+'Parâmetros financeiros Despesa'!F224)*(1+'Parâmetros financeiros Despesa'!F$4)*(1+'Parâmetros financeiros Despesa'!F$7)</f>
        <v>4361.326</v>
      </c>
      <c r="L152" s="799">
        <f t="shared" si="16"/>
        <v>7.7208257430987515E-3</v>
      </c>
      <c r="M152" s="894"/>
      <c r="N152" s="796"/>
    </row>
    <row r="153" spans="1:15" x14ac:dyDescent="0.25">
      <c r="A153" s="397"/>
      <c r="B153" s="1398" t="s">
        <v>7072</v>
      </c>
      <c r="C153" s="1398"/>
      <c r="D153" s="1398"/>
      <c r="E153" s="854">
        <v>333903600000000</v>
      </c>
      <c r="F153" s="855" t="s">
        <v>7177</v>
      </c>
      <c r="G153" s="468">
        <v>1</v>
      </c>
      <c r="H153" s="468">
        <v>0</v>
      </c>
      <c r="I153" s="751"/>
      <c r="J153" s="789">
        <f>'Parâmetros financeiros Despesa'!E225</f>
        <v>0</v>
      </c>
      <c r="K153" s="789">
        <f>('Parâmetros financeiros Despesa'!F225)*(1+'Parâmetros financeiros Despesa'!F$4)*(1+'Parâmetros financeiros Despesa'!F$7)</f>
        <v>2725.8287500000001</v>
      </c>
      <c r="L153" s="799">
        <f t="shared" si="16"/>
        <v>4.8255160894367195E-3</v>
      </c>
      <c r="M153" s="894"/>
      <c r="N153" s="796"/>
    </row>
    <row r="154" spans="1:15" x14ac:dyDescent="0.25">
      <c r="A154" s="397"/>
      <c r="B154" s="1398" t="s">
        <v>7073</v>
      </c>
      <c r="C154" s="1398"/>
      <c r="D154" s="1398"/>
      <c r="E154" s="854">
        <v>333903900000000</v>
      </c>
      <c r="F154" s="855" t="s">
        <v>7178</v>
      </c>
      <c r="G154" s="468">
        <v>1</v>
      </c>
      <c r="H154" s="468">
        <v>0</v>
      </c>
      <c r="I154" s="751"/>
      <c r="J154" s="789">
        <f>'Parâmetros financeiros Despesa'!E226+'Parâmetros financeiros Despesa'!E227</f>
        <v>59987.024999999994</v>
      </c>
      <c r="K154" s="789">
        <f>('Parâmetros financeiros Despesa'!F226+'Parâmetros financeiros Despesa'!F227)*(1+'Parâmetros financeiros Despesa'!F$4)*(1+'Parâmetros financeiros Despesa'!F$7)</f>
        <v>67586.405948787491</v>
      </c>
      <c r="L154" s="799">
        <f t="shared" si="16"/>
        <v>0.11964775458952645</v>
      </c>
      <c r="M154" s="894"/>
      <c r="N154" s="796"/>
    </row>
    <row r="155" spans="1:15" x14ac:dyDescent="0.25">
      <c r="A155" s="397"/>
      <c r="B155" s="1398" t="s">
        <v>7074</v>
      </c>
      <c r="C155" s="1398"/>
      <c r="D155" s="1398"/>
      <c r="E155" s="854">
        <v>333904700000000</v>
      </c>
      <c r="F155" s="855" t="s">
        <v>7179</v>
      </c>
      <c r="G155" s="468">
        <v>1</v>
      </c>
      <c r="H155" s="468">
        <v>0</v>
      </c>
      <c r="I155" s="751"/>
      <c r="J155" s="789">
        <f>'Parâmetros financeiros Despesa'!E229</f>
        <v>0</v>
      </c>
      <c r="K155" s="789">
        <f>('Parâmetros financeiros Despesa'!F224+'Parâmetros financeiros Despesa'!F225+'Parâmetros financeiros Despesa'!F227)*((1+'Parâmetros financeiros Despesa'!F4)*(1+'Parâmetros financeiros Despesa'!F7)*('Parâmetros financeiros Despesa'!F83))</f>
        <v>1199.3646500000002</v>
      </c>
      <c r="L155" s="799">
        <f t="shared" si="16"/>
        <v>2.1232270793521569E-3</v>
      </c>
      <c r="M155" s="894"/>
      <c r="N155" s="796"/>
    </row>
    <row r="156" spans="1:15" s="457" customFormat="1" x14ac:dyDescent="0.25">
      <c r="A156" s="396"/>
      <c r="B156" s="1398" t="s">
        <v>7075</v>
      </c>
      <c r="C156" s="1398"/>
      <c r="D156" s="1398"/>
      <c r="E156" s="854">
        <v>344905200000000</v>
      </c>
      <c r="F156" s="855" t="s">
        <v>7180</v>
      </c>
      <c r="G156" s="468">
        <v>1</v>
      </c>
      <c r="H156" s="468">
        <v>0</v>
      </c>
      <c r="I156" s="751"/>
      <c r="J156" s="789">
        <f>'Parâmetros financeiros Despesa'!E29</f>
        <v>0</v>
      </c>
      <c r="K156" s="789">
        <f>('Parâmetros financeiros Despesa'!F228)*(1+'Parâmetros financeiros Despesa'!F$4)*(1+'Parâmetros financeiros Despesa'!F$7)</f>
        <v>4361.326</v>
      </c>
      <c r="L156" s="799">
        <f t="shared" ref="L156:L157" si="19">K156/K$161</f>
        <v>7.7208257430987515E-3</v>
      </c>
      <c r="M156" s="894"/>
      <c r="N156" s="796"/>
      <c r="O156" s="734"/>
    </row>
    <row r="157" spans="1:15" x14ac:dyDescent="0.25">
      <c r="B157" s="864" t="s">
        <v>22</v>
      </c>
      <c r="C157" s="864"/>
      <c r="D157" s="864"/>
      <c r="E157" s="864"/>
      <c r="F157" s="864"/>
      <c r="G157" s="864"/>
      <c r="H157" s="864"/>
      <c r="I157" s="864"/>
      <c r="J157" s="863">
        <f>J149+J139+J120+J111+J102+J93</f>
        <v>404764.13499999989</v>
      </c>
      <c r="K157" s="863">
        <f>K149+K139+K120+K111+K102+K93</f>
        <v>564878.180795411</v>
      </c>
      <c r="L157" s="452">
        <f t="shared" si="19"/>
        <v>1</v>
      </c>
    </row>
    <row r="158" spans="1:15" x14ac:dyDescent="0.25">
      <c r="B158" s="864" t="s">
        <v>11469</v>
      </c>
      <c r="C158" s="864"/>
      <c r="D158" s="864"/>
      <c r="E158" s="864"/>
      <c r="F158" s="864"/>
      <c r="G158" s="864"/>
      <c r="H158" s="864"/>
      <c r="I158" s="864"/>
      <c r="J158" s="863"/>
      <c r="K158" s="863"/>
      <c r="L158" s="452"/>
    </row>
    <row r="159" spans="1:15" s="31" customFormat="1" x14ac:dyDescent="0.25">
      <c r="B159" s="869" t="s">
        <v>745</v>
      </c>
      <c r="C159" s="869"/>
      <c r="D159" s="869"/>
      <c r="E159" s="869"/>
      <c r="F159" s="869"/>
      <c r="G159" s="869"/>
      <c r="H159" s="869"/>
      <c r="I159" s="869"/>
      <c r="J159" s="870">
        <f>J157</f>
        <v>404764.13499999989</v>
      </c>
      <c r="K159" s="870">
        <f>K157-K160</f>
        <v>539817.560795411</v>
      </c>
      <c r="L159" s="871">
        <f>K159/K$161</f>
        <v>0.95563535492783269</v>
      </c>
      <c r="M159" s="897"/>
      <c r="O159" s="736"/>
    </row>
    <row r="160" spans="1:15" s="31" customFormat="1" x14ac:dyDescent="0.25">
      <c r="B160" s="869" t="s">
        <v>11749</v>
      </c>
      <c r="C160" s="869"/>
      <c r="D160" s="869"/>
      <c r="E160" s="869"/>
      <c r="F160" s="869"/>
      <c r="G160" s="869"/>
      <c r="H160" s="869"/>
      <c r="I160" s="869"/>
      <c r="J160" s="870">
        <v>0</v>
      </c>
      <c r="K160" s="870">
        <v>25060.62</v>
      </c>
      <c r="L160" s="871">
        <f>K160/K$161</f>
        <v>4.436464507216737E-2</v>
      </c>
      <c r="M160" s="897"/>
      <c r="O160" s="736"/>
    </row>
    <row r="161" spans="1:15" s="115" customFormat="1" x14ac:dyDescent="0.25">
      <c r="B161" s="864" t="s">
        <v>2172</v>
      </c>
      <c r="C161" s="864"/>
      <c r="D161" s="864"/>
      <c r="E161" s="864"/>
      <c r="F161" s="864"/>
      <c r="G161" s="864"/>
      <c r="H161" s="864"/>
      <c r="I161" s="864"/>
      <c r="J161" s="863">
        <f>SUM(J159:J160)</f>
        <v>404764.13499999989</v>
      </c>
      <c r="K161" s="863">
        <f>SUM(K159:K160)</f>
        <v>564878.180795411</v>
      </c>
      <c r="L161" s="452">
        <f>K161/K$161</f>
        <v>1</v>
      </c>
      <c r="N161" s="894"/>
      <c r="O161" s="733"/>
    </row>
    <row r="162" spans="1:15" x14ac:dyDescent="0.25">
      <c r="A162" s="397"/>
      <c r="B162" s="648"/>
      <c r="C162" s="787"/>
      <c r="D162" s="787"/>
      <c r="E162" s="649"/>
      <c r="F162" s="642"/>
      <c r="G162" s="650"/>
      <c r="H162" s="650"/>
      <c r="I162" s="651"/>
      <c r="J162" s="653"/>
      <c r="K162" s="653"/>
      <c r="L162" s="654"/>
    </row>
    <row r="163" spans="1:15" x14ac:dyDescent="0.25">
      <c r="A163" s="397"/>
      <c r="B163" s="648"/>
      <c r="C163" s="787"/>
      <c r="D163" s="787"/>
      <c r="E163" s="649"/>
      <c r="F163" s="642"/>
      <c r="G163" s="650"/>
      <c r="H163" s="650"/>
      <c r="I163" s="651"/>
      <c r="J163" s="653"/>
      <c r="K163" s="653"/>
      <c r="L163" s="654"/>
    </row>
    <row r="164" spans="1:15" x14ac:dyDescent="0.25">
      <c r="A164" s="397"/>
      <c r="B164" s="648"/>
      <c r="C164" s="787"/>
      <c r="D164" s="787"/>
      <c r="E164" s="649"/>
      <c r="F164" s="642"/>
      <c r="G164" s="650"/>
      <c r="H164" s="650"/>
      <c r="I164" s="651"/>
      <c r="J164" s="653"/>
      <c r="K164" s="653"/>
      <c r="L164" s="654"/>
    </row>
    <row r="165" spans="1:15" x14ac:dyDescent="0.25">
      <c r="A165" s="397"/>
      <c r="B165" s="648"/>
      <c r="C165" s="787"/>
      <c r="D165" s="787"/>
      <c r="E165" s="649"/>
      <c r="F165" s="642"/>
      <c r="G165" s="650"/>
      <c r="H165" s="650"/>
      <c r="I165" s="651"/>
      <c r="J165" s="653"/>
      <c r="K165" s="653"/>
      <c r="L165" s="654"/>
    </row>
    <row r="166" spans="1:15" x14ac:dyDescent="0.25">
      <c r="A166" s="397"/>
      <c r="B166" s="655"/>
      <c r="C166" s="787"/>
      <c r="D166" s="656"/>
      <c r="E166" s="649"/>
      <c r="F166" s="642"/>
      <c r="G166" s="650"/>
      <c r="H166" s="650"/>
      <c r="I166" s="651"/>
      <c r="J166" s="653"/>
      <c r="K166" s="653"/>
      <c r="L166" s="654"/>
    </row>
    <row r="167" spans="1:15" s="435" customFormat="1" ht="15.75" x14ac:dyDescent="0.25">
      <c r="B167" s="999" t="s">
        <v>989</v>
      </c>
      <c r="C167" s="999"/>
      <c r="D167" s="481"/>
      <c r="E167" s="1371" t="s">
        <v>6887</v>
      </c>
      <c r="F167" s="1371"/>
      <c r="G167" s="1371"/>
      <c r="H167" s="1371"/>
      <c r="I167" s="1371"/>
      <c r="J167" s="940"/>
      <c r="K167" s="438"/>
      <c r="L167" s="449"/>
      <c r="M167" s="892"/>
      <c r="O167" s="732"/>
    </row>
    <row r="168" spans="1:15" s="435" customFormat="1" ht="21.75" customHeight="1" x14ac:dyDescent="0.25">
      <c r="B168" s="999" t="s">
        <v>458</v>
      </c>
      <c r="C168" s="999"/>
      <c r="D168" s="481"/>
      <c r="E168" s="1371" t="s">
        <v>7012</v>
      </c>
      <c r="F168" s="1371"/>
      <c r="G168" s="1371"/>
      <c r="H168" s="1371"/>
      <c r="I168" s="1371"/>
      <c r="J168" s="940"/>
      <c r="K168" s="438"/>
      <c r="L168" s="449"/>
      <c r="M168" s="892"/>
      <c r="O168" s="732"/>
    </row>
    <row r="169" spans="1:15" s="435" customFormat="1" ht="15.75" x14ac:dyDescent="0.25">
      <c r="B169" s="1005" t="s">
        <v>5764</v>
      </c>
      <c r="C169" s="1005"/>
      <c r="D169" s="1005"/>
      <c r="E169" s="1371" t="s">
        <v>749</v>
      </c>
      <c r="F169" s="1371"/>
      <c r="G169" s="1371"/>
      <c r="H169" s="1371"/>
      <c r="I169" s="1371"/>
      <c r="J169" s="941"/>
      <c r="K169" s="438"/>
      <c r="L169" s="449"/>
      <c r="M169" s="892"/>
      <c r="O169" s="732"/>
    </row>
    <row r="170" spans="1:15" ht="88.5" x14ac:dyDescent="0.25">
      <c r="A170" s="396"/>
      <c r="B170" s="1400" t="s">
        <v>2296</v>
      </c>
      <c r="C170" s="1400"/>
      <c r="D170" s="1400"/>
      <c r="E170" s="1384" t="s">
        <v>2297</v>
      </c>
      <c r="F170" s="1384"/>
      <c r="G170" s="443" t="s">
        <v>444</v>
      </c>
      <c r="H170" s="443" t="s">
        <v>2245</v>
      </c>
      <c r="I170" s="444" t="s">
        <v>5725</v>
      </c>
      <c r="J170" s="893" t="s">
        <v>11644</v>
      </c>
      <c r="K170" s="1000" t="s">
        <v>11522</v>
      </c>
      <c r="L170" s="450" t="s">
        <v>235</v>
      </c>
    </row>
    <row r="171" spans="1:15" s="115" customFormat="1" x14ac:dyDescent="0.25">
      <c r="A171" s="396"/>
      <c r="B171" s="1385" t="s">
        <v>5951</v>
      </c>
      <c r="C171" s="1385"/>
      <c r="D171" s="1385"/>
      <c r="E171" s="1385"/>
      <c r="F171" s="1385"/>
      <c r="G171" s="401"/>
      <c r="H171" s="401"/>
      <c r="I171" s="426"/>
      <c r="J171" s="402">
        <f t="shared" ref="J171:K173" si="20">J172</f>
        <v>0</v>
      </c>
      <c r="K171" s="402">
        <f t="shared" si="20"/>
        <v>8589.6315570000006</v>
      </c>
      <c r="L171" s="451">
        <f t="shared" ref="L171:L202" si="21">K171/K$230</f>
        <v>1.1740856585549214E-2</v>
      </c>
      <c r="M171" s="894"/>
      <c r="O171" s="733"/>
    </row>
    <row r="172" spans="1:15" x14ac:dyDescent="0.25">
      <c r="A172" s="396"/>
      <c r="B172" s="1386" t="s">
        <v>5950</v>
      </c>
      <c r="C172" s="1386"/>
      <c r="D172" s="1386"/>
      <c r="E172" s="1386"/>
      <c r="F172" s="1386"/>
      <c r="G172" s="403"/>
      <c r="H172" s="403"/>
      <c r="I172" s="427"/>
      <c r="J172" s="404">
        <f t="shared" si="20"/>
        <v>0</v>
      </c>
      <c r="K172" s="404">
        <f t="shared" si="20"/>
        <v>8589.6315570000006</v>
      </c>
      <c r="L172" s="452">
        <f t="shared" si="21"/>
        <v>1.1740856585549214E-2</v>
      </c>
    </row>
    <row r="173" spans="1:15" x14ac:dyDescent="0.25">
      <c r="A173" s="396"/>
      <c r="B173" s="1382" t="s">
        <v>2286</v>
      </c>
      <c r="C173" s="1382"/>
      <c r="D173" s="1382"/>
      <c r="E173" s="1382"/>
      <c r="F173" s="1382"/>
      <c r="G173" s="405"/>
      <c r="H173" s="405"/>
      <c r="I173" s="428"/>
      <c r="J173" s="406">
        <f t="shared" si="20"/>
        <v>0</v>
      </c>
      <c r="K173" s="406">
        <f t="shared" si="20"/>
        <v>8589.6315570000006</v>
      </c>
      <c r="L173" s="453">
        <f t="shared" si="21"/>
        <v>1.1740856585549214E-2</v>
      </c>
    </row>
    <row r="174" spans="1:15" x14ac:dyDescent="0.25">
      <c r="A174" s="396"/>
      <c r="B174" s="1383" t="s">
        <v>7013</v>
      </c>
      <c r="C174" s="1383"/>
      <c r="D174" s="1383"/>
      <c r="E174" s="1383"/>
      <c r="F174" s="1383"/>
      <c r="G174" s="407"/>
      <c r="H174" s="407"/>
      <c r="I174" s="429"/>
      <c r="J174" s="408">
        <f>J175+J176+J177+J178+J179</f>
        <v>0</v>
      </c>
      <c r="K174" s="408">
        <f>K175+K176+K177+K178+K179</f>
        <v>8589.6315570000006</v>
      </c>
      <c r="L174" s="454">
        <f t="shared" si="21"/>
        <v>1.1740856585549214E-2</v>
      </c>
    </row>
    <row r="175" spans="1:15" x14ac:dyDescent="0.25">
      <c r="A175" s="396"/>
      <c r="B175" s="1396">
        <v>18000</v>
      </c>
      <c r="C175" s="1396"/>
      <c r="D175" s="1396"/>
      <c r="E175" s="854">
        <v>333904700000000</v>
      </c>
      <c r="F175" s="1017" t="s">
        <v>7089</v>
      </c>
      <c r="G175" s="468">
        <v>1</v>
      </c>
      <c r="H175" s="468">
        <v>0</v>
      </c>
      <c r="I175" s="751"/>
      <c r="J175" s="789">
        <f>((('Parâmetros financeiros Despesa'!E234+'Parâmetros financeiros Despesa'!E235+'Parâmetros financeiros Despesa'!E237)))</f>
        <v>0</v>
      </c>
      <c r="K175" s="789">
        <f>((('Parâmetros financeiros Despesa'!F234+'Parâmetros financeiros Despesa'!F235+'Parâmetros financeiros Despesa'!F237))*((1+'Parâmetros financeiros Despesa'!F$4)*(1+'Parâmetros financeiros Despesa'!F$7))*(1+'Parâmetros financeiros Despesa'!F$83))</f>
        <v>1962.5967000000001</v>
      </c>
      <c r="L175" s="799">
        <f t="shared" si="21"/>
        <v>2.6826024186327223E-3</v>
      </c>
      <c r="M175" s="894"/>
      <c r="N175" s="796"/>
    </row>
    <row r="176" spans="1:15" s="115" customFormat="1" x14ac:dyDescent="0.25">
      <c r="A176" s="396"/>
      <c r="B176" s="1396">
        <v>18100</v>
      </c>
      <c r="C176" s="1396"/>
      <c r="D176" s="1396"/>
      <c r="E176" s="854">
        <v>344903000000000</v>
      </c>
      <c r="F176" s="855" t="s">
        <v>7156</v>
      </c>
      <c r="G176" s="468">
        <v>1</v>
      </c>
      <c r="H176" s="468">
        <v>0</v>
      </c>
      <c r="I176" s="751"/>
      <c r="J176" s="789">
        <f>('Parâmetros financeiros Despesa'!E233+'Parâmetros financeiros Despesa'!E234)</f>
        <v>0</v>
      </c>
      <c r="K176" s="789">
        <f>('Parâmetros financeiros Despesa'!F233+'Parâmetros financeiros Despesa'!F234)*((1+'Parâmetros financeiros Despesa'!F$4)*(1+'Parâmetros financeiros Despesa'!F$5)*(1+'Parâmetros financeiros Despesa'!F$7))</f>
        <v>1104.5058094999999</v>
      </c>
      <c r="L176" s="799">
        <f t="shared" si="21"/>
        <v>1.5097090278194153E-3</v>
      </c>
      <c r="M176" s="894"/>
      <c r="N176" s="796"/>
      <c r="O176" s="733"/>
    </row>
    <row r="177" spans="1:15" s="457" customFormat="1" x14ac:dyDescent="0.25">
      <c r="A177" s="396"/>
      <c r="B177" s="1398" t="s">
        <v>7077</v>
      </c>
      <c r="C177" s="1398"/>
      <c r="D177" s="1398"/>
      <c r="E177" s="854">
        <v>344903600000000</v>
      </c>
      <c r="F177" s="855" t="s">
        <v>7158</v>
      </c>
      <c r="G177" s="468">
        <v>1</v>
      </c>
      <c r="H177" s="468">
        <v>0</v>
      </c>
      <c r="I177" s="751"/>
      <c r="J177" s="789">
        <f>'Parâmetros financeiros Despesa'!E235</f>
        <v>0</v>
      </c>
      <c r="K177" s="789">
        <f>('Parâmetros financeiros Despesa'!F235)*((1+'Parâmetros financeiros Despesa'!F$4)*(1+'Parâmetros financeiros Despesa'!F$5)*(1+'Parâmetros financeiros Despesa'!F$7))</f>
        <v>552.25290474999997</v>
      </c>
      <c r="L177" s="799">
        <f t="shared" si="21"/>
        <v>7.5485451390970766E-4</v>
      </c>
      <c r="M177" s="894"/>
      <c r="N177" s="796"/>
      <c r="O177" s="734"/>
    </row>
    <row r="178" spans="1:15" s="457" customFormat="1" ht="30" x14ac:dyDescent="0.25">
      <c r="A178" s="396"/>
      <c r="B178" s="1398" t="s">
        <v>7078</v>
      </c>
      <c r="C178" s="1398"/>
      <c r="D178" s="1398"/>
      <c r="E178" s="854">
        <v>344903900000000</v>
      </c>
      <c r="F178" s="855" t="s">
        <v>7159</v>
      </c>
      <c r="G178" s="468">
        <v>1</v>
      </c>
      <c r="H178" s="468">
        <v>0</v>
      </c>
      <c r="I178" s="751"/>
      <c r="J178" s="789">
        <f>('Parâmetros financeiros Despesa'!E236+'Parâmetros financeiros Despesa'!E237)</f>
        <v>0</v>
      </c>
      <c r="K178" s="789">
        <f>('Parâmetros financeiros Despesa'!F236+'Parâmetros financeiros Despesa'!F237)*((1+'Parâmetros financeiros Despesa'!F$4)*(1+'Parâmetros financeiros Despesa'!F$5)*(1+'Parâmetros financeiros Despesa'!F$7))</f>
        <v>1104.5058094999999</v>
      </c>
      <c r="L178" s="799">
        <f t="shared" si="21"/>
        <v>1.5097090278194153E-3</v>
      </c>
      <c r="M178" s="894"/>
      <c r="N178" s="796"/>
      <c r="O178" s="734"/>
    </row>
    <row r="179" spans="1:15" s="457" customFormat="1" x14ac:dyDescent="0.25">
      <c r="A179" s="396"/>
      <c r="B179" s="1398" t="s">
        <v>7079</v>
      </c>
      <c r="C179" s="1398"/>
      <c r="D179" s="1398"/>
      <c r="E179" s="854">
        <v>344905200000000</v>
      </c>
      <c r="F179" s="855" t="s">
        <v>7041</v>
      </c>
      <c r="G179" s="468">
        <v>1</v>
      </c>
      <c r="H179" s="468">
        <v>0</v>
      </c>
      <c r="I179" s="751"/>
      <c r="J179" s="789">
        <f>'Parâmetros financeiros Despesa'!E238</f>
        <v>0</v>
      </c>
      <c r="K179" s="789">
        <f>('Parâmetros financeiros Despesa'!F238)*((1+'Parâmetros financeiros Despesa'!F$4)*(1+'Parâmetros financeiros Despesa'!F$5)*(1+'Parâmetros financeiros Despesa'!F$7))</f>
        <v>3865.77033325</v>
      </c>
      <c r="L179" s="799">
        <f t="shared" si="21"/>
        <v>5.2839815973679538E-3</v>
      </c>
      <c r="M179" s="894"/>
      <c r="N179" s="796"/>
      <c r="O179" s="734"/>
    </row>
    <row r="180" spans="1:15" s="115" customFormat="1" x14ac:dyDescent="0.25">
      <c r="A180" s="396"/>
      <c r="B180" s="1385" t="s">
        <v>5951</v>
      </c>
      <c r="C180" s="1385"/>
      <c r="D180" s="1385"/>
      <c r="E180" s="1385"/>
      <c r="F180" s="1385"/>
      <c r="G180" s="401"/>
      <c r="H180" s="401"/>
      <c r="I180" s="426"/>
      <c r="J180" s="402">
        <f t="shared" ref="J180:K182" si="22">J181</f>
        <v>7215.7199999999993</v>
      </c>
      <c r="K180" s="402">
        <f t="shared" si="22"/>
        <v>13865.7456855</v>
      </c>
      <c r="L180" s="451">
        <f t="shared" si="21"/>
        <v>1.8952586087640184E-2</v>
      </c>
      <c r="M180" s="894"/>
      <c r="O180" s="733"/>
    </row>
    <row r="181" spans="1:15" x14ac:dyDescent="0.25">
      <c r="A181" s="396"/>
      <c r="B181" s="1386" t="s">
        <v>6982</v>
      </c>
      <c r="C181" s="1386"/>
      <c r="D181" s="1386"/>
      <c r="E181" s="1386"/>
      <c r="F181" s="1386"/>
      <c r="G181" s="403"/>
      <c r="H181" s="403"/>
      <c r="I181" s="427"/>
      <c r="J181" s="404">
        <f t="shared" si="22"/>
        <v>7215.7199999999993</v>
      </c>
      <c r="K181" s="404">
        <f t="shared" si="22"/>
        <v>13865.7456855</v>
      </c>
      <c r="L181" s="452">
        <f t="shared" si="21"/>
        <v>1.8952586087640184E-2</v>
      </c>
    </row>
    <row r="182" spans="1:15" x14ac:dyDescent="0.25">
      <c r="A182" s="396"/>
      <c r="B182" s="1382" t="s">
        <v>2286</v>
      </c>
      <c r="C182" s="1382"/>
      <c r="D182" s="1382"/>
      <c r="E182" s="1382"/>
      <c r="F182" s="1382"/>
      <c r="G182" s="405"/>
      <c r="H182" s="405"/>
      <c r="I182" s="428"/>
      <c r="J182" s="406">
        <f t="shared" si="22"/>
        <v>7215.7199999999993</v>
      </c>
      <c r="K182" s="406">
        <f t="shared" si="22"/>
        <v>13865.7456855</v>
      </c>
      <c r="L182" s="453">
        <f t="shared" si="21"/>
        <v>1.8952586087640184E-2</v>
      </c>
    </row>
    <row r="183" spans="1:15" x14ac:dyDescent="0.25">
      <c r="A183" s="396"/>
      <c r="B183" s="1383" t="s">
        <v>7013</v>
      </c>
      <c r="C183" s="1383"/>
      <c r="D183" s="1383"/>
      <c r="E183" s="1383"/>
      <c r="F183" s="1383"/>
      <c r="G183" s="407"/>
      <c r="H183" s="407"/>
      <c r="I183" s="429"/>
      <c r="J183" s="408">
        <f>SUM(J184:J188)</f>
        <v>7215.7199999999993</v>
      </c>
      <c r="K183" s="408">
        <f>SUM(K184:K188)</f>
        <v>13865.7456855</v>
      </c>
      <c r="L183" s="454">
        <f t="shared" si="21"/>
        <v>1.8952586087640184E-2</v>
      </c>
    </row>
    <row r="184" spans="1:15" x14ac:dyDescent="0.25">
      <c r="A184" s="396"/>
      <c r="B184" s="1396">
        <v>18500</v>
      </c>
      <c r="C184" s="1396"/>
      <c r="D184" s="1396"/>
      <c r="E184" s="854">
        <v>333904700000000</v>
      </c>
      <c r="F184" s="1017" t="s">
        <v>7160</v>
      </c>
      <c r="G184" s="468">
        <v>1</v>
      </c>
      <c r="H184" s="468">
        <v>0</v>
      </c>
      <c r="I184" s="751"/>
      <c r="J184" s="789">
        <f>((('Parâmetros financeiros Despesa'!E241+'Parâmetros financeiros Despesa'!E242+'Parâmetros financeiros Despesa'!E244)))</f>
        <v>0</v>
      </c>
      <c r="K184" s="789">
        <f>((('Parâmetros financeiros Despesa'!F241+'Parâmetros financeiros Despesa'!F242+'Parâmetros financeiros Despesa'!F244))*((1+'Parâmetros financeiros Despesa'!F$4)*(1+'Parâmetros financeiros Despesa'!F$7))*(1+'Parâmetros financeiros Despesa'!F$83))</f>
        <v>3925.1934000000001</v>
      </c>
      <c r="L184" s="799">
        <f t="shared" si="21"/>
        <v>5.3652048372654446E-3</v>
      </c>
      <c r="M184" s="894"/>
      <c r="N184" s="796"/>
    </row>
    <row r="185" spans="1:15" s="115" customFormat="1" x14ac:dyDescent="0.25">
      <c r="A185" s="396"/>
      <c r="B185" s="1396">
        <v>18600</v>
      </c>
      <c r="C185" s="1396"/>
      <c r="D185" s="1396"/>
      <c r="E185" s="854">
        <v>344903000000000</v>
      </c>
      <c r="F185" s="855" t="s">
        <v>7161</v>
      </c>
      <c r="G185" s="468">
        <v>1</v>
      </c>
      <c r="H185" s="468">
        <v>0</v>
      </c>
      <c r="I185" s="751"/>
      <c r="J185" s="789">
        <f>'Parâmetros financeiros Despesa'!E240+'Parâmetros financeiros Despesa'!E241</f>
        <v>0</v>
      </c>
      <c r="K185" s="789">
        <f>('Parâmetros financeiros Despesa'!F240+'Parâmetros financeiros Despesa'!F241)*((1+'Parâmetros financeiros Despesa'!F$4)*(1+'Parâmetros financeiros Despesa'!F$5)*(1+'Parâmetros financeiros Despesa'!F$7))</f>
        <v>2209.0116189999999</v>
      </c>
      <c r="L185" s="799">
        <f t="shared" si="21"/>
        <v>3.0194180556388306E-3</v>
      </c>
      <c r="M185" s="894"/>
      <c r="N185" s="796"/>
      <c r="O185" s="733"/>
    </row>
    <row r="186" spans="1:15" s="457" customFormat="1" x14ac:dyDescent="0.25">
      <c r="A186" s="396"/>
      <c r="B186" s="1398" t="s">
        <v>7080</v>
      </c>
      <c r="C186" s="1398"/>
      <c r="D186" s="1398"/>
      <c r="E186" s="854">
        <v>344903600000000</v>
      </c>
      <c r="F186" s="855" t="s">
        <v>7164</v>
      </c>
      <c r="G186" s="468">
        <v>1</v>
      </c>
      <c r="H186" s="468">
        <v>0</v>
      </c>
      <c r="I186" s="751"/>
      <c r="J186" s="789">
        <f>'Parâmetros financeiros Despesa'!E242</f>
        <v>0</v>
      </c>
      <c r="K186" s="789">
        <f>('Parâmetros financeiros Despesa'!F242)*((1+'Parâmetros financeiros Despesa'!F$4)*(1+'Parâmetros financeiros Despesa'!F$5)*(1+'Parâmetros financeiros Despesa'!F$7))</f>
        <v>1104.5058094999999</v>
      </c>
      <c r="L186" s="799">
        <f t="shared" si="21"/>
        <v>1.5097090278194153E-3</v>
      </c>
      <c r="M186" s="894"/>
      <c r="N186" s="796"/>
      <c r="O186" s="734"/>
    </row>
    <row r="187" spans="1:15" s="457" customFormat="1" x14ac:dyDescent="0.25">
      <c r="A187" s="396"/>
      <c r="B187" s="1398" t="s">
        <v>7081</v>
      </c>
      <c r="C187" s="1398"/>
      <c r="D187" s="1398"/>
      <c r="E187" s="854">
        <v>344903900000000</v>
      </c>
      <c r="F187" s="855" t="s">
        <v>7163</v>
      </c>
      <c r="G187" s="468">
        <v>1</v>
      </c>
      <c r="H187" s="468">
        <v>0</v>
      </c>
      <c r="I187" s="751"/>
      <c r="J187" s="789">
        <f>'Parâmetros financeiros Despesa'!E243+'Parâmetros financeiros Despesa'!E244</f>
        <v>0</v>
      </c>
      <c r="K187" s="789">
        <f>('Parâmetros financeiros Despesa'!F243+'Parâmetros financeiros Despesa'!F244)*((1+'Parâmetros financeiros Despesa'!F$4)*(1+'Parâmetros financeiros Despesa'!F$5)*(1+'Parâmetros financeiros Despesa'!F$7))</f>
        <v>2209.0116189999999</v>
      </c>
      <c r="L187" s="799">
        <f t="shared" si="21"/>
        <v>3.0194180556388306E-3</v>
      </c>
      <c r="M187" s="894"/>
      <c r="N187" s="796"/>
      <c r="O187" s="734"/>
    </row>
    <row r="188" spans="1:15" s="457" customFormat="1" x14ac:dyDescent="0.25">
      <c r="A188" s="396"/>
      <c r="B188" s="1398" t="s">
        <v>7082</v>
      </c>
      <c r="C188" s="1398"/>
      <c r="D188" s="1398"/>
      <c r="E188" s="854">
        <v>344905200000000</v>
      </c>
      <c r="F188" s="855" t="s">
        <v>7162</v>
      </c>
      <c r="G188" s="468">
        <v>1</v>
      </c>
      <c r="H188" s="468">
        <v>0</v>
      </c>
      <c r="I188" s="751"/>
      <c r="J188" s="789">
        <f>'Parâmetros financeiros Despesa'!E245</f>
        <v>7215.7199999999993</v>
      </c>
      <c r="K188" s="789">
        <f>('Parâmetros financeiros Despesa'!F245)*((1+'Parâmetros financeiros Despesa'!F$4)*(1+'Parâmetros financeiros Despesa'!F$5)*(1+'Parâmetros financeiros Despesa'!F$7))</f>
        <v>4418.0232379999998</v>
      </c>
      <c r="L188" s="799">
        <f t="shared" si="21"/>
        <v>6.0388361112776612E-3</v>
      </c>
      <c r="M188" s="894"/>
      <c r="N188" s="796"/>
      <c r="O188" s="734"/>
    </row>
    <row r="189" spans="1:15" x14ac:dyDescent="0.25">
      <c r="A189" s="397"/>
      <c r="B189" s="1385" t="s">
        <v>5951</v>
      </c>
      <c r="C189" s="1385"/>
      <c r="D189" s="1385"/>
      <c r="E189" s="1385"/>
      <c r="F189" s="1385"/>
      <c r="G189" s="401"/>
      <c r="H189" s="401"/>
      <c r="I189" s="426"/>
      <c r="J189" s="402">
        <f t="shared" ref="J189:K191" si="23">J190</f>
        <v>558418.6449999999</v>
      </c>
      <c r="K189" s="402">
        <f t="shared" si="23"/>
        <v>676981.64182853163</v>
      </c>
      <c r="L189" s="451">
        <f t="shared" si="21"/>
        <v>0.92534171169205071</v>
      </c>
    </row>
    <row r="190" spans="1:15" x14ac:dyDescent="0.25">
      <c r="A190" s="397"/>
      <c r="B190" s="1386" t="s">
        <v>5965</v>
      </c>
      <c r="C190" s="1386"/>
      <c r="D190" s="1386"/>
      <c r="E190" s="1386"/>
      <c r="F190" s="1386"/>
      <c r="G190" s="403"/>
      <c r="H190" s="403"/>
      <c r="I190" s="427"/>
      <c r="J190" s="404">
        <f t="shared" si="23"/>
        <v>558418.6449999999</v>
      </c>
      <c r="K190" s="404">
        <f t="shared" si="23"/>
        <v>676981.64182853163</v>
      </c>
      <c r="L190" s="452">
        <f t="shared" si="21"/>
        <v>0.92534171169205071</v>
      </c>
    </row>
    <row r="191" spans="1:15" x14ac:dyDescent="0.25">
      <c r="A191" s="397"/>
      <c r="B191" s="1382" t="s">
        <v>2286</v>
      </c>
      <c r="C191" s="1382"/>
      <c r="D191" s="1382"/>
      <c r="E191" s="1382"/>
      <c r="F191" s="1382"/>
      <c r="G191" s="405"/>
      <c r="H191" s="405"/>
      <c r="I191" s="428"/>
      <c r="J191" s="406">
        <f t="shared" si="23"/>
        <v>558418.6449999999</v>
      </c>
      <c r="K191" s="406">
        <f t="shared" si="23"/>
        <v>676981.64182853163</v>
      </c>
      <c r="L191" s="453">
        <f t="shared" si="21"/>
        <v>0.92534171169205071</v>
      </c>
    </row>
    <row r="192" spans="1:15" x14ac:dyDescent="0.25">
      <c r="A192" s="397"/>
      <c r="B192" s="1383" t="s">
        <v>7013</v>
      </c>
      <c r="C192" s="1383"/>
      <c r="D192" s="1383"/>
      <c r="E192" s="1383"/>
      <c r="F192" s="1383"/>
      <c r="G192" s="407"/>
      <c r="H192" s="407"/>
      <c r="I192" s="429"/>
      <c r="J192" s="408">
        <f>J193+J194+J195+J196+J197+J198+J199+J200+J201+J202+J203+J204+J205+J206</f>
        <v>558418.6449999999</v>
      </c>
      <c r="K192" s="408">
        <f>K193+K194+K195+K196+K197+K198+K199+K200+K201+K202+K203+K204+K205+K206-0.01</f>
        <v>676981.64182853163</v>
      </c>
      <c r="L192" s="454">
        <f t="shared" si="21"/>
        <v>0.92534171169205071</v>
      </c>
    </row>
    <row r="193" spans="1:15" s="115" customFormat="1" x14ac:dyDescent="0.25">
      <c r="A193" s="396"/>
      <c r="B193" s="1398" t="s">
        <v>7083</v>
      </c>
      <c r="C193" s="1398"/>
      <c r="D193" s="1398"/>
      <c r="E193" s="854">
        <v>331900400000000</v>
      </c>
      <c r="F193" s="855" t="s">
        <v>5851</v>
      </c>
      <c r="G193" s="468">
        <v>1</v>
      </c>
      <c r="H193" s="468">
        <v>0</v>
      </c>
      <c r="I193" s="751"/>
      <c r="J193" s="789">
        <f>'Parâmetros financeiros Despesa'!E247</f>
        <v>0</v>
      </c>
      <c r="K193" s="789">
        <f>(('Parâmetros financeiros Despesa'!F247)*2.05+(('Parâmetros financeiros Despesa'!F247)*11.28)*(1+'Parâmetros financeiros Despesa'!F$4)*(1+'Parâmetros financeiros Despesa'!F$8))*(1+'Parâmetros financeiros Despesa'!F$80)</f>
        <v>27.357830962580255</v>
      </c>
      <c r="L193" s="799">
        <f t="shared" si="21"/>
        <v>3.7394429282777743E-5</v>
      </c>
      <c r="M193" s="894"/>
      <c r="O193" s="733"/>
    </row>
    <row r="194" spans="1:15" s="115" customFormat="1" x14ac:dyDescent="0.25">
      <c r="A194" s="396"/>
      <c r="B194" s="1398" t="s">
        <v>7084</v>
      </c>
      <c r="C194" s="1398"/>
      <c r="D194" s="1398"/>
      <c r="E194" s="854">
        <v>331901100000000</v>
      </c>
      <c r="F194" s="855" t="s">
        <v>5732</v>
      </c>
      <c r="G194" s="468">
        <v>1</v>
      </c>
      <c r="H194" s="468">
        <v>0</v>
      </c>
      <c r="I194" s="751"/>
      <c r="J194" s="789">
        <f>'Parâmetros financeiros Despesa'!E248</f>
        <v>386493.33124999999</v>
      </c>
      <c r="K194" s="789">
        <f>('Parâmetros financeiros Despesa'!F248)*2.05+(('Parâmetros financeiros Despesa'!F248)*11.28)*(1+'Parâmetros financeiros Despesa'!F$4)*(1+'Parâmetros financeiros Despesa'!F$8)</f>
        <v>449486.28696511849</v>
      </c>
      <c r="L194" s="799">
        <f t="shared" si="21"/>
        <v>0.61438654235731094</v>
      </c>
      <c r="M194" s="894"/>
      <c r="O194" s="733"/>
    </row>
    <row r="195" spans="1:15" s="115" customFormat="1" x14ac:dyDescent="0.25">
      <c r="A195" s="396"/>
      <c r="B195" s="1398" t="s">
        <v>7085</v>
      </c>
      <c r="C195" s="1398"/>
      <c r="D195" s="1398"/>
      <c r="E195" s="854">
        <v>331901300000000</v>
      </c>
      <c r="F195" s="855" t="s">
        <v>5735</v>
      </c>
      <c r="G195" s="468">
        <v>1</v>
      </c>
      <c r="H195" s="468">
        <v>0</v>
      </c>
      <c r="I195" s="751"/>
      <c r="J195" s="789">
        <f>'Parâmetros financeiros Despesa'!E249</f>
        <v>76569.59375</v>
      </c>
      <c r="K195" s="789">
        <f>(K196+K194)*'Parâmetros financeiros Despesa'!F80</f>
        <v>111622.31455578421</v>
      </c>
      <c r="L195" s="799">
        <f t="shared" si="21"/>
        <v>0.15257250305206832</v>
      </c>
      <c r="M195" s="894"/>
      <c r="O195" s="733"/>
    </row>
    <row r="196" spans="1:15" s="115" customFormat="1" x14ac:dyDescent="0.25">
      <c r="A196" s="396"/>
      <c r="B196" s="1398" t="s">
        <v>7086</v>
      </c>
      <c r="C196" s="1398"/>
      <c r="D196" s="1398"/>
      <c r="E196" s="854">
        <v>331901600000000</v>
      </c>
      <c r="F196" s="855" t="s">
        <v>5736</v>
      </c>
      <c r="G196" s="468">
        <v>1</v>
      </c>
      <c r="H196" s="468">
        <v>0</v>
      </c>
      <c r="I196" s="751"/>
      <c r="J196" s="789">
        <f>'Parâmetros financeiros Despesa'!E250</f>
        <v>16620.900000000001</v>
      </c>
      <c r="K196" s="789">
        <f>('Parâmetros financeiros Despesa'!F250)*2.05+(('Parâmetros financeiros Despesa'!F250)*11.28)*(1+'Parâmetros financeiros Despesa'!F$4)*(1+'Parâmetros financeiros Despesa'!F$8)</f>
        <v>19329.872013201879</v>
      </c>
      <c r="L196" s="799">
        <f t="shared" si="21"/>
        <v>2.6421302662170139E-2</v>
      </c>
      <c r="M196" s="894"/>
      <c r="O196" s="733"/>
    </row>
    <row r="197" spans="1:15" s="115" customFormat="1" x14ac:dyDescent="0.25">
      <c r="A197" s="396"/>
      <c r="B197" s="1398" t="s">
        <v>7087</v>
      </c>
      <c r="C197" s="1398"/>
      <c r="D197" s="1398"/>
      <c r="E197" s="854">
        <v>333901400000000</v>
      </c>
      <c r="F197" s="855" t="s">
        <v>6568</v>
      </c>
      <c r="G197" s="468">
        <v>1</v>
      </c>
      <c r="H197" s="468">
        <v>0</v>
      </c>
      <c r="I197" s="751"/>
      <c r="J197" s="789">
        <f>'Parâmetros financeiros Despesa'!E251</f>
        <v>19333.5</v>
      </c>
      <c r="K197" s="789">
        <f>('Parâmetros financeiros Despesa'!F251)*2+(('Parâmetros financeiros Despesa'!F251)*10)*(1+'Parâmetros financeiros Despesa'!F$4)*(1+'Parâmetros financeiros Despesa'!F$8)</f>
        <v>20227.3752316848</v>
      </c>
      <c r="L197" s="799">
        <f t="shared" si="21"/>
        <v>2.7648067338087987E-2</v>
      </c>
      <c r="M197" s="894"/>
      <c r="N197" s="796"/>
      <c r="O197" s="733"/>
    </row>
    <row r="198" spans="1:15" s="115" customFormat="1" x14ac:dyDescent="0.25">
      <c r="A198" s="396"/>
      <c r="B198" s="1396">
        <v>19500</v>
      </c>
      <c r="C198" s="1396"/>
      <c r="D198" s="1396"/>
      <c r="E198" s="854">
        <v>333903000000000</v>
      </c>
      <c r="F198" s="855" t="s">
        <v>7023</v>
      </c>
      <c r="G198" s="468">
        <v>1</v>
      </c>
      <c r="H198" s="468">
        <v>0</v>
      </c>
      <c r="I198" s="751"/>
      <c r="J198" s="789">
        <f>'Parâmetros financeiros Despesa'!E252+'Parâmetros financeiros Despesa'!E253</f>
        <v>16617.105</v>
      </c>
      <c r="K198" s="789">
        <f>('Parâmetros financeiros Despesa'!F252+'Parâmetros financeiros Despesa'!F253)*(1+'Parâmetros financeiros Despesa'!F$4)*(1+'Parâmetros financeiros Despesa'!F$7)*(1+'Parâmetros financeiros Despesa'!F$77)</f>
        <v>20298.816020307499</v>
      </c>
      <c r="L198" s="799">
        <f t="shared" si="21"/>
        <v>2.7745717167188523E-2</v>
      </c>
      <c r="M198" s="894"/>
      <c r="N198" s="894"/>
      <c r="O198" s="733"/>
    </row>
    <row r="199" spans="1:15" s="115" customFormat="1" x14ac:dyDescent="0.25">
      <c r="A199" s="396"/>
      <c r="B199" s="1396">
        <v>19600</v>
      </c>
      <c r="C199" s="1396"/>
      <c r="D199" s="1396"/>
      <c r="E199" s="854">
        <v>333903200000000</v>
      </c>
      <c r="F199" s="855" t="s">
        <v>1021</v>
      </c>
      <c r="G199" s="468">
        <v>1</v>
      </c>
      <c r="H199" s="468">
        <v>0</v>
      </c>
      <c r="I199" s="751"/>
      <c r="J199" s="789">
        <f>'Parâmetros financeiros Despesa'!E254</f>
        <v>0</v>
      </c>
      <c r="K199" s="789">
        <f>('Parâmetros financeiros Despesa'!F253)*(1+'Parâmetros financeiros Despesa'!F$4)*(1+'Parâmetros financeiros Despesa'!F$7)</f>
        <v>2180.663</v>
      </c>
      <c r="L199" s="799">
        <f t="shared" si="21"/>
        <v>2.980669354036358E-3</v>
      </c>
      <c r="M199" s="894"/>
      <c r="N199" s="894"/>
      <c r="O199" s="733"/>
    </row>
    <row r="200" spans="1:15" s="115" customFormat="1" x14ac:dyDescent="0.25">
      <c r="A200" s="396"/>
      <c r="B200" s="1396">
        <v>19700</v>
      </c>
      <c r="C200" s="1396"/>
      <c r="D200" s="1396"/>
      <c r="E200" s="854">
        <v>333903300000000</v>
      </c>
      <c r="F200" s="855" t="s">
        <v>3469</v>
      </c>
      <c r="G200" s="468">
        <v>1</v>
      </c>
      <c r="H200" s="468">
        <v>0</v>
      </c>
      <c r="I200" s="751"/>
      <c r="J200" s="789">
        <f>'Parâmetros financeiros Despesa'!E255</f>
        <v>1271.4749999999999</v>
      </c>
      <c r="K200" s="789">
        <f>('Parâmetros financeiros Despesa'!F255)*(1+'Parâmetros financeiros Despesa'!F$4)*(1+'Parâmetros financeiros Despesa'!F$7)</f>
        <v>1386.3292439625</v>
      </c>
      <c r="L200" s="799">
        <f t="shared" si="21"/>
        <v>1.894923283461689E-3</v>
      </c>
      <c r="M200" s="894"/>
      <c r="N200" s="894"/>
      <c r="O200" s="733"/>
    </row>
    <row r="201" spans="1:15" s="115" customFormat="1" x14ac:dyDescent="0.25">
      <c r="A201" s="396"/>
      <c r="B201" s="1398" t="s">
        <v>7103</v>
      </c>
      <c r="C201" s="1398"/>
      <c r="D201" s="1398"/>
      <c r="E201" s="854">
        <v>333903600000000</v>
      </c>
      <c r="F201" s="855" t="s">
        <v>993</v>
      </c>
      <c r="G201" s="468">
        <v>1</v>
      </c>
      <c r="H201" s="468">
        <v>0</v>
      </c>
      <c r="I201" s="751"/>
      <c r="J201" s="789">
        <f>'Parâmetros financeiros Despesa'!E256</f>
        <v>0</v>
      </c>
      <c r="K201" s="789">
        <f>('Parâmetros financeiros Despesa'!F256)*(1+'Parâmetros financeiros Despesa'!F$4)*(1+'Parâmetros financeiros Despesa'!F$7)</f>
        <v>2180.663</v>
      </c>
      <c r="L201" s="799">
        <f t="shared" si="21"/>
        <v>2.980669354036358E-3</v>
      </c>
      <c r="M201" s="894"/>
      <c r="N201" s="894"/>
      <c r="O201" s="733"/>
    </row>
    <row r="202" spans="1:15" x14ac:dyDescent="0.25">
      <c r="A202" s="397"/>
      <c r="B202" s="1398" t="s">
        <v>7104</v>
      </c>
      <c r="C202" s="1398"/>
      <c r="D202" s="1398"/>
      <c r="E202" s="854">
        <v>333903900000000</v>
      </c>
      <c r="F202" s="855" t="s">
        <v>2268</v>
      </c>
      <c r="G202" s="468">
        <v>1</v>
      </c>
      <c r="H202" s="468">
        <v>0</v>
      </c>
      <c r="I202" s="751"/>
      <c r="J202" s="1016">
        <f>'Parâmetros financeiros Despesa'!E258+'Parâmetros financeiros Despesa'!E259</f>
        <v>33652.425000000003</v>
      </c>
      <c r="K202" s="789">
        <f>('Parâmetros financeiros Despesa'!F258+'Parâmetros financeiros Despesa'!F259)*(1+'Parâmetros financeiros Despesa'!F$4)*(1+'Parâmetros financeiros Despesa'!F$7)</f>
        <v>39963.293528887501</v>
      </c>
      <c r="L202" s="799">
        <f t="shared" si="21"/>
        <v>5.4624379974308031E-2</v>
      </c>
      <c r="M202" s="894"/>
      <c r="N202" s="796"/>
    </row>
    <row r="203" spans="1:15" x14ac:dyDescent="0.25">
      <c r="A203" s="397"/>
      <c r="B203" s="1398" t="s">
        <v>7109</v>
      </c>
      <c r="C203" s="1398"/>
      <c r="D203" s="1398"/>
      <c r="E203" s="417">
        <v>333904700000000</v>
      </c>
      <c r="F203" s="418" t="s">
        <v>990</v>
      </c>
      <c r="G203" s="468">
        <v>1</v>
      </c>
      <c r="H203" s="468">
        <v>0</v>
      </c>
      <c r="I203" s="751"/>
      <c r="J203" s="789">
        <f>'Parâmetros financeiros Despesa'!E262</f>
        <v>133.19999999999999</v>
      </c>
      <c r="K203" s="789">
        <f>('Parâmetros financeiros Despesa'!F253+'Parâmetros financeiros Despesa'!F257+'Parâmetros financeiros Despesa'!F259)*((1+'Parâmetros financeiros Despesa'!F4)*(1+'Parâmetros financeiros Despesa'!F7))*('Parâmetros financeiros Despesa'!F83)</f>
        <v>1417.4309499999999</v>
      </c>
      <c r="L203" s="799">
        <f t="shared" ref="L203:L227" si="24">K203/K$230</f>
        <v>1.9374350801236325E-3</v>
      </c>
      <c r="M203" s="894"/>
      <c r="N203" s="796"/>
    </row>
    <row r="204" spans="1:15" x14ac:dyDescent="0.25">
      <c r="A204" s="397"/>
      <c r="B204" s="1398" t="s">
        <v>7112</v>
      </c>
      <c r="C204" s="1398"/>
      <c r="D204" s="1398"/>
      <c r="E204" s="854">
        <v>333904900000000</v>
      </c>
      <c r="F204" s="855" t="s">
        <v>7167</v>
      </c>
      <c r="G204" s="468">
        <v>1</v>
      </c>
      <c r="H204" s="468">
        <v>0</v>
      </c>
      <c r="I204" s="751"/>
      <c r="J204" s="789">
        <f>'Parâmetros financeiros Despesa'!E261</f>
        <v>3596.5499999999997</v>
      </c>
      <c r="K204" s="789">
        <f>('Parâmetros financeiros Despesa'!F261)*(1+'Parâmetros financeiros Despesa'!F$4)*(1+'Parâmetros financeiros Despesa'!F$7)</f>
        <v>3921.4317563250002</v>
      </c>
      <c r="L204" s="799">
        <f t="shared" si="24"/>
        <v>5.3600631826297316E-3</v>
      </c>
      <c r="M204" s="894"/>
      <c r="N204" s="796"/>
    </row>
    <row r="205" spans="1:15" x14ac:dyDescent="0.25">
      <c r="A205" s="397"/>
      <c r="B205" s="1398" t="s">
        <v>7113</v>
      </c>
      <c r="C205" s="1398"/>
      <c r="D205" s="1398"/>
      <c r="E205" s="854">
        <v>333909300000000</v>
      </c>
      <c r="F205" s="855" t="s">
        <v>5818</v>
      </c>
      <c r="G205" s="468">
        <v>1</v>
      </c>
      <c r="H205" s="468">
        <v>0</v>
      </c>
      <c r="I205" s="751"/>
      <c r="J205" s="789">
        <f>'Parâmetros financeiros Despesa'!E262</f>
        <v>133.19999999999999</v>
      </c>
      <c r="K205" s="789">
        <f>('Parâmetros financeiros Despesa'!F262)*(1+'Parâmetros financeiros Despesa'!F$4)*(1+'Parâmetros financeiros Despesa'!F$7)</f>
        <v>581.36475580000001</v>
      </c>
      <c r="L205" s="799">
        <f t="shared" si="24"/>
        <v>7.9464644978609301E-4</v>
      </c>
      <c r="M205" s="894"/>
      <c r="N205" s="796"/>
    </row>
    <row r="206" spans="1:15" x14ac:dyDescent="0.25">
      <c r="A206" s="397"/>
      <c r="B206" s="1398" t="s">
        <v>7114</v>
      </c>
      <c r="C206" s="1398"/>
      <c r="D206" s="1398"/>
      <c r="E206" s="854">
        <v>333933000000000</v>
      </c>
      <c r="F206" s="855" t="s">
        <v>6955</v>
      </c>
      <c r="G206" s="468">
        <v>1</v>
      </c>
      <c r="H206" s="468">
        <v>0</v>
      </c>
      <c r="I206" s="751"/>
      <c r="J206" s="789">
        <f>'Parâmetros financeiros Despesa'!E263</f>
        <v>3997.3649999999998</v>
      </c>
      <c r="K206" s="789">
        <f>('Parâmetros financeiros Despesa'!F263)*(1+'Parâmetros financeiros Despesa'!F$4)*(1+'Parâmetros financeiros Despesa'!F$7)</f>
        <v>4358.4529764974995</v>
      </c>
      <c r="L206" s="799">
        <f t="shared" si="24"/>
        <v>5.9574116761987725E-3</v>
      </c>
      <c r="M206" s="894"/>
      <c r="N206" s="796"/>
    </row>
    <row r="207" spans="1:15" x14ac:dyDescent="0.25">
      <c r="A207" s="397"/>
      <c r="B207" s="1385" t="s">
        <v>5951</v>
      </c>
      <c r="C207" s="1385"/>
      <c r="D207" s="1385"/>
      <c r="E207" s="1385"/>
      <c r="F207" s="1385"/>
      <c r="G207" s="401"/>
      <c r="H207" s="401"/>
      <c r="I207" s="426"/>
      <c r="J207" s="402">
        <f t="shared" ref="J207:K209" si="25">J208</f>
        <v>0</v>
      </c>
      <c r="K207" s="402">
        <f t="shared" si="25"/>
        <v>12647.8354</v>
      </c>
      <c r="L207" s="451">
        <f t="shared" si="24"/>
        <v>1.7287868584772697E-2</v>
      </c>
    </row>
    <row r="208" spans="1:15" x14ac:dyDescent="0.25">
      <c r="A208" s="397"/>
      <c r="B208" s="1386" t="s">
        <v>7008</v>
      </c>
      <c r="C208" s="1386"/>
      <c r="D208" s="1386"/>
      <c r="E208" s="1386"/>
      <c r="F208" s="1386"/>
      <c r="G208" s="403"/>
      <c r="H208" s="403"/>
      <c r="I208" s="427"/>
      <c r="J208" s="404">
        <f t="shared" si="25"/>
        <v>0</v>
      </c>
      <c r="K208" s="404">
        <f t="shared" si="25"/>
        <v>12647.8354</v>
      </c>
      <c r="L208" s="452">
        <f t="shared" si="24"/>
        <v>1.7287868584772697E-2</v>
      </c>
    </row>
    <row r="209" spans="1:15" x14ac:dyDescent="0.25">
      <c r="A209" s="397"/>
      <c r="B209" s="1382" t="s">
        <v>2286</v>
      </c>
      <c r="C209" s="1382"/>
      <c r="D209" s="1382"/>
      <c r="E209" s="1382"/>
      <c r="F209" s="1382"/>
      <c r="G209" s="405"/>
      <c r="H209" s="405"/>
      <c r="I209" s="428"/>
      <c r="J209" s="406">
        <f t="shared" si="25"/>
        <v>0</v>
      </c>
      <c r="K209" s="406">
        <f t="shared" si="25"/>
        <v>12647.8354</v>
      </c>
      <c r="L209" s="453">
        <f t="shared" si="24"/>
        <v>1.7287868584772697E-2</v>
      </c>
    </row>
    <row r="210" spans="1:15" x14ac:dyDescent="0.25">
      <c r="A210" s="397"/>
      <c r="B210" s="1383" t="s">
        <v>2287</v>
      </c>
      <c r="C210" s="1383"/>
      <c r="D210" s="1383"/>
      <c r="E210" s="1383"/>
      <c r="F210" s="1383"/>
      <c r="G210" s="407"/>
      <c r="H210" s="407"/>
      <c r="I210" s="429"/>
      <c r="J210" s="408">
        <f>J211+J212+J213+J214+J215</f>
        <v>0</v>
      </c>
      <c r="K210" s="408">
        <f>K211+K212+K213+K214+K215-0.01</f>
        <v>12647.8354</v>
      </c>
      <c r="L210" s="454">
        <f t="shared" si="24"/>
        <v>1.7287868584772697E-2</v>
      </c>
    </row>
    <row r="211" spans="1:15" x14ac:dyDescent="0.25">
      <c r="A211" s="397"/>
      <c r="B211" s="1396">
        <v>20400</v>
      </c>
      <c r="C211" s="1396"/>
      <c r="D211" s="1396"/>
      <c r="E211" s="854">
        <v>333903000000000</v>
      </c>
      <c r="F211" s="855" t="s">
        <v>7176</v>
      </c>
      <c r="G211" s="468">
        <v>1</v>
      </c>
      <c r="H211" s="468">
        <v>0</v>
      </c>
      <c r="I211" s="751"/>
      <c r="J211" s="789">
        <f>'Parâmetros financeiros Despesa'!E265+'Parâmetros financeiros Despesa'!E266</f>
        <v>0</v>
      </c>
      <c r="K211" s="789">
        <f>('Parâmetros financeiros Despesa'!F265+'Parâmetros financeiros Despesa'!F266)*(1+'Parâmetros financeiros Despesa'!F$4)*(1+'Parâmetros financeiros Despesa'!F$7)</f>
        <v>2180.663</v>
      </c>
      <c r="L211" s="799">
        <f t="shared" si="24"/>
        <v>2.980669354036358E-3</v>
      </c>
      <c r="M211" s="894"/>
      <c r="N211" s="796"/>
    </row>
    <row r="212" spans="1:15" x14ac:dyDescent="0.25">
      <c r="A212" s="397"/>
      <c r="B212" s="1004"/>
      <c r="C212" s="1004"/>
      <c r="D212" s="1004" t="s">
        <v>7182</v>
      </c>
      <c r="E212" s="854">
        <v>333903600000000</v>
      </c>
      <c r="F212" s="855" t="s">
        <v>7177</v>
      </c>
      <c r="G212" s="468">
        <v>1</v>
      </c>
      <c r="H212" s="468">
        <v>0</v>
      </c>
      <c r="I212" s="751"/>
      <c r="J212" s="789">
        <f>'Parâmetros financeiros Despesa'!E267</f>
        <v>0</v>
      </c>
      <c r="K212" s="789">
        <f>('Parâmetros financeiros Despesa'!F267)*(1+'Parâmetros financeiros Despesa'!F$4)*(1+'Parâmetros financeiros Despesa'!F$7)</f>
        <v>1090.3315</v>
      </c>
      <c r="L212" s="799">
        <f t="shared" si="24"/>
        <v>1.490334677018179E-3</v>
      </c>
      <c r="M212" s="894"/>
      <c r="N212" s="796"/>
    </row>
    <row r="213" spans="1:15" x14ac:dyDescent="0.25">
      <c r="A213" s="397"/>
      <c r="B213" s="1398" t="s">
        <v>7116</v>
      </c>
      <c r="C213" s="1398"/>
      <c r="D213" s="1398"/>
      <c r="E213" s="854">
        <v>333903900000000</v>
      </c>
      <c r="F213" s="855" t="s">
        <v>7178</v>
      </c>
      <c r="G213" s="468">
        <v>1</v>
      </c>
      <c r="H213" s="468">
        <v>0</v>
      </c>
      <c r="I213" s="751"/>
      <c r="J213" s="789">
        <f>'Parâmetros financeiros Despesa'!E269+'Parâmetros financeiros Despesa'!E270</f>
        <v>0</v>
      </c>
      <c r="K213" s="789">
        <f>('Parâmetros financeiros Despesa'!F269+'Parâmetros financeiros Despesa'!F270)*(1+'Parâmetros financeiros Despesa'!F$4)*(1+'Parâmetros financeiros Despesa'!F$7)</f>
        <v>4906.4917500000001</v>
      </c>
      <c r="L213" s="799">
        <f t="shared" si="24"/>
        <v>6.7065060465818054E-3</v>
      </c>
      <c r="M213" s="894"/>
      <c r="N213" s="796"/>
    </row>
    <row r="214" spans="1:15" x14ac:dyDescent="0.25">
      <c r="A214" s="397"/>
      <c r="B214" s="1398" t="s">
        <v>7117</v>
      </c>
      <c r="C214" s="1398"/>
      <c r="D214" s="1398"/>
      <c r="E214" s="854">
        <v>333904700000000</v>
      </c>
      <c r="F214" s="855" t="s">
        <v>7179</v>
      </c>
      <c r="G214" s="468">
        <v>1</v>
      </c>
      <c r="H214" s="468">
        <v>0</v>
      </c>
      <c r="I214" s="751"/>
      <c r="J214" s="789">
        <f>('Parâmetros financeiros Despesa'!E266+'Parâmetros financeiros Despesa'!E267+'Parâmetros financeiros Despesa'!E269)</f>
        <v>0</v>
      </c>
      <c r="K214" s="789">
        <f>('Parâmetros financeiros Despesa'!F266+'Parâmetros financeiros Despesa'!F267+'Parâmetros financeiros Despesa'!F269)*((1+'Parâmetros financeiros Despesa'!F4)*(1+'Parâmetros financeiros Despesa'!F7)*('Parâmetros financeiros Despesa'!F83))</f>
        <v>654.19890000000009</v>
      </c>
      <c r="L214" s="799">
        <f t="shared" si="24"/>
        <v>8.9420080621090755E-4</v>
      </c>
      <c r="M214" s="894"/>
      <c r="N214" s="796"/>
    </row>
    <row r="215" spans="1:15" s="457" customFormat="1" x14ac:dyDescent="0.25">
      <c r="A215" s="396"/>
      <c r="B215" s="1398" t="s">
        <v>7118</v>
      </c>
      <c r="C215" s="1398"/>
      <c r="D215" s="1398"/>
      <c r="E215" s="854">
        <v>344905200000000</v>
      </c>
      <c r="F215" s="855" t="s">
        <v>7180</v>
      </c>
      <c r="G215" s="468">
        <v>1</v>
      </c>
      <c r="H215" s="468">
        <v>0</v>
      </c>
      <c r="I215" s="751"/>
      <c r="J215" s="789">
        <f>'Parâmetros financeiros Despesa'!E270</f>
        <v>0</v>
      </c>
      <c r="K215" s="789">
        <f>('Parâmetros financeiros Despesa'!F270)*(1+'Parâmetros financeiros Despesa'!F$4)*(1+'Parâmetros financeiros Despesa'!F$7)</f>
        <v>3816.1602500000004</v>
      </c>
      <c r="L215" s="799">
        <f t="shared" si="24"/>
        <v>5.2161713695636266E-3</v>
      </c>
      <c r="M215" s="894"/>
      <c r="N215" s="796"/>
      <c r="O215" s="734"/>
    </row>
    <row r="216" spans="1:15" x14ac:dyDescent="0.25">
      <c r="A216" s="397"/>
      <c r="B216" s="1385" t="s">
        <v>5951</v>
      </c>
      <c r="C216" s="1385"/>
      <c r="D216" s="1385"/>
      <c r="E216" s="1385"/>
      <c r="F216" s="1385"/>
      <c r="G216" s="401"/>
      <c r="H216" s="401"/>
      <c r="I216" s="426"/>
      <c r="J216" s="402">
        <f t="shared" ref="J216:K218" si="26">J217</f>
        <v>0</v>
      </c>
      <c r="K216" s="402">
        <f t="shared" si="26"/>
        <v>19516.923850000003</v>
      </c>
      <c r="L216" s="451">
        <f t="shared" si="24"/>
        <v>2.6676977049987227E-2</v>
      </c>
    </row>
    <row r="217" spans="1:15" x14ac:dyDescent="0.25">
      <c r="A217" s="397"/>
      <c r="B217" s="1386" t="s">
        <v>7088</v>
      </c>
      <c r="C217" s="1386"/>
      <c r="D217" s="1386"/>
      <c r="E217" s="1386"/>
      <c r="F217" s="1386"/>
      <c r="G217" s="403"/>
      <c r="H217" s="403"/>
      <c r="I217" s="427"/>
      <c r="J217" s="404">
        <f t="shared" si="26"/>
        <v>0</v>
      </c>
      <c r="K217" s="404">
        <f t="shared" si="26"/>
        <v>19516.923850000003</v>
      </c>
      <c r="L217" s="452">
        <f t="shared" si="24"/>
        <v>2.6676977049987227E-2</v>
      </c>
    </row>
    <row r="218" spans="1:15" x14ac:dyDescent="0.25">
      <c r="A218" s="397"/>
      <c r="B218" s="1382" t="s">
        <v>2286</v>
      </c>
      <c r="C218" s="1382"/>
      <c r="D218" s="1382"/>
      <c r="E218" s="1382"/>
      <c r="F218" s="1382"/>
      <c r="G218" s="405"/>
      <c r="H218" s="405"/>
      <c r="I218" s="428"/>
      <c r="J218" s="406">
        <f t="shared" si="26"/>
        <v>0</v>
      </c>
      <c r="K218" s="406">
        <f t="shared" si="26"/>
        <v>19516.923850000003</v>
      </c>
      <c r="L218" s="453">
        <f t="shared" si="24"/>
        <v>2.6676977049987227E-2</v>
      </c>
    </row>
    <row r="219" spans="1:15" x14ac:dyDescent="0.25">
      <c r="A219" s="397"/>
      <c r="B219" s="1383" t="s">
        <v>7013</v>
      </c>
      <c r="C219" s="1383"/>
      <c r="D219" s="1383"/>
      <c r="E219" s="1383"/>
      <c r="F219" s="1383"/>
      <c r="G219" s="407"/>
      <c r="H219" s="407"/>
      <c r="I219" s="429"/>
      <c r="J219" s="408">
        <f>SUM(J220:J226)</f>
        <v>0</v>
      </c>
      <c r="K219" s="408">
        <f>SUM(K220:K226)-0.01</f>
        <v>19516.923850000003</v>
      </c>
      <c r="L219" s="454">
        <f t="shared" si="24"/>
        <v>2.6676977049987227E-2</v>
      </c>
    </row>
    <row r="220" spans="1:15" s="115" customFormat="1" x14ac:dyDescent="0.25">
      <c r="A220" s="396"/>
      <c r="B220" s="1396">
        <v>21000</v>
      </c>
      <c r="C220" s="1396"/>
      <c r="D220" s="1396"/>
      <c r="E220" s="854">
        <v>333903000000000</v>
      </c>
      <c r="F220" s="855" t="s">
        <v>7168</v>
      </c>
      <c r="G220" s="468">
        <v>1</v>
      </c>
      <c r="H220" s="468">
        <v>0</v>
      </c>
      <c r="I220" s="751"/>
      <c r="J220" s="789">
        <f>('Parâmetros financeiros Despesa'!E272+'Parâmetros financeiros Despesa'!E273)</f>
        <v>0</v>
      </c>
      <c r="K220" s="789">
        <f>('Parâmetros financeiros Despesa'!F272+'Parâmetros financeiros Despesa'!F273)*(1+'Parâmetros financeiros Despesa'!F$4)*(1+'Parâmetros financeiros Despesa'!F$7)</f>
        <v>2725.8287500000001</v>
      </c>
      <c r="L220" s="799">
        <f t="shared" si="24"/>
        <v>3.7258366925454478E-3</v>
      </c>
      <c r="M220" s="894"/>
      <c r="N220" s="796"/>
      <c r="O220" s="733"/>
    </row>
    <row r="221" spans="1:15" s="115" customFormat="1" x14ac:dyDescent="0.25">
      <c r="A221" s="396"/>
      <c r="B221" s="1396">
        <v>21100</v>
      </c>
      <c r="C221" s="1396"/>
      <c r="D221" s="1396"/>
      <c r="E221" s="854">
        <v>333903100000000</v>
      </c>
      <c r="F221" s="855" t="s">
        <v>7170</v>
      </c>
      <c r="G221" s="468">
        <v>1</v>
      </c>
      <c r="H221" s="468">
        <v>0</v>
      </c>
      <c r="I221" s="751"/>
      <c r="J221" s="789">
        <f>'Parâmetros financeiros Despesa'!E274</f>
        <v>0</v>
      </c>
      <c r="K221" s="789">
        <f>('Parâmetros financeiros Despesa'!F274)*(1+'Parâmetros financeiros Despesa'!F$4)*(1+'Parâmetros financeiros Despesa'!F$7)</f>
        <v>8722.652</v>
      </c>
      <c r="L221" s="799">
        <f t="shared" si="24"/>
        <v>1.1922677416145432E-2</v>
      </c>
      <c r="M221" s="894"/>
      <c r="N221" s="796"/>
      <c r="O221" s="733"/>
    </row>
    <row r="222" spans="1:15" s="115" customFormat="1" x14ac:dyDescent="0.25">
      <c r="A222" s="396"/>
      <c r="B222" s="1004"/>
      <c r="C222" s="1004"/>
      <c r="D222" s="1004" t="s">
        <v>7119</v>
      </c>
      <c r="E222" s="854">
        <v>333903200000000</v>
      </c>
      <c r="F222" s="855" t="s">
        <v>7171</v>
      </c>
      <c r="G222" s="468">
        <v>1</v>
      </c>
      <c r="H222" s="468">
        <v>0</v>
      </c>
      <c r="I222" s="751"/>
      <c r="J222" s="789">
        <f>'Parâmetros financeiros Despesa'!E275</f>
        <v>0</v>
      </c>
      <c r="K222" s="789">
        <f>('Parâmetros financeiros Despesa'!F275)*(1+'Parâmetros financeiros Despesa'!F$4)*(1+'Parâmetros financeiros Despesa'!F$7)</f>
        <v>1090.3315</v>
      </c>
      <c r="L222" s="799">
        <f t="shared" si="24"/>
        <v>1.490334677018179E-3</v>
      </c>
      <c r="M222" s="894"/>
      <c r="N222" s="796"/>
      <c r="O222" s="733"/>
    </row>
    <row r="223" spans="1:15" s="115" customFormat="1" x14ac:dyDescent="0.25">
      <c r="A223" s="396"/>
      <c r="B223" s="1398" t="s">
        <v>7120</v>
      </c>
      <c r="C223" s="1398"/>
      <c r="D223" s="1398"/>
      <c r="E223" s="854">
        <v>333903600000000</v>
      </c>
      <c r="F223" s="855" t="s">
        <v>7172</v>
      </c>
      <c r="G223" s="468">
        <v>1</v>
      </c>
      <c r="H223" s="468">
        <v>0</v>
      </c>
      <c r="I223" s="751"/>
      <c r="J223" s="789">
        <f>'Parâmetros financeiros Despesa'!E276</f>
        <v>0</v>
      </c>
      <c r="K223" s="789">
        <f>('Parâmetros financeiros Despesa'!F276)*(1+'Parâmetros financeiros Despesa'!F$4)*(1+'Parâmetros financeiros Despesa'!F$7)</f>
        <v>1090.3315</v>
      </c>
      <c r="L223" s="799">
        <f t="shared" si="24"/>
        <v>1.490334677018179E-3</v>
      </c>
      <c r="M223" s="894"/>
      <c r="N223" s="796"/>
      <c r="O223" s="733"/>
    </row>
    <row r="224" spans="1:15" s="115" customFormat="1" x14ac:dyDescent="0.25">
      <c r="A224" s="396"/>
      <c r="B224" s="1398" t="s">
        <v>7122</v>
      </c>
      <c r="C224" s="1398"/>
      <c r="D224" s="1398"/>
      <c r="E224" s="854">
        <v>333903900000000</v>
      </c>
      <c r="F224" s="855" t="s">
        <v>7174</v>
      </c>
      <c r="G224" s="468">
        <v>1</v>
      </c>
      <c r="H224" s="468">
        <v>0</v>
      </c>
      <c r="I224" s="751"/>
      <c r="J224" s="789">
        <f>'Parâmetros financeiros Despesa'!E277+'Parâmetros financeiros Despesa'!E278</f>
        <v>0</v>
      </c>
      <c r="K224" s="789">
        <f>('Parâmetros financeiros Despesa'!F277+'Parâmetros financeiros Despesa'!F278)*(1+'Parâmetros financeiros Despesa'!F$4)*(1+'Parâmetros financeiros Despesa'!F$7)</f>
        <v>3270.9945000000002</v>
      </c>
      <c r="L224" s="799">
        <f t="shared" si="24"/>
        <v>4.4710040310545372E-3</v>
      </c>
      <c r="M224" s="894"/>
      <c r="N224" s="796"/>
      <c r="O224" s="733"/>
    </row>
    <row r="225" spans="1:15" s="115" customFormat="1" x14ac:dyDescent="0.25">
      <c r="A225" s="396"/>
      <c r="B225" s="1398" t="s">
        <v>7183</v>
      </c>
      <c r="C225" s="1398"/>
      <c r="D225" s="1398"/>
      <c r="E225" s="854">
        <v>333904700000000</v>
      </c>
      <c r="F225" s="855" t="s">
        <v>7175</v>
      </c>
      <c r="G225" s="468">
        <v>1</v>
      </c>
      <c r="H225" s="468">
        <v>0</v>
      </c>
      <c r="I225" s="751"/>
      <c r="J225" s="789">
        <f>'Parâmetros financeiros Despesa'!E276+'Parâmetros financeiros Despesa'!E278</f>
        <v>0</v>
      </c>
      <c r="K225" s="789">
        <f>('Parâmetros financeiros Despesa'!F276+'Parâmetros financeiros Despesa'!F278)*((1+'Parâmetros financeiros Despesa'!F4)*(1+'Parâmetros financeiros Despesa'!F7))*('Parâmetros financeiros Despesa'!F83)</f>
        <v>436.13260000000002</v>
      </c>
      <c r="L225" s="799">
        <f t="shared" si="24"/>
        <v>5.9613387080727166E-4</v>
      </c>
      <c r="M225" s="894"/>
      <c r="N225" s="796"/>
      <c r="O225" s="733"/>
    </row>
    <row r="226" spans="1:15" s="115" customFormat="1" x14ac:dyDescent="0.25">
      <c r="A226" s="396"/>
      <c r="B226" s="1398" t="s">
        <v>7187</v>
      </c>
      <c r="C226" s="1398"/>
      <c r="D226" s="1398"/>
      <c r="E226" s="854">
        <v>344905200000000</v>
      </c>
      <c r="F226" s="855" t="s">
        <v>7173</v>
      </c>
      <c r="G226" s="468">
        <v>1</v>
      </c>
      <c r="H226" s="468">
        <v>0</v>
      </c>
      <c r="I226" s="751"/>
      <c r="J226" s="789">
        <f>'Parâmetros financeiros Despesa'!E279</f>
        <v>0</v>
      </c>
      <c r="K226" s="789">
        <f>('Parâmetros financeiros Despesa'!F279)*((1+'Parâmetros financeiros Despesa'!F4)*(1+'Parâmetros financeiros Despesa'!F7))</f>
        <v>2180.663</v>
      </c>
      <c r="L226" s="799">
        <f t="shared" si="24"/>
        <v>2.980669354036358E-3</v>
      </c>
      <c r="M226" s="894"/>
      <c r="N226" s="796"/>
      <c r="O226" s="733"/>
    </row>
    <row r="227" spans="1:15" x14ac:dyDescent="0.25">
      <c r="B227" s="864" t="s">
        <v>22</v>
      </c>
      <c r="C227" s="864"/>
      <c r="D227" s="864"/>
      <c r="E227" s="864"/>
      <c r="F227" s="864"/>
      <c r="G227" s="864"/>
      <c r="H227" s="864"/>
      <c r="I227" s="864"/>
      <c r="J227" s="863">
        <f>J217+J208+J190+J181+J172+0.01</f>
        <v>565634.37499999988</v>
      </c>
      <c r="K227" s="863">
        <f>K217+K208+K190+K181+K172</f>
        <v>731601.7783210316</v>
      </c>
      <c r="L227" s="452">
        <f t="shared" si="24"/>
        <v>1</v>
      </c>
    </row>
    <row r="228" spans="1:15" x14ac:dyDescent="0.25">
      <c r="B228" s="864" t="s">
        <v>11469</v>
      </c>
      <c r="C228" s="864"/>
      <c r="D228" s="864"/>
      <c r="E228" s="864"/>
      <c r="F228" s="864"/>
      <c r="G228" s="864"/>
      <c r="H228" s="864"/>
      <c r="I228" s="864"/>
      <c r="J228" s="863"/>
      <c r="K228" s="863"/>
      <c r="L228" s="452"/>
    </row>
    <row r="229" spans="1:15" s="31" customFormat="1" x14ac:dyDescent="0.25">
      <c r="B229" s="869" t="s">
        <v>745</v>
      </c>
      <c r="C229" s="869"/>
      <c r="D229" s="869"/>
      <c r="E229" s="869"/>
      <c r="F229" s="869"/>
      <c r="G229" s="869"/>
      <c r="H229" s="869"/>
      <c r="I229" s="869"/>
      <c r="J229" s="870">
        <f>J227</f>
        <v>565634.37499999988</v>
      </c>
      <c r="K229" s="870">
        <f>K227</f>
        <v>731601.7783210316</v>
      </c>
      <c r="L229" s="871">
        <f>K229/K$230</f>
        <v>1</v>
      </c>
      <c r="M229" s="897"/>
      <c r="O229" s="736"/>
    </row>
    <row r="230" spans="1:15" s="115" customFormat="1" x14ac:dyDescent="0.25">
      <c r="B230" s="864" t="s">
        <v>2172</v>
      </c>
      <c r="C230" s="864"/>
      <c r="D230" s="864"/>
      <c r="E230" s="864"/>
      <c r="F230" s="864"/>
      <c r="G230" s="864"/>
      <c r="H230" s="864"/>
      <c r="I230" s="864"/>
      <c r="J230" s="863">
        <f>SUM(J229:J229)</f>
        <v>565634.37499999988</v>
      </c>
      <c r="K230" s="863">
        <f>SUM(K229:K229)</f>
        <v>731601.7783210316</v>
      </c>
      <c r="L230" s="452">
        <f>K230/K$230</f>
        <v>1</v>
      </c>
      <c r="M230" s="894"/>
      <c r="N230" s="796"/>
      <c r="O230" s="733"/>
    </row>
    <row r="232" spans="1:15" s="435" customFormat="1" ht="15.75" x14ac:dyDescent="0.25">
      <c r="B232" s="999" t="s">
        <v>989</v>
      </c>
      <c r="C232" s="999"/>
      <c r="D232" s="481"/>
      <c r="E232" s="1371" t="s">
        <v>6887</v>
      </c>
      <c r="F232" s="1371"/>
      <c r="G232" s="1371"/>
      <c r="H232" s="1371"/>
      <c r="I232" s="1371"/>
      <c r="J232" s="940"/>
      <c r="K232" s="438"/>
      <c r="L232" s="449"/>
      <c r="M232" s="892"/>
      <c r="O232" s="732"/>
    </row>
    <row r="233" spans="1:15" s="435" customFormat="1" ht="15.75" customHeight="1" x14ac:dyDescent="0.25">
      <c r="B233" s="999" t="s">
        <v>458</v>
      </c>
      <c r="C233" s="999"/>
      <c r="D233" s="481"/>
      <c r="E233" s="1371" t="s">
        <v>7025</v>
      </c>
      <c r="F233" s="1371"/>
      <c r="G233" s="1371"/>
      <c r="H233" s="1371"/>
      <c r="I233" s="1371"/>
      <c r="J233" s="940"/>
      <c r="K233" s="438"/>
      <c r="L233" s="449"/>
      <c r="M233" s="892"/>
      <c r="O233" s="732"/>
    </row>
    <row r="234" spans="1:15" s="435" customFormat="1" ht="15.75" x14ac:dyDescent="0.25">
      <c r="B234" s="1005" t="s">
        <v>5764</v>
      </c>
      <c r="C234" s="1005"/>
      <c r="D234" s="1005"/>
      <c r="E234" s="1371" t="s">
        <v>749</v>
      </c>
      <c r="F234" s="1371"/>
      <c r="G234" s="1371"/>
      <c r="H234" s="1371"/>
      <c r="I234" s="1371"/>
      <c r="J234" s="941"/>
      <c r="K234" s="438"/>
      <c r="L234" s="449"/>
      <c r="M234" s="892"/>
      <c r="O234" s="732"/>
    </row>
    <row r="235" spans="1:15" ht="88.5" x14ac:dyDescent="0.25">
      <c r="A235" s="396"/>
      <c r="B235" s="1400" t="s">
        <v>2296</v>
      </c>
      <c r="C235" s="1400"/>
      <c r="D235" s="1400"/>
      <c r="E235" s="1384" t="s">
        <v>2297</v>
      </c>
      <c r="F235" s="1384"/>
      <c r="G235" s="443" t="s">
        <v>444</v>
      </c>
      <c r="H235" s="443" t="s">
        <v>2245</v>
      </c>
      <c r="I235" s="444" t="s">
        <v>5725</v>
      </c>
      <c r="J235" s="893" t="s">
        <v>11644</v>
      </c>
      <c r="K235" s="1000" t="s">
        <v>11522</v>
      </c>
      <c r="L235" s="450" t="s">
        <v>235</v>
      </c>
    </row>
    <row r="236" spans="1:15" s="115" customFormat="1" x14ac:dyDescent="0.25">
      <c r="A236" s="396"/>
      <c r="B236" s="1385" t="s">
        <v>5951</v>
      </c>
      <c r="C236" s="1385"/>
      <c r="D236" s="1385"/>
      <c r="E236" s="1385"/>
      <c r="F236" s="1385"/>
      <c r="G236" s="401"/>
      <c r="H236" s="401"/>
      <c r="I236" s="426"/>
      <c r="J236" s="402">
        <f t="shared" ref="J236:K238" si="27">J237</f>
        <v>4797</v>
      </c>
      <c r="K236" s="402">
        <f t="shared" si="27"/>
        <v>13644.844523599999</v>
      </c>
      <c r="L236" s="451">
        <f t="shared" ref="L236:L267" si="28">K236/K$453</f>
        <v>7.3915314336087858E-3</v>
      </c>
      <c r="M236" s="894"/>
      <c r="O236" s="733"/>
    </row>
    <row r="237" spans="1:15" x14ac:dyDescent="0.25">
      <c r="A237" s="396"/>
      <c r="B237" s="1386" t="s">
        <v>5950</v>
      </c>
      <c r="C237" s="1386"/>
      <c r="D237" s="1386"/>
      <c r="E237" s="1386"/>
      <c r="F237" s="1386"/>
      <c r="G237" s="403"/>
      <c r="H237" s="403"/>
      <c r="I237" s="427"/>
      <c r="J237" s="404">
        <f t="shared" si="27"/>
        <v>4797</v>
      </c>
      <c r="K237" s="404">
        <f t="shared" si="27"/>
        <v>13644.844523599999</v>
      </c>
      <c r="L237" s="452">
        <f t="shared" si="28"/>
        <v>7.3915314336087858E-3</v>
      </c>
    </row>
    <row r="238" spans="1:15" x14ac:dyDescent="0.25">
      <c r="A238" s="396"/>
      <c r="B238" s="1382" t="s">
        <v>2286</v>
      </c>
      <c r="C238" s="1382"/>
      <c r="D238" s="1382"/>
      <c r="E238" s="1382"/>
      <c r="F238" s="1382"/>
      <c r="G238" s="405"/>
      <c r="H238" s="405"/>
      <c r="I238" s="428"/>
      <c r="J238" s="406">
        <f t="shared" si="27"/>
        <v>4797</v>
      </c>
      <c r="K238" s="406">
        <f t="shared" si="27"/>
        <v>13644.844523599999</v>
      </c>
      <c r="L238" s="453">
        <f t="shared" si="28"/>
        <v>7.3915314336087858E-3</v>
      </c>
    </row>
    <row r="239" spans="1:15" x14ac:dyDescent="0.25">
      <c r="A239" s="396"/>
      <c r="B239" s="1383" t="s">
        <v>2290</v>
      </c>
      <c r="C239" s="1383"/>
      <c r="D239" s="1383"/>
      <c r="E239" s="1383"/>
      <c r="F239" s="1383"/>
      <c r="G239" s="407"/>
      <c r="H239" s="407"/>
      <c r="I239" s="429"/>
      <c r="J239" s="408">
        <f>J240+J241+J242+J243+J244</f>
        <v>4797</v>
      </c>
      <c r="K239" s="408">
        <f>K240+K241+K242+K243+K244</f>
        <v>13644.844523599999</v>
      </c>
      <c r="L239" s="454">
        <f t="shared" si="28"/>
        <v>7.3915314336087858E-3</v>
      </c>
    </row>
    <row r="240" spans="1:15" x14ac:dyDescent="0.25">
      <c r="A240" s="396"/>
      <c r="B240" s="1396">
        <v>22000</v>
      </c>
      <c r="C240" s="1396"/>
      <c r="D240" s="1396"/>
      <c r="E240" s="854">
        <v>333904700000000</v>
      </c>
      <c r="F240" s="1017" t="s">
        <v>7089</v>
      </c>
      <c r="G240" s="468">
        <v>1</v>
      </c>
      <c r="H240" s="468">
        <v>0</v>
      </c>
      <c r="I240" s="751"/>
      <c r="J240" s="789">
        <f>((('Parâmetros financeiros Despesa'!E285+'Parâmetros financeiros Despesa'!E286+'Parâmetros financeiros Despesa'!E288)))*'Parâmetros financeiros Despesa'!D83</f>
        <v>0</v>
      </c>
      <c r="K240" s="789">
        <f>((('Parâmetros financeiros Despesa'!F285+'Parâmetros financeiros Despesa'!F286+'Parâmetros financeiros Despesa'!F288))*((1+'Parâmetros financeiros Despesa'!F$4)*(1+'Parâmetros financeiros Despesa'!F$7))*(1+'Parâmetros financeiros Despesa'!F$83))</f>
        <v>3925.1934000000001</v>
      </c>
      <c r="L240" s="799">
        <f t="shared" si="28"/>
        <v>2.126311541982966E-3</v>
      </c>
      <c r="M240" s="894"/>
      <c r="N240" s="796"/>
    </row>
    <row r="241" spans="1:15" s="115" customFormat="1" x14ac:dyDescent="0.25">
      <c r="A241" s="396"/>
      <c r="B241" s="1396">
        <v>22100</v>
      </c>
      <c r="C241" s="1396"/>
      <c r="D241" s="1396"/>
      <c r="E241" s="854">
        <v>344903000000000</v>
      </c>
      <c r="F241" s="855" t="s">
        <v>7156</v>
      </c>
      <c r="G241" s="468">
        <v>1</v>
      </c>
      <c r="H241" s="468">
        <v>0</v>
      </c>
      <c r="I241" s="751"/>
      <c r="J241" s="789">
        <f>'Parâmetros financeiros Despesa'!E284+'Parâmetros financeiros Despesa'!E285</f>
        <v>0</v>
      </c>
      <c r="K241" s="789">
        <f>('Parâmetros financeiros Despesa'!F284+'Parâmetros financeiros Despesa'!F285)*((1+'Parâmetros financeiros Despesa'!F$4)*(1+'Parâmetros financeiros Despesa'!F$5)*(1+'Parâmetros financeiros Despesa'!F$7)*(1+'Parâmetros financeiros Despesa'!F$83))</f>
        <v>2650.8139427999995</v>
      </c>
      <c r="L241" s="799">
        <f t="shared" si="28"/>
        <v>1.4359690613524963E-3</v>
      </c>
      <c r="M241" s="894"/>
      <c r="N241" s="796"/>
      <c r="O241" s="733"/>
    </row>
    <row r="242" spans="1:15" s="457" customFormat="1" x14ac:dyDescent="0.25">
      <c r="A242" s="396"/>
      <c r="B242" s="1398" t="s">
        <v>7123</v>
      </c>
      <c r="C242" s="1398"/>
      <c r="D242" s="1398"/>
      <c r="E242" s="854">
        <v>344903600000000</v>
      </c>
      <c r="F242" s="855" t="s">
        <v>7158</v>
      </c>
      <c r="G242" s="468">
        <v>1</v>
      </c>
      <c r="H242" s="468">
        <v>0</v>
      </c>
      <c r="I242" s="751"/>
      <c r="J242" s="789">
        <f>'Parâmetros financeiros Despesa'!E286</f>
        <v>0</v>
      </c>
      <c r="K242" s="789">
        <f>('Parâmetros financeiros Despesa'!F286)*((1+'Parâmetros financeiros Despesa'!F$4)*(1+'Parâmetros financeiros Despesa'!F$5)*(1+'Parâmetros financeiros Despesa'!F$7))</f>
        <v>1104.5058094999999</v>
      </c>
      <c r="L242" s="799">
        <f t="shared" si="28"/>
        <v>5.9832044223020683E-4</v>
      </c>
      <c r="M242" s="894"/>
      <c r="N242" s="796"/>
      <c r="O242" s="734"/>
    </row>
    <row r="243" spans="1:15" s="457" customFormat="1" ht="30" x14ac:dyDescent="0.25">
      <c r="A243" s="396"/>
      <c r="B243" s="1398" t="s">
        <v>7124</v>
      </c>
      <c r="C243" s="1398"/>
      <c r="D243" s="1398"/>
      <c r="E243" s="854">
        <v>344903900000000</v>
      </c>
      <c r="F243" s="855" t="s">
        <v>7159</v>
      </c>
      <c r="G243" s="468">
        <v>1</v>
      </c>
      <c r="H243" s="468">
        <v>0</v>
      </c>
      <c r="I243" s="751"/>
      <c r="J243" s="789">
        <f>'Parâmetros financeiros Despesa'!E287+'Parâmetros financeiros Despesa'!E288</f>
        <v>0</v>
      </c>
      <c r="K243" s="789">
        <f>('Parâmetros financeiros Despesa'!F287+'Parâmetros financeiros Despesa'!F288)*((1+'Parâmetros financeiros Despesa'!F$4)*(1+'Parâmetros financeiros Despesa'!F$5)*(1+'Parâmetros financeiros Despesa'!F$7)*(1+'Parâmetros financeiros Despesa'!F$83))</f>
        <v>2650.8139427999995</v>
      </c>
      <c r="L243" s="799">
        <f t="shared" si="28"/>
        <v>1.4359690613524963E-3</v>
      </c>
      <c r="M243" s="894"/>
      <c r="N243" s="796"/>
      <c r="O243" s="734"/>
    </row>
    <row r="244" spans="1:15" s="457" customFormat="1" x14ac:dyDescent="0.25">
      <c r="A244" s="396"/>
      <c r="B244" s="1398" t="s">
        <v>7125</v>
      </c>
      <c r="C244" s="1398"/>
      <c r="D244" s="1398"/>
      <c r="E244" s="854">
        <v>344905200000000</v>
      </c>
      <c r="F244" s="855" t="s">
        <v>7041</v>
      </c>
      <c r="G244" s="468">
        <v>1</v>
      </c>
      <c r="H244" s="468">
        <v>0</v>
      </c>
      <c r="I244" s="751"/>
      <c r="J244" s="789">
        <f>'Parâmetros financeiros Despesa'!E289</f>
        <v>4797</v>
      </c>
      <c r="K244" s="789">
        <f>('Parâmetros financeiros Despesa'!F289)*((1+'Parâmetros financeiros Despesa'!F$4)*(1+'Parâmetros financeiros Despesa'!F$5)*(1+'Parâmetros financeiros Despesa'!F$7))</f>
        <v>3313.5174284999998</v>
      </c>
      <c r="L244" s="799">
        <f t="shared" si="28"/>
        <v>1.7949613266906204E-3</v>
      </c>
      <c r="M244" s="894"/>
      <c r="N244" s="796"/>
      <c r="O244" s="734"/>
    </row>
    <row r="245" spans="1:15" s="115" customFormat="1" x14ac:dyDescent="0.25">
      <c r="A245" s="396"/>
      <c r="B245" s="1385" t="s">
        <v>5951</v>
      </c>
      <c r="C245" s="1385"/>
      <c r="D245" s="1385"/>
      <c r="E245" s="1385"/>
      <c r="F245" s="1385"/>
      <c r="G245" s="401"/>
      <c r="H245" s="401"/>
      <c r="I245" s="426"/>
      <c r="J245" s="402">
        <f t="shared" ref="J245:K247" si="29">J246</f>
        <v>0</v>
      </c>
      <c r="K245" s="402">
        <f t="shared" si="29"/>
        <v>42512.3281135</v>
      </c>
      <c r="L245" s="451">
        <f t="shared" si="28"/>
        <v>2.3029299382879322E-2</v>
      </c>
      <c r="M245" s="894"/>
      <c r="O245" s="733"/>
    </row>
    <row r="246" spans="1:15" x14ac:dyDescent="0.25">
      <c r="A246" s="396"/>
      <c r="B246" s="1386" t="s">
        <v>6900</v>
      </c>
      <c r="C246" s="1386"/>
      <c r="D246" s="1386"/>
      <c r="E246" s="1386"/>
      <c r="F246" s="1386"/>
      <c r="G246" s="403"/>
      <c r="H246" s="403"/>
      <c r="I246" s="427"/>
      <c r="J246" s="404">
        <f t="shared" si="29"/>
        <v>0</v>
      </c>
      <c r="K246" s="404">
        <f t="shared" si="29"/>
        <v>42512.3281135</v>
      </c>
      <c r="L246" s="452">
        <f t="shared" si="28"/>
        <v>2.3029299382879322E-2</v>
      </c>
    </row>
    <row r="247" spans="1:15" x14ac:dyDescent="0.25">
      <c r="A247" s="396"/>
      <c r="B247" s="1382" t="s">
        <v>2286</v>
      </c>
      <c r="C247" s="1382"/>
      <c r="D247" s="1382"/>
      <c r="E247" s="1382"/>
      <c r="F247" s="1382"/>
      <c r="G247" s="405"/>
      <c r="H247" s="405"/>
      <c r="I247" s="428"/>
      <c r="J247" s="406">
        <f t="shared" si="29"/>
        <v>0</v>
      </c>
      <c r="K247" s="406">
        <f t="shared" si="29"/>
        <v>42512.3281135</v>
      </c>
      <c r="L247" s="453">
        <f t="shared" si="28"/>
        <v>2.3029299382879322E-2</v>
      </c>
    </row>
    <row r="248" spans="1:15" x14ac:dyDescent="0.25">
      <c r="A248" s="396"/>
      <c r="B248" s="1383" t="s">
        <v>2290</v>
      </c>
      <c r="C248" s="1383"/>
      <c r="D248" s="1383"/>
      <c r="E248" s="1383"/>
      <c r="F248" s="1383"/>
      <c r="G248" s="407"/>
      <c r="H248" s="407"/>
      <c r="I248" s="429"/>
      <c r="J248" s="408">
        <f>J249+J250+J251+J252+J253</f>
        <v>0</v>
      </c>
      <c r="K248" s="408">
        <f>K249+K250+K251+K252+K253</f>
        <v>42512.3281135</v>
      </c>
      <c r="L248" s="454">
        <f t="shared" si="28"/>
        <v>2.3029299382879322E-2</v>
      </c>
    </row>
    <row r="249" spans="1:15" x14ac:dyDescent="0.25">
      <c r="A249" s="396"/>
      <c r="B249" s="1396">
        <v>22500</v>
      </c>
      <c r="C249" s="1396"/>
      <c r="D249" s="1396"/>
      <c r="E249" s="417">
        <v>333904700000000</v>
      </c>
      <c r="F249" s="1017" t="s">
        <v>6889</v>
      </c>
      <c r="G249" s="468">
        <v>1</v>
      </c>
      <c r="H249" s="468">
        <v>0</v>
      </c>
      <c r="I249" s="751"/>
      <c r="J249" s="789">
        <f>((('Parâmetros financeiros Despesa'!E292+'Parâmetros financeiros Despesa'!E293+'Parâmetros financeiros Despesa'!E295))*'Parâmetros financeiros Despesa'!F83)</f>
        <v>0</v>
      </c>
      <c r="K249" s="789">
        <f>((('Parâmetros financeiros Despesa'!F292+'Parâmetros financeiros Despesa'!F293+'Parâmetros financeiros Despesa'!F295))*((1+'Parâmetros financeiros Despesa'!F$4)*(1+'Parâmetros financeiros Despesa'!F$7)))*(1+'Parâmetros financeiros Despesa'!F$83)</f>
        <v>3925.1934000000001</v>
      </c>
      <c r="L249" s="799">
        <f t="shared" si="28"/>
        <v>2.126311541982966E-3</v>
      </c>
      <c r="M249" s="894"/>
      <c r="N249" s="796"/>
    </row>
    <row r="250" spans="1:15" s="115" customFormat="1" x14ac:dyDescent="0.25">
      <c r="A250" s="396"/>
      <c r="B250" s="1396">
        <v>22600</v>
      </c>
      <c r="C250" s="1396"/>
      <c r="D250" s="1396"/>
      <c r="E250" s="854">
        <v>344903000000000</v>
      </c>
      <c r="F250" s="855" t="s">
        <v>6890</v>
      </c>
      <c r="G250" s="468">
        <v>1</v>
      </c>
      <c r="H250" s="468">
        <v>0</v>
      </c>
      <c r="I250" s="751"/>
      <c r="J250" s="789">
        <f>'Parâmetros financeiros Despesa'!E291+'Parâmetros financeiros Despesa'!E292</f>
        <v>0</v>
      </c>
      <c r="K250" s="789">
        <f>('Parâmetros financeiros Despesa'!F291+'Parâmetros financeiros Despesa'!F292)*((1+'Parâmetros financeiros Despesa'!F$4)*(1+'Parâmetros financeiros Despesa'!F$5))</f>
        <v>2138.4430000000002</v>
      </c>
      <c r="L250" s="799">
        <f t="shared" si="28"/>
        <v>1.1584132472995294E-3</v>
      </c>
      <c r="M250" s="894"/>
      <c r="N250" s="796"/>
      <c r="O250" s="733"/>
    </row>
    <row r="251" spans="1:15" s="457" customFormat="1" ht="30" x14ac:dyDescent="0.25">
      <c r="A251" s="396"/>
      <c r="B251" s="1398" t="s">
        <v>7126</v>
      </c>
      <c r="C251" s="1398"/>
      <c r="D251" s="1398"/>
      <c r="E251" s="854">
        <v>344903600000000</v>
      </c>
      <c r="F251" s="855" t="s">
        <v>6891</v>
      </c>
      <c r="G251" s="468">
        <v>1</v>
      </c>
      <c r="H251" s="468">
        <v>0</v>
      </c>
      <c r="I251" s="751"/>
      <c r="J251" s="789">
        <f>'Parâmetros financeiros Despesa'!E293</f>
        <v>0</v>
      </c>
      <c r="K251" s="789">
        <f>('Parâmetros financeiros Despesa'!F293)*((1+'Parâmetros financeiros Despesa'!F$4)*(1+'Parâmetros financeiros Despesa'!F$5)*(1+'Parâmetros financeiros Despesa'!F$7))</f>
        <v>1104.5058094999999</v>
      </c>
      <c r="L251" s="799">
        <f t="shared" si="28"/>
        <v>5.9832044223020683E-4</v>
      </c>
      <c r="M251" s="894"/>
      <c r="N251" s="796"/>
      <c r="O251" s="734"/>
    </row>
    <row r="252" spans="1:15" s="457" customFormat="1" ht="30" x14ac:dyDescent="0.25">
      <c r="A252" s="396"/>
      <c r="B252" s="1398" t="s">
        <v>7127</v>
      </c>
      <c r="C252" s="1398"/>
      <c r="D252" s="1398"/>
      <c r="E252" s="854">
        <v>344903900000000</v>
      </c>
      <c r="F252" s="855" t="s">
        <v>6892</v>
      </c>
      <c r="G252" s="468">
        <v>1</v>
      </c>
      <c r="H252" s="468">
        <v>0</v>
      </c>
      <c r="I252" s="751"/>
      <c r="J252" s="789">
        <f>'Parâmetros financeiros Despesa'!E294+'Parâmetros financeiros Despesa'!E295</f>
        <v>0</v>
      </c>
      <c r="K252" s="789">
        <f>('Parâmetros financeiros Despesa'!F294+'Parâmetros financeiros Despesa'!F295)*((1+'Parâmetros financeiros Despesa'!F$4)*(1+'Parâmetros financeiros Despesa'!F$5)*(1+'Parâmetros financeiros Despesa'!F$7))</f>
        <v>2209.0116189999999</v>
      </c>
      <c r="L252" s="799">
        <f t="shared" si="28"/>
        <v>1.1966408844604137E-3</v>
      </c>
      <c r="M252" s="894"/>
      <c r="N252" s="796"/>
      <c r="O252" s="734"/>
    </row>
    <row r="253" spans="1:15" s="457" customFormat="1" x14ac:dyDescent="0.25">
      <c r="A253" s="396"/>
      <c r="B253" s="1398" t="s">
        <v>7128</v>
      </c>
      <c r="C253" s="1398"/>
      <c r="D253" s="1398"/>
      <c r="E253" s="854">
        <v>344905200000000</v>
      </c>
      <c r="F253" s="855" t="s">
        <v>7189</v>
      </c>
      <c r="G253" s="468">
        <v>1</v>
      </c>
      <c r="H253" s="468">
        <v>0</v>
      </c>
      <c r="I253" s="751"/>
      <c r="J253" s="789">
        <f>'Parâmetros financeiros Despesa'!E296</f>
        <v>0</v>
      </c>
      <c r="K253" s="789">
        <f>('Parâmetros financeiros Despesa'!F296)*((1+'Parâmetros financeiros Despesa'!F$4)*(1+'Parâmetros financeiros Despesa'!F$5)*(1+'Parâmetros financeiros Despesa'!F$7))</f>
        <v>33135.174285000001</v>
      </c>
      <c r="L253" s="799">
        <f t="shared" si="28"/>
        <v>1.7949613266906205E-2</v>
      </c>
      <c r="M253" s="894"/>
      <c r="N253" s="796"/>
      <c r="O253" s="734"/>
    </row>
    <row r="254" spans="1:15" s="115" customFormat="1" x14ac:dyDescent="0.25">
      <c r="A254" s="396"/>
      <c r="B254" s="1385" t="s">
        <v>5951</v>
      </c>
      <c r="C254" s="1385"/>
      <c r="D254" s="1385"/>
      <c r="E254" s="1385"/>
      <c r="F254" s="1385"/>
      <c r="G254" s="401"/>
      <c r="H254" s="401"/>
      <c r="I254" s="426"/>
      <c r="J254" s="402">
        <f t="shared" ref="J254:K256" si="30">J255</f>
        <v>0</v>
      </c>
      <c r="K254" s="402">
        <f t="shared" si="30"/>
        <v>12584.808328499999</v>
      </c>
      <c r="L254" s="451">
        <f t="shared" si="28"/>
        <v>6.8173005698350829E-3</v>
      </c>
      <c r="M254" s="894"/>
      <c r="O254" s="733"/>
    </row>
    <row r="255" spans="1:15" x14ac:dyDescent="0.25">
      <c r="A255" s="396"/>
      <c r="B255" s="1386" t="s">
        <v>6982</v>
      </c>
      <c r="C255" s="1386"/>
      <c r="D255" s="1386"/>
      <c r="E255" s="1386"/>
      <c r="F255" s="1386"/>
      <c r="G255" s="403"/>
      <c r="H255" s="403"/>
      <c r="I255" s="427"/>
      <c r="J255" s="404">
        <f t="shared" si="30"/>
        <v>0</v>
      </c>
      <c r="K255" s="404">
        <f t="shared" si="30"/>
        <v>12584.808328499999</v>
      </c>
      <c r="L255" s="452">
        <f t="shared" si="28"/>
        <v>6.8173005698350829E-3</v>
      </c>
    </row>
    <row r="256" spans="1:15" x14ac:dyDescent="0.25">
      <c r="A256" s="396"/>
      <c r="B256" s="1382" t="s">
        <v>2286</v>
      </c>
      <c r="C256" s="1382"/>
      <c r="D256" s="1382"/>
      <c r="E256" s="1382"/>
      <c r="F256" s="1382"/>
      <c r="G256" s="405"/>
      <c r="H256" s="405"/>
      <c r="I256" s="428"/>
      <c r="J256" s="406">
        <f t="shared" si="30"/>
        <v>0</v>
      </c>
      <c r="K256" s="406">
        <f t="shared" si="30"/>
        <v>12584.808328499999</v>
      </c>
      <c r="L256" s="453">
        <f t="shared" si="28"/>
        <v>6.8173005698350829E-3</v>
      </c>
    </row>
    <row r="257" spans="1:15" x14ac:dyDescent="0.25">
      <c r="A257" s="396"/>
      <c r="B257" s="1383" t="s">
        <v>2290</v>
      </c>
      <c r="C257" s="1383"/>
      <c r="D257" s="1383"/>
      <c r="E257" s="1383"/>
      <c r="F257" s="1383"/>
      <c r="G257" s="407"/>
      <c r="H257" s="407"/>
      <c r="I257" s="429"/>
      <c r="J257" s="408">
        <f>SUM(J258:J262)</f>
        <v>0</v>
      </c>
      <c r="K257" s="408">
        <f>SUM(K258:K262)-0.01</f>
        <v>12584.808328499999</v>
      </c>
      <c r="L257" s="454">
        <f t="shared" si="28"/>
        <v>6.8173005698350829E-3</v>
      </c>
    </row>
    <row r="258" spans="1:15" x14ac:dyDescent="0.25">
      <c r="A258" s="396"/>
      <c r="B258" s="1396">
        <v>23000</v>
      </c>
      <c r="C258" s="1396"/>
      <c r="D258" s="1396"/>
      <c r="E258" s="417">
        <v>333904700000000</v>
      </c>
      <c r="F258" s="1017" t="s">
        <v>7191</v>
      </c>
      <c r="G258" s="468">
        <v>1</v>
      </c>
      <c r="H258" s="468">
        <v>0</v>
      </c>
      <c r="I258" s="751"/>
      <c r="J258" s="789">
        <f>((('Parâmetros financeiros Despesa'!E299+'Parâmetros financeiros Despesa'!E300+'Parâmetros financeiros Despesa'!E302))*'Parâmetros financeiros Despesa'!F83)</f>
        <v>0</v>
      </c>
      <c r="K258" s="789">
        <f>((('Parâmetros financeiros Despesa'!F299+'Parâmetros financeiros Despesa'!F300+'Parâmetros financeiros Despesa'!F302))*((1+'Parâmetros financeiros Despesa'!F$4)*(1+'Parâmetros financeiros Despesa'!F$7))*(1+'Parâmetros financeiros Despesa'!F$83))</f>
        <v>3925.1934000000001</v>
      </c>
      <c r="L258" s="799">
        <f t="shared" si="28"/>
        <v>2.126311541982966E-3</v>
      </c>
      <c r="M258" s="894"/>
      <c r="N258" s="796"/>
    </row>
    <row r="259" spans="1:15" s="115" customFormat="1" x14ac:dyDescent="0.25">
      <c r="A259" s="396"/>
      <c r="B259" s="1396">
        <v>23100</v>
      </c>
      <c r="C259" s="1396"/>
      <c r="D259" s="1396"/>
      <c r="E259" s="854">
        <v>344903000000000</v>
      </c>
      <c r="F259" s="855" t="s">
        <v>7190</v>
      </c>
      <c r="G259" s="468">
        <v>1</v>
      </c>
      <c r="H259" s="468">
        <v>0</v>
      </c>
      <c r="I259" s="751"/>
      <c r="J259" s="789">
        <f>('Parâmetros financeiros Despesa'!E298+'Parâmetros financeiros Despesa'!E299)</f>
        <v>0</v>
      </c>
      <c r="K259" s="789">
        <f>('Parâmetros financeiros Despesa'!F298+'Parâmetros financeiros Despesa'!F299)*((1+'Parâmetros financeiros Despesa'!F$4)*(1+'Parâmetros financeiros Despesa'!F$5)*(1+'Parâmetros financeiros Despesa'!F$7))</f>
        <v>2209.0116189999999</v>
      </c>
      <c r="L259" s="799">
        <f t="shared" si="28"/>
        <v>1.1966408844604137E-3</v>
      </c>
      <c r="M259" s="894"/>
      <c r="N259" s="796"/>
      <c r="O259" s="733"/>
    </row>
    <row r="260" spans="1:15" s="457" customFormat="1" x14ac:dyDescent="0.25">
      <c r="A260" s="396"/>
      <c r="B260" s="1398" t="s">
        <v>7129</v>
      </c>
      <c r="C260" s="1398"/>
      <c r="D260" s="1398"/>
      <c r="E260" s="854">
        <v>344903600000000</v>
      </c>
      <c r="F260" s="855" t="s">
        <v>7192</v>
      </c>
      <c r="G260" s="468">
        <v>1</v>
      </c>
      <c r="H260" s="468">
        <v>0</v>
      </c>
      <c r="I260" s="751"/>
      <c r="J260" s="789">
        <f>'Parâmetros financeiros Despesa'!E300</f>
        <v>0</v>
      </c>
      <c r="K260" s="789">
        <f>('Parâmetros financeiros Despesa'!F300)*((1+'Parâmetros financeiros Despesa'!F$4)*(1+'Parâmetros financeiros Despesa'!F$5)*(1+'Parâmetros financeiros Despesa'!F$7))</f>
        <v>1104.5058094999999</v>
      </c>
      <c r="L260" s="799">
        <f t="shared" si="28"/>
        <v>5.9832044223020683E-4</v>
      </c>
      <c r="M260" s="894"/>
      <c r="N260" s="796"/>
      <c r="O260" s="734"/>
    </row>
    <row r="261" spans="1:15" s="457" customFormat="1" x14ac:dyDescent="0.25">
      <c r="A261" s="396"/>
      <c r="B261" s="1398" t="s">
        <v>7130</v>
      </c>
      <c r="C261" s="1398"/>
      <c r="D261" s="1398"/>
      <c r="E261" s="854">
        <v>344903900000000</v>
      </c>
      <c r="F261" s="855" t="s">
        <v>7193</v>
      </c>
      <c r="G261" s="468">
        <v>1</v>
      </c>
      <c r="H261" s="468">
        <v>0</v>
      </c>
      <c r="I261" s="751"/>
      <c r="J261" s="789">
        <f>'Parâmetros financeiros Despesa'!E301+'Parâmetros financeiros Despesa'!E302</f>
        <v>0</v>
      </c>
      <c r="K261" s="789">
        <f>('Parâmetros financeiros Despesa'!F301+'Parâmetros financeiros Despesa'!F302)*((1+'Parâmetros financeiros Despesa'!F$4)*(1+'Parâmetros financeiros Despesa'!F$5))</f>
        <v>2138.4430000000002</v>
      </c>
      <c r="L261" s="799">
        <f t="shared" si="28"/>
        <v>1.1584132472995294E-3</v>
      </c>
      <c r="M261" s="894"/>
      <c r="N261" s="796"/>
      <c r="O261" s="734"/>
    </row>
    <row r="262" spans="1:15" s="457" customFormat="1" x14ac:dyDescent="0.25">
      <c r="A262" s="396"/>
      <c r="B262" s="1398" t="s">
        <v>7131</v>
      </c>
      <c r="C262" s="1398"/>
      <c r="D262" s="1398"/>
      <c r="E262" s="854">
        <v>344905200000000</v>
      </c>
      <c r="F262" s="855" t="s">
        <v>7041</v>
      </c>
      <c r="G262" s="468">
        <v>1</v>
      </c>
      <c r="H262" s="468">
        <v>0</v>
      </c>
      <c r="I262" s="751"/>
      <c r="J262" s="789">
        <f>'Parâmetros financeiros Despesa'!E303</f>
        <v>0</v>
      </c>
      <c r="K262" s="789">
        <f>('Parâmetros financeiros Despesa'!F303)*((1+'Parâmetros financeiros Despesa'!F$4)*(1+'Parâmetros financeiros Despesa'!F$5))</f>
        <v>3207.6645000000003</v>
      </c>
      <c r="L262" s="799">
        <f t="shared" si="28"/>
        <v>1.7376198709492939E-3</v>
      </c>
      <c r="M262" s="894"/>
      <c r="N262" s="796"/>
      <c r="O262" s="734"/>
    </row>
    <row r="263" spans="1:15" x14ac:dyDescent="0.25">
      <c r="A263" s="397"/>
      <c r="B263" s="1385" t="s">
        <v>5951</v>
      </c>
      <c r="C263" s="1385"/>
      <c r="D263" s="1385"/>
      <c r="E263" s="1385"/>
      <c r="F263" s="1385"/>
      <c r="G263" s="401"/>
      <c r="H263" s="401"/>
      <c r="I263" s="426"/>
      <c r="J263" s="402">
        <f t="shared" ref="J263:K265" si="31">J264</f>
        <v>689904.57671250019</v>
      </c>
      <c r="K263" s="402">
        <f t="shared" si="31"/>
        <v>863410.20390673587</v>
      </c>
      <c r="L263" s="451">
        <f t="shared" si="28"/>
        <v>0.46771684728522134</v>
      </c>
    </row>
    <row r="264" spans="1:15" x14ac:dyDescent="0.25">
      <c r="A264" s="397"/>
      <c r="B264" s="1386" t="s">
        <v>5965</v>
      </c>
      <c r="C264" s="1386"/>
      <c r="D264" s="1386"/>
      <c r="E264" s="1386"/>
      <c r="F264" s="1386"/>
      <c r="G264" s="403"/>
      <c r="H264" s="403"/>
      <c r="I264" s="427"/>
      <c r="J264" s="404">
        <f t="shared" si="31"/>
        <v>689904.57671250019</v>
      </c>
      <c r="K264" s="404">
        <f t="shared" si="31"/>
        <v>863410.20390673587</v>
      </c>
      <c r="L264" s="452">
        <f t="shared" si="28"/>
        <v>0.46771684728522134</v>
      </c>
    </row>
    <row r="265" spans="1:15" x14ac:dyDescent="0.25">
      <c r="A265" s="397"/>
      <c r="B265" s="1382" t="s">
        <v>2286</v>
      </c>
      <c r="C265" s="1382"/>
      <c r="D265" s="1382"/>
      <c r="E265" s="1382"/>
      <c r="F265" s="1382"/>
      <c r="G265" s="405"/>
      <c r="H265" s="405"/>
      <c r="I265" s="428"/>
      <c r="J265" s="406">
        <f t="shared" si="31"/>
        <v>689904.57671250019</v>
      </c>
      <c r="K265" s="406">
        <f t="shared" si="31"/>
        <v>863410.20390673587</v>
      </c>
      <c r="L265" s="453">
        <f t="shared" si="28"/>
        <v>0.46771684728522134</v>
      </c>
    </row>
    <row r="266" spans="1:15" x14ac:dyDescent="0.25">
      <c r="A266" s="397"/>
      <c r="B266" s="1383" t="s">
        <v>2290</v>
      </c>
      <c r="C266" s="1383"/>
      <c r="D266" s="1383"/>
      <c r="E266" s="1383"/>
      <c r="F266" s="1383"/>
      <c r="G266" s="407"/>
      <c r="H266" s="407"/>
      <c r="I266" s="429"/>
      <c r="J266" s="408">
        <f>J267+J268+J269+J270+J271+J272+J273+J274+J275+J276+J277+J278+J279+J280</f>
        <v>689904.57671250019</v>
      </c>
      <c r="K266" s="408">
        <f>K267+K268+K269+K270+K271+K272+K273+K274+K275+K276+K277+K278+K279+K280-0.02</f>
        <v>863410.20390673587</v>
      </c>
      <c r="L266" s="454">
        <f t="shared" si="28"/>
        <v>0.46771684728522134</v>
      </c>
    </row>
    <row r="267" spans="1:15" s="115" customFormat="1" x14ac:dyDescent="0.25">
      <c r="A267" s="396"/>
      <c r="B267" s="1398" t="s">
        <v>7147</v>
      </c>
      <c r="C267" s="1398"/>
      <c r="D267" s="1398"/>
      <c r="E267" s="854">
        <v>331900400000000</v>
      </c>
      <c r="F267" s="855" t="s">
        <v>5851</v>
      </c>
      <c r="G267" s="468">
        <v>1</v>
      </c>
      <c r="H267" s="468">
        <v>0</v>
      </c>
      <c r="I267" s="751"/>
      <c r="J267" s="789">
        <f>'Parâmetros financeiros Despesa'!E305</f>
        <v>79843.517462499993</v>
      </c>
      <c r="K267" s="789">
        <f>(('Parâmetros financeiros Despesa'!F305)*2.05+(('Parâmetros financeiros Despesa'!F305)*11.28)*(1+'Parâmetros financeiros Despesa'!F$4)*(1+'Parâmetros financeiros Despesa'!F$8))*(1+'Parâmetros financeiros Despesa'!F$80)</f>
        <v>114965.55022088945</v>
      </c>
      <c r="L267" s="799">
        <f t="shared" si="28"/>
        <v>6.227784250455011E-2</v>
      </c>
      <c r="M267" s="894"/>
      <c r="O267" s="733"/>
    </row>
    <row r="268" spans="1:15" s="115" customFormat="1" x14ac:dyDescent="0.25">
      <c r="A268" s="396"/>
      <c r="B268" s="1398" t="s">
        <v>7148</v>
      </c>
      <c r="C268" s="1398"/>
      <c r="D268" s="1398"/>
      <c r="E268" s="854">
        <v>331901100000000</v>
      </c>
      <c r="F268" s="855" t="s">
        <v>5732</v>
      </c>
      <c r="G268" s="468">
        <v>1</v>
      </c>
      <c r="H268" s="468">
        <v>0</v>
      </c>
      <c r="I268" s="751"/>
      <c r="J268" s="789">
        <f>'Parâmetros financeiros Despesa'!E306</f>
        <v>408070.29249999998</v>
      </c>
      <c r="K268" s="789">
        <f>('Parâmetros financeiros Despesa'!F306)*2.05+(('Parâmetros financeiros Despesa'!F306)*11.28)*(1+'Parâmetros financeiros Despesa'!F$4)*(1+'Parâmetros financeiros Despesa'!F$8)</f>
        <v>474579.9882325778</v>
      </c>
      <c r="L268" s="799">
        <f t="shared" ref="L268:L289" si="32">K268/K$453</f>
        <v>0.25708412394993591</v>
      </c>
      <c r="M268" s="894"/>
      <c r="O268" s="733"/>
    </row>
    <row r="269" spans="1:15" s="115" customFormat="1" x14ac:dyDescent="0.25">
      <c r="A269" s="396"/>
      <c r="B269" s="1398" t="s">
        <v>7149</v>
      </c>
      <c r="C269" s="1398"/>
      <c r="D269" s="1398"/>
      <c r="E269" s="854">
        <v>331901300000000</v>
      </c>
      <c r="F269" s="855" t="s">
        <v>5735</v>
      </c>
      <c r="G269" s="468">
        <v>1</v>
      </c>
      <c r="H269" s="468">
        <v>0</v>
      </c>
      <c r="I269" s="751"/>
      <c r="J269" s="789">
        <f>'Parâmetros financeiros Despesa'!E307</f>
        <v>82161.868750000009</v>
      </c>
      <c r="K269" s="789">
        <f>(K270+K268)*'Parâmetros financeiros Despesa'!F80</f>
        <v>120886.34642357923</v>
      </c>
      <c r="L269" s="799">
        <f t="shared" si="32"/>
        <v>6.5485189511581207E-2</v>
      </c>
      <c r="M269" s="894"/>
      <c r="O269" s="733"/>
    </row>
    <row r="270" spans="1:15" s="115" customFormat="1" x14ac:dyDescent="0.25">
      <c r="A270" s="396"/>
      <c r="B270" s="1398" t="s">
        <v>7150</v>
      </c>
      <c r="C270" s="1398"/>
      <c r="D270" s="1398"/>
      <c r="E270" s="854">
        <v>331901600000000</v>
      </c>
      <c r="F270" s="855" t="s">
        <v>5736</v>
      </c>
      <c r="G270" s="468">
        <v>1</v>
      </c>
      <c r="H270" s="468">
        <v>0</v>
      </c>
      <c r="I270" s="751"/>
      <c r="J270" s="789">
        <f>'Parâmetros financeiros Despesa'!E308</f>
        <v>28500.18</v>
      </c>
      <c r="K270" s="789">
        <f>('Parâmetros financeiros Despesa'!F308)*2.05+(('Parâmetros financeiros Despesa'!F308)*11.28)*(1+'Parâmetros financeiros Despesa'!F$4)*(1+'Parâmetros financeiros Despesa'!F$8)</f>
        <v>33145.30691798975</v>
      </c>
      <c r="L270" s="799">
        <f t="shared" si="32"/>
        <v>1.7955102202681136E-2</v>
      </c>
      <c r="M270" s="894"/>
      <c r="O270" s="733"/>
    </row>
    <row r="271" spans="1:15" s="115" customFormat="1" x14ac:dyDescent="0.25">
      <c r="A271" s="396"/>
      <c r="B271" s="1398" t="s">
        <v>7197</v>
      </c>
      <c r="C271" s="1398"/>
      <c r="D271" s="1398"/>
      <c r="E271" s="854">
        <v>333901400000000</v>
      </c>
      <c r="F271" s="855" t="s">
        <v>6568</v>
      </c>
      <c r="G271" s="468">
        <v>1</v>
      </c>
      <c r="H271" s="468">
        <v>0</v>
      </c>
      <c r="I271" s="751"/>
      <c r="J271" s="789">
        <f>'Parâmetros financeiros Despesa'!E309</f>
        <v>10432.184999999999</v>
      </c>
      <c r="K271" s="789">
        <f>('Parâmetros financeiros Despesa'!F309)*2.05+(('Parâmetros financeiros Despesa'!F309)*11.28)*(1+'Parâmetros financeiros Despesa'!F$4)*(1+'Parâmetros financeiros Despesa'!F$8)</f>
        <v>12132.483852742296</v>
      </c>
      <c r="L271" s="799">
        <f t="shared" si="32"/>
        <v>6.5722724513416104E-3</v>
      </c>
      <c r="M271" s="894"/>
      <c r="N271" s="796"/>
      <c r="O271" s="733"/>
    </row>
    <row r="272" spans="1:15" s="115" customFormat="1" x14ac:dyDescent="0.25">
      <c r="A272" s="396"/>
      <c r="B272" s="1396">
        <v>25500</v>
      </c>
      <c r="C272" s="1396"/>
      <c r="D272" s="1396"/>
      <c r="E272" s="854">
        <v>333903000000000</v>
      </c>
      <c r="F272" s="855" t="s">
        <v>7198</v>
      </c>
      <c r="G272" s="468">
        <v>1</v>
      </c>
      <c r="H272" s="468">
        <v>0</v>
      </c>
      <c r="I272" s="751"/>
      <c r="J272" s="789">
        <f>('Parâmetros financeiros Despesa'!E310+'Parâmetros financeiros Despesa'!E311)</f>
        <v>21450.329999999998</v>
      </c>
      <c r="K272" s="789">
        <f>('Parâmetros financeiros Despesa'!F310+'Parâmetros financeiros Despesa'!F311)*(1+'Parâmetros financeiros Despesa'!F$4)*(1+'Parâmetros financeiros Despesa'!F$7)</f>
        <v>28839.627984395</v>
      </c>
      <c r="L272" s="799">
        <f t="shared" si="32"/>
        <v>1.5622678324516196E-2</v>
      </c>
      <c r="M272" s="894"/>
      <c r="N272" s="796"/>
      <c r="O272" s="733"/>
    </row>
    <row r="273" spans="1:15" s="115" customFormat="1" x14ac:dyDescent="0.25">
      <c r="A273" s="396"/>
      <c r="B273" s="1396">
        <v>25600</v>
      </c>
      <c r="C273" s="1396"/>
      <c r="D273" s="1396"/>
      <c r="E273" s="854">
        <v>333903200000000</v>
      </c>
      <c r="F273" s="855" t="s">
        <v>1021</v>
      </c>
      <c r="G273" s="468">
        <v>1</v>
      </c>
      <c r="H273" s="468">
        <v>0</v>
      </c>
      <c r="I273" s="751"/>
      <c r="J273" s="789">
        <f>('Parâmetros financeiros Despesa'!E312)</f>
        <v>0</v>
      </c>
      <c r="K273" s="789">
        <f>('Parâmetros financeiros Despesa'!F312)*(1+'Parâmetros financeiros Despesa'!F$4)*(1+'Parâmetros financeiros Despesa'!F$7)</f>
        <v>2180.663</v>
      </c>
      <c r="L273" s="799">
        <f t="shared" si="32"/>
        <v>1.1812841899905367E-3</v>
      </c>
      <c r="M273" s="894"/>
      <c r="N273" s="796"/>
      <c r="O273" s="733"/>
    </row>
    <row r="274" spans="1:15" s="115" customFormat="1" x14ac:dyDescent="0.25">
      <c r="A274" s="396"/>
      <c r="B274" s="1396">
        <v>25700</v>
      </c>
      <c r="C274" s="1396"/>
      <c r="D274" s="1396"/>
      <c r="E274" s="854">
        <v>333903300000000</v>
      </c>
      <c r="F274" s="855" t="s">
        <v>3469</v>
      </c>
      <c r="G274" s="468">
        <v>1</v>
      </c>
      <c r="H274" s="468">
        <v>0</v>
      </c>
      <c r="I274" s="751"/>
      <c r="J274" s="789">
        <f>('Parâmetros financeiros Despesa'!E313)</f>
        <v>0</v>
      </c>
      <c r="K274" s="789">
        <f>('Parâmetros financeiros Despesa'!F313)*(1+'Parâmetros financeiros Despesa'!F$4)*(1+'Parâmetros financeiros Despesa'!F$7)</f>
        <v>2180.663</v>
      </c>
      <c r="L274" s="799">
        <f t="shared" si="32"/>
        <v>1.1812841899905367E-3</v>
      </c>
      <c r="M274" s="894"/>
      <c r="N274" s="796"/>
      <c r="O274" s="733"/>
    </row>
    <row r="275" spans="1:15" s="115" customFormat="1" x14ac:dyDescent="0.25">
      <c r="A275" s="396"/>
      <c r="B275" s="1398" t="s">
        <v>7199</v>
      </c>
      <c r="C275" s="1398"/>
      <c r="D275" s="1398"/>
      <c r="E275" s="854">
        <v>333903600000000</v>
      </c>
      <c r="F275" s="855" t="s">
        <v>993</v>
      </c>
      <c r="G275" s="468">
        <v>1</v>
      </c>
      <c r="H275" s="468">
        <v>0</v>
      </c>
      <c r="I275" s="751"/>
      <c r="J275" s="789">
        <f>('Parâmetros financeiros Despesa'!F314+'Parâmetros financeiros Despesa'!F315)</f>
        <v>28110.510000000002</v>
      </c>
      <c r="K275" s="789">
        <f>('Parâmetros financeiros Despesa'!F314+'Parâmetros financeiros Despesa'!F315)*(1+'Parâmetros financeiros Despesa'!F$4)*(1+'Parâmetros financeiros Despesa'!F$7)</f>
        <v>30649.774534065004</v>
      </c>
      <c r="L275" s="799">
        <f t="shared" si="32"/>
        <v>1.6603250517785443E-2</v>
      </c>
      <c r="M275" s="894"/>
      <c r="N275" s="796"/>
      <c r="O275" s="733"/>
    </row>
    <row r="276" spans="1:15" s="115" customFormat="1" x14ac:dyDescent="0.25">
      <c r="A276" s="396"/>
      <c r="B276" s="1398" t="s">
        <v>7200</v>
      </c>
      <c r="C276" s="1398"/>
      <c r="D276" s="1398"/>
      <c r="E276" s="854">
        <v>333903900000000</v>
      </c>
      <c r="F276" s="855" t="s">
        <v>2268</v>
      </c>
      <c r="G276" s="468">
        <v>1</v>
      </c>
      <c r="H276" s="468">
        <v>0</v>
      </c>
      <c r="I276" s="751"/>
      <c r="J276" s="789">
        <f>('Parâmetros financeiros Despesa'!E316+'Parâmetros financeiros Despesa'!E17)</f>
        <v>19924.785</v>
      </c>
      <c r="K276" s="789">
        <f>('Parâmetros financeiros Despesa'!F316+'Parâmetros financeiros Despesa'!F317)*(1+'Parâmetros financeiros Despesa'!F$4)*(1+'Parâmetros financeiros Despesa'!F$7)</f>
        <v>24995.615216227503</v>
      </c>
      <c r="L276" s="799">
        <f t="shared" si="32"/>
        <v>1.3540343039716105E-2</v>
      </c>
      <c r="M276" s="894"/>
      <c r="N276" s="796"/>
      <c r="O276" s="733"/>
    </row>
    <row r="277" spans="1:15" x14ac:dyDescent="0.25">
      <c r="A277" s="397"/>
      <c r="B277" s="1398" t="s">
        <v>7201</v>
      </c>
      <c r="C277" s="1398"/>
      <c r="D277" s="1398"/>
      <c r="E277" s="854">
        <v>333904700000000</v>
      </c>
      <c r="F277" s="855" t="s">
        <v>990</v>
      </c>
      <c r="G277" s="468">
        <v>1</v>
      </c>
      <c r="H277" s="468">
        <v>0</v>
      </c>
      <c r="I277" s="751"/>
      <c r="J277" s="789">
        <f>('Parâmetros financeiros Despesa'!E311+'Parâmetros financeiros Despesa'!E317+'Parâmetros financeiros Despesa'!E314)*'Parâmetros financeiros Despesa'!F83</f>
        <v>2559.4830000000002</v>
      </c>
      <c r="K277" s="789">
        <f>('Parâmetros financeiros Despesa'!F311+'Parâmetros financeiros Despesa'!F317+'Parâmetros financeiros Despesa'!F314)*((1+'Parâmetros financeiros Despesa'!F4)*(1+'Parâmetros financeiros Despesa'!F7))*('Parâmetros financeiros Despesa'!F83)</f>
        <v>4535.2153386145001</v>
      </c>
      <c r="L277" s="799">
        <f t="shared" si="32"/>
        <v>2.456765753217204E-3</v>
      </c>
      <c r="M277" s="894"/>
      <c r="N277" s="796"/>
    </row>
    <row r="278" spans="1:15" x14ac:dyDescent="0.25">
      <c r="A278" s="397"/>
      <c r="B278" s="1398" t="s">
        <v>7202</v>
      </c>
      <c r="C278" s="1398"/>
      <c r="D278" s="1398"/>
      <c r="E278" s="854">
        <v>333904900000000</v>
      </c>
      <c r="F278" s="855" t="s">
        <v>7167</v>
      </c>
      <c r="G278" s="468">
        <v>1</v>
      </c>
      <c r="H278" s="468">
        <v>0</v>
      </c>
      <c r="I278" s="751"/>
      <c r="J278" s="789">
        <f>'Parâmetros financeiros Despesa'!E318</f>
        <v>8329.6649999999991</v>
      </c>
      <c r="K278" s="789">
        <f>('Parâmetros financeiros Despesa'!F318)*2.05+(('Parâmetros financeiros Despesa'!F318)*11.28)*(1+'Parâmetros financeiros Despesa'!F$4)*(1+'Parâmetros financeiros Despesa'!F$8)</f>
        <v>9687.2827802854972</v>
      </c>
      <c r="L278" s="799">
        <f t="shared" si="32"/>
        <v>5.2476856773920723E-3</v>
      </c>
      <c r="M278" s="894"/>
      <c r="N278" s="796"/>
    </row>
    <row r="279" spans="1:15" x14ac:dyDescent="0.25">
      <c r="A279" s="397"/>
      <c r="B279" s="1398" t="s">
        <v>7203</v>
      </c>
      <c r="C279" s="1398"/>
      <c r="D279" s="1398"/>
      <c r="E279" s="854">
        <v>333909300000000</v>
      </c>
      <c r="F279" s="855" t="s">
        <v>5818</v>
      </c>
      <c r="G279" s="468">
        <v>1</v>
      </c>
      <c r="H279" s="468">
        <v>0</v>
      </c>
      <c r="I279" s="751"/>
      <c r="J279" s="789">
        <f>'Parâmetros financeiros Despesa'!E319</f>
        <v>270</v>
      </c>
      <c r="K279" s="789">
        <f>('Parâmetros financeiros Despesa'!F320)*((1+'Parâmetros financeiros Despesa'!F4)*(1+'Parâmetros financeiros Despesa'!F7))</f>
        <v>1146.76705844</v>
      </c>
      <c r="L279" s="799">
        <f t="shared" si="32"/>
        <v>6.2121372983222343E-4</v>
      </c>
      <c r="M279" s="894"/>
      <c r="N279" s="796"/>
    </row>
    <row r="280" spans="1:15" x14ac:dyDescent="0.25">
      <c r="A280" s="397"/>
      <c r="B280" s="1398" t="s">
        <v>7204</v>
      </c>
      <c r="C280" s="1398"/>
      <c r="D280" s="1398"/>
      <c r="E280" s="854">
        <v>333933000000000</v>
      </c>
      <c r="F280" s="855" t="s">
        <v>7205</v>
      </c>
      <c r="G280" s="468">
        <v>1</v>
      </c>
      <c r="H280" s="468">
        <v>0</v>
      </c>
      <c r="I280" s="751"/>
      <c r="J280" s="789">
        <f>'Parâmetros financeiros Despesa'!E320</f>
        <v>251.76</v>
      </c>
      <c r="K280" s="789">
        <f>('Parâmetros financeiros Despesa'!F321)*((1+'Parâmetros financeiros Despesa'!F4)*(1+'Parâmetros financeiros Despesa'!F7))</f>
        <v>3484.9393469300003</v>
      </c>
      <c r="L280" s="799">
        <f t="shared" si="32"/>
        <v>1.8878220768657767E-3</v>
      </c>
      <c r="M280" s="894"/>
      <c r="N280" s="796"/>
    </row>
    <row r="281" spans="1:15" x14ac:dyDescent="0.25">
      <c r="A281" s="397"/>
      <c r="B281" s="1385" t="s">
        <v>5951</v>
      </c>
      <c r="C281" s="1385"/>
      <c r="D281" s="1385"/>
      <c r="E281" s="1385"/>
      <c r="F281" s="1385"/>
      <c r="G281" s="401"/>
      <c r="H281" s="401"/>
      <c r="I281" s="426"/>
      <c r="J281" s="402">
        <f t="shared" ref="J281:K283" si="33">J282</f>
        <v>0</v>
      </c>
      <c r="K281" s="402">
        <f t="shared" si="33"/>
        <v>10685.2487</v>
      </c>
      <c r="L281" s="451">
        <f t="shared" si="32"/>
        <v>5.7882925309536296E-3</v>
      </c>
    </row>
    <row r="282" spans="1:15" x14ac:dyDescent="0.25">
      <c r="A282" s="397"/>
      <c r="B282" s="1386" t="s">
        <v>7008</v>
      </c>
      <c r="C282" s="1386"/>
      <c r="D282" s="1386"/>
      <c r="E282" s="1386"/>
      <c r="F282" s="1386"/>
      <c r="G282" s="403"/>
      <c r="H282" s="403"/>
      <c r="I282" s="427"/>
      <c r="J282" s="404">
        <f t="shared" si="33"/>
        <v>0</v>
      </c>
      <c r="K282" s="404">
        <f t="shared" si="33"/>
        <v>10685.2487</v>
      </c>
      <c r="L282" s="452">
        <f t="shared" si="32"/>
        <v>5.7882925309536296E-3</v>
      </c>
    </row>
    <row r="283" spans="1:15" x14ac:dyDescent="0.25">
      <c r="A283" s="397"/>
      <c r="B283" s="1382" t="s">
        <v>2286</v>
      </c>
      <c r="C283" s="1382"/>
      <c r="D283" s="1382"/>
      <c r="E283" s="1382"/>
      <c r="F283" s="1382"/>
      <c r="G283" s="405"/>
      <c r="H283" s="405"/>
      <c r="I283" s="428"/>
      <c r="J283" s="406">
        <f t="shared" si="33"/>
        <v>0</v>
      </c>
      <c r="K283" s="406">
        <f t="shared" si="33"/>
        <v>10685.2487</v>
      </c>
      <c r="L283" s="453">
        <f t="shared" si="32"/>
        <v>5.7882925309536296E-3</v>
      </c>
    </row>
    <row r="284" spans="1:15" x14ac:dyDescent="0.25">
      <c r="A284" s="397"/>
      <c r="B284" s="1383" t="s">
        <v>2287</v>
      </c>
      <c r="C284" s="1383"/>
      <c r="D284" s="1383"/>
      <c r="E284" s="1383"/>
      <c r="F284" s="1383"/>
      <c r="G284" s="407"/>
      <c r="H284" s="407"/>
      <c r="I284" s="429"/>
      <c r="J284" s="408">
        <f>J285+J286+J287+J288+J289</f>
        <v>0</v>
      </c>
      <c r="K284" s="408">
        <f>K285+K286+K287+K288+K289</f>
        <v>10685.2487</v>
      </c>
      <c r="L284" s="454">
        <f t="shared" si="32"/>
        <v>5.7882925309536296E-3</v>
      </c>
    </row>
    <row r="285" spans="1:15" s="115" customFormat="1" x14ac:dyDescent="0.25">
      <c r="A285" s="396"/>
      <c r="B285" s="1405">
        <v>27000</v>
      </c>
      <c r="C285" s="1405"/>
      <c r="D285" s="1405"/>
      <c r="E285" s="1013">
        <v>333903000000000</v>
      </c>
      <c r="F285" s="1014" t="s">
        <v>7176</v>
      </c>
      <c r="G285" s="1008">
        <v>1</v>
      </c>
      <c r="H285" s="1008">
        <v>0</v>
      </c>
      <c r="I285" s="1009"/>
      <c r="J285" s="1011">
        <f>('Parâmetros financeiros Despesa'!E323+'Parâmetros financeiros Despesa'!E324)</f>
        <v>0</v>
      </c>
      <c r="K285" s="1011">
        <f>('Parâmetros financeiros Despesa'!F323+'Parâmetros financeiros Despesa'!F324)*(1+'Parâmetros financeiros Despesa'!F$4)*(1+'Parâmetros financeiros Despesa'!F$7)</f>
        <v>2180.663</v>
      </c>
      <c r="L285" s="1012">
        <f t="shared" si="32"/>
        <v>1.1812841899905367E-3</v>
      </c>
      <c r="M285" s="894"/>
      <c r="N285" s="894"/>
      <c r="O285" s="733"/>
    </row>
    <row r="286" spans="1:15" s="115" customFormat="1" x14ac:dyDescent="0.25">
      <c r="A286" s="396"/>
      <c r="B286" s="1015"/>
      <c r="C286" s="1015"/>
      <c r="D286" s="1015" t="s">
        <v>7206</v>
      </c>
      <c r="E286" s="1013">
        <v>333903600000000</v>
      </c>
      <c r="F286" s="1014" t="s">
        <v>7177</v>
      </c>
      <c r="G286" s="1008">
        <v>1</v>
      </c>
      <c r="H286" s="1008">
        <v>0</v>
      </c>
      <c r="I286" s="1009"/>
      <c r="J286" s="1011">
        <f>('Parâmetros financeiros Despesa'!E325)</f>
        <v>0</v>
      </c>
      <c r="K286" s="1011">
        <f>('Parâmetros financeiros Despesa'!F325)*(1+'Parâmetros financeiros Despesa'!F$4)*(1+'Parâmetros financeiros Despesa'!F$7)</f>
        <v>1090.3315</v>
      </c>
      <c r="L286" s="1012">
        <f t="shared" si="32"/>
        <v>5.9064209499526833E-4</v>
      </c>
      <c r="M286" s="894"/>
      <c r="N286" s="894"/>
      <c r="O286" s="733"/>
    </row>
    <row r="287" spans="1:15" s="115" customFormat="1" x14ac:dyDescent="0.25">
      <c r="A287" s="396"/>
      <c r="B287" s="1404" t="s">
        <v>7208</v>
      </c>
      <c r="C287" s="1404"/>
      <c r="D287" s="1404"/>
      <c r="E287" s="1013">
        <v>333903900000000</v>
      </c>
      <c r="F287" s="1014" t="s">
        <v>7178</v>
      </c>
      <c r="G287" s="1008">
        <v>1</v>
      </c>
      <c r="H287" s="1008">
        <v>0</v>
      </c>
      <c r="I287" s="1009"/>
      <c r="J287" s="1011">
        <f>('Parâmetros financeiros Despesa'!E326+'Parâmetros financeiros Despesa'!E327)</f>
        <v>0</v>
      </c>
      <c r="K287" s="1011">
        <f>('Parâmetros financeiros Despesa'!F326+'Parâmetros financeiros Despesa'!F327)*(1+'Parâmetros financeiros Despesa'!F$4)*(1+'Parâmetros financeiros Despesa'!F$7)</f>
        <v>3270.9945000000002</v>
      </c>
      <c r="L287" s="1012">
        <f t="shared" si="32"/>
        <v>1.7719262849858052E-3</v>
      </c>
      <c r="M287" s="894"/>
      <c r="N287" s="894"/>
      <c r="O287" s="733"/>
    </row>
    <row r="288" spans="1:15" s="115" customFormat="1" x14ac:dyDescent="0.25">
      <c r="A288" s="396"/>
      <c r="B288" s="1404" t="s">
        <v>7209</v>
      </c>
      <c r="C288" s="1404"/>
      <c r="D288" s="1404"/>
      <c r="E288" s="1013">
        <v>333904700000000</v>
      </c>
      <c r="F288" s="1014" t="s">
        <v>7179</v>
      </c>
      <c r="G288" s="1008">
        <v>1</v>
      </c>
      <c r="H288" s="1008">
        <v>0</v>
      </c>
      <c r="I288" s="1009"/>
      <c r="J288" s="1011">
        <f>('Parâmetros financeiros Despesa'!E324+'Parâmetros financeiros Despesa'!E326+'Parâmetros financeiros Despesa'!E327)</f>
        <v>0</v>
      </c>
      <c r="K288" s="1011">
        <f>('Parâmetros financeiros Despesa'!F324+'Parâmetros financeiros Despesa'!F326+'Parâmetros financeiros Despesa'!F327)*((1+'Parâmetros financeiros Despesa'!F$4)*(1+'Parâmetros financeiros Despesa'!F$7))*('Parâmetros financeiros Despesa'!F$83)</f>
        <v>872.26520000000005</v>
      </c>
      <c r="L288" s="1012">
        <f t="shared" si="32"/>
        <v>4.7251367599621471E-4</v>
      </c>
      <c r="M288" s="894"/>
      <c r="N288" s="894"/>
      <c r="O288" s="733"/>
    </row>
    <row r="289" spans="1:15" s="457" customFormat="1" x14ac:dyDescent="0.25">
      <c r="A289" s="396"/>
      <c r="B289" s="1404" t="s">
        <v>7210</v>
      </c>
      <c r="C289" s="1404"/>
      <c r="D289" s="1404"/>
      <c r="E289" s="1013">
        <v>344905200000000</v>
      </c>
      <c r="F289" s="1014" t="s">
        <v>7180</v>
      </c>
      <c r="G289" s="1008">
        <v>1</v>
      </c>
      <c r="H289" s="1008">
        <v>0</v>
      </c>
      <c r="I289" s="1009"/>
      <c r="J289" s="1011">
        <f>('Parâmetros financeiros Despesa'!E328)</f>
        <v>0</v>
      </c>
      <c r="K289" s="1011">
        <f>('Parâmetros financeiros Despesa'!F328)*((1+'Parâmetros financeiros Despesa'!F$4)*(1+'Parâmetros financeiros Despesa'!F$7))</f>
        <v>3270.9945000000002</v>
      </c>
      <c r="L289" s="1012">
        <f t="shared" si="32"/>
        <v>1.7719262849858052E-3</v>
      </c>
      <c r="M289" s="894"/>
      <c r="N289" s="796"/>
      <c r="O289" s="734"/>
    </row>
    <row r="290" spans="1:15" x14ac:dyDescent="0.25">
      <c r="A290" s="397"/>
      <c r="B290" s="1385" t="s">
        <v>7153</v>
      </c>
      <c r="C290" s="1385"/>
      <c r="D290" s="1385"/>
      <c r="E290" s="1385"/>
      <c r="F290" s="1385"/>
      <c r="G290" s="401"/>
      <c r="H290" s="401"/>
      <c r="I290" s="426"/>
      <c r="J290" s="402">
        <f t="shared" ref="J290:K292" si="34">J291</f>
        <v>9780.5999999999985</v>
      </c>
      <c r="K290" s="402">
        <f t="shared" si="34"/>
        <v>14916.389118899999</v>
      </c>
      <c r="L290" s="451">
        <f t="shared" ref="L290:L353" si="35">K290/K$453</f>
        <v>8.0803382447922675E-3</v>
      </c>
    </row>
    <row r="291" spans="1:15" x14ac:dyDescent="0.25">
      <c r="A291" s="397"/>
      <c r="B291" s="1386" t="s">
        <v>7211</v>
      </c>
      <c r="C291" s="1386"/>
      <c r="D291" s="1386"/>
      <c r="E291" s="1386"/>
      <c r="F291" s="1386"/>
      <c r="G291" s="403"/>
      <c r="H291" s="403"/>
      <c r="I291" s="427"/>
      <c r="J291" s="404">
        <f t="shared" si="34"/>
        <v>9780.5999999999985</v>
      </c>
      <c r="K291" s="404">
        <f t="shared" si="34"/>
        <v>14916.389118899999</v>
      </c>
      <c r="L291" s="452">
        <f t="shared" si="35"/>
        <v>8.0803382447922675E-3</v>
      </c>
    </row>
    <row r="292" spans="1:15" x14ac:dyDescent="0.25">
      <c r="A292" s="397"/>
      <c r="B292" s="1382" t="s">
        <v>7213</v>
      </c>
      <c r="C292" s="1382"/>
      <c r="D292" s="1382"/>
      <c r="E292" s="1382"/>
      <c r="F292" s="1382"/>
      <c r="G292" s="405"/>
      <c r="H292" s="405"/>
      <c r="I292" s="428"/>
      <c r="J292" s="406">
        <f t="shared" si="34"/>
        <v>9780.5999999999985</v>
      </c>
      <c r="K292" s="406">
        <f t="shared" si="34"/>
        <v>14916.389118899999</v>
      </c>
      <c r="L292" s="453">
        <f t="shared" si="35"/>
        <v>8.0803382447922675E-3</v>
      </c>
    </row>
    <row r="293" spans="1:15" x14ac:dyDescent="0.25">
      <c r="A293" s="397"/>
      <c r="B293" s="1383" t="s">
        <v>7214</v>
      </c>
      <c r="C293" s="1383"/>
      <c r="D293" s="1383"/>
      <c r="E293" s="1383"/>
      <c r="F293" s="1383"/>
      <c r="G293" s="407"/>
      <c r="H293" s="407"/>
      <c r="I293" s="429"/>
      <c r="J293" s="408">
        <f>SUM(J294:J298)</f>
        <v>9780.5999999999985</v>
      </c>
      <c r="K293" s="408">
        <f>SUM(K294:K298)</f>
        <v>14916.389118899999</v>
      </c>
      <c r="L293" s="454">
        <f t="shared" si="35"/>
        <v>8.0803382447922675E-3</v>
      </c>
    </row>
    <row r="294" spans="1:15" s="115" customFormat="1" x14ac:dyDescent="0.25">
      <c r="A294" s="396"/>
      <c r="B294" s="1398" t="s">
        <v>7220</v>
      </c>
      <c r="C294" s="1398"/>
      <c r="D294" s="1398"/>
      <c r="E294" s="854">
        <v>333904700000000</v>
      </c>
      <c r="F294" s="855" t="s">
        <v>7215</v>
      </c>
      <c r="G294" s="468">
        <v>1</v>
      </c>
      <c r="H294" s="468">
        <v>0</v>
      </c>
      <c r="I294" s="751"/>
      <c r="J294" s="789">
        <f>('Parâmetros financeiros Despesa'!E331+'Parâmetros financeiros Despesa'!E332+'Parâmetros financeiros Despesa'!E334)</f>
        <v>0</v>
      </c>
      <c r="K294" s="789">
        <f>('Parâmetros financeiros Despesa'!F331+'Parâmetros financeiros Despesa'!F332+'Parâmetros financeiros Despesa'!F334)*((1+'Parâmetros financeiros Despesa'!F$4)*(1+'Parâmetros financeiros Despesa'!F$7))*('Parâmetros financeiros Despesa'!F$83)</f>
        <v>436.13260000000002</v>
      </c>
      <c r="L294" s="799">
        <f t="shared" si="35"/>
        <v>2.3625683799810736E-4</v>
      </c>
      <c r="M294" s="894"/>
      <c r="N294" s="796"/>
      <c r="O294" s="733"/>
    </row>
    <row r="295" spans="1:15" s="115" customFormat="1" x14ac:dyDescent="0.25">
      <c r="A295" s="396"/>
      <c r="B295" s="1396">
        <v>28100</v>
      </c>
      <c r="C295" s="1396"/>
      <c r="D295" s="1396"/>
      <c r="E295" s="854">
        <v>333903000000000</v>
      </c>
      <c r="F295" s="855" t="s">
        <v>7216</v>
      </c>
      <c r="G295" s="468">
        <v>1</v>
      </c>
      <c r="H295" s="468">
        <v>0</v>
      </c>
      <c r="I295" s="751"/>
      <c r="J295" s="789">
        <f>('Parâmetros financeiros Despesa'!E330+'Parâmetros financeiros Despesa'!E331)</f>
        <v>0</v>
      </c>
      <c r="K295" s="789">
        <f>('Parâmetros financeiros Despesa'!F330+'Parâmetros financeiros Despesa'!F331)*((1+'Parâmetros financeiros Despesa'!F$4)*(1+'Parâmetros financeiros Despesa'!F$7))</f>
        <v>1090.3315</v>
      </c>
      <c r="L295" s="799">
        <f t="shared" si="35"/>
        <v>5.9064209499526833E-4</v>
      </c>
      <c r="M295" s="894"/>
      <c r="N295" s="796"/>
      <c r="O295" s="733"/>
    </row>
    <row r="296" spans="1:15" s="115" customFormat="1" x14ac:dyDescent="0.25">
      <c r="A296" s="396"/>
      <c r="B296" s="1004"/>
      <c r="C296" s="1004"/>
      <c r="D296" s="1004" t="s">
        <v>7221</v>
      </c>
      <c r="E296" s="854">
        <v>333903600000000</v>
      </c>
      <c r="F296" s="855" t="s">
        <v>7217</v>
      </c>
      <c r="G296" s="468">
        <v>1</v>
      </c>
      <c r="H296" s="468">
        <v>0</v>
      </c>
      <c r="I296" s="751"/>
      <c r="J296" s="789">
        <f>('Parâmetros financeiros Despesa'!E332)</f>
        <v>0</v>
      </c>
      <c r="K296" s="789">
        <f>('Parâmetros financeiros Despesa'!F332)*((1+'Parâmetros financeiros Despesa'!F$4)*(1+'Parâmetros financeiros Despesa'!F$7))</f>
        <v>1090.3315</v>
      </c>
      <c r="L296" s="799">
        <f t="shared" si="35"/>
        <v>5.9064209499526833E-4</v>
      </c>
      <c r="M296" s="894"/>
      <c r="N296" s="796"/>
      <c r="O296" s="733"/>
    </row>
    <row r="297" spans="1:15" s="115" customFormat="1" x14ac:dyDescent="0.25">
      <c r="A297" s="396"/>
      <c r="B297" s="1398" t="s">
        <v>7222</v>
      </c>
      <c r="C297" s="1398"/>
      <c r="D297" s="1398"/>
      <c r="E297" s="854">
        <v>333903900000000</v>
      </c>
      <c r="F297" s="855" t="s">
        <v>7218</v>
      </c>
      <c r="G297" s="468">
        <v>1</v>
      </c>
      <c r="H297" s="468">
        <v>0</v>
      </c>
      <c r="I297" s="751"/>
      <c r="J297" s="789">
        <f>('Parâmetros financeiros Despesa'!E333+'Parâmetros financeiros Despesa'!E334)</f>
        <v>0</v>
      </c>
      <c r="K297" s="789">
        <f>('Parâmetros financeiros Despesa'!F333+'Parâmetros financeiros Despesa'!F334)*((1+'Parâmetros financeiros Despesa'!F$4)*(1+'Parâmetros financeiros Despesa'!F$7))</f>
        <v>1635.4972500000001</v>
      </c>
      <c r="L297" s="799">
        <f t="shared" si="35"/>
        <v>8.859631424929026E-4</v>
      </c>
      <c r="M297" s="894"/>
      <c r="N297" s="796"/>
      <c r="O297" s="733"/>
    </row>
    <row r="298" spans="1:15" s="457" customFormat="1" x14ac:dyDescent="0.25">
      <c r="A298" s="396"/>
      <c r="B298" s="1398" t="s">
        <v>7223</v>
      </c>
      <c r="C298" s="1398"/>
      <c r="D298" s="1398"/>
      <c r="E298" s="854">
        <v>344905100000000</v>
      </c>
      <c r="F298" s="855" t="s">
        <v>7224</v>
      </c>
      <c r="G298" s="468">
        <v>1</v>
      </c>
      <c r="H298" s="468">
        <v>0</v>
      </c>
      <c r="I298" s="751"/>
      <c r="J298" s="789">
        <f>('Parâmetros financeiros Despesa'!E335)</f>
        <v>9780.5999999999985</v>
      </c>
      <c r="K298" s="789">
        <f>('Parâmetros financeiros Despesa'!F335)*((1+'Parâmetros financeiros Despesa'!F$4)*(1+'Parâmetros financeiros Despesa'!F$7))</f>
        <v>10664.096268899999</v>
      </c>
      <c r="L298" s="799">
        <f t="shared" si="35"/>
        <v>5.7768340743107214E-3</v>
      </c>
      <c r="M298" s="894"/>
      <c r="N298" s="796"/>
      <c r="O298" s="734"/>
    </row>
    <row r="299" spans="1:15" x14ac:dyDescent="0.25">
      <c r="A299" s="397"/>
      <c r="B299" s="1385" t="s">
        <v>7153</v>
      </c>
      <c r="C299" s="1385"/>
      <c r="D299" s="1385"/>
      <c r="E299" s="1385"/>
      <c r="F299" s="1385"/>
      <c r="G299" s="401">
        <v>1087</v>
      </c>
      <c r="H299" s="401">
        <v>0</v>
      </c>
      <c r="I299" s="426"/>
      <c r="J299" s="402">
        <f t="shared" ref="J299:K302" si="36">J300</f>
        <v>0</v>
      </c>
      <c r="K299" s="402">
        <f t="shared" si="36"/>
        <v>30000</v>
      </c>
      <c r="L299" s="451">
        <f t="shared" si="35"/>
        <v>1.6251261978451555E-2</v>
      </c>
    </row>
    <row r="300" spans="1:15" x14ac:dyDescent="0.25">
      <c r="A300" s="397"/>
      <c r="B300" s="1386" t="s">
        <v>7325</v>
      </c>
      <c r="C300" s="1386"/>
      <c r="D300" s="1386"/>
      <c r="E300" s="1386"/>
      <c r="F300" s="1386"/>
      <c r="G300" s="403">
        <v>1087</v>
      </c>
      <c r="H300" s="403">
        <v>0</v>
      </c>
      <c r="I300" s="427"/>
      <c r="J300" s="404">
        <f t="shared" si="36"/>
        <v>0</v>
      </c>
      <c r="K300" s="404">
        <f t="shared" si="36"/>
        <v>30000</v>
      </c>
      <c r="L300" s="452">
        <f t="shared" si="35"/>
        <v>1.6251261978451555E-2</v>
      </c>
    </row>
    <row r="301" spans="1:15" x14ac:dyDescent="0.25">
      <c r="A301" s="397"/>
      <c r="B301" s="1382" t="s">
        <v>7213</v>
      </c>
      <c r="C301" s="1382"/>
      <c r="D301" s="1382"/>
      <c r="E301" s="1382"/>
      <c r="F301" s="1382"/>
      <c r="G301" s="405">
        <v>1087</v>
      </c>
      <c r="H301" s="405">
        <v>0</v>
      </c>
      <c r="I301" s="428"/>
      <c r="J301" s="406">
        <f t="shared" si="36"/>
        <v>0</v>
      </c>
      <c r="K301" s="406">
        <f t="shared" si="36"/>
        <v>30000</v>
      </c>
      <c r="L301" s="453">
        <f t="shared" si="35"/>
        <v>1.6251261978451555E-2</v>
      </c>
    </row>
    <row r="302" spans="1:15" x14ac:dyDescent="0.25">
      <c r="A302" s="397"/>
      <c r="B302" s="1383" t="s">
        <v>7214</v>
      </c>
      <c r="C302" s="1383"/>
      <c r="D302" s="1383"/>
      <c r="E302" s="1383"/>
      <c r="F302" s="1383"/>
      <c r="G302" s="407">
        <v>1087</v>
      </c>
      <c r="H302" s="407">
        <v>0</v>
      </c>
      <c r="I302" s="429"/>
      <c r="J302" s="408">
        <f t="shared" si="36"/>
        <v>0</v>
      </c>
      <c r="K302" s="408">
        <f t="shared" si="36"/>
        <v>30000</v>
      </c>
      <c r="L302" s="454">
        <f t="shared" si="35"/>
        <v>1.6251261978451555E-2</v>
      </c>
    </row>
    <row r="303" spans="1:15" s="115" customFormat="1" x14ac:dyDescent="0.25">
      <c r="A303" s="396"/>
      <c r="B303" s="1398" t="s">
        <v>7408</v>
      </c>
      <c r="C303" s="1398"/>
      <c r="D303" s="1398"/>
      <c r="E303" s="854">
        <v>333903900000000</v>
      </c>
      <c r="F303" s="855" t="s">
        <v>7245</v>
      </c>
      <c r="G303" s="468">
        <v>1087</v>
      </c>
      <c r="H303" s="468">
        <v>0</v>
      </c>
      <c r="I303" s="751"/>
      <c r="J303" s="789">
        <f>('Parâmetros financeiros Despesa'!E337)</f>
        <v>0</v>
      </c>
      <c r="K303" s="789">
        <f>('Parâmetros financeiros Despesa'!F337)</f>
        <v>30000</v>
      </c>
      <c r="L303" s="799">
        <f t="shared" si="35"/>
        <v>1.6251261978451555E-2</v>
      </c>
      <c r="M303" s="894"/>
      <c r="O303" s="733"/>
    </row>
    <row r="304" spans="1:15" x14ac:dyDescent="0.25">
      <c r="A304" s="397"/>
      <c r="B304" s="1385" t="s">
        <v>7153</v>
      </c>
      <c r="C304" s="1385"/>
      <c r="D304" s="1385"/>
      <c r="E304" s="1385"/>
      <c r="F304" s="1385"/>
      <c r="G304" s="401"/>
      <c r="H304" s="401"/>
      <c r="I304" s="426"/>
      <c r="J304" s="402">
        <f t="shared" ref="J304:K306" si="37">J305</f>
        <v>1654.8600000000001</v>
      </c>
      <c r="K304" s="402">
        <f t="shared" si="37"/>
        <v>7801.1692360900015</v>
      </c>
      <c r="L304" s="451">
        <f t="shared" si="35"/>
        <v>4.2259614997978466E-3</v>
      </c>
    </row>
    <row r="305" spans="1:15" x14ac:dyDescent="0.25">
      <c r="A305" s="397"/>
      <c r="B305" s="1386" t="s">
        <v>7212</v>
      </c>
      <c r="C305" s="1386"/>
      <c r="D305" s="1386"/>
      <c r="E305" s="1386"/>
      <c r="F305" s="1386"/>
      <c r="G305" s="403"/>
      <c r="H305" s="403"/>
      <c r="I305" s="427"/>
      <c r="J305" s="404">
        <f t="shared" si="37"/>
        <v>1654.8600000000001</v>
      </c>
      <c r="K305" s="404">
        <f t="shared" si="37"/>
        <v>7801.1692360900015</v>
      </c>
      <c r="L305" s="452">
        <f t="shared" si="35"/>
        <v>4.2259614997978466E-3</v>
      </c>
    </row>
    <row r="306" spans="1:15" x14ac:dyDescent="0.25">
      <c r="A306" s="397"/>
      <c r="B306" s="1382" t="s">
        <v>7213</v>
      </c>
      <c r="C306" s="1382"/>
      <c r="D306" s="1382"/>
      <c r="E306" s="1382"/>
      <c r="F306" s="1382"/>
      <c r="G306" s="405"/>
      <c r="H306" s="405"/>
      <c r="I306" s="428"/>
      <c r="J306" s="406">
        <f t="shared" si="37"/>
        <v>1654.8600000000001</v>
      </c>
      <c r="K306" s="406">
        <f t="shared" si="37"/>
        <v>7801.1692360900015</v>
      </c>
      <c r="L306" s="453">
        <f t="shared" si="35"/>
        <v>4.2259614997978466E-3</v>
      </c>
    </row>
    <row r="307" spans="1:15" x14ac:dyDescent="0.25">
      <c r="A307" s="397"/>
      <c r="B307" s="1383" t="s">
        <v>7214</v>
      </c>
      <c r="C307" s="1383"/>
      <c r="D307" s="1383"/>
      <c r="E307" s="1383"/>
      <c r="F307" s="1383"/>
      <c r="G307" s="407"/>
      <c r="H307" s="407"/>
      <c r="I307" s="429"/>
      <c r="J307" s="408">
        <f>SUM(J308:J313)</f>
        <v>1654.8600000000001</v>
      </c>
      <c r="K307" s="408">
        <f>SUM(K308:K313)</f>
        <v>7801.1692360900015</v>
      </c>
      <c r="L307" s="454">
        <f t="shared" si="35"/>
        <v>4.2259614997978466E-3</v>
      </c>
    </row>
    <row r="308" spans="1:15" s="115" customFormat="1" x14ac:dyDescent="0.25">
      <c r="A308" s="396"/>
      <c r="B308" s="1398" t="s">
        <v>7225</v>
      </c>
      <c r="C308" s="1398"/>
      <c r="D308" s="1398"/>
      <c r="E308" s="854">
        <v>333903000000000</v>
      </c>
      <c r="F308" s="855" t="s">
        <v>7229</v>
      </c>
      <c r="G308" s="468">
        <v>1</v>
      </c>
      <c r="H308" s="468">
        <v>0</v>
      </c>
      <c r="I308" s="751"/>
      <c r="J308" s="789">
        <f>('Parâmetros financeiros Despesa'!E340+'Parâmetros financeiros Despesa'!E341)</f>
        <v>0</v>
      </c>
      <c r="K308" s="789">
        <f>('Parâmetros financeiros Despesa'!F340+'Parâmetros financeiros Despesa'!F341)*((1+'Parâmetros financeiros Despesa'!F$4)*(1+'Parâmetros financeiros Despesa'!F$7))</f>
        <v>1090.3315</v>
      </c>
      <c r="L308" s="799">
        <f t="shared" si="35"/>
        <v>5.9064209499526833E-4</v>
      </c>
      <c r="M308" s="894"/>
      <c r="N308" s="796"/>
      <c r="O308" s="733"/>
    </row>
    <row r="309" spans="1:15" s="115" customFormat="1" x14ac:dyDescent="0.25">
      <c r="A309" s="396"/>
      <c r="B309" s="1396">
        <v>29100</v>
      </c>
      <c r="C309" s="1396"/>
      <c r="D309" s="1396"/>
      <c r="E309" s="854">
        <v>333903600000000</v>
      </c>
      <c r="F309" s="855" t="s">
        <v>7231</v>
      </c>
      <c r="G309" s="468">
        <v>1</v>
      </c>
      <c r="H309" s="468">
        <v>0</v>
      </c>
      <c r="I309" s="751"/>
      <c r="J309" s="789">
        <f>('Parâmetros financeiros Despesa'!E342)</f>
        <v>0</v>
      </c>
      <c r="K309" s="789">
        <f>('Parâmetros financeiros Despesa'!F342)*((1+'Parâmetros financeiros Despesa'!F$4)*(1+'Parâmetros financeiros Despesa'!F$7))</f>
        <v>1635.4972500000001</v>
      </c>
      <c r="L309" s="799">
        <f t="shared" si="35"/>
        <v>8.859631424929026E-4</v>
      </c>
      <c r="M309" s="894"/>
      <c r="N309" s="796"/>
      <c r="O309" s="733"/>
    </row>
    <row r="310" spans="1:15" s="115" customFormat="1" x14ac:dyDescent="0.25">
      <c r="A310" s="396"/>
      <c r="B310" s="1398" t="s">
        <v>7226</v>
      </c>
      <c r="C310" s="1398"/>
      <c r="D310" s="1398"/>
      <c r="E310" s="854">
        <v>333903900000000</v>
      </c>
      <c r="F310" s="855" t="s">
        <v>7233</v>
      </c>
      <c r="G310" s="468">
        <v>1</v>
      </c>
      <c r="H310" s="468">
        <v>0</v>
      </c>
      <c r="I310" s="751"/>
      <c r="J310" s="789">
        <f>('Parâmetros financeiros Despesa'!E343+'Parâmetros financeiros Despesa'!E344)</f>
        <v>1654.8600000000001</v>
      </c>
      <c r="K310" s="789">
        <f>('Parâmetros financeiros Despesa'!F343+'Parâmetros financeiros Despesa'!F344)*((1+'Parâmetros financeiros Despesa'!F$4)*(1+'Parâmetros financeiros Despesa'!F$7))</f>
        <v>2349.5117360900003</v>
      </c>
      <c r="L310" s="799">
        <f t="shared" si="35"/>
        <v>1.2727510248215041E-3</v>
      </c>
      <c r="M310" s="894"/>
      <c r="N310" s="796"/>
      <c r="O310" s="733"/>
    </row>
    <row r="311" spans="1:15" s="115" customFormat="1" x14ac:dyDescent="0.25">
      <c r="A311" s="396"/>
      <c r="B311" s="1398" t="s">
        <v>7227</v>
      </c>
      <c r="C311" s="1398"/>
      <c r="D311" s="1398"/>
      <c r="E311" s="854">
        <v>333904700000000</v>
      </c>
      <c r="F311" s="855" t="s">
        <v>7234</v>
      </c>
      <c r="G311" s="468">
        <v>1</v>
      </c>
      <c r="H311" s="468">
        <v>0</v>
      </c>
      <c r="I311" s="751"/>
      <c r="J311" s="789">
        <f>('Parâmetros financeiros Despesa'!E341+'Parâmetros financeiros Despesa'!E342+'Parâmetros financeiros Despesa'!E344)</f>
        <v>0</v>
      </c>
      <c r="K311" s="789">
        <f>('Parâmetros financeiros Despesa'!F341+'Parâmetros financeiros Despesa'!F342+'Parâmetros financeiros Despesa'!F344)*((1+'Parâmetros financeiros Despesa'!F$4)*(1+'Parâmetros financeiros Despesa'!F$7))*('Parâmetros financeiros Despesa'!F$83)</f>
        <v>545.16575</v>
      </c>
      <c r="L311" s="799">
        <f t="shared" si="35"/>
        <v>2.9532104749763416E-4</v>
      </c>
      <c r="M311" s="894"/>
      <c r="N311" s="796"/>
      <c r="O311" s="733"/>
    </row>
    <row r="312" spans="1:15" s="457" customFormat="1" x14ac:dyDescent="0.25">
      <c r="A312" s="396"/>
      <c r="B312" s="1398" t="s">
        <v>7228</v>
      </c>
      <c r="C312" s="1398"/>
      <c r="D312" s="1398"/>
      <c r="E312" s="854">
        <v>344905100000000</v>
      </c>
      <c r="F312" s="855" t="s">
        <v>7236</v>
      </c>
      <c r="G312" s="468">
        <v>1</v>
      </c>
      <c r="H312" s="468">
        <v>0</v>
      </c>
      <c r="I312" s="751"/>
      <c r="J312" s="789">
        <f>('Parâmetros financeiros Despesa'!E345)</f>
        <v>0</v>
      </c>
      <c r="K312" s="789">
        <f>('Parâmetros financeiros Despesa'!F345)*((1+'Parâmetros financeiros Despesa'!F$4)*(1+'Parâmetros financeiros Despesa'!F$7))</f>
        <v>1090.3315</v>
      </c>
      <c r="L312" s="799">
        <f t="shared" si="35"/>
        <v>5.9064209499526833E-4</v>
      </c>
      <c r="M312" s="894"/>
      <c r="N312" s="796"/>
      <c r="O312" s="734"/>
    </row>
    <row r="313" spans="1:15" s="457" customFormat="1" x14ac:dyDescent="0.25">
      <c r="A313" s="396"/>
      <c r="B313" s="1398" t="s">
        <v>7230</v>
      </c>
      <c r="C313" s="1398"/>
      <c r="D313" s="1398"/>
      <c r="E313" s="854">
        <v>344905200000000</v>
      </c>
      <c r="F313" s="855" t="s">
        <v>7235</v>
      </c>
      <c r="G313" s="468">
        <v>1</v>
      </c>
      <c r="H313" s="468">
        <v>0</v>
      </c>
      <c r="I313" s="751"/>
      <c r="J313" s="789">
        <f>('Parâmetros financeiros Despesa'!E346)</f>
        <v>0</v>
      </c>
      <c r="K313" s="789">
        <f>('Parâmetros financeiros Despesa'!F346)*((1+'Parâmetros financeiros Despesa'!F$4)*(1+'Parâmetros financeiros Despesa'!F$7))</f>
        <v>1090.3315</v>
      </c>
      <c r="L313" s="799">
        <f t="shared" si="35"/>
        <v>5.9064209499526833E-4</v>
      </c>
      <c r="M313" s="894"/>
      <c r="N313" s="796"/>
      <c r="O313" s="734"/>
    </row>
    <row r="314" spans="1:15" x14ac:dyDescent="0.25">
      <c r="A314" s="397"/>
      <c r="B314" s="1385" t="s">
        <v>7153</v>
      </c>
      <c r="C314" s="1385"/>
      <c r="D314" s="1385"/>
      <c r="E314" s="1385"/>
      <c r="F314" s="1385"/>
      <c r="G314" s="401"/>
      <c r="H314" s="401"/>
      <c r="I314" s="426"/>
      <c r="J314" s="402">
        <f t="shared" ref="J314:K316" si="38">J315</f>
        <v>81777.525000000009</v>
      </c>
      <c r="K314" s="402">
        <f t="shared" si="38"/>
        <v>78261.296499537508</v>
      </c>
      <c r="L314" s="451">
        <f t="shared" si="35"/>
        <v>4.2394827739575251E-2</v>
      </c>
    </row>
    <row r="315" spans="1:15" x14ac:dyDescent="0.25">
      <c r="A315" s="397"/>
      <c r="B315" s="1386" t="s">
        <v>7242</v>
      </c>
      <c r="C315" s="1386"/>
      <c r="D315" s="1386"/>
      <c r="E315" s="1386"/>
      <c r="F315" s="1386"/>
      <c r="G315" s="403"/>
      <c r="H315" s="403"/>
      <c r="I315" s="427"/>
      <c r="J315" s="404">
        <f t="shared" si="38"/>
        <v>81777.525000000009</v>
      </c>
      <c r="K315" s="404">
        <f t="shared" si="38"/>
        <v>78261.296499537508</v>
      </c>
      <c r="L315" s="452">
        <f t="shared" si="35"/>
        <v>4.2394827739575251E-2</v>
      </c>
    </row>
    <row r="316" spans="1:15" x14ac:dyDescent="0.25">
      <c r="A316" s="397"/>
      <c r="B316" s="1382" t="s">
        <v>7213</v>
      </c>
      <c r="C316" s="1382"/>
      <c r="D316" s="1382"/>
      <c r="E316" s="1382"/>
      <c r="F316" s="1382"/>
      <c r="G316" s="405"/>
      <c r="H316" s="405"/>
      <c r="I316" s="428"/>
      <c r="J316" s="406">
        <f t="shared" si="38"/>
        <v>81777.525000000009</v>
      </c>
      <c r="K316" s="406">
        <f t="shared" si="38"/>
        <v>78261.296499537508</v>
      </c>
      <c r="L316" s="453">
        <f t="shared" si="35"/>
        <v>4.2394827739575251E-2</v>
      </c>
    </row>
    <row r="317" spans="1:15" x14ac:dyDescent="0.25">
      <c r="A317" s="397"/>
      <c r="B317" s="1383" t="s">
        <v>7214</v>
      </c>
      <c r="C317" s="1383"/>
      <c r="D317" s="1383"/>
      <c r="E317" s="1383"/>
      <c r="F317" s="1383"/>
      <c r="G317" s="407"/>
      <c r="H317" s="407"/>
      <c r="I317" s="429"/>
      <c r="J317" s="408">
        <f>SUM(J318:J323)</f>
        <v>81777.525000000009</v>
      </c>
      <c r="K317" s="408">
        <f>SUM(K318:K323)</f>
        <v>78261.296499537508</v>
      </c>
      <c r="L317" s="454">
        <f t="shared" si="35"/>
        <v>4.2394827739575251E-2</v>
      </c>
    </row>
    <row r="318" spans="1:15" s="115" customFormat="1" x14ac:dyDescent="0.25">
      <c r="A318" s="396"/>
      <c r="B318" s="1398" t="s">
        <v>7237</v>
      </c>
      <c r="C318" s="1398"/>
      <c r="D318" s="1398"/>
      <c r="E318" s="854">
        <v>333903000000000</v>
      </c>
      <c r="F318" s="855" t="s">
        <v>7243</v>
      </c>
      <c r="G318" s="468">
        <v>1</v>
      </c>
      <c r="H318" s="468">
        <v>0</v>
      </c>
      <c r="I318" s="751"/>
      <c r="J318" s="789">
        <f>('Parâmetros financeiros Despesa'!E348+'Parâmetros financeiros Despesa'!E349)</f>
        <v>13820.115</v>
      </c>
      <c r="K318" s="789">
        <f>('Parâmetros financeiros Despesa'!F348+'Parâmetros financeiros Despesa'!F349)*((1+'Parâmetros financeiros Despesa'!F$4)*(1+'Parâmetros financeiros Despesa'!F$7))</f>
        <v>15613.672468122501</v>
      </c>
      <c r="L318" s="799">
        <f t="shared" si="35"/>
        <v>8.4580627241731682E-3</v>
      </c>
      <c r="M318" s="894"/>
      <c r="O318" s="733"/>
    </row>
    <row r="319" spans="1:15" s="115" customFormat="1" x14ac:dyDescent="0.25">
      <c r="A319" s="396"/>
      <c r="B319" s="1396">
        <v>30100</v>
      </c>
      <c r="C319" s="1396"/>
      <c r="D319" s="1396"/>
      <c r="E319" s="854">
        <v>333903600000000</v>
      </c>
      <c r="F319" s="855" t="s">
        <v>7244</v>
      </c>
      <c r="G319" s="468">
        <v>1</v>
      </c>
      <c r="H319" s="468">
        <v>0</v>
      </c>
      <c r="I319" s="751"/>
      <c r="J319" s="789">
        <f>('Parâmetros financeiros Despesa'!E350)</f>
        <v>0</v>
      </c>
      <c r="K319" s="789">
        <f>('Parâmetros financeiros Despesa'!F350)*((1+'Parâmetros financeiros Despesa'!F$4)*(1+'Parâmetros financeiros Despesa'!F$7))</f>
        <v>1635.4972500000001</v>
      </c>
      <c r="L319" s="799">
        <f t="shared" si="35"/>
        <v>8.859631424929026E-4</v>
      </c>
      <c r="M319" s="894"/>
      <c r="N319" s="796"/>
      <c r="O319" s="733"/>
    </row>
    <row r="320" spans="1:15" s="115" customFormat="1" x14ac:dyDescent="0.25">
      <c r="A320" s="396"/>
      <c r="B320" s="1398" t="s">
        <v>7238</v>
      </c>
      <c r="C320" s="1398"/>
      <c r="D320" s="1398"/>
      <c r="E320" s="854">
        <v>333903900000000</v>
      </c>
      <c r="F320" s="855" t="s">
        <v>7245</v>
      </c>
      <c r="G320" s="468">
        <v>1</v>
      </c>
      <c r="H320" s="468">
        <v>0</v>
      </c>
      <c r="I320" s="751"/>
      <c r="J320" s="789">
        <f>('Parâmetros financeiros Despesa'!E351+'Parâmetros financeiros Despesa'!E352)</f>
        <v>67957.41</v>
      </c>
      <c r="K320" s="789">
        <f>('Parâmetros financeiros Despesa'!F351+'Parâmetros financeiros Despesa'!F352)*((1+'Parâmetros financeiros Despesa'!F$4)*(1+'Parâmetros financeiros Despesa'!F$7))</f>
        <v>58286.298031415005</v>
      </c>
      <c r="L320" s="799">
        <f t="shared" si="35"/>
        <v>3.1574196635421013E-2</v>
      </c>
      <c r="M320" s="894"/>
      <c r="N320" s="796"/>
      <c r="O320" s="733"/>
    </row>
    <row r="321" spans="1:15" s="115" customFormat="1" x14ac:dyDescent="0.25">
      <c r="A321" s="396"/>
      <c r="B321" s="1398" t="s">
        <v>7239</v>
      </c>
      <c r="C321" s="1398"/>
      <c r="D321" s="1398"/>
      <c r="E321" s="854">
        <v>333904700000000</v>
      </c>
      <c r="F321" s="855" t="s">
        <v>7246</v>
      </c>
      <c r="G321" s="468">
        <v>1</v>
      </c>
      <c r="H321" s="468">
        <v>0</v>
      </c>
      <c r="I321" s="751"/>
      <c r="J321" s="789">
        <f>('Parâmetros financeiros Despesa'!E349+'Parâmetros financeiros Despesa'!E350+'Parâmetros financeiros Despesa'!E352)</f>
        <v>0</v>
      </c>
      <c r="K321" s="789">
        <f>('Parâmetros financeiros Despesa'!F349+'Parâmetros financeiros Despesa'!F350+'Parâmetros financeiros Despesa'!F352)*((1+'Parâmetros financeiros Despesa'!F$4)*(1+'Parâmetros financeiros Despesa'!F$7))*('Parâmetros financeiros Despesa'!F$83)</f>
        <v>545.16575</v>
      </c>
      <c r="L321" s="799">
        <f t="shared" si="35"/>
        <v>2.9532104749763416E-4</v>
      </c>
      <c r="M321" s="894"/>
      <c r="N321" s="796"/>
      <c r="O321" s="733"/>
    </row>
    <row r="322" spans="1:15" s="457" customFormat="1" x14ac:dyDescent="0.25">
      <c r="A322" s="396"/>
      <c r="B322" s="1398" t="s">
        <v>7240</v>
      </c>
      <c r="C322" s="1398"/>
      <c r="D322" s="1398"/>
      <c r="E322" s="854">
        <v>344905100000000</v>
      </c>
      <c r="F322" s="855" t="s">
        <v>7247</v>
      </c>
      <c r="G322" s="468">
        <v>1</v>
      </c>
      <c r="H322" s="468">
        <v>0</v>
      </c>
      <c r="I322" s="751"/>
      <c r="J322" s="789">
        <f>('Parâmetros financeiros Despesa'!E353)</f>
        <v>0</v>
      </c>
      <c r="K322" s="789">
        <f>('Parâmetros financeiros Despesa'!F353)*((1+'Parâmetros financeiros Despesa'!F$4)*(1+'Parâmetros financeiros Despesa'!F$7))</f>
        <v>1090.3315</v>
      </c>
      <c r="L322" s="799">
        <f t="shared" si="35"/>
        <v>5.9064209499526833E-4</v>
      </c>
      <c r="M322" s="894"/>
      <c r="N322" s="796"/>
      <c r="O322" s="734"/>
    </row>
    <row r="323" spans="1:15" s="457" customFormat="1" x14ac:dyDescent="0.25">
      <c r="A323" s="396"/>
      <c r="B323" s="1398" t="s">
        <v>7241</v>
      </c>
      <c r="C323" s="1398"/>
      <c r="D323" s="1398"/>
      <c r="E323" s="854">
        <v>344905200000000</v>
      </c>
      <c r="F323" s="855" t="s">
        <v>7248</v>
      </c>
      <c r="G323" s="468">
        <v>1</v>
      </c>
      <c r="H323" s="468">
        <v>0</v>
      </c>
      <c r="I323" s="751"/>
      <c r="J323" s="789">
        <f>('Parâmetros financeiros Despesa'!E354)</f>
        <v>0</v>
      </c>
      <c r="K323" s="789">
        <f>('Parâmetros financeiros Despesa'!F354)*((1+'Parâmetros financeiros Despesa'!F$4)*(1+'Parâmetros financeiros Despesa'!F$7))</f>
        <v>1090.3315</v>
      </c>
      <c r="L323" s="799">
        <f t="shared" si="35"/>
        <v>5.9064209499526833E-4</v>
      </c>
      <c r="M323" s="894"/>
      <c r="N323" s="796"/>
      <c r="O323" s="734"/>
    </row>
    <row r="324" spans="1:15" x14ac:dyDescent="0.25">
      <c r="A324" s="397"/>
      <c r="B324" s="1385" t="s">
        <v>7153</v>
      </c>
      <c r="C324" s="1385"/>
      <c r="D324" s="1385"/>
      <c r="E324" s="1385"/>
      <c r="F324" s="1385"/>
      <c r="G324" s="401"/>
      <c r="H324" s="401"/>
      <c r="I324" s="426"/>
      <c r="J324" s="402">
        <f t="shared" ref="J324:K326" si="39">J325</f>
        <v>3529.4849999999997</v>
      </c>
      <c r="K324" s="402">
        <f t="shared" si="39"/>
        <v>10390.297674277501</v>
      </c>
      <c r="L324" s="451">
        <f t="shared" si="35"/>
        <v>5.6285149846259852E-3</v>
      </c>
    </row>
    <row r="325" spans="1:15" x14ac:dyDescent="0.25">
      <c r="A325" s="397"/>
      <c r="B325" s="1386" t="s">
        <v>7250</v>
      </c>
      <c r="C325" s="1386"/>
      <c r="D325" s="1386"/>
      <c r="E325" s="1386"/>
      <c r="F325" s="1386"/>
      <c r="G325" s="403"/>
      <c r="H325" s="403"/>
      <c r="I325" s="427"/>
      <c r="J325" s="404">
        <f t="shared" si="39"/>
        <v>3529.4849999999997</v>
      </c>
      <c r="K325" s="404">
        <f t="shared" si="39"/>
        <v>10390.297674277501</v>
      </c>
      <c r="L325" s="452">
        <f t="shared" si="35"/>
        <v>5.6285149846259852E-3</v>
      </c>
    </row>
    <row r="326" spans="1:15" x14ac:dyDescent="0.25">
      <c r="A326" s="397"/>
      <c r="B326" s="1382" t="s">
        <v>7213</v>
      </c>
      <c r="C326" s="1382"/>
      <c r="D326" s="1382"/>
      <c r="E326" s="1382"/>
      <c r="F326" s="1382"/>
      <c r="G326" s="405"/>
      <c r="H326" s="405"/>
      <c r="I326" s="428"/>
      <c r="J326" s="406">
        <f t="shared" si="39"/>
        <v>3529.4849999999997</v>
      </c>
      <c r="K326" s="406">
        <f t="shared" si="39"/>
        <v>10390.297674277501</v>
      </c>
      <c r="L326" s="453">
        <f t="shared" si="35"/>
        <v>5.6285149846259852E-3</v>
      </c>
    </row>
    <row r="327" spans="1:15" x14ac:dyDescent="0.25">
      <c r="A327" s="397"/>
      <c r="B327" s="1383" t="s">
        <v>7214</v>
      </c>
      <c r="C327" s="1383"/>
      <c r="D327" s="1383"/>
      <c r="E327" s="1383"/>
      <c r="F327" s="1383"/>
      <c r="G327" s="407"/>
      <c r="H327" s="407"/>
      <c r="I327" s="429"/>
      <c r="J327" s="408">
        <f>SUM(J328:J333)</f>
        <v>3529.4849999999997</v>
      </c>
      <c r="K327" s="408">
        <f>SUM(K328:K333)</f>
        <v>10390.297674277501</v>
      </c>
      <c r="L327" s="454">
        <f t="shared" si="35"/>
        <v>5.6285149846259852E-3</v>
      </c>
    </row>
    <row r="328" spans="1:15" s="115" customFormat="1" x14ac:dyDescent="0.25">
      <c r="A328" s="396"/>
      <c r="B328" s="1398" t="s">
        <v>7257</v>
      </c>
      <c r="C328" s="1398"/>
      <c r="D328" s="1398"/>
      <c r="E328" s="854">
        <v>333903000000000</v>
      </c>
      <c r="F328" s="855" t="s">
        <v>7251</v>
      </c>
      <c r="G328" s="468">
        <v>1</v>
      </c>
      <c r="H328" s="468">
        <v>0</v>
      </c>
      <c r="I328" s="751"/>
      <c r="J328" s="789">
        <f>('Parâmetros financeiros Despesa'!E356+'Parâmetros financeiros Despesa'!E357)</f>
        <v>0</v>
      </c>
      <c r="K328" s="789">
        <f>('Parâmetros financeiros Despesa'!F356+'Parâmetros financeiros Despesa'!F357)*((1+'Parâmetros financeiros Despesa'!F$4)*(1+'Parâmetros financeiros Despesa'!F$7))</f>
        <v>1635.4972500000001</v>
      </c>
      <c r="L328" s="799">
        <f t="shared" si="35"/>
        <v>8.859631424929026E-4</v>
      </c>
      <c r="M328" s="894"/>
      <c r="N328" s="796"/>
      <c r="O328" s="733"/>
    </row>
    <row r="329" spans="1:15" s="115" customFormat="1" x14ac:dyDescent="0.25">
      <c r="A329" s="396"/>
      <c r="B329" s="1396">
        <v>31100</v>
      </c>
      <c r="C329" s="1396"/>
      <c r="D329" s="1396"/>
      <c r="E329" s="854">
        <v>333903600000000</v>
      </c>
      <c r="F329" s="855" t="s">
        <v>7252</v>
      </c>
      <c r="G329" s="468">
        <v>1</v>
      </c>
      <c r="H329" s="468">
        <v>0</v>
      </c>
      <c r="I329" s="751"/>
      <c r="J329" s="789">
        <f>('Parâmetros financeiros Despesa'!E358)</f>
        <v>0</v>
      </c>
      <c r="K329" s="789">
        <f>('Parâmetros financeiros Despesa'!F358)*((1+'Parâmetros financeiros Despesa'!F$4)*(1+'Parâmetros financeiros Despesa'!F$7))</f>
        <v>1635.4972500000001</v>
      </c>
      <c r="L329" s="799">
        <f t="shared" si="35"/>
        <v>8.859631424929026E-4</v>
      </c>
      <c r="M329" s="894"/>
      <c r="N329" s="796"/>
      <c r="O329" s="733"/>
    </row>
    <row r="330" spans="1:15" s="115" customFormat="1" x14ac:dyDescent="0.25">
      <c r="A330" s="396"/>
      <c r="B330" s="1398" t="s">
        <v>7258</v>
      </c>
      <c r="C330" s="1398"/>
      <c r="D330" s="1398"/>
      <c r="E330" s="854">
        <v>333903900000000</v>
      </c>
      <c r="F330" s="855" t="s">
        <v>7253</v>
      </c>
      <c r="G330" s="468">
        <v>1</v>
      </c>
      <c r="H330" s="468">
        <v>0</v>
      </c>
      <c r="I330" s="751"/>
      <c r="J330" s="789">
        <f>('Parâmetros financeiros Despesa'!E359+'Parâmetros financeiros Despesa'!E360)</f>
        <v>3529.4849999999997</v>
      </c>
      <c r="K330" s="789">
        <f>('Parâmetros financeiros Despesa'!F359+'Parâmetros financeiros Despesa'!F360)*((1+'Parâmetros financeiros Despesa'!F$4)*(1+'Parâmetros financeiros Despesa'!F$7))</f>
        <v>4393.4744242774996</v>
      </c>
      <c r="L330" s="799">
        <f t="shared" si="35"/>
        <v>2.3799834621520085E-3</v>
      </c>
      <c r="M330" s="894"/>
      <c r="N330" s="796"/>
      <c r="O330" s="733"/>
    </row>
    <row r="331" spans="1:15" s="115" customFormat="1" x14ac:dyDescent="0.25">
      <c r="A331" s="396"/>
      <c r="B331" s="1398" t="s">
        <v>7259</v>
      </c>
      <c r="C331" s="1398"/>
      <c r="D331" s="1398"/>
      <c r="E331" s="854">
        <v>333904700000000</v>
      </c>
      <c r="F331" s="855" t="s">
        <v>7254</v>
      </c>
      <c r="G331" s="468">
        <v>1</v>
      </c>
      <c r="H331" s="468">
        <v>0</v>
      </c>
      <c r="I331" s="751"/>
      <c r="J331" s="789">
        <f>('Parâmetros financeiros Despesa'!E357+'Parâmetros financeiros Despesa'!E358+'Parâmetros financeiros Despesa'!E360)</f>
        <v>0</v>
      </c>
      <c r="K331" s="789">
        <f>('Parâmetros financeiros Despesa'!F357+'Parâmetros financeiros Despesa'!F358+'Parâmetros financeiros Despesa'!F360)*((1+'Parâmetros financeiros Despesa'!F$4)*(1+'Parâmetros financeiros Despesa'!F$7))*('Parâmetros financeiros Despesa'!F$83)</f>
        <v>545.16575</v>
      </c>
      <c r="L331" s="799">
        <f t="shared" si="35"/>
        <v>2.9532104749763416E-4</v>
      </c>
      <c r="M331" s="894"/>
      <c r="N331" s="796"/>
      <c r="O331" s="733"/>
    </row>
    <row r="332" spans="1:15" s="457" customFormat="1" x14ac:dyDescent="0.25">
      <c r="A332" s="396"/>
      <c r="B332" s="1398" t="s">
        <v>7260</v>
      </c>
      <c r="C332" s="1398"/>
      <c r="D332" s="1398"/>
      <c r="E332" s="854">
        <v>344905100000000</v>
      </c>
      <c r="F332" s="855" t="s">
        <v>7255</v>
      </c>
      <c r="G332" s="468">
        <v>1</v>
      </c>
      <c r="H332" s="468">
        <v>0</v>
      </c>
      <c r="I332" s="751"/>
      <c r="J332" s="789">
        <f>('Parâmetros financeiros Despesa'!E361)</f>
        <v>0</v>
      </c>
      <c r="K332" s="789">
        <f>('Parâmetros financeiros Despesa'!F361)*((1+'Parâmetros financeiros Despesa'!F$4)*(1+'Parâmetros financeiros Despesa'!F$7))</f>
        <v>1090.3315</v>
      </c>
      <c r="L332" s="799">
        <f t="shared" si="35"/>
        <v>5.9064209499526833E-4</v>
      </c>
      <c r="M332" s="894"/>
      <c r="N332" s="796"/>
      <c r="O332" s="734"/>
    </row>
    <row r="333" spans="1:15" s="457" customFormat="1" x14ac:dyDescent="0.25">
      <c r="A333" s="396"/>
      <c r="B333" s="1398" t="s">
        <v>7261</v>
      </c>
      <c r="C333" s="1398"/>
      <c r="D333" s="1398"/>
      <c r="E333" s="854">
        <v>344905200000000</v>
      </c>
      <c r="F333" s="855" t="s">
        <v>7256</v>
      </c>
      <c r="G333" s="468">
        <v>1</v>
      </c>
      <c r="H333" s="468">
        <v>0</v>
      </c>
      <c r="I333" s="751"/>
      <c r="J333" s="789">
        <f>('Parâmetros financeiros Despesa'!E362)</f>
        <v>0</v>
      </c>
      <c r="K333" s="789">
        <f>('Parâmetros financeiros Despesa'!F362)*((1+'Parâmetros financeiros Despesa'!F$4)*(1+'Parâmetros financeiros Despesa'!F$7))</f>
        <v>1090.3315</v>
      </c>
      <c r="L333" s="799">
        <f t="shared" si="35"/>
        <v>5.9064209499526833E-4</v>
      </c>
      <c r="M333" s="894"/>
      <c r="N333" s="796"/>
      <c r="O333" s="734"/>
    </row>
    <row r="334" spans="1:15" x14ac:dyDescent="0.25">
      <c r="A334" s="397"/>
      <c r="B334" s="1385" t="s">
        <v>7154</v>
      </c>
      <c r="C334" s="1385"/>
      <c r="D334" s="1385"/>
      <c r="E334" s="1385"/>
      <c r="F334" s="1385"/>
      <c r="G334" s="401"/>
      <c r="H334" s="401"/>
      <c r="I334" s="426"/>
      <c r="J334" s="402">
        <f t="shared" ref="J334:K336" si="40">J335</f>
        <v>27330.165000000001</v>
      </c>
      <c r="K334" s="402">
        <f t="shared" si="40"/>
        <v>38340.617823339802</v>
      </c>
      <c r="L334" s="451">
        <f t="shared" si="35"/>
        <v>2.076944748875947E-2</v>
      </c>
    </row>
    <row r="335" spans="1:15" x14ac:dyDescent="0.25">
      <c r="A335" s="397"/>
      <c r="B335" s="1386" t="s">
        <v>7268</v>
      </c>
      <c r="C335" s="1386"/>
      <c r="D335" s="1386"/>
      <c r="E335" s="1386"/>
      <c r="F335" s="1386"/>
      <c r="G335" s="403"/>
      <c r="H335" s="403"/>
      <c r="I335" s="427"/>
      <c r="J335" s="404">
        <f t="shared" si="40"/>
        <v>27330.165000000001</v>
      </c>
      <c r="K335" s="404">
        <f t="shared" si="40"/>
        <v>38340.617823339802</v>
      </c>
      <c r="L335" s="452">
        <f t="shared" si="35"/>
        <v>2.076944748875947E-2</v>
      </c>
    </row>
    <row r="336" spans="1:15" x14ac:dyDescent="0.25">
      <c r="A336" s="397"/>
      <c r="B336" s="1382" t="s">
        <v>7213</v>
      </c>
      <c r="C336" s="1382"/>
      <c r="D336" s="1382"/>
      <c r="E336" s="1382"/>
      <c r="F336" s="1382"/>
      <c r="G336" s="405"/>
      <c r="H336" s="405"/>
      <c r="I336" s="428"/>
      <c r="J336" s="406">
        <f t="shared" si="40"/>
        <v>27330.165000000001</v>
      </c>
      <c r="K336" s="406">
        <f t="shared" si="40"/>
        <v>38340.617823339802</v>
      </c>
      <c r="L336" s="453">
        <f t="shared" si="35"/>
        <v>2.076944748875947E-2</v>
      </c>
    </row>
    <row r="337" spans="1:15" x14ac:dyDescent="0.25">
      <c r="A337" s="397"/>
      <c r="B337" s="1383" t="s">
        <v>7275</v>
      </c>
      <c r="C337" s="1383"/>
      <c r="D337" s="1383"/>
      <c r="E337" s="1383"/>
      <c r="F337" s="1383"/>
      <c r="G337" s="407"/>
      <c r="H337" s="407"/>
      <c r="I337" s="429"/>
      <c r="J337" s="408">
        <f>SUM(J338:J345)</f>
        <v>27330.165000000001</v>
      </c>
      <c r="K337" s="408">
        <f>SUM(K338:K345)</f>
        <v>38340.617823339802</v>
      </c>
      <c r="L337" s="454">
        <f t="shared" si="35"/>
        <v>2.076944748875947E-2</v>
      </c>
    </row>
    <row r="338" spans="1:15" s="115" customFormat="1" x14ac:dyDescent="0.25">
      <c r="A338" s="396"/>
      <c r="B338" s="1398" t="s">
        <v>10092</v>
      </c>
      <c r="C338" s="1398"/>
      <c r="D338" s="1398"/>
      <c r="E338" s="854">
        <v>333901400000000</v>
      </c>
      <c r="F338" s="855" t="s">
        <v>10093</v>
      </c>
      <c r="G338" s="468">
        <v>1</v>
      </c>
      <c r="H338" s="468">
        <v>0</v>
      </c>
      <c r="I338" s="751"/>
      <c r="J338" s="789">
        <f>('Parâmetros financeiros Despesa'!E364)</f>
        <v>4104</v>
      </c>
      <c r="K338" s="789">
        <f>('Parâmetros financeiros Despesa'!F364)*2+(('Parâmetros financeiros Despesa'!F364)*10)*(1+'Parâmetros financeiros Despesa'!F$4)*(1+'Parâmetros financeiros Despesa'!F$8)</f>
        <v>4293.7464996423005</v>
      </c>
      <c r="L338" s="799">
        <f t="shared" si="35"/>
        <v>2.3259599744915455E-3</v>
      </c>
      <c r="M338" s="894"/>
      <c r="N338" s="796"/>
      <c r="O338" s="733"/>
    </row>
    <row r="339" spans="1:15" s="115" customFormat="1" x14ac:dyDescent="0.25">
      <c r="A339" s="396"/>
      <c r="B339" s="1398" t="s">
        <v>7263</v>
      </c>
      <c r="C339" s="1398"/>
      <c r="D339" s="1398"/>
      <c r="E339" s="854">
        <v>333903000000000</v>
      </c>
      <c r="F339" s="855" t="s">
        <v>7269</v>
      </c>
      <c r="G339" s="468">
        <v>1</v>
      </c>
      <c r="H339" s="468">
        <v>0</v>
      </c>
      <c r="I339" s="751"/>
      <c r="J339" s="789">
        <f>('Parâmetros financeiros Despesa'!E365+'Parâmetros financeiros Despesa'!E366)</f>
        <v>17518.514999999999</v>
      </c>
      <c r="K339" s="789">
        <f>('Parâmetros financeiros Despesa'!F365+'Parâmetros financeiros Despesa'!F366)*((1+'Parâmetros financeiros Despesa'!F$4)*(1+'Parâmetros financeiros Despesa'!F$7))</f>
        <v>19646.154487722499</v>
      </c>
      <c r="L339" s="799">
        <f t="shared" si="35"/>
        <v>1.0642493448303668E-2</v>
      </c>
      <c r="M339" s="894"/>
      <c r="N339" s="796"/>
      <c r="O339" s="733"/>
    </row>
    <row r="340" spans="1:15" s="115" customFormat="1" x14ac:dyDescent="0.25">
      <c r="A340" s="396"/>
      <c r="B340" s="1396">
        <v>32100</v>
      </c>
      <c r="C340" s="1396"/>
      <c r="D340" s="1396"/>
      <c r="E340" s="854">
        <v>333903600000000</v>
      </c>
      <c r="F340" s="855" t="s">
        <v>7270</v>
      </c>
      <c r="G340" s="468">
        <v>1</v>
      </c>
      <c r="H340" s="468">
        <v>0</v>
      </c>
      <c r="I340" s="751"/>
      <c r="J340" s="789">
        <f>('Parâmetros financeiros Despesa'!E367)</f>
        <v>0</v>
      </c>
      <c r="K340" s="789">
        <f>('Parâmetros financeiros Despesa'!F367)*((1+'Parâmetros financeiros Despesa'!F$4)*(1+'Parâmetros financeiros Despesa'!F$7))</f>
        <v>1635.4972500000001</v>
      </c>
      <c r="L340" s="799">
        <f t="shared" si="35"/>
        <v>8.859631424929026E-4</v>
      </c>
      <c r="M340" s="894"/>
      <c r="N340" s="796"/>
      <c r="O340" s="733"/>
    </row>
    <row r="341" spans="1:15" s="115" customFormat="1" x14ac:dyDescent="0.25">
      <c r="A341" s="396"/>
      <c r="B341" s="1398" t="s">
        <v>7264</v>
      </c>
      <c r="C341" s="1398"/>
      <c r="D341" s="1398"/>
      <c r="E341" s="854">
        <v>333903900000000</v>
      </c>
      <c r="F341" s="855" t="s">
        <v>7271</v>
      </c>
      <c r="G341" s="468">
        <v>1</v>
      </c>
      <c r="H341" s="468">
        <v>0</v>
      </c>
      <c r="I341" s="751"/>
      <c r="J341" s="789">
        <f>('Parâmetros financeiros Despesa'!E368+'Parâmetros financeiros Despesa'!E369)</f>
        <v>5707.65</v>
      </c>
      <c r="K341" s="789">
        <f>('Parâmetros financeiros Despesa'!F368+'Parâmetros financeiros Despesa'!F369)*((1+'Parâmetros financeiros Despesa'!F$4)*(1+'Parâmetros financeiros Despesa'!F$7))</f>
        <v>6768.3963359749996</v>
      </c>
      <c r="L341" s="799">
        <f t="shared" si="35"/>
        <v>3.6664994009973774E-3</v>
      </c>
      <c r="M341" s="894"/>
      <c r="N341" s="796"/>
      <c r="O341" s="733"/>
    </row>
    <row r="342" spans="1:15" s="115" customFormat="1" x14ac:dyDescent="0.25">
      <c r="A342" s="396"/>
      <c r="B342" s="1398" t="s">
        <v>7265</v>
      </c>
      <c r="C342" s="1398"/>
      <c r="D342" s="1398"/>
      <c r="E342" s="854">
        <v>333904700000000</v>
      </c>
      <c r="F342" s="855" t="s">
        <v>7272</v>
      </c>
      <c r="G342" s="468">
        <v>1</v>
      </c>
      <c r="H342" s="468">
        <v>0</v>
      </c>
      <c r="I342" s="751"/>
      <c r="J342" s="789">
        <f>('Parâmetros financeiros Despesa'!E366+'Parâmetros financeiros Despesa'!E367+'Parâmetros financeiros Despesa'!E369)</f>
        <v>0</v>
      </c>
      <c r="K342" s="789">
        <f>('Parâmetros financeiros Despesa'!F366+'Parâmetros financeiros Despesa'!F367+'Parâmetros financeiros Despesa'!F369)*((1+'Parâmetros financeiros Despesa'!F$4)*(1+'Parâmetros financeiros Despesa'!F$7))*('Parâmetros financeiros Despesa'!F$83)</f>
        <v>545.16575</v>
      </c>
      <c r="L342" s="799">
        <f t="shared" si="35"/>
        <v>2.9532104749763416E-4</v>
      </c>
      <c r="M342" s="894"/>
      <c r="N342" s="796"/>
      <c r="O342" s="733"/>
    </row>
    <row r="343" spans="1:15" s="115" customFormat="1" x14ac:dyDescent="0.25">
      <c r="A343" s="396"/>
      <c r="B343" s="1398" t="s">
        <v>10094</v>
      </c>
      <c r="C343" s="1398"/>
      <c r="D343" s="1398"/>
      <c r="E343" s="854">
        <v>333909300000000</v>
      </c>
      <c r="F343" s="855" t="s">
        <v>10095</v>
      </c>
      <c r="G343" s="468">
        <v>1</v>
      </c>
      <c r="H343" s="468">
        <v>0</v>
      </c>
      <c r="I343" s="751"/>
      <c r="J343" s="789">
        <f>('Parâmetros financeiros Despesa'!E370)</f>
        <v>0</v>
      </c>
      <c r="K343" s="789">
        <f>('Parâmetros financeiros Despesa'!F370)*((1+'Parâmetros financeiros Despesa'!F$4)*(1+'Parâmetros financeiros Despesa'!F$7))</f>
        <v>1090.3315</v>
      </c>
      <c r="L343" s="799">
        <f t="shared" si="35"/>
        <v>5.9064209499526833E-4</v>
      </c>
      <c r="M343" s="894"/>
      <c r="N343" s="796"/>
      <c r="O343" s="733"/>
    </row>
    <row r="344" spans="1:15" s="457" customFormat="1" x14ac:dyDescent="0.25">
      <c r="A344" s="396"/>
      <c r="B344" s="1398" t="s">
        <v>7266</v>
      </c>
      <c r="C344" s="1398"/>
      <c r="D344" s="1398"/>
      <c r="E344" s="854">
        <v>344905100000000</v>
      </c>
      <c r="F344" s="855" t="s">
        <v>7273</v>
      </c>
      <c r="G344" s="468">
        <v>1</v>
      </c>
      <c r="H344" s="468">
        <v>0</v>
      </c>
      <c r="I344" s="751"/>
      <c r="J344" s="789">
        <f>('Parâmetros financeiros Despesa'!E371)</f>
        <v>0</v>
      </c>
      <c r="K344" s="789">
        <f>('Parâmetros financeiros Despesa'!F371)*((1+'Parâmetros financeiros Despesa'!F$4)*(1+'Parâmetros financeiros Despesa'!F$7))</f>
        <v>2180.663</v>
      </c>
      <c r="L344" s="799">
        <f t="shared" si="35"/>
        <v>1.1812841899905367E-3</v>
      </c>
      <c r="M344" s="894"/>
      <c r="N344" s="796"/>
      <c r="O344" s="734"/>
    </row>
    <row r="345" spans="1:15" s="457" customFormat="1" x14ac:dyDescent="0.25">
      <c r="A345" s="396"/>
      <c r="B345" s="1398" t="s">
        <v>7267</v>
      </c>
      <c r="C345" s="1398"/>
      <c r="D345" s="1398"/>
      <c r="E345" s="854">
        <v>344905200000000</v>
      </c>
      <c r="F345" s="855" t="s">
        <v>7274</v>
      </c>
      <c r="G345" s="468">
        <v>1</v>
      </c>
      <c r="H345" s="468">
        <v>0</v>
      </c>
      <c r="I345" s="751"/>
      <c r="J345" s="789">
        <f>('Parâmetros financeiros Despesa'!E372)</f>
        <v>0</v>
      </c>
      <c r="K345" s="789">
        <f>('Parâmetros financeiros Despesa'!F372)*((1+'Parâmetros financeiros Despesa'!F$4)*(1+'Parâmetros financeiros Despesa'!F$7))</f>
        <v>2180.663</v>
      </c>
      <c r="L345" s="799">
        <f t="shared" si="35"/>
        <v>1.1812841899905367E-3</v>
      </c>
      <c r="M345" s="894"/>
      <c r="N345" s="796"/>
      <c r="O345" s="734"/>
    </row>
    <row r="346" spans="1:15" x14ac:dyDescent="0.25">
      <c r="A346" s="397"/>
      <c r="B346" s="1385" t="s">
        <v>7155</v>
      </c>
      <c r="C346" s="1385"/>
      <c r="D346" s="1385"/>
      <c r="E346" s="1385"/>
      <c r="F346" s="1385"/>
      <c r="G346" s="401"/>
      <c r="H346" s="401"/>
      <c r="I346" s="426"/>
      <c r="J346" s="402">
        <f t="shared" ref="J346:K348" si="41">J347</f>
        <v>0</v>
      </c>
      <c r="K346" s="402">
        <f t="shared" si="41"/>
        <v>13629.143750000001</v>
      </c>
      <c r="L346" s="451">
        <f t="shared" si="35"/>
        <v>7.3830261874408554E-3</v>
      </c>
    </row>
    <row r="347" spans="1:15" x14ac:dyDescent="0.25">
      <c r="A347" s="397"/>
      <c r="B347" s="1386" t="s">
        <v>7282</v>
      </c>
      <c r="C347" s="1386"/>
      <c r="D347" s="1386"/>
      <c r="E347" s="1386"/>
      <c r="F347" s="1386"/>
      <c r="G347" s="403"/>
      <c r="H347" s="403"/>
      <c r="I347" s="427"/>
      <c r="J347" s="404">
        <f t="shared" si="41"/>
        <v>0</v>
      </c>
      <c r="K347" s="404">
        <f t="shared" si="41"/>
        <v>13629.143750000001</v>
      </c>
      <c r="L347" s="452">
        <f t="shared" si="35"/>
        <v>7.3830261874408554E-3</v>
      </c>
    </row>
    <row r="348" spans="1:15" x14ac:dyDescent="0.25">
      <c r="A348" s="397"/>
      <c r="B348" s="1382" t="s">
        <v>7283</v>
      </c>
      <c r="C348" s="1382"/>
      <c r="D348" s="1382"/>
      <c r="E348" s="1382"/>
      <c r="F348" s="1382"/>
      <c r="G348" s="405"/>
      <c r="H348" s="405"/>
      <c r="I348" s="428"/>
      <c r="J348" s="406">
        <f t="shared" si="41"/>
        <v>0</v>
      </c>
      <c r="K348" s="406">
        <f t="shared" si="41"/>
        <v>13629.143750000001</v>
      </c>
      <c r="L348" s="453">
        <f t="shared" si="35"/>
        <v>7.3830261874408554E-3</v>
      </c>
    </row>
    <row r="349" spans="1:15" x14ac:dyDescent="0.25">
      <c r="A349" s="397"/>
      <c r="B349" s="1383" t="s">
        <v>7284</v>
      </c>
      <c r="C349" s="1383"/>
      <c r="D349" s="1383"/>
      <c r="E349" s="1383"/>
      <c r="F349" s="1383"/>
      <c r="G349" s="407"/>
      <c r="H349" s="407"/>
      <c r="I349" s="429"/>
      <c r="J349" s="408">
        <f>SUM(J350:J355)</f>
        <v>0</v>
      </c>
      <c r="K349" s="408">
        <f>SUM(K350:K355)</f>
        <v>13629.143750000001</v>
      </c>
      <c r="L349" s="454">
        <f t="shared" si="35"/>
        <v>7.3830261874408554E-3</v>
      </c>
    </row>
    <row r="350" spans="1:15" s="115" customFormat="1" x14ac:dyDescent="0.25">
      <c r="A350" s="396"/>
      <c r="B350" s="1398" t="s">
        <v>7277</v>
      </c>
      <c r="C350" s="1398"/>
      <c r="D350" s="1398"/>
      <c r="E350" s="854">
        <v>333903000000000</v>
      </c>
      <c r="F350" s="855" t="s">
        <v>7285</v>
      </c>
      <c r="G350" s="468">
        <v>1</v>
      </c>
      <c r="H350" s="468">
        <v>0</v>
      </c>
      <c r="I350" s="751"/>
      <c r="J350" s="789">
        <f>('Parâmetros financeiros Despesa'!E374+'Parâmetros financeiros Despesa'!E375)</f>
        <v>0</v>
      </c>
      <c r="K350" s="789">
        <f>('Parâmetros financeiros Despesa'!F374+'Parâmetros financeiros Despesa'!F375)*((1+'Parâmetros financeiros Despesa'!F$4)*(1+'Parâmetros financeiros Despesa'!F$7))</f>
        <v>1090.3315</v>
      </c>
      <c r="L350" s="799">
        <f t="shared" si="35"/>
        <v>5.9064209499526833E-4</v>
      </c>
      <c r="M350" s="894"/>
      <c r="N350" s="796"/>
      <c r="O350" s="733"/>
    </row>
    <row r="351" spans="1:15" s="115" customFormat="1" x14ac:dyDescent="0.25">
      <c r="A351" s="396"/>
      <c r="B351" s="1396">
        <v>33100</v>
      </c>
      <c r="C351" s="1396"/>
      <c r="D351" s="1396"/>
      <c r="E351" s="854">
        <v>333903600000000</v>
      </c>
      <c r="F351" s="855" t="s">
        <v>7286</v>
      </c>
      <c r="G351" s="468">
        <v>1</v>
      </c>
      <c r="H351" s="468">
        <v>0</v>
      </c>
      <c r="I351" s="751"/>
      <c r="J351" s="789">
        <f>('Parâmetros financeiros Despesa'!E376)</f>
        <v>0</v>
      </c>
      <c r="K351" s="789">
        <f>('Parâmetros financeiros Despesa'!F376)*((1+'Parâmetros financeiros Despesa'!F$4)*(1+'Parâmetros financeiros Despesa'!F$7))</f>
        <v>1635.4972500000001</v>
      </c>
      <c r="L351" s="799">
        <f t="shared" si="35"/>
        <v>8.859631424929026E-4</v>
      </c>
      <c r="M351" s="894"/>
      <c r="N351" s="796"/>
      <c r="O351" s="733"/>
    </row>
    <row r="352" spans="1:15" s="115" customFormat="1" x14ac:dyDescent="0.25">
      <c r="A352" s="396"/>
      <c r="B352" s="1398" t="s">
        <v>7278</v>
      </c>
      <c r="C352" s="1398"/>
      <c r="D352" s="1398"/>
      <c r="E352" s="854">
        <v>333903900000000</v>
      </c>
      <c r="F352" s="855" t="s">
        <v>7287</v>
      </c>
      <c r="G352" s="468">
        <v>1</v>
      </c>
      <c r="H352" s="468">
        <v>0</v>
      </c>
      <c r="I352" s="751"/>
      <c r="J352" s="789">
        <f>('Parâmetros financeiros Despesa'!E377+'Parâmetros financeiros Despesa'!E378)</f>
        <v>0</v>
      </c>
      <c r="K352" s="789">
        <f>('Parâmetros financeiros Despesa'!F377+'Parâmetros financeiros Despesa'!F378)*((1+'Parâmetros financeiros Despesa'!F$4)*(1+'Parâmetros financeiros Despesa'!F$7))</f>
        <v>5996.8232500000004</v>
      </c>
      <c r="L352" s="799">
        <f t="shared" si="35"/>
        <v>3.2485315224739762E-3</v>
      </c>
      <c r="M352" s="894"/>
      <c r="N352" s="796"/>
      <c r="O352" s="733"/>
    </row>
    <row r="353" spans="1:15" s="115" customFormat="1" x14ac:dyDescent="0.25">
      <c r="A353" s="396"/>
      <c r="B353" s="1398" t="s">
        <v>7279</v>
      </c>
      <c r="C353" s="1398"/>
      <c r="D353" s="1398"/>
      <c r="E353" s="854">
        <v>333904700000000</v>
      </c>
      <c r="F353" s="855" t="s">
        <v>7288</v>
      </c>
      <c r="G353" s="468">
        <v>1</v>
      </c>
      <c r="H353" s="468">
        <v>0</v>
      </c>
      <c r="I353" s="751"/>
      <c r="J353" s="789">
        <v>0</v>
      </c>
      <c r="K353" s="789">
        <f>('Parâmetros financeiros Despesa'!F375+'Parâmetros financeiros Despesa'!F376+'Parâmetros financeiros Despesa'!F378)*((1+'Parâmetros financeiros Despesa'!F$4)*(1+'Parâmetros financeiros Despesa'!F$7))*('Parâmetros financeiros Despesa'!F$83)</f>
        <v>545.16575</v>
      </c>
      <c r="L353" s="799">
        <f t="shared" si="35"/>
        <v>2.9532104749763416E-4</v>
      </c>
      <c r="M353" s="894"/>
      <c r="N353" s="796"/>
      <c r="O353" s="733"/>
    </row>
    <row r="354" spans="1:15" s="457" customFormat="1" x14ac:dyDescent="0.25">
      <c r="A354" s="396"/>
      <c r="B354" s="1398" t="s">
        <v>7280</v>
      </c>
      <c r="C354" s="1398"/>
      <c r="D354" s="1398"/>
      <c r="E354" s="854">
        <v>344905100000000</v>
      </c>
      <c r="F354" s="855" t="s">
        <v>7289</v>
      </c>
      <c r="G354" s="468">
        <v>1</v>
      </c>
      <c r="H354" s="468">
        <v>0</v>
      </c>
      <c r="I354" s="751"/>
      <c r="J354" s="789">
        <f>('Parâmetros financeiros Despesa'!E379)</f>
        <v>0</v>
      </c>
      <c r="K354" s="789">
        <f>('Parâmetros financeiros Despesa'!F379)*((1+'Parâmetros financeiros Despesa'!F$4)*(1+'Parâmetros financeiros Despesa'!F$7))</f>
        <v>2180.663</v>
      </c>
      <c r="L354" s="799">
        <f t="shared" ref="L354:L417" si="42">K354/K$453</f>
        <v>1.1812841899905367E-3</v>
      </c>
      <c r="M354" s="894"/>
      <c r="N354" s="796"/>
      <c r="O354" s="734"/>
    </row>
    <row r="355" spans="1:15" s="457" customFormat="1" x14ac:dyDescent="0.25">
      <c r="A355" s="396"/>
      <c r="B355" s="1398" t="s">
        <v>7281</v>
      </c>
      <c r="C355" s="1398"/>
      <c r="D355" s="1398"/>
      <c r="E355" s="854">
        <v>344905200000000</v>
      </c>
      <c r="F355" s="855" t="s">
        <v>7290</v>
      </c>
      <c r="G355" s="468">
        <v>1</v>
      </c>
      <c r="H355" s="468">
        <v>0</v>
      </c>
      <c r="I355" s="751"/>
      <c r="J355" s="789">
        <f>('Parâmetros financeiros Despesa'!E380)</f>
        <v>0</v>
      </c>
      <c r="K355" s="789">
        <f>('Parâmetros financeiros Despesa'!F380)*((1+'Parâmetros financeiros Despesa'!F$4)*(1+'Parâmetros financeiros Despesa'!F$7))</f>
        <v>2180.663</v>
      </c>
      <c r="L355" s="799">
        <f t="shared" si="42"/>
        <v>1.1812841899905367E-3</v>
      </c>
      <c r="M355" s="894"/>
      <c r="N355" s="796"/>
      <c r="O355" s="734"/>
    </row>
    <row r="356" spans="1:15" x14ac:dyDescent="0.25">
      <c r="A356" s="397"/>
      <c r="B356" s="1385" t="s">
        <v>7155</v>
      </c>
      <c r="C356" s="1385"/>
      <c r="D356" s="1385"/>
      <c r="E356" s="1385"/>
      <c r="F356" s="1385"/>
      <c r="G356" s="401"/>
      <c r="H356" s="401"/>
      <c r="I356" s="426"/>
      <c r="J356" s="402">
        <f t="shared" ref="J356:K359" si="43">J357</f>
        <v>0</v>
      </c>
      <c r="K356" s="402">
        <f t="shared" si="43"/>
        <v>16354.9725</v>
      </c>
      <c r="L356" s="451">
        <f t="shared" si="42"/>
        <v>8.8596314249290258E-3</v>
      </c>
    </row>
    <row r="357" spans="1:15" x14ac:dyDescent="0.25">
      <c r="A357" s="397"/>
      <c r="B357" s="1386" t="s">
        <v>7325</v>
      </c>
      <c r="C357" s="1386"/>
      <c r="D357" s="1386"/>
      <c r="E357" s="1386"/>
      <c r="F357" s="1386"/>
      <c r="G357" s="403"/>
      <c r="H357" s="403"/>
      <c r="I357" s="427"/>
      <c r="J357" s="404">
        <f t="shared" si="43"/>
        <v>0</v>
      </c>
      <c r="K357" s="404">
        <f t="shared" si="43"/>
        <v>16354.9725</v>
      </c>
      <c r="L357" s="452">
        <f t="shared" si="42"/>
        <v>8.8596314249290258E-3</v>
      </c>
    </row>
    <row r="358" spans="1:15" x14ac:dyDescent="0.25">
      <c r="A358" s="397"/>
      <c r="B358" s="1382" t="s">
        <v>7283</v>
      </c>
      <c r="C358" s="1382"/>
      <c r="D358" s="1382"/>
      <c r="E358" s="1382"/>
      <c r="F358" s="1382"/>
      <c r="G358" s="405"/>
      <c r="H358" s="405"/>
      <c r="I358" s="428"/>
      <c r="J358" s="406">
        <f t="shared" si="43"/>
        <v>0</v>
      </c>
      <c r="K358" s="406">
        <f t="shared" si="43"/>
        <v>16354.9725</v>
      </c>
      <c r="L358" s="453">
        <f t="shared" si="42"/>
        <v>8.8596314249290258E-3</v>
      </c>
    </row>
    <row r="359" spans="1:15" x14ac:dyDescent="0.25">
      <c r="A359" s="397"/>
      <c r="B359" s="1383" t="s">
        <v>7284</v>
      </c>
      <c r="C359" s="1383"/>
      <c r="D359" s="1383"/>
      <c r="E359" s="1383"/>
      <c r="F359" s="1383"/>
      <c r="G359" s="407"/>
      <c r="H359" s="407"/>
      <c r="I359" s="429"/>
      <c r="J359" s="408">
        <f t="shared" si="43"/>
        <v>0</v>
      </c>
      <c r="K359" s="408">
        <f t="shared" si="43"/>
        <v>16354.9725</v>
      </c>
      <c r="L359" s="454">
        <f t="shared" si="42"/>
        <v>8.8596314249290258E-3</v>
      </c>
    </row>
    <row r="360" spans="1:15" s="115" customFormat="1" x14ac:dyDescent="0.25">
      <c r="A360" s="396"/>
      <c r="B360" s="1398" t="s">
        <v>7407</v>
      </c>
      <c r="C360" s="1398"/>
      <c r="D360" s="1398"/>
      <c r="E360" s="854">
        <v>333903900000000</v>
      </c>
      <c r="F360" s="855" t="s">
        <v>7287</v>
      </c>
      <c r="G360" s="468">
        <v>1087</v>
      </c>
      <c r="H360" s="468">
        <v>0</v>
      </c>
      <c r="I360" s="751"/>
      <c r="J360" s="789">
        <f>('Parâmetros financeiros Despesa'!E382)</f>
        <v>0</v>
      </c>
      <c r="K360" s="789">
        <f>('Parâmetros financeiros Despesa'!F382)*((1+'Parâmetros financeiros Despesa'!F$4)*(1+'Parâmetros financeiros Despesa'!F$7))</f>
        <v>16354.9725</v>
      </c>
      <c r="L360" s="799">
        <f t="shared" si="42"/>
        <v>8.8596314249290258E-3</v>
      </c>
      <c r="M360" s="894"/>
      <c r="O360" s="733"/>
    </row>
    <row r="361" spans="1:15" x14ac:dyDescent="0.25">
      <c r="A361" s="397"/>
      <c r="B361" s="1385" t="s">
        <v>7151</v>
      </c>
      <c r="C361" s="1385"/>
      <c r="D361" s="1385"/>
      <c r="E361" s="1385"/>
      <c r="F361" s="1385"/>
      <c r="G361" s="401"/>
      <c r="H361" s="401"/>
      <c r="I361" s="426"/>
      <c r="J361" s="402">
        <f t="shared" ref="J361:K363" si="44">J362</f>
        <v>0</v>
      </c>
      <c r="K361" s="402">
        <f t="shared" si="44"/>
        <v>8286.5094000000008</v>
      </c>
      <c r="L361" s="451">
        <f t="shared" si="42"/>
        <v>4.4888745048767137E-3</v>
      </c>
    </row>
    <row r="362" spans="1:15" x14ac:dyDescent="0.25">
      <c r="A362" s="397"/>
      <c r="B362" s="1386" t="s">
        <v>7295</v>
      </c>
      <c r="C362" s="1386"/>
      <c r="D362" s="1386"/>
      <c r="E362" s="1386"/>
      <c r="F362" s="1386"/>
      <c r="G362" s="403"/>
      <c r="H362" s="403"/>
      <c r="I362" s="427"/>
      <c r="J362" s="404">
        <f t="shared" si="44"/>
        <v>0</v>
      </c>
      <c r="K362" s="404">
        <f t="shared" si="44"/>
        <v>8286.5094000000008</v>
      </c>
      <c r="L362" s="452">
        <f t="shared" si="42"/>
        <v>4.4888745048767137E-3</v>
      </c>
    </row>
    <row r="363" spans="1:15" x14ac:dyDescent="0.25">
      <c r="A363" s="397"/>
      <c r="B363" s="1382" t="s">
        <v>7297</v>
      </c>
      <c r="C363" s="1382"/>
      <c r="D363" s="1382"/>
      <c r="E363" s="1382"/>
      <c r="F363" s="1382"/>
      <c r="G363" s="405"/>
      <c r="H363" s="405"/>
      <c r="I363" s="428"/>
      <c r="J363" s="406">
        <f t="shared" si="44"/>
        <v>0</v>
      </c>
      <c r="K363" s="406">
        <f t="shared" si="44"/>
        <v>8286.5094000000008</v>
      </c>
      <c r="L363" s="453">
        <f t="shared" si="42"/>
        <v>4.4888745048767137E-3</v>
      </c>
    </row>
    <row r="364" spans="1:15" x14ac:dyDescent="0.25">
      <c r="A364" s="397"/>
      <c r="B364" s="1383" t="s">
        <v>7298</v>
      </c>
      <c r="C364" s="1383"/>
      <c r="D364" s="1383"/>
      <c r="E364" s="1383"/>
      <c r="F364" s="1383"/>
      <c r="G364" s="407"/>
      <c r="H364" s="407"/>
      <c r="I364" s="429"/>
      <c r="J364" s="408">
        <f>SUM(J365:J369)</f>
        <v>0</v>
      </c>
      <c r="K364" s="408">
        <f>SUM(K365:K369)-0.01</f>
        <v>8286.5094000000008</v>
      </c>
      <c r="L364" s="454">
        <f t="shared" si="42"/>
        <v>4.4888745048767137E-3</v>
      </c>
    </row>
    <row r="365" spans="1:15" s="115" customFormat="1" x14ac:dyDescent="0.25">
      <c r="A365" s="396"/>
      <c r="B365" s="1398" t="s">
        <v>7291</v>
      </c>
      <c r="C365" s="1398"/>
      <c r="D365" s="1398"/>
      <c r="E365" s="854">
        <v>333904700000000</v>
      </c>
      <c r="F365" s="855" t="s">
        <v>7301</v>
      </c>
      <c r="G365" s="468">
        <v>1</v>
      </c>
      <c r="H365" s="468">
        <v>0</v>
      </c>
      <c r="I365" s="751"/>
      <c r="J365" s="789">
        <v>0</v>
      </c>
      <c r="K365" s="789">
        <f>('Parâmetros financeiros Despesa'!F385+'Parâmetros financeiros Despesa'!F386+'Parâmetros financeiros Despesa'!F388)*((1+'Parâmetros financeiros Despesa'!F$4)*(1+'Parâmetros financeiros Despesa'!F$7))*('Parâmetros financeiros Despesa'!F$83)</f>
        <v>654.19890000000009</v>
      </c>
      <c r="L365" s="799">
        <f t="shared" si="42"/>
        <v>3.5438525699716105E-4</v>
      </c>
      <c r="M365" s="894"/>
      <c r="N365" s="796"/>
      <c r="O365" s="733"/>
    </row>
    <row r="366" spans="1:15" s="115" customFormat="1" x14ac:dyDescent="0.25">
      <c r="A366" s="396"/>
      <c r="B366" s="1396">
        <v>34100</v>
      </c>
      <c r="C366" s="1396"/>
      <c r="D366" s="1396"/>
      <c r="E366" s="854">
        <v>344903000000000</v>
      </c>
      <c r="F366" s="855" t="s">
        <v>7303</v>
      </c>
      <c r="G366" s="468">
        <v>1</v>
      </c>
      <c r="H366" s="468">
        <v>0</v>
      </c>
      <c r="I366" s="751"/>
      <c r="J366" s="789">
        <f>('Parâmetros financeiros Despesa'!E384+'Parâmetros financeiros Despesa'!E385)</f>
        <v>0</v>
      </c>
      <c r="K366" s="789">
        <f>('Parâmetros financeiros Despesa'!F384+'Parâmetros financeiros Despesa'!F385)*((1+'Parâmetros financeiros Despesa'!F$4)*(1+'Parâmetros financeiros Despesa'!F$7))</f>
        <v>2180.663</v>
      </c>
      <c r="L366" s="799">
        <f t="shared" si="42"/>
        <v>1.1812841899905367E-3</v>
      </c>
      <c r="M366" s="894"/>
      <c r="N366" s="796"/>
      <c r="O366" s="733"/>
    </row>
    <row r="367" spans="1:15" s="115" customFormat="1" x14ac:dyDescent="0.25">
      <c r="A367" s="396"/>
      <c r="B367" s="1398" t="s">
        <v>7292</v>
      </c>
      <c r="C367" s="1398"/>
      <c r="D367" s="1398"/>
      <c r="E367" s="854">
        <v>344903600000000</v>
      </c>
      <c r="F367" s="855" t="s">
        <v>7299</v>
      </c>
      <c r="G367" s="468">
        <v>1</v>
      </c>
      <c r="H367" s="468">
        <v>0</v>
      </c>
      <c r="I367" s="751"/>
      <c r="J367" s="789">
        <f>('Parâmetros financeiros Despesa'!E386)</f>
        <v>0</v>
      </c>
      <c r="K367" s="789">
        <f>('Parâmetros financeiros Despesa'!F386)*((1+'Parâmetros financeiros Despesa'!F$4)*(1+'Parâmetros financeiros Despesa'!F$7))</f>
        <v>1090.3315</v>
      </c>
      <c r="L367" s="799">
        <f t="shared" si="42"/>
        <v>5.9064209499526833E-4</v>
      </c>
      <c r="M367" s="894"/>
      <c r="N367" s="796"/>
      <c r="O367" s="733"/>
    </row>
    <row r="368" spans="1:15" s="115" customFormat="1" x14ac:dyDescent="0.25">
      <c r="A368" s="396"/>
      <c r="B368" s="1398" t="s">
        <v>7293</v>
      </c>
      <c r="C368" s="1398"/>
      <c r="D368" s="1398"/>
      <c r="E368" s="854">
        <v>344903900000000</v>
      </c>
      <c r="F368" s="855" t="s">
        <v>7300</v>
      </c>
      <c r="G368" s="468">
        <v>1</v>
      </c>
      <c r="H368" s="468">
        <v>0</v>
      </c>
      <c r="I368" s="751"/>
      <c r="J368" s="789">
        <f>('Parâmetros financeiros Despesa'!E387+'Parâmetros financeiros Despesa'!E388)</f>
        <v>0</v>
      </c>
      <c r="K368" s="789">
        <f>('Parâmetros financeiros Despesa'!F387+'Parâmetros financeiros Despesa'!F388)*((1+'Parâmetros financeiros Despesa'!F$4)*(1+'Parâmetros financeiros Despesa'!F$7))</f>
        <v>2180.663</v>
      </c>
      <c r="L368" s="799">
        <f t="shared" si="42"/>
        <v>1.1812841899905367E-3</v>
      </c>
      <c r="M368" s="894"/>
      <c r="N368" s="796"/>
      <c r="O368" s="733"/>
    </row>
    <row r="369" spans="1:15" s="457" customFormat="1" x14ac:dyDescent="0.25">
      <c r="A369" s="396"/>
      <c r="B369" s="1398" t="s">
        <v>7294</v>
      </c>
      <c r="C369" s="1398"/>
      <c r="D369" s="1398"/>
      <c r="E369" s="854">
        <v>344905200000000</v>
      </c>
      <c r="F369" s="855" t="s">
        <v>7302</v>
      </c>
      <c r="G369" s="468">
        <v>1</v>
      </c>
      <c r="H369" s="468">
        <v>0</v>
      </c>
      <c r="I369" s="751"/>
      <c r="J369" s="789">
        <f>('Parâmetros financeiros Despesa'!E389)</f>
        <v>0</v>
      </c>
      <c r="K369" s="789">
        <f>('Parâmetros financeiros Despesa'!F389)*((1+'Parâmetros financeiros Despesa'!F$4)*(1+'Parâmetros financeiros Despesa'!F$7))</f>
        <v>2180.663</v>
      </c>
      <c r="L369" s="799">
        <f t="shared" si="42"/>
        <v>1.1812841899905367E-3</v>
      </c>
      <c r="M369" s="894"/>
      <c r="N369" s="796"/>
      <c r="O369" s="734"/>
    </row>
    <row r="370" spans="1:15" x14ac:dyDescent="0.25">
      <c r="A370" s="397"/>
      <c r="B370" s="1385" t="s">
        <v>7151</v>
      </c>
      <c r="C370" s="1385"/>
      <c r="D370" s="1385"/>
      <c r="E370" s="1385"/>
      <c r="F370" s="1385"/>
      <c r="G370" s="401"/>
      <c r="H370" s="401"/>
      <c r="I370" s="426"/>
      <c r="J370" s="402">
        <f t="shared" ref="J370:K372" si="45">J371</f>
        <v>29187.02</v>
      </c>
      <c r="K370" s="402">
        <f t="shared" si="45"/>
        <v>107928.6641905</v>
      </c>
      <c r="L370" s="451">
        <f t="shared" si="42"/>
        <v>5.846589989147128E-2</v>
      </c>
    </row>
    <row r="371" spans="1:15" x14ac:dyDescent="0.25">
      <c r="A371" s="397"/>
      <c r="B371" s="1386" t="s">
        <v>7296</v>
      </c>
      <c r="C371" s="1386"/>
      <c r="D371" s="1386"/>
      <c r="E371" s="1386"/>
      <c r="F371" s="1386"/>
      <c r="G371" s="403"/>
      <c r="H371" s="403"/>
      <c r="I371" s="427"/>
      <c r="J371" s="404">
        <f t="shared" si="45"/>
        <v>29187.02</v>
      </c>
      <c r="K371" s="404">
        <f t="shared" si="45"/>
        <v>107928.6641905</v>
      </c>
      <c r="L371" s="452">
        <f t="shared" si="42"/>
        <v>5.846589989147128E-2</v>
      </c>
    </row>
    <row r="372" spans="1:15" x14ac:dyDescent="0.25">
      <c r="A372" s="397"/>
      <c r="B372" s="1382" t="s">
        <v>7297</v>
      </c>
      <c r="C372" s="1382"/>
      <c r="D372" s="1382"/>
      <c r="E372" s="1382"/>
      <c r="F372" s="1382"/>
      <c r="G372" s="405"/>
      <c r="H372" s="405"/>
      <c r="I372" s="428"/>
      <c r="J372" s="406">
        <f t="shared" si="45"/>
        <v>29187.02</v>
      </c>
      <c r="K372" s="406">
        <f t="shared" si="45"/>
        <v>107928.6641905</v>
      </c>
      <c r="L372" s="453">
        <f t="shared" si="42"/>
        <v>5.846589989147128E-2</v>
      </c>
    </row>
    <row r="373" spans="1:15" x14ac:dyDescent="0.25">
      <c r="A373" s="397"/>
      <c r="B373" s="1383" t="s">
        <v>7298</v>
      </c>
      <c r="C373" s="1383"/>
      <c r="D373" s="1383"/>
      <c r="E373" s="1383"/>
      <c r="F373" s="1383"/>
      <c r="G373" s="407"/>
      <c r="H373" s="407"/>
      <c r="I373" s="429"/>
      <c r="J373" s="408">
        <f>SUM(J374:J379)+0.02</f>
        <v>29187.02</v>
      </c>
      <c r="K373" s="408">
        <f>SUM(K374:K379)+0.02</f>
        <v>107928.6641905</v>
      </c>
      <c r="L373" s="454">
        <f t="shared" si="42"/>
        <v>5.846589989147128E-2</v>
      </c>
    </row>
    <row r="374" spans="1:15" s="115" customFormat="1" x14ac:dyDescent="0.25">
      <c r="A374" s="396"/>
      <c r="B374" s="1398" t="s">
        <v>7305</v>
      </c>
      <c r="C374" s="1398"/>
      <c r="D374" s="1398"/>
      <c r="E374" s="854">
        <v>333904700000000</v>
      </c>
      <c r="F374" s="855" t="s">
        <v>7312</v>
      </c>
      <c r="G374" s="468">
        <v>1</v>
      </c>
      <c r="H374" s="468">
        <v>0</v>
      </c>
      <c r="I374" s="751"/>
      <c r="J374" s="789">
        <v>0</v>
      </c>
      <c r="K374" s="789">
        <f>('Parâmetros financeiros Despesa'!F392+'Parâmetros financeiros Despesa'!F393+'Parâmetros financeiros Despesa'!F395)*((1+'Parâmetros financeiros Despesa'!F$4)*(1+'Parâmetros financeiros Despesa'!F$7))*('Parâmetros financeiros Despesa'!F$83)</f>
        <v>3052.9282000000003</v>
      </c>
      <c r="L374" s="799">
        <f t="shared" si="42"/>
        <v>1.6537978659867515E-3</v>
      </c>
      <c r="M374" s="894"/>
      <c r="N374" s="796"/>
      <c r="O374" s="733"/>
    </row>
    <row r="375" spans="1:15" s="115" customFormat="1" x14ac:dyDescent="0.25">
      <c r="A375" s="396"/>
      <c r="B375" s="1396">
        <v>35100</v>
      </c>
      <c r="C375" s="1396"/>
      <c r="D375" s="1396"/>
      <c r="E375" s="854">
        <v>344903000000000</v>
      </c>
      <c r="F375" s="855" t="s">
        <v>7310</v>
      </c>
      <c r="G375" s="468">
        <v>1</v>
      </c>
      <c r="H375" s="468">
        <v>0</v>
      </c>
      <c r="I375" s="751"/>
      <c r="J375" s="789">
        <f>('Parâmetros financeiros Despesa'!E391+'Parâmetros financeiros Despesa'!E392)</f>
        <v>29187</v>
      </c>
      <c r="K375" s="789">
        <f>('Parâmetros financeiros Despesa'!F391+'Parâmetros financeiros Despesa'!F392)*((1+'Parâmetros financeiros Despesa'!F$4)*(1+'Parâmetros financeiros Despesa'!F$7))</f>
        <v>34004.1684905</v>
      </c>
      <c r="L375" s="799">
        <f t="shared" si="42"/>
        <v>1.8420355016617436E-2</v>
      </c>
      <c r="M375" s="894"/>
      <c r="N375" s="796"/>
      <c r="O375" s="733"/>
    </row>
    <row r="376" spans="1:15" s="115" customFormat="1" x14ac:dyDescent="0.25">
      <c r="A376" s="396"/>
      <c r="B376" s="1398" t="s">
        <v>7306</v>
      </c>
      <c r="C376" s="1398"/>
      <c r="D376" s="1398"/>
      <c r="E376" s="854">
        <v>344903600000000</v>
      </c>
      <c r="F376" s="855" t="s">
        <v>7313</v>
      </c>
      <c r="G376" s="468">
        <v>1</v>
      </c>
      <c r="H376" s="468">
        <v>0</v>
      </c>
      <c r="I376" s="751"/>
      <c r="J376" s="789">
        <f>('Parâmetros financeiros Despesa'!E393)</f>
        <v>0</v>
      </c>
      <c r="K376" s="789">
        <f>('Parâmetros financeiros Despesa'!F393)*((1+'Parâmetros financeiros Despesa'!F$4)*(1+'Parâmetros financeiros Despesa'!F$7))</f>
        <v>10903.315000000001</v>
      </c>
      <c r="L376" s="799">
        <f t="shared" si="42"/>
        <v>5.9064209499526841E-3</v>
      </c>
      <c r="M376" s="894"/>
      <c r="N376" s="796"/>
      <c r="O376" s="733"/>
    </row>
    <row r="377" spans="1:15" s="115" customFormat="1" x14ac:dyDescent="0.25">
      <c r="A377" s="396"/>
      <c r="B377" s="1398" t="s">
        <v>7307</v>
      </c>
      <c r="C377" s="1398"/>
      <c r="D377" s="1398"/>
      <c r="E377" s="854">
        <v>344903900000000</v>
      </c>
      <c r="F377" s="855" t="s">
        <v>7314</v>
      </c>
      <c r="G377" s="468">
        <v>1</v>
      </c>
      <c r="H377" s="468">
        <v>0</v>
      </c>
      <c r="I377" s="751"/>
      <c r="J377" s="789">
        <f>('Parâmetros financeiros Despesa'!E394+'Parâmetros financeiros Despesa'!E395)</f>
        <v>0</v>
      </c>
      <c r="K377" s="789">
        <f>('Parâmetros financeiros Despesa'!F394+'Parâmetros financeiros Despesa'!F395)*((1+'Parâmetros financeiros Despesa'!F$4)*(1+'Parâmetros financeiros Despesa'!F$7))</f>
        <v>23987.293000000001</v>
      </c>
      <c r="L377" s="799">
        <f t="shared" si="42"/>
        <v>1.2994126089895905E-2</v>
      </c>
      <c r="M377" s="894"/>
      <c r="N377" s="796"/>
      <c r="O377" s="733"/>
    </row>
    <row r="378" spans="1:15" s="457" customFormat="1" x14ac:dyDescent="0.25">
      <c r="A378" s="396"/>
      <c r="B378" s="1398" t="s">
        <v>7308</v>
      </c>
      <c r="C378" s="1398"/>
      <c r="D378" s="1398"/>
      <c r="E378" s="854">
        <v>344905100000000</v>
      </c>
      <c r="F378" s="855" t="s">
        <v>7311</v>
      </c>
      <c r="G378" s="468">
        <v>1</v>
      </c>
      <c r="H378" s="468">
        <v>0</v>
      </c>
      <c r="I378" s="751"/>
      <c r="J378" s="789">
        <f>('Parâmetros financeiros Despesa'!E396)</f>
        <v>0</v>
      </c>
      <c r="K378" s="789">
        <f>('Parâmetros financeiros Despesa'!F396)*((1+'Parâmetros financeiros Despesa'!F$4)*(1+'Parâmetros financeiros Despesa'!F$7))</f>
        <v>30529.281999999999</v>
      </c>
      <c r="L378" s="799">
        <f t="shared" si="42"/>
        <v>1.6537978659867513E-2</v>
      </c>
      <c r="M378" s="894"/>
      <c r="N378" s="796"/>
      <c r="O378" s="734"/>
    </row>
    <row r="379" spans="1:15" s="457" customFormat="1" x14ac:dyDescent="0.25">
      <c r="A379" s="396"/>
      <c r="B379" s="1398" t="s">
        <v>7309</v>
      </c>
      <c r="C379" s="1398"/>
      <c r="D379" s="1398"/>
      <c r="E379" s="854">
        <v>344905200000000</v>
      </c>
      <c r="F379" s="855" t="s">
        <v>7315</v>
      </c>
      <c r="G379" s="468">
        <v>1</v>
      </c>
      <c r="H379" s="468">
        <v>0</v>
      </c>
      <c r="I379" s="751"/>
      <c r="J379" s="789">
        <f>('Parâmetros financeiros Despesa'!E397)</f>
        <v>0</v>
      </c>
      <c r="K379" s="789">
        <f>('Parâmetros financeiros Despesa'!F397)*((1+'Parâmetros financeiros Despesa'!F$4)*(1+'Parâmetros financeiros Despesa'!F$7))</f>
        <v>5451.6575000000003</v>
      </c>
      <c r="L379" s="799">
        <f t="shared" si="42"/>
        <v>2.9532104749763421E-3</v>
      </c>
      <c r="M379" s="894"/>
      <c r="N379" s="796"/>
      <c r="O379" s="734"/>
    </row>
    <row r="380" spans="1:15" x14ac:dyDescent="0.25">
      <c r="A380" s="397"/>
      <c r="B380" s="1385" t="s">
        <v>7151</v>
      </c>
      <c r="C380" s="1385"/>
      <c r="D380" s="1385"/>
      <c r="E380" s="1385"/>
      <c r="F380" s="1385"/>
      <c r="G380" s="401"/>
      <c r="H380" s="401"/>
      <c r="I380" s="426"/>
      <c r="J380" s="402">
        <f t="shared" ref="J380:K382" si="46">J381</f>
        <v>11636.25</v>
      </c>
      <c r="K380" s="402">
        <f t="shared" si="46"/>
        <v>49104.45201687501</v>
      </c>
      <c r="L380" s="451">
        <f t="shared" si="42"/>
        <v>2.6600310467817984E-2</v>
      </c>
    </row>
    <row r="381" spans="1:15" x14ac:dyDescent="0.25">
      <c r="A381" s="397"/>
      <c r="B381" s="1386" t="s">
        <v>7321</v>
      </c>
      <c r="C381" s="1386"/>
      <c r="D381" s="1386"/>
      <c r="E381" s="1386"/>
      <c r="F381" s="1386"/>
      <c r="G381" s="403"/>
      <c r="H381" s="403"/>
      <c r="I381" s="427"/>
      <c r="J381" s="404">
        <f t="shared" si="46"/>
        <v>11636.25</v>
      </c>
      <c r="K381" s="404">
        <f t="shared" si="46"/>
        <v>49104.45201687501</v>
      </c>
      <c r="L381" s="452">
        <f t="shared" si="42"/>
        <v>2.6600310467817984E-2</v>
      </c>
    </row>
    <row r="382" spans="1:15" x14ac:dyDescent="0.25">
      <c r="A382" s="397"/>
      <c r="B382" s="1382" t="s">
        <v>7297</v>
      </c>
      <c r="C382" s="1382"/>
      <c r="D382" s="1382"/>
      <c r="E382" s="1382"/>
      <c r="F382" s="1382"/>
      <c r="G382" s="405"/>
      <c r="H382" s="405"/>
      <c r="I382" s="428"/>
      <c r="J382" s="406">
        <f t="shared" si="46"/>
        <v>11636.25</v>
      </c>
      <c r="K382" s="406">
        <f t="shared" si="46"/>
        <v>49104.45201687501</v>
      </c>
      <c r="L382" s="453">
        <f t="shared" si="42"/>
        <v>2.6600310467817984E-2</v>
      </c>
    </row>
    <row r="383" spans="1:15" x14ac:dyDescent="0.25">
      <c r="A383" s="397"/>
      <c r="B383" s="1383" t="s">
        <v>7298</v>
      </c>
      <c r="C383" s="1383"/>
      <c r="D383" s="1383"/>
      <c r="E383" s="1383"/>
      <c r="F383" s="1383"/>
      <c r="G383" s="407"/>
      <c r="H383" s="407"/>
      <c r="I383" s="429"/>
      <c r="J383" s="408">
        <f>SUM(J384:J389)</f>
        <v>11636.25</v>
      </c>
      <c r="K383" s="408">
        <f>SUM(K384:K389)+0.01</f>
        <v>49104.45201687501</v>
      </c>
      <c r="L383" s="454">
        <f t="shared" si="42"/>
        <v>2.6600310467817984E-2</v>
      </c>
    </row>
    <row r="384" spans="1:15" s="115" customFormat="1" x14ac:dyDescent="0.25">
      <c r="A384" s="396"/>
      <c r="B384" s="1398" t="s">
        <v>7316</v>
      </c>
      <c r="C384" s="1398"/>
      <c r="D384" s="1398"/>
      <c r="E384" s="854">
        <v>333903000000000</v>
      </c>
      <c r="F384" s="855" t="s">
        <v>7327</v>
      </c>
      <c r="G384" s="468">
        <v>1</v>
      </c>
      <c r="H384" s="468">
        <v>0</v>
      </c>
      <c r="I384" s="751"/>
      <c r="J384" s="789">
        <f>('Parâmetros financeiros Despesa'!E399+'Parâmetros financeiros Despesa'!E400)</f>
        <v>7586.25</v>
      </c>
      <c r="K384" s="789">
        <f>('Parâmetros financeiros Despesa'!F399+'Parâmetros financeiros Despesa'!F400)*((1+'Parâmetros financeiros Despesa'!F$4)*(1+'Parâmetros financeiros Despesa'!F$7))</f>
        <v>10452.190341875001</v>
      </c>
      <c r="L384" s="799">
        <f t="shared" si="42"/>
        <v>5.6620427831483916E-3</v>
      </c>
      <c r="M384" s="894"/>
      <c r="N384" s="796"/>
      <c r="O384" s="733"/>
    </row>
    <row r="385" spans="1:15" s="115" customFormat="1" x14ac:dyDescent="0.25">
      <c r="A385" s="396"/>
      <c r="B385" s="1396">
        <v>36100</v>
      </c>
      <c r="C385" s="1396"/>
      <c r="D385" s="1396"/>
      <c r="E385" s="854">
        <v>333903600000000</v>
      </c>
      <c r="F385" s="855" t="s">
        <v>7328</v>
      </c>
      <c r="G385" s="468">
        <v>1</v>
      </c>
      <c r="H385" s="468">
        <v>0</v>
      </c>
      <c r="I385" s="751"/>
      <c r="J385" s="789">
        <f>('Parâmetros financeiros Despesa'!E401)</f>
        <v>3375</v>
      </c>
      <c r="K385" s="789">
        <f>('Parâmetros financeiros Despesa'!F401)*((1+'Parâmetros financeiros Despesa'!F$4)*(1+'Parâmetros financeiros Despesa'!F$7))</f>
        <v>3679.8688124999999</v>
      </c>
      <c r="L385" s="799">
        <f t="shared" si="42"/>
        <v>1.9934170706090307E-3</v>
      </c>
      <c r="M385" s="894"/>
      <c r="N385" s="796"/>
      <c r="O385" s="733"/>
    </row>
    <row r="386" spans="1:15" s="115" customFormat="1" x14ac:dyDescent="0.25">
      <c r="A386" s="396"/>
      <c r="B386" s="1398" t="s">
        <v>7317</v>
      </c>
      <c r="C386" s="1398"/>
      <c r="D386" s="1398"/>
      <c r="E386" s="854">
        <v>333903900000000</v>
      </c>
      <c r="F386" s="855" t="s">
        <v>7329</v>
      </c>
      <c r="G386" s="468">
        <v>1</v>
      </c>
      <c r="H386" s="468">
        <v>0</v>
      </c>
      <c r="I386" s="751"/>
      <c r="J386" s="789">
        <f>('Parâmetros financeiros Despesa'!E402+'Parâmetros financeiros Despesa'!E403)</f>
        <v>0</v>
      </c>
      <c r="K386" s="789">
        <f>('Parâmetros financeiros Despesa'!F402+'Parâmetros financeiros Despesa'!F403)*((1+'Parâmetros financeiros Despesa'!F$4)*(1+'Parâmetros financeiros Despesa'!F$7))</f>
        <v>21806.63</v>
      </c>
      <c r="L386" s="799">
        <f t="shared" si="42"/>
        <v>1.1812841899905368E-2</v>
      </c>
      <c r="M386" s="894"/>
      <c r="N386" s="796"/>
      <c r="O386" s="733"/>
    </row>
    <row r="387" spans="1:15" s="115" customFormat="1" x14ac:dyDescent="0.25">
      <c r="A387" s="396"/>
      <c r="B387" s="1398" t="s">
        <v>7318</v>
      </c>
      <c r="C387" s="1398"/>
      <c r="D387" s="1398"/>
      <c r="E387" s="854">
        <v>333904700000000</v>
      </c>
      <c r="F387" s="855" t="s">
        <v>7330</v>
      </c>
      <c r="G387" s="468">
        <v>1</v>
      </c>
      <c r="H387" s="468">
        <v>0</v>
      </c>
      <c r="I387" s="751"/>
      <c r="J387" s="789">
        <f>'Parâmetros financeiros Despesa'!E406</f>
        <v>675</v>
      </c>
      <c r="K387" s="789">
        <f>('Parâmetros financeiros Despesa'!F400+'Parâmetros financeiros Despesa'!F403+'Parâmetros financeiros Despesa'!F401)*((1+'Parâmetros financeiros Despesa'!F$4)*(1+'Parâmetros financeiros Despesa'!F$7))*('Parâmetros financeiros Despesa'!F$83)</f>
        <v>2262.4378625000004</v>
      </c>
      <c r="L387" s="799">
        <f t="shared" si="42"/>
        <v>1.2255823471151821E-3</v>
      </c>
      <c r="M387" s="894"/>
      <c r="N387" s="796"/>
      <c r="O387" s="733"/>
    </row>
    <row r="388" spans="1:15" s="457" customFormat="1" x14ac:dyDescent="0.25">
      <c r="A388" s="396"/>
      <c r="B388" s="1398" t="s">
        <v>7319</v>
      </c>
      <c r="C388" s="1398"/>
      <c r="D388" s="1398"/>
      <c r="E388" s="854">
        <v>344905100000000</v>
      </c>
      <c r="F388" s="855" t="s">
        <v>7331</v>
      </c>
      <c r="G388" s="468">
        <v>1</v>
      </c>
      <c r="H388" s="468">
        <v>0</v>
      </c>
      <c r="I388" s="751"/>
      <c r="J388" s="789">
        <f>('Parâmetros financeiros Despesa'!E404)</f>
        <v>0</v>
      </c>
      <c r="K388" s="789">
        <f>('Parâmetros financeiros Despesa'!F404)*((1+'Parâmetros financeiros Despesa'!F$4)*(1+'Parâmetros financeiros Despesa'!F$7))</f>
        <v>5451.6575000000003</v>
      </c>
      <c r="L388" s="799">
        <f t="shared" si="42"/>
        <v>2.9532104749763421E-3</v>
      </c>
      <c r="M388" s="894"/>
      <c r="N388" s="796"/>
      <c r="O388" s="734"/>
    </row>
    <row r="389" spans="1:15" s="457" customFormat="1" x14ac:dyDescent="0.25">
      <c r="A389" s="396"/>
      <c r="B389" s="1398" t="s">
        <v>7320</v>
      </c>
      <c r="C389" s="1398"/>
      <c r="D389" s="1398"/>
      <c r="E389" s="854">
        <v>344905200000000</v>
      </c>
      <c r="F389" s="855" t="s">
        <v>7332</v>
      </c>
      <c r="G389" s="468">
        <v>1</v>
      </c>
      <c r="H389" s="468">
        <v>0</v>
      </c>
      <c r="I389" s="751"/>
      <c r="J389" s="789">
        <f>('Parâmetros financeiros Despesa'!E405)</f>
        <v>0</v>
      </c>
      <c r="K389" s="789">
        <f>('Parâmetros financeiros Despesa'!F405)*((1+'Parâmetros financeiros Despesa'!F$4)*(1+'Parâmetros financeiros Despesa'!F$7))</f>
        <v>5451.6575000000003</v>
      </c>
      <c r="L389" s="799">
        <f t="shared" si="42"/>
        <v>2.9532104749763421E-3</v>
      </c>
      <c r="M389" s="894"/>
      <c r="N389" s="796"/>
      <c r="O389" s="734"/>
    </row>
    <row r="390" spans="1:15" x14ac:dyDescent="0.25">
      <c r="A390" s="397"/>
      <c r="B390" s="1385" t="s">
        <v>7151</v>
      </c>
      <c r="C390" s="1385"/>
      <c r="D390" s="1385"/>
      <c r="E390" s="1385"/>
      <c r="F390" s="1385"/>
      <c r="G390" s="401"/>
      <c r="H390" s="401"/>
      <c r="I390" s="426"/>
      <c r="J390" s="402">
        <f t="shared" ref="J390:K392" si="47">J391</f>
        <v>333771.33999999997</v>
      </c>
      <c r="K390" s="402">
        <f t="shared" si="47"/>
        <v>357475.86116872751</v>
      </c>
      <c r="L390" s="451">
        <f t="shared" si="42"/>
        <v>0.19364779569418558</v>
      </c>
    </row>
    <row r="391" spans="1:15" x14ac:dyDescent="0.25">
      <c r="A391" s="397"/>
      <c r="B391" s="1386" t="s">
        <v>7322</v>
      </c>
      <c r="C391" s="1386"/>
      <c r="D391" s="1386"/>
      <c r="E391" s="1386"/>
      <c r="F391" s="1386"/>
      <c r="G391" s="403"/>
      <c r="H391" s="403"/>
      <c r="I391" s="427"/>
      <c r="J391" s="404">
        <f t="shared" si="47"/>
        <v>333771.33999999997</v>
      </c>
      <c r="K391" s="404">
        <f t="shared" si="47"/>
        <v>357475.86116872751</v>
      </c>
      <c r="L391" s="452">
        <f t="shared" si="42"/>
        <v>0.19364779569418558</v>
      </c>
    </row>
    <row r="392" spans="1:15" x14ac:dyDescent="0.25">
      <c r="A392" s="397"/>
      <c r="B392" s="1382" t="s">
        <v>7297</v>
      </c>
      <c r="C392" s="1382"/>
      <c r="D392" s="1382"/>
      <c r="E392" s="1382"/>
      <c r="F392" s="1382"/>
      <c r="G392" s="405"/>
      <c r="H392" s="405"/>
      <c r="I392" s="428"/>
      <c r="J392" s="406">
        <f t="shared" si="47"/>
        <v>333771.33999999997</v>
      </c>
      <c r="K392" s="406">
        <f t="shared" si="47"/>
        <v>357475.86116872751</v>
      </c>
      <c r="L392" s="453">
        <f t="shared" si="42"/>
        <v>0.19364779569418558</v>
      </c>
    </row>
    <row r="393" spans="1:15" x14ac:dyDescent="0.25">
      <c r="A393" s="397"/>
      <c r="B393" s="1383" t="s">
        <v>7298</v>
      </c>
      <c r="C393" s="1383"/>
      <c r="D393" s="1383"/>
      <c r="E393" s="1383"/>
      <c r="F393" s="1383"/>
      <c r="G393" s="407"/>
      <c r="H393" s="407"/>
      <c r="I393" s="429"/>
      <c r="J393" s="408">
        <f>SUM(J394:J398)+0.01</f>
        <v>333771.33999999997</v>
      </c>
      <c r="K393" s="408">
        <f>SUM(K394:K398)+0.01</f>
        <v>357475.86116872751</v>
      </c>
      <c r="L393" s="454">
        <f t="shared" si="42"/>
        <v>0.19364779569418558</v>
      </c>
    </row>
    <row r="394" spans="1:15" s="115" customFormat="1" x14ac:dyDescent="0.25">
      <c r="A394" s="396"/>
      <c r="B394" s="1398" t="s">
        <v>7335</v>
      </c>
      <c r="C394" s="1398"/>
      <c r="D394" s="1398"/>
      <c r="E394" s="854">
        <v>333903000000000</v>
      </c>
      <c r="F394" s="855" t="s">
        <v>7339</v>
      </c>
      <c r="G394" s="468">
        <v>1</v>
      </c>
      <c r="H394" s="468">
        <v>0</v>
      </c>
      <c r="I394" s="751"/>
      <c r="J394" s="789">
        <f>('Parâmetros financeiros Despesa'!E408)</f>
        <v>234277.54499999998</v>
      </c>
      <c r="K394" s="789">
        <f>('Parâmetros financeiros Despesa'!F408)*((1+'Parâmetros financeiros Despesa'!F$4)*(1+'Parâmetros financeiros Despesa'!F$7))</f>
        <v>239872.93</v>
      </c>
      <c r="L394" s="799">
        <f t="shared" si="42"/>
        <v>0.12994126089895902</v>
      </c>
      <c r="M394" s="894"/>
      <c r="N394" s="796"/>
      <c r="O394" s="733"/>
    </row>
    <row r="395" spans="1:15" s="115" customFormat="1" x14ac:dyDescent="0.25">
      <c r="A395" s="396"/>
      <c r="B395" s="1396">
        <v>37100</v>
      </c>
      <c r="C395" s="1396"/>
      <c r="D395" s="1396"/>
      <c r="E395" s="854">
        <v>333903600000000</v>
      </c>
      <c r="F395" s="855" t="s">
        <v>7340</v>
      </c>
      <c r="G395" s="468">
        <v>1</v>
      </c>
      <c r="H395" s="468">
        <v>0</v>
      </c>
      <c r="I395" s="751"/>
      <c r="J395" s="789">
        <f>('Parâmetros financeiros Despesa'!E410)</f>
        <v>285</v>
      </c>
      <c r="K395" s="789">
        <f>('Parâmetros financeiros Despesa'!F410)*((1+'Parâmetros financeiros Despesa'!F$4)*(1+'Parâmetros financeiros Despesa'!F$7))</f>
        <v>3270.9945000000002</v>
      </c>
      <c r="L395" s="799">
        <f t="shared" si="42"/>
        <v>1.7719262849858052E-3</v>
      </c>
      <c r="M395" s="894"/>
      <c r="N395" s="796"/>
      <c r="O395" s="733"/>
    </row>
    <row r="396" spans="1:15" s="115" customFormat="1" x14ac:dyDescent="0.25">
      <c r="A396" s="396"/>
      <c r="B396" s="1398" t="s">
        <v>7336</v>
      </c>
      <c r="C396" s="1398"/>
      <c r="D396" s="1398"/>
      <c r="E396" s="854">
        <v>333903900000000</v>
      </c>
      <c r="F396" s="855" t="s">
        <v>7341</v>
      </c>
      <c r="G396" s="468">
        <v>1</v>
      </c>
      <c r="H396" s="468">
        <v>0</v>
      </c>
      <c r="I396" s="751"/>
      <c r="J396" s="789">
        <f>('Parâmetros financeiros Despesa'!E411+'Parâmetros financeiros Despesa'!E412)</f>
        <v>98059.785000000003</v>
      </c>
      <c r="K396" s="789">
        <f>('Parâmetros financeiros Despesa'!F411+'Parâmetros financeiros Despesa'!F412)*((1+'Parâmetros financeiros Despesa'!F$4)*(1+'Parâmetros financeiros Despesa'!F$7))</f>
        <v>110188.6669687275</v>
      </c>
      <c r="L396" s="799">
        <f t="shared" si="42"/>
        <v>5.9690163132171396E-2</v>
      </c>
      <c r="M396" s="894"/>
      <c r="N396" s="796"/>
      <c r="O396" s="733"/>
    </row>
    <row r="397" spans="1:15" s="115" customFormat="1" x14ac:dyDescent="0.25">
      <c r="A397" s="396"/>
      <c r="B397" s="1398" t="s">
        <v>7337</v>
      </c>
      <c r="C397" s="1398"/>
      <c r="D397" s="1398"/>
      <c r="E397" s="854">
        <v>333904700000000</v>
      </c>
      <c r="F397" s="855" t="s">
        <v>7342</v>
      </c>
      <c r="G397" s="468">
        <v>1</v>
      </c>
      <c r="H397" s="468">
        <v>0</v>
      </c>
      <c r="I397" s="751"/>
      <c r="J397" s="789">
        <f>'Parâmetros financeiros Despesa'!E414</f>
        <v>1149</v>
      </c>
      <c r="K397" s="789">
        <f>('Parâmetros financeiros Despesa'!F409+'Parâmetros financeiros Despesa'!F410+'Parâmetros financeiros Despesa'!F412)*((1+'Parâmetros financeiros Despesa'!F$4)*(1+'Parâmetros financeiros Despesa'!F$7))*('Parâmetros financeiros Despesa'!F$83)</f>
        <v>1962.5967000000001</v>
      </c>
      <c r="L397" s="799">
        <f t="shared" si="42"/>
        <v>1.063155770991483E-3</v>
      </c>
      <c r="M397" s="894"/>
      <c r="N397" s="796"/>
      <c r="O397" s="733"/>
    </row>
    <row r="398" spans="1:15" s="457" customFormat="1" x14ac:dyDescent="0.25">
      <c r="A398" s="396"/>
      <c r="B398" s="1398" t="s">
        <v>7338</v>
      </c>
      <c r="C398" s="1398"/>
      <c r="D398" s="1398"/>
      <c r="E398" s="854">
        <v>344905200000000</v>
      </c>
      <c r="F398" s="855" t="s">
        <v>7343</v>
      </c>
      <c r="G398" s="468">
        <v>1</v>
      </c>
      <c r="H398" s="468">
        <v>0</v>
      </c>
      <c r="I398" s="751"/>
      <c r="J398" s="789">
        <f>('Parâmetros financeiros Despesa'!E413)</f>
        <v>0</v>
      </c>
      <c r="K398" s="789">
        <f>('Parâmetros financeiros Despesa'!F413)*((1+'Parâmetros financeiros Despesa'!F$4)*(1+'Parâmetros financeiros Despesa'!F$7))</f>
        <v>2180.663</v>
      </c>
      <c r="L398" s="799">
        <f t="shared" si="42"/>
        <v>1.1812841899905367E-3</v>
      </c>
      <c r="M398" s="894"/>
      <c r="N398" s="796"/>
      <c r="O398" s="734"/>
    </row>
    <row r="399" spans="1:15" x14ac:dyDescent="0.25">
      <c r="A399" s="397"/>
      <c r="B399" s="1385" t="s">
        <v>7151</v>
      </c>
      <c r="C399" s="1385"/>
      <c r="D399" s="1385"/>
      <c r="E399" s="1385"/>
      <c r="F399" s="1385"/>
      <c r="G399" s="401"/>
      <c r="H399" s="401"/>
      <c r="I399" s="426"/>
      <c r="J399" s="402">
        <f t="shared" ref="J399:K401" si="48">J400</f>
        <v>4188.4399999999996</v>
      </c>
      <c r="K399" s="402">
        <f t="shared" si="48"/>
        <v>45357.780399999996</v>
      </c>
      <c r="L399" s="451">
        <f t="shared" si="42"/>
        <v>2.4570705734715835E-2</v>
      </c>
    </row>
    <row r="400" spans="1:15" x14ac:dyDescent="0.25">
      <c r="A400" s="397"/>
      <c r="B400" s="1386" t="s">
        <v>7323</v>
      </c>
      <c r="C400" s="1386"/>
      <c r="D400" s="1386"/>
      <c r="E400" s="1386"/>
      <c r="F400" s="1386"/>
      <c r="G400" s="403"/>
      <c r="H400" s="403"/>
      <c r="I400" s="427"/>
      <c r="J400" s="404">
        <f t="shared" si="48"/>
        <v>4188.4399999999996</v>
      </c>
      <c r="K400" s="404">
        <f t="shared" si="48"/>
        <v>45357.780399999996</v>
      </c>
      <c r="L400" s="452">
        <f t="shared" si="42"/>
        <v>2.4570705734715835E-2</v>
      </c>
    </row>
    <row r="401" spans="1:15" x14ac:dyDescent="0.25">
      <c r="A401" s="397"/>
      <c r="B401" s="1382" t="s">
        <v>7297</v>
      </c>
      <c r="C401" s="1382"/>
      <c r="D401" s="1382"/>
      <c r="E401" s="1382"/>
      <c r="F401" s="1382"/>
      <c r="G401" s="405"/>
      <c r="H401" s="405"/>
      <c r="I401" s="428"/>
      <c r="J401" s="406">
        <f t="shared" si="48"/>
        <v>4188.4399999999996</v>
      </c>
      <c r="K401" s="406">
        <f t="shared" si="48"/>
        <v>45357.780399999996</v>
      </c>
      <c r="L401" s="453">
        <f t="shared" si="42"/>
        <v>2.4570705734715835E-2</v>
      </c>
    </row>
    <row r="402" spans="1:15" x14ac:dyDescent="0.25">
      <c r="A402" s="397"/>
      <c r="B402" s="1383" t="s">
        <v>7298</v>
      </c>
      <c r="C402" s="1383"/>
      <c r="D402" s="1383"/>
      <c r="E402" s="1383"/>
      <c r="F402" s="1383"/>
      <c r="G402" s="407"/>
      <c r="H402" s="407"/>
      <c r="I402" s="429"/>
      <c r="J402" s="408">
        <f>SUM(J403:J408)-0.01</f>
        <v>4188.4399999999996</v>
      </c>
      <c r="K402" s="408">
        <f>SUM(K403:K408)-0.01</f>
        <v>45357.780399999996</v>
      </c>
      <c r="L402" s="454">
        <f t="shared" si="42"/>
        <v>2.4570705734715835E-2</v>
      </c>
    </row>
    <row r="403" spans="1:15" s="115" customFormat="1" x14ac:dyDescent="0.25">
      <c r="A403" s="396"/>
      <c r="B403" s="1398" t="s">
        <v>7350</v>
      </c>
      <c r="C403" s="1398"/>
      <c r="D403" s="1398"/>
      <c r="E403" s="854">
        <v>333903000000000</v>
      </c>
      <c r="F403" s="855" t="s">
        <v>7344</v>
      </c>
      <c r="G403" s="468">
        <v>1</v>
      </c>
      <c r="H403" s="468">
        <v>0</v>
      </c>
      <c r="I403" s="751"/>
      <c r="J403" s="789">
        <f>('Parâmetros financeiros Despesa'!E417+'Parâmetros financeiros Despesa'!E418)</f>
        <v>0</v>
      </c>
      <c r="K403" s="789">
        <f>('Parâmetros financeiros Despesa'!F417+'Parâmetros financeiros Despesa'!F418)*((1+'Parâmetros financeiros Despesa'!F$4)*(1+'Parâmetros financeiros Despesa'!F$7))</f>
        <v>2180.663</v>
      </c>
      <c r="L403" s="799">
        <f t="shared" si="42"/>
        <v>1.1812841899905367E-3</v>
      </c>
      <c r="M403" s="894"/>
      <c r="N403" s="796"/>
      <c r="O403" s="733"/>
    </row>
    <row r="404" spans="1:15" s="115" customFormat="1" x14ac:dyDescent="0.25">
      <c r="A404" s="396"/>
      <c r="B404" s="1396">
        <v>38100</v>
      </c>
      <c r="C404" s="1396"/>
      <c r="D404" s="1396"/>
      <c r="E404" s="854">
        <v>333903600000000</v>
      </c>
      <c r="F404" s="855" t="s">
        <v>7345</v>
      </c>
      <c r="G404" s="468">
        <v>1</v>
      </c>
      <c r="H404" s="468">
        <v>0</v>
      </c>
      <c r="I404" s="751"/>
      <c r="J404" s="789">
        <f>('Parâmetros financeiros Despesa'!E419)</f>
        <v>0</v>
      </c>
      <c r="K404" s="789">
        <f>('Parâmetros financeiros Despesa'!F419)*((1+'Parâmetros financeiros Despesa'!F$4)*(1+'Parâmetros financeiros Despesa'!F$7))</f>
        <v>1090.3315</v>
      </c>
      <c r="L404" s="799">
        <f t="shared" si="42"/>
        <v>5.9064209499526833E-4</v>
      </c>
      <c r="M404" s="894"/>
      <c r="N404" s="796"/>
      <c r="O404" s="733"/>
    </row>
    <row r="405" spans="1:15" s="115" customFormat="1" x14ac:dyDescent="0.25">
      <c r="A405" s="396"/>
      <c r="B405" s="1398" t="s">
        <v>7351</v>
      </c>
      <c r="C405" s="1398"/>
      <c r="D405" s="1398"/>
      <c r="E405" s="854">
        <v>333903900000000</v>
      </c>
      <c r="F405" s="855" t="s">
        <v>7346</v>
      </c>
      <c r="G405" s="468">
        <v>1</v>
      </c>
      <c r="H405" s="468">
        <v>0</v>
      </c>
      <c r="I405" s="751"/>
      <c r="J405" s="789">
        <f>('Parâmetros financeiros Despesa'!E420+'Parâmetros financeiros Despesa'!E421)</f>
        <v>0</v>
      </c>
      <c r="K405" s="789">
        <f>('Parâmetros financeiros Despesa'!F420+'Parâmetros financeiros Despesa'!F421)*((1+'Parâmetros financeiros Despesa'!F$4)*(1+'Parâmetros financeiros Despesa'!F$7))</f>
        <v>2180.663</v>
      </c>
      <c r="L405" s="799">
        <f t="shared" si="42"/>
        <v>1.1812841899905367E-3</v>
      </c>
      <c r="M405" s="894"/>
      <c r="N405" s="796"/>
      <c r="O405" s="733"/>
    </row>
    <row r="406" spans="1:15" s="115" customFormat="1" x14ac:dyDescent="0.25">
      <c r="A406" s="396"/>
      <c r="B406" s="1398" t="s">
        <v>7352</v>
      </c>
      <c r="C406" s="1398"/>
      <c r="D406" s="1398"/>
      <c r="E406" s="854">
        <v>333904700000000</v>
      </c>
      <c r="F406" s="855" t="s">
        <v>7347</v>
      </c>
      <c r="G406" s="468">
        <v>1</v>
      </c>
      <c r="H406" s="468">
        <v>0</v>
      </c>
      <c r="I406" s="751"/>
      <c r="J406" s="789">
        <f>'Parâmetros financeiros Despesa'!E416</f>
        <v>1788</v>
      </c>
      <c r="K406" s="789">
        <f>('Parâmetros financeiros Despesa'!F418+'Parâmetros financeiros Despesa'!F421+'Parâmetros financeiros Despesa'!F419)*((1+'Parâmetros financeiros Despesa'!F$4)*(1+'Parâmetros financeiros Despesa'!F$7))*('Parâmetros financeiros Despesa'!F$83)</f>
        <v>654.19890000000009</v>
      </c>
      <c r="L406" s="799">
        <f t="shared" si="42"/>
        <v>3.5438525699716105E-4</v>
      </c>
      <c r="M406" s="894"/>
      <c r="N406" s="796"/>
      <c r="O406" s="733"/>
    </row>
    <row r="407" spans="1:15" s="457" customFormat="1" x14ac:dyDescent="0.25">
      <c r="A407" s="396"/>
      <c r="B407" s="1398" t="s">
        <v>7353</v>
      </c>
      <c r="C407" s="1398"/>
      <c r="D407" s="1398"/>
      <c r="E407" s="854">
        <v>344905100000000</v>
      </c>
      <c r="F407" s="855" t="s">
        <v>7348</v>
      </c>
      <c r="G407" s="468">
        <v>1</v>
      </c>
      <c r="H407" s="468">
        <v>0</v>
      </c>
      <c r="I407" s="751"/>
      <c r="J407" s="789">
        <f>('Parâmetros financeiros Despesa'!E422)</f>
        <v>2400.4499999999998</v>
      </c>
      <c r="K407" s="789">
        <f>('Parâmetros financeiros Despesa'!F422)*((1+'Parâmetros financeiros Despesa'!F$4)*(1+'Parâmetros financeiros Despesa'!F$7))</f>
        <v>38161.602500000001</v>
      </c>
      <c r="L407" s="799">
        <f t="shared" si="42"/>
        <v>2.0672473324834392E-2</v>
      </c>
      <c r="M407" s="894"/>
      <c r="N407" s="796"/>
      <c r="O407" s="734"/>
    </row>
    <row r="408" spans="1:15" s="457" customFormat="1" x14ac:dyDescent="0.25">
      <c r="A408" s="396"/>
      <c r="B408" s="1398" t="s">
        <v>7354</v>
      </c>
      <c r="C408" s="1398"/>
      <c r="D408" s="1398"/>
      <c r="E408" s="854">
        <v>344905200000000</v>
      </c>
      <c r="F408" s="855" t="s">
        <v>7349</v>
      </c>
      <c r="G408" s="468">
        <v>1</v>
      </c>
      <c r="H408" s="468">
        <v>0</v>
      </c>
      <c r="I408" s="751"/>
      <c r="J408" s="789">
        <f>('Parâmetros financeiros Despesa'!E423)</f>
        <v>0</v>
      </c>
      <c r="K408" s="789">
        <f>('Parâmetros financeiros Despesa'!F423)*((1+'Parâmetros financeiros Despesa'!F$4)*(1+'Parâmetros financeiros Despesa'!F$7))</f>
        <v>1090.3315</v>
      </c>
      <c r="L408" s="799">
        <f t="shared" si="42"/>
        <v>5.9064209499526833E-4</v>
      </c>
      <c r="M408" s="894"/>
      <c r="N408" s="796"/>
      <c r="O408" s="734"/>
    </row>
    <row r="409" spans="1:15" x14ac:dyDescent="0.25">
      <c r="A409" s="397"/>
      <c r="B409" s="1385" t="s">
        <v>7151</v>
      </c>
      <c r="C409" s="1385"/>
      <c r="D409" s="1385"/>
      <c r="E409" s="1385"/>
      <c r="F409" s="1385"/>
      <c r="G409" s="401"/>
      <c r="H409" s="401"/>
      <c r="I409" s="426"/>
      <c r="J409" s="402">
        <f t="shared" ref="J409:K411" si="49">J410</f>
        <v>0</v>
      </c>
      <c r="K409" s="402">
        <f t="shared" si="49"/>
        <v>12647.8354</v>
      </c>
      <c r="L409" s="451">
        <f t="shared" si="42"/>
        <v>6.851442884857787E-3</v>
      </c>
    </row>
    <row r="410" spans="1:15" x14ac:dyDescent="0.25">
      <c r="A410" s="397"/>
      <c r="B410" s="1386" t="s">
        <v>7324</v>
      </c>
      <c r="C410" s="1386"/>
      <c r="D410" s="1386"/>
      <c r="E410" s="1386"/>
      <c r="F410" s="1386"/>
      <c r="G410" s="403"/>
      <c r="H410" s="403"/>
      <c r="I410" s="427"/>
      <c r="J410" s="404">
        <f t="shared" si="49"/>
        <v>0</v>
      </c>
      <c r="K410" s="404">
        <f t="shared" si="49"/>
        <v>12647.8354</v>
      </c>
      <c r="L410" s="452">
        <f t="shared" si="42"/>
        <v>6.851442884857787E-3</v>
      </c>
    </row>
    <row r="411" spans="1:15" x14ac:dyDescent="0.25">
      <c r="A411" s="397"/>
      <c r="B411" s="1382" t="s">
        <v>7297</v>
      </c>
      <c r="C411" s="1382"/>
      <c r="D411" s="1382"/>
      <c r="E411" s="1382"/>
      <c r="F411" s="1382"/>
      <c r="G411" s="405"/>
      <c r="H411" s="405"/>
      <c r="I411" s="428"/>
      <c r="J411" s="406">
        <f t="shared" si="49"/>
        <v>0</v>
      </c>
      <c r="K411" s="406">
        <f t="shared" si="49"/>
        <v>12647.8354</v>
      </c>
      <c r="L411" s="453">
        <f t="shared" si="42"/>
        <v>6.851442884857787E-3</v>
      </c>
    </row>
    <row r="412" spans="1:15" x14ac:dyDescent="0.25">
      <c r="A412" s="397"/>
      <c r="B412" s="1383" t="s">
        <v>7298</v>
      </c>
      <c r="C412" s="1383"/>
      <c r="D412" s="1383"/>
      <c r="E412" s="1383"/>
      <c r="F412" s="1383"/>
      <c r="G412" s="407"/>
      <c r="H412" s="407"/>
      <c r="I412" s="429"/>
      <c r="J412" s="408">
        <f>SUM(J413:J418)</f>
        <v>0</v>
      </c>
      <c r="K412" s="408">
        <f>SUM(K413:K418)-0.01</f>
        <v>12647.8354</v>
      </c>
      <c r="L412" s="454">
        <f t="shared" si="42"/>
        <v>6.851442884857787E-3</v>
      </c>
    </row>
    <row r="413" spans="1:15" s="115" customFormat="1" x14ac:dyDescent="0.25">
      <c r="A413" s="396"/>
      <c r="B413" s="1398" t="s">
        <v>7355</v>
      </c>
      <c r="C413" s="1398"/>
      <c r="D413" s="1398"/>
      <c r="E413" s="854">
        <v>333903000000000</v>
      </c>
      <c r="F413" s="855" t="s">
        <v>7401</v>
      </c>
      <c r="G413" s="468">
        <v>1</v>
      </c>
      <c r="H413" s="468">
        <v>0</v>
      </c>
      <c r="I413" s="751"/>
      <c r="J413" s="789">
        <f>('Parâmetros financeiros Despesa'!E425+'Parâmetros financeiros Despesa'!E426)</f>
        <v>0</v>
      </c>
      <c r="K413" s="789">
        <f>('Parâmetros financeiros Despesa'!F425+'Parâmetros financeiros Despesa'!F426)*((1+'Parâmetros financeiros Despesa'!F$4)*(1+'Parâmetros financeiros Despesa'!F$7))</f>
        <v>2180.663</v>
      </c>
      <c r="L413" s="799">
        <f t="shared" si="42"/>
        <v>1.1812841899905367E-3</v>
      </c>
      <c r="M413" s="894"/>
      <c r="O413" s="733"/>
    </row>
    <row r="414" spans="1:15" s="115" customFormat="1" x14ac:dyDescent="0.25">
      <c r="A414" s="396"/>
      <c r="B414" s="1396">
        <v>39100</v>
      </c>
      <c r="C414" s="1396"/>
      <c r="D414" s="1396"/>
      <c r="E414" s="854">
        <v>333903600000000</v>
      </c>
      <c r="F414" s="855" t="s">
        <v>7402</v>
      </c>
      <c r="G414" s="468">
        <v>1</v>
      </c>
      <c r="H414" s="468">
        <v>0</v>
      </c>
      <c r="I414" s="751"/>
      <c r="J414" s="789">
        <f>('Parâmetros financeiros Despesa'!E427)</f>
        <v>0</v>
      </c>
      <c r="K414" s="789">
        <f>('Parâmetros financeiros Despesa'!F427)*((1+'Parâmetros financeiros Despesa'!F$4)*(1+'Parâmetros financeiros Despesa'!F$7))</f>
        <v>1090.3315</v>
      </c>
      <c r="L414" s="799">
        <f t="shared" si="42"/>
        <v>5.9064209499526833E-4</v>
      </c>
      <c r="M414" s="894"/>
      <c r="O414" s="733"/>
    </row>
    <row r="415" spans="1:15" s="115" customFormat="1" x14ac:dyDescent="0.25">
      <c r="A415" s="396"/>
      <c r="B415" s="1398" t="s">
        <v>7356</v>
      </c>
      <c r="C415" s="1398"/>
      <c r="D415" s="1398"/>
      <c r="E415" s="854">
        <v>333903900000000</v>
      </c>
      <c r="F415" s="855" t="s">
        <v>7403</v>
      </c>
      <c r="G415" s="468">
        <v>1</v>
      </c>
      <c r="H415" s="468">
        <v>0</v>
      </c>
      <c r="I415" s="751"/>
      <c r="J415" s="789">
        <f>('Parâmetros financeiros Despesa'!E428+'Parâmetros financeiros Despesa'!E429)</f>
        <v>0</v>
      </c>
      <c r="K415" s="789">
        <f>('Parâmetros financeiros Despesa'!F428+'Parâmetros financeiros Despesa'!F429)*((1+'Parâmetros financeiros Despesa'!F$4)*(1+'Parâmetros financeiros Despesa'!F$7))</f>
        <v>2180.663</v>
      </c>
      <c r="L415" s="799">
        <f t="shared" si="42"/>
        <v>1.1812841899905367E-3</v>
      </c>
      <c r="M415" s="894"/>
      <c r="O415" s="733"/>
    </row>
    <row r="416" spans="1:15" s="115" customFormat="1" x14ac:dyDescent="0.25">
      <c r="A416" s="396"/>
      <c r="B416" s="1398" t="s">
        <v>7357</v>
      </c>
      <c r="C416" s="1398"/>
      <c r="D416" s="1398"/>
      <c r="E416" s="854">
        <v>333904700000000</v>
      </c>
      <c r="F416" s="855" t="s">
        <v>7404</v>
      </c>
      <c r="G416" s="468">
        <v>1</v>
      </c>
      <c r="H416" s="468">
        <v>0</v>
      </c>
      <c r="I416" s="751"/>
      <c r="J416" s="789">
        <f>('Parâmetros financeiros Despesa'!E426+'Parâmetros financeiros Despesa'!E427+'Parâmetros financeiros Despesa'!E429)</f>
        <v>0</v>
      </c>
      <c r="K416" s="789">
        <f>('Parâmetros financeiros Despesa'!F426+'Parâmetros financeiros Despesa'!F427+'Parâmetros financeiros Despesa'!F429)*((1+'Parâmetros financeiros Despesa'!F$4)*(1+'Parâmetros financeiros Despesa'!F$7))*('Parâmetros financeiros Despesa'!F$83)</f>
        <v>654.19890000000009</v>
      </c>
      <c r="L416" s="799">
        <f t="shared" si="42"/>
        <v>3.5438525699716105E-4</v>
      </c>
      <c r="M416" s="894"/>
      <c r="O416" s="733"/>
    </row>
    <row r="417" spans="1:15" s="457" customFormat="1" x14ac:dyDescent="0.25">
      <c r="A417" s="396"/>
      <c r="B417" s="1398" t="s">
        <v>7358</v>
      </c>
      <c r="C417" s="1398"/>
      <c r="D417" s="1398"/>
      <c r="E417" s="854">
        <v>344905100000000</v>
      </c>
      <c r="F417" s="855" t="s">
        <v>7405</v>
      </c>
      <c r="G417" s="468">
        <v>1</v>
      </c>
      <c r="H417" s="468">
        <v>0</v>
      </c>
      <c r="I417" s="751"/>
      <c r="J417" s="789">
        <f>('Parâmetros financeiros Despesa'!E430)</f>
        <v>0</v>
      </c>
      <c r="K417" s="789">
        <f>('Parâmetros financeiros Despesa'!F430)*((1+'Parâmetros financeiros Despesa'!F$4)*(1+'Parâmetros financeiros Despesa'!F$7))</f>
        <v>5451.6575000000003</v>
      </c>
      <c r="L417" s="799">
        <f t="shared" si="42"/>
        <v>2.9532104749763421E-3</v>
      </c>
      <c r="M417" s="894"/>
      <c r="O417" s="734"/>
    </row>
    <row r="418" spans="1:15" s="457" customFormat="1" x14ac:dyDescent="0.25">
      <c r="A418" s="396"/>
      <c r="B418" s="1398" t="s">
        <v>7359</v>
      </c>
      <c r="C418" s="1398"/>
      <c r="D418" s="1398"/>
      <c r="E418" s="854">
        <v>344905200000000</v>
      </c>
      <c r="F418" s="855" t="s">
        <v>7406</v>
      </c>
      <c r="G418" s="468">
        <v>1</v>
      </c>
      <c r="H418" s="468">
        <v>0</v>
      </c>
      <c r="I418" s="751"/>
      <c r="J418" s="789">
        <f>('Parâmetros financeiros Despesa'!E431)</f>
        <v>0</v>
      </c>
      <c r="K418" s="789">
        <f>('Parâmetros financeiros Despesa'!F431)*((1+'Parâmetros financeiros Despesa'!F$4)*(1+'Parâmetros financeiros Despesa'!F$7))</f>
        <v>1090.3315</v>
      </c>
      <c r="L418" s="799">
        <f t="shared" ref="L418:L447" si="50">K418/K$453</f>
        <v>5.9064209499526833E-4</v>
      </c>
      <c r="M418" s="894"/>
      <c r="O418" s="734"/>
    </row>
    <row r="419" spans="1:15" x14ac:dyDescent="0.25">
      <c r="A419" s="397"/>
      <c r="B419" s="1385" t="s">
        <v>7151</v>
      </c>
      <c r="C419" s="1385"/>
      <c r="D419" s="1385"/>
      <c r="E419" s="1385"/>
      <c r="F419" s="1385"/>
      <c r="G419" s="401"/>
      <c r="H419" s="401"/>
      <c r="I419" s="426"/>
      <c r="J419" s="402">
        <f t="shared" ref="J419:K421" si="51">J420</f>
        <v>0</v>
      </c>
      <c r="K419" s="402">
        <f t="shared" si="51"/>
        <v>25094.181840758691</v>
      </c>
      <c r="L419" s="451">
        <f t="shared" si="50"/>
        <v>1.3593737440969039E-2</v>
      </c>
    </row>
    <row r="420" spans="1:15" x14ac:dyDescent="0.25">
      <c r="A420" s="397"/>
      <c r="B420" s="1386" t="s">
        <v>7152</v>
      </c>
      <c r="C420" s="1386"/>
      <c r="D420" s="1386"/>
      <c r="E420" s="1386"/>
      <c r="F420" s="1386"/>
      <c r="G420" s="403"/>
      <c r="H420" s="403"/>
      <c r="I420" s="427"/>
      <c r="J420" s="404">
        <f t="shared" si="51"/>
        <v>0</v>
      </c>
      <c r="K420" s="404">
        <f t="shared" si="51"/>
        <v>25094.181840758691</v>
      </c>
      <c r="L420" s="452">
        <f t="shared" si="50"/>
        <v>1.3593737440969039E-2</v>
      </c>
    </row>
    <row r="421" spans="1:15" x14ac:dyDescent="0.25">
      <c r="A421" s="397"/>
      <c r="B421" s="1382" t="s">
        <v>7297</v>
      </c>
      <c r="C421" s="1382"/>
      <c r="D421" s="1382"/>
      <c r="E421" s="1382"/>
      <c r="F421" s="1382"/>
      <c r="G421" s="405"/>
      <c r="H421" s="405"/>
      <c r="I421" s="428"/>
      <c r="J421" s="406">
        <f t="shared" si="51"/>
        <v>0</v>
      </c>
      <c r="K421" s="406">
        <f t="shared" si="51"/>
        <v>25094.181840758691</v>
      </c>
      <c r="L421" s="453">
        <f t="shared" si="50"/>
        <v>1.3593737440969039E-2</v>
      </c>
    </row>
    <row r="422" spans="1:15" x14ac:dyDescent="0.25">
      <c r="A422" s="397"/>
      <c r="B422" s="1383" t="s">
        <v>7298</v>
      </c>
      <c r="C422" s="1383"/>
      <c r="D422" s="1383"/>
      <c r="E422" s="1383"/>
      <c r="F422" s="1383"/>
      <c r="G422" s="407"/>
      <c r="H422" s="407"/>
      <c r="I422" s="429"/>
      <c r="J422" s="408">
        <f>SUM(J423:J428)</f>
        <v>0</v>
      </c>
      <c r="K422" s="408">
        <f>SUM(K423:K428)</f>
        <v>25094.181840758691</v>
      </c>
      <c r="L422" s="454">
        <f t="shared" si="50"/>
        <v>1.3593737440969039E-2</v>
      </c>
    </row>
    <row r="423" spans="1:15" s="115" customFormat="1" x14ac:dyDescent="0.25">
      <c r="A423" s="396"/>
      <c r="B423" s="1398" t="s">
        <v>7367</v>
      </c>
      <c r="C423" s="1398"/>
      <c r="D423" s="1398"/>
      <c r="E423" s="854">
        <v>333903000000000</v>
      </c>
      <c r="F423" s="855" t="s">
        <v>7360</v>
      </c>
      <c r="G423" s="468">
        <v>1048</v>
      </c>
      <c r="H423" s="468">
        <v>0</v>
      </c>
      <c r="I423" s="751"/>
      <c r="J423" s="789">
        <f>'Parâmetros financeiros Despesa'!E433+'Parâmetros financeiros Despesa'!E434</f>
        <v>0</v>
      </c>
      <c r="K423" s="789">
        <f>'Parâmetros financeiros Despesa'!F433+'Parâmetros financeiros Despesa'!F434</f>
        <v>5000</v>
      </c>
      <c r="L423" s="799">
        <f t="shared" si="50"/>
        <v>2.7085436630752591E-3</v>
      </c>
      <c r="M423" s="894"/>
      <c r="O423" s="733"/>
    </row>
    <row r="424" spans="1:15" s="115" customFormat="1" x14ac:dyDescent="0.25">
      <c r="A424" s="396"/>
      <c r="B424" s="1396">
        <v>40100</v>
      </c>
      <c r="C424" s="1396"/>
      <c r="D424" s="1396"/>
      <c r="E424" s="854">
        <v>333903600000000</v>
      </c>
      <c r="F424" s="855" t="s">
        <v>7361</v>
      </c>
      <c r="G424" s="468">
        <v>1048</v>
      </c>
      <c r="H424" s="468">
        <v>0</v>
      </c>
      <c r="I424" s="751"/>
      <c r="J424" s="789">
        <f>'Parâmetros financeiros Despesa'!E435</f>
        <v>0</v>
      </c>
      <c r="K424" s="789">
        <f>'Parâmetros financeiros Despesa'!F435</f>
        <v>3000</v>
      </c>
      <c r="L424" s="799">
        <f t="shared" si="50"/>
        <v>1.6251261978451554E-3</v>
      </c>
      <c r="M424" s="894"/>
      <c r="O424" s="733"/>
    </row>
    <row r="425" spans="1:15" s="115" customFormat="1" x14ac:dyDescent="0.25">
      <c r="A425" s="396"/>
      <c r="B425" s="1398" t="s">
        <v>7368</v>
      </c>
      <c r="C425" s="1398"/>
      <c r="D425" s="1398"/>
      <c r="E425" s="854">
        <v>333903900000000</v>
      </c>
      <c r="F425" s="855" t="s">
        <v>7362</v>
      </c>
      <c r="G425" s="468">
        <v>1048</v>
      </c>
      <c r="H425" s="468">
        <v>0</v>
      </c>
      <c r="I425" s="751"/>
      <c r="J425" s="789">
        <f>'Parâmetros financeiros Despesa'!E436+'Parâmetros financeiros Despesa'!E437</f>
        <v>0</v>
      </c>
      <c r="K425" s="789">
        <f>'Parâmetros financeiros Despesa'!F436+'Parâmetros financeiros Despesa'!F437</f>
        <v>4094.18</v>
      </c>
      <c r="L425" s="799">
        <f t="shared" si="50"/>
        <v>2.2178530588978927E-3</v>
      </c>
      <c r="M425" s="894"/>
      <c r="O425" s="733"/>
    </row>
    <row r="426" spans="1:15" s="115" customFormat="1" x14ac:dyDescent="0.25">
      <c r="A426" s="396"/>
      <c r="B426" s="1398" t="s">
        <v>7369</v>
      </c>
      <c r="C426" s="1398"/>
      <c r="D426" s="1398"/>
      <c r="E426" s="854">
        <v>333904700000000</v>
      </c>
      <c r="F426" s="855" t="s">
        <v>7363</v>
      </c>
      <c r="G426" s="468">
        <v>1048</v>
      </c>
      <c r="H426" s="468">
        <v>0</v>
      </c>
      <c r="I426" s="751"/>
      <c r="J426" s="789">
        <f>'Parâmetros financeiros Despesa'!E438+'Parâmetros financeiros Despesa'!E439</f>
        <v>0</v>
      </c>
      <c r="K426" s="789">
        <f>'Parâmetros financeiros Despesa'!F438+'Parâmetros financeiros Despesa'!F439</f>
        <v>1250.0818407586889</v>
      </c>
      <c r="L426" s="799">
        <f t="shared" si="50"/>
        <v>6.7718024962248045E-4</v>
      </c>
      <c r="M426" s="894"/>
      <c r="O426" s="733"/>
    </row>
    <row r="427" spans="1:15" s="457" customFormat="1" x14ac:dyDescent="0.25">
      <c r="A427" s="396"/>
      <c r="B427" s="1398" t="s">
        <v>7370</v>
      </c>
      <c r="C427" s="1398"/>
      <c r="D427" s="1398"/>
      <c r="E427" s="854">
        <v>344905100000000</v>
      </c>
      <c r="F427" s="855" t="s">
        <v>7364</v>
      </c>
      <c r="G427" s="468">
        <v>1048</v>
      </c>
      <c r="H427" s="468">
        <v>0</v>
      </c>
      <c r="I427" s="751"/>
      <c r="J427" s="789">
        <f>'Parâmetros financeiros Despesa'!E440</f>
        <v>0</v>
      </c>
      <c r="K427" s="789">
        <f>'Parâmetros financeiros Despesa'!F440</f>
        <v>9749.92</v>
      </c>
      <c r="L427" s="799">
        <f t="shared" si="50"/>
        <v>5.2816168062981457E-3</v>
      </c>
      <c r="M427" s="895"/>
      <c r="O427" s="734"/>
    </row>
    <row r="428" spans="1:15" s="457" customFormat="1" x14ac:dyDescent="0.25">
      <c r="A428" s="396"/>
      <c r="B428" s="1398" t="s">
        <v>7371</v>
      </c>
      <c r="C428" s="1398"/>
      <c r="D428" s="1398"/>
      <c r="E428" s="854">
        <v>344905200000000</v>
      </c>
      <c r="F428" s="855" t="s">
        <v>7365</v>
      </c>
      <c r="G428" s="468">
        <v>1048</v>
      </c>
      <c r="H428" s="468">
        <v>0</v>
      </c>
      <c r="I428" s="751"/>
      <c r="J428" s="789">
        <f>'Parâmetros financeiros Despesa'!E441</f>
        <v>0</v>
      </c>
      <c r="K428" s="789">
        <f>'Parâmetros financeiros Despesa'!F441</f>
        <v>2000</v>
      </c>
      <c r="L428" s="799">
        <f t="shared" si="50"/>
        <v>1.0834174652301035E-3</v>
      </c>
      <c r="M428" s="895"/>
      <c r="O428" s="734"/>
    </row>
    <row r="429" spans="1:15" x14ac:dyDescent="0.25">
      <c r="A429" s="397"/>
      <c r="B429" s="1385" t="s">
        <v>7151</v>
      </c>
      <c r="C429" s="1385"/>
      <c r="D429" s="1385"/>
      <c r="E429" s="1385"/>
      <c r="F429" s="1385"/>
      <c r="G429" s="401"/>
      <c r="H429" s="401"/>
      <c r="I429" s="426"/>
      <c r="J429" s="402">
        <f t="shared" ref="J429:K431" si="52">J430</f>
        <v>0</v>
      </c>
      <c r="K429" s="402">
        <f t="shared" si="52"/>
        <v>54304.399996172346</v>
      </c>
      <c r="L429" s="451">
        <f t="shared" si="50"/>
        <v>2.9417167697347344E-2</v>
      </c>
    </row>
    <row r="430" spans="1:15" x14ac:dyDescent="0.25">
      <c r="A430" s="397"/>
      <c r="B430" s="1386" t="s">
        <v>7325</v>
      </c>
      <c r="C430" s="1386"/>
      <c r="D430" s="1386"/>
      <c r="E430" s="1386"/>
      <c r="F430" s="1386"/>
      <c r="G430" s="403"/>
      <c r="H430" s="403"/>
      <c r="I430" s="427"/>
      <c r="J430" s="404">
        <f t="shared" si="52"/>
        <v>0</v>
      </c>
      <c r="K430" s="404">
        <f t="shared" si="52"/>
        <v>54304.399996172346</v>
      </c>
      <c r="L430" s="452">
        <f t="shared" si="50"/>
        <v>2.9417167697347344E-2</v>
      </c>
    </row>
    <row r="431" spans="1:15" x14ac:dyDescent="0.25">
      <c r="A431" s="397"/>
      <c r="B431" s="1382" t="s">
        <v>7297</v>
      </c>
      <c r="C431" s="1382"/>
      <c r="D431" s="1382"/>
      <c r="E431" s="1382"/>
      <c r="F431" s="1382"/>
      <c r="G431" s="405"/>
      <c r="H431" s="405"/>
      <c r="I431" s="428"/>
      <c r="J431" s="406">
        <f t="shared" si="52"/>
        <v>0</v>
      </c>
      <c r="K431" s="406">
        <f t="shared" si="52"/>
        <v>54304.399996172346</v>
      </c>
      <c r="L431" s="453">
        <f t="shared" si="50"/>
        <v>2.9417167697347344E-2</v>
      </c>
    </row>
    <row r="432" spans="1:15" x14ac:dyDescent="0.25">
      <c r="A432" s="397"/>
      <c r="B432" s="1383" t="s">
        <v>7298</v>
      </c>
      <c r="C432" s="1383"/>
      <c r="D432" s="1383"/>
      <c r="E432" s="1383"/>
      <c r="F432" s="1383"/>
      <c r="G432" s="407"/>
      <c r="H432" s="407"/>
      <c r="I432" s="429"/>
      <c r="J432" s="408">
        <f>SUM(J433:J438)</f>
        <v>0</v>
      </c>
      <c r="K432" s="408">
        <f>SUM(K433:K438)</f>
        <v>54304.399996172346</v>
      </c>
      <c r="L432" s="454">
        <f t="shared" si="50"/>
        <v>2.9417167697347344E-2</v>
      </c>
    </row>
    <row r="433" spans="1:15" s="115" customFormat="1" x14ac:dyDescent="0.25">
      <c r="A433" s="396"/>
      <c r="B433" s="1398" t="s">
        <v>7384</v>
      </c>
      <c r="C433" s="1398"/>
      <c r="D433" s="1398"/>
      <c r="E433" s="854">
        <v>333903000000000</v>
      </c>
      <c r="F433" s="855" t="s">
        <v>7373</v>
      </c>
      <c r="G433" s="468">
        <v>1087</v>
      </c>
      <c r="H433" s="468">
        <v>0</v>
      </c>
      <c r="I433" s="751"/>
      <c r="J433" s="789">
        <f>'Parâmetros financeiros Despesa'!E443+'Parâmetros financeiros Despesa'!E444</f>
        <v>0</v>
      </c>
      <c r="K433" s="789">
        <f>'Parâmetros financeiros Despesa'!F443+'Parâmetros financeiros Despesa'!F444</f>
        <v>14000</v>
      </c>
      <c r="L433" s="799">
        <f t="shared" si="50"/>
        <v>7.5839222566107256E-3</v>
      </c>
      <c r="M433" s="894"/>
      <c r="O433" s="733"/>
    </row>
    <row r="434" spans="1:15" s="115" customFormat="1" x14ac:dyDescent="0.25">
      <c r="A434" s="396"/>
      <c r="B434" s="1396">
        <v>41100</v>
      </c>
      <c r="C434" s="1396"/>
      <c r="D434" s="1396"/>
      <c r="E434" s="854">
        <v>333903600000000</v>
      </c>
      <c r="F434" s="855" t="s">
        <v>7374</v>
      </c>
      <c r="G434" s="468">
        <v>1087</v>
      </c>
      <c r="H434" s="468">
        <v>0</v>
      </c>
      <c r="I434" s="751"/>
      <c r="J434" s="789">
        <f>'Parâmetros financeiros Despesa'!E445</f>
        <v>0</v>
      </c>
      <c r="K434" s="789">
        <f>'Parâmetros financeiros Despesa'!F445</f>
        <v>3000</v>
      </c>
      <c r="L434" s="799">
        <f t="shared" si="50"/>
        <v>1.6251261978451554E-3</v>
      </c>
      <c r="M434" s="894"/>
      <c r="O434" s="733"/>
    </row>
    <row r="435" spans="1:15" s="115" customFormat="1" x14ac:dyDescent="0.25">
      <c r="A435" s="396"/>
      <c r="B435" s="1398" t="s">
        <v>7385</v>
      </c>
      <c r="C435" s="1398"/>
      <c r="D435" s="1398"/>
      <c r="E435" s="854">
        <v>333903900000000</v>
      </c>
      <c r="F435" s="855" t="s">
        <v>7375</v>
      </c>
      <c r="G435" s="468">
        <v>1087</v>
      </c>
      <c r="H435" s="468">
        <v>0</v>
      </c>
      <c r="I435" s="751"/>
      <c r="J435" s="789">
        <f>'Parâmetros financeiros Despesa'!E446+'Parâmetros financeiros Despesa'!E447</f>
        <v>0</v>
      </c>
      <c r="K435" s="789">
        <f>'Parâmetros financeiros Despesa'!F446+'Parâmetros financeiros Despesa'!F447</f>
        <v>13304.4</v>
      </c>
      <c r="L435" s="799">
        <f t="shared" si="50"/>
        <v>7.2071096622036953E-3</v>
      </c>
      <c r="M435" s="894"/>
      <c r="O435" s="733"/>
    </row>
    <row r="436" spans="1:15" s="115" customFormat="1" x14ac:dyDescent="0.25">
      <c r="A436" s="396"/>
      <c r="B436" s="1398" t="s">
        <v>7386</v>
      </c>
      <c r="C436" s="1398"/>
      <c r="D436" s="1398"/>
      <c r="E436" s="854">
        <v>333904700000000</v>
      </c>
      <c r="F436" s="855" t="s">
        <v>7376</v>
      </c>
      <c r="G436" s="468">
        <v>1087</v>
      </c>
      <c r="H436" s="468">
        <v>0</v>
      </c>
      <c r="I436" s="751"/>
      <c r="J436" s="789">
        <f>'Parâmetros financeiros Despesa'!E448+'Parâmetros financeiros Despesa'!E449</f>
        <v>0</v>
      </c>
      <c r="K436" s="789">
        <f>'Parâmetros financeiros Despesa'!F448+'Parâmetros financeiros Despesa'!F449</f>
        <v>1987.5999961723428</v>
      </c>
      <c r="L436" s="799">
        <f t="shared" si="50"/>
        <v>1.0767002748722017E-3</v>
      </c>
      <c r="M436" s="894"/>
      <c r="O436" s="733"/>
    </row>
    <row r="437" spans="1:15" s="457" customFormat="1" x14ac:dyDescent="0.25">
      <c r="A437" s="396"/>
      <c r="B437" s="1398" t="s">
        <v>7387</v>
      </c>
      <c r="C437" s="1398"/>
      <c r="D437" s="1398"/>
      <c r="E437" s="854">
        <v>344905100000000</v>
      </c>
      <c r="F437" s="855" t="s">
        <v>7377</v>
      </c>
      <c r="G437" s="468">
        <v>1087</v>
      </c>
      <c r="H437" s="468">
        <v>0</v>
      </c>
      <c r="I437" s="751"/>
      <c r="J437" s="789">
        <f>'Parâmetros financeiros Despesa'!E450</f>
        <v>0</v>
      </c>
      <c r="K437" s="789">
        <f>'Parâmetros financeiros Despesa'!F450</f>
        <v>19012.400000000001</v>
      </c>
      <c r="L437" s="799">
        <f t="shared" si="50"/>
        <v>1.0299183107970412E-2</v>
      </c>
      <c r="M437" s="895"/>
      <c r="O437" s="734"/>
    </row>
    <row r="438" spans="1:15" s="457" customFormat="1" x14ac:dyDescent="0.25">
      <c r="A438" s="396"/>
      <c r="B438" s="1398" t="s">
        <v>7388</v>
      </c>
      <c r="C438" s="1398"/>
      <c r="D438" s="1398"/>
      <c r="E438" s="854">
        <v>344905200000000</v>
      </c>
      <c r="F438" s="855" t="s">
        <v>7378</v>
      </c>
      <c r="G438" s="468">
        <v>1087</v>
      </c>
      <c r="H438" s="468">
        <v>0</v>
      </c>
      <c r="I438" s="751"/>
      <c r="J438" s="789">
        <f>'Parâmetros financeiros Despesa'!E451</f>
        <v>0</v>
      </c>
      <c r="K438" s="789">
        <f>'Parâmetros financeiros Despesa'!F451</f>
        <v>3000</v>
      </c>
      <c r="L438" s="799">
        <f t="shared" si="50"/>
        <v>1.6251261978451554E-3</v>
      </c>
      <c r="M438" s="895"/>
      <c r="O438" s="734"/>
    </row>
    <row r="439" spans="1:15" x14ac:dyDescent="0.25">
      <c r="A439" s="397"/>
      <c r="B439" s="1385" t="s">
        <v>7151</v>
      </c>
      <c r="C439" s="1385"/>
      <c r="D439" s="1385"/>
      <c r="E439" s="1385"/>
      <c r="F439" s="1385"/>
      <c r="G439" s="401"/>
      <c r="H439" s="401"/>
      <c r="I439" s="426"/>
      <c r="J439" s="402">
        <f t="shared" ref="J439:K441" si="53">J440</f>
        <v>0</v>
      </c>
      <c r="K439" s="402">
        <f t="shared" si="53"/>
        <v>33279.49</v>
      </c>
      <c r="L439" s="451">
        <f t="shared" si="50"/>
        <v>1.802779034997529E-2</v>
      </c>
    </row>
    <row r="440" spans="1:15" x14ac:dyDescent="0.25">
      <c r="A440" s="397"/>
      <c r="B440" s="1386" t="s">
        <v>7326</v>
      </c>
      <c r="C440" s="1386"/>
      <c r="D440" s="1386"/>
      <c r="E440" s="1386"/>
      <c r="F440" s="1386"/>
      <c r="G440" s="403"/>
      <c r="H440" s="403"/>
      <c r="I440" s="427"/>
      <c r="J440" s="404">
        <f t="shared" si="53"/>
        <v>0</v>
      </c>
      <c r="K440" s="404">
        <f t="shared" si="53"/>
        <v>33279.49</v>
      </c>
      <c r="L440" s="452">
        <f t="shared" si="50"/>
        <v>1.802779034997529E-2</v>
      </c>
    </row>
    <row r="441" spans="1:15" x14ac:dyDescent="0.25">
      <c r="A441" s="397"/>
      <c r="B441" s="1382" t="s">
        <v>7297</v>
      </c>
      <c r="C441" s="1382"/>
      <c r="D441" s="1382"/>
      <c r="E441" s="1382"/>
      <c r="F441" s="1382"/>
      <c r="G441" s="405"/>
      <c r="H441" s="405"/>
      <c r="I441" s="428"/>
      <c r="J441" s="406">
        <f t="shared" si="53"/>
        <v>0</v>
      </c>
      <c r="K441" s="406">
        <f t="shared" si="53"/>
        <v>33279.49</v>
      </c>
      <c r="L441" s="453">
        <f t="shared" si="50"/>
        <v>1.802779034997529E-2</v>
      </c>
    </row>
    <row r="442" spans="1:15" x14ac:dyDescent="0.25">
      <c r="A442" s="397"/>
      <c r="B442" s="1383" t="s">
        <v>7298</v>
      </c>
      <c r="C442" s="1383"/>
      <c r="D442" s="1383"/>
      <c r="E442" s="1383"/>
      <c r="F442" s="1383"/>
      <c r="G442" s="407"/>
      <c r="H442" s="407"/>
      <c r="I442" s="429"/>
      <c r="J442" s="408">
        <f>SUM(J443:J447)</f>
        <v>0</v>
      </c>
      <c r="K442" s="408">
        <f>SUM(K443:K447)</f>
        <v>33279.49</v>
      </c>
      <c r="L442" s="454">
        <f t="shared" si="50"/>
        <v>1.802779034997529E-2</v>
      </c>
    </row>
    <row r="443" spans="1:15" s="115" customFormat="1" x14ac:dyDescent="0.25">
      <c r="A443" s="396"/>
      <c r="B443" s="1398" t="s">
        <v>7389</v>
      </c>
      <c r="C443" s="1398"/>
      <c r="D443" s="1398"/>
      <c r="E443" s="854">
        <v>333903000000000</v>
      </c>
      <c r="F443" s="855" t="s">
        <v>7379</v>
      </c>
      <c r="G443" s="468">
        <v>1</v>
      </c>
      <c r="H443" s="468">
        <v>0</v>
      </c>
      <c r="I443" s="751"/>
      <c r="J443" s="789">
        <f>'Parâmetros financeiros Despesa'!E453+'Parâmetros financeiros Despesa'!E454</f>
        <v>0</v>
      </c>
      <c r="K443" s="789">
        <f>'Parâmetros financeiros Despesa'!F453+'Parâmetros financeiros Despesa'!F454</f>
        <v>11279.49</v>
      </c>
      <c r="L443" s="799">
        <f t="shared" si="50"/>
        <v>6.1101982324441506E-3</v>
      </c>
      <c r="M443" s="894"/>
      <c r="N443" s="796"/>
      <c r="O443" s="733"/>
    </row>
    <row r="444" spans="1:15" s="115" customFormat="1" x14ac:dyDescent="0.25">
      <c r="A444" s="396"/>
      <c r="B444" s="1396">
        <v>42100</v>
      </c>
      <c r="C444" s="1396"/>
      <c r="D444" s="1396"/>
      <c r="E444" s="854">
        <v>333903600000000</v>
      </c>
      <c r="F444" s="855" t="s">
        <v>7380</v>
      </c>
      <c r="G444" s="468">
        <v>1</v>
      </c>
      <c r="H444" s="468">
        <v>0</v>
      </c>
      <c r="I444" s="751"/>
      <c r="J444" s="789">
        <f>'Parâmetros financeiros Despesa'!E455</f>
        <v>0</v>
      </c>
      <c r="K444" s="789">
        <f>'Parâmetros financeiros Despesa'!F455</f>
        <v>3000</v>
      </c>
      <c r="L444" s="799">
        <f t="shared" si="50"/>
        <v>1.6251261978451554E-3</v>
      </c>
      <c r="M444" s="894"/>
      <c r="N444" s="796"/>
      <c r="O444" s="733"/>
    </row>
    <row r="445" spans="1:15" s="115" customFormat="1" x14ac:dyDescent="0.25">
      <c r="A445" s="396"/>
      <c r="B445" s="1398" t="s">
        <v>7390</v>
      </c>
      <c r="C445" s="1398"/>
      <c r="D445" s="1398"/>
      <c r="E445" s="854">
        <v>333903900000000</v>
      </c>
      <c r="F445" s="855" t="s">
        <v>7381</v>
      </c>
      <c r="G445" s="468">
        <v>1</v>
      </c>
      <c r="H445" s="468">
        <v>0</v>
      </c>
      <c r="I445" s="751"/>
      <c r="J445" s="789">
        <f>'Parâmetros financeiros Despesa'!E456+'Parâmetros financeiros Despesa'!E457</f>
        <v>0</v>
      </c>
      <c r="K445" s="789">
        <f>'Parâmetros financeiros Despesa'!F456+'Parâmetros financeiros Despesa'!F457</f>
        <v>17000</v>
      </c>
      <c r="L445" s="799">
        <f t="shared" si="50"/>
        <v>9.2090484544558801E-3</v>
      </c>
      <c r="M445" s="894"/>
      <c r="N445" s="796"/>
      <c r="O445" s="733"/>
    </row>
    <row r="446" spans="1:15" s="115" customFormat="1" x14ac:dyDescent="0.25">
      <c r="A446" s="396"/>
      <c r="B446" s="1398" t="s">
        <v>7391</v>
      </c>
      <c r="C446" s="1398"/>
      <c r="D446" s="1398"/>
      <c r="E446" s="854">
        <v>333904700000000</v>
      </c>
      <c r="F446" s="855" t="s">
        <v>7382</v>
      </c>
      <c r="G446" s="468">
        <v>1</v>
      </c>
      <c r="H446" s="468">
        <v>0</v>
      </c>
      <c r="I446" s="751"/>
      <c r="J446" s="789">
        <f>'Parâmetros financeiros Despesa'!E458</f>
        <v>0</v>
      </c>
      <c r="K446" s="789">
        <f>'Parâmetros financeiros Despesa'!F458</f>
        <v>1000</v>
      </c>
      <c r="L446" s="799">
        <f t="shared" si="50"/>
        <v>5.4170873261505175E-4</v>
      </c>
      <c r="M446" s="894"/>
      <c r="N446" s="796"/>
      <c r="O446" s="733"/>
    </row>
    <row r="447" spans="1:15" s="457" customFormat="1" x14ac:dyDescent="0.25">
      <c r="A447" s="396"/>
      <c r="B447" s="1398" t="s">
        <v>7392</v>
      </c>
      <c r="C447" s="1398"/>
      <c r="D447" s="1398"/>
      <c r="E447" s="854">
        <v>344905200000000</v>
      </c>
      <c r="F447" s="855" t="s">
        <v>7383</v>
      </c>
      <c r="G447" s="468">
        <v>1</v>
      </c>
      <c r="H447" s="468">
        <v>0</v>
      </c>
      <c r="I447" s="751"/>
      <c r="J447" s="789">
        <f>'Parâmetros financeiros Despesa'!E459</f>
        <v>0</v>
      </c>
      <c r="K447" s="789">
        <f>'Parâmetros financeiros Despesa'!F459</f>
        <v>1000</v>
      </c>
      <c r="L447" s="799">
        <f t="shared" si="50"/>
        <v>5.4170873261505175E-4</v>
      </c>
      <c r="M447" s="894"/>
      <c r="N447" s="796"/>
      <c r="O447" s="734"/>
    </row>
    <row r="448" spans="1:15" x14ac:dyDescent="0.25">
      <c r="B448" s="864" t="s">
        <v>22</v>
      </c>
      <c r="C448" s="864"/>
      <c r="D448" s="864"/>
      <c r="E448" s="864"/>
      <c r="F448" s="864"/>
      <c r="G448" s="864"/>
      <c r="H448" s="864"/>
      <c r="I448" s="864"/>
      <c r="J448" s="863">
        <f>J440+J430+J420+J410+J400+J391+J381+J371+J362+J357+J347+J335+J325+J315+J305+J300+J291+J282+J264+J255+J246+J237-0.01</f>
        <v>1197557.2517125001</v>
      </c>
      <c r="K448" s="863">
        <f>K440+K430+K420+K410+K400+K391+K381+K371+K362+K357+K347+K335+K325+K315+K305+K300+K291+K282+K264+K255+K246+K237-0.01</f>
        <v>1846010.4845875143</v>
      </c>
      <c r="L448" s="452">
        <f>K448/K$453</f>
        <v>1</v>
      </c>
    </row>
    <row r="449" spans="1:15" x14ac:dyDescent="0.25">
      <c r="B449" s="864" t="s">
        <v>11469</v>
      </c>
      <c r="C449" s="864"/>
      <c r="D449" s="864"/>
      <c r="E449" s="864"/>
      <c r="F449" s="864"/>
      <c r="G449" s="864"/>
      <c r="H449" s="864"/>
      <c r="I449" s="864"/>
      <c r="J449" s="863"/>
      <c r="K449" s="863"/>
      <c r="L449" s="452"/>
    </row>
    <row r="450" spans="1:15" s="31" customFormat="1" x14ac:dyDescent="0.25">
      <c r="B450" s="869" t="s">
        <v>745</v>
      </c>
      <c r="C450" s="869"/>
      <c r="D450" s="869"/>
      <c r="E450" s="869"/>
      <c r="F450" s="869"/>
      <c r="G450" s="869"/>
      <c r="H450" s="869"/>
      <c r="I450" s="869"/>
      <c r="J450" s="870">
        <f>J448</f>
        <v>1197557.2517125001</v>
      </c>
      <c r="K450" s="870">
        <f>K448-K452-K451</f>
        <v>1720256.9345875143</v>
      </c>
      <c r="L450" s="871">
        <f t="shared" ref="L450:L451" si="54">K450/K$453</f>
        <v>0.9318782038076564</v>
      </c>
      <c r="M450" s="897"/>
      <c r="O450" s="736"/>
    </row>
    <row r="451" spans="1:15" s="31" customFormat="1" x14ac:dyDescent="0.25">
      <c r="B451" s="869" t="s">
        <v>789</v>
      </c>
      <c r="C451" s="869"/>
      <c r="D451" s="869"/>
      <c r="E451" s="869"/>
      <c r="F451" s="869"/>
      <c r="G451" s="869"/>
      <c r="H451" s="869"/>
      <c r="I451" s="869"/>
      <c r="J451" s="870">
        <v>0</v>
      </c>
      <c r="K451" s="870">
        <v>25094.18</v>
      </c>
      <c r="L451" s="871">
        <f t="shared" si="54"/>
        <v>1.3593736443813981E-2</v>
      </c>
      <c r="M451" s="897"/>
      <c r="O451" s="736"/>
    </row>
    <row r="452" spans="1:15" s="31" customFormat="1" x14ac:dyDescent="0.25">
      <c r="B452" s="869" t="s">
        <v>828</v>
      </c>
      <c r="C452" s="869"/>
      <c r="D452" s="869"/>
      <c r="E452" s="869"/>
      <c r="F452" s="869"/>
      <c r="G452" s="869"/>
      <c r="H452" s="869"/>
      <c r="I452" s="869"/>
      <c r="J452" s="870">
        <v>0</v>
      </c>
      <c r="K452" s="870">
        <v>100659.37</v>
      </c>
      <c r="L452" s="871">
        <f>K452/K$453</f>
        <v>5.4528059748529562E-2</v>
      </c>
      <c r="M452" s="897"/>
      <c r="O452" s="736"/>
    </row>
    <row r="453" spans="1:15" s="115" customFormat="1" x14ac:dyDescent="0.25">
      <c r="B453" s="864" t="s">
        <v>2172</v>
      </c>
      <c r="C453" s="864"/>
      <c r="D453" s="864"/>
      <c r="E453" s="864"/>
      <c r="F453" s="864"/>
      <c r="G453" s="864"/>
      <c r="H453" s="864"/>
      <c r="I453" s="864"/>
      <c r="J453" s="863">
        <f>SUM(J450:J452)</f>
        <v>1197557.2517125001</v>
      </c>
      <c r="K453" s="863">
        <f>SUM(K450:K452)</f>
        <v>1846010.4845875143</v>
      </c>
      <c r="L453" s="452">
        <f>K453/K$453</f>
        <v>1</v>
      </c>
      <c r="N453" s="796"/>
      <c r="O453" s="733"/>
    </row>
    <row r="454" spans="1:15" x14ac:dyDescent="0.25">
      <c r="B454" s="1003"/>
      <c r="C454" s="1003"/>
      <c r="D454" s="1003"/>
      <c r="E454" s="1003"/>
      <c r="F454" s="1003"/>
      <c r="G454" s="1003"/>
      <c r="H454" s="1003"/>
      <c r="I454" s="1003"/>
      <c r="J454" s="867"/>
      <c r="K454" s="883"/>
      <c r="L454" s="792"/>
    </row>
    <row r="455" spans="1:15" s="435" customFormat="1" ht="15.75" x14ac:dyDescent="0.25">
      <c r="B455" s="999" t="s">
        <v>989</v>
      </c>
      <c r="C455" s="999"/>
      <c r="D455" s="481"/>
      <c r="E455" s="1371" t="s">
        <v>6887</v>
      </c>
      <c r="F455" s="1371"/>
      <c r="G455" s="1371"/>
      <c r="H455" s="1371"/>
      <c r="I455" s="1371"/>
      <c r="J455" s="940"/>
      <c r="K455" s="438"/>
      <c r="L455" s="449"/>
      <c r="M455" s="892"/>
      <c r="O455" s="732"/>
    </row>
    <row r="456" spans="1:15" s="435" customFormat="1" ht="18.75" customHeight="1" x14ac:dyDescent="0.25">
      <c r="B456" s="999" t="s">
        <v>458</v>
      </c>
      <c r="C456" s="999"/>
      <c r="D456" s="481"/>
      <c r="E456" s="1371" t="s">
        <v>7409</v>
      </c>
      <c r="F456" s="1371"/>
      <c r="G456" s="1371"/>
      <c r="H456" s="1371"/>
      <c r="I456" s="1371"/>
      <c r="J456" s="940"/>
      <c r="K456" s="438"/>
      <c r="L456" s="449"/>
      <c r="M456" s="892"/>
      <c r="O456" s="732"/>
    </row>
    <row r="457" spans="1:15" s="435" customFormat="1" ht="15.75" x14ac:dyDescent="0.25">
      <c r="B457" s="1005" t="s">
        <v>5764</v>
      </c>
      <c r="C457" s="1005"/>
      <c r="D457" s="1005"/>
      <c r="E457" s="1371" t="s">
        <v>749</v>
      </c>
      <c r="F457" s="1371"/>
      <c r="G457" s="1371"/>
      <c r="H457" s="1371"/>
      <c r="I457" s="1371"/>
      <c r="J457" s="941"/>
      <c r="K457" s="438"/>
      <c r="L457" s="449"/>
      <c r="M457" s="892"/>
      <c r="O457" s="732"/>
    </row>
    <row r="458" spans="1:15" ht="88.5" x14ac:dyDescent="0.25">
      <c r="A458" s="396"/>
      <c r="B458" s="1400" t="s">
        <v>2296</v>
      </c>
      <c r="C458" s="1400"/>
      <c r="D458" s="1400"/>
      <c r="E458" s="1384" t="s">
        <v>2297</v>
      </c>
      <c r="F458" s="1384"/>
      <c r="G458" s="443" t="s">
        <v>444</v>
      </c>
      <c r="H458" s="443" t="s">
        <v>2245</v>
      </c>
      <c r="I458" s="444" t="s">
        <v>5725</v>
      </c>
      <c r="J458" s="893" t="s">
        <v>11644</v>
      </c>
      <c r="K458" s="1000" t="s">
        <v>11522</v>
      </c>
      <c r="L458" s="450" t="s">
        <v>235</v>
      </c>
    </row>
    <row r="459" spans="1:15" s="115" customFormat="1" x14ac:dyDescent="0.25">
      <c r="A459" s="396"/>
      <c r="B459" s="1385" t="s">
        <v>5951</v>
      </c>
      <c r="C459" s="1385"/>
      <c r="D459" s="1385"/>
      <c r="E459" s="1385"/>
      <c r="F459" s="1385"/>
      <c r="G459" s="401"/>
      <c r="H459" s="401"/>
      <c r="I459" s="426"/>
      <c r="J459" s="402">
        <f t="shared" ref="J459:K461" si="55">J460</f>
        <v>2175</v>
      </c>
      <c r="K459" s="402">
        <f t="shared" si="55"/>
        <v>10140.08295</v>
      </c>
      <c r="L459" s="451">
        <f t="shared" ref="L459:L490" si="56">K459/K$516</f>
        <v>2.7165770271657234E-2</v>
      </c>
      <c r="M459" s="894"/>
      <c r="O459" s="733"/>
    </row>
    <row r="460" spans="1:15" x14ac:dyDescent="0.25">
      <c r="A460" s="396"/>
      <c r="B460" s="1386" t="s">
        <v>5950</v>
      </c>
      <c r="C460" s="1386"/>
      <c r="D460" s="1386"/>
      <c r="E460" s="1386"/>
      <c r="F460" s="1386"/>
      <c r="G460" s="403"/>
      <c r="H460" s="403"/>
      <c r="I460" s="427"/>
      <c r="J460" s="404">
        <f t="shared" si="55"/>
        <v>2175</v>
      </c>
      <c r="K460" s="404">
        <f t="shared" si="55"/>
        <v>10140.08295</v>
      </c>
      <c r="L460" s="452">
        <f t="shared" si="56"/>
        <v>2.7165770271657234E-2</v>
      </c>
    </row>
    <row r="461" spans="1:15" x14ac:dyDescent="0.25">
      <c r="A461" s="396"/>
      <c r="B461" s="1382" t="s">
        <v>7283</v>
      </c>
      <c r="C461" s="1382"/>
      <c r="D461" s="1382"/>
      <c r="E461" s="1382"/>
      <c r="F461" s="1382"/>
      <c r="G461" s="405"/>
      <c r="H461" s="405"/>
      <c r="I461" s="428"/>
      <c r="J461" s="406">
        <f t="shared" si="55"/>
        <v>2175</v>
      </c>
      <c r="K461" s="406">
        <f t="shared" si="55"/>
        <v>10140.08295</v>
      </c>
      <c r="L461" s="453">
        <f t="shared" si="56"/>
        <v>2.7165770271657234E-2</v>
      </c>
    </row>
    <row r="462" spans="1:15" x14ac:dyDescent="0.25">
      <c r="A462" s="396"/>
      <c r="B462" s="1383" t="s">
        <v>2290</v>
      </c>
      <c r="C462" s="1383"/>
      <c r="D462" s="1383"/>
      <c r="E462" s="1383"/>
      <c r="F462" s="1383"/>
      <c r="G462" s="407"/>
      <c r="H462" s="407"/>
      <c r="I462" s="429"/>
      <c r="J462" s="408">
        <f>J463+J464+J465+J466+J467</f>
        <v>2175</v>
      </c>
      <c r="K462" s="408">
        <f>K463+K464+K465+K466+K467</f>
        <v>10140.08295</v>
      </c>
      <c r="L462" s="454">
        <f t="shared" si="56"/>
        <v>2.7165770271657234E-2</v>
      </c>
    </row>
    <row r="463" spans="1:15" x14ac:dyDescent="0.25">
      <c r="A463" s="396"/>
      <c r="B463" s="1396">
        <v>43000</v>
      </c>
      <c r="C463" s="1396"/>
      <c r="D463" s="1396"/>
      <c r="E463" s="854">
        <v>333904700000000</v>
      </c>
      <c r="F463" s="1017" t="s">
        <v>7089</v>
      </c>
      <c r="G463" s="468"/>
      <c r="H463" s="468"/>
      <c r="I463" s="751"/>
      <c r="J463" s="789">
        <f>'Parâmetros financeiros Despesa'!E472</f>
        <v>0</v>
      </c>
      <c r="K463" s="789">
        <f>((('Parâmetros financeiros Despesa'!F466+'Parâmetros financeiros Despesa'!F467+'Parâmetros financeiros Despesa'!F469))*((1+'Parâmetros financeiros Despesa'!F$4)*(1+'Parâmetros financeiros Despesa'!F$7))*(1+'Parâmetros financeiros Despesa'!F$83))</f>
        <v>1962.5967000000001</v>
      </c>
      <c r="L463" s="799">
        <f t="shared" si="56"/>
        <v>5.2578910203207553E-3</v>
      </c>
      <c r="M463" s="894"/>
      <c r="N463" s="796"/>
    </row>
    <row r="464" spans="1:15" s="115" customFormat="1" x14ac:dyDescent="0.25">
      <c r="A464" s="396"/>
      <c r="B464" s="1396">
        <v>43100</v>
      </c>
      <c r="C464" s="1396"/>
      <c r="D464" s="1396"/>
      <c r="E464" s="854">
        <v>344903000000000</v>
      </c>
      <c r="F464" s="855" t="s">
        <v>7156</v>
      </c>
      <c r="G464" s="468">
        <v>1</v>
      </c>
      <c r="H464" s="468">
        <v>0</v>
      </c>
      <c r="I464" s="751"/>
      <c r="J464" s="789">
        <f>('Parâmetros financeiros Despesa'!E465+'Parâmetros financeiros Despesa'!E466)</f>
        <v>0</v>
      </c>
      <c r="K464" s="789">
        <f>('Parâmetros financeiros Despesa'!F465+'Parâmetros financeiros Despesa'!F466)*((1+'Parâmetros financeiros Despesa'!F$4)*(1+'Parâmetros financeiros Despesa'!F$7))</f>
        <v>1090.3315</v>
      </c>
      <c r="L464" s="799">
        <f t="shared" si="56"/>
        <v>2.9210505668448637E-3</v>
      </c>
      <c r="M464" s="894"/>
      <c r="N464" s="796"/>
      <c r="O464" s="733"/>
    </row>
    <row r="465" spans="1:15" s="457" customFormat="1" x14ac:dyDescent="0.25">
      <c r="A465" s="396"/>
      <c r="B465" s="1398" t="s">
        <v>7412</v>
      </c>
      <c r="C465" s="1398"/>
      <c r="D465" s="1398"/>
      <c r="E465" s="854">
        <v>344903600000000</v>
      </c>
      <c r="F465" s="855" t="s">
        <v>7158</v>
      </c>
      <c r="G465" s="468">
        <v>1</v>
      </c>
      <c r="H465" s="468">
        <v>0</v>
      </c>
      <c r="I465" s="751"/>
      <c r="J465" s="789">
        <f>('Parâmetros financeiros Despesa'!E467)</f>
        <v>0</v>
      </c>
      <c r="K465" s="789">
        <f>('Parâmetros financeiros Despesa'!F467)*((1+'Parâmetros financeiros Despesa'!F$4)*(1+'Parâmetros financeiros Despesa'!F$7))</f>
        <v>545.16575</v>
      </c>
      <c r="L465" s="799">
        <f t="shared" si="56"/>
        <v>1.4605252834224319E-3</v>
      </c>
      <c r="M465" s="894"/>
      <c r="N465" s="796"/>
      <c r="O465" s="734"/>
    </row>
    <row r="466" spans="1:15" s="457" customFormat="1" ht="30" x14ac:dyDescent="0.25">
      <c r="A466" s="396"/>
      <c r="B466" s="1398" t="s">
        <v>7413</v>
      </c>
      <c r="C466" s="1398"/>
      <c r="D466" s="1398"/>
      <c r="E466" s="854">
        <v>344903900000000</v>
      </c>
      <c r="F466" s="855" t="s">
        <v>7159</v>
      </c>
      <c r="G466" s="468">
        <v>1</v>
      </c>
      <c r="H466" s="468">
        <v>0</v>
      </c>
      <c r="I466" s="751"/>
      <c r="J466" s="789">
        <f>('Parâmetros financeiros Despesa'!E468+'Parâmetros financeiros Despesa'!E469)</f>
        <v>375</v>
      </c>
      <c r="K466" s="789">
        <f>('Parâmetros financeiros Despesa'!F468+'Parâmetros financeiros Despesa'!F469)*((1+'Parâmetros financeiros Despesa'!F$4)*(1+'Parâmetros financeiros Despesa'!F$7))</f>
        <v>1090.3315</v>
      </c>
      <c r="L466" s="799">
        <f t="shared" si="56"/>
        <v>2.9210505668448637E-3</v>
      </c>
      <c r="M466" s="894"/>
      <c r="N466" s="796"/>
      <c r="O466" s="734"/>
    </row>
    <row r="467" spans="1:15" s="457" customFormat="1" x14ac:dyDescent="0.25">
      <c r="A467" s="396"/>
      <c r="B467" s="1398" t="s">
        <v>7414</v>
      </c>
      <c r="C467" s="1398"/>
      <c r="D467" s="1398"/>
      <c r="E467" s="854">
        <v>344905200000000</v>
      </c>
      <c r="F467" s="855" t="s">
        <v>7041</v>
      </c>
      <c r="G467" s="468">
        <v>1</v>
      </c>
      <c r="H467" s="468">
        <v>0</v>
      </c>
      <c r="I467" s="751"/>
      <c r="J467" s="789">
        <f>('Parâmetros financeiros Despesa'!E470)</f>
        <v>1800</v>
      </c>
      <c r="K467" s="789">
        <f>('Parâmetros financeiros Despesa'!F470)*((1+'Parâmetros financeiros Despesa'!F$4)*(1+'Parâmetros financeiros Despesa'!F$7))</f>
        <v>5451.6575000000003</v>
      </c>
      <c r="L467" s="799">
        <f t="shared" si="56"/>
        <v>1.4605252834224321E-2</v>
      </c>
      <c r="M467" s="894"/>
      <c r="N467" s="796"/>
      <c r="O467" s="734"/>
    </row>
    <row r="468" spans="1:15" s="115" customFormat="1" x14ac:dyDescent="0.25">
      <c r="A468" s="396"/>
      <c r="B468" s="1385" t="s">
        <v>5951</v>
      </c>
      <c r="C468" s="1385"/>
      <c r="D468" s="1385"/>
      <c r="E468" s="1385"/>
      <c r="F468" s="1385"/>
      <c r="G468" s="401"/>
      <c r="H468" s="401"/>
      <c r="I468" s="426"/>
      <c r="J468" s="402">
        <f t="shared" ref="J468:K470" si="57">J469</f>
        <v>0</v>
      </c>
      <c r="K468" s="402">
        <f t="shared" si="57"/>
        <v>74796.73090000001</v>
      </c>
      <c r="L468" s="451">
        <f t="shared" si="56"/>
        <v>0.20038404209507638</v>
      </c>
      <c r="M468" s="894"/>
      <c r="O468" s="733"/>
    </row>
    <row r="469" spans="1:15" x14ac:dyDescent="0.25">
      <c r="A469" s="396"/>
      <c r="B469" s="1386" t="s">
        <v>6900</v>
      </c>
      <c r="C469" s="1386"/>
      <c r="D469" s="1386"/>
      <c r="E469" s="1386"/>
      <c r="F469" s="1386"/>
      <c r="G469" s="403"/>
      <c r="H469" s="403"/>
      <c r="I469" s="427"/>
      <c r="J469" s="404">
        <f t="shared" si="57"/>
        <v>0</v>
      </c>
      <c r="K469" s="404">
        <f t="shared" si="57"/>
        <v>74796.73090000001</v>
      </c>
      <c r="L469" s="452">
        <f t="shared" si="56"/>
        <v>0.20038404209507638</v>
      </c>
    </row>
    <row r="470" spans="1:15" x14ac:dyDescent="0.25">
      <c r="A470" s="396"/>
      <c r="B470" s="1382" t="s">
        <v>7283</v>
      </c>
      <c r="C470" s="1382"/>
      <c r="D470" s="1382"/>
      <c r="E470" s="1382"/>
      <c r="F470" s="1382"/>
      <c r="G470" s="405"/>
      <c r="H470" s="405"/>
      <c r="I470" s="428"/>
      <c r="J470" s="406">
        <f t="shared" si="57"/>
        <v>0</v>
      </c>
      <c r="K470" s="406">
        <f t="shared" si="57"/>
        <v>74796.73090000001</v>
      </c>
      <c r="L470" s="453">
        <f t="shared" si="56"/>
        <v>0.20038404209507638</v>
      </c>
    </row>
    <row r="471" spans="1:15" x14ac:dyDescent="0.25">
      <c r="A471" s="396"/>
      <c r="B471" s="1383" t="s">
        <v>2290</v>
      </c>
      <c r="C471" s="1383"/>
      <c r="D471" s="1383"/>
      <c r="E471" s="1383"/>
      <c r="F471" s="1383"/>
      <c r="G471" s="407"/>
      <c r="H471" s="407"/>
      <c r="I471" s="429"/>
      <c r="J471" s="408">
        <f>J472+J473+J474+J475+J476</f>
        <v>0</v>
      </c>
      <c r="K471" s="408">
        <f>K472+K473+K474+K475+K476-0.01</f>
        <v>74796.73090000001</v>
      </c>
      <c r="L471" s="454">
        <f t="shared" si="56"/>
        <v>0.20038404209507638</v>
      </c>
    </row>
    <row r="472" spans="1:15" x14ac:dyDescent="0.25">
      <c r="A472" s="396"/>
      <c r="B472" s="1396">
        <v>44000</v>
      </c>
      <c r="C472" s="1396"/>
      <c r="D472" s="1396"/>
      <c r="E472" s="854">
        <v>333904700000000</v>
      </c>
      <c r="F472" s="1017" t="s">
        <v>6889</v>
      </c>
      <c r="G472" s="468">
        <v>1</v>
      </c>
      <c r="H472" s="468">
        <v>0</v>
      </c>
      <c r="I472" s="751"/>
      <c r="J472" s="789">
        <f>'Parâmetros financeiros Despesa'!E472</f>
        <v>0</v>
      </c>
      <c r="K472" s="789">
        <f>((('Parâmetros financeiros Despesa'!F474+'Parâmetros financeiros Despesa'!F475+'Parâmetros financeiros Despesa'!F477))*((1+'Parâmetros financeiros Despesa'!F$4)*(1+'Parâmetros financeiros Despesa'!F$7))*(1+'Parâmetros financeiros Despesa'!F$83))</f>
        <v>3925.1934000000001</v>
      </c>
      <c r="L472" s="799">
        <f t="shared" si="56"/>
        <v>1.0515782040641511E-2</v>
      </c>
      <c r="M472" s="894"/>
      <c r="N472" s="796"/>
    </row>
    <row r="473" spans="1:15" s="115" customFormat="1" x14ac:dyDescent="0.25">
      <c r="A473" s="396"/>
      <c r="B473" s="1396">
        <v>44100</v>
      </c>
      <c r="C473" s="1396"/>
      <c r="D473" s="1396"/>
      <c r="E473" s="854">
        <v>344903000000000</v>
      </c>
      <c r="F473" s="855" t="s">
        <v>6890</v>
      </c>
      <c r="G473" s="468">
        <v>1</v>
      </c>
      <c r="H473" s="468">
        <v>0</v>
      </c>
      <c r="I473" s="751"/>
      <c r="J473" s="789">
        <f>('Parâmetros financeiros Despesa'!E473+'Parâmetros financeiros Despesa'!E474)</f>
        <v>0</v>
      </c>
      <c r="K473" s="789">
        <f>('Parâmetros financeiros Despesa'!F473+'Parâmetros financeiros Despesa'!F474)*((1+'Parâmetros financeiros Despesa'!F$4)*(1+'Parâmetros financeiros Despesa'!F$7))</f>
        <v>2180.663</v>
      </c>
      <c r="L473" s="799">
        <f t="shared" si="56"/>
        <v>5.8421011336897274E-3</v>
      </c>
      <c r="M473" s="894"/>
      <c r="N473" s="796"/>
      <c r="O473" s="733"/>
    </row>
    <row r="474" spans="1:15" s="457" customFormat="1" ht="30" x14ac:dyDescent="0.25">
      <c r="A474" s="396"/>
      <c r="B474" s="1398" t="s">
        <v>7415</v>
      </c>
      <c r="C474" s="1398"/>
      <c r="D474" s="1398"/>
      <c r="E474" s="854">
        <v>344903600000000</v>
      </c>
      <c r="F474" s="855" t="s">
        <v>6891</v>
      </c>
      <c r="G474" s="468">
        <v>1</v>
      </c>
      <c r="H474" s="468">
        <v>0</v>
      </c>
      <c r="I474" s="751"/>
      <c r="J474" s="789">
        <f>('Parâmetros financeiros Despesa'!E475)</f>
        <v>0</v>
      </c>
      <c r="K474" s="789">
        <f>('Parâmetros financeiros Despesa'!F475)*((1+'Parâmetros financeiros Despesa'!F$4)*(1+'Parâmetros financeiros Despesa'!F$7))</f>
        <v>1090.3315</v>
      </c>
      <c r="L474" s="799">
        <f t="shared" si="56"/>
        <v>2.9210505668448637E-3</v>
      </c>
      <c r="M474" s="894"/>
      <c r="N474" s="796"/>
      <c r="O474" s="734"/>
    </row>
    <row r="475" spans="1:15" s="457" customFormat="1" ht="30" x14ac:dyDescent="0.25">
      <c r="A475" s="396"/>
      <c r="B475" s="1398" t="s">
        <v>7416</v>
      </c>
      <c r="C475" s="1398"/>
      <c r="D475" s="1398"/>
      <c r="E475" s="854">
        <v>344903900000000</v>
      </c>
      <c r="F475" s="855" t="s">
        <v>6892</v>
      </c>
      <c r="G475" s="468">
        <v>1</v>
      </c>
      <c r="H475" s="468">
        <v>0</v>
      </c>
      <c r="I475" s="751"/>
      <c r="J475" s="789">
        <f>('Parâmetros financeiros Despesa'!E476+'Parâmetros financeiros Despesa'!E477)</f>
        <v>0</v>
      </c>
      <c r="K475" s="789">
        <f>('Parâmetros financeiros Despesa'!F476+'Parâmetros financeiros Despesa'!F477)*((1+'Parâmetros financeiros Despesa'!F$4)*(1+'Parâmetros financeiros Despesa'!F$7))</f>
        <v>2180.663</v>
      </c>
      <c r="L475" s="799">
        <f t="shared" si="56"/>
        <v>5.8421011336897274E-3</v>
      </c>
      <c r="M475" s="894"/>
      <c r="N475" s="796"/>
      <c r="O475" s="734"/>
    </row>
    <row r="476" spans="1:15" s="457" customFormat="1" x14ac:dyDescent="0.25">
      <c r="A476" s="396"/>
      <c r="B476" s="1398" t="s">
        <v>7417</v>
      </c>
      <c r="C476" s="1398"/>
      <c r="D476" s="1398"/>
      <c r="E476" s="854">
        <v>344905200000000</v>
      </c>
      <c r="F476" s="855" t="s">
        <v>7189</v>
      </c>
      <c r="G476" s="468">
        <v>1</v>
      </c>
      <c r="H476" s="468">
        <v>0</v>
      </c>
      <c r="I476" s="751"/>
      <c r="J476" s="789">
        <f>('Parâmetros financeiros Despesa'!E478)</f>
        <v>0</v>
      </c>
      <c r="K476" s="789">
        <f>('Parâmetros financeiros Despesa'!F478)*((1+'Parâmetros financeiros Despesa'!F$4)*(1+'Parâmetros financeiros Despesa'!F$7))</f>
        <v>65419.89</v>
      </c>
      <c r="L476" s="799">
        <f t="shared" si="56"/>
        <v>0.17526303401069182</v>
      </c>
      <c r="M476" s="894"/>
      <c r="N476" s="796"/>
      <c r="O476" s="734"/>
    </row>
    <row r="477" spans="1:15" s="115" customFormat="1" x14ac:dyDescent="0.25">
      <c r="A477" s="396"/>
      <c r="B477" s="1385" t="s">
        <v>5951</v>
      </c>
      <c r="C477" s="1385"/>
      <c r="D477" s="1385"/>
      <c r="E477" s="1385"/>
      <c r="F477" s="1385"/>
      <c r="G477" s="401">
        <v>1</v>
      </c>
      <c r="H477" s="401"/>
      <c r="I477" s="426"/>
      <c r="J477" s="402">
        <f t="shared" ref="J477:K479" si="58">J478</f>
        <v>0</v>
      </c>
      <c r="K477" s="402">
        <f t="shared" si="58"/>
        <v>18099.492900000001</v>
      </c>
      <c r="L477" s="451">
        <f t="shared" si="56"/>
        <v>4.8489412619143434E-2</v>
      </c>
      <c r="M477" s="894"/>
      <c r="O477" s="733"/>
    </row>
    <row r="478" spans="1:15" x14ac:dyDescent="0.25">
      <c r="A478" s="396"/>
      <c r="B478" s="1386" t="s">
        <v>6982</v>
      </c>
      <c r="C478" s="1386"/>
      <c r="D478" s="1386"/>
      <c r="E478" s="1386"/>
      <c r="F478" s="1386"/>
      <c r="G478" s="403">
        <v>1</v>
      </c>
      <c r="H478" s="403"/>
      <c r="I478" s="427"/>
      <c r="J478" s="404">
        <f t="shared" si="58"/>
        <v>0</v>
      </c>
      <c r="K478" s="404">
        <f t="shared" si="58"/>
        <v>18099.492900000001</v>
      </c>
      <c r="L478" s="452">
        <f t="shared" si="56"/>
        <v>4.8489412619143434E-2</v>
      </c>
    </row>
    <row r="479" spans="1:15" x14ac:dyDescent="0.25">
      <c r="A479" s="396"/>
      <c r="B479" s="1382" t="s">
        <v>7283</v>
      </c>
      <c r="C479" s="1382"/>
      <c r="D479" s="1382"/>
      <c r="E479" s="1382"/>
      <c r="F479" s="1382"/>
      <c r="G479" s="405">
        <v>1</v>
      </c>
      <c r="H479" s="405"/>
      <c r="I479" s="428"/>
      <c r="J479" s="406">
        <f t="shared" si="58"/>
        <v>0</v>
      </c>
      <c r="K479" s="406">
        <f t="shared" si="58"/>
        <v>18099.492900000001</v>
      </c>
      <c r="L479" s="453">
        <f t="shared" si="56"/>
        <v>4.8489412619143434E-2</v>
      </c>
    </row>
    <row r="480" spans="1:15" x14ac:dyDescent="0.25">
      <c r="A480" s="396"/>
      <c r="B480" s="1383" t="s">
        <v>2290</v>
      </c>
      <c r="C480" s="1383"/>
      <c r="D480" s="1383"/>
      <c r="E480" s="1383"/>
      <c r="F480" s="1383"/>
      <c r="G480" s="407">
        <v>1</v>
      </c>
      <c r="H480" s="407"/>
      <c r="I480" s="429"/>
      <c r="J480" s="408">
        <f>SUM(J481:J485)</f>
        <v>0</v>
      </c>
      <c r="K480" s="408">
        <f>SUM(K481:K485)-0.01</f>
        <v>18099.492900000001</v>
      </c>
      <c r="L480" s="454">
        <f t="shared" si="56"/>
        <v>4.8489412619143434E-2</v>
      </c>
    </row>
    <row r="481" spans="1:15" x14ac:dyDescent="0.25">
      <c r="A481" s="396"/>
      <c r="B481" s="1396">
        <v>45000</v>
      </c>
      <c r="C481" s="1396"/>
      <c r="D481" s="1396"/>
      <c r="E481" s="854">
        <v>333904700000000</v>
      </c>
      <c r="F481" s="1017" t="s">
        <v>7191</v>
      </c>
      <c r="G481" s="468">
        <v>1</v>
      </c>
      <c r="H481" s="468">
        <v>0</v>
      </c>
      <c r="I481" s="751"/>
      <c r="J481" s="789">
        <f>'Parâmetros financeiros Despesa'!E480</f>
        <v>0</v>
      </c>
      <c r="K481" s="789">
        <f>((('Parâmetros financeiros Despesa'!F482+'Parâmetros financeiros Despesa'!F483+'Parâmetros financeiros Despesa'!F485))*((1+'Parâmetros financeiros Despesa'!F$4)*(1+'Parâmetros financeiros Despesa'!F$7))*(1+'Parâmetros financeiros Despesa'!F$83))</f>
        <v>3925.1934000000001</v>
      </c>
      <c r="L481" s="799">
        <f t="shared" si="56"/>
        <v>1.0515782040641511E-2</v>
      </c>
      <c r="M481" s="894"/>
      <c r="N481" s="796"/>
    </row>
    <row r="482" spans="1:15" s="115" customFormat="1" x14ac:dyDescent="0.25">
      <c r="A482" s="396"/>
      <c r="B482" s="1396">
        <v>45100</v>
      </c>
      <c r="C482" s="1396"/>
      <c r="D482" s="1396"/>
      <c r="E482" s="854">
        <v>344903000000000</v>
      </c>
      <c r="F482" s="855" t="s">
        <v>7190</v>
      </c>
      <c r="G482" s="468">
        <v>1</v>
      </c>
      <c r="H482" s="468">
        <v>0</v>
      </c>
      <c r="I482" s="751"/>
      <c r="J482" s="789">
        <f>('Parâmetros financeiros Despesa'!E481+'Parâmetros financeiros Despesa'!E482)</f>
        <v>0</v>
      </c>
      <c r="K482" s="789">
        <f>('Parâmetros financeiros Despesa'!F481+'Parâmetros financeiros Despesa'!F482)*((1+'Parâmetros financeiros Despesa'!F$4)*(1+'Parâmetros financeiros Despesa'!F$7))</f>
        <v>2180.663</v>
      </c>
      <c r="L482" s="799">
        <f t="shared" si="56"/>
        <v>5.8421011336897274E-3</v>
      </c>
      <c r="M482" s="894"/>
      <c r="N482" s="796"/>
      <c r="O482" s="733"/>
    </row>
    <row r="483" spans="1:15" s="457" customFormat="1" x14ac:dyDescent="0.25">
      <c r="A483" s="396"/>
      <c r="B483" s="1398" t="s">
        <v>7419</v>
      </c>
      <c r="C483" s="1398"/>
      <c r="D483" s="1398"/>
      <c r="E483" s="854">
        <v>344903600000000</v>
      </c>
      <c r="F483" s="855" t="s">
        <v>7192</v>
      </c>
      <c r="G483" s="468">
        <v>1</v>
      </c>
      <c r="H483" s="468">
        <v>0</v>
      </c>
      <c r="I483" s="751"/>
      <c r="J483" s="789">
        <f>('Parâmetros financeiros Despesa'!E483)</f>
        <v>0</v>
      </c>
      <c r="K483" s="789">
        <f>('Parâmetros financeiros Despesa'!F483)*((1+'Parâmetros financeiros Despesa'!F$4)*(1+'Parâmetros financeiros Despesa'!F$7))</f>
        <v>1090.3315</v>
      </c>
      <c r="L483" s="799">
        <f t="shared" si="56"/>
        <v>2.9210505668448637E-3</v>
      </c>
      <c r="M483" s="894"/>
      <c r="N483" s="796"/>
      <c r="O483" s="734"/>
    </row>
    <row r="484" spans="1:15" s="457" customFormat="1" x14ac:dyDescent="0.25">
      <c r="A484" s="396"/>
      <c r="B484" s="1398" t="s">
        <v>7420</v>
      </c>
      <c r="C484" s="1398"/>
      <c r="D484" s="1398"/>
      <c r="E484" s="854">
        <v>344903900000000</v>
      </c>
      <c r="F484" s="855" t="s">
        <v>7193</v>
      </c>
      <c r="G484" s="468">
        <v>1</v>
      </c>
      <c r="H484" s="468">
        <v>0</v>
      </c>
      <c r="I484" s="751"/>
      <c r="J484" s="789">
        <f>('Parâmetros financeiros Despesa'!E484+'Parâmetros financeiros Despesa'!E485)</f>
        <v>0</v>
      </c>
      <c r="K484" s="789">
        <f>('Parâmetros financeiros Despesa'!F484+'Parâmetros financeiros Despesa'!F485)*((1+'Parâmetros financeiros Despesa'!F$4)*(1+'Parâmetros financeiros Despesa'!F$7))</f>
        <v>2180.663</v>
      </c>
      <c r="L484" s="799">
        <f t="shared" si="56"/>
        <v>5.8421011336897274E-3</v>
      </c>
      <c r="M484" s="894"/>
      <c r="N484" s="796"/>
      <c r="O484" s="734"/>
    </row>
    <row r="485" spans="1:15" s="457" customFormat="1" x14ac:dyDescent="0.25">
      <c r="A485" s="396"/>
      <c r="B485" s="1398" t="s">
        <v>7421</v>
      </c>
      <c r="C485" s="1398"/>
      <c r="D485" s="1398"/>
      <c r="E485" s="854">
        <v>344905200000000</v>
      </c>
      <c r="F485" s="855" t="s">
        <v>7041</v>
      </c>
      <c r="G485" s="468">
        <v>1</v>
      </c>
      <c r="H485" s="468">
        <v>0</v>
      </c>
      <c r="I485" s="751"/>
      <c r="J485" s="789">
        <f>('Parâmetros financeiros Despesa'!E486)</f>
        <v>0</v>
      </c>
      <c r="K485" s="789">
        <f>('Parâmetros financeiros Despesa'!F486)*((1+'Parâmetros financeiros Despesa'!F$4)*(1+'Parâmetros financeiros Despesa'!F$7))</f>
        <v>8722.652</v>
      </c>
      <c r="L485" s="799">
        <f t="shared" si="56"/>
        <v>2.336840453475891E-2</v>
      </c>
      <c r="M485" s="894"/>
      <c r="N485" s="796"/>
      <c r="O485" s="734"/>
    </row>
    <row r="486" spans="1:15" x14ac:dyDescent="0.25">
      <c r="A486" s="397"/>
      <c r="B486" s="1385" t="s">
        <v>5951</v>
      </c>
      <c r="C486" s="1385"/>
      <c r="D486" s="1385"/>
      <c r="E486" s="1385"/>
      <c r="F486" s="1385"/>
      <c r="G486" s="401">
        <v>1</v>
      </c>
      <c r="H486" s="401">
        <v>0</v>
      </c>
      <c r="I486" s="426"/>
      <c r="J486" s="402">
        <f t="shared" ref="J486:K488" si="59">J487</f>
        <v>263135.20480000001</v>
      </c>
      <c r="K486" s="402">
        <f t="shared" si="59"/>
        <v>258236.94023182086</v>
      </c>
      <c r="L486" s="451">
        <f t="shared" si="56"/>
        <v>0.69182919198834814</v>
      </c>
    </row>
    <row r="487" spans="1:15" x14ac:dyDescent="0.25">
      <c r="A487" s="397"/>
      <c r="B487" s="1386" t="s">
        <v>5965</v>
      </c>
      <c r="C487" s="1386"/>
      <c r="D487" s="1386"/>
      <c r="E487" s="1386"/>
      <c r="F487" s="1386"/>
      <c r="G487" s="403">
        <v>1</v>
      </c>
      <c r="H487" s="403">
        <v>0</v>
      </c>
      <c r="I487" s="427"/>
      <c r="J487" s="404">
        <f t="shared" si="59"/>
        <v>263135.20480000001</v>
      </c>
      <c r="K487" s="404">
        <f t="shared" si="59"/>
        <v>258236.94023182086</v>
      </c>
      <c r="L487" s="452">
        <f t="shared" si="56"/>
        <v>0.69182919198834814</v>
      </c>
    </row>
    <row r="488" spans="1:15" x14ac:dyDescent="0.25">
      <c r="A488" s="397"/>
      <c r="B488" s="1382" t="s">
        <v>7283</v>
      </c>
      <c r="C488" s="1382"/>
      <c r="D488" s="1382"/>
      <c r="E488" s="1382"/>
      <c r="F488" s="1382"/>
      <c r="G488" s="405">
        <v>1</v>
      </c>
      <c r="H488" s="405">
        <v>0</v>
      </c>
      <c r="I488" s="428"/>
      <c r="J488" s="406">
        <f t="shared" si="59"/>
        <v>263135.20480000001</v>
      </c>
      <c r="K488" s="406">
        <f t="shared" si="59"/>
        <v>258236.94023182086</v>
      </c>
      <c r="L488" s="453">
        <f t="shared" si="56"/>
        <v>0.69182919198834814</v>
      </c>
    </row>
    <row r="489" spans="1:15" x14ac:dyDescent="0.25">
      <c r="A489" s="397"/>
      <c r="B489" s="1383" t="s">
        <v>2290</v>
      </c>
      <c r="C489" s="1383"/>
      <c r="D489" s="1383"/>
      <c r="E489" s="1383"/>
      <c r="F489" s="1383"/>
      <c r="G489" s="407">
        <v>1</v>
      </c>
      <c r="H489" s="407">
        <v>0</v>
      </c>
      <c r="I489" s="429"/>
      <c r="J489" s="408">
        <f>J490+J491+J492+J493+J494+J495+J496+J497+J500+J501+J502+J503+J498+J499</f>
        <v>263135.20480000001</v>
      </c>
      <c r="K489" s="408">
        <f>K490+K491+K492+K493+K494+K495+K496+K497+K500+K501+K502+K503+K498+K499-0.01</f>
        <v>258236.94023182086</v>
      </c>
      <c r="L489" s="454">
        <f t="shared" si="56"/>
        <v>0.69182919198834814</v>
      </c>
    </row>
    <row r="490" spans="1:15" s="115" customFormat="1" x14ac:dyDescent="0.25">
      <c r="A490" s="396"/>
      <c r="B490" s="1398" t="s">
        <v>7425</v>
      </c>
      <c r="C490" s="1398"/>
      <c r="D490" s="1398"/>
      <c r="E490" s="854">
        <v>331900400000000</v>
      </c>
      <c r="F490" s="855" t="s">
        <v>5851</v>
      </c>
      <c r="G490" s="468">
        <v>1</v>
      </c>
      <c r="H490" s="468">
        <v>0</v>
      </c>
      <c r="I490" s="751"/>
      <c r="J490" s="789">
        <f>('Parâmetros financeiros Despesa'!E488)</f>
        <v>33418.759887500004</v>
      </c>
      <c r="K490" s="789">
        <f>('Parâmetros financeiros Despesa'!F488)*2.05+(('Parâmetros financeiros Despesa'!F488)*11.28)*(1+'Parâmetros financeiros Despesa'!F$4)*(1+'Parâmetros financeiros Despesa'!F$8)*(1+'Parâmetros financeiros Despesa'!F$80)</f>
        <v>42189.393769832619</v>
      </c>
      <c r="L490" s="799">
        <f t="shared" si="56"/>
        <v>0.11302741651159372</v>
      </c>
      <c r="M490" s="894"/>
      <c r="O490" s="733"/>
    </row>
    <row r="491" spans="1:15" s="115" customFormat="1" x14ac:dyDescent="0.25">
      <c r="A491" s="396"/>
      <c r="B491" s="1398" t="s">
        <v>7426</v>
      </c>
      <c r="C491" s="1398"/>
      <c r="D491" s="1398"/>
      <c r="E491" s="854">
        <v>331901100000000</v>
      </c>
      <c r="F491" s="855" t="s">
        <v>7427</v>
      </c>
      <c r="G491" s="468">
        <v>1</v>
      </c>
      <c r="H491" s="468">
        <v>0</v>
      </c>
      <c r="I491" s="751"/>
      <c r="J491" s="789">
        <f>('Parâmetros financeiros Despesa'!E489)</f>
        <v>110903.81711250001</v>
      </c>
      <c r="K491" s="789">
        <f>('Parâmetros financeiros Despesa'!F489)*2.05+(('Parâmetros financeiros Despesa'!F489)*11.28)*(1+'Parâmetros financeiros Despesa'!F$4)*(1+'Parâmetros financeiros Despesa'!F$8)</f>
        <v>116110.64366872399</v>
      </c>
      <c r="L491" s="799">
        <f t="shared" ref="L491:L513" si="60">K491/K$516</f>
        <v>0.31106600286724562</v>
      </c>
      <c r="M491" s="894"/>
      <c r="O491" s="733"/>
    </row>
    <row r="492" spans="1:15" s="115" customFormat="1" x14ac:dyDescent="0.25">
      <c r="A492" s="396"/>
      <c r="B492" s="1398" t="s">
        <v>7428</v>
      </c>
      <c r="C492" s="1398"/>
      <c r="D492" s="1398"/>
      <c r="E492" s="854">
        <v>331901300000000</v>
      </c>
      <c r="F492" s="855" t="s">
        <v>5735</v>
      </c>
      <c r="G492" s="468">
        <v>1</v>
      </c>
      <c r="H492" s="468">
        <v>0</v>
      </c>
      <c r="I492" s="751"/>
      <c r="J492" s="789">
        <f>'Parâmetros financeiros Despesa'!E491</f>
        <v>82161.868750000009</v>
      </c>
      <c r="K492" s="789">
        <f>(K493+K491)*'Parâmetros financeiros Despesa'!F$80</f>
        <v>27648.570393182577</v>
      </c>
      <c r="L492" s="799">
        <f t="shared" si="60"/>
        <v>7.4071850826520277E-2</v>
      </c>
      <c r="M492" s="894"/>
      <c r="N492" s="796"/>
      <c r="O492" s="733"/>
    </row>
    <row r="493" spans="1:15" s="115" customFormat="1" x14ac:dyDescent="0.25">
      <c r="A493" s="396"/>
      <c r="B493" s="1398" t="s">
        <v>7429</v>
      </c>
      <c r="C493" s="1398"/>
      <c r="D493" s="1398"/>
      <c r="E493" s="854">
        <v>331901600000000</v>
      </c>
      <c r="F493" s="855" t="s">
        <v>5736</v>
      </c>
      <c r="G493" s="468">
        <v>1</v>
      </c>
      <c r="H493" s="468">
        <v>0</v>
      </c>
      <c r="I493" s="751"/>
      <c r="J493" s="789">
        <f>'Parâmetros financeiros Despesa'!E490</f>
        <v>0</v>
      </c>
      <c r="K493" s="789">
        <f>('Parâmetros financeiros Despesa'!F490)*2.05+(('Parâmetros financeiros Despesa'!F490)*11.28)*(1+'Parâmetros financeiros Despesa'!F$4)*(1+'Parâmetros financeiros Despesa'!F$8)</f>
        <v>13.955830560223728</v>
      </c>
      <c r="L493" s="799">
        <f t="shared" si="60"/>
        <v>3.7388341773793012E-5</v>
      </c>
      <c r="M493" s="894"/>
      <c r="N493" s="796"/>
      <c r="O493" s="733"/>
    </row>
    <row r="494" spans="1:15" s="115" customFormat="1" x14ac:dyDescent="0.25">
      <c r="A494" s="396"/>
      <c r="B494" s="1398" t="s">
        <v>7430</v>
      </c>
      <c r="C494" s="1398"/>
      <c r="D494" s="1398"/>
      <c r="E494" s="854">
        <v>333901400000000</v>
      </c>
      <c r="F494" s="855" t="s">
        <v>6568</v>
      </c>
      <c r="G494" s="468">
        <v>1</v>
      </c>
      <c r="H494" s="468">
        <v>0</v>
      </c>
      <c r="I494" s="751"/>
      <c r="J494" s="789">
        <f>'Parâmetros financeiros Despesa'!E492</f>
        <v>726</v>
      </c>
      <c r="K494" s="789">
        <f>('Parâmetros financeiros Despesa'!F492)*2+(('Parâmetros financeiros Despesa'!F492)*10)*(1+'Parâmetros financeiros Despesa'!F$4)*(1+'Parâmetros financeiros Despesa'!F$8)</f>
        <v>6277.4071632197383</v>
      </c>
      <c r="L494" s="799">
        <f t="shared" si="60"/>
        <v>1.6817475925843678E-2</v>
      </c>
      <c r="M494" s="894"/>
      <c r="N494" s="796"/>
      <c r="O494" s="733"/>
    </row>
    <row r="495" spans="1:15" s="115" customFormat="1" x14ac:dyDescent="0.25">
      <c r="A495" s="396"/>
      <c r="B495" s="1396">
        <v>46500</v>
      </c>
      <c r="C495" s="1396"/>
      <c r="D495" s="1396"/>
      <c r="E495" s="854">
        <v>333903000000000</v>
      </c>
      <c r="F495" s="855" t="s">
        <v>7431</v>
      </c>
      <c r="G495" s="468">
        <v>1</v>
      </c>
      <c r="H495" s="468">
        <v>0</v>
      </c>
      <c r="I495" s="751"/>
      <c r="J495" s="789">
        <f>('Parâmetros financeiros Despesa'!E493+'Parâmetros financeiros Despesa'!E494)</f>
        <v>9154.8440499999997</v>
      </c>
      <c r="K495" s="789">
        <f>('Parâmetros financeiros Despesa'!F493+'Parâmetros financeiros Despesa'!F494)*(1+'Parâmetros financeiros Despesa'!F$4)*(1+'Parâmetros financeiros Despesa'!F$7)</f>
        <v>12162.477845302576</v>
      </c>
      <c r="L495" s="799">
        <f t="shared" si="60"/>
        <v>3.2583863535318558E-2</v>
      </c>
      <c r="M495" s="894"/>
      <c r="N495" s="796"/>
      <c r="O495" s="733"/>
    </row>
    <row r="496" spans="1:15" s="115" customFormat="1" x14ac:dyDescent="0.25">
      <c r="A496" s="396"/>
      <c r="B496" s="1396">
        <v>46600</v>
      </c>
      <c r="C496" s="1396"/>
      <c r="D496" s="1396"/>
      <c r="E496" s="854">
        <v>333903200000000</v>
      </c>
      <c r="F496" s="855" t="s">
        <v>1021</v>
      </c>
      <c r="G496" s="468">
        <v>1</v>
      </c>
      <c r="H496" s="468">
        <v>0</v>
      </c>
      <c r="I496" s="751"/>
      <c r="J496" s="789">
        <f>('Parâmetros financeiros Despesa'!E495)</f>
        <v>0</v>
      </c>
      <c r="K496" s="789">
        <f>('Parâmetros financeiros Despesa'!F495)*(1+'Parâmetros financeiros Despesa'!F$4)*(1+'Parâmetros financeiros Despesa'!F$7)</f>
        <v>2180.663</v>
      </c>
      <c r="L496" s="799">
        <f t="shared" si="60"/>
        <v>5.8421011336897274E-3</v>
      </c>
      <c r="M496" s="894"/>
      <c r="N496" s="796"/>
      <c r="O496" s="733"/>
    </row>
    <row r="497" spans="1:15" s="115" customFormat="1" x14ac:dyDescent="0.25">
      <c r="A497" s="396"/>
      <c r="B497" s="1396">
        <v>46700</v>
      </c>
      <c r="C497" s="1396"/>
      <c r="D497" s="1396"/>
      <c r="E497" s="854">
        <v>333903300000000</v>
      </c>
      <c r="F497" s="855" t="s">
        <v>3469</v>
      </c>
      <c r="G497" s="468">
        <v>1</v>
      </c>
      <c r="H497" s="468">
        <v>0</v>
      </c>
      <c r="I497" s="751"/>
      <c r="J497" s="789">
        <f>('Parâmetros financeiros Despesa'!E496)</f>
        <v>0</v>
      </c>
      <c r="K497" s="789">
        <f>('Parâmetros financeiros Despesa'!F496*(1+'Parâmetros financeiros Despesa'!F$4)*(1+'Parâmetros financeiros Despesa'!F$7))</f>
        <v>2180.663</v>
      </c>
      <c r="L497" s="799">
        <f t="shared" si="60"/>
        <v>5.8421011336897274E-3</v>
      </c>
      <c r="M497" s="894"/>
      <c r="N497" s="796"/>
      <c r="O497" s="733"/>
    </row>
    <row r="498" spans="1:15" s="115" customFormat="1" x14ac:dyDescent="0.25">
      <c r="A498" s="396"/>
      <c r="B498" s="1398" t="s">
        <v>7433</v>
      </c>
      <c r="C498" s="1398"/>
      <c r="D498" s="1398"/>
      <c r="E498" s="854">
        <v>333903600000000</v>
      </c>
      <c r="F498" s="855" t="s">
        <v>993</v>
      </c>
      <c r="G498" s="468">
        <v>1</v>
      </c>
      <c r="H498" s="468">
        <v>0</v>
      </c>
      <c r="I498" s="751"/>
      <c r="J498" s="789">
        <f>('Parâmetros financeiros Despesa'!E496+'Parâmetros financeiros Despesa'!E497+'Parâmetros financeiros Despesa'!E498)</f>
        <v>11187.33</v>
      </c>
      <c r="K498" s="789">
        <f>('Parâmetros financeiros Despesa'!F496+'Parâmetros financeiros Despesa'!F497+'Parâmetros financeiros Despesa'!F498)*(1+'Parâmetros financeiros Despesa'!F$4)*(1+'Parâmetros financeiros Despesa'!F$7)</f>
        <v>19830.218799895003</v>
      </c>
      <c r="L498" s="799">
        <f t="shared" si="60"/>
        <v>5.3126110605894609E-2</v>
      </c>
      <c r="M498" s="894"/>
      <c r="N498" s="796"/>
      <c r="O498" s="733"/>
    </row>
    <row r="499" spans="1:15" s="115" customFormat="1" x14ac:dyDescent="0.25">
      <c r="A499" s="396"/>
      <c r="B499" s="1398" t="s">
        <v>7434</v>
      </c>
      <c r="C499" s="1398"/>
      <c r="D499" s="1398"/>
      <c r="E499" s="854">
        <v>333903900000000</v>
      </c>
      <c r="F499" s="855" t="s">
        <v>2268</v>
      </c>
      <c r="G499" s="468">
        <v>1</v>
      </c>
      <c r="H499" s="468">
        <v>0</v>
      </c>
      <c r="I499" s="751"/>
      <c r="J499" s="789">
        <f>('Parâmetros financeiros Despesa'!E499+'Parâmetros financeiros Despesa'!E500+'Parâmetros financeiros Despesa'!E501)</f>
        <v>10030.695</v>
      </c>
      <c r="K499" s="789">
        <f>('Parâmetros financeiros Despesa'!F499+'Parâmetros financeiros Despesa'!F500+'Parâmetros financeiros Despesa'!F501)*(1+'Parâmetros financeiros Despesa'!F$4)*(1+'Parâmetros financeiros Despesa'!F$7)</f>
        <v>18336.726324455001</v>
      </c>
      <c r="L499" s="799">
        <f t="shared" si="60"/>
        <v>4.9124972381453177E-2</v>
      </c>
      <c r="M499" s="894"/>
      <c r="N499" s="796"/>
      <c r="O499" s="733"/>
    </row>
    <row r="500" spans="1:15" s="115" customFormat="1" x14ac:dyDescent="0.25">
      <c r="A500" s="396"/>
      <c r="B500" s="1398" t="s">
        <v>7435</v>
      </c>
      <c r="C500" s="1398"/>
      <c r="D500" s="1398"/>
      <c r="E500" s="854">
        <v>333904700000000</v>
      </c>
      <c r="F500" s="855" t="s">
        <v>990</v>
      </c>
      <c r="G500" s="468">
        <v>1</v>
      </c>
      <c r="H500" s="468">
        <v>0</v>
      </c>
      <c r="I500" s="751"/>
      <c r="J500" s="789">
        <f>'Parâmetros financeiros Despesa'!E502</f>
        <v>14.100000000000001</v>
      </c>
      <c r="K500" s="789">
        <f>('Parâmetros financeiros Despesa'!F494+'Parâmetros financeiros Despesa'!F497+'Parâmetros financeiros Despesa'!F500)*((1+'Parâmetros financeiros Despesa'!F4)*(1+'Parâmetros financeiros Despesa'!F7)*('Parâmetros financeiros Despesa'!F83))</f>
        <v>2180.663</v>
      </c>
      <c r="L500" s="799">
        <f t="shared" si="60"/>
        <v>5.8421011336897274E-3</v>
      </c>
      <c r="M500" s="894"/>
      <c r="N500" s="894"/>
      <c r="O500" s="733"/>
    </row>
    <row r="501" spans="1:15" s="115" customFormat="1" x14ac:dyDescent="0.25">
      <c r="A501" s="396"/>
      <c r="B501" s="1398" t="s">
        <v>7436</v>
      </c>
      <c r="C501" s="1398"/>
      <c r="D501" s="1398"/>
      <c r="E501" s="854">
        <v>333904900000000</v>
      </c>
      <c r="F501" s="855" t="s">
        <v>7167</v>
      </c>
      <c r="G501" s="468">
        <v>1</v>
      </c>
      <c r="H501" s="468">
        <v>0</v>
      </c>
      <c r="I501" s="751"/>
      <c r="J501" s="789">
        <f>'Parâmetros financeiros Despesa'!E503</f>
        <v>4096.5599999999995</v>
      </c>
      <c r="K501" s="789">
        <f>('Parâmetros financeiros Despesa'!F503)*2.05+(('Parâmetros financeiros Despesa'!F503)*11.28)*(1+'Parâmetros financeiros Despesa'!F$4)*(1+'Parâmetros financeiros Despesa'!F$8)</f>
        <v>4764.2414366491748</v>
      </c>
      <c r="L501" s="799">
        <f t="shared" si="60"/>
        <v>1.2763632114737454E-2</v>
      </c>
      <c r="M501" s="894"/>
      <c r="N501" s="894"/>
      <c r="O501" s="733"/>
    </row>
    <row r="502" spans="1:15" s="115" customFormat="1" x14ac:dyDescent="0.25">
      <c r="A502" s="396"/>
      <c r="B502" s="1398" t="s">
        <v>7437</v>
      </c>
      <c r="C502" s="1398"/>
      <c r="D502" s="1398"/>
      <c r="E502" s="854">
        <v>333909300000000</v>
      </c>
      <c r="F502" s="855" t="s">
        <v>5818</v>
      </c>
      <c r="G502" s="468">
        <v>1</v>
      </c>
      <c r="H502" s="468">
        <v>0</v>
      </c>
      <c r="I502" s="751"/>
      <c r="J502" s="789">
        <f>'Parâmetros financeiros Despesa'!E504</f>
        <v>115.92</v>
      </c>
      <c r="K502" s="789">
        <f>('Parâmetros financeiros Despesa'!F504)*(1+'Parâmetros financeiros Despesa'!F4)*(1+'Parâmetros financeiros Despesa'!F7)</f>
        <v>2180.663</v>
      </c>
      <c r="L502" s="799">
        <f t="shared" si="60"/>
        <v>5.8421011336897274E-3</v>
      </c>
      <c r="M502" s="894"/>
      <c r="N502" s="894"/>
      <c r="O502" s="733"/>
    </row>
    <row r="503" spans="1:15" s="115" customFormat="1" x14ac:dyDescent="0.25">
      <c r="A503" s="396"/>
      <c r="B503" s="1398" t="s">
        <v>7438</v>
      </c>
      <c r="C503" s="1398"/>
      <c r="D503" s="1398"/>
      <c r="E503" s="854">
        <v>333933000000000</v>
      </c>
      <c r="F503" s="855" t="s">
        <v>7205</v>
      </c>
      <c r="G503" s="468">
        <v>1</v>
      </c>
      <c r="H503" s="468">
        <v>0</v>
      </c>
      <c r="I503" s="751"/>
      <c r="J503" s="789">
        <f>'Parâmetros financeiros Despesa'!E505</f>
        <v>1325.31</v>
      </c>
      <c r="K503" s="789">
        <f>('Parâmetros financeiros Despesa'!F505)*(1+'Parâmetros financeiros Despesa'!F4)*(1+'Parâmetros financeiros Despesa'!F7)</f>
        <v>2180.663</v>
      </c>
      <c r="L503" s="799">
        <f t="shared" si="60"/>
        <v>5.8421011336897274E-3</v>
      </c>
      <c r="M503" s="894"/>
      <c r="N503" s="894"/>
      <c r="O503" s="733"/>
    </row>
    <row r="504" spans="1:15" x14ac:dyDescent="0.25">
      <c r="A504" s="397"/>
      <c r="B504" s="1385" t="s">
        <v>5951</v>
      </c>
      <c r="C504" s="1385"/>
      <c r="D504" s="1385"/>
      <c r="E504" s="1385"/>
      <c r="F504" s="1385"/>
      <c r="G504" s="401">
        <v>1</v>
      </c>
      <c r="H504" s="401"/>
      <c r="I504" s="426"/>
      <c r="J504" s="402">
        <f t="shared" ref="J504:K506" si="61">J505</f>
        <v>0</v>
      </c>
      <c r="K504" s="402">
        <f t="shared" si="61"/>
        <v>11993.646499999999</v>
      </c>
      <c r="L504" s="451">
        <f t="shared" si="60"/>
        <v>3.2131556235293499E-2</v>
      </c>
    </row>
    <row r="505" spans="1:15" x14ac:dyDescent="0.25">
      <c r="A505" s="397"/>
      <c r="B505" s="1386" t="s">
        <v>7008</v>
      </c>
      <c r="C505" s="1386"/>
      <c r="D505" s="1386"/>
      <c r="E505" s="1386"/>
      <c r="F505" s="1386"/>
      <c r="G505" s="403">
        <v>1</v>
      </c>
      <c r="H505" s="403"/>
      <c r="I505" s="427"/>
      <c r="J505" s="404">
        <f t="shared" si="61"/>
        <v>0</v>
      </c>
      <c r="K505" s="404">
        <f t="shared" si="61"/>
        <v>11993.646499999999</v>
      </c>
      <c r="L505" s="452">
        <f t="shared" si="60"/>
        <v>3.2131556235293499E-2</v>
      </c>
    </row>
    <row r="506" spans="1:15" x14ac:dyDescent="0.25">
      <c r="A506" s="397"/>
      <c r="B506" s="1382" t="s">
        <v>7283</v>
      </c>
      <c r="C506" s="1382"/>
      <c r="D506" s="1382"/>
      <c r="E506" s="1382"/>
      <c r="F506" s="1382"/>
      <c r="G506" s="405">
        <v>1</v>
      </c>
      <c r="H506" s="405"/>
      <c r="I506" s="428"/>
      <c r="J506" s="406">
        <f t="shared" si="61"/>
        <v>0</v>
      </c>
      <c r="K506" s="406">
        <f t="shared" si="61"/>
        <v>11993.646499999999</v>
      </c>
      <c r="L506" s="453">
        <f t="shared" si="60"/>
        <v>3.2131556235293499E-2</v>
      </c>
    </row>
    <row r="507" spans="1:15" x14ac:dyDescent="0.25">
      <c r="A507" s="397"/>
      <c r="B507" s="1383" t="s">
        <v>2287</v>
      </c>
      <c r="C507" s="1383"/>
      <c r="D507" s="1383"/>
      <c r="E507" s="1383"/>
      <c r="F507" s="1383"/>
      <c r="G507" s="407">
        <v>1</v>
      </c>
      <c r="H507" s="407"/>
      <c r="I507" s="429"/>
      <c r="J507" s="408">
        <f>SUM(J508:J512)</f>
        <v>0</v>
      </c>
      <c r="K507" s="408">
        <f>SUM(K508:K512)</f>
        <v>11993.646499999999</v>
      </c>
      <c r="L507" s="454">
        <f t="shared" si="60"/>
        <v>3.2131556235293499E-2</v>
      </c>
    </row>
    <row r="508" spans="1:15" x14ac:dyDescent="0.25">
      <c r="A508" s="397"/>
      <c r="B508" s="1396">
        <v>48000</v>
      </c>
      <c r="C508" s="1396"/>
      <c r="D508" s="1396"/>
      <c r="E508" s="854">
        <v>333903000000000</v>
      </c>
      <c r="F508" s="855" t="s">
        <v>7176</v>
      </c>
      <c r="G508" s="468">
        <v>1</v>
      </c>
      <c r="H508" s="468">
        <v>0</v>
      </c>
      <c r="I508" s="751"/>
      <c r="J508" s="789">
        <f>'Parâmetros financeiros Despesa'!E508+'Parâmetros financeiros Despesa'!E509</f>
        <v>0</v>
      </c>
      <c r="K508" s="789">
        <f>('Parâmetros financeiros Despesa'!F508+'Parâmetros financeiros Despesa'!F509)*(1+'Parâmetros financeiros Despesa'!F$4)*(1+'Parâmetros financeiros Despesa'!F$7)</f>
        <v>2180.663</v>
      </c>
      <c r="L508" s="799">
        <f t="shared" si="60"/>
        <v>5.8421011336897274E-3</v>
      </c>
      <c r="M508" s="894"/>
      <c r="N508" s="796"/>
    </row>
    <row r="509" spans="1:15" x14ac:dyDescent="0.25">
      <c r="A509" s="397"/>
      <c r="B509" s="1004"/>
      <c r="C509" s="1004"/>
      <c r="D509" s="1004" t="s">
        <v>7439</v>
      </c>
      <c r="E509" s="854">
        <v>333903600000000</v>
      </c>
      <c r="F509" s="855" t="s">
        <v>7177</v>
      </c>
      <c r="G509" s="468">
        <v>1</v>
      </c>
      <c r="H509" s="468">
        <v>0</v>
      </c>
      <c r="I509" s="751"/>
      <c r="J509" s="789">
        <f>'Parâmetros financeiros Despesa'!E510</f>
        <v>0</v>
      </c>
      <c r="K509" s="789">
        <f>('Parâmetros financeiros Despesa'!F510)*(1+'Parâmetros financeiros Despesa'!F$4)*(1+'Parâmetros financeiros Despesa'!F$7)</f>
        <v>1090.3315</v>
      </c>
      <c r="L509" s="799">
        <f t="shared" si="60"/>
        <v>2.9210505668448637E-3</v>
      </c>
      <c r="M509" s="894"/>
      <c r="N509" s="796"/>
    </row>
    <row r="510" spans="1:15" x14ac:dyDescent="0.25">
      <c r="A510" s="397"/>
      <c r="B510" s="1398" t="s">
        <v>7440</v>
      </c>
      <c r="C510" s="1398"/>
      <c r="D510" s="1398"/>
      <c r="E510" s="854">
        <v>333903900000000</v>
      </c>
      <c r="F510" s="855" t="s">
        <v>7178</v>
      </c>
      <c r="G510" s="468">
        <v>1</v>
      </c>
      <c r="H510" s="468">
        <v>0</v>
      </c>
      <c r="I510" s="751"/>
      <c r="J510" s="789">
        <f>('Parâmetros financeiros Despesa'!E511+'Parâmetros financeiros Despesa'!E512)</f>
        <v>0</v>
      </c>
      <c r="K510" s="789">
        <f>('Parâmetros financeiros Despesa'!F511+'Parâmetros financeiros Despesa'!F512)*(1+'Parâmetros financeiros Despesa'!F$4)*(1+'Parâmetros financeiros Despesa'!F$7)</f>
        <v>4361.326</v>
      </c>
      <c r="L510" s="799">
        <f t="shared" si="60"/>
        <v>1.1684202267379455E-2</v>
      </c>
      <c r="M510" s="894"/>
      <c r="N510" s="796"/>
    </row>
    <row r="511" spans="1:15" x14ac:dyDescent="0.25">
      <c r="A511" s="397"/>
      <c r="B511" s="1398" t="s">
        <v>7441</v>
      </c>
      <c r="C511" s="1398"/>
      <c r="D511" s="1398"/>
      <c r="E511" s="854">
        <v>333904700000000</v>
      </c>
      <c r="F511" s="855" t="s">
        <v>7179</v>
      </c>
      <c r="G511" s="468">
        <v>1</v>
      </c>
      <c r="H511" s="468">
        <v>0</v>
      </c>
      <c r="I511" s="751"/>
      <c r="J511" s="789">
        <f>'Parâmetros financeiros Despesa'!E507</f>
        <v>0</v>
      </c>
      <c r="K511" s="789">
        <f>(('Parâmetros financeiros Despesa'!F509+'Parâmetros financeiros Despesa'!F510+'Parâmetros financeiros Despesa'!F512)*(1+'Parâmetros financeiros Despesa'!F$4)*(1+'Parâmetros financeiros Despesa'!F$7))*('Parâmetros financeiros Despesa'!F$83)</f>
        <v>654.19890000000009</v>
      </c>
      <c r="L511" s="799">
        <f t="shared" si="60"/>
        <v>1.7526303401069186E-3</v>
      </c>
      <c r="M511" s="894"/>
      <c r="N511" s="796"/>
    </row>
    <row r="512" spans="1:15" s="457" customFormat="1" x14ac:dyDescent="0.25">
      <c r="A512" s="396"/>
      <c r="B512" s="1398" t="s">
        <v>7442</v>
      </c>
      <c r="C512" s="1398"/>
      <c r="D512" s="1398"/>
      <c r="E512" s="854">
        <v>344905200000000</v>
      </c>
      <c r="F512" s="855" t="s">
        <v>7180</v>
      </c>
      <c r="G512" s="468">
        <v>1</v>
      </c>
      <c r="H512" s="468">
        <v>0</v>
      </c>
      <c r="I512" s="751"/>
      <c r="J512" s="789">
        <f>('Parâmetros financeiros Despesa'!E513)</f>
        <v>0</v>
      </c>
      <c r="K512" s="789">
        <f>('Parâmetros financeiros Despesa'!F513)*(1+'Parâmetros financeiros Despesa'!F$4)*(1+'Parâmetros financeiros Despesa'!F$7)</f>
        <v>3707.1271000000002</v>
      </c>
      <c r="L512" s="799">
        <f t="shared" si="60"/>
        <v>9.9315719272725384E-3</v>
      </c>
      <c r="M512" s="894"/>
      <c r="N512" s="796"/>
      <c r="O512" s="734"/>
    </row>
    <row r="513" spans="1:15" x14ac:dyDescent="0.25">
      <c r="B513" s="864" t="s">
        <v>22</v>
      </c>
      <c r="C513" s="864"/>
      <c r="D513" s="864"/>
      <c r="E513" s="864"/>
      <c r="F513" s="864"/>
      <c r="G513" s="864"/>
      <c r="H513" s="864"/>
      <c r="I513" s="864"/>
      <c r="J513" s="863">
        <f>J505+J487+J478+J469+J460+0.01</f>
        <v>265310.21480000002</v>
      </c>
      <c r="K513" s="863">
        <f>K505+K487+K478+K469+K460+0.01</f>
        <v>373266.90348182089</v>
      </c>
      <c r="L513" s="452">
        <f t="shared" si="60"/>
        <v>1</v>
      </c>
    </row>
    <row r="514" spans="1:15" x14ac:dyDescent="0.25">
      <c r="B514" s="864" t="s">
        <v>11469</v>
      </c>
      <c r="C514" s="864"/>
      <c r="D514" s="864"/>
      <c r="E514" s="864"/>
      <c r="F514" s="864"/>
      <c r="G514" s="864"/>
      <c r="H514" s="864"/>
      <c r="I514" s="864"/>
      <c r="J514" s="863"/>
      <c r="K514" s="863"/>
      <c r="L514" s="452"/>
    </row>
    <row r="515" spans="1:15" s="31" customFormat="1" x14ac:dyDescent="0.25">
      <c r="B515" s="869" t="s">
        <v>745</v>
      </c>
      <c r="C515" s="869"/>
      <c r="D515" s="869"/>
      <c r="E515" s="869"/>
      <c r="F515" s="869"/>
      <c r="G515" s="869"/>
      <c r="H515" s="869"/>
      <c r="I515" s="869"/>
      <c r="J515" s="870">
        <f>J513</f>
        <v>265310.21480000002</v>
      </c>
      <c r="K515" s="870">
        <f>K513</f>
        <v>373266.90348182089</v>
      </c>
      <c r="L515" s="871">
        <f>K515/K$516</f>
        <v>1</v>
      </c>
      <c r="M515" s="897"/>
      <c r="O515" s="736"/>
    </row>
    <row r="516" spans="1:15" s="115" customFormat="1" x14ac:dyDescent="0.25">
      <c r="B516" s="864" t="s">
        <v>2172</v>
      </c>
      <c r="C516" s="864"/>
      <c r="D516" s="864"/>
      <c r="E516" s="864"/>
      <c r="F516" s="864"/>
      <c r="G516" s="864"/>
      <c r="H516" s="864"/>
      <c r="I516" s="864"/>
      <c r="J516" s="863">
        <f>SUM(J515:J515)</f>
        <v>265310.21480000002</v>
      </c>
      <c r="K516" s="863">
        <f>SUM(K515:K515)</f>
        <v>373266.90348182089</v>
      </c>
      <c r="L516" s="452">
        <f>K516/K$516</f>
        <v>1</v>
      </c>
      <c r="N516" s="796"/>
      <c r="O516" s="733"/>
    </row>
    <row r="517" spans="1:15" x14ac:dyDescent="0.25">
      <c r="B517" s="787"/>
      <c r="C517" s="787"/>
      <c r="D517" s="787"/>
      <c r="E517" s="787"/>
      <c r="F517" s="787"/>
      <c r="G517" s="787"/>
      <c r="H517" s="787"/>
      <c r="I517" s="787"/>
      <c r="J517" s="791"/>
      <c r="K517" s="791"/>
      <c r="L517" s="792"/>
    </row>
    <row r="518" spans="1:15" ht="15.75" x14ac:dyDescent="0.25">
      <c r="B518" s="999" t="s">
        <v>989</v>
      </c>
      <c r="C518" s="999"/>
      <c r="D518" s="481"/>
      <c r="E518" s="1371" t="s">
        <v>6887</v>
      </c>
      <c r="F518" s="1371"/>
      <c r="G518" s="1371"/>
      <c r="H518" s="1371"/>
      <c r="I518" s="1371"/>
      <c r="J518" s="791"/>
      <c r="K518" s="791"/>
      <c r="L518" s="792"/>
    </row>
    <row r="519" spans="1:15" s="435" customFormat="1" ht="15.75" x14ac:dyDescent="0.25">
      <c r="B519" s="1371" t="s">
        <v>458</v>
      </c>
      <c r="C519" s="1371"/>
      <c r="D519" s="1371"/>
      <c r="E519" s="1371" t="s">
        <v>7443</v>
      </c>
      <c r="F519" s="1371"/>
      <c r="G519" s="1371"/>
      <c r="H519" s="1371"/>
      <c r="I519" s="1371"/>
      <c r="J519" s="940"/>
      <c r="K519" s="438"/>
      <c r="L519" s="449"/>
      <c r="M519" s="892"/>
      <c r="O519" s="732"/>
    </row>
    <row r="520" spans="1:15" s="435" customFormat="1" ht="15.75" x14ac:dyDescent="0.25">
      <c r="B520" s="1403" t="s">
        <v>5764</v>
      </c>
      <c r="C520" s="1403"/>
      <c r="D520" s="1403"/>
      <c r="E520" s="1371" t="s">
        <v>749</v>
      </c>
      <c r="F520" s="1371"/>
      <c r="G520" s="1371"/>
      <c r="H520" s="1371"/>
      <c r="I520" s="1371"/>
      <c r="J520" s="941"/>
      <c r="K520" s="438"/>
      <c r="L520" s="449"/>
      <c r="M520" s="892"/>
      <c r="O520" s="732"/>
    </row>
    <row r="521" spans="1:15" ht="88.5" x14ac:dyDescent="0.25">
      <c r="A521" s="396"/>
      <c r="B521" s="1400" t="s">
        <v>2296</v>
      </c>
      <c r="C521" s="1400"/>
      <c r="D521" s="1400"/>
      <c r="E521" s="1384" t="s">
        <v>2297</v>
      </c>
      <c r="F521" s="1384"/>
      <c r="G521" s="443" t="s">
        <v>444</v>
      </c>
      <c r="H521" s="443" t="s">
        <v>2245</v>
      </c>
      <c r="I521" s="444" t="s">
        <v>5725</v>
      </c>
      <c r="J521" s="893" t="s">
        <v>11644</v>
      </c>
      <c r="K521" s="1000" t="s">
        <v>11522</v>
      </c>
      <c r="L521" s="450" t="s">
        <v>235</v>
      </c>
    </row>
    <row r="522" spans="1:15" s="115" customFormat="1" x14ac:dyDescent="0.25">
      <c r="A522" s="396"/>
      <c r="B522" s="1385" t="s">
        <v>7444</v>
      </c>
      <c r="C522" s="1385"/>
      <c r="D522" s="1385"/>
      <c r="E522" s="1385"/>
      <c r="F522" s="1385"/>
      <c r="G522" s="401"/>
      <c r="H522" s="401"/>
      <c r="I522" s="426"/>
      <c r="J522" s="402">
        <f t="shared" ref="J522:K524" si="62">J523</f>
        <v>0</v>
      </c>
      <c r="K522" s="402">
        <f t="shared" si="62"/>
        <v>136703.20000000001</v>
      </c>
      <c r="L522" s="451">
        <f t="shared" ref="L522:L553" si="63">K522/K$720</f>
        <v>8.9839931054864389E-2</v>
      </c>
      <c r="M522" s="894"/>
      <c r="O522" s="733"/>
    </row>
    <row r="523" spans="1:15" x14ac:dyDescent="0.25">
      <c r="A523" s="396"/>
      <c r="B523" s="1386" t="s">
        <v>7448</v>
      </c>
      <c r="C523" s="1386"/>
      <c r="D523" s="1386"/>
      <c r="E523" s="1386"/>
      <c r="F523" s="1386"/>
      <c r="G523" s="403"/>
      <c r="H523" s="403"/>
      <c r="I523" s="427"/>
      <c r="J523" s="404">
        <f t="shared" si="62"/>
        <v>0</v>
      </c>
      <c r="K523" s="404">
        <f t="shared" si="62"/>
        <v>136703.20000000001</v>
      </c>
      <c r="L523" s="799">
        <f t="shared" si="63"/>
        <v>8.9839931054864389E-2</v>
      </c>
      <c r="O523" s="1006"/>
    </row>
    <row r="524" spans="1:15" x14ac:dyDescent="0.25">
      <c r="A524" s="396"/>
      <c r="B524" s="1382" t="s">
        <v>7283</v>
      </c>
      <c r="C524" s="1382"/>
      <c r="D524" s="1382"/>
      <c r="E524" s="1382"/>
      <c r="F524" s="1382"/>
      <c r="G524" s="405"/>
      <c r="H524" s="405"/>
      <c r="I524" s="428"/>
      <c r="J524" s="406">
        <f t="shared" si="62"/>
        <v>0</v>
      </c>
      <c r="K524" s="406">
        <f t="shared" si="62"/>
        <v>136703.20000000001</v>
      </c>
      <c r="L524" s="453">
        <f t="shared" si="63"/>
        <v>8.9839931054864389E-2</v>
      </c>
      <c r="O524" s="1006"/>
    </row>
    <row r="525" spans="1:15" x14ac:dyDescent="0.25">
      <c r="A525" s="396"/>
      <c r="B525" s="1383" t="s">
        <v>7452</v>
      </c>
      <c r="C525" s="1383"/>
      <c r="D525" s="1383"/>
      <c r="E525" s="1383"/>
      <c r="F525" s="1383"/>
      <c r="G525" s="407"/>
      <c r="H525" s="407"/>
      <c r="I525" s="429"/>
      <c r="J525" s="408">
        <f>SUM(J526:J531)</f>
        <v>0</v>
      </c>
      <c r="K525" s="408">
        <f>SUM(K526:K531)</f>
        <v>136703.20000000001</v>
      </c>
      <c r="L525" s="454">
        <f t="shared" si="63"/>
        <v>8.9839931054864389E-2</v>
      </c>
    </row>
    <row r="526" spans="1:15" x14ac:dyDescent="0.25">
      <c r="A526" s="396"/>
      <c r="B526" s="1396">
        <v>50000</v>
      </c>
      <c r="C526" s="1396"/>
      <c r="D526" s="1396"/>
      <c r="E526" s="854">
        <v>333904700000000</v>
      </c>
      <c r="F526" s="1017" t="s">
        <v>7457</v>
      </c>
      <c r="G526" s="468">
        <v>1</v>
      </c>
      <c r="H526" s="468">
        <v>0</v>
      </c>
      <c r="I526" s="751"/>
      <c r="J526" s="789">
        <f>'Parâmetros financeiros Despesa'!E518</f>
        <v>0</v>
      </c>
      <c r="K526" s="789">
        <f>'Parâmetros financeiros Despesa'!F518</f>
        <v>0.2</v>
      </c>
      <c r="L526" s="799">
        <f t="shared" si="63"/>
        <v>1.3143793423250426E-7</v>
      </c>
    </row>
    <row r="527" spans="1:15" s="115" customFormat="1" x14ac:dyDescent="0.25">
      <c r="A527" s="396"/>
      <c r="B527" s="1396">
        <v>50100</v>
      </c>
      <c r="C527" s="1396"/>
      <c r="D527" s="1396"/>
      <c r="E527" s="854">
        <v>344903000000000</v>
      </c>
      <c r="F527" s="855" t="s">
        <v>7458</v>
      </c>
      <c r="G527" s="468">
        <v>1</v>
      </c>
      <c r="H527" s="468">
        <v>0</v>
      </c>
      <c r="I527" s="751"/>
      <c r="J527" s="789">
        <f>'Parâmetros financeiros Despesa'!E519</f>
        <v>0</v>
      </c>
      <c r="K527" s="789">
        <f>'Parâmetros financeiros Despesa'!F519</f>
        <v>1</v>
      </c>
      <c r="L527" s="799">
        <f t="shared" si="63"/>
        <v>6.5718967116252132E-7</v>
      </c>
      <c r="M527" s="894"/>
      <c r="O527" s="733"/>
    </row>
    <row r="528" spans="1:15" s="457" customFormat="1" x14ac:dyDescent="0.25">
      <c r="A528" s="396"/>
      <c r="B528" s="1398" t="s">
        <v>7453</v>
      </c>
      <c r="C528" s="1398"/>
      <c r="D528" s="1398"/>
      <c r="E528" s="854">
        <v>344903600000000</v>
      </c>
      <c r="F528" s="855" t="s">
        <v>7459</v>
      </c>
      <c r="G528" s="468">
        <v>1</v>
      </c>
      <c r="H528" s="468">
        <v>0</v>
      </c>
      <c r="I528" s="751"/>
      <c r="J528" s="789">
        <f>'Parâmetros financeiros Despesa'!E520</f>
        <v>0</v>
      </c>
      <c r="K528" s="789">
        <f>'Parâmetros financeiros Despesa'!F520</f>
        <v>1</v>
      </c>
      <c r="L528" s="799">
        <f t="shared" si="63"/>
        <v>6.5718967116252132E-7</v>
      </c>
      <c r="M528" s="895"/>
      <c r="O528" s="734"/>
    </row>
    <row r="529" spans="1:15" s="457" customFormat="1" x14ac:dyDescent="0.25">
      <c r="A529" s="396"/>
      <c r="B529" s="1398" t="s">
        <v>7454</v>
      </c>
      <c r="C529" s="1398"/>
      <c r="D529" s="1398"/>
      <c r="E529" s="854">
        <v>344903900000000</v>
      </c>
      <c r="F529" s="855" t="s">
        <v>7460</v>
      </c>
      <c r="G529" s="468">
        <v>1</v>
      </c>
      <c r="H529" s="468">
        <v>0</v>
      </c>
      <c r="I529" s="751"/>
      <c r="J529" s="789">
        <f>'Parâmetros financeiros Despesa'!E521</f>
        <v>0</v>
      </c>
      <c r="K529" s="789">
        <f>'Parâmetros financeiros Despesa'!F521</f>
        <v>100</v>
      </c>
      <c r="L529" s="799">
        <f t="shared" si="63"/>
        <v>6.5718967116252136E-5</v>
      </c>
      <c r="M529" s="895"/>
      <c r="O529" s="734"/>
    </row>
    <row r="530" spans="1:15" s="457" customFormat="1" x14ac:dyDescent="0.25">
      <c r="A530" s="396"/>
      <c r="B530" s="1398" t="s">
        <v>7455</v>
      </c>
      <c r="C530" s="1398"/>
      <c r="D530" s="1398"/>
      <c r="E530" s="854">
        <v>344905200000000</v>
      </c>
      <c r="F530" s="855" t="s">
        <v>7461</v>
      </c>
      <c r="G530" s="468">
        <v>1</v>
      </c>
      <c r="H530" s="468">
        <v>0</v>
      </c>
      <c r="I530" s="751"/>
      <c r="J530" s="789">
        <f>'Parâmetros financeiros Despesa'!E522</f>
        <v>0</v>
      </c>
      <c r="K530" s="789">
        <f>'Parâmetros financeiros Despesa'!F522</f>
        <v>1</v>
      </c>
      <c r="L530" s="799">
        <f t="shared" si="63"/>
        <v>6.5718967116252132E-7</v>
      </c>
      <c r="M530" s="895"/>
      <c r="O530" s="734"/>
    </row>
    <row r="531" spans="1:15" s="457" customFormat="1" x14ac:dyDescent="0.25">
      <c r="A531" s="396"/>
      <c r="B531" s="1398" t="s">
        <v>10348</v>
      </c>
      <c r="C531" s="1398"/>
      <c r="D531" s="1398"/>
      <c r="E531" s="854">
        <v>344905200000000</v>
      </c>
      <c r="F531" s="855" t="s">
        <v>7461</v>
      </c>
      <c r="G531" s="468">
        <v>1156</v>
      </c>
      <c r="H531" s="468">
        <v>0</v>
      </c>
      <c r="I531" s="751"/>
      <c r="J531" s="789">
        <f>'Parâmetros financeiros Despesa'!E523</f>
        <v>0</v>
      </c>
      <c r="K531" s="789">
        <f>'Parâmetros financeiros Despesa'!F523</f>
        <v>136600</v>
      </c>
      <c r="L531" s="799">
        <f t="shared" si="63"/>
        <v>8.9772109080800411E-2</v>
      </c>
      <c r="M531" s="895"/>
      <c r="O531" s="734"/>
    </row>
    <row r="532" spans="1:15" s="115" customFormat="1" x14ac:dyDescent="0.25">
      <c r="A532" s="396"/>
      <c r="B532" s="1385" t="s">
        <v>7444</v>
      </c>
      <c r="C532" s="1385"/>
      <c r="D532" s="1385"/>
      <c r="E532" s="1385"/>
      <c r="F532" s="1385"/>
      <c r="G532" s="401"/>
      <c r="H532" s="401"/>
      <c r="I532" s="426"/>
      <c r="J532" s="402">
        <f t="shared" ref="J532:K534" si="64">J533</f>
        <v>0</v>
      </c>
      <c r="K532" s="402">
        <f t="shared" si="64"/>
        <v>97703.2</v>
      </c>
      <c r="L532" s="451">
        <f t="shared" si="63"/>
        <v>6.4209533879526048E-2</v>
      </c>
      <c r="M532" s="894"/>
      <c r="O532" s="733"/>
    </row>
    <row r="533" spans="1:15" x14ac:dyDescent="0.25">
      <c r="A533" s="396"/>
      <c r="B533" s="1386" t="s">
        <v>7449</v>
      </c>
      <c r="C533" s="1386"/>
      <c r="D533" s="1386"/>
      <c r="E533" s="1386"/>
      <c r="F533" s="1386"/>
      <c r="G533" s="403"/>
      <c r="H533" s="403"/>
      <c r="I533" s="427"/>
      <c r="J533" s="404">
        <f t="shared" si="64"/>
        <v>0</v>
      </c>
      <c r="K533" s="404">
        <f t="shared" si="64"/>
        <v>97703.2</v>
      </c>
      <c r="L533" s="799">
        <f t="shared" si="63"/>
        <v>6.4209533879526048E-2</v>
      </c>
      <c r="O533" s="1006"/>
    </row>
    <row r="534" spans="1:15" x14ac:dyDescent="0.25">
      <c r="A534" s="396"/>
      <c r="B534" s="1382" t="s">
        <v>7283</v>
      </c>
      <c r="C534" s="1382"/>
      <c r="D534" s="1382"/>
      <c r="E534" s="1382"/>
      <c r="F534" s="1382"/>
      <c r="G534" s="405"/>
      <c r="H534" s="405"/>
      <c r="I534" s="428"/>
      <c r="J534" s="406">
        <f t="shared" si="64"/>
        <v>0</v>
      </c>
      <c r="K534" s="406">
        <f t="shared" si="64"/>
        <v>97703.2</v>
      </c>
      <c r="L534" s="453">
        <f t="shared" si="63"/>
        <v>6.4209533879526048E-2</v>
      </c>
      <c r="O534" s="1006"/>
    </row>
    <row r="535" spans="1:15" x14ac:dyDescent="0.25">
      <c r="A535" s="396"/>
      <c r="B535" s="1383" t="s">
        <v>7452</v>
      </c>
      <c r="C535" s="1383"/>
      <c r="D535" s="1383"/>
      <c r="E535" s="1383"/>
      <c r="F535" s="1383"/>
      <c r="G535" s="407"/>
      <c r="H535" s="407"/>
      <c r="I535" s="429"/>
      <c r="J535" s="408">
        <f>SUM(J536:J541)</f>
        <v>0</v>
      </c>
      <c r="K535" s="408">
        <f>SUM(K536:K541)</f>
        <v>97703.2</v>
      </c>
      <c r="L535" s="454">
        <f t="shared" si="63"/>
        <v>6.4209533879526048E-2</v>
      </c>
      <c r="O535" s="1006"/>
    </row>
    <row r="536" spans="1:15" x14ac:dyDescent="0.25">
      <c r="A536" s="396"/>
      <c r="B536" s="1396">
        <v>51000</v>
      </c>
      <c r="C536" s="1396"/>
      <c r="D536" s="1396"/>
      <c r="E536" s="854">
        <v>333904700000000</v>
      </c>
      <c r="F536" s="1017" t="s">
        <v>7464</v>
      </c>
      <c r="G536" s="468">
        <v>1</v>
      </c>
      <c r="H536" s="468">
        <v>0</v>
      </c>
      <c r="I536" s="751"/>
      <c r="J536" s="789">
        <f>'Parâmetros financeiros Despesa'!E525</f>
        <v>0</v>
      </c>
      <c r="K536" s="789">
        <f>'Parâmetros financeiros Despesa'!F525</f>
        <v>0.2</v>
      </c>
      <c r="L536" s="799">
        <f t="shared" si="63"/>
        <v>1.3143793423250426E-7</v>
      </c>
      <c r="O536" s="1006"/>
    </row>
    <row r="537" spans="1:15" s="115" customFormat="1" x14ac:dyDescent="0.25">
      <c r="A537" s="396"/>
      <c r="B537" s="1396">
        <v>51100</v>
      </c>
      <c r="C537" s="1396"/>
      <c r="D537" s="1396"/>
      <c r="E537" s="854">
        <v>344903000000000</v>
      </c>
      <c r="F537" s="855" t="s">
        <v>7465</v>
      </c>
      <c r="G537" s="468">
        <v>1</v>
      </c>
      <c r="H537" s="468">
        <v>0</v>
      </c>
      <c r="I537" s="751"/>
      <c r="J537" s="789">
        <f>'Parâmetros financeiros Despesa'!E526</f>
        <v>0</v>
      </c>
      <c r="K537" s="789">
        <f>'Parâmetros financeiros Despesa'!F526</f>
        <v>1</v>
      </c>
      <c r="L537" s="799">
        <f t="shared" si="63"/>
        <v>6.5718967116252132E-7</v>
      </c>
      <c r="M537" s="894"/>
    </row>
    <row r="538" spans="1:15" s="457" customFormat="1" x14ac:dyDescent="0.25">
      <c r="A538" s="396"/>
      <c r="B538" s="1398" t="s">
        <v>7469</v>
      </c>
      <c r="C538" s="1398"/>
      <c r="D538" s="1398"/>
      <c r="E538" s="854">
        <v>344903600000000</v>
      </c>
      <c r="F538" s="855" t="s">
        <v>7466</v>
      </c>
      <c r="G538" s="468">
        <v>1</v>
      </c>
      <c r="H538" s="468">
        <v>0</v>
      </c>
      <c r="I538" s="751"/>
      <c r="J538" s="789">
        <f>'Parâmetros financeiros Despesa'!E527</f>
        <v>0</v>
      </c>
      <c r="K538" s="789">
        <f>'Parâmetros financeiros Despesa'!F527</f>
        <v>1</v>
      </c>
      <c r="L538" s="799">
        <f t="shared" si="63"/>
        <v>6.5718967116252132E-7</v>
      </c>
      <c r="M538" s="895"/>
    </row>
    <row r="539" spans="1:15" s="457" customFormat="1" x14ac:dyDescent="0.25">
      <c r="A539" s="396"/>
      <c r="B539" s="1398" t="s">
        <v>7470</v>
      </c>
      <c r="C539" s="1398"/>
      <c r="D539" s="1398"/>
      <c r="E539" s="854">
        <v>344903900000000</v>
      </c>
      <c r="F539" s="855" t="s">
        <v>7467</v>
      </c>
      <c r="G539" s="468">
        <v>1</v>
      </c>
      <c r="H539" s="468">
        <v>0</v>
      </c>
      <c r="I539" s="751"/>
      <c r="J539" s="789">
        <f>'Parâmetros financeiros Despesa'!E528</f>
        <v>0</v>
      </c>
      <c r="K539" s="789">
        <f>'Parâmetros financeiros Despesa'!F528</f>
        <v>100</v>
      </c>
      <c r="L539" s="799">
        <f t="shared" si="63"/>
        <v>6.5718967116252136E-5</v>
      </c>
      <c r="M539" s="895"/>
    </row>
    <row r="540" spans="1:15" s="457" customFormat="1" ht="30" x14ac:dyDescent="0.25">
      <c r="A540" s="396"/>
      <c r="B540" s="1398" t="s">
        <v>7471</v>
      </c>
      <c r="C540" s="1398"/>
      <c r="D540" s="1398"/>
      <c r="E540" s="854">
        <v>344905200000000</v>
      </c>
      <c r="F540" s="855" t="s">
        <v>7468</v>
      </c>
      <c r="G540" s="468">
        <v>1</v>
      </c>
      <c r="H540" s="468">
        <v>0</v>
      </c>
      <c r="I540" s="751"/>
      <c r="J540" s="789">
        <f>'Parâmetros financeiros Despesa'!E529</f>
        <v>0</v>
      </c>
      <c r="K540" s="789">
        <f>'Parâmetros financeiros Despesa'!F529</f>
        <v>1</v>
      </c>
      <c r="L540" s="799">
        <f t="shared" si="63"/>
        <v>6.5718967116252132E-7</v>
      </c>
      <c r="M540" s="895"/>
    </row>
    <row r="541" spans="1:15" s="457" customFormat="1" ht="30" x14ac:dyDescent="0.25">
      <c r="A541" s="396"/>
      <c r="B541" s="1398" t="s">
        <v>7472</v>
      </c>
      <c r="C541" s="1398"/>
      <c r="D541" s="1398"/>
      <c r="E541" s="854">
        <v>344905200000000</v>
      </c>
      <c r="F541" s="855" t="s">
        <v>7468</v>
      </c>
      <c r="G541" s="468">
        <v>1156</v>
      </c>
      <c r="H541" s="468">
        <v>0</v>
      </c>
      <c r="I541" s="751"/>
      <c r="J541" s="789">
        <f>'Parâmetros financeiros Despesa'!E530</f>
        <v>0</v>
      </c>
      <c r="K541" s="789">
        <f>'Parâmetros financeiros Despesa'!F530</f>
        <v>97600</v>
      </c>
      <c r="L541" s="799">
        <f t="shared" si="63"/>
        <v>6.4141711905462084E-2</v>
      </c>
      <c r="M541" s="895"/>
      <c r="O541" s="734"/>
    </row>
    <row r="542" spans="1:15" s="115" customFormat="1" x14ac:dyDescent="0.25">
      <c r="A542" s="396"/>
      <c r="B542" s="1385" t="s">
        <v>7444</v>
      </c>
      <c r="C542" s="1385"/>
      <c r="D542" s="1385"/>
      <c r="E542" s="1385"/>
      <c r="F542" s="1385"/>
      <c r="G542" s="401"/>
      <c r="H542" s="401"/>
      <c r="I542" s="426"/>
      <c r="J542" s="402">
        <f t="shared" ref="J542:K544" si="65">J543</f>
        <v>0</v>
      </c>
      <c r="K542" s="402">
        <f t="shared" si="65"/>
        <v>19200</v>
      </c>
      <c r="L542" s="451">
        <f t="shared" si="63"/>
        <v>1.2618041686320408E-2</v>
      </c>
      <c r="M542" s="894"/>
      <c r="O542" s="733"/>
    </row>
    <row r="543" spans="1:15" x14ac:dyDescent="0.25">
      <c r="A543" s="396"/>
      <c r="B543" s="1386" t="s">
        <v>7476</v>
      </c>
      <c r="C543" s="1386"/>
      <c r="D543" s="1386"/>
      <c r="E543" s="1386"/>
      <c r="F543" s="1386"/>
      <c r="G543" s="403"/>
      <c r="H543" s="403"/>
      <c r="I543" s="427"/>
      <c r="J543" s="404">
        <f t="shared" si="65"/>
        <v>0</v>
      </c>
      <c r="K543" s="404">
        <f t="shared" si="65"/>
        <v>19200</v>
      </c>
      <c r="L543" s="799">
        <f t="shared" si="63"/>
        <v>1.2618041686320408E-2</v>
      </c>
    </row>
    <row r="544" spans="1:15" x14ac:dyDescent="0.25">
      <c r="A544" s="396"/>
      <c r="B544" s="1382" t="s">
        <v>7283</v>
      </c>
      <c r="C544" s="1382"/>
      <c r="D544" s="1382"/>
      <c r="E544" s="1382"/>
      <c r="F544" s="1382"/>
      <c r="G544" s="405"/>
      <c r="H544" s="405"/>
      <c r="I544" s="428"/>
      <c r="J544" s="406">
        <f t="shared" si="65"/>
        <v>0</v>
      </c>
      <c r="K544" s="406">
        <f t="shared" si="65"/>
        <v>19200</v>
      </c>
      <c r="L544" s="453">
        <f t="shared" si="63"/>
        <v>1.2618041686320408E-2</v>
      </c>
    </row>
    <row r="545" spans="1:15" x14ac:dyDescent="0.25">
      <c r="A545" s="396"/>
      <c r="B545" s="1383" t="s">
        <v>7452</v>
      </c>
      <c r="C545" s="1383"/>
      <c r="D545" s="1383"/>
      <c r="E545" s="1383"/>
      <c r="F545" s="1383"/>
      <c r="G545" s="407"/>
      <c r="H545" s="407"/>
      <c r="I545" s="429"/>
      <c r="J545" s="408">
        <f>SUM(J546:J550)</f>
        <v>0</v>
      </c>
      <c r="K545" s="408">
        <f>SUM(K546:K550)</f>
        <v>19200</v>
      </c>
      <c r="L545" s="454">
        <f t="shared" si="63"/>
        <v>1.2618041686320408E-2</v>
      </c>
    </row>
    <row r="546" spans="1:15" x14ac:dyDescent="0.25">
      <c r="A546" s="396"/>
      <c r="B546" s="1396">
        <v>52000</v>
      </c>
      <c r="C546" s="1396"/>
      <c r="D546" s="1396"/>
      <c r="E546" s="417">
        <v>333904700000000</v>
      </c>
      <c r="F546" s="1017" t="s">
        <v>7477</v>
      </c>
      <c r="G546" s="468">
        <v>1</v>
      </c>
      <c r="H546" s="468">
        <v>0</v>
      </c>
      <c r="I546" s="751"/>
      <c r="J546" s="789">
        <f>'Parâmetros financeiros Despesa'!E532</f>
        <v>0</v>
      </c>
      <c r="K546" s="789">
        <f>'Parâmetros financeiros Despesa'!F532</f>
        <v>200</v>
      </c>
      <c r="L546" s="799">
        <f t="shared" si="63"/>
        <v>1.3143793423250427E-4</v>
      </c>
      <c r="M546" s="894"/>
      <c r="N546" s="796"/>
    </row>
    <row r="547" spans="1:15" s="115" customFormat="1" x14ac:dyDescent="0.25">
      <c r="A547" s="396"/>
      <c r="B547" s="1396">
        <v>52100</v>
      </c>
      <c r="C547" s="1396"/>
      <c r="D547" s="1396"/>
      <c r="E547" s="854">
        <v>344903000000000</v>
      </c>
      <c r="F547" s="855" t="s">
        <v>7478</v>
      </c>
      <c r="G547" s="468">
        <v>1</v>
      </c>
      <c r="H547" s="468">
        <v>0</v>
      </c>
      <c r="I547" s="751"/>
      <c r="J547" s="789">
        <f>'Parâmetros financeiros Despesa'!E533</f>
        <v>0</v>
      </c>
      <c r="K547" s="789">
        <f>'Parâmetros financeiros Despesa'!F533</f>
        <v>1000</v>
      </c>
      <c r="L547" s="799">
        <f t="shared" si="63"/>
        <v>6.5718967116252126E-4</v>
      </c>
      <c r="M547" s="894"/>
      <c r="N547" s="796"/>
      <c r="O547" s="733"/>
    </row>
    <row r="548" spans="1:15" s="457" customFormat="1" x14ac:dyDescent="0.25">
      <c r="A548" s="396"/>
      <c r="B548" s="1398" t="s">
        <v>7473</v>
      </c>
      <c r="C548" s="1398"/>
      <c r="D548" s="1398"/>
      <c r="E548" s="854">
        <v>344903600000000</v>
      </c>
      <c r="F548" s="855" t="s">
        <v>7479</v>
      </c>
      <c r="G548" s="468">
        <v>1</v>
      </c>
      <c r="H548" s="468">
        <v>0</v>
      </c>
      <c r="I548" s="751"/>
      <c r="J548" s="789">
        <f>'Parâmetros financeiros Despesa'!E534</f>
        <v>0</v>
      </c>
      <c r="K548" s="789">
        <f>'Parâmetros financeiros Despesa'!F534</f>
        <v>1000</v>
      </c>
      <c r="L548" s="799">
        <f t="shared" si="63"/>
        <v>6.5718967116252126E-4</v>
      </c>
      <c r="M548" s="894"/>
      <c r="N548" s="796"/>
      <c r="O548" s="734"/>
    </row>
    <row r="549" spans="1:15" s="457" customFormat="1" x14ac:dyDescent="0.25">
      <c r="A549" s="396"/>
      <c r="B549" s="1398" t="s">
        <v>7474</v>
      </c>
      <c r="C549" s="1398"/>
      <c r="D549" s="1398"/>
      <c r="E549" s="854">
        <v>344903900000000</v>
      </c>
      <c r="F549" s="855" t="s">
        <v>7480</v>
      </c>
      <c r="G549" s="468">
        <v>1</v>
      </c>
      <c r="H549" s="468">
        <v>0</v>
      </c>
      <c r="I549" s="751"/>
      <c r="J549" s="789">
        <f>'Parâmetros financeiros Despesa'!E535</f>
        <v>0</v>
      </c>
      <c r="K549" s="789">
        <f>'Parâmetros financeiros Despesa'!F535</f>
        <v>2000</v>
      </c>
      <c r="L549" s="799">
        <f t="shared" si="63"/>
        <v>1.3143793423250425E-3</v>
      </c>
      <c r="M549" s="894"/>
      <c r="N549" s="796"/>
      <c r="O549" s="734"/>
    </row>
    <row r="550" spans="1:15" s="457" customFormat="1" x14ac:dyDescent="0.25">
      <c r="A550" s="396"/>
      <c r="B550" s="1398" t="s">
        <v>7475</v>
      </c>
      <c r="C550" s="1398"/>
      <c r="D550" s="1398"/>
      <c r="E550" s="854">
        <v>344905200000000</v>
      </c>
      <c r="F550" s="855" t="s">
        <v>7481</v>
      </c>
      <c r="G550" s="468">
        <v>1</v>
      </c>
      <c r="H550" s="468">
        <v>0</v>
      </c>
      <c r="I550" s="751"/>
      <c r="J550" s="789">
        <f>'Parâmetros financeiros Despesa'!E536</f>
        <v>0</v>
      </c>
      <c r="K550" s="789">
        <f>'Parâmetros financeiros Despesa'!F536</f>
        <v>15000</v>
      </c>
      <c r="L550" s="799">
        <f t="shared" si="63"/>
        <v>9.8578450674378197E-3</v>
      </c>
      <c r="M550" s="894"/>
      <c r="N550" s="796"/>
      <c r="O550" s="734"/>
    </row>
    <row r="551" spans="1:15" s="115" customFormat="1" x14ac:dyDescent="0.25">
      <c r="A551" s="396"/>
      <c r="B551" s="1385" t="s">
        <v>7444</v>
      </c>
      <c r="C551" s="1385"/>
      <c r="D551" s="1385"/>
      <c r="E551" s="1385"/>
      <c r="F551" s="1385"/>
      <c r="G551" s="401"/>
      <c r="H551" s="401"/>
      <c r="I551" s="426"/>
      <c r="J551" s="402">
        <f t="shared" ref="J551:K553" si="66">J552</f>
        <v>38293.919999999998</v>
      </c>
      <c r="K551" s="402">
        <f t="shared" si="66"/>
        <v>65086.171334480001</v>
      </c>
      <c r="L551" s="451">
        <f t="shared" si="63"/>
        <v>4.2773959536534435E-2</v>
      </c>
      <c r="M551" s="894"/>
      <c r="O551" s="733"/>
    </row>
    <row r="552" spans="1:15" x14ac:dyDescent="0.25">
      <c r="A552" s="396"/>
      <c r="B552" s="1386" t="s">
        <v>7482</v>
      </c>
      <c r="C552" s="1386"/>
      <c r="D552" s="1386"/>
      <c r="E552" s="1386"/>
      <c r="F552" s="1386"/>
      <c r="G552" s="403"/>
      <c r="H552" s="403"/>
      <c r="I552" s="427"/>
      <c r="J552" s="404">
        <f t="shared" si="66"/>
        <v>38293.919999999998</v>
      </c>
      <c r="K552" s="404">
        <f t="shared" si="66"/>
        <v>65086.171334480001</v>
      </c>
      <c r="L552" s="799">
        <f t="shared" si="63"/>
        <v>4.2773959536534435E-2</v>
      </c>
    </row>
    <row r="553" spans="1:15" x14ac:dyDescent="0.25">
      <c r="A553" s="396"/>
      <c r="B553" s="1382" t="s">
        <v>7283</v>
      </c>
      <c r="C553" s="1382"/>
      <c r="D553" s="1382"/>
      <c r="E553" s="1382"/>
      <c r="F553" s="1382"/>
      <c r="G553" s="405"/>
      <c r="H553" s="405"/>
      <c r="I553" s="428"/>
      <c r="J553" s="406">
        <f t="shared" si="66"/>
        <v>38293.919999999998</v>
      </c>
      <c r="K553" s="406">
        <f t="shared" si="66"/>
        <v>65086.171334480001</v>
      </c>
      <c r="L553" s="453">
        <f t="shared" si="63"/>
        <v>4.2773959536534435E-2</v>
      </c>
    </row>
    <row r="554" spans="1:15" x14ac:dyDescent="0.25">
      <c r="A554" s="396"/>
      <c r="B554" s="1383" t="s">
        <v>7452</v>
      </c>
      <c r="C554" s="1383"/>
      <c r="D554" s="1383"/>
      <c r="E554" s="1383"/>
      <c r="F554" s="1383"/>
      <c r="G554" s="407"/>
      <c r="H554" s="407"/>
      <c r="I554" s="429"/>
      <c r="J554" s="408">
        <f>J555+J556+J557+J558+J559</f>
        <v>38293.919999999998</v>
      </c>
      <c r="K554" s="408">
        <f>K555+K556+K557+K558+K559+0.01</f>
        <v>65086.171334480001</v>
      </c>
      <c r="L554" s="454">
        <f t="shared" ref="L554:L585" si="67">K554/K$720</f>
        <v>4.2773959536534435E-2</v>
      </c>
    </row>
    <row r="555" spans="1:15" x14ac:dyDescent="0.25">
      <c r="A555" s="397"/>
      <c r="B555" s="1396">
        <v>53000</v>
      </c>
      <c r="C555" s="1396"/>
      <c r="D555" s="1396"/>
      <c r="E555" s="854">
        <v>333903000000000</v>
      </c>
      <c r="F555" s="855" t="s">
        <v>7495</v>
      </c>
      <c r="G555" s="468">
        <v>1</v>
      </c>
      <c r="H555" s="468">
        <v>0</v>
      </c>
      <c r="I555" s="751"/>
      <c r="J555" s="789">
        <f>('Parâmetros financeiros Despesa'!E538+'Parâmetros financeiros Despesa'!E539)</f>
        <v>0</v>
      </c>
      <c r="K555" s="789">
        <f>('Parâmetros financeiros Despesa'!F538+'Parâmetros financeiros Despesa'!F539)*(1+'Parâmetros financeiros Despesa'!F$4)*(1+'Parâmetros financeiros Despesa'!F$7)</f>
        <v>4361.326</v>
      </c>
      <c r="L555" s="799">
        <f t="shared" si="67"/>
        <v>2.8662183997725543E-3</v>
      </c>
      <c r="M555" s="894"/>
      <c r="N555" s="796"/>
    </row>
    <row r="556" spans="1:15" x14ac:dyDescent="0.25">
      <c r="A556" s="397"/>
      <c r="B556" s="1004"/>
      <c r="C556" s="1004"/>
      <c r="D556" s="1004" t="s">
        <v>7487</v>
      </c>
      <c r="E556" s="854">
        <v>333903600000000</v>
      </c>
      <c r="F556" s="855" t="s">
        <v>7496</v>
      </c>
      <c r="G556" s="468">
        <v>1</v>
      </c>
      <c r="H556" s="468">
        <v>0</v>
      </c>
      <c r="I556" s="751"/>
      <c r="J556" s="789">
        <f>('Parâmetros financeiros Despesa'!E540)</f>
        <v>0</v>
      </c>
      <c r="K556" s="789">
        <f>('Parâmetros financeiros Despesa'!F540)*(1+'Parâmetros financeiros Despesa'!F$4)*(1+'Parâmetros financeiros Despesa'!F$7)</f>
        <v>5451.6575000000003</v>
      </c>
      <c r="L556" s="799">
        <f t="shared" si="67"/>
        <v>3.5827729997156932E-3</v>
      </c>
      <c r="M556" s="894"/>
      <c r="N556" s="796"/>
    </row>
    <row r="557" spans="1:15" x14ac:dyDescent="0.25">
      <c r="A557" s="397"/>
      <c r="B557" s="1398" t="s">
        <v>7489</v>
      </c>
      <c r="C557" s="1398"/>
      <c r="D557" s="1398"/>
      <c r="E557" s="854">
        <v>333903900000000</v>
      </c>
      <c r="F557" s="855" t="s">
        <v>7497</v>
      </c>
      <c r="G557" s="468">
        <v>1</v>
      </c>
      <c r="H557" s="468">
        <v>0</v>
      </c>
      <c r="I557" s="751"/>
      <c r="J557" s="789">
        <f>('Parâmetros financeiros Despesa'!E541+'Parâmetros financeiros Despesa'!E542+'Parâmetros financeiros Despesa'!E543)</f>
        <v>38293.919999999998</v>
      </c>
      <c r="K557" s="789">
        <f>('Parâmetros financeiros Despesa'!F541+'Parâmetros financeiros Despesa'!F542+'Parâmetros financeiros Despesa'!F543)*(1+'Parâmetros financeiros Despesa'!F$4)*(1+'Parâmetros financeiros Despesa'!F$7)</f>
        <v>48295.056234479998</v>
      </c>
      <c r="L557" s="799">
        <f t="shared" si="67"/>
        <v>3.1739012125513381E-2</v>
      </c>
      <c r="M557" s="894"/>
      <c r="N557" s="796"/>
    </row>
    <row r="558" spans="1:15" x14ac:dyDescent="0.25">
      <c r="A558" s="397"/>
      <c r="B558" s="1398" t="s">
        <v>7490</v>
      </c>
      <c r="C558" s="1398"/>
      <c r="D558" s="1398"/>
      <c r="E558" s="854">
        <v>333904700000000</v>
      </c>
      <c r="F558" s="855" t="s">
        <v>7498</v>
      </c>
      <c r="G558" s="468">
        <v>1</v>
      </c>
      <c r="H558" s="468">
        <v>0</v>
      </c>
      <c r="I558" s="751"/>
      <c r="J558" s="789">
        <f>(('Parâmetros financeiros Despesa'!E539+'Parâmetros financeiros Despesa'!E540+'Parâmetros financeiros Despesa'!E542))</f>
        <v>0</v>
      </c>
      <c r="K558" s="789">
        <f>(('Parâmetros financeiros Despesa'!F539+'Parâmetros financeiros Despesa'!F540+'Parâmetros financeiros Despesa'!F542)*(1+'Parâmetros financeiros Despesa'!F$4)*(1+'Parâmetros financeiros Despesa'!F$7))*('Parâmetros financeiros Despesa'!F$83)</f>
        <v>1526.4641000000001</v>
      </c>
      <c r="L558" s="799">
        <f t="shared" si="67"/>
        <v>1.0031764399203941E-3</v>
      </c>
      <c r="M558" s="894"/>
      <c r="N558" s="796"/>
      <c r="O558" s="1006"/>
    </row>
    <row r="559" spans="1:15" s="457" customFormat="1" x14ac:dyDescent="0.25">
      <c r="A559" s="396"/>
      <c r="B559" s="1398" t="s">
        <v>7491</v>
      </c>
      <c r="C559" s="1398"/>
      <c r="D559" s="1398"/>
      <c r="E559" s="854">
        <v>344905200000000</v>
      </c>
      <c r="F559" s="855" t="s">
        <v>7499</v>
      </c>
      <c r="G559" s="468">
        <v>1</v>
      </c>
      <c r="H559" s="468">
        <v>0</v>
      </c>
      <c r="I559" s="751"/>
      <c r="J559" s="789">
        <f>('Parâmetros financeiros Despesa'!E544)</f>
        <v>0</v>
      </c>
      <c r="K559" s="789">
        <f>('Parâmetros financeiros Despesa'!F544)*((1+'Parâmetros financeiros Despesa'!F$4)*(1+'Parâmetros financeiros Despesa'!F$7))</f>
        <v>5451.6575000000003</v>
      </c>
      <c r="L559" s="799">
        <f t="shared" si="67"/>
        <v>3.5827729997156932E-3</v>
      </c>
      <c r="M559" s="894"/>
      <c r="N559" s="796"/>
    </row>
    <row r="560" spans="1:15" s="115" customFormat="1" x14ac:dyDescent="0.25">
      <c r="A560" s="396"/>
      <c r="B560" s="1385" t="s">
        <v>7444</v>
      </c>
      <c r="C560" s="1385"/>
      <c r="D560" s="1385"/>
      <c r="E560" s="1385"/>
      <c r="F560" s="1385"/>
      <c r="G560" s="401"/>
      <c r="H560" s="401"/>
      <c r="I560" s="426"/>
      <c r="J560" s="402">
        <f t="shared" ref="J560:K562" si="68">J561</f>
        <v>0</v>
      </c>
      <c r="K560" s="402">
        <f t="shared" si="68"/>
        <v>58005.635799999996</v>
      </c>
      <c r="L560" s="451">
        <f t="shared" si="67"/>
        <v>3.8120704716974971E-2</v>
      </c>
      <c r="M560" s="894"/>
    </row>
    <row r="561" spans="1:15" x14ac:dyDescent="0.25">
      <c r="A561" s="396"/>
      <c r="B561" s="1386" t="s">
        <v>7483</v>
      </c>
      <c r="C561" s="1386"/>
      <c r="D561" s="1386"/>
      <c r="E561" s="1386"/>
      <c r="F561" s="1386"/>
      <c r="G561" s="403"/>
      <c r="H561" s="403"/>
      <c r="I561" s="427"/>
      <c r="J561" s="404">
        <f t="shared" si="68"/>
        <v>0</v>
      </c>
      <c r="K561" s="404">
        <f t="shared" si="68"/>
        <v>58005.635799999996</v>
      </c>
      <c r="L561" s="799">
        <f t="shared" si="67"/>
        <v>3.8120704716974971E-2</v>
      </c>
      <c r="O561" s="1006"/>
    </row>
    <row r="562" spans="1:15" x14ac:dyDescent="0.25">
      <c r="A562" s="396"/>
      <c r="B562" s="1382" t="s">
        <v>7283</v>
      </c>
      <c r="C562" s="1382"/>
      <c r="D562" s="1382"/>
      <c r="E562" s="1382"/>
      <c r="F562" s="1382"/>
      <c r="G562" s="405"/>
      <c r="H562" s="405"/>
      <c r="I562" s="428"/>
      <c r="J562" s="406">
        <f t="shared" si="68"/>
        <v>0</v>
      </c>
      <c r="K562" s="406">
        <f t="shared" si="68"/>
        <v>58005.635799999996</v>
      </c>
      <c r="L562" s="453">
        <f t="shared" si="67"/>
        <v>3.8120704716974971E-2</v>
      </c>
      <c r="O562" s="1006"/>
    </row>
    <row r="563" spans="1:15" x14ac:dyDescent="0.25">
      <c r="A563" s="396"/>
      <c r="B563" s="1383" t="s">
        <v>7452</v>
      </c>
      <c r="C563" s="1383"/>
      <c r="D563" s="1383"/>
      <c r="E563" s="1383"/>
      <c r="F563" s="1383"/>
      <c r="G563" s="407"/>
      <c r="H563" s="407"/>
      <c r="I563" s="429"/>
      <c r="J563" s="408">
        <f>SUM(J564:J567)</f>
        <v>0</v>
      </c>
      <c r="K563" s="408">
        <f>SUM(K564:K567)</f>
        <v>58005.635799999996</v>
      </c>
      <c r="L563" s="454">
        <f t="shared" si="67"/>
        <v>3.8120704716974971E-2</v>
      </c>
      <c r="O563" s="1006"/>
    </row>
    <row r="564" spans="1:15" x14ac:dyDescent="0.25">
      <c r="A564" s="397"/>
      <c r="B564" s="1396">
        <v>54000</v>
      </c>
      <c r="C564" s="1396"/>
      <c r="D564" s="1396"/>
      <c r="E564" s="854">
        <v>333903000000000</v>
      </c>
      <c r="F564" s="855" t="s">
        <v>7502</v>
      </c>
      <c r="G564" s="468">
        <v>1</v>
      </c>
      <c r="H564" s="468">
        <v>0</v>
      </c>
      <c r="I564" s="751"/>
      <c r="J564" s="789">
        <f>('Parâmetros financeiros Despesa'!E546+'Parâmetros financeiros Despesa'!E547)</f>
        <v>0</v>
      </c>
      <c r="K564" s="789">
        <f>('Parâmetros financeiros Despesa'!F546+'Parâmetros financeiros Despesa'!F547)*(1+'Parâmetros financeiros Despesa'!F$4)*(1+'Parâmetros financeiros Despesa'!F$7)</f>
        <v>30529.282000000003</v>
      </c>
      <c r="L564" s="799">
        <f t="shared" si="67"/>
        <v>2.0063528798407882E-2</v>
      </c>
      <c r="M564" s="894"/>
      <c r="N564" s="796"/>
      <c r="O564" s="1006"/>
    </row>
    <row r="565" spans="1:15" x14ac:dyDescent="0.25">
      <c r="A565" s="397"/>
      <c r="B565" s="1004"/>
      <c r="C565" s="1004"/>
      <c r="D565" s="1004" t="s">
        <v>7492</v>
      </c>
      <c r="E565" s="854">
        <v>333903600000000</v>
      </c>
      <c r="F565" s="855" t="s">
        <v>7503</v>
      </c>
      <c r="G565" s="468">
        <v>1</v>
      </c>
      <c r="H565" s="468">
        <v>0</v>
      </c>
      <c r="I565" s="751"/>
      <c r="J565" s="789">
        <f>('Parâmetros financeiros Despesa'!E548)</f>
        <v>0</v>
      </c>
      <c r="K565" s="789">
        <f>('Parâmetros financeiros Despesa'!F548)*(1+'Parâmetros financeiros Despesa'!F$4)*(1+'Parâmetros financeiros Despesa'!F$7)</f>
        <v>5451.6575000000003</v>
      </c>
      <c r="L565" s="799">
        <f t="shared" si="67"/>
        <v>3.5827729997156932E-3</v>
      </c>
      <c r="M565" s="894"/>
      <c r="N565" s="796"/>
      <c r="O565" s="1006"/>
    </row>
    <row r="566" spans="1:15" x14ac:dyDescent="0.25">
      <c r="A566" s="397"/>
      <c r="B566" s="1398" t="s">
        <v>7493</v>
      </c>
      <c r="C566" s="1398"/>
      <c r="D566" s="1398"/>
      <c r="E566" s="854">
        <v>333903900000000</v>
      </c>
      <c r="F566" s="855" t="s">
        <v>7508</v>
      </c>
      <c r="G566" s="468">
        <v>1</v>
      </c>
      <c r="H566" s="468">
        <v>0</v>
      </c>
      <c r="I566" s="751"/>
      <c r="J566" s="789">
        <f>('Parâmetros financeiros Despesa'!E549+'Parâmetros financeiros Despesa'!E550)</f>
        <v>0</v>
      </c>
      <c r="K566" s="789">
        <f>('Parâmetros financeiros Despesa'!F549+'Parâmetros financeiros Despesa'!F550)*(1+'Parâmetros financeiros Despesa'!F$4)*(1+'Parâmetros financeiros Despesa'!F$7)</f>
        <v>19625.967000000001</v>
      </c>
      <c r="L566" s="799">
        <f t="shared" si="67"/>
        <v>1.2897982798976495E-2</v>
      </c>
      <c r="M566" s="894"/>
      <c r="N566" s="796"/>
      <c r="O566" s="1006"/>
    </row>
    <row r="567" spans="1:15" x14ac:dyDescent="0.25">
      <c r="A567" s="397"/>
      <c r="B567" s="1398" t="s">
        <v>7494</v>
      </c>
      <c r="C567" s="1398"/>
      <c r="D567" s="1398"/>
      <c r="E567" s="854">
        <v>333904700000000</v>
      </c>
      <c r="F567" s="855" t="s">
        <v>7504</v>
      </c>
      <c r="G567" s="468">
        <v>1</v>
      </c>
      <c r="H567" s="468">
        <v>0</v>
      </c>
      <c r="I567" s="751"/>
      <c r="J567" s="789">
        <f>(('Parâmetros financeiros Despesa'!E547+'Parâmetros financeiros Despesa'!E548+'Parâmetros financeiros Despesa'!E550))</f>
        <v>0</v>
      </c>
      <c r="K567" s="789">
        <f>(('Parâmetros financeiros Despesa'!F547+'Parâmetros financeiros Despesa'!F548+'Parâmetros financeiros Despesa'!F550)*(1+'Parâmetros financeiros Despesa'!F$4)*(1+'Parâmetros financeiros Despesa'!F$7))*('Parâmetros financeiros Despesa'!F$83)</f>
        <v>2398.7293000000004</v>
      </c>
      <c r="L567" s="799">
        <f t="shared" si="67"/>
        <v>1.5764201198749052E-3</v>
      </c>
      <c r="M567" s="894"/>
      <c r="N567" s="796"/>
      <c r="O567" s="1006"/>
    </row>
    <row r="568" spans="1:15" s="115" customFormat="1" x14ac:dyDescent="0.25">
      <c r="A568" s="396"/>
      <c r="B568" s="1385" t="s">
        <v>7444</v>
      </c>
      <c r="C568" s="1385"/>
      <c r="D568" s="1385"/>
      <c r="E568" s="1385"/>
      <c r="F568" s="1385"/>
      <c r="G568" s="401"/>
      <c r="H568" s="401"/>
      <c r="I568" s="426"/>
      <c r="J568" s="402">
        <f t="shared" ref="J568:K570" si="69">J569</f>
        <v>99133.395000000004</v>
      </c>
      <c r="K568" s="402">
        <f t="shared" si="69"/>
        <v>128659.11700000001</v>
      </c>
      <c r="L568" s="451">
        <f t="shared" si="67"/>
        <v>8.4553442793290357E-2</v>
      </c>
      <c r="M568" s="894"/>
      <c r="O568" s="733"/>
    </row>
    <row r="569" spans="1:15" x14ac:dyDescent="0.25">
      <c r="A569" s="396"/>
      <c r="B569" s="1386" t="s">
        <v>7551</v>
      </c>
      <c r="C569" s="1386"/>
      <c r="D569" s="1386"/>
      <c r="E569" s="1386"/>
      <c r="F569" s="1386"/>
      <c r="G569" s="403"/>
      <c r="H569" s="403"/>
      <c r="I569" s="427"/>
      <c r="J569" s="404">
        <f t="shared" si="69"/>
        <v>99133.395000000004</v>
      </c>
      <c r="K569" s="404">
        <f t="shared" si="69"/>
        <v>128659.11700000001</v>
      </c>
      <c r="L569" s="799">
        <f t="shared" si="67"/>
        <v>8.4553442793290357E-2</v>
      </c>
    </row>
    <row r="570" spans="1:15" x14ac:dyDescent="0.25">
      <c r="A570" s="396"/>
      <c r="B570" s="1382" t="s">
        <v>7283</v>
      </c>
      <c r="C570" s="1382"/>
      <c r="D570" s="1382"/>
      <c r="E570" s="1382"/>
      <c r="F570" s="1382"/>
      <c r="G570" s="405"/>
      <c r="H570" s="405"/>
      <c r="I570" s="428"/>
      <c r="J570" s="406">
        <f t="shared" si="69"/>
        <v>99133.395000000004</v>
      </c>
      <c r="K570" s="406">
        <f t="shared" si="69"/>
        <v>128659.11700000001</v>
      </c>
      <c r="L570" s="453">
        <f t="shared" si="67"/>
        <v>8.4553442793290357E-2</v>
      </c>
    </row>
    <row r="571" spans="1:15" x14ac:dyDescent="0.25">
      <c r="A571" s="396"/>
      <c r="B571" s="1383" t="s">
        <v>7452</v>
      </c>
      <c r="C571" s="1383"/>
      <c r="D571" s="1383"/>
      <c r="E571" s="1383"/>
      <c r="F571" s="1383"/>
      <c r="G571" s="407"/>
      <c r="H571" s="407"/>
      <c r="I571" s="429"/>
      <c r="J571" s="408">
        <f>SUM(J572:J577)</f>
        <v>99133.395000000004</v>
      </c>
      <c r="K571" s="408">
        <f>SUM(K572:K577)</f>
        <v>128659.11700000001</v>
      </c>
      <c r="L571" s="454">
        <f t="shared" si="67"/>
        <v>8.4553442793290357E-2</v>
      </c>
    </row>
    <row r="572" spans="1:15" x14ac:dyDescent="0.25">
      <c r="A572" s="397"/>
      <c r="B572" s="1396">
        <v>55000</v>
      </c>
      <c r="C572" s="1396"/>
      <c r="D572" s="1396"/>
      <c r="E572" s="854">
        <v>333903000000000</v>
      </c>
      <c r="F572" s="855" t="s">
        <v>7555</v>
      </c>
      <c r="G572" s="468">
        <v>1</v>
      </c>
      <c r="H572" s="468">
        <v>0</v>
      </c>
      <c r="I572" s="751"/>
      <c r="J572" s="789">
        <f>('Parâmetros financeiros Despesa'!E552+'Parâmetros financeiros Despesa'!E553)</f>
        <v>86309.895000000004</v>
      </c>
      <c r="K572" s="789">
        <f>('Parâmetros financeiros Despesa'!F552+'Parâmetros financeiros Despesa'!F553)*(1+'Parâmetros financeiros Despesa'!F$4)*(1+'Parâmetros financeiros Despesa'!F$7)</f>
        <v>87226.52</v>
      </c>
      <c r="L572" s="799">
        <f t="shared" si="67"/>
        <v>5.7324367995451091E-2</v>
      </c>
      <c r="M572" s="894"/>
      <c r="N572" s="796"/>
    </row>
    <row r="573" spans="1:15" x14ac:dyDescent="0.25">
      <c r="A573" s="397"/>
      <c r="B573" s="1004"/>
      <c r="C573" s="1004"/>
      <c r="D573" s="1004" t="s">
        <v>7552</v>
      </c>
      <c r="E573" s="854">
        <v>333903600000000</v>
      </c>
      <c r="F573" s="855" t="s">
        <v>7556</v>
      </c>
      <c r="G573" s="468">
        <v>1</v>
      </c>
      <c r="H573" s="468">
        <v>0</v>
      </c>
      <c r="I573" s="751"/>
      <c r="J573" s="789">
        <f>('Parâmetros financeiros Despesa'!E554)</f>
        <v>0</v>
      </c>
      <c r="K573" s="789">
        <f>('Parâmetros financeiros Despesa'!F554)*(1+'Parâmetros financeiros Despesa'!F$4)*(1+'Parâmetros financeiros Despesa'!F$7)</f>
        <v>5451.6575000000003</v>
      </c>
      <c r="L573" s="799">
        <f t="shared" si="67"/>
        <v>3.5827729997156932E-3</v>
      </c>
      <c r="M573" s="894"/>
      <c r="N573" s="796"/>
    </row>
    <row r="574" spans="1:15" x14ac:dyDescent="0.25">
      <c r="A574" s="397"/>
      <c r="B574" s="1398" t="s">
        <v>7553</v>
      </c>
      <c r="C574" s="1398"/>
      <c r="D574" s="1398"/>
      <c r="E574" s="854">
        <v>333903900000000</v>
      </c>
      <c r="F574" s="855" t="s">
        <v>7557</v>
      </c>
      <c r="G574" s="468">
        <v>1</v>
      </c>
      <c r="H574" s="468">
        <v>0</v>
      </c>
      <c r="I574" s="751"/>
      <c r="J574" s="789">
        <f>('Parâmetros financeiros Despesa'!E555+'Parâmetros financeiros Despesa'!E556)</f>
        <v>12823.5</v>
      </c>
      <c r="K574" s="789">
        <f>('Parâmetros financeiros Despesa'!F555+'Parâmetros financeiros Despesa'!F556)*(1+'Parâmetros financeiros Despesa'!F$4)*(1+'Parâmetros financeiros Despesa'!F$7)</f>
        <v>21806.63</v>
      </c>
      <c r="L574" s="799">
        <f t="shared" si="67"/>
        <v>1.4331091998862773E-2</v>
      </c>
      <c r="M574" s="894"/>
      <c r="N574" s="796"/>
    </row>
    <row r="575" spans="1:15" x14ac:dyDescent="0.25">
      <c r="A575" s="397"/>
      <c r="B575" s="1398" t="s">
        <v>7554</v>
      </c>
      <c r="C575" s="1398"/>
      <c r="D575" s="1398"/>
      <c r="E575" s="854">
        <v>333904700000000</v>
      </c>
      <c r="F575" s="855" t="s">
        <v>7504</v>
      </c>
      <c r="G575" s="468">
        <v>1</v>
      </c>
      <c r="H575" s="468">
        <v>0</v>
      </c>
      <c r="I575" s="751"/>
      <c r="J575" s="789">
        <v>0</v>
      </c>
      <c r="K575" s="789">
        <f>(('Parâmetros financeiros Despesa'!F553+'Parâmetros financeiros Despesa'!F554+'Parâmetros financeiros Despesa'!F556)*(1+'Parâmetros financeiros Despesa'!F$4)*(1+'Parâmetros financeiros Despesa'!F$7))*('Parâmetros financeiros Despesa'!F$83)</f>
        <v>3270.9945000000002</v>
      </c>
      <c r="L575" s="799">
        <f t="shared" si="67"/>
        <v>2.1496637998294158E-3</v>
      </c>
      <c r="M575" s="894"/>
      <c r="N575" s="796"/>
    </row>
    <row r="576" spans="1:15" ht="30" x14ac:dyDescent="0.25">
      <c r="A576" s="397"/>
      <c r="B576" s="1398" t="s">
        <v>7558</v>
      </c>
      <c r="C576" s="1398"/>
      <c r="D576" s="1398"/>
      <c r="E576" s="854">
        <v>333933000000000</v>
      </c>
      <c r="F576" s="855" t="s">
        <v>7562</v>
      </c>
      <c r="G576" s="468">
        <v>1</v>
      </c>
      <c r="H576" s="468">
        <v>0</v>
      </c>
      <c r="I576" s="751"/>
      <c r="J576" s="789">
        <f>('Parâmetros financeiros Despesa'!E557)</f>
        <v>0</v>
      </c>
      <c r="K576" s="789">
        <f>('Parâmetros financeiros Despesa'!F557)*(1+'Parâmetros financeiros Despesa'!F$4)*(1+'Parâmetros financeiros Despesa'!F$7)</f>
        <v>5451.6575000000003</v>
      </c>
      <c r="L576" s="799">
        <f t="shared" si="67"/>
        <v>3.5827729997156932E-3</v>
      </c>
      <c r="M576" s="894"/>
      <c r="N576" s="796"/>
    </row>
    <row r="577" spans="1:15" x14ac:dyDescent="0.25">
      <c r="A577" s="397"/>
      <c r="B577" s="1398" t="s">
        <v>7563</v>
      </c>
      <c r="C577" s="1398"/>
      <c r="D577" s="1398"/>
      <c r="E577" s="854">
        <v>344905200000000</v>
      </c>
      <c r="F577" s="855" t="s">
        <v>7559</v>
      </c>
      <c r="G577" s="468">
        <v>1</v>
      </c>
      <c r="H577" s="468">
        <v>0</v>
      </c>
      <c r="I577" s="751"/>
      <c r="J577" s="789">
        <f>('Parâmetros financeiros Despesa'!E558)</f>
        <v>0</v>
      </c>
      <c r="K577" s="789">
        <f>('Parâmetros financeiros Despesa'!F558)*(1+'Parâmetros financeiros Despesa'!F$4)*(1+'Parâmetros financeiros Despesa'!F$7)</f>
        <v>5451.6575000000003</v>
      </c>
      <c r="L577" s="799">
        <f t="shared" si="67"/>
        <v>3.5827729997156932E-3</v>
      </c>
      <c r="M577" s="894"/>
      <c r="N577" s="796"/>
    </row>
    <row r="578" spans="1:15" s="115" customFormat="1" x14ac:dyDescent="0.25">
      <c r="A578" s="396"/>
      <c r="B578" s="1385" t="s">
        <v>7444</v>
      </c>
      <c r="C578" s="1385"/>
      <c r="D578" s="1385"/>
      <c r="E578" s="1385"/>
      <c r="F578" s="1385"/>
      <c r="G578" s="401"/>
      <c r="H578" s="401"/>
      <c r="I578" s="426"/>
      <c r="J578" s="402">
        <f t="shared" ref="J578:K580" si="70">J579</f>
        <v>0</v>
      </c>
      <c r="K578" s="402">
        <f t="shared" si="70"/>
        <v>52220.24</v>
      </c>
      <c r="L578" s="451">
        <f t="shared" si="67"/>
        <v>3.4318602353627943E-2</v>
      </c>
      <c r="M578" s="894"/>
      <c r="O578" s="733"/>
    </row>
    <row r="579" spans="1:15" x14ac:dyDescent="0.25">
      <c r="A579" s="396"/>
      <c r="B579" s="1386" t="s">
        <v>7484</v>
      </c>
      <c r="C579" s="1386"/>
      <c r="D579" s="1386"/>
      <c r="E579" s="1386"/>
      <c r="F579" s="1386"/>
      <c r="G579" s="403"/>
      <c r="H579" s="403"/>
      <c r="I579" s="427"/>
      <c r="J579" s="404">
        <f t="shared" si="70"/>
        <v>0</v>
      </c>
      <c r="K579" s="404">
        <f t="shared" si="70"/>
        <v>52220.24</v>
      </c>
      <c r="L579" s="799">
        <f t="shared" si="67"/>
        <v>3.4318602353627943E-2</v>
      </c>
    </row>
    <row r="580" spans="1:15" x14ac:dyDescent="0.25">
      <c r="A580" s="396"/>
      <c r="B580" s="1382" t="s">
        <v>7283</v>
      </c>
      <c r="C580" s="1382"/>
      <c r="D580" s="1382"/>
      <c r="E580" s="1382"/>
      <c r="F580" s="1382"/>
      <c r="G580" s="405"/>
      <c r="H580" s="405"/>
      <c r="I580" s="428"/>
      <c r="J580" s="406">
        <f t="shared" si="70"/>
        <v>0</v>
      </c>
      <c r="K580" s="406">
        <f t="shared" si="70"/>
        <v>52220.24</v>
      </c>
      <c r="L580" s="453">
        <f t="shared" si="67"/>
        <v>3.4318602353627943E-2</v>
      </c>
    </row>
    <row r="581" spans="1:15" x14ac:dyDescent="0.25">
      <c r="A581" s="396"/>
      <c r="B581" s="1383" t="s">
        <v>7452</v>
      </c>
      <c r="C581" s="1383"/>
      <c r="D581" s="1383"/>
      <c r="E581" s="1383"/>
      <c r="F581" s="1383"/>
      <c r="G581" s="407"/>
      <c r="H581" s="407"/>
      <c r="I581" s="429"/>
      <c r="J581" s="408">
        <f>SUM(J582:J587)</f>
        <v>0</v>
      </c>
      <c r="K581" s="408">
        <f>SUM(K582:K587)</f>
        <v>52220.24</v>
      </c>
      <c r="L581" s="454">
        <f t="shared" si="67"/>
        <v>3.4318602353627943E-2</v>
      </c>
    </row>
    <row r="582" spans="1:15" x14ac:dyDescent="0.25">
      <c r="A582" s="397"/>
      <c r="B582" s="1396">
        <v>56000</v>
      </c>
      <c r="C582" s="1396"/>
      <c r="D582" s="1396"/>
      <c r="E582" s="854">
        <v>333903000000000</v>
      </c>
      <c r="F582" s="855" t="s">
        <v>7570</v>
      </c>
      <c r="G582" s="468">
        <v>1</v>
      </c>
      <c r="H582" s="468">
        <v>0</v>
      </c>
      <c r="I582" s="751"/>
      <c r="J582" s="789">
        <f>'Parâmetros financeiros Despesa'!E560+'Parâmetros financeiros Despesa'!E561</f>
        <v>0</v>
      </c>
      <c r="K582" s="789">
        <f>'Parâmetros financeiros Despesa'!F560+'Parâmetros financeiros Despesa'!F561</f>
        <v>15620.239999999998</v>
      </c>
      <c r="L582" s="799">
        <f t="shared" si="67"/>
        <v>1.026546038907966E-2</v>
      </c>
      <c r="M582" s="894"/>
      <c r="N582" s="796"/>
    </row>
    <row r="583" spans="1:15" x14ac:dyDescent="0.25">
      <c r="A583" s="397"/>
      <c r="B583" s="1004"/>
      <c r="C583" s="1004"/>
      <c r="D583" s="1004" t="s">
        <v>7565</v>
      </c>
      <c r="E583" s="854">
        <v>333903600000000</v>
      </c>
      <c r="F583" s="855" t="s">
        <v>7571</v>
      </c>
      <c r="G583" s="468">
        <v>1</v>
      </c>
      <c r="H583" s="468">
        <v>0</v>
      </c>
      <c r="I583" s="751"/>
      <c r="J583" s="789">
        <f>'Parâmetros financeiros Despesa'!E562</f>
        <v>0</v>
      </c>
      <c r="K583" s="789">
        <f>'Parâmetros financeiros Despesa'!F562</f>
        <v>10000</v>
      </c>
      <c r="L583" s="799">
        <f t="shared" si="67"/>
        <v>6.5718967116252134E-3</v>
      </c>
      <c r="M583" s="894"/>
      <c r="N583" s="796"/>
    </row>
    <row r="584" spans="1:15" x14ac:dyDescent="0.25">
      <c r="A584" s="397"/>
      <c r="B584" s="1398" t="s">
        <v>7566</v>
      </c>
      <c r="C584" s="1398"/>
      <c r="D584" s="1398"/>
      <c r="E584" s="854">
        <v>333903900000000</v>
      </c>
      <c r="F584" s="855" t="s">
        <v>7572</v>
      </c>
      <c r="G584" s="468">
        <v>1</v>
      </c>
      <c r="H584" s="468">
        <v>0</v>
      </c>
      <c r="I584" s="751"/>
      <c r="J584" s="789">
        <f>'Parâmetros financeiros Despesa'!E563+'Parâmetros financeiros Despesa'!E564</f>
        <v>0</v>
      </c>
      <c r="K584" s="789">
        <f>'Parâmetros financeiros Despesa'!F563+'Parâmetros financeiros Despesa'!F564</f>
        <v>17000</v>
      </c>
      <c r="L584" s="799">
        <f t="shared" si="67"/>
        <v>1.1172224409762862E-2</v>
      </c>
      <c r="M584" s="894"/>
      <c r="N584" s="796"/>
    </row>
    <row r="585" spans="1:15" x14ac:dyDescent="0.25">
      <c r="A585" s="397"/>
      <c r="B585" s="1398" t="s">
        <v>7567</v>
      </c>
      <c r="C585" s="1398"/>
      <c r="D585" s="1398"/>
      <c r="E585" s="854">
        <v>333903900000000</v>
      </c>
      <c r="F585" s="855" t="s">
        <v>7575</v>
      </c>
      <c r="G585" s="468">
        <v>1</v>
      </c>
      <c r="H585" s="468">
        <v>0</v>
      </c>
      <c r="I585" s="751"/>
      <c r="J585" s="789">
        <f>'Parâmetros financeiros Despesa'!E565</f>
        <v>0</v>
      </c>
      <c r="K585" s="789">
        <f>'Parâmetros financeiros Despesa'!F565</f>
        <v>2600</v>
      </c>
      <c r="L585" s="799">
        <f t="shared" si="67"/>
        <v>1.7086931450225554E-3</v>
      </c>
      <c r="M585" s="894"/>
      <c r="N585" s="796"/>
    </row>
    <row r="586" spans="1:15" x14ac:dyDescent="0.25">
      <c r="A586" s="397"/>
      <c r="B586" s="1398" t="s">
        <v>7568</v>
      </c>
      <c r="C586" s="1398"/>
      <c r="D586" s="1398"/>
      <c r="E586" s="854">
        <v>333904700000000</v>
      </c>
      <c r="F586" s="855" t="s">
        <v>7573</v>
      </c>
      <c r="G586" s="468">
        <v>1</v>
      </c>
      <c r="H586" s="468">
        <v>0</v>
      </c>
      <c r="I586" s="751"/>
      <c r="J586" s="789">
        <f>'Parâmetros financeiros Despesa'!E566</f>
        <v>0</v>
      </c>
      <c r="K586" s="789">
        <f>'Parâmetros financeiros Despesa'!F566</f>
        <v>2000</v>
      </c>
      <c r="L586" s="799">
        <f t="shared" ref="L586:L617" si="71">K586/K$720</f>
        <v>1.3143793423250425E-3</v>
      </c>
      <c r="M586" s="894"/>
      <c r="N586" s="796"/>
      <c r="O586" s="1006"/>
    </row>
    <row r="587" spans="1:15" x14ac:dyDescent="0.25">
      <c r="A587" s="397"/>
      <c r="B587" s="1398" t="s">
        <v>7569</v>
      </c>
      <c r="C587" s="1398"/>
      <c r="D587" s="1398"/>
      <c r="E587" s="854">
        <v>344905200000000</v>
      </c>
      <c r="F587" s="855" t="s">
        <v>7574</v>
      </c>
      <c r="G587" s="468">
        <v>1</v>
      </c>
      <c r="H587" s="468">
        <v>0</v>
      </c>
      <c r="I587" s="751"/>
      <c r="J587" s="789">
        <f>'Parâmetros financeiros Despesa'!E567</f>
        <v>0</v>
      </c>
      <c r="K587" s="789">
        <f>'Parâmetros financeiros Despesa'!F567</f>
        <v>5000</v>
      </c>
      <c r="L587" s="799">
        <f t="shared" si="71"/>
        <v>3.2859483558126067E-3</v>
      </c>
      <c r="M587" s="894"/>
      <c r="N587" s="796"/>
      <c r="O587" s="1006"/>
    </row>
    <row r="588" spans="1:15" s="115" customFormat="1" x14ac:dyDescent="0.25">
      <c r="A588" s="396"/>
      <c r="B588" s="1385" t="s">
        <v>7444</v>
      </c>
      <c r="C588" s="1385"/>
      <c r="D588" s="1385"/>
      <c r="E588" s="1385"/>
      <c r="F588" s="1385"/>
      <c r="G588" s="401"/>
      <c r="H588" s="401"/>
      <c r="I588" s="426"/>
      <c r="J588" s="402">
        <f t="shared" ref="J588:K590" si="72">J589</f>
        <v>0</v>
      </c>
      <c r="K588" s="402">
        <f t="shared" si="72"/>
        <v>3598.1039500000002</v>
      </c>
      <c r="L588" s="451">
        <f t="shared" si="71"/>
        <v>2.3646367517090689E-3</v>
      </c>
      <c r="M588" s="894"/>
    </row>
    <row r="589" spans="1:15" x14ac:dyDescent="0.25">
      <c r="A589" s="396"/>
      <c r="B589" s="1386" t="s">
        <v>7485</v>
      </c>
      <c r="C589" s="1386"/>
      <c r="D589" s="1386"/>
      <c r="E589" s="1386"/>
      <c r="F589" s="1386"/>
      <c r="G589" s="403"/>
      <c r="H589" s="403"/>
      <c r="I589" s="427"/>
      <c r="J589" s="404">
        <f t="shared" si="72"/>
        <v>0</v>
      </c>
      <c r="K589" s="404">
        <f t="shared" si="72"/>
        <v>3598.1039500000002</v>
      </c>
      <c r="L589" s="799">
        <f t="shared" si="71"/>
        <v>2.3646367517090689E-3</v>
      </c>
      <c r="O589" s="1006"/>
    </row>
    <row r="590" spans="1:15" x14ac:dyDescent="0.25">
      <c r="A590" s="396"/>
      <c r="B590" s="1382" t="s">
        <v>7283</v>
      </c>
      <c r="C590" s="1382"/>
      <c r="D590" s="1382"/>
      <c r="E590" s="1382"/>
      <c r="F590" s="1382"/>
      <c r="G590" s="405"/>
      <c r="H590" s="405"/>
      <c r="I590" s="428"/>
      <c r="J590" s="406">
        <f t="shared" si="72"/>
        <v>0</v>
      </c>
      <c r="K590" s="406">
        <f t="shared" si="72"/>
        <v>3598.1039500000002</v>
      </c>
      <c r="L590" s="453">
        <f t="shared" si="71"/>
        <v>2.3646367517090689E-3</v>
      </c>
      <c r="O590" s="1006"/>
    </row>
    <row r="591" spans="1:15" x14ac:dyDescent="0.25">
      <c r="A591" s="396"/>
      <c r="B591" s="1383" t="s">
        <v>7452</v>
      </c>
      <c r="C591" s="1383"/>
      <c r="D591" s="1383"/>
      <c r="E591" s="1383"/>
      <c r="F591" s="1383"/>
      <c r="G591" s="407"/>
      <c r="H591" s="407"/>
      <c r="I591" s="429"/>
      <c r="J591" s="408">
        <f>SUM(J592:J596)</f>
        <v>0</v>
      </c>
      <c r="K591" s="408">
        <f>SUM(K592:K596)+0.01</f>
        <v>3598.1039500000002</v>
      </c>
      <c r="L591" s="454">
        <f t="shared" si="71"/>
        <v>2.3646367517090689E-3</v>
      </c>
      <c r="O591" s="1006"/>
    </row>
    <row r="592" spans="1:15" x14ac:dyDescent="0.25">
      <c r="A592" s="397"/>
      <c r="B592" s="1396">
        <v>57000</v>
      </c>
      <c r="C592" s="1396"/>
      <c r="D592" s="1396"/>
      <c r="E592" s="854">
        <v>333903000000000</v>
      </c>
      <c r="F592" s="855" t="s">
        <v>7580</v>
      </c>
      <c r="G592" s="468">
        <v>1</v>
      </c>
      <c r="H592" s="468">
        <v>0</v>
      </c>
      <c r="I592" s="751"/>
      <c r="J592" s="789">
        <f>('Parâmetros financeiros Despesa'!E569+'Parâmetros financeiros Despesa'!E570)</f>
        <v>0</v>
      </c>
      <c r="K592" s="789">
        <f>('Parâmetros financeiros Despesa'!F569+'Parâmetros financeiros Despesa'!F570)*(1+'Parâmetros financeiros Despesa'!F$4)*(1+'Parâmetros financeiros Despesa'!F$7)</f>
        <v>1090.3315</v>
      </c>
      <c r="L592" s="799">
        <f t="shared" si="71"/>
        <v>7.1655459994313857E-4</v>
      </c>
      <c r="M592" s="894"/>
      <c r="N592" s="796"/>
      <c r="O592" s="1006"/>
    </row>
    <row r="593" spans="1:15" x14ac:dyDescent="0.25">
      <c r="A593" s="397"/>
      <c r="B593" s="1004"/>
      <c r="C593" s="1004"/>
      <c r="D593" s="1004" t="s">
        <v>7576</v>
      </c>
      <c r="E593" s="854">
        <v>333903600000000</v>
      </c>
      <c r="F593" s="855" t="s">
        <v>7581</v>
      </c>
      <c r="G593" s="468">
        <v>1</v>
      </c>
      <c r="H593" s="468">
        <v>0</v>
      </c>
      <c r="I593" s="751"/>
      <c r="J593" s="789">
        <f>('Parâmetros financeiros Despesa'!E571)</f>
        <v>0</v>
      </c>
      <c r="K593" s="789">
        <f>('Parâmetros financeiros Despesa'!F571)*(1+'Parâmetros financeiros Despesa'!F$4)*(1+'Parâmetros financeiros Despesa'!F$7)</f>
        <v>545.16575</v>
      </c>
      <c r="L593" s="799">
        <f t="shared" si="71"/>
        <v>3.5827729997156928E-4</v>
      </c>
      <c r="M593" s="894"/>
      <c r="N593" s="796"/>
      <c r="O593" s="1006"/>
    </row>
    <row r="594" spans="1:15" x14ac:dyDescent="0.25">
      <c r="A594" s="397"/>
      <c r="B594" s="1398" t="s">
        <v>7577</v>
      </c>
      <c r="C594" s="1398"/>
      <c r="D594" s="1398"/>
      <c r="E594" s="854">
        <v>333903900000000</v>
      </c>
      <c r="F594" s="855" t="s">
        <v>7582</v>
      </c>
      <c r="G594" s="468">
        <v>1</v>
      </c>
      <c r="H594" s="468">
        <v>0</v>
      </c>
      <c r="I594" s="751"/>
      <c r="J594" s="789">
        <f>('Parâmetros financeiros Despesa'!E572+'Parâmetros financeiros Despesa'!E573)</f>
        <v>0</v>
      </c>
      <c r="K594" s="789">
        <f>('Parâmetros financeiros Despesa'!F572+'Parâmetros financeiros Despesa'!F573)*(1+'Parâmetros financeiros Despesa'!F$4)*(1+'Parâmetros financeiros Despesa'!F$7)</f>
        <v>1090.3315</v>
      </c>
      <c r="L594" s="799">
        <f t="shared" si="71"/>
        <v>7.1655459994313857E-4</v>
      </c>
      <c r="M594" s="894"/>
      <c r="N594" s="796"/>
      <c r="O594" s="1006"/>
    </row>
    <row r="595" spans="1:15" x14ac:dyDescent="0.25">
      <c r="A595" s="397"/>
      <c r="B595" s="1398" t="s">
        <v>7578</v>
      </c>
      <c r="C595" s="1398"/>
      <c r="D595" s="1398"/>
      <c r="E595" s="854">
        <v>333903900000000</v>
      </c>
      <c r="F595" s="855" t="s">
        <v>7583</v>
      </c>
      <c r="G595" s="468">
        <v>1</v>
      </c>
      <c r="H595" s="468">
        <v>0</v>
      </c>
      <c r="I595" s="751"/>
      <c r="J595" s="789">
        <f>(('Parâmetros financeiros Despesa'!E570+'Parâmetros financeiros Despesa'!E571+'Parâmetros financeiros Despesa'!E573))</f>
        <v>0</v>
      </c>
      <c r="K595" s="789">
        <f>(('Parâmetros financeiros Despesa'!F570+'Parâmetros financeiros Despesa'!F571+'Parâmetros financeiros Despesa'!F573)*(1+'Parâmetros financeiros Despesa'!F$4)*(1+'Parâmetros financeiros Despesa'!F$7))*('Parâmetros financeiros Despesa'!F$83)</f>
        <v>327.09945000000005</v>
      </c>
      <c r="L595" s="799">
        <f t="shared" si="71"/>
        <v>2.1496637998294162E-4</v>
      </c>
      <c r="M595" s="894"/>
      <c r="N595" s="796"/>
      <c r="O595" s="1006"/>
    </row>
    <row r="596" spans="1:15" x14ac:dyDescent="0.25">
      <c r="A596" s="397"/>
      <c r="B596" s="1398" t="s">
        <v>7579</v>
      </c>
      <c r="C596" s="1398"/>
      <c r="D596" s="1398"/>
      <c r="E596" s="854">
        <v>344905200000000</v>
      </c>
      <c r="F596" s="855" t="s">
        <v>7584</v>
      </c>
      <c r="G596" s="468">
        <v>1</v>
      </c>
      <c r="H596" s="468">
        <v>0</v>
      </c>
      <c r="I596" s="751"/>
      <c r="J596" s="789">
        <f>('Parâmetros financeiros Despesa'!E574)</f>
        <v>0</v>
      </c>
      <c r="K596" s="789">
        <f>('Parâmetros financeiros Despesa'!F574)*(1+'Parâmetros financeiros Despesa'!F$4)*(1+'Parâmetros financeiros Despesa'!F$7)</f>
        <v>545.16575</v>
      </c>
      <c r="L596" s="799">
        <f t="shared" si="71"/>
        <v>3.5827729997156928E-4</v>
      </c>
      <c r="M596" s="894"/>
      <c r="N596" s="796"/>
    </row>
    <row r="597" spans="1:15" s="115" customFormat="1" x14ac:dyDescent="0.25">
      <c r="A597" s="396"/>
      <c r="B597" s="1385" t="s">
        <v>7444</v>
      </c>
      <c r="C597" s="1385"/>
      <c r="D597" s="1385"/>
      <c r="E597" s="1385"/>
      <c r="F597" s="1385"/>
      <c r="G597" s="401"/>
      <c r="H597" s="401"/>
      <c r="I597" s="426"/>
      <c r="J597" s="402">
        <f t="shared" ref="J597:K599" si="73">J598</f>
        <v>42486.716974502502</v>
      </c>
      <c r="K597" s="402">
        <f t="shared" si="73"/>
        <v>68368.98057343188</v>
      </c>
      <c r="L597" s="451">
        <f t="shared" si="71"/>
        <v>4.4931387860770507E-2</v>
      </c>
      <c r="M597" s="894"/>
      <c r="O597" s="733"/>
    </row>
    <row r="598" spans="1:15" x14ac:dyDescent="0.25">
      <c r="A598" s="396"/>
      <c r="B598" s="1386" t="s">
        <v>7486</v>
      </c>
      <c r="C598" s="1386"/>
      <c r="D598" s="1386"/>
      <c r="E598" s="1386"/>
      <c r="F598" s="1386"/>
      <c r="G598" s="403"/>
      <c r="H598" s="403"/>
      <c r="I598" s="427"/>
      <c r="J598" s="404">
        <f t="shared" si="73"/>
        <v>42486.716974502502</v>
      </c>
      <c r="K598" s="404">
        <f t="shared" si="73"/>
        <v>68368.98057343188</v>
      </c>
      <c r="L598" s="799">
        <f t="shared" si="71"/>
        <v>4.4931387860770507E-2</v>
      </c>
    </row>
    <row r="599" spans="1:15" x14ac:dyDescent="0.25">
      <c r="A599" s="396"/>
      <c r="B599" s="1382" t="s">
        <v>7283</v>
      </c>
      <c r="C599" s="1382"/>
      <c r="D599" s="1382"/>
      <c r="E599" s="1382"/>
      <c r="F599" s="1382"/>
      <c r="G599" s="405"/>
      <c r="H599" s="405"/>
      <c r="I599" s="428"/>
      <c r="J599" s="406">
        <f t="shared" si="73"/>
        <v>42486.716974502502</v>
      </c>
      <c r="K599" s="406">
        <f t="shared" si="73"/>
        <v>68368.98057343188</v>
      </c>
      <c r="L599" s="453">
        <f t="shared" si="71"/>
        <v>4.4931387860770507E-2</v>
      </c>
    </row>
    <row r="600" spans="1:15" x14ac:dyDescent="0.25">
      <c r="A600" s="396"/>
      <c r="B600" s="1383" t="s">
        <v>7452</v>
      </c>
      <c r="C600" s="1383"/>
      <c r="D600" s="1383"/>
      <c r="E600" s="1383"/>
      <c r="F600" s="1383"/>
      <c r="G600" s="407"/>
      <c r="H600" s="407"/>
      <c r="I600" s="429"/>
      <c r="J600" s="408">
        <f>SUM(J601:J611)+J612+J613+J614+J615+0.01</f>
        <v>42486.716974502502</v>
      </c>
      <c r="K600" s="408">
        <f>SUM(K601:K611)+K612+K613+K614+K615</f>
        <v>68368.98057343188</v>
      </c>
      <c r="L600" s="454">
        <f t="shared" si="71"/>
        <v>4.4931387860770507E-2</v>
      </c>
    </row>
    <row r="601" spans="1:15" s="115" customFormat="1" x14ac:dyDescent="0.25">
      <c r="A601" s="396"/>
      <c r="B601" s="1398" t="s">
        <v>7607</v>
      </c>
      <c r="C601" s="1398"/>
      <c r="D601" s="1398"/>
      <c r="E601" s="854">
        <v>331900400000000</v>
      </c>
      <c r="F601" s="855" t="s">
        <v>10193</v>
      </c>
      <c r="G601" s="468">
        <v>1</v>
      </c>
      <c r="H601" s="468">
        <v>0</v>
      </c>
      <c r="I601" s="751"/>
      <c r="J601" s="789">
        <f>(('Parâmetros financeiros Despesa'!E576))</f>
        <v>0</v>
      </c>
      <c r="K601" s="789">
        <f>(('Parâmetros financeiros Despesa'!F576)*2.05+(('Parâmetros financeiros Despesa'!F576)*11.28)*(1+'Parâmetros financeiros Despesa'!F$4)*(1+'Parâmetros financeiros Despesa'!F$8))*(1+'Parâmetros financeiros Despesa'!F$80)</f>
        <v>17.278630081629636</v>
      </c>
      <c r="L601" s="799">
        <f t="shared" si="71"/>
        <v>1.1355337221485029E-5</v>
      </c>
      <c r="M601" s="894"/>
      <c r="O601" s="733"/>
    </row>
    <row r="602" spans="1:15" s="115" customFormat="1" ht="30" x14ac:dyDescent="0.25">
      <c r="A602" s="396"/>
      <c r="B602" s="1398" t="s">
        <v>7608</v>
      </c>
      <c r="C602" s="1398"/>
      <c r="D602" s="1398"/>
      <c r="E602" s="854">
        <v>331901100000000</v>
      </c>
      <c r="F602" s="855" t="s">
        <v>10194</v>
      </c>
      <c r="G602" s="468">
        <v>1</v>
      </c>
      <c r="H602" s="468">
        <v>0</v>
      </c>
      <c r="I602" s="751"/>
      <c r="J602" s="789">
        <f>('Parâmetros financeiros Despesa'!E577)</f>
        <v>31610.578712499999</v>
      </c>
      <c r="K602" s="789">
        <f>('Parâmetros financeiros Despesa'!F577)*2.05+(('Parâmetros financeiros Despesa'!F577)*11.28)*(1+'Parâmetros financeiros Despesa'!F$4)*(1+'Parâmetros financeiros Despesa'!F$8)</f>
        <v>33094.664697844346</v>
      </c>
      <c r="L602" s="799">
        <f t="shared" si="71"/>
        <v>2.1749471810010228E-2</v>
      </c>
      <c r="M602" s="894"/>
      <c r="O602" s="733"/>
    </row>
    <row r="603" spans="1:15" s="115" customFormat="1" x14ac:dyDescent="0.25">
      <c r="A603" s="396"/>
      <c r="B603" s="1398" t="s">
        <v>7609</v>
      </c>
      <c r="C603" s="1398"/>
      <c r="D603" s="1398"/>
      <c r="E603" s="854">
        <v>331901300000000</v>
      </c>
      <c r="F603" s="855" t="s">
        <v>10195</v>
      </c>
      <c r="G603" s="468">
        <v>1</v>
      </c>
      <c r="H603" s="468">
        <v>0</v>
      </c>
      <c r="I603" s="751"/>
      <c r="J603" s="789">
        <f>'Parâmetros financeiros Despesa'!E579</f>
        <v>7099.8782620024995</v>
      </c>
      <c r="K603" s="789">
        <f>(K602+K604)*'Parâmetros financeiros Despesa'!F$80</f>
        <v>8378.0610247794393</v>
      </c>
      <c r="L603" s="799">
        <f t="shared" si="71"/>
        <v>5.5059751698543361E-3</v>
      </c>
      <c r="M603" s="894"/>
      <c r="O603" s="733"/>
    </row>
    <row r="604" spans="1:15" s="115" customFormat="1" x14ac:dyDescent="0.25">
      <c r="A604" s="396"/>
      <c r="B604" s="1398" t="s">
        <v>7610</v>
      </c>
      <c r="C604" s="1398"/>
      <c r="D604" s="1398"/>
      <c r="E604" s="854">
        <v>331901600000000</v>
      </c>
      <c r="F604" s="855" t="s">
        <v>10196</v>
      </c>
      <c r="G604" s="468">
        <v>1</v>
      </c>
      <c r="H604" s="468">
        <v>0</v>
      </c>
      <c r="I604" s="751"/>
      <c r="J604" s="789">
        <f>('Parâmetros financeiros Despesa'!E578)</f>
        <v>0</v>
      </c>
      <c r="K604" s="789">
        <f>('Parâmetros financeiros Despesa'!F578)*2.05+(('Parâmetros financeiros Despesa'!F578)*11.28)*(1+'Parâmetros financeiros Despesa'!F$4)*(1+'Parâmetros financeiros Despesa'!F$8)</f>
        <v>2093.3745840335591</v>
      </c>
      <c r="L604" s="799">
        <f t="shared" si="71"/>
        <v>1.3757441545009946E-3</v>
      </c>
      <c r="M604" s="894"/>
      <c r="O604" s="733"/>
    </row>
    <row r="605" spans="1:15" s="115" customFormat="1" ht="30" x14ac:dyDescent="0.25">
      <c r="A605" s="396"/>
      <c r="B605" s="1398" t="s">
        <v>7611</v>
      </c>
      <c r="C605" s="1398"/>
      <c r="D605" s="1398"/>
      <c r="E605" s="854">
        <v>333901400000000</v>
      </c>
      <c r="F605" s="855" t="s">
        <v>10197</v>
      </c>
      <c r="G605" s="468">
        <v>1</v>
      </c>
      <c r="H605" s="468">
        <v>0</v>
      </c>
      <c r="I605" s="751"/>
      <c r="J605" s="789">
        <f>('Parâmetros financeiros Despesa'!E580)</f>
        <v>0</v>
      </c>
      <c r="K605" s="789">
        <f>('Parâmetros financeiros Despesa'!F580)*2+(('Parâmetros financeiros Despesa'!F580)*10)*(1+'Parâmetros financeiros Despesa'!F$4)*(1+'Parâmetros financeiros Despesa'!F$7)</f>
        <v>1561.3011150000002</v>
      </c>
      <c r="L605" s="799">
        <f t="shared" si="71"/>
        <v>1.026070966352528E-3</v>
      </c>
      <c r="M605" s="894"/>
      <c r="N605" s="796"/>
      <c r="O605" s="733"/>
    </row>
    <row r="606" spans="1:15" s="115" customFormat="1" x14ac:dyDescent="0.25">
      <c r="A606" s="396"/>
      <c r="B606" s="1396">
        <v>58500</v>
      </c>
      <c r="C606" s="1396"/>
      <c r="D606" s="1396"/>
      <c r="E606" s="854">
        <v>333903000000000</v>
      </c>
      <c r="F606" s="855" t="s">
        <v>7698</v>
      </c>
      <c r="G606" s="468">
        <v>1</v>
      </c>
      <c r="H606" s="468">
        <v>0</v>
      </c>
      <c r="I606" s="751"/>
      <c r="J606" s="789">
        <f>('Parâmetros financeiros Despesa'!E581+'Parâmetros financeiros Despesa'!E582)</f>
        <v>3776.25</v>
      </c>
      <c r="K606" s="789">
        <f>('Parâmetros financeiros Despesa'!F581+'Parâmetros financeiros Despesa'!F582)*(1+'Parâmetros financeiros Despesa'!F$4)*(1+'Parâmetros financeiros Despesa'!F$7)</f>
        <v>5207.6958268750004</v>
      </c>
      <c r="L606" s="799">
        <f t="shared" si="71"/>
        <v>3.4224439079784158E-3</v>
      </c>
      <c r="M606" s="894"/>
      <c r="N606" s="796"/>
      <c r="O606" s="733"/>
    </row>
    <row r="607" spans="1:15" s="115" customFormat="1" x14ac:dyDescent="0.25">
      <c r="A607" s="396"/>
      <c r="B607" s="1396">
        <v>58600</v>
      </c>
      <c r="C607" s="1396"/>
      <c r="D607" s="1396"/>
      <c r="E607" s="854">
        <v>333903200000000</v>
      </c>
      <c r="F607" s="855" t="s">
        <v>7699</v>
      </c>
      <c r="G607" s="468">
        <v>1</v>
      </c>
      <c r="H607" s="468">
        <v>0</v>
      </c>
      <c r="I607" s="751"/>
      <c r="J607" s="789">
        <f>('Parâmetros financeiros Despesa'!E583)</f>
        <v>0</v>
      </c>
      <c r="K607" s="789">
        <f>('Parâmetros financeiros Despesa'!F583)*(1+'Parâmetros financeiros Despesa'!F$4)*(1+'Parâmetros financeiros Despesa'!F$7)</f>
        <v>3270.9945000000002</v>
      </c>
      <c r="L607" s="799">
        <f t="shared" si="71"/>
        <v>2.1496637998294158E-3</v>
      </c>
      <c r="M607" s="894"/>
      <c r="N607" s="796"/>
      <c r="O607" s="733"/>
    </row>
    <row r="608" spans="1:15" s="115" customFormat="1" x14ac:dyDescent="0.25">
      <c r="A608" s="396"/>
      <c r="B608" s="1002"/>
      <c r="C608" s="1002"/>
      <c r="D608" s="1002">
        <v>58680</v>
      </c>
      <c r="E608" s="854">
        <v>333903300000000</v>
      </c>
      <c r="F608" s="855" t="s">
        <v>10203</v>
      </c>
      <c r="G608" s="468">
        <v>1</v>
      </c>
      <c r="H608" s="468">
        <v>0</v>
      </c>
      <c r="I608" s="751"/>
      <c r="J608" s="789">
        <f>('Parâmetros financeiros Despesa'!E584)</f>
        <v>0</v>
      </c>
      <c r="K608" s="789">
        <f>('Parâmetros financeiros Despesa'!F584)*(1+'Parâmetros financeiros Despesa'!F$4)*(1+'Parâmetros financeiros Despesa'!F$7)</f>
        <v>545.16575</v>
      </c>
      <c r="L608" s="799">
        <f t="shared" si="71"/>
        <v>3.5827729997156928E-4</v>
      </c>
      <c r="M608" s="894"/>
      <c r="N608" s="796"/>
      <c r="O608" s="733"/>
    </row>
    <row r="609" spans="1:15" s="115" customFormat="1" x14ac:dyDescent="0.25">
      <c r="A609" s="396"/>
      <c r="B609" s="1004"/>
      <c r="C609" s="1004"/>
      <c r="D609" s="1004" t="s">
        <v>7612</v>
      </c>
      <c r="E609" s="854">
        <v>333903600000000</v>
      </c>
      <c r="F609" s="855" t="s">
        <v>7700</v>
      </c>
      <c r="G609" s="468">
        <v>1</v>
      </c>
      <c r="H609" s="468">
        <v>0</v>
      </c>
      <c r="I609" s="751"/>
      <c r="J609" s="789">
        <f>('Parâmetros financeiros Despesa'!E585)</f>
        <v>0</v>
      </c>
      <c r="K609" s="789">
        <f>('Parâmetros financeiros Despesa'!F585)*(1+'Parâmetros financeiros Despesa'!F$4)*(1+'Parâmetros financeiros Despesa'!F$7)</f>
        <v>2180.663</v>
      </c>
      <c r="L609" s="799">
        <f t="shared" si="71"/>
        <v>1.4331091998862771E-3</v>
      </c>
      <c r="M609" s="894"/>
      <c r="N609" s="796"/>
      <c r="O609" s="733"/>
    </row>
    <row r="610" spans="1:15" s="115" customFormat="1" x14ac:dyDescent="0.25">
      <c r="A610" s="396"/>
      <c r="B610" s="1398" t="s">
        <v>7613</v>
      </c>
      <c r="C610" s="1398"/>
      <c r="D610" s="1398"/>
      <c r="E610" s="854">
        <v>333903900000000</v>
      </c>
      <c r="F610" s="855" t="s">
        <v>7701</v>
      </c>
      <c r="G610" s="468">
        <v>1</v>
      </c>
      <c r="H610" s="468">
        <v>0</v>
      </c>
      <c r="I610" s="751"/>
      <c r="J610" s="789">
        <f>('Parâmetros financeiros Despesa'!E586+'Parâmetros financeiros Despesa'!E587)</f>
        <v>0</v>
      </c>
      <c r="K610" s="789">
        <f>('Parâmetros financeiros Despesa'!F586+'Parâmetros financeiros Despesa'!F587)*(1+'Parâmetros financeiros Despesa'!F$4)*(1+'Parâmetros financeiros Despesa'!F$7)</f>
        <v>4361.326</v>
      </c>
      <c r="L610" s="799">
        <f t="shared" si="71"/>
        <v>2.8662183997725543E-3</v>
      </c>
      <c r="M610" s="894"/>
      <c r="N610" s="796"/>
      <c r="O610" s="733"/>
    </row>
    <row r="611" spans="1:15" s="115" customFormat="1" x14ac:dyDescent="0.25">
      <c r="A611" s="396"/>
      <c r="B611" s="1398" t="s">
        <v>7615</v>
      </c>
      <c r="C611" s="1398"/>
      <c r="D611" s="1398"/>
      <c r="E611" s="854">
        <v>333904700000000</v>
      </c>
      <c r="F611" s="855" t="s">
        <v>7702</v>
      </c>
      <c r="G611" s="468">
        <v>1</v>
      </c>
      <c r="H611" s="468">
        <v>0</v>
      </c>
      <c r="I611" s="751"/>
      <c r="J611" s="789">
        <v>0</v>
      </c>
      <c r="K611" s="789">
        <f>(('Parâmetros financeiros Despesa'!F582+'Parâmetros financeiros Despesa'!F585+'Parâmetros financeiros Despesa'!F587)*(1+'Parâmetros financeiros Despesa'!F$4)*(1+'Parâmetros financeiros Despesa'!F$7))*('Parâmetros financeiros Despesa'!F$83)</f>
        <v>1090.3315</v>
      </c>
      <c r="L611" s="799">
        <f t="shared" si="71"/>
        <v>7.1655459994313857E-4</v>
      </c>
      <c r="M611" s="894"/>
      <c r="N611" s="796"/>
      <c r="O611" s="733"/>
    </row>
    <row r="612" spans="1:15" s="115" customFormat="1" x14ac:dyDescent="0.25">
      <c r="A612" s="396"/>
      <c r="B612" s="1398" t="s">
        <v>7616</v>
      </c>
      <c r="C612" s="1398"/>
      <c r="D612" s="1398"/>
      <c r="E612" s="854">
        <v>333904900000000</v>
      </c>
      <c r="F612" s="855" t="s">
        <v>10198</v>
      </c>
      <c r="G612" s="468">
        <v>1</v>
      </c>
      <c r="H612" s="468">
        <v>0</v>
      </c>
      <c r="I612" s="751"/>
      <c r="J612" s="789">
        <f>('Parâmetros financeiros Despesa'!E588)</f>
        <v>0</v>
      </c>
      <c r="K612" s="789">
        <f>('Parâmetros financeiros Despesa'!F588)*2.05+(('Parâmetros financeiros Despesa'!F588)*11.28)*(1+'Parâmetros financeiros Despesa'!F$4)*(1+'Parâmetros financeiros Despesa'!F$8)</f>
        <v>1116.4664448178983</v>
      </c>
      <c r="L612" s="799">
        <f t="shared" si="71"/>
        <v>7.3373021573386375E-4</v>
      </c>
      <c r="M612" s="894"/>
      <c r="N612" s="796"/>
      <c r="O612" s="733"/>
    </row>
    <row r="613" spans="1:15" s="115" customFormat="1" x14ac:dyDescent="0.25">
      <c r="A613" s="396"/>
      <c r="B613" s="1398" t="s">
        <v>7617</v>
      </c>
      <c r="C613" s="1398"/>
      <c r="D613" s="1398"/>
      <c r="E613" s="854">
        <v>333909300000000</v>
      </c>
      <c r="F613" s="855" t="s">
        <v>7703</v>
      </c>
      <c r="G613" s="468">
        <v>1</v>
      </c>
      <c r="H613" s="468">
        <v>0</v>
      </c>
      <c r="I613" s="751"/>
      <c r="J613" s="789">
        <f>('Parâmetros financeiros Despesa'!E589)</f>
        <v>0</v>
      </c>
      <c r="K613" s="789">
        <f>('Parâmetros financeiros Despesa'!F589)*(1+'Parâmetros financeiros Despesa'!F$4)*(1+'Parâmetros financeiros Despesa'!F$7)</f>
        <v>1090.3315</v>
      </c>
      <c r="L613" s="799">
        <f t="shared" si="71"/>
        <v>7.1655459994313857E-4</v>
      </c>
      <c r="M613" s="894"/>
      <c r="N613" s="796"/>
      <c r="O613" s="733"/>
    </row>
    <row r="614" spans="1:15" s="115" customFormat="1" x14ac:dyDescent="0.25">
      <c r="A614" s="396"/>
      <c r="B614" s="1398" t="s">
        <v>7618</v>
      </c>
      <c r="C614" s="1398"/>
      <c r="D614" s="1398"/>
      <c r="E614" s="854">
        <v>333933000000000</v>
      </c>
      <c r="F614" s="855" t="s">
        <v>7704</v>
      </c>
      <c r="G614" s="468">
        <v>1</v>
      </c>
      <c r="H614" s="468">
        <v>0</v>
      </c>
      <c r="I614" s="751"/>
      <c r="J614" s="789">
        <f>('Parâmetros financeiros Despesa'!E590)</f>
        <v>0</v>
      </c>
      <c r="K614" s="789">
        <f>('Parâmetros financeiros Despesa'!F590)*(1+'Parâmetros financeiros Despesa'!F$4)*(1+'Parâmetros financeiros Despesa'!F$7)</f>
        <v>1635.4972500000001</v>
      </c>
      <c r="L614" s="799">
        <f t="shared" si="71"/>
        <v>1.0748318999147079E-3</v>
      </c>
      <c r="M614" s="894"/>
      <c r="N614" s="796"/>
      <c r="O614" s="733"/>
    </row>
    <row r="615" spans="1:15" s="115" customFormat="1" x14ac:dyDescent="0.25">
      <c r="A615" s="396"/>
      <c r="B615" s="1398" t="s">
        <v>7619</v>
      </c>
      <c r="C615" s="1398"/>
      <c r="D615" s="1398"/>
      <c r="E615" s="854">
        <v>344905200000000</v>
      </c>
      <c r="F615" s="855" t="s">
        <v>7705</v>
      </c>
      <c r="G615" s="468">
        <v>1</v>
      </c>
      <c r="H615" s="468">
        <v>0</v>
      </c>
      <c r="I615" s="751"/>
      <c r="J615" s="789">
        <f>('Parâmetros financeiros Despesa'!E591)</f>
        <v>0</v>
      </c>
      <c r="K615" s="789">
        <f>('Parâmetros financeiros Despesa'!F591)*(1+'Parâmetros financeiros Despesa'!F$4)*(1+'Parâmetros financeiros Despesa'!F$7)</f>
        <v>2725.8287500000001</v>
      </c>
      <c r="L615" s="799">
        <f t="shared" si="71"/>
        <v>1.7913864998578466E-3</v>
      </c>
      <c r="M615" s="894"/>
      <c r="N615" s="796"/>
      <c r="O615" s="733"/>
    </row>
    <row r="616" spans="1:15" s="115" customFormat="1" x14ac:dyDescent="0.25">
      <c r="A616" s="396"/>
      <c r="B616" s="1385" t="s">
        <v>7444</v>
      </c>
      <c r="C616" s="1385"/>
      <c r="D616" s="1385"/>
      <c r="E616" s="1385"/>
      <c r="F616" s="1385"/>
      <c r="G616" s="401"/>
      <c r="H616" s="401"/>
      <c r="I616" s="426"/>
      <c r="J616" s="402">
        <f t="shared" ref="J616:K618" si="74">J617</f>
        <v>150587.88166002001</v>
      </c>
      <c r="K616" s="402">
        <f t="shared" si="74"/>
        <v>239763.5803504939</v>
      </c>
      <c r="L616" s="451">
        <f t="shared" si="71"/>
        <v>0.15757014852728984</v>
      </c>
      <c r="M616" s="894"/>
      <c r="O616" s="733"/>
    </row>
    <row r="617" spans="1:15" x14ac:dyDescent="0.25">
      <c r="A617" s="396"/>
      <c r="B617" s="1386" t="s">
        <v>10192</v>
      </c>
      <c r="C617" s="1386"/>
      <c r="D617" s="1386"/>
      <c r="E617" s="1386"/>
      <c r="F617" s="1386"/>
      <c r="G617" s="403"/>
      <c r="H617" s="403"/>
      <c r="I617" s="427"/>
      <c r="J617" s="404">
        <f t="shared" si="74"/>
        <v>150587.88166002001</v>
      </c>
      <c r="K617" s="404">
        <f t="shared" si="74"/>
        <v>239763.5803504939</v>
      </c>
      <c r="L617" s="799">
        <f t="shared" si="71"/>
        <v>0.15757014852728984</v>
      </c>
    </row>
    <row r="618" spans="1:15" x14ac:dyDescent="0.25">
      <c r="A618" s="396"/>
      <c r="B618" s="1382" t="s">
        <v>7283</v>
      </c>
      <c r="C618" s="1382"/>
      <c r="D618" s="1382"/>
      <c r="E618" s="1382"/>
      <c r="F618" s="1382"/>
      <c r="G618" s="405"/>
      <c r="H618" s="405"/>
      <c r="I618" s="428"/>
      <c r="J618" s="406">
        <f t="shared" si="74"/>
        <v>150587.88166002001</v>
      </c>
      <c r="K618" s="406">
        <f t="shared" si="74"/>
        <v>239763.5803504939</v>
      </c>
      <c r="L618" s="453">
        <f t="shared" ref="L618:L633" si="75">K618/K$720</f>
        <v>0.15757014852728984</v>
      </c>
      <c r="O618" s="1006"/>
    </row>
    <row r="619" spans="1:15" x14ac:dyDescent="0.25">
      <c r="A619" s="396"/>
      <c r="B619" s="1383" t="s">
        <v>7452</v>
      </c>
      <c r="C619" s="1383"/>
      <c r="D619" s="1383"/>
      <c r="E619" s="1383"/>
      <c r="F619" s="1383"/>
      <c r="G619" s="407"/>
      <c r="H619" s="407"/>
      <c r="I619" s="429"/>
      <c r="J619" s="408">
        <f>SUM(J620:J630)+J631+J632+J633+J634+J635+0.03</f>
        <v>150587.88166002001</v>
      </c>
      <c r="K619" s="408">
        <f>SUM(K620:K630)+K631+K632+K633+K634+K635+0.01</f>
        <v>239763.5803504939</v>
      </c>
      <c r="L619" s="454">
        <f t="shared" si="75"/>
        <v>0.15757014852728984</v>
      </c>
      <c r="O619" s="1006"/>
    </row>
    <row r="620" spans="1:15" s="115" customFormat="1" x14ac:dyDescent="0.25">
      <c r="A620" s="396"/>
      <c r="B620" s="1398" t="s">
        <v>10180</v>
      </c>
      <c r="C620" s="1398"/>
      <c r="D620" s="1398"/>
      <c r="E620" s="854">
        <v>331900400000000</v>
      </c>
      <c r="F620" s="855" t="s">
        <v>10179</v>
      </c>
      <c r="G620" s="468">
        <v>1</v>
      </c>
      <c r="H620" s="468">
        <v>0</v>
      </c>
      <c r="I620" s="751"/>
      <c r="J620" s="789">
        <f>(('Parâmetros financeiros Despesa'!E593))</f>
        <v>19286.477175</v>
      </c>
      <c r="K620" s="789">
        <f>(('Parâmetros financeiros Despesa'!F593)*2.05+(('Parâmetros financeiros Despesa'!F593)*11.28)*(1+'Parâmetros financeiros Despesa'!F$4)*(1+'Parâmetros financeiros Despesa'!F$8))*(1+'Parâmetros financeiros Despesa'!F$80)</f>
        <v>25055.932683054009</v>
      </c>
      <c r="L620" s="799">
        <f t="shared" si="75"/>
        <v>1.6466500160646533E-2</v>
      </c>
      <c r="M620" s="894"/>
    </row>
    <row r="621" spans="1:15" s="115" customFormat="1" x14ac:dyDescent="0.25">
      <c r="A621" s="396"/>
      <c r="B621" s="1398" t="s">
        <v>10181</v>
      </c>
      <c r="C621" s="1398"/>
      <c r="D621" s="1398"/>
      <c r="E621" s="854">
        <v>331901100000000</v>
      </c>
      <c r="F621" s="855" t="s">
        <v>10199</v>
      </c>
      <c r="G621" s="468">
        <v>1</v>
      </c>
      <c r="H621" s="468">
        <v>0</v>
      </c>
      <c r="I621" s="751"/>
      <c r="J621" s="789">
        <f>('Parâmetros financeiros Despesa'!E594)</f>
        <v>75329.529575000008</v>
      </c>
      <c r="K621" s="789">
        <f>('Parâmetros financeiros Despesa'!F594)*2.05+(('Parâmetros financeiros Despesa'!F594)*11.28)*(1+'Parâmetros financeiros Despesa'!F$4)*(1+'Parâmetros financeiros Despesa'!F$8)</f>
        <v>78866.177864220721</v>
      </c>
      <c r="L621" s="799">
        <f t="shared" si="75"/>
        <v>5.1830037496432134E-2</v>
      </c>
      <c r="M621" s="894"/>
    </row>
    <row r="622" spans="1:15" s="115" customFormat="1" x14ac:dyDescent="0.25">
      <c r="A622" s="396"/>
      <c r="B622" s="1398" t="s">
        <v>10182</v>
      </c>
      <c r="C622" s="1398"/>
      <c r="D622" s="1398"/>
      <c r="E622" s="854">
        <v>331901300000000</v>
      </c>
      <c r="F622" s="855" t="s">
        <v>10178</v>
      </c>
      <c r="G622" s="468">
        <v>1</v>
      </c>
      <c r="H622" s="468">
        <v>0</v>
      </c>
      <c r="I622" s="751"/>
      <c r="J622" s="789">
        <f>'Parâmetros financeiros Despesa'!E596</f>
        <v>21981.92120501</v>
      </c>
      <c r="K622" s="789">
        <f>(K621+K623)*'Parâmetros financeiros Despesa'!F$80</f>
        <v>22100.363273809675</v>
      </c>
      <c r="L622" s="799">
        <f t="shared" si="75"/>
        <v>1.4524130472487243E-2</v>
      </c>
      <c r="M622" s="894"/>
    </row>
    <row r="623" spans="1:15" s="115" customFormat="1" x14ac:dyDescent="0.25">
      <c r="A623" s="396"/>
      <c r="B623" s="1398" t="s">
        <v>10183</v>
      </c>
      <c r="C623" s="1398"/>
      <c r="D623" s="1398"/>
      <c r="E623" s="854">
        <v>331901600000000</v>
      </c>
      <c r="F623" s="855" t="s">
        <v>10177</v>
      </c>
      <c r="G623" s="468">
        <v>1</v>
      </c>
      <c r="H623" s="468">
        <v>0</v>
      </c>
      <c r="I623" s="751"/>
      <c r="J623" s="789">
        <f>('Parâmetros financeiros Despesa'!E595)*2.05+(('Parâmetros financeiros Despesa'!E595))</f>
        <v>12008.002499999999</v>
      </c>
      <c r="K623" s="789">
        <f>('Parâmetros financeiros Despesa'!F595)*2.05+(('Parâmetros financeiros Despesa'!F595)*11.28)*(1+'Parâmetros financeiros Despesa'!F$4)*(1+'Parâmetros financeiros Despesa'!F$8)</f>
        <v>13955.830560223727</v>
      </c>
      <c r="L623" s="799">
        <f t="shared" si="75"/>
        <v>9.1716276966732971E-3</v>
      </c>
      <c r="M623" s="894"/>
    </row>
    <row r="624" spans="1:15" s="115" customFormat="1" x14ac:dyDescent="0.25">
      <c r="A624" s="396"/>
      <c r="B624" s="1398" t="s">
        <v>10184</v>
      </c>
      <c r="C624" s="1398"/>
      <c r="D624" s="1398"/>
      <c r="E624" s="854">
        <v>333901400000000</v>
      </c>
      <c r="F624" s="855" t="s">
        <v>10200</v>
      </c>
      <c r="G624" s="468">
        <v>1</v>
      </c>
      <c r="H624" s="468">
        <v>0</v>
      </c>
      <c r="I624" s="751"/>
      <c r="J624" s="789">
        <f>('Parâmetros financeiros Despesa'!E596)</f>
        <v>21981.92120501</v>
      </c>
      <c r="K624" s="789">
        <f>('Parâmetros financeiros Despesa'!F596)*2+(('Parâmetros financeiros Despesa'!F596)*10)*(1+'Parâmetros financeiros Despesa'!F$4)*(1+'Parâmetros financeiros Despesa'!F$7)</f>
        <v>23636.637801118632</v>
      </c>
      <c r="L624" s="799">
        <f t="shared" si="75"/>
        <v>1.5533754223904774E-2</v>
      </c>
      <c r="M624" s="894"/>
      <c r="N624" s="796"/>
    </row>
    <row r="625" spans="1:15" s="115" customFormat="1" x14ac:dyDescent="0.25">
      <c r="A625" s="396"/>
      <c r="B625" s="1396">
        <v>60500</v>
      </c>
      <c r="C625" s="1396"/>
      <c r="D625" s="1396"/>
      <c r="E625" s="854">
        <v>333903000000000</v>
      </c>
      <c r="F625" s="855" t="s">
        <v>10169</v>
      </c>
      <c r="G625" s="468">
        <v>1</v>
      </c>
      <c r="H625" s="468">
        <v>0</v>
      </c>
      <c r="I625" s="751"/>
      <c r="J625" s="789">
        <f>('Parâmetros financeiros Despesa'!E598+'Parâmetros financeiros Despesa'!E599)</f>
        <v>0</v>
      </c>
      <c r="K625" s="789">
        <f>('Parâmetros financeiros Despesa'!F598+'Parâmetros financeiros Despesa'!F599)*(1+'Parâmetros financeiros Despesa'!F$4)*(1+'Parâmetros financeiros Despesa'!F$7)</f>
        <v>25077.624500000002</v>
      </c>
      <c r="L625" s="799">
        <f t="shared" si="75"/>
        <v>1.6480755798692188E-2</v>
      </c>
      <c r="M625" s="894"/>
      <c r="N625" s="796"/>
    </row>
    <row r="626" spans="1:15" s="115" customFormat="1" x14ac:dyDescent="0.25">
      <c r="A626" s="396"/>
      <c r="B626" s="1396">
        <v>60600</v>
      </c>
      <c r="C626" s="1396"/>
      <c r="D626" s="1396"/>
      <c r="E626" s="854">
        <v>333903200000000</v>
      </c>
      <c r="F626" s="855" t="s">
        <v>10170</v>
      </c>
      <c r="G626" s="468">
        <v>1</v>
      </c>
      <c r="H626" s="468">
        <v>0</v>
      </c>
      <c r="I626" s="751"/>
      <c r="J626" s="789">
        <f>('Parâmetros financeiros Despesa'!E600)</f>
        <v>0</v>
      </c>
      <c r="K626" s="789">
        <f>('Parâmetros financeiros Despesa'!F600)*(1+'Parâmetros financeiros Despesa'!F$4)*(1+'Parâmetros financeiros Despesa'!F$7)</f>
        <v>2180.663</v>
      </c>
      <c r="L626" s="799">
        <f t="shared" si="75"/>
        <v>1.4331091998862771E-3</v>
      </c>
      <c r="M626" s="894"/>
      <c r="N626" s="796"/>
    </row>
    <row r="627" spans="1:15" s="115" customFormat="1" x14ac:dyDescent="0.25">
      <c r="A627" s="396"/>
      <c r="B627" s="1002"/>
      <c r="C627" s="1002"/>
      <c r="D627" s="1002">
        <v>60680</v>
      </c>
      <c r="E627" s="854">
        <v>333903300000000</v>
      </c>
      <c r="F627" s="855" t="s">
        <v>10202</v>
      </c>
      <c r="G627" s="468">
        <v>1</v>
      </c>
      <c r="H627" s="468">
        <v>0</v>
      </c>
      <c r="I627" s="751"/>
      <c r="J627" s="789">
        <f>('Parâmetros financeiros Despesa'!E601)</f>
        <v>0</v>
      </c>
      <c r="K627" s="789">
        <f>('Parâmetros financeiros Despesa'!F601)*(1+'Parâmetros financeiros Despesa'!F$4)*(1+'Parâmetros financeiros Despesa'!F$7)</f>
        <v>1635.4972500000001</v>
      </c>
      <c r="L627" s="799">
        <f t="shared" si="75"/>
        <v>1.0748318999147079E-3</v>
      </c>
      <c r="M627" s="894"/>
      <c r="N627" s="796"/>
    </row>
    <row r="628" spans="1:15" s="115" customFormat="1" x14ac:dyDescent="0.25">
      <c r="A628" s="396"/>
      <c r="B628" s="1004"/>
      <c r="C628" s="1004"/>
      <c r="D628" s="1004" t="s">
        <v>10185</v>
      </c>
      <c r="E628" s="854">
        <v>333903600000000</v>
      </c>
      <c r="F628" s="855" t="s">
        <v>10171</v>
      </c>
      <c r="G628" s="468">
        <v>1</v>
      </c>
      <c r="H628" s="468">
        <v>0</v>
      </c>
      <c r="I628" s="751"/>
      <c r="J628" s="789">
        <f>('Parâmetros financeiros Despesa'!E602)</f>
        <v>0</v>
      </c>
      <c r="K628" s="789">
        <f>('Parâmetros financeiros Despesa'!F602)*(1+'Parâmetros financeiros Despesa'!F$4)*(1+'Parâmetros financeiros Despesa'!F$7)</f>
        <v>16354.9725</v>
      </c>
      <c r="L628" s="799">
        <f t="shared" si="75"/>
        <v>1.0748318999147079E-2</v>
      </c>
      <c r="M628" s="894"/>
      <c r="N628" s="796"/>
    </row>
    <row r="629" spans="1:15" s="115" customFormat="1" x14ac:dyDescent="0.25">
      <c r="A629" s="396"/>
      <c r="B629" s="1398" t="s">
        <v>10186</v>
      </c>
      <c r="C629" s="1398"/>
      <c r="D629" s="1398"/>
      <c r="E629" s="854">
        <v>333903900000000</v>
      </c>
      <c r="F629" s="855" t="s">
        <v>10172</v>
      </c>
      <c r="G629" s="468">
        <v>1</v>
      </c>
      <c r="H629" s="468">
        <v>0</v>
      </c>
      <c r="I629" s="751"/>
      <c r="J629" s="789">
        <f>('Parâmetros financeiros Despesa'!E603+'Parâmetros financeiros Despesa'!E604)</f>
        <v>0</v>
      </c>
      <c r="K629" s="789">
        <f>('Parâmetros financeiros Despesa'!F603+'Parâmetros financeiros Despesa'!F604)*(1+'Parâmetros financeiros Despesa'!F$4)*(1+'Parâmetros financeiros Despesa'!F$7)</f>
        <v>4361.326</v>
      </c>
      <c r="L629" s="799">
        <f t="shared" si="75"/>
        <v>2.8662183997725543E-3</v>
      </c>
      <c r="M629" s="894"/>
      <c r="N629" s="796"/>
    </row>
    <row r="630" spans="1:15" s="115" customFormat="1" x14ac:dyDescent="0.25">
      <c r="A630" s="396"/>
      <c r="B630" s="1398" t="s">
        <v>10187</v>
      </c>
      <c r="C630" s="1398"/>
      <c r="D630" s="1398"/>
      <c r="E630" s="854">
        <v>333904700000000</v>
      </c>
      <c r="F630" s="855" t="s">
        <v>10173</v>
      </c>
      <c r="G630" s="468">
        <v>1</v>
      </c>
      <c r="H630" s="468">
        <v>0</v>
      </c>
      <c r="I630" s="751"/>
      <c r="J630" s="789">
        <f>(('Parâmetros financeiros Despesa'!E599+'Parâmetros financeiros Despesa'!E602+'Parâmetros financeiros Despesa'!E604))</f>
        <v>0</v>
      </c>
      <c r="K630" s="789">
        <f>(('Parâmetros financeiros Despesa'!F599+'Parâmetros financeiros Despesa'!F602+'Parâmetros financeiros Despesa'!F604)*(1+'Parâmetros financeiros Despesa'!F$4)*(1+'Parâmetros financeiros Despesa'!F$7))*('Parâmetros financeiros Despesa'!F$83)</f>
        <v>4361.326</v>
      </c>
      <c r="L630" s="799">
        <f t="shared" si="75"/>
        <v>2.8662183997725543E-3</v>
      </c>
      <c r="M630" s="894"/>
      <c r="N630" s="796"/>
      <c r="O630" s="733"/>
    </row>
    <row r="631" spans="1:15" s="115" customFormat="1" ht="30" x14ac:dyDescent="0.25">
      <c r="A631" s="396"/>
      <c r="B631" s="1398" t="s">
        <v>10188</v>
      </c>
      <c r="C631" s="1398"/>
      <c r="D631" s="1398"/>
      <c r="E631" s="854">
        <v>333904900000000</v>
      </c>
      <c r="F631" s="855" t="s">
        <v>10201</v>
      </c>
      <c r="G631" s="468">
        <v>1</v>
      </c>
      <c r="H631" s="468">
        <v>0</v>
      </c>
      <c r="I631" s="751"/>
      <c r="J631" s="789">
        <f>('Parâmetros financeiros Despesa'!E605)</f>
        <v>0</v>
      </c>
      <c r="K631" s="789">
        <f>('Parâmetros financeiros Despesa'!F605)*2.05+(('Parâmetros financeiros Despesa'!F605)*11.28)*(1+'Parâmetros financeiros Despesa'!F$4)*(1+'Parâmetros financeiros Despesa'!F$8)</f>
        <v>4186.7491680671183</v>
      </c>
      <c r="L631" s="799">
        <f t="shared" si="75"/>
        <v>2.7514883090019892E-3</v>
      </c>
      <c r="M631" s="894"/>
      <c r="N631" s="796"/>
      <c r="O631" s="733"/>
    </row>
    <row r="632" spans="1:15" s="115" customFormat="1" x14ac:dyDescent="0.25">
      <c r="A632" s="396"/>
      <c r="B632" s="1398" t="s">
        <v>10189</v>
      </c>
      <c r="C632" s="1398"/>
      <c r="D632" s="1398"/>
      <c r="E632" s="854">
        <v>333909300000000</v>
      </c>
      <c r="F632" s="855" t="s">
        <v>10174</v>
      </c>
      <c r="G632" s="468">
        <v>1</v>
      </c>
      <c r="H632" s="468">
        <v>0</v>
      </c>
      <c r="I632" s="751"/>
      <c r="J632" s="789">
        <f>('Parâmetros financeiros Despesa'!E606)</f>
        <v>0</v>
      </c>
      <c r="K632" s="789">
        <f>('Parâmetros financeiros Despesa'!F606)*(1+'Parâmetros financeiros Despesa'!F$4)*(1+'Parâmetros financeiros Despesa'!F$7)</f>
        <v>1635.4972500000001</v>
      </c>
      <c r="L632" s="799">
        <f t="shared" si="75"/>
        <v>1.0748318999147079E-3</v>
      </c>
      <c r="M632" s="894"/>
      <c r="N632" s="796"/>
      <c r="O632" s="733"/>
    </row>
    <row r="633" spans="1:15" s="115" customFormat="1" ht="30" x14ac:dyDescent="0.25">
      <c r="A633" s="396"/>
      <c r="B633" s="1398" t="s">
        <v>10190</v>
      </c>
      <c r="C633" s="1398"/>
      <c r="D633" s="1398"/>
      <c r="E633" s="854">
        <v>333933000000000</v>
      </c>
      <c r="F633" s="855" t="s">
        <v>10175</v>
      </c>
      <c r="G633" s="468">
        <v>1</v>
      </c>
      <c r="H633" s="468">
        <v>0</v>
      </c>
      <c r="I633" s="751"/>
      <c r="J633" s="789">
        <f>('Parâmetros financeiros Despesa'!E607)</f>
        <v>0</v>
      </c>
      <c r="K633" s="789">
        <f>('Parâmetros financeiros Despesa'!F607)*(1+'Parâmetros financeiros Despesa'!F$4)*(1+'Parâmetros financeiros Despesa'!F$7)</f>
        <v>5451.6575000000003</v>
      </c>
      <c r="L633" s="799">
        <f t="shared" si="75"/>
        <v>3.5827729997156932E-3</v>
      </c>
      <c r="M633" s="894"/>
      <c r="N633" s="796"/>
      <c r="O633" s="733"/>
    </row>
    <row r="634" spans="1:15" s="115" customFormat="1" x14ac:dyDescent="0.25">
      <c r="A634" s="396"/>
      <c r="B634" s="1398" t="s">
        <v>10191</v>
      </c>
      <c r="C634" s="1398"/>
      <c r="D634" s="1398"/>
      <c r="E634" s="854">
        <v>344905100000000</v>
      </c>
      <c r="F634" s="855" t="s">
        <v>10349</v>
      </c>
      <c r="G634" s="468">
        <v>1</v>
      </c>
      <c r="H634" s="468">
        <v>0</v>
      </c>
      <c r="I634" s="751"/>
      <c r="J634" s="789">
        <f>('Parâmetros financeiros Despesa'!E608)</f>
        <v>0</v>
      </c>
      <c r="K634" s="789">
        <f>('Parâmetros financeiros Despesa'!F608)*(1+'Parâmetros financeiros Despesa'!F$4)*(1+'Parâmetros financeiros Despesa'!F$7)</f>
        <v>5451.6575000000003</v>
      </c>
      <c r="L634" s="799">
        <f t="shared" ref="L634:L635" si="76">K634/K$720</f>
        <v>3.5827729997156932E-3</v>
      </c>
      <c r="M634" s="894"/>
      <c r="N634" s="796"/>
      <c r="O634" s="733"/>
    </row>
    <row r="635" spans="1:15" s="115" customFormat="1" x14ac:dyDescent="0.25">
      <c r="A635" s="396"/>
      <c r="B635" s="1004"/>
      <c r="C635" s="1004"/>
      <c r="D635" s="1004" t="s">
        <v>10350</v>
      </c>
      <c r="E635" s="854">
        <v>344905100000000</v>
      </c>
      <c r="F635" s="855" t="s">
        <v>10176</v>
      </c>
      <c r="G635" s="468">
        <v>1</v>
      </c>
      <c r="H635" s="468">
        <v>0</v>
      </c>
      <c r="I635" s="751"/>
      <c r="J635" s="789">
        <f>('Parâmetros financeiros Despesa'!E609)</f>
        <v>0</v>
      </c>
      <c r="K635" s="789">
        <f>('Parâmetros financeiros Despesa'!F609)*(1+'Parâmetros financeiros Despesa'!F$4)*(1+'Parâmetros financeiros Despesa'!F$7)</f>
        <v>5451.6575000000003</v>
      </c>
      <c r="L635" s="799">
        <f t="shared" si="76"/>
        <v>3.5827729997156932E-3</v>
      </c>
      <c r="M635" s="894"/>
      <c r="N635" s="796"/>
      <c r="O635" s="733"/>
    </row>
    <row r="636" spans="1:15" s="115" customFormat="1" x14ac:dyDescent="0.25">
      <c r="A636" s="396"/>
      <c r="B636" s="1385" t="s">
        <v>7445</v>
      </c>
      <c r="C636" s="1385"/>
      <c r="D636" s="1385"/>
      <c r="E636" s="1385"/>
      <c r="F636" s="1385"/>
      <c r="G636" s="401"/>
      <c r="H636" s="401"/>
      <c r="I636" s="426"/>
      <c r="J636" s="402">
        <f t="shared" ref="J636:K638" si="77">J637</f>
        <v>0</v>
      </c>
      <c r="K636" s="402">
        <f t="shared" si="77"/>
        <v>8286.509399999999</v>
      </c>
      <c r="L636" s="451">
        <f>K636/K$720</f>
        <v>5.4458083876711407E-3</v>
      </c>
      <c r="M636" s="894"/>
      <c r="O636" s="733"/>
    </row>
    <row r="637" spans="1:15" x14ac:dyDescent="0.25">
      <c r="A637" s="396"/>
      <c r="B637" s="1386" t="s">
        <v>7588</v>
      </c>
      <c r="C637" s="1386"/>
      <c r="D637" s="1386"/>
      <c r="E637" s="1386"/>
      <c r="F637" s="1386"/>
      <c r="G637" s="403"/>
      <c r="H637" s="403"/>
      <c r="I637" s="427"/>
      <c r="J637" s="404">
        <f t="shared" si="77"/>
        <v>0</v>
      </c>
      <c r="K637" s="404">
        <f t="shared" si="77"/>
        <v>8286.509399999999</v>
      </c>
      <c r="L637" s="799">
        <f>K637/K$720</f>
        <v>5.4458083876711407E-3</v>
      </c>
    </row>
    <row r="638" spans="1:15" x14ac:dyDescent="0.25">
      <c r="A638" s="396"/>
      <c r="B638" s="1382" t="s">
        <v>7283</v>
      </c>
      <c r="C638" s="1382"/>
      <c r="D638" s="1382"/>
      <c r="E638" s="1382"/>
      <c r="F638" s="1382"/>
      <c r="G638" s="405"/>
      <c r="H638" s="405"/>
      <c r="I638" s="428"/>
      <c r="J638" s="406">
        <f t="shared" si="77"/>
        <v>0</v>
      </c>
      <c r="K638" s="406">
        <f t="shared" si="77"/>
        <v>8286.509399999999</v>
      </c>
      <c r="L638" s="453">
        <f>K638/K$720</f>
        <v>5.4458083876711407E-3</v>
      </c>
    </row>
    <row r="639" spans="1:15" x14ac:dyDescent="0.25">
      <c r="A639" s="396"/>
      <c r="B639" s="1383" t="s">
        <v>7452</v>
      </c>
      <c r="C639" s="1383"/>
      <c r="D639" s="1383"/>
      <c r="E639" s="1383"/>
      <c r="F639" s="1383"/>
      <c r="G639" s="407"/>
      <c r="H639" s="407"/>
      <c r="I639" s="429"/>
      <c r="J639" s="408">
        <f>SUM(J640:J645)</f>
        <v>0</v>
      </c>
      <c r="K639" s="408">
        <f>SUM(K640:K645)-0.01</f>
        <v>8286.509399999999</v>
      </c>
      <c r="L639" s="454">
        <f>K639/K$720</f>
        <v>5.4458083876711407E-3</v>
      </c>
    </row>
    <row r="640" spans="1:15" x14ac:dyDescent="0.25">
      <c r="A640" s="397"/>
      <c r="B640" s="1396">
        <v>100000</v>
      </c>
      <c r="C640" s="1396"/>
      <c r="D640" s="1396"/>
      <c r="E640" s="854">
        <v>333903000000000</v>
      </c>
      <c r="F640" s="855" t="s">
        <v>7597</v>
      </c>
      <c r="G640" s="468">
        <v>1</v>
      </c>
      <c r="H640" s="468">
        <v>0</v>
      </c>
      <c r="I640" s="751"/>
      <c r="J640" s="789">
        <f>('Parâmetros financeiros Despesa'!E611+'Parâmetros financeiros Despesa'!E612)</f>
        <v>0</v>
      </c>
      <c r="K640" s="789">
        <f>('Parâmetros financeiros Despesa'!F611+'Parâmetros financeiros Despesa'!F612)*(1+'Parâmetros financeiros Despesa'!F$4)*(1+'Parâmetros financeiros Despesa'!F$7)</f>
        <v>2180.663</v>
      </c>
      <c r="L640" s="799">
        <f>K640/K$720</f>
        <v>1.4331091998862771E-3</v>
      </c>
      <c r="M640" s="894"/>
      <c r="N640" s="796"/>
    </row>
    <row r="641" spans="1:15" x14ac:dyDescent="0.25">
      <c r="A641" s="397"/>
      <c r="B641" s="1004"/>
      <c r="C641" s="1004"/>
      <c r="D641" s="1004" t="s">
        <v>7593</v>
      </c>
      <c r="E641" s="854">
        <v>333903600000000</v>
      </c>
      <c r="F641" s="855" t="s">
        <v>7602</v>
      </c>
      <c r="G641" s="468">
        <v>1</v>
      </c>
      <c r="H641" s="468">
        <v>0</v>
      </c>
      <c r="I641" s="751"/>
      <c r="J641" s="789">
        <f>('Parâmetros financeiros Despesa'!E613)</f>
        <v>0</v>
      </c>
      <c r="K641" s="789">
        <f>('Parâmetros financeiros Despesa'!F613)*(1+'Parâmetros financeiros Despesa'!F$4)*(1+'Parâmetros financeiros Despesa'!F$7)</f>
        <v>1090.3315</v>
      </c>
      <c r="L641" s="799">
        <f t="shared" ref="L641:L645" si="78">K641/K$720</f>
        <v>7.1655459994313857E-4</v>
      </c>
      <c r="M641" s="894"/>
      <c r="N641" s="796"/>
      <c r="O641" s="1006"/>
    </row>
    <row r="642" spans="1:15" x14ac:dyDescent="0.25">
      <c r="A642" s="397"/>
      <c r="B642" s="1398" t="s">
        <v>7594</v>
      </c>
      <c r="C642" s="1398"/>
      <c r="D642" s="1398"/>
      <c r="E642" s="854">
        <v>333903900000000</v>
      </c>
      <c r="F642" s="855" t="s">
        <v>7598</v>
      </c>
      <c r="G642" s="468">
        <v>1</v>
      </c>
      <c r="H642" s="468">
        <v>0</v>
      </c>
      <c r="I642" s="751"/>
      <c r="J642" s="789">
        <f>('Parâmetros financeiros Despesa'!E614+'Parâmetros financeiros Despesa'!E615)</f>
        <v>0</v>
      </c>
      <c r="K642" s="789">
        <f>('Parâmetros financeiros Despesa'!F614+'Parâmetros financeiros Despesa'!F615)*(1+'Parâmetros financeiros Despesa'!F$4)*(1+'Parâmetros financeiros Despesa'!F$7)</f>
        <v>2180.663</v>
      </c>
      <c r="L642" s="799">
        <f t="shared" si="78"/>
        <v>1.4331091998862771E-3</v>
      </c>
      <c r="M642" s="894"/>
      <c r="N642" s="796"/>
      <c r="O642" s="1006"/>
    </row>
    <row r="643" spans="1:15" x14ac:dyDescent="0.25">
      <c r="A643" s="397"/>
      <c r="B643" s="1398" t="s">
        <v>7595</v>
      </c>
      <c r="C643" s="1398"/>
      <c r="D643" s="1398"/>
      <c r="E643" s="854">
        <v>333904700000000</v>
      </c>
      <c r="F643" s="855" t="s">
        <v>7599</v>
      </c>
      <c r="G643" s="468">
        <v>1</v>
      </c>
      <c r="H643" s="468">
        <v>0</v>
      </c>
      <c r="I643" s="751"/>
      <c r="J643" s="789">
        <f>(('Parâmetros financeiros Despesa'!E612+'Parâmetros financeiros Despesa'!E613+'Parâmetros financeiros Despesa'!E615))</f>
        <v>0</v>
      </c>
      <c r="K643" s="789">
        <f>(('Parâmetros financeiros Despesa'!F612+'Parâmetros financeiros Despesa'!F613+'Parâmetros financeiros Despesa'!F615)*(1+'Parâmetros financeiros Despesa'!F$4)*(1+'Parâmetros financeiros Despesa'!F$7))*('Parâmetros financeiros Despesa'!F$83)</f>
        <v>654.19890000000009</v>
      </c>
      <c r="L643" s="799">
        <f t="shared" si="78"/>
        <v>4.2993275996588325E-4</v>
      </c>
      <c r="M643" s="894"/>
      <c r="N643" s="796"/>
      <c r="O643" s="1006"/>
    </row>
    <row r="644" spans="1:15" x14ac:dyDescent="0.25">
      <c r="A644" s="397"/>
      <c r="B644" s="1398" t="s">
        <v>7596</v>
      </c>
      <c r="C644" s="1398"/>
      <c r="D644" s="1398"/>
      <c r="E644" s="854">
        <v>344905100000000</v>
      </c>
      <c r="F644" s="855" t="s">
        <v>7601</v>
      </c>
      <c r="G644" s="468">
        <v>1</v>
      </c>
      <c r="H644" s="468">
        <v>0</v>
      </c>
      <c r="I644" s="751"/>
      <c r="J644" s="789">
        <f>('Parâmetros financeiros Despesa'!E616)</f>
        <v>0</v>
      </c>
      <c r="K644" s="789">
        <f>('Parâmetros financeiros Despesa'!F616)*(1+'Parâmetros financeiros Despesa'!F$4)*(1+'Parâmetros financeiros Despesa'!F$7)</f>
        <v>1090.3315</v>
      </c>
      <c r="L644" s="799">
        <f t="shared" si="78"/>
        <v>7.1655459994313857E-4</v>
      </c>
      <c r="M644" s="894"/>
      <c r="N644" s="796"/>
      <c r="O644" s="1006"/>
    </row>
    <row r="645" spans="1:15" x14ac:dyDescent="0.25">
      <c r="A645" s="397"/>
      <c r="B645" s="1398" t="s">
        <v>7596</v>
      </c>
      <c r="C645" s="1398"/>
      <c r="D645" s="1398"/>
      <c r="E645" s="854">
        <v>344905200000000</v>
      </c>
      <c r="F645" s="855" t="s">
        <v>7600</v>
      </c>
      <c r="G645" s="468">
        <v>1</v>
      </c>
      <c r="H645" s="468">
        <v>0</v>
      </c>
      <c r="I645" s="751"/>
      <c r="J645" s="789">
        <f>('Parâmetros financeiros Despesa'!E617)</f>
        <v>0</v>
      </c>
      <c r="K645" s="789">
        <f>('Parâmetros financeiros Despesa'!F617)*(1+'Parâmetros financeiros Despesa'!F$4)*(1+'Parâmetros financeiros Despesa'!F$7)</f>
        <v>1090.3315</v>
      </c>
      <c r="L645" s="799">
        <f t="shared" si="78"/>
        <v>7.1655459994313857E-4</v>
      </c>
      <c r="M645" s="894"/>
      <c r="N645" s="796"/>
      <c r="O645" s="1006"/>
    </row>
    <row r="646" spans="1:15" s="115" customFormat="1" x14ac:dyDescent="0.25">
      <c r="A646" s="396"/>
      <c r="B646" s="1385" t="s">
        <v>7445</v>
      </c>
      <c r="C646" s="1385"/>
      <c r="D646" s="1385"/>
      <c r="E646" s="1385"/>
      <c r="F646" s="1385"/>
      <c r="G646" s="401"/>
      <c r="H646" s="401"/>
      <c r="I646" s="426"/>
      <c r="J646" s="402">
        <f t="shared" ref="J646:K648" si="79">J647</f>
        <v>4807.51</v>
      </c>
      <c r="K646" s="402">
        <f t="shared" si="79"/>
        <v>279558.92258625</v>
      </c>
      <c r="L646" s="451">
        <f>K646/K$720</f>
        <v>0.1837232364050064</v>
      </c>
      <c r="M646" s="894"/>
    </row>
    <row r="647" spans="1:15" x14ac:dyDescent="0.25">
      <c r="A647" s="396"/>
      <c r="B647" s="1386" t="s">
        <v>7589</v>
      </c>
      <c r="C647" s="1386"/>
      <c r="D647" s="1386"/>
      <c r="E647" s="1386"/>
      <c r="F647" s="1386"/>
      <c r="G647" s="403"/>
      <c r="H647" s="403"/>
      <c r="I647" s="427"/>
      <c r="J647" s="404">
        <f t="shared" si="79"/>
        <v>4807.51</v>
      </c>
      <c r="K647" s="404">
        <f t="shared" si="79"/>
        <v>279558.92258625</v>
      </c>
      <c r="L647" s="799">
        <f>K647/K$720</f>
        <v>0.1837232364050064</v>
      </c>
      <c r="O647" s="1006"/>
    </row>
    <row r="648" spans="1:15" x14ac:dyDescent="0.25">
      <c r="A648" s="396"/>
      <c r="B648" s="1382" t="s">
        <v>7283</v>
      </c>
      <c r="C648" s="1382"/>
      <c r="D648" s="1382"/>
      <c r="E648" s="1382"/>
      <c r="F648" s="1382"/>
      <c r="G648" s="405"/>
      <c r="H648" s="405"/>
      <c r="I648" s="428"/>
      <c r="J648" s="406">
        <f t="shared" si="79"/>
        <v>4807.51</v>
      </c>
      <c r="K648" s="406">
        <f t="shared" si="79"/>
        <v>279558.92258625</v>
      </c>
      <c r="L648" s="453">
        <f>K648/K$720</f>
        <v>0.1837232364050064</v>
      </c>
      <c r="O648" s="1006"/>
    </row>
    <row r="649" spans="1:15" x14ac:dyDescent="0.25">
      <c r="A649" s="396"/>
      <c r="B649" s="1383" t="s">
        <v>7452</v>
      </c>
      <c r="C649" s="1383"/>
      <c r="D649" s="1383"/>
      <c r="E649" s="1383"/>
      <c r="F649" s="1383"/>
      <c r="G649" s="407"/>
      <c r="H649" s="407"/>
      <c r="I649" s="429"/>
      <c r="J649" s="408">
        <f>SUM(J650:J663)+0.01</f>
        <v>4807.51</v>
      </c>
      <c r="K649" s="408">
        <f>SUM(K650:K663)+0.01</f>
        <v>279558.92258625</v>
      </c>
      <c r="L649" s="454">
        <f>K649/K$720</f>
        <v>0.1837232364050064</v>
      </c>
      <c r="O649" s="1006"/>
    </row>
    <row r="650" spans="1:15" s="115" customFormat="1" x14ac:dyDescent="0.25">
      <c r="A650" s="396"/>
      <c r="B650" s="1396">
        <v>101000</v>
      </c>
      <c r="C650" s="1396"/>
      <c r="D650" s="1396"/>
      <c r="E650" s="854">
        <v>333903000000000</v>
      </c>
      <c r="F650" s="855" t="s">
        <v>7626</v>
      </c>
      <c r="G650" s="468">
        <v>1</v>
      </c>
      <c r="H650" s="468">
        <v>0</v>
      </c>
      <c r="I650" s="751"/>
      <c r="J650" s="789">
        <f>('Parâmetros financeiros Despesa'!E619+'Parâmetros financeiros Despesa'!E620)</f>
        <v>1717.5</v>
      </c>
      <c r="K650" s="789">
        <f>('Parâmetros financeiros Despesa'!F619+'Parâmetros financeiros Despesa'!F620)*(1+'Parâmetros financeiros Despesa'!F$4)*(1+'Parâmetros financeiros Despesa'!F$7)</f>
        <v>5143.6388512500007</v>
      </c>
      <c r="L650" s="799">
        <f>K650/K$720</f>
        <v>3.3803463252317567E-3</v>
      </c>
      <c r="M650" s="894"/>
      <c r="N650" s="796"/>
    </row>
    <row r="651" spans="1:15" s="115" customFormat="1" x14ac:dyDescent="0.25">
      <c r="A651" s="396"/>
      <c r="B651" s="1004"/>
      <c r="C651" s="1004"/>
      <c r="D651" s="1004" t="s">
        <v>7620</v>
      </c>
      <c r="E651" s="854">
        <v>333903600000000</v>
      </c>
      <c r="F651" s="855" t="s">
        <v>7628</v>
      </c>
      <c r="G651" s="468">
        <v>1</v>
      </c>
      <c r="H651" s="468">
        <v>0</v>
      </c>
      <c r="I651" s="751"/>
      <c r="J651" s="789">
        <f>('Parâmetros financeiros Despesa'!E621)</f>
        <v>0</v>
      </c>
      <c r="K651" s="789">
        <f>('Parâmetros financeiros Despesa'!F621)*(1+'Parâmetros financeiros Despesa'!F$4)*(1+'Parâmetros financeiros Despesa'!F$7)</f>
        <v>5451.6575000000003</v>
      </c>
      <c r="L651" s="799">
        <f t="shared" ref="L651:L663" si="80">K651/K$720</f>
        <v>3.5827729997156932E-3</v>
      </c>
      <c r="M651" s="894"/>
      <c r="N651" s="796"/>
    </row>
    <row r="652" spans="1:15" s="115" customFormat="1" x14ac:dyDescent="0.25">
      <c r="A652" s="396"/>
      <c r="B652" s="1398" t="s">
        <v>7621</v>
      </c>
      <c r="C652" s="1398"/>
      <c r="D652" s="1398"/>
      <c r="E652" s="854">
        <v>333903900000000</v>
      </c>
      <c r="F652" s="855" t="s">
        <v>7629</v>
      </c>
      <c r="G652" s="468">
        <v>1</v>
      </c>
      <c r="H652" s="468">
        <v>0</v>
      </c>
      <c r="I652" s="751"/>
      <c r="J652" s="789">
        <f>('Parâmetros financeiros Despesa'!E622+'Parâmetros financeiros Despesa'!E623)</f>
        <v>3090</v>
      </c>
      <c r="K652" s="789">
        <f>('Parâmetros financeiros Despesa'!F622+'Parâmetros financeiros Despesa'!F623)*(1+'Parâmetros financeiros Despesa'!F$4)*(1+'Parâmetros financeiros Despesa'!F$7)</f>
        <v>8820.7818349999998</v>
      </c>
      <c r="L652" s="799">
        <f t="shared" si="80"/>
        <v>5.796926713539991E-3</v>
      </c>
      <c r="M652" s="894"/>
      <c r="N652" s="796"/>
    </row>
    <row r="653" spans="1:15" s="115" customFormat="1" x14ac:dyDescent="0.25">
      <c r="A653" s="396"/>
      <c r="B653" s="1398" t="s">
        <v>7622</v>
      </c>
      <c r="C653" s="1398"/>
      <c r="D653" s="1398"/>
      <c r="E653" s="854">
        <v>333904700000000</v>
      </c>
      <c r="F653" s="855" t="s">
        <v>7627</v>
      </c>
      <c r="G653" s="468">
        <v>1</v>
      </c>
      <c r="H653" s="468">
        <v>0</v>
      </c>
      <c r="I653" s="751"/>
      <c r="J653" s="789">
        <f>(('Parâmetros financeiros Despesa'!E620+'Parâmetros financeiros Despesa'!E621+'Parâmetros financeiros Despesa'!E623))</f>
        <v>0</v>
      </c>
      <c r="K653" s="789">
        <f>(('Parâmetros financeiros Despesa'!F620+'Parâmetros financeiros Despesa'!F621+'Parâmetros financeiros Despesa'!F623)*(1+'Parâmetros financeiros Despesa'!F$4)*(1+'Parâmetros financeiros Despesa'!F$7))*('Parâmetros financeiros Despesa'!F$83)</f>
        <v>2834.8619000000003</v>
      </c>
      <c r="L653" s="799">
        <f t="shared" si="80"/>
        <v>1.8630419598521606E-3</v>
      </c>
      <c r="M653" s="894"/>
      <c r="N653" s="796"/>
    </row>
    <row r="654" spans="1:15" s="115" customFormat="1" ht="30" x14ac:dyDescent="0.25">
      <c r="A654" s="396"/>
      <c r="B654" s="1004"/>
      <c r="C654" s="1004"/>
      <c r="D654" s="1004" t="s">
        <v>7623</v>
      </c>
      <c r="E654" s="854">
        <v>344209300000000</v>
      </c>
      <c r="F654" s="855" t="s">
        <v>10302</v>
      </c>
      <c r="G654" s="468">
        <v>1157</v>
      </c>
      <c r="H654" s="468">
        <v>0</v>
      </c>
      <c r="I654" s="751"/>
      <c r="J654" s="789">
        <f>'Parâmetros financeiros Despesa'!E624</f>
        <v>0</v>
      </c>
      <c r="K654" s="789">
        <f>'Parâmetros financeiros Despesa'!F624</f>
        <v>1</v>
      </c>
      <c r="L654" s="799">
        <f t="shared" si="80"/>
        <v>6.5718967116252132E-7</v>
      </c>
      <c r="M654" s="894"/>
    </row>
    <row r="655" spans="1:15" s="115" customFormat="1" x14ac:dyDescent="0.25">
      <c r="A655" s="396"/>
      <c r="B655" s="1004"/>
      <c r="C655" s="1004"/>
      <c r="D655" s="1004" t="s">
        <v>7624</v>
      </c>
      <c r="E655" s="854">
        <v>344309300000000</v>
      </c>
      <c r="F655" s="855" t="s">
        <v>10303</v>
      </c>
      <c r="G655" s="468">
        <v>1159</v>
      </c>
      <c r="H655" s="468">
        <v>0</v>
      </c>
      <c r="I655" s="751"/>
      <c r="J655" s="789">
        <f>'Parâmetros financeiros Despesa'!E625</f>
        <v>0</v>
      </c>
      <c r="K655" s="789">
        <f>'Parâmetros financeiros Despesa'!F625</f>
        <v>1</v>
      </c>
      <c r="L655" s="799">
        <f t="shared" si="80"/>
        <v>6.5718967116252132E-7</v>
      </c>
      <c r="M655" s="894"/>
    </row>
    <row r="656" spans="1:15" s="115" customFormat="1" ht="30" x14ac:dyDescent="0.25">
      <c r="A656" s="396"/>
      <c r="B656" s="1004"/>
      <c r="C656" s="1004"/>
      <c r="D656" s="1004" t="s">
        <v>7636</v>
      </c>
      <c r="E656" s="854">
        <v>344309300000000</v>
      </c>
      <c r="F656" s="855" t="s">
        <v>10304</v>
      </c>
      <c r="G656" s="468">
        <v>1159</v>
      </c>
      <c r="H656" s="468">
        <v>0</v>
      </c>
      <c r="I656" s="751"/>
      <c r="J656" s="789">
        <f>'Parâmetros financeiros Despesa'!E626</f>
        <v>0</v>
      </c>
      <c r="K656" s="789">
        <f>'Parâmetros financeiros Despesa'!F626</f>
        <v>1</v>
      </c>
      <c r="L656" s="799">
        <f t="shared" si="80"/>
        <v>6.5718967116252132E-7</v>
      </c>
      <c r="M656" s="894"/>
    </row>
    <row r="657" spans="1:15" s="115" customFormat="1" x14ac:dyDescent="0.25">
      <c r="A657" s="396"/>
      <c r="B657" s="1398" t="s">
        <v>7637</v>
      </c>
      <c r="C657" s="1398"/>
      <c r="D657" s="1398"/>
      <c r="E657" s="854">
        <v>344905100000000</v>
      </c>
      <c r="F657" s="855" t="s">
        <v>7630</v>
      </c>
      <c r="G657" s="468">
        <v>1</v>
      </c>
      <c r="H657" s="468">
        <v>0</v>
      </c>
      <c r="I657" s="751"/>
      <c r="J657" s="789">
        <f>('Parâmetros financeiros Despesa'!E627)</f>
        <v>0</v>
      </c>
      <c r="K657" s="789">
        <f>('Parâmetros financeiros Despesa'!F627)*(1+'Parâmetros financeiros Despesa'!F$4)*(1+'Parâmetros financeiros Despesa'!F$7)</f>
        <v>10903.315000000001</v>
      </c>
      <c r="L657" s="799">
        <f t="shared" si="80"/>
        <v>7.1655459994313863E-3</v>
      </c>
      <c r="M657" s="894"/>
      <c r="N657" s="796"/>
    </row>
    <row r="658" spans="1:15" s="115" customFormat="1" x14ac:dyDescent="0.25">
      <c r="A658" s="396"/>
      <c r="B658" s="1398" t="s">
        <v>7639</v>
      </c>
      <c r="C658" s="1398"/>
      <c r="D658" s="1398"/>
      <c r="E658" s="854">
        <v>344905200000000</v>
      </c>
      <c r="F658" s="855" t="s">
        <v>7631</v>
      </c>
      <c r="G658" s="468">
        <v>1</v>
      </c>
      <c r="H658" s="468">
        <v>0</v>
      </c>
      <c r="I658" s="751"/>
      <c r="J658" s="789">
        <f>('Parâmetros financeiros Despesa'!E628)</f>
        <v>0</v>
      </c>
      <c r="K658" s="789">
        <f>('Parâmetros financeiros Despesa'!F628)*(1+'Parâmetros financeiros Despesa'!F$4)*(1+'Parâmetros financeiros Despesa'!F$7)</f>
        <v>5451.6575000000003</v>
      </c>
      <c r="L658" s="799">
        <f t="shared" si="80"/>
        <v>3.5827729997156932E-3</v>
      </c>
      <c r="M658" s="894"/>
      <c r="N658" s="796"/>
    </row>
    <row r="659" spans="1:15" s="115" customFormat="1" x14ac:dyDescent="0.25">
      <c r="A659" s="396"/>
      <c r="B659" s="1004"/>
      <c r="C659" s="1004"/>
      <c r="D659" s="1004" t="s">
        <v>7641</v>
      </c>
      <c r="E659" s="854">
        <v>344905200000000</v>
      </c>
      <c r="F659" s="855" t="s">
        <v>7643</v>
      </c>
      <c r="G659" s="468">
        <v>1</v>
      </c>
      <c r="H659" s="468">
        <v>0</v>
      </c>
      <c r="I659" s="751"/>
      <c r="J659" s="789">
        <f>'Parâmetros financeiros Despesa'!E629</f>
        <v>0</v>
      </c>
      <c r="K659" s="789">
        <f>'Parâmetros financeiros Despesa'!F629</f>
        <v>11778</v>
      </c>
      <c r="L659" s="799">
        <f t="shared" si="80"/>
        <v>7.7403799469521759E-3</v>
      </c>
      <c r="M659" s="894"/>
      <c r="N659" s="796"/>
      <c r="O659" s="733"/>
    </row>
    <row r="660" spans="1:15" s="115" customFormat="1" x14ac:dyDescent="0.25">
      <c r="A660" s="396"/>
      <c r="B660" s="1004"/>
      <c r="C660" s="1004"/>
      <c r="D660" s="1004" t="s">
        <v>7642</v>
      </c>
      <c r="E660" s="854">
        <v>344905200000000</v>
      </c>
      <c r="F660" s="855" t="s">
        <v>7644</v>
      </c>
      <c r="G660" s="468">
        <v>1</v>
      </c>
      <c r="H660" s="468">
        <v>0</v>
      </c>
      <c r="I660" s="751"/>
      <c r="J660" s="789">
        <f>'Parâmetros financeiros Despesa'!E630</f>
        <v>0</v>
      </c>
      <c r="K660" s="789">
        <f>'Parâmetros financeiros Despesa'!F630</f>
        <v>8775</v>
      </c>
      <c r="L660" s="799">
        <f t="shared" si="80"/>
        <v>5.7668393644511248E-3</v>
      </c>
      <c r="M660" s="894"/>
      <c r="N660" s="796"/>
    </row>
    <row r="661" spans="1:15" s="115" customFormat="1" x14ac:dyDescent="0.25">
      <c r="A661" s="396"/>
      <c r="B661" s="1398" t="s">
        <v>7632</v>
      </c>
      <c r="C661" s="1398"/>
      <c r="D661" s="1398"/>
      <c r="E661" s="854">
        <v>344905200000000</v>
      </c>
      <c r="F661" s="855" t="s">
        <v>7635</v>
      </c>
      <c r="G661" s="468">
        <v>1159</v>
      </c>
      <c r="H661" s="468">
        <v>0</v>
      </c>
      <c r="I661" s="751"/>
      <c r="J661" s="789">
        <f>'Parâmetros financeiros Despesa'!E631</f>
        <v>0</v>
      </c>
      <c r="K661" s="789">
        <f>'Parâmetros financeiros Despesa'!F631</f>
        <v>70199</v>
      </c>
      <c r="L661" s="799">
        <f t="shared" si="80"/>
        <v>4.613405772593783E-2</v>
      </c>
      <c r="M661" s="894"/>
    </row>
    <row r="662" spans="1:15" s="115" customFormat="1" x14ac:dyDescent="0.25">
      <c r="A662" s="396"/>
      <c r="B662" s="1398" t="s">
        <v>7633</v>
      </c>
      <c r="C662" s="1398"/>
      <c r="D662" s="1398"/>
      <c r="E662" s="854">
        <v>344905200000000</v>
      </c>
      <c r="F662" s="855" t="s">
        <v>7638</v>
      </c>
      <c r="G662" s="468">
        <v>1159</v>
      </c>
      <c r="H662" s="468">
        <v>0</v>
      </c>
      <c r="I662" s="751"/>
      <c r="J662" s="789">
        <f>'Parâmetros financeiros Despesa'!E632</f>
        <v>0</v>
      </c>
      <c r="K662" s="789">
        <f>'Parâmetros financeiros Despesa'!F632</f>
        <v>50099</v>
      </c>
      <c r="L662" s="799">
        <f t="shared" si="80"/>
        <v>3.2924545335571154E-2</v>
      </c>
      <c r="M662" s="894"/>
    </row>
    <row r="663" spans="1:15" s="115" customFormat="1" x14ac:dyDescent="0.25">
      <c r="A663" s="396"/>
      <c r="B663" s="1004"/>
      <c r="C663" s="1004"/>
      <c r="D663" s="1004" t="s">
        <v>7634</v>
      </c>
      <c r="E663" s="854">
        <v>344905200000000</v>
      </c>
      <c r="F663" s="855" t="s">
        <v>7640</v>
      </c>
      <c r="G663" s="468">
        <v>1157</v>
      </c>
      <c r="H663" s="468">
        <v>0</v>
      </c>
      <c r="I663" s="751"/>
      <c r="J663" s="789">
        <f>'Parâmetros financeiros Despesa'!E633</f>
        <v>0</v>
      </c>
      <c r="K663" s="789">
        <f>'Parâmetros financeiros Despesa'!F633</f>
        <v>100099</v>
      </c>
      <c r="L663" s="799">
        <f t="shared" si="80"/>
        <v>6.5784028893697222E-2</v>
      </c>
      <c r="M663" s="894"/>
    </row>
    <row r="664" spans="1:15" s="115" customFormat="1" x14ac:dyDescent="0.25">
      <c r="A664" s="396"/>
      <c r="B664" s="1385" t="s">
        <v>7445</v>
      </c>
      <c r="C664" s="1385"/>
      <c r="D664" s="1385"/>
      <c r="E664" s="1385"/>
      <c r="F664" s="1385"/>
      <c r="G664" s="401"/>
      <c r="H664" s="401"/>
      <c r="I664" s="426"/>
      <c r="J664" s="402">
        <f t="shared" ref="J664:K666" si="81">J665</f>
        <v>0</v>
      </c>
      <c r="K664" s="402">
        <f t="shared" si="81"/>
        <v>31837.6898</v>
      </c>
      <c r="L664" s="451">
        <f>K664/K$720</f>
        <v>2.0923400890236359E-2</v>
      </c>
      <c r="M664" s="894"/>
    </row>
    <row r="665" spans="1:15" x14ac:dyDescent="0.25">
      <c r="A665" s="396"/>
      <c r="B665" s="1386" t="s">
        <v>7590</v>
      </c>
      <c r="C665" s="1386"/>
      <c r="D665" s="1386"/>
      <c r="E665" s="1386"/>
      <c r="F665" s="1386"/>
      <c r="G665" s="403"/>
      <c r="H665" s="403"/>
      <c r="I665" s="427"/>
      <c r="J665" s="404">
        <f t="shared" si="81"/>
        <v>0</v>
      </c>
      <c r="K665" s="404">
        <f t="shared" si="81"/>
        <v>31837.6898</v>
      </c>
      <c r="L665" s="799">
        <f>K665/K$720</f>
        <v>2.0923400890236359E-2</v>
      </c>
      <c r="O665" s="1006"/>
    </row>
    <row r="666" spans="1:15" x14ac:dyDescent="0.25">
      <c r="A666" s="396"/>
      <c r="B666" s="1382" t="s">
        <v>7283</v>
      </c>
      <c r="C666" s="1382"/>
      <c r="D666" s="1382"/>
      <c r="E666" s="1382"/>
      <c r="F666" s="1382"/>
      <c r="G666" s="405"/>
      <c r="H666" s="405"/>
      <c r="I666" s="428"/>
      <c r="J666" s="406">
        <f t="shared" si="81"/>
        <v>0</v>
      </c>
      <c r="K666" s="406">
        <f t="shared" si="81"/>
        <v>31837.6898</v>
      </c>
      <c r="L666" s="453">
        <f>K666/K$720</f>
        <v>2.0923400890236359E-2</v>
      </c>
      <c r="O666" s="1006"/>
    </row>
    <row r="667" spans="1:15" x14ac:dyDescent="0.25">
      <c r="A667" s="396"/>
      <c r="B667" s="1383" t="s">
        <v>7452</v>
      </c>
      <c r="C667" s="1383"/>
      <c r="D667" s="1383"/>
      <c r="E667" s="1383"/>
      <c r="F667" s="1383"/>
      <c r="G667" s="407"/>
      <c r="H667" s="407"/>
      <c r="I667" s="429"/>
      <c r="J667" s="408">
        <f>SUM(J668:J673)</f>
        <v>0</v>
      </c>
      <c r="K667" s="408">
        <f>SUM(K668:K673)+0.01</f>
        <v>31837.6898</v>
      </c>
      <c r="L667" s="454">
        <f>K667/K$720</f>
        <v>2.0923400890236359E-2</v>
      </c>
      <c r="O667" s="1006"/>
    </row>
    <row r="668" spans="1:15" s="115" customFormat="1" x14ac:dyDescent="0.25">
      <c r="A668" s="396"/>
      <c r="B668" s="1396">
        <v>105000</v>
      </c>
      <c r="C668" s="1396"/>
      <c r="D668" s="1396"/>
      <c r="E668" s="854">
        <v>333903000000000</v>
      </c>
      <c r="F668" s="855" t="s">
        <v>7495</v>
      </c>
      <c r="G668" s="468">
        <v>1</v>
      </c>
      <c r="H668" s="468">
        <v>0</v>
      </c>
      <c r="I668" s="751"/>
      <c r="J668" s="789">
        <f>('Parâmetros financeiros Despesa'!E635+'Parâmetros financeiros Despesa'!E636)</f>
        <v>0</v>
      </c>
      <c r="K668" s="789">
        <f>('Parâmetros financeiros Despesa'!F635+'Parâmetros financeiros Despesa'!F636)*(1+'Parâmetros financeiros Despesa'!F$4)*(1+'Parâmetros financeiros Despesa'!F$7)</f>
        <v>2180.663</v>
      </c>
      <c r="L668" s="799">
        <f>K668/K$720</f>
        <v>1.4331091998862771E-3</v>
      </c>
      <c r="M668" s="894"/>
      <c r="N668" s="796"/>
    </row>
    <row r="669" spans="1:15" s="115" customFormat="1" x14ac:dyDescent="0.25">
      <c r="A669" s="396"/>
      <c r="B669" s="1004"/>
      <c r="C669" s="1004"/>
      <c r="D669" s="1004" t="s">
        <v>7645</v>
      </c>
      <c r="E669" s="854">
        <v>333903600000000</v>
      </c>
      <c r="F669" s="855" t="s">
        <v>7496</v>
      </c>
      <c r="G669" s="468">
        <v>1</v>
      </c>
      <c r="H669" s="468">
        <v>0</v>
      </c>
      <c r="I669" s="751"/>
      <c r="J669" s="789">
        <f>('Parâmetros financeiros Despesa'!E637)</f>
        <v>0</v>
      </c>
      <c r="K669" s="789">
        <f>('Parâmetros financeiros Despesa'!F637)*(1+'Parâmetros financeiros Despesa'!F$4)*(1+'Parâmetros financeiros Despesa'!F$7)</f>
        <v>5451.6575000000003</v>
      </c>
      <c r="L669" s="799">
        <f t="shared" ref="L669:L673" si="82">K669/K$720</f>
        <v>3.5827729997156932E-3</v>
      </c>
      <c r="M669" s="894"/>
      <c r="N669" s="796"/>
    </row>
    <row r="670" spans="1:15" s="115" customFormat="1" x14ac:dyDescent="0.25">
      <c r="A670" s="396"/>
      <c r="B670" s="1398" t="s">
        <v>7646</v>
      </c>
      <c r="C670" s="1398"/>
      <c r="D670" s="1398"/>
      <c r="E670" s="854">
        <v>333903900000000</v>
      </c>
      <c r="F670" s="855" t="s">
        <v>7660</v>
      </c>
      <c r="G670" s="468">
        <v>1</v>
      </c>
      <c r="H670" s="468">
        <v>0</v>
      </c>
      <c r="I670" s="751"/>
      <c r="J670" s="789">
        <f>('Parâmetros financeiros Despesa'!E638+'Parâmetros financeiros Despesa'!E639)</f>
        <v>0</v>
      </c>
      <c r="K670" s="789">
        <f>('Parâmetros financeiros Despesa'!F638+'Parâmetros financeiros Despesa'!F639)*(1+'Parâmetros financeiros Despesa'!F$4)*(1+'Parâmetros financeiros Despesa'!F$7)</f>
        <v>10903.315000000001</v>
      </c>
      <c r="L670" s="799">
        <f t="shared" si="82"/>
        <v>7.1655459994313863E-3</v>
      </c>
      <c r="M670" s="894"/>
      <c r="N670" s="796"/>
    </row>
    <row r="671" spans="1:15" s="115" customFormat="1" x14ac:dyDescent="0.25">
      <c r="A671" s="396"/>
      <c r="B671" s="1398" t="s">
        <v>7647</v>
      </c>
      <c r="C671" s="1398"/>
      <c r="D671" s="1398"/>
      <c r="E671" s="854">
        <v>333904700000000</v>
      </c>
      <c r="F671" s="855" t="s">
        <v>7661</v>
      </c>
      <c r="G671" s="468">
        <v>1</v>
      </c>
      <c r="H671" s="468">
        <v>0</v>
      </c>
      <c r="I671" s="751"/>
      <c r="J671" s="789">
        <f>(('Parâmetros financeiros Despesa'!E636+'Parâmetros financeiros Despesa'!E637+'Parâmetros financeiros Despesa'!E639))</f>
        <v>0</v>
      </c>
      <c r="K671" s="789">
        <f>(('Parâmetros financeiros Despesa'!F636+'Parâmetros financeiros Despesa'!F637+'Parâmetros financeiros Despesa'!F639)*(1+'Parâmetros financeiros Despesa'!F$4)*(1+'Parâmetros financeiros Despesa'!F$7))*('Parâmetros financeiros Despesa'!F$83)</f>
        <v>2398.7293000000004</v>
      </c>
      <c r="L671" s="799">
        <f t="shared" si="82"/>
        <v>1.5764201198749052E-3</v>
      </c>
      <c r="M671" s="894"/>
      <c r="N671" s="796"/>
    </row>
    <row r="672" spans="1:15" s="115" customFormat="1" x14ac:dyDescent="0.25">
      <c r="A672" s="396"/>
      <c r="B672" s="1398" t="s">
        <v>7648</v>
      </c>
      <c r="C672" s="1398"/>
      <c r="D672" s="1398"/>
      <c r="E672" s="854">
        <v>344905100000000</v>
      </c>
      <c r="F672" s="855" t="s">
        <v>7662</v>
      </c>
      <c r="G672" s="468">
        <v>1</v>
      </c>
      <c r="H672" s="468">
        <v>0</v>
      </c>
      <c r="I672" s="751"/>
      <c r="J672" s="789">
        <f>('Parâmetros financeiros Despesa'!E640)</f>
        <v>0</v>
      </c>
      <c r="K672" s="789">
        <f>('Parâmetros financeiros Despesa'!F640)*(1+'Parâmetros financeiros Despesa'!F$4)*(1+'Parâmetros financeiros Despesa'!F$7)</f>
        <v>5451.6575000000003</v>
      </c>
      <c r="L672" s="799">
        <f t="shared" si="82"/>
        <v>3.5827729997156932E-3</v>
      </c>
      <c r="M672" s="894"/>
      <c r="N672" s="796"/>
    </row>
    <row r="673" spans="1:15" s="115" customFormat="1" x14ac:dyDescent="0.25">
      <c r="A673" s="396"/>
      <c r="B673" s="1398" t="s">
        <v>7649</v>
      </c>
      <c r="C673" s="1398"/>
      <c r="D673" s="1398"/>
      <c r="E673" s="854">
        <v>344905200000000</v>
      </c>
      <c r="F673" s="855" t="s">
        <v>7663</v>
      </c>
      <c r="G673" s="468">
        <v>1</v>
      </c>
      <c r="H673" s="468">
        <v>0</v>
      </c>
      <c r="I673" s="751"/>
      <c r="J673" s="789">
        <f>('Parâmetros financeiros Despesa'!E641)</f>
        <v>0</v>
      </c>
      <c r="K673" s="789">
        <f>('Parâmetros financeiros Despesa'!F641)*(1+'Parâmetros financeiros Despesa'!F$4)*(1+'Parâmetros financeiros Despesa'!F$7)</f>
        <v>5451.6575000000003</v>
      </c>
      <c r="L673" s="799">
        <f t="shared" si="82"/>
        <v>3.5827729997156932E-3</v>
      </c>
      <c r="M673" s="894"/>
      <c r="N673" s="796"/>
    </row>
    <row r="674" spans="1:15" s="115" customFormat="1" x14ac:dyDescent="0.25">
      <c r="A674" s="396"/>
      <c r="B674" s="1385" t="s">
        <v>7445</v>
      </c>
      <c r="C674" s="1385"/>
      <c r="D674" s="1385"/>
      <c r="E674" s="1385"/>
      <c r="F674" s="1385"/>
      <c r="G674" s="401"/>
      <c r="H674" s="401"/>
      <c r="I674" s="426"/>
      <c r="J674" s="402">
        <f t="shared" ref="J674:K676" si="83">J675</f>
        <v>23760.35</v>
      </c>
      <c r="K674" s="402">
        <f t="shared" si="83"/>
        <v>34302.200606024991</v>
      </c>
      <c r="L674" s="451">
        <f>K674/K$720</f>
        <v>2.2543051936424405E-2</v>
      </c>
      <c r="M674" s="894"/>
    </row>
    <row r="675" spans="1:15" x14ac:dyDescent="0.25">
      <c r="A675" s="396"/>
      <c r="B675" s="1386" t="s">
        <v>7591</v>
      </c>
      <c r="C675" s="1386"/>
      <c r="D675" s="1386"/>
      <c r="E675" s="1386"/>
      <c r="F675" s="1386"/>
      <c r="G675" s="403"/>
      <c r="H675" s="403"/>
      <c r="I675" s="427"/>
      <c r="J675" s="404">
        <f t="shared" si="83"/>
        <v>23760.35</v>
      </c>
      <c r="K675" s="404">
        <f t="shared" si="83"/>
        <v>34302.200606024991</v>
      </c>
      <c r="L675" s="799">
        <f>K675/K$720</f>
        <v>2.2543051936424405E-2</v>
      </c>
      <c r="O675" s="1006"/>
    </row>
    <row r="676" spans="1:15" x14ac:dyDescent="0.25">
      <c r="A676" s="396"/>
      <c r="B676" s="1382" t="s">
        <v>7283</v>
      </c>
      <c r="C676" s="1382"/>
      <c r="D676" s="1382"/>
      <c r="E676" s="1382"/>
      <c r="F676" s="1382"/>
      <c r="G676" s="405"/>
      <c r="H676" s="405"/>
      <c r="I676" s="428"/>
      <c r="J676" s="406">
        <f t="shared" si="83"/>
        <v>23760.35</v>
      </c>
      <c r="K676" s="406">
        <f t="shared" si="83"/>
        <v>34302.200606024991</v>
      </c>
      <c r="L676" s="453">
        <f>K676/K$720</f>
        <v>2.2543051936424405E-2</v>
      </c>
      <c r="O676" s="1006"/>
    </row>
    <row r="677" spans="1:15" x14ac:dyDescent="0.25">
      <c r="A677" s="396"/>
      <c r="B677" s="1383" t="s">
        <v>7452</v>
      </c>
      <c r="C677" s="1383"/>
      <c r="D677" s="1383"/>
      <c r="E677" s="1383"/>
      <c r="F677" s="1383"/>
      <c r="G677" s="407"/>
      <c r="H677" s="407"/>
      <c r="I677" s="429"/>
      <c r="J677" s="408">
        <f>SUM(J678:J685)</f>
        <v>23760.35</v>
      </c>
      <c r="K677" s="408">
        <f>SUM(K678:K685)-0.01</f>
        <v>34302.200606024991</v>
      </c>
      <c r="L677" s="454">
        <f>K677/K$720</f>
        <v>2.2543051936424405E-2</v>
      </c>
    </row>
    <row r="678" spans="1:15" x14ac:dyDescent="0.25">
      <c r="A678" s="397"/>
      <c r="B678" s="1396">
        <v>106000</v>
      </c>
      <c r="C678" s="1396"/>
      <c r="D678" s="1396"/>
      <c r="E678" s="854">
        <v>333604500000000</v>
      </c>
      <c r="F678" s="855" t="s">
        <v>7653</v>
      </c>
      <c r="G678" s="468">
        <v>1</v>
      </c>
      <c r="H678" s="468">
        <v>0</v>
      </c>
      <c r="I678" s="751"/>
      <c r="J678" s="789">
        <f>('Parâmetros financeiros Despesa'!E645+'Parâmetros financeiros Despesa'!E643)</f>
        <v>0</v>
      </c>
      <c r="K678" s="789">
        <f>('Parâmetros financeiros Despesa'!F645+'Parâmetros financeiros Despesa'!F643)*(1+'Parâmetros financeiros Despesa'!F$4)*(1+'Parâmetros financeiros Despesa'!F$7)</f>
        <v>1199.36465</v>
      </c>
      <c r="L678" s="799">
        <f>K678/K$720</f>
        <v>7.8821005993745248E-4</v>
      </c>
      <c r="M678" s="894"/>
      <c r="N678" s="796"/>
    </row>
    <row r="679" spans="1:15" x14ac:dyDescent="0.25">
      <c r="A679" s="397"/>
      <c r="B679" s="1396">
        <v>106100</v>
      </c>
      <c r="C679" s="1396"/>
      <c r="D679" s="1396"/>
      <c r="E679" s="854">
        <v>333903000000000</v>
      </c>
      <c r="F679" s="855" t="s">
        <v>7654</v>
      </c>
      <c r="G679" s="468">
        <v>1</v>
      </c>
      <c r="H679" s="468">
        <v>0</v>
      </c>
      <c r="I679" s="751"/>
      <c r="J679" s="789">
        <f>('Parâmetros financeiros Despesa'!E644+'Parâmetros financeiros Despesa'!E645)</f>
        <v>3776.25</v>
      </c>
      <c r="K679" s="789">
        <f>('Parâmetros financeiros Despesa'!F644+'Parâmetros financeiros Despesa'!F645)*(1+'Parâmetros financeiros Despesa'!F$4)*(1+'Parâmetros financeiros Despesa'!F$7)</f>
        <v>5207.6958268750004</v>
      </c>
      <c r="L679" s="799">
        <f t="shared" ref="L679:L713" si="84">K679/K$720</f>
        <v>3.4224439079784158E-3</v>
      </c>
      <c r="M679" s="894"/>
      <c r="N679" s="796"/>
    </row>
    <row r="680" spans="1:15" x14ac:dyDescent="0.25">
      <c r="A680" s="397"/>
      <c r="B680" s="1396">
        <v>106200</v>
      </c>
      <c r="C680" s="1396"/>
      <c r="D680" s="1396"/>
      <c r="E680" s="854">
        <v>333903200000000</v>
      </c>
      <c r="F680" s="855" t="s">
        <v>7668</v>
      </c>
      <c r="G680" s="468">
        <v>1</v>
      </c>
      <c r="H680" s="468">
        <v>0</v>
      </c>
      <c r="I680" s="751"/>
      <c r="J680" s="789">
        <f>('Parâmetros financeiros Despesa'!E646)</f>
        <v>19984.099999999999</v>
      </c>
      <c r="K680" s="789">
        <f>('Parâmetros financeiros Despesa'!F646)*(1+'Parâmetros financeiros Despesa'!F$4)*(1+'Parâmetros financeiros Despesa'!F$7)</f>
        <v>21789.293729149998</v>
      </c>
      <c r="L680" s="799">
        <f t="shared" si="84"/>
        <v>1.4319698780723675E-2</v>
      </c>
      <c r="M680" s="894"/>
      <c r="N680" s="796"/>
    </row>
    <row r="681" spans="1:15" x14ac:dyDescent="0.25">
      <c r="A681" s="397"/>
      <c r="B681" s="1004"/>
      <c r="C681" s="1004"/>
      <c r="D681" s="1004" t="s">
        <v>7664</v>
      </c>
      <c r="E681" s="854">
        <v>333903600000000</v>
      </c>
      <c r="F681" s="855" t="s">
        <v>7655</v>
      </c>
      <c r="G681" s="468">
        <v>1</v>
      </c>
      <c r="H681" s="468">
        <v>0</v>
      </c>
      <c r="I681" s="751"/>
      <c r="J681" s="789">
        <f>('Parâmetros financeiros Despesa'!E647)</f>
        <v>0</v>
      </c>
      <c r="K681" s="789">
        <f>('Parâmetros financeiros Despesa'!F647)*(1+'Parâmetros financeiros Despesa'!F$4)*(1+'Parâmetros financeiros Despesa'!F$7)</f>
        <v>1090.3315</v>
      </c>
      <c r="L681" s="799">
        <f t="shared" si="84"/>
        <v>7.1655459994313857E-4</v>
      </c>
      <c r="M681" s="894"/>
      <c r="N681" s="796"/>
    </row>
    <row r="682" spans="1:15" x14ac:dyDescent="0.25">
      <c r="A682" s="397"/>
      <c r="B682" s="1398" t="s">
        <v>7665</v>
      </c>
      <c r="C682" s="1398"/>
      <c r="D682" s="1398"/>
      <c r="E682" s="854">
        <v>333903900000000</v>
      </c>
      <c r="F682" s="855" t="s">
        <v>7656</v>
      </c>
      <c r="G682" s="468">
        <v>1</v>
      </c>
      <c r="H682" s="468">
        <v>0</v>
      </c>
      <c r="I682" s="751"/>
      <c r="J682" s="789">
        <f>('Parâmetros financeiros Despesa'!E648+'Parâmetros financeiros Despesa'!E649)</f>
        <v>0</v>
      </c>
      <c r="K682" s="789">
        <f>('Parâmetros financeiros Despesa'!F648+'Parâmetros financeiros Despesa'!F649)*(1+'Parâmetros financeiros Despesa'!F$4)*(1+'Parâmetros financeiros Despesa'!F$7)</f>
        <v>2180.663</v>
      </c>
      <c r="L682" s="799">
        <f t="shared" si="84"/>
        <v>1.4331091998862771E-3</v>
      </c>
      <c r="M682" s="894"/>
      <c r="N682" s="796"/>
    </row>
    <row r="683" spans="1:15" x14ac:dyDescent="0.25">
      <c r="A683" s="397"/>
      <c r="B683" s="1398" t="s">
        <v>7666</v>
      </c>
      <c r="C683" s="1398"/>
      <c r="D683" s="1398"/>
      <c r="E683" s="854">
        <v>333904700000000</v>
      </c>
      <c r="F683" s="855" t="s">
        <v>7657</v>
      </c>
      <c r="G683" s="468">
        <v>1</v>
      </c>
      <c r="H683" s="468">
        <v>0</v>
      </c>
      <c r="I683" s="751"/>
      <c r="J683" s="789">
        <f>(('Parâmetros financeiros Despesa'!E645+'Parâmetros financeiros Despesa'!E647+'Parâmetros financeiros Despesa'!E649))</f>
        <v>0</v>
      </c>
      <c r="K683" s="789">
        <f>(('Parâmetros financeiros Despesa'!F645+'Parâmetros financeiros Despesa'!F647+'Parâmetros financeiros Despesa'!F649)*(1+'Parâmetros financeiros Despesa'!F$4)*(1+'Parâmetros financeiros Despesa'!F$7))*('Parâmetros financeiros Despesa'!F$83)</f>
        <v>654.19890000000009</v>
      </c>
      <c r="L683" s="799">
        <f t="shared" si="84"/>
        <v>4.2993275996588325E-4</v>
      </c>
      <c r="M683" s="894"/>
      <c r="N683" s="796"/>
    </row>
    <row r="684" spans="1:15" x14ac:dyDescent="0.25">
      <c r="A684" s="397"/>
      <c r="B684" s="1398" t="s">
        <v>7667</v>
      </c>
      <c r="C684" s="1398"/>
      <c r="D684" s="1398"/>
      <c r="E684" s="854">
        <v>344905100000000</v>
      </c>
      <c r="F684" s="855" t="s">
        <v>7658</v>
      </c>
      <c r="G684" s="468">
        <v>1</v>
      </c>
      <c r="H684" s="468">
        <v>0</v>
      </c>
      <c r="I684" s="751"/>
      <c r="J684" s="789">
        <f>('Parâmetros financeiros Despesa'!E650)</f>
        <v>0</v>
      </c>
      <c r="K684" s="789">
        <f>('Parâmetros financeiros Despesa'!F650)*(1+'Parâmetros financeiros Despesa'!F$4)*(1+'Parâmetros financeiros Despesa'!F$7)</f>
        <v>1090.3315</v>
      </c>
      <c r="L684" s="799">
        <f t="shared" si="84"/>
        <v>7.1655459994313857E-4</v>
      </c>
      <c r="M684" s="894"/>
      <c r="N684" s="796"/>
    </row>
    <row r="685" spans="1:15" x14ac:dyDescent="0.25">
      <c r="A685" s="397"/>
      <c r="B685" s="1398" t="s">
        <v>7669</v>
      </c>
      <c r="C685" s="1398"/>
      <c r="D685" s="1398"/>
      <c r="E685" s="854">
        <v>344905200000000</v>
      </c>
      <c r="F685" s="855" t="s">
        <v>7659</v>
      </c>
      <c r="G685" s="468">
        <v>1</v>
      </c>
      <c r="H685" s="468">
        <v>0</v>
      </c>
      <c r="I685" s="751"/>
      <c r="J685" s="789">
        <f>('Parâmetros financeiros Despesa'!E651)</f>
        <v>0</v>
      </c>
      <c r="K685" s="789">
        <f>('Parâmetros financeiros Despesa'!F651)*(1+'Parâmetros financeiros Despesa'!F$4)*(1+'Parâmetros financeiros Despesa'!F$7)</f>
        <v>1090.3315</v>
      </c>
      <c r="L685" s="799">
        <f t="shared" si="84"/>
        <v>7.1655459994313857E-4</v>
      </c>
      <c r="M685" s="894"/>
      <c r="N685" s="796"/>
    </row>
    <row r="686" spans="1:15" s="115" customFormat="1" x14ac:dyDescent="0.25">
      <c r="A686" s="396"/>
      <c r="B686" s="1385" t="s">
        <v>7445</v>
      </c>
      <c r="C686" s="1385"/>
      <c r="D686" s="1385"/>
      <c r="E686" s="1385"/>
      <c r="F686" s="1385"/>
      <c r="G686" s="401"/>
      <c r="H686" s="401"/>
      <c r="I686" s="426"/>
      <c r="J686" s="402">
        <f t="shared" ref="J686:K688" si="85">J687</f>
        <v>124992</v>
      </c>
      <c r="K686" s="402">
        <f t="shared" si="85"/>
        <v>182049.61</v>
      </c>
      <c r="L686" s="451">
        <f t="shared" si="84"/>
        <v>0.11964112333116524</v>
      </c>
      <c r="M686" s="894"/>
    </row>
    <row r="687" spans="1:15" x14ac:dyDescent="0.25">
      <c r="A687" s="396"/>
      <c r="B687" s="1386" t="s">
        <v>7592</v>
      </c>
      <c r="C687" s="1386"/>
      <c r="D687" s="1386"/>
      <c r="E687" s="1386"/>
      <c r="F687" s="1386"/>
      <c r="G687" s="403"/>
      <c r="H687" s="403"/>
      <c r="I687" s="427"/>
      <c r="J687" s="404">
        <f t="shared" si="85"/>
        <v>124992</v>
      </c>
      <c r="K687" s="404">
        <f t="shared" si="85"/>
        <v>182049.61</v>
      </c>
      <c r="L687" s="799">
        <f t="shared" si="84"/>
        <v>0.11964112333116524</v>
      </c>
      <c r="O687" s="1006"/>
    </row>
    <row r="688" spans="1:15" x14ac:dyDescent="0.25">
      <c r="A688" s="396"/>
      <c r="B688" s="1382" t="s">
        <v>7283</v>
      </c>
      <c r="C688" s="1382"/>
      <c r="D688" s="1382"/>
      <c r="E688" s="1382"/>
      <c r="F688" s="1382"/>
      <c r="G688" s="405"/>
      <c r="H688" s="405"/>
      <c r="I688" s="428"/>
      <c r="J688" s="406">
        <f t="shared" si="85"/>
        <v>124992</v>
      </c>
      <c r="K688" s="406">
        <f t="shared" si="85"/>
        <v>182049.61</v>
      </c>
      <c r="L688" s="453">
        <f t="shared" si="84"/>
        <v>0.11964112333116524</v>
      </c>
      <c r="O688" s="1006"/>
    </row>
    <row r="689" spans="1:15" x14ac:dyDescent="0.25">
      <c r="A689" s="396"/>
      <c r="B689" s="1383" t="s">
        <v>7452</v>
      </c>
      <c r="C689" s="1383"/>
      <c r="D689" s="1383"/>
      <c r="E689" s="1383"/>
      <c r="F689" s="1383"/>
      <c r="G689" s="407"/>
      <c r="H689" s="407"/>
      <c r="I689" s="429"/>
      <c r="J689" s="408">
        <f>SUM(J690)</f>
        <v>124992</v>
      </c>
      <c r="K689" s="408">
        <f>SUM(K690)</f>
        <v>182049.61</v>
      </c>
      <c r="L689" s="454">
        <f t="shared" si="84"/>
        <v>0.11964112333116524</v>
      </c>
      <c r="O689" s="1006"/>
    </row>
    <row r="690" spans="1:15" x14ac:dyDescent="0.25">
      <c r="A690" s="397"/>
      <c r="B690" s="1396">
        <v>107000</v>
      </c>
      <c r="C690" s="1396"/>
      <c r="D690" s="1396"/>
      <c r="E690" s="854">
        <v>333304100000000</v>
      </c>
      <c r="F690" s="855" t="s">
        <v>4377</v>
      </c>
      <c r="G690" s="468">
        <v>1</v>
      </c>
      <c r="H690" s="468">
        <v>0</v>
      </c>
      <c r="I690" s="751"/>
      <c r="J690" s="789">
        <f>'Parâmetros financeiros Despesa'!D653</f>
        <v>124992</v>
      </c>
      <c r="K690" s="789">
        <f>'Parâmetros financeiros Despesa'!F653</f>
        <v>182049.61</v>
      </c>
      <c r="L690" s="799">
        <f t="shared" si="84"/>
        <v>0.11964112333116524</v>
      </c>
      <c r="O690" s="1006"/>
    </row>
    <row r="691" spans="1:15" s="115" customFormat="1" x14ac:dyDescent="0.25">
      <c r="A691" s="396"/>
      <c r="B691" s="1385" t="s">
        <v>7650</v>
      </c>
      <c r="C691" s="1385"/>
      <c r="D691" s="1385"/>
      <c r="E691" s="1385"/>
      <c r="F691" s="1385"/>
      <c r="G691" s="401">
        <v>1</v>
      </c>
      <c r="H691" s="401">
        <v>0</v>
      </c>
      <c r="I691" s="426"/>
      <c r="J691" s="402">
        <f t="shared" ref="J691:K693" si="86">J692</f>
        <v>0</v>
      </c>
      <c r="K691" s="402">
        <f t="shared" si="86"/>
        <v>106285.57</v>
      </c>
      <c r="L691" s="451">
        <f t="shared" si="84"/>
        <v>6.9849778797621151E-2</v>
      </c>
      <c r="M691" s="894"/>
    </row>
    <row r="692" spans="1:15" x14ac:dyDescent="0.25">
      <c r="A692" s="396"/>
      <c r="B692" s="1386" t="s">
        <v>7651</v>
      </c>
      <c r="C692" s="1386"/>
      <c r="D692" s="1386"/>
      <c r="E692" s="1386"/>
      <c r="F692" s="1386"/>
      <c r="G692" s="403"/>
      <c r="H692" s="403"/>
      <c r="I692" s="427"/>
      <c r="J692" s="404">
        <f t="shared" si="86"/>
        <v>0</v>
      </c>
      <c r="K692" s="404">
        <f t="shared" si="86"/>
        <v>106285.57</v>
      </c>
      <c r="L692" s="799">
        <f t="shared" si="84"/>
        <v>6.9849778797621151E-2</v>
      </c>
      <c r="O692" s="1006"/>
    </row>
    <row r="693" spans="1:15" x14ac:dyDescent="0.25">
      <c r="A693" s="396"/>
      <c r="B693" s="1382" t="s">
        <v>7283</v>
      </c>
      <c r="C693" s="1382"/>
      <c r="D693" s="1382"/>
      <c r="E693" s="1382"/>
      <c r="F693" s="1382"/>
      <c r="G693" s="405"/>
      <c r="H693" s="405"/>
      <c r="I693" s="428"/>
      <c r="J693" s="406">
        <f t="shared" si="86"/>
        <v>0</v>
      </c>
      <c r="K693" s="406">
        <f t="shared" si="86"/>
        <v>106285.57</v>
      </c>
      <c r="L693" s="453">
        <f t="shared" si="84"/>
        <v>6.9849778797621151E-2</v>
      </c>
      <c r="O693" s="1006"/>
    </row>
    <row r="694" spans="1:15" x14ac:dyDescent="0.25">
      <c r="A694" s="396"/>
      <c r="B694" s="1383" t="s">
        <v>7452</v>
      </c>
      <c r="C694" s="1383"/>
      <c r="D694" s="1383"/>
      <c r="E694" s="1383"/>
      <c r="F694" s="1383"/>
      <c r="G694" s="407"/>
      <c r="H694" s="407"/>
      <c r="I694" s="429"/>
      <c r="J694" s="408">
        <f>SUM(J695:J697)</f>
        <v>0</v>
      </c>
      <c r="K694" s="408">
        <f>SUM(K695:K697)</f>
        <v>106285.57</v>
      </c>
      <c r="L694" s="454">
        <f t="shared" si="84"/>
        <v>6.9849778797621151E-2</v>
      </c>
      <c r="O694" s="1006"/>
    </row>
    <row r="695" spans="1:15" x14ac:dyDescent="0.25">
      <c r="A695" s="397"/>
      <c r="B695" s="1004"/>
      <c r="C695" s="1004"/>
      <c r="D695" s="1004" t="s">
        <v>7670</v>
      </c>
      <c r="E695" s="854">
        <v>344309300000000</v>
      </c>
      <c r="F695" s="855" t="s">
        <v>11464</v>
      </c>
      <c r="G695" s="468">
        <v>1160</v>
      </c>
      <c r="H695" s="468">
        <v>0</v>
      </c>
      <c r="I695" s="751"/>
      <c r="J695" s="789">
        <f>'Parâmetros financeiros Despesa'!E655</f>
        <v>0</v>
      </c>
      <c r="K695" s="789">
        <f>'Parâmetros financeiros Despesa'!F655</f>
        <v>1</v>
      </c>
      <c r="L695" s="799">
        <f t="shared" si="84"/>
        <v>6.5718967116252132E-7</v>
      </c>
      <c r="O695" s="1006"/>
    </row>
    <row r="696" spans="1:15" x14ac:dyDescent="0.25">
      <c r="A696" s="397"/>
      <c r="B696" s="1398" t="s">
        <v>7671</v>
      </c>
      <c r="C696" s="1398"/>
      <c r="D696" s="1398"/>
      <c r="E696" s="854">
        <v>344905100000000</v>
      </c>
      <c r="F696" s="855" t="s">
        <v>11465</v>
      </c>
      <c r="G696" s="468">
        <v>1</v>
      </c>
      <c r="H696" s="468">
        <v>0</v>
      </c>
      <c r="I696" s="751"/>
      <c r="J696" s="789">
        <f>'Parâmetros financeiros Despesa'!E656</f>
        <v>0</v>
      </c>
      <c r="K696" s="789">
        <f>'Parâmetros financeiros Despesa'!F656</f>
        <v>6185.57</v>
      </c>
      <c r="L696" s="799">
        <f t="shared" si="84"/>
        <v>4.065092714252757E-3</v>
      </c>
      <c r="O696" s="1006"/>
    </row>
    <row r="697" spans="1:15" x14ac:dyDescent="0.25">
      <c r="A697" s="397"/>
      <c r="B697" s="1398" t="s">
        <v>7672</v>
      </c>
      <c r="C697" s="1398"/>
      <c r="D697" s="1398"/>
      <c r="E697" s="854">
        <v>344905100000000</v>
      </c>
      <c r="F697" s="855" t="s">
        <v>11465</v>
      </c>
      <c r="G697" s="468">
        <v>1160</v>
      </c>
      <c r="H697" s="468">
        <v>0</v>
      </c>
      <c r="I697" s="751"/>
      <c r="J697" s="789">
        <f>'Parâmetros financeiros Despesa'!E657</f>
        <v>0</v>
      </c>
      <c r="K697" s="789">
        <f>'Parâmetros financeiros Despesa'!F657</f>
        <v>100099</v>
      </c>
      <c r="L697" s="799">
        <f t="shared" si="84"/>
        <v>6.5784028893697222E-2</v>
      </c>
      <c r="O697" s="1006"/>
    </row>
    <row r="698" spans="1:15" s="115" customFormat="1" x14ac:dyDescent="0.25">
      <c r="A698" s="396"/>
      <c r="B698" s="1385" t="s">
        <v>7650</v>
      </c>
      <c r="C698" s="1385"/>
      <c r="D698" s="1385"/>
      <c r="E698" s="1385"/>
      <c r="F698" s="1385"/>
      <c r="G698" s="401"/>
      <c r="H698" s="401"/>
      <c r="I698" s="426"/>
      <c r="J698" s="402">
        <f t="shared" ref="J698:K701" si="87">J699</f>
        <v>0</v>
      </c>
      <c r="K698" s="402">
        <f t="shared" si="87"/>
        <v>10000</v>
      </c>
      <c r="L698" s="451">
        <f t="shared" si="84"/>
        <v>6.5718967116252134E-3</v>
      </c>
      <c r="M698" s="894"/>
    </row>
    <row r="699" spans="1:15" x14ac:dyDescent="0.25">
      <c r="A699" s="396"/>
      <c r="B699" s="1402" t="s">
        <v>7673</v>
      </c>
      <c r="C699" s="1402"/>
      <c r="D699" s="1402"/>
      <c r="E699" s="1402"/>
      <c r="F699" s="1402"/>
      <c r="G699" s="468"/>
      <c r="H699" s="468"/>
      <c r="I699" s="751"/>
      <c r="J699" s="789">
        <f t="shared" si="87"/>
        <v>0</v>
      </c>
      <c r="K699" s="789">
        <f t="shared" si="87"/>
        <v>10000</v>
      </c>
      <c r="L699" s="799">
        <f t="shared" si="84"/>
        <v>6.5718967116252134E-3</v>
      </c>
      <c r="O699" s="1006"/>
    </row>
    <row r="700" spans="1:15" x14ac:dyDescent="0.25">
      <c r="A700" s="396"/>
      <c r="B700" s="1382" t="s">
        <v>7283</v>
      </c>
      <c r="C700" s="1382"/>
      <c r="D700" s="1382"/>
      <c r="E700" s="1382"/>
      <c r="F700" s="1382"/>
      <c r="G700" s="405"/>
      <c r="H700" s="405"/>
      <c r="I700" s="428"/>
      <c r="J700" s="406">
        <f t="shared" si="87"/>
        <v>0</v>
      </c>
      <c r="K700" s="406">
        <f t="shared" si="87"/>
        <v>10000</v>
      </c>
      <c r="L700" s="453">
        <f t="shared" si="84"/>
        <v>6.5718967116252134E-3</v>
      </c>
      <c r="O700" s="1006"/>
    </row>
    <row r="701" spans="1:15" x14ac:dyDescent="0.25">
      <c r="A701" s="396"/>
      <c r="B701" s="1383" t="s">
        <v>7452</v>
      </c>
      <c r="C701" s="1383"/>
      <c r="D701" s="1383"/>
      <c r="E701" s="1383"/>
      <c r="F701" s="1383"/>
      <c r="G701" s="407"/>
      <c r="H701" s="407"/>
      <c r="I701" s="429"/>
      <c r="J701" s="408">
        <f t="shared" si="87"/>
        <v>0</v>
      </c>
      <c r="K701" s="408">
        <f t="shared" si="87"/>
        <v>10000</v>
      </c>
      <c r="L701" s="454">
        <f t="shared" si="84"/>
        <v>6.5718967116252134E-3</v>
      </c>
      <c r="O701" s="1006"/>
    </row>
    <row r="702" spans="1:15" x14ac:dyDescent="0.25">
      <c r="A702" s="397"/>
      <c r="B702" s="1004"/>
      <c r="C702" s="1004"/>
      <c r="D702" s="1004" t="s">
        <v>7674</v>
      </c>
      <c r="E702" s="854">
        <v>333903200000000</v>
      </c>
      <c r="F702" s="855" t="s">
        <v>7675</v>
      </c>
      <c r="G702" s="468">
        <v>1</v>
      </c>
      <c r="H702" s="468">
        <v>0</v>
      </c>
      <c r="I702" s="751"/>
      <c r="J702" s="789">
        <f>'Parâmetros financeiros Despesa'!E659</f>
        <v>0</v>
      </c>
      <c r="K702" s="789">
        <f>'Parâmetros financeiros Despesa'!F659</f>
        <v>10000</v>
      </c>
      <c r="L702" s="799">
        <f t="shared" si="84"/>
        <v>6.5718967116252134E-3</v>
      </c>
      <c r="M702" s="894"/>
      <c r="N702" s="796"/>
      <c r="O702" s="1006"/>
    </row>
    <row r="703" spans="1:15" s="115" customFormat="1" x14ac:dyDescent="0.25">
      <c r="A703" s="396"/>
      <c r="B703" s="1385" t="s">
        <v>7447</v>
      </c>
      <c r="C703" s="1385"/>
      <c r="D703" s="1385"/>
      <c r="E703" s="1385"/>
      <c r="F703" s="1385"/>
      <c r="G703" s="401"/>
      <c r="H703" s="401"/>
      <c r="I703" s="426"/>
      <c r="J703" s="402">
        <f t="shared" ref="J703:K706" si="88">J704</f>
        <v>0</v>
      </c>
      <c r="K703" s="402">
        <f t="shared" si="88"/>
        <v>1</v>
      </c>
      <c r="L703" s="451">
        <f t="shared" si="84"/>
        <v>6.5718967116252132E-7</v>
      </c>
      <c r="M703" s="894"/>
    </row>
    <row r="704" spans="1:15" x14ac:dyDescent="0.25">
      <c r="A704" s="396"/>
      <c r="B704" s="1386" t="s">
        <v>7676</v>
      </c>
      <c r="C704" s="1386"/>
      <c r="D704" s="1386"/>
      <c r="E704" s="1386"/>
      <c r="F704" s="1386"/>
      <c r="G704" s="403"/>
      <c r="H704" s="403"/>
      <c r="I704" s="427"/>
      <c r="J704" s="404">
        <f t="shared" si="88"/>
        <v>0</v>
      </c>
      <c r="K704" s="404">
        <f t="shared" si="88"/>
        <v>1</v>
      </c>
      <c r="L704" s="799">
        <f t="shared" si="84"/>
        <v>6.5718967116252132E-7</v>
      </c>
      <c r="O704" s="1006"/>
    </row>
    <row r="705" spans="1:15" x14ac:dyDescent="0.25">
      <c r="A705" s="396"/>
      <c r="B705" s="1382" t="s">
        <v>7283</v>
      </c>
      <c r="C705" s="1382"/>
      <c r="D705" s="1382"/>
      <c r="E705" s="1382"/>
      <c r="F705" s="1382"/>
      <c r="G705" s="405"/>
      <c r="H705" s="405"/>
      <c r="I705" s="428"/>
      <c r="J705" s="406">
        <f t="shared" si="88"/>
        <v>0</v>
      </c>
      <c r="K705" s="406">
        <f t="shared" si="88"/>
        <v>1</v>
      </c>
      <c r="L705" s="453">
        <f t="shared" si="84"/>
        <v>6.5718967116252132E-7</v>
      </c>
      <c r="O705" s="796"/>
    </row>
    <row r="706" spans="1:15" x14ac:dyDescent="0.25">
      <c r="A706" s="396"/>
      <c r="B706" s="1383" t="s">
        <v>7452</v>
      </c>
      <c r="C706" s="1383"/>
      <c r="D706" s="1383"/>
      <c r="E706" s="1383"/>
      <c r="F706" s="1383"/>
      <c r="G706" s="407"/>
      <c r="H706" s="407"/>
      <c r="I706" s="429"/>
      <c r="J706" s="408">
        <f t="shared" si="88"/>
        <v>0</v>
      </c>
      <c r="K706" s="408">
        <f t="shared" si="88"/>
        <v>1</v>
      </c>
      <c r="L706" s="454">
        <f t="shared" si="84"/>
        <v>6.5718967116252132E-7</v>
      </c>
      <c r="O706" s="1006"/>
    </row>
    <row r="707" spans="1:15" x14ac:dyDescent="0.25">
      <c r="A707" s="397"/>
      <c r="B707" s="1004"/>
      <c r="C707" s="1004"/>
      <c r="D707" s="1004" t="s">
        <v>7678</v>
      </c>
      <c r="E707" s="854">
        <v>344905100000000</v>
      </c>
      <c r="F707" s="855" t="s">
        <v>7679</v>
      </c>
      <c r="G707" s="468">
        <v>1</v>
      </c>
      <c r="H707" s="468">
        <v>0</v>
      </c>
      <c r="I707" s="751"/>
      <c r="J707" s="789">
        <f>'Parâmetros financeiros Despesa'!E661</f>
        <v>0</v>
      </c>
      <c r="K707" s="789">
        <f>'Parâmetros financeiros Despesa'!F661</f>
        <v>1</v>
      </c>
      <c r="L707" s="799">
        <f t="shared" si="84"/>
        <v>6.5718967116252132E-7</v>
      </c>
      <c r="M707" s="894"/>
      <c r="N707" s="796"/>
      <c r="O707" s="1006"/>
    </row>
    <row r="708" spans="1:15" s="115" customFormat="1" x14ac:dyDescent="0.25">
      <c r="A708" s="396"/>
      <c r="B708" s="1385" t="s">
        <v>7447</v>
      </c>
      <c r="C708" s="1385"/>
      <c r="D708" s="1385"/>
      <c r="E708" s="1385"/>
      <c r="F708" s="1385"/>
      <c r="G708" s="401"/>
      <c r="H708" s="401"/>
      <c r="I708" s="426"/>
      <c r="J708" s="402">
        <f t="shared" ref="J708:K711" si="89">J709</f>
        <v>0</v>
      </c>
      <c r="K708" s="402">
        <f t="shared" si="89"/>
        <v>1</v>
      </c>
      <c r="L708" s="451">
        <f t="shared" si="84"/>
        <v>6.5718967116252132E-7</v>
      </c>
      <c r="M708" s="894"/>
    </row>
    <row r="709" spans="1:15" x14ac:dyDescent="0.25">
      <c r="A709" s="396"/>
      <c r="B709" s="1402" t="s">
        <v>7677</v>
      </c>
      <c r="C709" s="1402"/>
      <c r="D709" s="1402"/>
      <c r="E709" s="1402"/>
      <c r="F709" s="1402"/>
      <c r="G709" s="468"/>
      <c r="H709" s="468"/>
      <c r="I709" s="751"/>
      <c r="J709" s="789">
        <f t="shared" si="89"/>
        <v>0</v>
      </c>
      <c r="K709" s="789">
        <f t="shared" si="89"/>
        <v>1</v>
      </c>
      <c r="L709" s="799">
        <f t="shared" si="84"/>
        <v>6.5718967116252132E-7</v>
      </c>
    </row>
    <row r="710" spans="1:15" x14ac:dyDescent="0.25">
      <c r="A710" s="396"/>
      <c r="B710" s="1382" t="s">
        <v>7283</v>
      </c>
      <c r="C710" s="1382"/>
      <c r="D710" s="1382"/>
      <c r="E710" s="1382"/>
      <c r="F710" s="1382"/>
      <c r="G710" s="405"/>
      <c r="H710" s="405"/>
      <c r="I710" s="428"/>
      <c r="J710" s="406">
        <f t="shared" si="89"/>
        <v>0</v>
      </c>
      <c r="K710" s="406">
        <f t="shared" si="89"/>
        <v>1</v>
      </c>
      <c r="L710" s="453">
        <f t="shared" si="84"/>
        <v>6.5718967116252132E-7</v>
      </c>
    </row>
    <row r="711" spans="1:15" x14ac:dyDescent="0.25">
      <c r="A711" s="396"/>
      <c r="B711" s="1383" t="s">
        <v>7452</v>
      </c>
      <c r="C711" s="1383"/>
      <c r="D711" s="1383"/>
      <c r="E711" s="1383"/>
      <c r="F711" s="1383"/>
      <c r="G711" s="407">
        <v>1</v>
      </c>
      <c r="H711" s="407">
        <v>0</v>
      </c>
      <c r="I711" s="429"/>
      <c r="J711" s="408">
        <f t="shared" si="89"/>
        <v>0</v>
      </c>
      <c r="K711" s="408">
        <f t="shared" si="89"/>
        <v>1</v>
      </c>
      <c r="L711" s="454">
        <f t="shared" si="84"/>
        <v>6.5718967116252132E-7</v>
      </c>
    </row>
    <row r="712" spans="1:15" x14ac:dyDescent="0.25">
      <c r="A712" s="397"/>
      <c r="B712" s="1004"/>
      <c r="C712" s="1004"/>
      <c r="D712" s="1004" t="s">
        <v>7681</v>
      </c>
      <c r="E712" s="854">
        <v>344905100000000</v>
      </c>
      <c r="F712" s="855" t="s">
        <v>7680</v>
      </c>
      <c r="G712" s="468">
        <v>1</v>
      </c>
      <c r="H712" s="468">
        <v>0</v>
      </c>
      <c r="I712" s="751"/>
      <c r="J712" s="789">
        <f>'Parâmetros financeiros Despesa'!E663</f>
        <v>0</v>
      </c>
      <c r="K712" s="789">
        <f>'Parâmetros financeiros Despesa'!F663</f>
        <v>1</v>
      </c>
      <c r="L712" s="799">
        <f t="shared" si="84"/>
        <v>6.5718967116252132E-7</v>
      </c>
      <c r="M712" s="894"/>
      <c r="N712" s="796"/>
    </row>
    <row r="713" spans="1:15" x14ac:dyDescent="0.25">
      <c r="B713" s="864" t="s">
        <v>22</v>
      </c>
      <c r="C713" s="864"/>
      <c r="D713" s="864"/>
      <c r="E713" s="864"/>
      <c r="F713" s="864"/>
      <c r="G713" s="864"/>
      <c r="H713" s="864"/>
      <c r="I713" s="864"/>
      <c r="J713" s="863">
        <f>J709+J704+J699+J692+J687+J675+J665+J647+J637+J617+J598+J589+J579+J569+J561+J552+J533+J543+J523+0.03</f>
        <v>484061.80363452254</v>
      </c>
      <c r="K713" s="863">
        <f>K709+K704+K699+K692+K687+K675+K665+K647+K637+K617+K598+K589+K579+K569+K561+K552+K533+K543+K523</f>
        <v>1521630.7314006805</v>
      </c>
      <c r="L713" s="452">
        <f t="shared" si="84"/>
        <v>1</v>
      </c>
    </row>
    <row r="714" spans="1:15" x14ac:dyDescent="0.25">
      <c r="B714" s="864" t="s">
        <v>11469</v>
      </c>
      <c r="C714" s="864"/>
      <c r="D714" s="864"/>
      <c r="E714" s="864"/>
      <c r="F714" s="864"/>
      <c r="G714" s="864"/>
      <c r="H714" s="864"/>
      <c r="I714" s="864"/>
      <c r="J714" s="863"/>
      <c r="K714" s="863"/>
      <c r="L714" s="452"/>
    </row>
    <row r="715" spans="1:15" s="31" customFormat="1" x14ac:dyDescent="0.25">
      <c r="B715" s="869" t="s">
        <v>745</v>
      </c>
      <c r="C715" s="869"/>
      <c r="D715" s="869"/>
      <c r="E715" s="869"/>
      <c r="F715" s="869"/>
      <c r="G715" s="869"/>
      <c r="H715" s="869"/>
      <c r="I715" s="869"/>
      <c r="J715" s="870">
        <f>J713</f>
        <v>484061.80363452254</v>
      </c>
      <c r="K715" s="870">
        <f>K713-234200-100100-120300-100100</f>
        <v>966930.7314006805</v>
      </c>
      <c r="L715" s="871">
        <f t="shared" ref="L715:L719" si="90">K715/K$720</f>
        <v>0.63545688940614942</v>
      </c>
      <c r="M715" s="897"/>
      <c r="O715" s="736"/>
    </row>
    <row r="716" spans="1:15" s="31" customFormat="1" x14ac:dyDescent="0.25">
      <c r="B716" s="869" t="s">
        <v>11517</v>
      </c>
      <c r="C716" s="869"/>
      <c r="D716" s="869"/>
      <c r="E716" s="869"/>
      <c r="F716" s="869"/>
      <c r="G716" s="869"/>
      <c r="H716" s="869"/>
      <c r="I716" s="869"/>
      <c r="J716" s="870">
        <v>0</v>
      </c>
      <c r="K716" s="870">
        <v>234200</v>
      </c>
      <c r="L716" s="871">
        <f t="shared" si="90"/>
        <v>0.1539138209862625</v>
      </c>
      <c r="M716" s="897"/>
      <c r="O716" s="736"/>
    </row>
    <row r="717" spans="1:15" s="31" customFormat="1" x14ac:dyDescent="0.25">
      <c r="B717" s="869" t="s">
        <v>11518</v>
      </c>
      <c r="C717" s="869"/>
      <c r="D717" s="869"/>
      <c r="E717" s="869"/>
      <c r="F717" s="869"/>
      <c r="G717" s="869"/>
      <c r="H717" s="869"/>
      <c r="I717" s="869"/>
      <c r="J717" s="870">
        <v>0</v>
      </c>
      <c r="K717" s="870">
        <v>100100</v>
      </c>
      <c r="L717" s="871">
        <f t="shared" si="90"/>
        <v>6.5784686083368377E-2</v>
      </c>
      <c r="M717" s="897"/>
      <c r="O717" s="736"/>
    </row>
    <row r="718" spans="1:15" s="31" customFormat="1" x14ac:dyDescent="0.25">
      <c r="B718" s="869" t="s">
        <v>11519</v>
      </c>
      <c r="C718" s="869"/>
      <c r="D718" s="869"/>
      <c r="E718" s="869"/>
      <c r="F718" s="869"/>
      <c r="G718" s="869"/>
      <c r="H718" s="869"/>
      <c r="I718" s="869"/>
      <c r="J718" s="870">
        <v>0</v>
      </c>
      <c r="K718" s="870">
        <v>120300</v>
      </c>
      <c r="L718" s="871">
        <f t="shared" si="90"/>
        <v>7.9059917440851307E-2</v>
      </c>
      <c r="M718" s="897"/>
      <c r="O718" s="736"/>
    </row>
    <row r="719" spans="1:15" s="31" customFormat="1" x14ac:dyDescent="0.25">
      <c r="B719" s="869" t="s">
        <v>11520</v>
      </c>
      <c r="C719" s="869"/>
      <c r="D719" s="869"/>
      <c r="E719" s="869"/>
      <c r="F719" s="869"/>
      <c r="G719" s="869"/>
      <c r="H719" s="869"/>
      <c r="I719" s="869"/>
      <c r="J719" s="870">
        <v>0</v>
      </c>
      <c r="K719" s="870">
        <v>100100</v>
      </c>
      <c r="L719" s="871">
        <f t="shared" si="90"/>
        <v>6.5784686083368377E-2</v>
      </c>
      <c r="M719" s="897"/>
      <c r="O719" s="736"/>
    </row>
    <row r="720" spans="1:15" s="115" customFormat="1" x14ac:dyDescent="0.25">
      <c r="B720" s="864" t="s">
        <v>2172</v>
      </c>
      <c r="C720" s="864"/>
      <c r="D720" s="864"/>
      <c r="E720" s="864"/>
      <c r="F720" s="864"/>
      <c r="G720" s="864"/>
      <c r="H720" s="864"/>
      <c r="I720" s="864"/>
      <c r="J720" s="863">
        <f>SUM(J715:J719)</f>
        <v>484061.80363452254</v>
      </c>
      <c r="K720" s="863">
        <f>SUM(K715:K719)</f>
        <v>1521630.7314006805</v>
      </c>
      <c r="L720" s="452">
        <f>K720/K$720</f>
        <v>1</v>
      </c>
      <c r="N720" s="796"/>
      <c r="O720" s="733"/>
    </row>
    <row r="721" spans="1:15" x14ac:dyDescent="0.25">
      <c r="B721" s="798"/>
      <c r="C721" s="798"/>
      <c r="D721" s="798"/>
      <c r="E721" s="798"/>
      <c r="F721" s="798"/>
      <c r="G721" s="798"/>
      <c r="H721" s="798"/>
      <c r="I721" s="798"/>
      <c r="J721" s="791"/>
      <c r="K721" s="791"/>
      <c r="L721" s="792"/>
    </row>
    <row r="722" spans="1:15" s="435" customFormat="1" ht="15.75" x14ac:dyDescent="0.25">
      <c r="B722" s="999" t="s">
        <v>989</v>
      </c>
      <c r="C722" s="999"/>
      <c r="D722" s="481"/>
      <c r="E722" s="1371" t="s">
        <v>6887</v>
      </c>
      <c r="F722" s="1371"/>
      <c r="G722" s="1371"/>
      <c r="H722" s="1371"/>
      <c r="I722" s="1371"/>
      <c r="J722" s="940"/>
      <c r="K722" s="438"/>
      <c r="L722" s="449"/>
      <c r="M722" s="892"/>
      <c r="O722" s="732"/>
    </row>
    <row r="723" spans="1:15" s="435" customFormat="1" ht="16.5" customHeight="1" x14ac:dyDescent="0.25">
      <c r="B723" s="999" t="s">
        <v>458</v>
      </c>
      <c r="C723" s="999"/>
      <c r="D723" s="481"/>
      <c r="E723" s="1371" t="s">
        <v>7682</v>
      </c>
      <c r="F723" s="1371"/>
      <c r="G723" s="1371"/>
      <c r="H723" s="1371"/>
      <c r="I723" s="1371"/>
      <c r="J723" s="940"/>
      <c r="K723" s="438"/>
      <c r="L723" s="449"/>
      <c r="M723" s="892"/>
      <c r="O723" s="732"/>
    </row>
    <row r="724" spans="1:15" s="435" customFormat="1" ht="15.75" x14ac:dyDescent="0.25">
      <c r="B724" s="1005" t="s">
        <v>5764</v>
      </c>
      <c r="C724" s="1005"/>
      <c r="D724" s="1005"/>
      <c r="E724" s="1371" t="s">
        <v>749</v>
      </c>
      <c r="F724" s="1371"/>
      <c r="G724" s="1371"/>
      <c r="H724" s="1371"/>
      <c r="I724" s="1371"/>
      <c r="J724" s="941"/>
      <c r="K724" s="438"/>
      <c r="L724" s="449"/>
      <c r="M724" s="892"/>
      <c r="O724" s="732"/>
    </row>
    <row r="725" spans="1:15" ht="88.5" x14ac:dyDescent="0.25">
      <c r="A725" s="396"/>
      <c r="B725" s="1400" t="s">
        <v>2296</v>
      </c>
      <c r="C725" s="1400"/>
      <c r="D725" s="1400"/>
      <c r="E725" s="1384" t="s">
        <v>2297</v>
      </c>
      <c r="F725" s="1384"/>
      <c r="G725" s="443" t="s">
        <v>444</v>
      </c>
      <c r="H725" s="443" t="s">
        <v>2245</v>
      </c>
      <c r="I725" s="444" t="s">
        <v>5725</v>
      </c>
      <c r="J725" s="893" t="s">
        <v>11644</v>
      </c>
      <c r="K725" s="1000" t="s">
        <v>11522</v>
      </c>
      <c r="L725" s="450" t="s">
        <v>235</v>
      </c>
    </row>
    <row r="726" spans="1:15" s="115" customFormat="1" x14ac:dyDescent="0.25">
      <c r="A726" s="396"/>
      <c r="B726" s="1385" t="s">
        <v>7446</v>
      </c>
      <c r="C726" s="1385"/>
      <c r="D726" s="1385"/>
      <c r="E726" s="1385"/>
      <c r="F726" s="1385"/>
      <c r="G726" s="401"/>
      <c r="H726" s="401"/>
      <c r="I726" s="426"/>
      <c r="J726" s="402">
        <f t="shared" ref="J726:K728" si="91">J727</f>
        <v>14543.615</v>
      </c>
      <c r="K726" s="402">
        <f t="shared" si="91"/>
        <v>21963.218861687503</v>
      </c>
      <c r="L726" s="451">
        <f t="shared" ref="L726:L757" si="92">K726/K$819</f>
        <v>0.12530991154124468</v>
      </c>
      <c r="M726" s="894"/>
      <c r="N726" s="797"/>
      <c r="O726" s="733"/>
    </row>
    <row r="727" spans="1:15" x14ac:dyDescent="0.25">
      <c r="A727" s="396"/>
      <c r="B727" s="1386" t="s">
        <v>7708</v>
      </c>
      <c r="C727" s="1386"/>
      <c r="D727" s="1386"/>
      <c r="E727" s="1386"/>
      <c r="F727" s="1386"/>
      <c r="G727" s="403"/>
      <c r="H727" s="403"/>
      <c r="I727" s="427"/>
      <c r="J727" s="404">
        <f t="shared" si="91"/>
        <v>14543.615</v>
      </c>
      <c r="K727" s="404">
        <f t="shared" si="91"/>
        <v>21963.218861687503</v>
      </c>
      <c r="L727" s="452">
        <f t="shared" si="92"/>
        <v>0.12530991154124468</v>
      </c>
    </row>
    <row r="728" spans="1:15" x14ac:dyDescent="0.25">
      <c r="A728" s="396"/>
      <c r="B728" s="1382" t="s">
        <v>7714</v>
      </c>
      <c r="C728" s="1382"/>
      <c r="D728" s="1382"/>
      <c r="E728" s="1382"/>
      <c r="F728" s="1382"/>
      <c r="G728" s="405"/>
      <c r="H728" s="405"/>
      <c r="I728" s="428"/>
      <c r="J728" s="406">
        <f t="shared" si="91"/>
        <v>14543.615</v>
      </c>
      <c r="K728" s="406">
        <f t="shared" si="91"/>
        <v>21963.218861687503</v>
      </c>
      <c r="L728" s="453">
        <f t="shared" si="92"/>
        <v>0.12530991154124468</v>
      </c>
    </row>
    <row r="729" spans="1:15" x14ac:dyDescent="0.25">
      <c r="A729" s="396"/>
      <c r="B729" s="1383" t="s">
        <v>7713</v>
      </c>
      <c r="C729" s="1383"/>
      <c r="D729" s="1383"/>
      <c r="E729" s="1383"/>
      <c r="F729" s="1383"/>
      <c r="G729" s="407"/>
      <c r="H729" s="407"/>
      <c r="I729" s="429"/>
      <c r="J729" s="408">
        <f>SUM(J730:J734)-0.01</f>
        <v>14543.615</v>
      </c>
      <c r="K729" s="408">
        <f>SUM(K730:K734)-0.01</f>
        <v>21963.218861687503</v>
      </c>
      <c r="L729" s="454">
        <f t="shared" si="92"/>
        <v>0.12530991154124468</v>
      </c>
    </row>
    <row r="730" spans="1:15" s="115" customFormat="1" x14ac:dyDescent="0.25">
      <c r="A730" s="396"/>
      <c r="B730" s="1398" t="s">
        <v>7683</v>
      </c>
      <c r="C730" s="1398"/>
      <c r="D730" s="1398"/>
      <c r="E730" s="854">
        <v>333904700000000</v>
      </c>
      <c r="F730" s="855" t="s">
        <v>10356</v>
      </c>
      <c r="G730" s="468">
        <v>1</v>
      </c>
      <c r="H730" s="468">
        <v>0</v>
      </c>
      <c r="I730" s="751"/>
      <c r="J730" s="789">
        <f>(('Parâmetros financeiros Despesa'!E669+'Parâmetros financeiros Despesa'!E670+'Parâmetros financeiros Despesa'!E672))</f>
        <v>0</v>
      </c>
      <c r="K730" s="789">
        <f>(('Parâmetros financeiros Despesa'!F669+'Parâmetros financeiros Despesa'!F670+'Parâmetros financeiros Despesa'!F672)*(1+'Parâmetros financeiros Despesa'!F$4)*(1+'Parâmetros financeiros Despesa'!F$7))*('Parâmetros financeiros Despesa'!F$83)</f>
        <v>654.19890000000009</v>
      </c>
      <c r="L730" s="799">
        <f t="shared" si="92"/>
        <v>3.7324950775945139E-3</v>
      </c>
      <c r="M730" s="894"/>
      <c r="N730" s="796"/>
    </row>
    <row r="731" spans="1:15" s="115" customFormat="1" x14ac:dyDescent="0.25">
      <c r="A731" s="396"/>
      <c r="B731" s="1396">
        <v>112100</v>
      </c>
      <c r="C731" s="1396"/>
      <c r="D731" s="1396"/>
      <c r="E731" s="854">
        <v>344903000000000</v>
      </c>
      <c r="F731" s="855" t="s">
        <v>10353</v>
      </c>
      <c r="G731" s="468">
        <v>1</v>
      </c>
      <c r="H731" s="468">
        <v>0</v>
      </c>
      <c r="I731" s="751"/>
      <c r="J731" s="789">
        <f>('Parâmetros financeiros Despesa'!E668+'Parâmetros financeiros Despesa'!E669)</f>
        <v>0</v>
      </c>
      <c r="K731" s="789">
        <f>('Parâmetros financeiros Despesa'!F668+'Parâmetros financeiros Despesa'!F669)*(1+'Parâmetros financeiros Despesa'!F$4)*(1+'Parâmetros financeiros Despesa'!F$7)</f>
        <v>2180.663</v>
      </c>
      <c r="L731" s="799">
        <f t="shared" si="92"/>
        <v>1.2441650258648379E-2</v>
      </c>
      <c r="M731" s="894"/>
      <c r="N731" s="796"/>
    </row>
    <row r="732" spans="1:15" s="115" customFormat="1" x14ac:dyDescent="0.25">
      <c r="A732" s="396"/>
      <c r="B732" s="1004"/>
      <c r="C732" s="1004"/>
      <c r="D732" s="1004" t="s">
        <v>7684</v>
      </c>
      <c r="E732" s="854">
        <v>344903600000000</v>
      </c>
      <c r="F732" s="855" t="s">
        <v>10355</v>
      </c>
      <c r="G732" s="468">
        <v>1</v>
      </c>
      <c r="H732" s="468">
        <v>0</v>
      </c>
      <c r="I732" s="751"/>
      <c r="J732" s="789">
        <f>('Parâmetros financeiros Despesa'!E670)</f>
        <v>0</v>
      </c>
      <c r="K732" s="789">
        <f>('Parâmetros financeiros Despesa'!F670)*(1+'Parâmetros financeiros Despesa'!F$4)*(1+'Parâmetros financeiros Despesa'!F$7)</f>
        <v>1090.3315</v>
      </c>
      <c r="L732" s="799">
        <f t="shared" si="92"/>
        <v>6.2208251293241895E-3</v>
      </c>
      <c r="M732" s="894"/>
      <c r="N732" s="796"/>
    </row>
    <row r="733" spans="1:15" s="115" customFormat="1" x14ac:dyDescent="0.25">
      <c r="A733" s="396"/>
      <c r="B733" s="1398" t="s">
        <v>7685</v>
      </c>
      <c r="C733" s="1398"/>
      <c r="D733" s="1398"/>
      <c r="E733" s="854">
        <v>344903900000000</v>
      </c>
      <c r="F733" s="855" t="s">
        <v>10354</v>
      </c>
      <c r="G733" s="468">
        <v>1</v>
      </c>
      <c r="H733" s="468">
        <v>0</v>
      </c>
      <c r="I733" s="751"/>
      <c r="J733" s="789">
        <f>('Parâmetros financeiros Despesa'!E671+'Parâmetros financeiros Despesa'!E672)</f>
        <v>0</v>
      </c>
      <c r="K733" s="789">
        <f>('Parâmetros financeiros Despesa'!F671+'Parâmetros financeiros Despesa'!F672)*(1+'Parâmetros financeiros Despesa'!F$4)*(1+'Parâmetros financeiros Despesa'!F$7)</f>
        <v>2180.663</v>
      </c>
      <c r="L733" s="799">
        <f t="shared" si="92"/>
        <v>1.2441650258648379E-2</v>
      </c>
      <c r="M733" s="894"/>
      <c r="N733" s="796"/>
      <c r="O733" s="733"/>
    </row>
    <row r="734" spans="1:15" s="115" customFormat="1" x14ac:dyDescent="0.25">
      <c r="A734" s="396"/>
      <c r="B734" s="1004"/>
      <c r="C734" s="1004"/>
      <c r="D734" s="1004" t="s">
        <v>7686</v>
      </c>
      <c r="E734" s="854">
        <v>344905100000000</v>
      </c>
      <c r="F734" s="855" t="s">
        <v>10357</v>
      </c>
      <c r="G734" s="468">
        <v>1</v>
      </c>
      <c r="H734" s="468">
        <v>0</v>
      </c>
      <c r="I734" s="751"/>
      <c r="J734" s="789">
        <f>('Parâmetros financeiros Despesa'!E673)</f>
        <v>14543.625</v>
      </c>
      <c r="K734" s="789">
        <f>('Parâmetros financeiros Despesa'!F673)*(1+'Parâmetros financeiros Despesa'!F$4)*(1+'Parâmetros financeiros Despesa'!F$7)</f>
        <v>15857.372461687501</v>
      </c>
      <c r="L734" s="799">
        <f t="shared" si="92"/>
        <v>9.0473347871467519E-2</v>
      </c>
      <c r="M734" s="894"/>
      <c r="N734" s="796"/>
      <c r="O734" s="733"/>
    </row>
    <row r="735" spans="1:15" s="115" customFormat="1" x14ac:dyDescent="0.25">
      <c r="A735" s="396"/>
      <c r="B735" s="1385" t="s">
        <v>7446</v>
      </c>
      <c r="C735" s="1385"/>
      <c r="D735" s="1385"/>
      <c r="E735" s="1385"/>
      <c r="F735" s="1385"/>
      <c r="G735" s="401"/>
      <c r="H735" s="401"/>
      <c r="I735" s="426"/>
      <c r="J735" s="402">
        <f t="shared" ref="J735:K737" si="93">J736</f>
        <v>0</v>
      </c>
      <c r="K735" s="402">
        <f t="shared" si="93"/>
        <v>8286.5094000000008</v>
      </c>
      <c r="L735" s="451">
        <f t="shared" si="92"/>
        <v>4.7278213928425544E-2</v>
      </c>
      <c r="M735" s="894"/>
      <c r="O735" s="733"/>
    </row>
    <row r="736" spans="1:15" x14ac:dyDescent="0.25">
      <c r="A736" s="396"/>
      <c r="B736" s="1386" t="s">
        <v>7709</v>
      </c>
      <c r="C736" s="1386"/>
      <c r="D736" s="1386"/>
      <c r="E736" s="1386"/>
      <c r="F736" s="1386"/>
      <c r="G736" s="403"/>
      <c r="H736" s="403"/>
      <c r="I736" s="427"/>
      <c r="J736" s="404">
        <f t="shared" si="93"/>
        <v>0</v>
      </c>
      <c r="K736" s="404">
        <f t="shared" si="93"/>
        <v>8286.5094000000008</v>
      </c>
      <c r="L736" s="452">
        <f t="shared" si="92"/>
        <v>4.7278213928425544E-2</v>
      </c>
    </row>
    <row r="737" spans="1:15" x14ac:dyDescent="0.25">
      <c r="A737" s="396"/>
      <c r="B737" s="1382" t="s">
        <v>7711</v>
      </c>
      <c r="C737" s="1382"/>
      <c r="D737" s="1382"/>
      <c r="E737" s="1382"/>
      <c r="F737" s="1382"/>
      <c r="G737" s="405"/>
      <c r="H737" s="405"/>
      <c r="I737" s="428"/>
      <c r="J737" s="406">
        <f t="shared" si="93"/>
        <v>0</v>
      </c>
      <c r="K737" s="406">
        <f t="shared" si="93"/>
        <v>8286.5094000000008</v>
      </c>
      <c r="L737" s="453">
        <f t="shared" si="92"/>
        <v>4.7278213928425544E-2</v>
      </c>
    </row>
    <row r="738" spans="1:15" x14ac:dyDescent="0.25">
      <c r="A738" s="396"/>
      <c r="B738" s="1383" t="s">
        <v>7712</v>
      </c>
      <c r="C738" s="1383"/>
      <c r="D738" s="1383"/>
      <c r="E738" s="1383"/>
      <c r="F738" s="1383"/>
      <c r="G738" s="407"/>
      <c r="H738" s="407"/>
      <c r="I738" s="429"/>
      <c r="J738" s="408">
        <f>SUM(J739:J744)</f>
        <v>0</v>
      </c>
      <c r="K738" s="408">
        <f>SUM(K739:K744)-0.01</f>
        <v>8286.5094000000008</v>
      </c>
      <c r="L738" s="454">
        <f t="shared" si="92"/>
        <v>4.7278213928425544E-2</v>
      </c>
    </row>
    <row r="739" spans="1:15" s="115" customFormat="1" ht="30" x14ac:dyDescent="0.25">
      <c r="A739" s="396"/>
      <c r="B739" s="1398" t="s">
        <v>7687</v>
      </c>
      <c r="C739" s="1398"/>
      <c r="D739" s="1398"/>
      <c r="E739" s="854">
        <v>333904700000000</v>
      </c>
      <c r="F739" s="855" t="s">
        <v>7719</v>
      </c>
      <c r="G739" s="468">
        <v>1</v>
      </c>
      <c r="H739" s="468">
        <v>0</v>
      </c>
      <c r="I739" s="751"/>
      <c r="J739" s="789">
        <f>(('Parâmetros financeiros Despesa'!E676+'Parâmetros financeiros Despesa'!E677+'Parâmetros financeiros Despesa'!E679))</f>
        <v>0</v>
      </c>
      <c r="K739" s="789">
        <f>(('Parâmetros financeiros Despesa'!F676+'Parâmetros financeiros Despesa'!F677+'Parâmetros financeiros Despesa'!F679)*(1+'Parâmetros financeiros Despesa'!F$4)*(1+'Parâmetros financeiros Despesa'!F$7))*('Parâmetros financeiros Despesa'!F$83)</f>
        <v>654.19890000000009</v>
      </c>
      <c r="L739" s="799">
        <f t="shared" si="92"/>
        <v>3.7324950775945139E-3</v>
      </c>
      <c r="M739" s="894"/>
      <c r="N739" s="796"/>
      <c r="O739" s="733"/>
    </row>
    <row r="740" spans="1:15" s="115" customFormat="1" x14ac:dyDescent="0.25">
      <c r="A740" s="396"/>
      <c r="B740" s="1396">
        <v>113100</v>
      </c>
      <c r="C740" s="1396"/>
      <c r="D740" s="1396"/>
      <c r="E740" s="854">
        <v>344903000000000</v>
      </c>
      <c r="F740" s="855" t="s">
        <v>7720</v>
      </c>
      <c r="G740" s="468">
        <v>1</v>
      </c>
      <c r="H740" s="468">
        <v>0</v>
      </c>
      <c r="I740" s="751"/>
      <c r="J740" s="789">
        <f>('Parâmetros financeiros Despesa'!E675+'Parâmetros financeiros Despesa'!E676)</f>
        <v>0</v>
      </c>
      <c r="K740" s="789">
        <f>('Parâmetros financeiros Despesa'!F675+'Parâmetros financeiros Despesa'!F676)*(1+'Parâmetros financeiros Despesa'!F$4)*(1+'Parâmetros financeiros Despesa'!F$7)</f>
        <v>2180.663</v>
      </c>
      <c r="L740" s="799">
        <f t="shared" si="92"/>
        <v>1.2441650258648379E-2</v>
      </c>
      <c r="M740" s="894"/>
      <c r="N740" s="796"/>
    </row>
    <row r="741" spans="1:15" s="115" customFormat="1" x14ac:dyDescent="0.25">
      <c r="A741" s="396"/>
      <c r="B741" s="1004"/>
      <c r="C741" s="1004"/>
      <c r="D741" s="1004" t="s">
        <v>7688</v>
      </c>
      <c r="E741" s="854">
        <v>344903600000000</v>
      </c>
      <c r="F741" s="855" t="s">
        <v>7721</v>
      </c>
      <c r="G741" s="468">
        <v>1</v>
      </c>
      <c r="H741" s="468">
        <v>0</v>
      </c>
      <c r="I741" s="751"/>
      <c r="J741" s="789">
        <f>('Parâmetros financeiros Despesa'!E677)</f>
        <v>0</v>
      </c>
      <c r="K741" s="789">
        <f>('Parâmetros financeiros Despesa'!F677)*(1+'Parâmetros financeiros Despesa'!F$4)*(1+'Parâmetros financeiros Despesa'!F$7)</f>
        <v>1090.3315</v>
      </c>
      <c r="L741" s="799">
        <f t="shared" si="92"/>
        <v>6.2208251293241895E-3</v>
      </c>
      <c r="M741" s="894"/>
      <c r="N741" s="796"/>
    </row>
    <row r="742" spans="1:15" s="115" customFormat="1" x14ac:dyDescent="0.25">
      <c r="A742" s="396"/>
      <c r="B742" s="1398" t="s">
        <v>7689</v>
      </c>
      <c r="C742" s="1398"/>
      <c r="D742" s="1398"/>
      <c r="E742" s="854">
        <v>344903900000000</v>
      </c>
      <c r="F742" s="855" t="s">
        <v>7722</v>
      </c>
      <c r="G742" s="468">
        <v>1</v>
      </c>
      <c r="H742" s="468">
        <v>0</v>
      </c>
      <c r="I742" s="751"/>
      <c r="J742" s="789">
        <f>('Parâmetros financeiros Despesa'!E678+'Parâmetros financeiros Despesa'!E679)</f>
        <v>0</v>
      </c>
      <c r="K742" s="789">
        <f>('Parâmetros financeiros Despesa'!F678+'Parâmetros financeiros Despesa'!F679)*(1+'Parâmetros financeiros Despesa'!F$4)*(1+'Parâmetros financeiros Despesa'!F$7)</f>
        <v>2180.663</v>
      </c>
      <c r="L742" s="799">
        <f t="shared" si="92"/>
        <v>1.2441650258648379E-2</v>
      </c>
      <c r="M742" s="894"/>
      <c r="N742" s="796"/>
    </row>
    <row r="743" spans="1:15" s="115" customFormat="1" x14ac:dyDescent="0.25">
      <c r="A743" s="396"/>
      <c r="B743" s="1004"/>
      <c r="C743" s="1004"/>
      <c r="D743" s="1004" t="s">
        <v>7707</v>
      </c>
      <c r="E743" s="854">
        <v>344905100000000</v>
      </c>
      <c r="F743" s="855" t="s">
        <v>7738</v>
      </c>
      <c r="G743" s="468">
        <v>1</v>
      </c>
      <c r="H743" s="468">
        <v>0</v>
      </c>
      <c r="I743" s="751"/>
      <c r="J743" s="789">
        <f>('Parâmetros financeiros Despesa'!E680)</f>
        <v>0</v>
      </c>
      <c r="K743" s="789">
        <f>('Parâmetros financeiros Despesa'!F680)*(1+'Parâmetros financeiros Despesa'!F$4)*(1+'Parâmetros financeiros Despesa'!F$7)</f>
        <v>1090.3315</v>
      </c>
      <c r="L743" s="799">
        <f t="shared" si="92"/>
        <v>6.2208251293241895E-3</v>
      </c>
      <c r="M743" s="894"/>
      <c r="N743" s="796"/>
      <c r="O743" s="733"/>
    </row>
    <row r="744" spans="1:15" s="115" customFormat="1" x14ac:dyDescent="0.25">
      <c r="A744" s="396"/>
      <c r="B744" s="1398" t="s">
        <v>7780</v>
      </c>
      <c r="C744" s="1398"/>
      <c r="D744" s="1398"/>
      <c r="E744" s="854">
        <v>344905200000000</v>
      </c>
      <c r="F744" s="855" t="s">
        <v>7723</v>
      </c>
      <c r="G744" s="468">
        <v>1</v>
      </c>
      <c r="H744" s="468">
        <v>0</v>
      </c>
      <c r="I744" s="751"/>
      <c r="J744" s="789">
        <f>('Parâmetros financeiros Despesa'!E681)</f>
        <v>0</v>
      </c>
      <c r="K744" s="789">
        <f>('Parâmetros financeiros Despesa'!F681)*(1+'Parâmetros financeiros Despesa'!F$4)*(1+'Parâmetros financeiros Despesa'!F$7)</f>
        <v>1090.3315</v>
      </c>
      <c r="L744" s="799">
        <f t="shared" si="92"/>
        <v>6.2208251293241895E-3</v>
      </c>
      <c r="M744" s="894"/>
      <c r="N744" s="796"/>
      <c r="O744" s="733"/>
    </row>
    <row r="745" spans="1:15" s="115" customFormat="1" x14ac:dyDescent="0.25">
      <c r="A745" s="396"/>
      <c r="B745" s="1385" t="s">
        <v>7729</v>
      </c>
      <c r="C745" s="1385"/>
      <c r="D745" s="1385"/>
      <c r="E745" s="1385"/>
      <c r="F745" s="1385"/>
      <c r="G745" s="401"/>
      <c r="H745" s="401"/>
      <c r="I745" s="426"/>
      <c r="J745" s="402">
        <f t="shared" ref="J745:K747" si="94">J746</f>
        <v>299.99</v>
      </c>
      <c r="K745" s="402">
        <f t="shared" si="94"/>
        <v>7196.1778999999997</v>
      </c>
      <c r="L745" s="451">
        <f t="shared" si="92"/>
        <v>4.1057388799101348E-2</v>
      </c>
      <c r="M745" s="894"/>
      <c r="O745" s="733"/>
    </row>
    <row r="746" spans="1:15" x14ac:dyDescent="0.25">
      <c r="A746" s="396"/>
      <c r="B746" s="1386" t="s">
        <v>7730</v>
      </c>
      <c r="C746" s="1386"/>
      <c r="D746" s="1386"/>
      <c r="E746" s="1386"/>
      <c r="F746" s="1386"/>
      <c r="G746" s="403"/>
      <c r="H746" s="403"/>
      <c r="I746" s="427"/>
      <c r="J746" s="404">
        <f t="shared" si="94"/>
        <v>299.99</v>
      </c>
      <c r="K746" s="404">
        <f t="shared" si="94"/>
        <v>7196.1778999999997</v>
      </c>
      <c r="L746" s="452">
        <f t="shared" si="92"/>
        <v>4.1057388799101348E-2</v>
      </c>
      <c r="O746" s="1006"/>
    </row>
    <row r="747" spans="1:15" x14ac:dyDescent="0.25">
      <c r="A747" s="396"/>
      <c r="B747" s="1382" t="s">
        <v>7711</v>
      </c>
      <c r="C747" s="1382"/>
      <c r="D747" s="1382"/>
      <c r="E747" s="1382"/>
      <c r="F747" s="1382"/>
      <c r="G747" s="405"/>
      <c r="H747" s="405"/>
      <c r="I747" s="428"/>
      <c r="J747" s="406">
        <f t="shared" si="94"/>
        <v>299.99</v>
      </c>
      <c r="K747" s="406">
        <f t="shared" si="94"/>
        <v>7196.1778999999997</v>
      </c>
      <c r="L747" s="453">
        <f t="shared" si="92"/>
        <v>4.1057388799101348E-2</v>
      </c>
      <c r="O747" s="1006"/>
    </row>
    <row r="748" spans="1:15" x14ac:dyDescent="0.25">
      <c r="A748" s="396"/>
      <c r="B748" s="1383" t="s">
        <v>7712</v>
      </c>
      <c r="C748" s="1383"/>
      <c r="D748" s="1383"/>
      <c r="E748" s="1383"/>
      <c r="F748" s="1383"/>
      <c r="G748" s="407"/>
      <c r="H748" s="407"/>
      <c r="I748" s="429"/>
      <c r="J748" s="408">
        <f>SUM(J749:J753)-0.01</f>
        <v>299.99</v>
      </c>
      <c r="K748" s="408">
        <f>SUM(K749:K753)-0.01</f>
        <v>7196.1778999999997</v>
      </c>
      <c r="L748" s="454">
        <f t="shared" si="92"/>
        <v>4.1057388799101348E-2</v>
      </c>
      <c r="O748" s="1006"/>
    </row>
    <row r="749" spans="1:15" s="115" customFormat="1" x14ac:dyDescent="0.25">
      <c r="A749" s="396"/>
      <c r="B749" s="1396">
        <v>114000</v>
      </c>
      <c r="C749" s="1396"/>
      <c r="D749" s="1396"/>
      <c r="E749" s="854">
        <v>333903000000000</v>
      </c>
      <c r="F749" s="855" t="s">
        <v>7735</v>
      </c>
      <c r="G749" s="468">
        <v>1</v>
      </c>
      <c r="H749" s="468">
        <v>0</v>
      </c>
      <c r="I749" s="751"/>
      <c r="J749" s="789">
        <f>('Parâmetros financeiros Despesa'!E683+'Parâmetros financeiros Despesa'!E684)</f>
        <v>0</v>
      </c>
      <c r="K749" s="789">
        <f>('Parâmetros financeiros Despesa'!F683+'Parâmetros financeiros Despesa'!F684)*(1+'Parâmetros financeiros Despesa'!F$4)*(1+'Parâmetros financeiros Despesa'!F$7)</f>
        <v>2180.663</v>
      </c>
      <c r="L749" s="799">
        <f t="shared" si="92"/>
        <v>1.2441650258648379E-2</v>
      </c>
      <c r="M749" s="894"/>
      <c r="N749" s="796"/>
    </row>
    <row r="750" spans="1:15" s="115" customFormat="1" x14ac:dyDescent="0.25">
      <c r="A750" s="396"/>
      <c r="B750" s="1004"/>
      <c r="C750" s="1004"/>
      <c r="D750" s="1004" t="s">
        <v>7781</v>
      </c>
      <c r="E750" s="854">
        <v>333903600000000</v>
      </c>
      <c r="F750" s="855" t="s">
        <v>7737</v>
      </c>
      <c r="G750" s="468">
        <v>1</v>
      </c>
      <c r="H750" s="468">
        <v>0</v>
      </c>
      <c r="I750" s="751"/>
      <c r="J750" s="789">
        <f>('Parâmetros financeiros Despesa'!E685)</f>
        <v>0</v>
      </c>
      <c r="K750" s="789">
        <f>('Parâmetros financeiros Despesa'!F685)*(1+'Parâmetros financeiros Despesa'!F$4)*(1+'Parâmetros financeiros Despesa'!F$7)</f>
        <v>1090.3315</v>
      </c>
      <c r="L750" s="799">
        <f t="shared" si="92"/>
        <v>6.2208251293241895E-3</v>
      </c>
      <c r="M750" s="894"/>
      <c r="N750" s="796"/>
    </row>
    <row r="751" spans="1:15" s="115" customFormat="1" x14ac:dyDescent="0.25">
      <c r="A751" s="396"/>
      <c r="B751" s="1398" t="s">
        <v>7715</v>
      </c>
      <c r="C751" s="1398"/>
      <c r="D751" s="1398"/>
      <c r="E751" s="854">
        <v>333903900000000</v>
      </c>
      <c r="F751" s="855" t="s">
        <v>7736</v>
      </c>
      <c r="G751" s="468">
        <v>1</v>
      </c>
      <c r="H751" s="468">
        <v>0</v>
      </c>
      <c r="I751" s="751"/>
      <c r="J751" s="789">
        <f>('Parâmetros financeiros Despesa'!E686+'Parâmetros financeiros Despesa'!E687)</f>
        <v>300</v>
      </c>
      <c r="K751" s="789">
        <f>('Parâmetros financeiros Despesa'!F686+'Parâmetros financeiros Despesa'!F687)*(1+'Parâmetros financeiros Despesa'!F$4)*(1+'Parâmetros financeiros Despesa'!F$7)</f>
        <v>2180.663</v>
      </c>
      <c r="L751" s="799">
        <f t="shared" si="92"/>
        <v>1.2441650258648379E-2</v>
      </c>
      <c r="M751" s="894"/>
      <c r="N751" s="796"/>
      <c r="O751" s="733"/>
    </row>
    <row r="752" spans="1:15" s="115" customFormat="1" x14ac:dyDescent="0.25">
      <c r="A752" s="396"/>
      <c r="B752" s="1398" t="s">
        <v>7716</v>
      </c>
      <c r="C752" s="1398"/>
      <c r="D752" s="1398"/>
      <c r="E752" s="854">
        <v>333904700000000</v>
      </c>
      <c r="F752" s="855" t="s">
        <v>7734</v>
      </c>
      <c r="G752" s="468">
        <v>1</v>
      </c>
      <c r="H752" s="468">
        <v>0</v>
      </c>
      <c r="I752" s="751"/>
      <c r="J752" s="789">
        <f>(('Parâmetros financeiros Despesa'!E684+'Parâmetros financeiros Despesa'!E685+'Parâmetros financeiros Despesa'!E687))</f>
        <v>0</v>
      </c>
      <c r="K752" s="789">
        <f>(('Parâmetros financeiros Despesa'!F684+'Parâmetros financeiros Despesa'!F685+'Parâmetros financeiros Despesa'!F687)*(1+'Parâmetros financeiros Despesa'!F$4)*(1+'Parâmetros financeiros Despesa'!F$7))*('Parâmetros financeiros Despesa'!F$83)</f>
        <v>654.19890000000009</v>
      </c>
      <c r="L752" s="799">
        <f t="shared" si="92"/>
        <v>3.7324950775945139E-3</v>
      </c>
      <c r="M752" s="894"/>
      <c r="N752" s="796"/>
      <c r="O752" s="733"/>
    </row>
    <row r="753" spans="1:15" s="115" customFormat="1" x14ac:dyDescent="0.25">
      <c r="A753" s="396"/>
      <c r="B753" s="1398" t="s">
        <v>7717</v>
      </c>
      <c r="C753" s="1398"/>
      <c r="D753" s="1398"/>
      <c r="E753" s="854">
        <v>344905200000000</v>
      </c>
      <c r="F753" s="855" t="s">
        <v>7770</v>
      </c>
      <c r="G753" s="468">
        <v>1</v>
      </c>
      <c r="H753" s="468">
        <v>0</v>
      </c>
      <c r="I753" s="751"/>
      <c r="J753" s="789">
        <f>('Parâmetros financeiros Despesa'!E688)</f>
        <v>0</v>
      </c>
      <c r="K753" s="789">
        <f>('Parâmetros financeiros Despesa'!F688)*(1+'Parâmetros financeiros Despesa'!F$4)*(1+'Parâmetros financeiros Despesa'!F$7)</f>
        <v>1090.3315</v>
      </c>
      <c r="L753" s="799">
        <f t="shared" si="92"/>
        <v>6.2208251293241895E-3</v>
      </c>
      <c r="M753" s="894"/>
      <c r="N753" s="796"/>
      <c r="O753" s="733"/>
    </row>
    <row r="754" spans="1:15" s="115" customFormat="1" x14ac:dyDescent="0.25">
      <c r="A754" s="396"/>
      <c r="B754" s="1385" t="s">
        <v>7729</v>
      </c>
      <c r="C754" s="1385"/>
      <c r="D754" s="1385"/>
      <c r="E754" s="1385"/>
      <c r="F754" s="1385"/>
      <c r="G754" s="401"/>
      <c r="H754" s="401"/>
      <c r="I754" s="426"/>
      <c r="J754" s="402">
        <f t="shared" ref="J754:K756" si="95">J755</f>
        <v>0</v>
      </c>
      <c r="K754" s="402">
        <f t="shared" si="95"/>
        <v>8286.5094000000008</v>
      </c>
      <c r="L754" s="451">
        <f t="shared" si="92"/>
        <v>4.7278213928425544E-2</v>
      </c>
      <c r="M754" s="894"/>
      <c r="O754" s="733"/>
    </row>
    <row r="755" spans="1:15" x14ac:dyDescent="0.25">
      <c r="A755" s="396"/>
      <c r="B755" s="1386" t="s">
        <v>7731</v>
      </c>
      <c r="C755" s="1386"/>
      <c r="D755" s="1386"/>
      <c r="E755" s="1386"/>
      <c r="F755" s="1386"/>
      <c r="G755" s="403"/>
      <c r="H755" s="403"/>
      <c r="I755" s="427"/>
      <c r="J755" s="404">
        <f t="shared" si="95"/>
        <v>0</v>
      </c>
      <c r="K755" s="404">
        <f t="shared" si="95"/>
        <v>8286.5094000000008</v>
      </c>
      <c r="L755" s="452">
        <f t="shared" si="92"/>
        <v>4.7278213928425544E-2</v>
      </c>
    </row>
    <row r="756" spans="1:15" x14ac:dyDescent="0.25">
      <c r="A756" s="396"/>
      <c r="B756" s="1382" t="s">
        <v>7711</v>
      </c>
      <c r="C756" s="1382"/>
      <c r="D756" s="1382"/>
      <c r="E756" s="1382"/>
      <c r="F756" s="1382"/>
      <c r="G756" s="405"/>
      <c r="H756" s="405"/>
      <c r="I756" s="428"/>
      <c r="J756" s="406">
        <f t="shared" si="95"/>
        <v>0</v>
      </c>
      <c r="K756" s="406">
        <f t="shared" si="95"/>
        <v>8286.5094000000008</v>
      </c>
      <c r="L756" s="453">
        <f t="shared" si="92"/>
        <v>4.7278213928425544E-2</v>
      </c>
    </row>
    <row r="757" spans="1:15" x14ac:dyDescent="0.25">
      <c r="A757" s="396"/>
      <c r="B757" s="1383" t="s">
        <v>7712</v>
      </c>
      <c r="C757" s="1383"/>
      <c r="D757" s="1383"/>
      <c r="E757" s="1383"/>
      <c r="F757" s="1383"/>
      <c r="G757" s="407"/>
      <c r="H757" s="407"/>
      <c r="I757" s="429"/>
      <c r="J757" s="408">
        <f>SUM(J758:J763)</f>
        <v>0</v>
      </c>
      <c r="K757" s="408">
        <f>SUM(K758:K763)-0.01</f>
        <v>8286.5094000000008</v>
      </c>
      <c r="L757" s="454">
        <f t="shared" si="92"/>
        <v>4.7278213928425544E-2</v>
      </c>
    </row>
    <row r="758" spans="1:15" s="115" customFormat="1" x14ac:dyDescent="0.25">
      <c r="A758" s="396"/>
      <c r="B758" s="1398" t="s">
        <v>7724</v>
      </c>
      <c r="C758" s="1398"/>
      <c r="D758" s="1398"/>
      <c r="E758" s="854">
        <v>333903000000000</v>
      </c>
      <c r="F758" s="855" t="s">
        <v>7750</v>
      </c>
      <c r="G758" s="468">
        <v>1</v>
      </c>
      <c r="H758" s="468">
        <v>0</v>
      </c>
      <c r="I758" s="751"/>
      <c r="J758" s="789">
        <f>('Parâmetros financeiros Despesa'!E690)</f>
        <v>0</v>
      </c>
      <c r="K758" s="789">
        <f>('Parâmetros financeiros Despesa'!F690)*(1+'Parâmetros financeiros Despesa'!F$4)*(1+'Parâmetros financeiros Despesa'!F$7)</f>
        <v>1090.3315</v>
      </c>
      <c r="L758" s="799">
        <f t="shared" ref="L758:L789" si="96">K758/K$819</f>
        <v>6.2208251293241895E-3</v>
      </c>
      <c r="M758" s="894"/>
      <c r="N758" s="796"/>
      <c r="O758" s="733"/>
    </row>
    <row r="759" spans="1:15" s="115" customFormat="1" x14ac:dyDescent="0.25">
      <c r="A759" s="396"/>
      <c r="B759" s="1396">
        <v>115100</v>
      </c>
      <c r="C759" s="1396"/>
      <c r="D759" s="1396"/>
      <c r="E759" s="854">
        <v>333903600000000</v>
      </c>
      <c r="F759" s="855" t="s">
        <v>7751</v>
      </c>
      <c r="G759" s="468">
        <v>1</v>
      </c>
      <c r="H759" s="468">
        <v>0</v>
      </c>
      <c r="I759" s="751"/>
      <c r="J759" s="789">
        <f>('Parâmetros financeiros Despesa'!E691)</f>
        <v>0</v>
      </c>
      <c r="K759" s="789">
        <f>('Parâmetros financeiros Despesa'!F691)*(1+'Parâmetros financeiros Despesa'!F$4)*(1+'Parâmetros financeiros Despesa'!F$7)</f>
        <v>3270.9945000000002</v>
      </c>
      <c r="L759" s="799">
        <f t="shared" si="96"/>
        <v>1.8662475387972569E-2</v>
      </c>
      <c r="M759" s="894"/>
      <c r="N759" s="796"/>
      <c r="O759" s="733"/>
    </row>
    <row r="760" spans="1:15" s="115" customFormat="1" x14ac:dyDescent="0.25">
      <c r="A760" s="396"/>
      <c r="B760" s="1004"/>
      <c r="C760" s="1004"/>
      <c r="D760" s="1004" t="s">
        <v>7725</v>
      </c>
      <c r="E760" s="854">
        <v>333903900000000</v>
      </c>
      <c r="F760" s="855" t="s">
        <v>7760</v>
      </c>
      <c r="G760" s="468">
        <v>1</v>
      </c>
      <c r="H760" s="468">
        <v>0</v>
      </c>
      <c r="I760" s="751"/>
      <c r="J760" s="789">
        <f>('Parâmetros financeiros Despesa'!E692)</f>
        <v>0</v>
      </c>
      <c r="K760" s="789">
        <f>('Parâmetros financeiros Despesa'!F692)*(1+'Parâmetros financeiros Despesa'!F$4)*(1+'Parâmetros financeiros Despesa'!F$7)</f>
        <v>1090.3315</v>
      </c>
      <c r="L760" s="799">
        <f t="shared" si="96"/>
        <v>6.2208251293241895E-3</v>
      </c>
      <c r="M760" s="894"/>
      <c r="N760" s="796"/>
      <c r="O760" s="733"/>
    </row>
    <row r="761" spans="1:15" s="115" customFormat="1" x14ac:dyDescent="0.25">
      <c r="A761" s="396"/>
      <c r="B761" s="1398" t="s">
        <v>7726</v>
      </c>
      <c r="C761" s="1398"/>
      <c r="D761" s="1398"/>
      <c r="E761" s="854">
        <v>333904700000000</v>
      </c>
      <c r="F761" s="855" t="s">
        <v>7749</v>
      </c>
      <c r="G761" s="468">
        <v>1</v>
      </c>
      <c r="H761" s="468">
        <v>0</v>
      </c>
      <c r="I761" s="751"/>
      <c r="J761" s="789">
        <f>(('Parâmetros financeiros Despesa'!E691))</f>
        <v>0</v>
      </c>
      <c r="K761" s="789">
        <f>(('Parâmetros financeiros Despesa'!F691)*(1+'Parâmetros financeiros Despesa'!F$4)*(1+'Parâmetros financeiros Despesa'!F$7))*('Parâmetros financeiros Despesa'!F$83)</f>
        <v>654.19890000000009</v>
      </c>
      <c r="L761" s="799">
        <f t="shared" si="96"/>
        <v>3.7324950775945139E-3</v>
      </c>
      <c r="M761" s="894"/>
      <c r="N761" s="796"/>
      <c r="O761" s="733"/>
    </row>
    <row r="762" spans="1:15" s="115" customFormat="1" x14ac:dyDescent="0.25">
      <c r="A762" s="396"/>
      <c r="B762" s="1004"/>
      <c r="C762" s="1004"/>
      <c r="D762" s="1004" t="s">
        <v>7727</v>
      </c>
      <c r="E762" s="854">
        <v>344905100000000</v>
      </c>
      <c r="F762" s="855" t="s">
        <v>7752</v>
      </c>
      <c r="G762" s="468">
        <v>1</v>
      </c>
      <c r="H762" s="468">
        <v>0</v>
      </c>
      <c r="I762" s="751"/>
      <c r="J762" s="789">
        <f>('Parâmetros financeiros Despesa'!E693)</f>
        <v>0</v>
      </c>
      <c r="K762" s="789">
        <f>('Parâmetros financeiros Despesa'!F693)*(1+'Parâmetros financeiros Despesa'!F$4)*(1+'Parâmetros financeiros Despesa'!F$7)</f>
        <v>1090.3315</v>
      </c>
      <c r="L762" s="799">
        <f t="shared" si="96"/>
        <v>6.2208251293241895E-3</v>
      </c>
      <c r="M762" s="894"/>
      <c r="N762" s="796"/>
      <c r="O762" s="733"/>
    </row>
    <row r="763" spans="1:15" s="115" customFormat="1" x14ac:dyDescent="0.25">
      <c r="A763" s="396"/>
      <c r="B763" s="1398" t="s">
        <v>7728</v>
      </c>
      <c r="C763" s="1398"/>
      <c r="D763" s="1398"/>
      <c r="E763" s="854">
        <v>344905200000000</v>
      </c>
      <c r="F763" s="855" t="s">
        <v>7753</v>
      </c>
      <c r="G763" s="468">
        <v>1</v>
      </c>
      <c r="H763" s="468">
        <v>0</v>
      </c>
      <c r="I763" s="751"/>
      <c r="J763" s="789">
        <f>('Parâmetros financeiros Despesa'!E694)</f>
        <v>0</v>
      </c>
      <c r="K763" s="789">
        <f>('Parâmetros financeiros Despesa'!F694)*(1+'Parâmetros financeiros Despesa'!F$4)*(1+'Parâmetros financeiros Despesa'!F$7)</f>
        <v>1090.3315</v>
      </c>
      <c r="L763" s="799">
        <f t="shared" si="96"/>
        <v>6.2208251293241895E-3</v>
      </c>
      <c r="M763" s="894"/>
      <c r="N763" s="796"/>
      <c r="O763" s="733"/>
    </row>
    <row r="764" spans="1:15" s="115" customFormat="1" x14ac:dyDescent="0.25">
      <c r="A764" s="396"/>
      <c r="B764" s="1385" t="s">
        <v>7729</v>
      </c>
      <c r="C764" s="1385"/>
      <c r="D764" s="1385"/>
      <c r="E764" s="1385"/>
      <c r="F764" s="1385"/>
      <c r="G764" s="401"/>
      <c r="H764" s="401"/>
      <c r="I764" s="426"/>
      <c r="J764" s="402">
        <f t="shared" ref="J764:K766" si="97">J765</f>
        <v>0</v>
      </c>
      <c r="K764" s="402">
        <f t="shared" si="97"/>
        <v>5669.7237999999998</v>
      </c>
      <c r="L764" s="451">
        <f t="shared" si="96"/>
        <v>3.2348290672485784E-2</v>
      </c>
      <c r="M764" s="894"/>
      <c r="O764" s="733"/>
    </row>
    <row r="765" spans="1:15" x14ac:dyDescent="0.25">
      <c r="A765" s="396"/>
      <c r="B765" s="1386" t="s">
        <v>7732</v>
      </c>
      <c r="C765" s="1386"/>
      <c r="D765" s="1386"/>
      <c r="E765" s="1386"/>
      <c r="F765" s="1386"/>
      <c r="G765" s="403"/>
      <c r="H765" s="403"/>
      <c r="I765" s="427"/>
      <c r="J765" s="404">
        <f t="shared" si="97"/>
        <v>0</v>
      </c>
      <c r="K765" s="404">
        <f t="shared" si="97"/>
        <v>5669.7237999999998</v>
      </c>
      <c r="L765" s="452">
        <f t="shared" si="96"/>
        <v>3.2348290672485784E-2</v>
      </c>
    </row>
    <row r="766" spans="1:15" x14ac:dyDescent="0.25">
      <c r="A766" s="396"/>
      <c r="B766" s="1382" t="s">
        <v>7711</v>
      </c>
      <c r="C766" s="1382"/>
      <c r="D766" s="1382"/>
      <c r="E766" s="1382"/>
      <c r="F766" s="1382"/>
      <c r="G766" s="405"/>
      <c r="H766" s="405"/>
      <c r="I766" s="428"/>
      <c r="J766" s="406">
        <f t="shared" si="97"/>
        <v>0</v>
      </c>
      <c r="K766" s="406">
        <f t="shared" si="97"/>
        <v>5669.7237999999998</v>
      </c>
      <c r="L766" s="453">
        <f t="shared" si="96"/>
        <v>3.2348290672485784E-2</v>
      </c>
    </row>
    <row r="767" spans="1:15" x14ac:dyDescent="0.25">
      <c r="A767" s="396"/>
      <c r="B767" s="1383" t="s">
        <v>7712</v>
      </c>
      <c r="C767" s="1383"/>
      <c r="D767" s="1383"/>
      <c r="E767" s="1383"/>
      <c r="F767" s="1383"/>
      <c r="G767" s="407"/>
      <c r="H767" s="407"/>
      <c r="I767" s="429"/>
      <c r="J767" s="408">
        <f>SUM(J768:J773)</f>
        <v>0</v>
      </c>
      <c r="K767" s="408">
        <f>SUM(K768:K773)</f>
        <v>5669.7237999999998</v>
      </c>
      <c r="L767" s="454">
        <f t="shared" si="96"/>
        <v>3.2348290672485784E-2</v>
      </c>
    </row>
    <row r="768" spans="1:15" s="115" customFormat="1" x14ac:dyDescent="0.25">
      <c r="A768" s="396"/>
      <c r="B768" s="1398" t="s">
        <v>7739</v>
      </c>
      <c r="C768" s="1398"/>
      <c r="D768" s="1398"/>
      <c r="E768" s="854">
        <v>333903000000000</v>
      </c>
      <c r="F768" s="855" t="s">
        <v>7755</v>
      </c>
      <c r="G768" s="468">
        <v>1</v>
      </c>
      <c r="H768" s="468">
        <v>0</v>
      </c>
      <c r="I768" s="751"/>
      <c r="J768" s="789">
        <f>('Parâmetros financeiros Despesa'!E696)</f>
        <v>0</v>
      </c>
      <c r="K768" s="789">
        <f>('Parâmetros financeiros Despesa'!F696)*(1+'Parâmetros financeiros Despesa'!F$4)*(1+'Parâmetros financeiros Despesa'!F$7)</f>
        <v>1090.3315</v>
      </c>
      <c r="L768" s="799">
        <f t="shared" si="96"/>
        <v>6.2208251293241895E-3</v>
      </c>
      <c r="M768" s="894"/>
      <c r="N768" s="796"/>
      <c r="O768" s="733"/>
    </row>
    <row r="769" spans="1:15" s="115" customFormat="1" x14ac:dyDescent="0.25">
      <c r="A769" s="396"/>
      <c r="B769" s="1396">
        <v>116100</v>
      </c>
      <c r="C769" s="1396"/>
      <c r="D769" s="1396"/>
      <c r="E769" s="854">
        <v>333903600000000</v>
      </c>
      <c r="F769" s="855" t="s">
        <v>7756</v>
      </c>
      <c r="G769" s="468">
        <v>1</v>
      </c>
      <c r="H769" s="468">
        <v>0</v>
      </c>
      <c r="I769" s="751"/>
      <c r="J769" s="789">
        <f>('Parâmetros financeiros Despesa'!E697)</f>
        <v>0</v>
      </c>
      <c r="K769" s="789">
        <f>('Parâmetros financeiros Despesa'!F697)*(1+'Parâmetros financeiros Despesa'!F$4)*(1+'Parâmetros financeiros Despesa'!F$7)</f>
        <v>1090.3315</v>
      </c>
      <c r="L769" s="799">
        <f t="shared" si="96"/>
        <v>6.2208251293241895E-3</v>
      </c>
      <c r="M769" s="894"/>
      <c r="N769" s="796"/>
      <c r="O769" s="733"/>
    </row>
    <row r="770" spans="1:15" s="115" customFormat="1" x14ac:dyDescent="0.25">
      <c r="A770" s="396"/>
      <c r="B770" s="1004"/>
      <c r="C770" s="1004"/>
      <c r="D770" s="1004" t="s">
        <v>7740</v>
      </c>
      <c r="E770" s="854">
        <v>333903900000000</v>
      </c>
      <c r="F770" s="855" t="s">
        <v>7759</v>
      </c>
      <c r="G770" s="468">
        <v>1</v>
      </c>
      <c r="H770" s="468">
        <v>0</v>
      </c>
      <c r="I770" s="751"/>
      <c r="J770" s="789">
        <f>('Parâmetros financeiros Despesa'!E698)</f>
        <v>0</v>
      </c>
      <c r="K770" s="789">
        <f>('Parâmetros financeiros Despesa'!F698)*(1+'Parâmetros financeiros Despesa'!F$4)*(1+'Parâmetros financeiros Despesa'!F$7)</f>
        <v>1090.3315</v>
      </c>
      <c r="L770" s="799">
        <f t="shared" si="96"/>
        <v>6.2208251293241895E-3</v>
      </c>
      <c r="M770" s="894"/>
      <c r="N770" s="796"/>
      <c r="O770" s="733"/>
    </row>
    <row r="771" spans="1:15" s="115" customFormat="1" x14ac:dyDescent="0.25">
      <c r="A771" s="396"/>
      <c r="B771" s="1398" t="s">
        <v>7741</v>
      </c>
      <c r="C771" s="1398"/>
      <c r="D771" s="1398"/>
      <c r="E771" s="854">
        <v>333904700000000</v>
      </c>
      <c r="F771" s="855" t="s">
        <v>7754</v>
      </c>
      <c r="G771" s="468">
        <v>1</v>
      </c>
      <c r="H771" s="468">
        <v>0</v>
      </c>
      <c r="I771" s="751"/>
      <c r="J771" s="789">
        <f>(('Parâmetros financeiros Despesa'!E697))</f>
        <v>0</v>
      </c>
      <c r="K771" s="789">
        <f>(('Parâmetros financeiros Despesa'!F697)*(1+'Parâmetros financeiros Despesa'!F$4)*(1+'Parâmetros financeiros Despesa'!F$7))*('Parâmetros financeiros Despesa'!F$83)</f>
        <v>218.06630000000001</v>
      </c>
      <c r="L771" s="799">
        <f t="shared" si="96"/>
        <v>1.2441650258648378E-3</v>
      </c>
      <c r="M771" s="894"/>
      <c r="N771" s="796"/>
      <c r="O771" s="733"/>
    </row>
    <row r="772" spans="1:15" s="115" customFormat="1" x14ac:dyDescent="0.25">
      <c r="A772" s="396"/>
      <c r="B772" s="1004"/>
      <c r="C772" s="1004"/>
      <c r="D772" s="1004" t="s">
        <v>7742</v>
      </c>
      <c r="E772" s="854">
        <v>344905100000000</v>
      </c>
      <c r="F772" s="855" t="s">
        <v>7757</v>
      </c>
      <c r="G772" s="468">
        <v>1</v>
      </c>
      <c r="H772" s="468">
        <v>0</v>
      </c>
      <c r="I772" s="751"/>
      <c r="J772" s="789">
        <f>('Parâmetros financeiros Despesa'!E699)</f>
        <v>0</v>
      </c>
      <c r="K772" s="789">
        <f>('Parâmetros financeiros Despesa'!F699)*(1+'Parâmetros financeiros Despesa'!F$4)*(1+'Parâmetros financeiros Despesa'!F$7)</f>
        <v>1090.3315</v>
      </c>
      <c r="L772" s="799">
        <f t="shared" si="96"/>
        <v>6.2208251293241895E-3</v>
      </c>
      <c r="M772" s="894"/>
      <c r="N772" s="796"/>
      <c r="O772" s="733"/>
    </row>
    <row r="773" spans="1:15" s="115" customFormat="1" x14ac:dyDescent="0.25">
      <c r="A773" s="396"/>
      <c r="B773" s="1398" t="s">
        <v>7743</v>
      </c>
      <c r="C773" s="1398"/>
      <c r="D773" s="1398"/>
      <c r="E773" s="854">
        <v>344905200000000</v>
      </c>
      <c r="F773" s="855" t="s">
        <v>7758</v>
      </c>
      <c r="G773" s="468">
        <v>1</v>
      </c>
      <c r="H773" s="468">
        <v>0</v>
      </c>
      <c r="I773" s="751"/>
      <c r="J773" s="789">
        <f>('Parâmetros financeiros Despesa'!E700)</f>
        <v>0</v>
      </c>
      <c r="K773" s="789">
        <f>('Parâmetros financeiros Despesa'!F700)*(1+'Parâmetros financeiros Despesa'!F$4)*(1+'Parâmetros financeiros Despesa'!F$7)</f>
        <v>1090.3315</v>
      </c>
      <c r="L773" s="799">
        <f t="shared" si="96"/>
        <v>6.2208251293241895E-3</v>
      </c>
      <c r="M773" s="894"/>
      <c r="N773" s="796"/>
      <c r="O773" s="733"/>
    </row>
    <row r="774" spans="1:15" s="115" customFormat="1" x14ac:dyDescent="0.25">
      <c r="A774" s="396"/>
      <c r="B774" s="1385" t="s">
        <v>7729</v>
      </c>
      <c r="C774" s="1385"/>
      <c r="D774" s="1385"/>
      <c r="E774" s="1385"/>
      <c r="F774" s="1385"/>
      <c r="G774" s="401"/>
      <c r="H774" s="401"/>
      <c r="I774" s="426"/>
      <c r="J774" s="402">
        <f t="shared" ref="J774:K776" si="98">J775</f>
        <v>0</v>
      </c>
      <c r="K774" s="402">
        <f t="shared" si="98"/>
        <v>5669.7237999999998</v>
      </c>
      <c r="L774" s="451">
        <f t="shared" si="96"/>
        <v>3.2348290672485784E-2</v>
      </c>
      <c r="M774" s="894"/>
      <c r="O774" s="733"/>
    </row>
    <row r="775" spans="1:15" x14ac:dyDescent="0.25">
      <c r="A775" s="396"/>
      <c r="B775" s="1386" t="s">
        <v>7733</v>
      </c>
      <c r="C775" s="1386"/>
      <c r="D775" s="1386"/>
      <c r="E775" s="1386"/>
      <c r="F775" s="1386"/>
      <c r="G775" s="403"/>
      <c r="H775" s="403"/>
      <c r="I775" s="427"/>
      <c r="J775" s="404">
        <f t="shared" si="98"/>
        <v>0</v>
      </c>
      <c r="K775" s="404">
        <f t="shared" si="98"/>
        <v>5669.7237999999998</v>
      </c>
      <c r="L775" s="452">
        <f t="shared" si="96"/>
        <v>3.2348290672485784E-2</v>
      </c>
      <c r="O775" s="1006"/>
    </row>
    <row r="776" spans="1:15" x14ac:dyDescent="0.25">
      <c r="A776" s="396"/>
      <c r="B776" s="1382" t="s">
        <v>7711</v>
      </c>
      <c r="C776" s="1382"/>
      <c r="D776" s="1382"/>
      <c r="E776" s="1382"/>
      <c r="F776" s="1382"/>
      <c r="G776" s="405"/>
      <c r="H776" s="405"/>
      <c r="I776" s="428"/>
      <c r="J776" s="406">
        <f t="shared" si="98"/>
        <v>0</v>
      </c>
      <c r="K776" s="406">
        <f t="shared" si="98"/>
        <v>5669.7237999999998</v>
      </c>
      <c r="L776" s="453">
        <f t="shared" si="96"/>
        <v>3.2348290672485784E-2</v>
      </c>
      <c r="O776" s="1006"/>
    </row>
    <row r="777" spans="1:15" x14ac:dyDescent="0.25">
      <c r="A777" s="396"/>
      <c r="B777" s="1383" t="s">
        <v>7712</v>
      </c>
      <c r="C777" s="1383"/>
      <c r="D777" s="1383"/>
      <c r="E777" s="1383"/>
      <c r="F777" s="1383"/>
      <c r="G777" s="407"/>
      <c r="H777" s="407"/>
      <c r="I777" s="429"/>
      <c r="J777" s="408">
        <f>SUM(J778:J783)</f>
        <v>0</v>
      </c>
      <c r="K777" s="408">
        <f>SUM(K778:K783)</f>
        <v>5669.7237999999998</v>
      </c>
      <c r="L777" s="454">
        <f t="shared" si="96"/>
        <v>3.2348290672485784E-2</v>
      </c>
      <c r="O777" s="1006"/>
    </row>
    <row r="778" spans="1:15" s="115" customFormat="1" x14ac:dyDescent="0.25">
      <c r="A778" s="396"/>
      <c r="B778" s="1398" t="s">
        <v>7744</v>
      </c>
      <c r="C778" s="1398"/>
      <c r="D778" s="1398"/>
      <c r="E778" s="854">
        <v>333903000000000</v>
      </c>
      <c r="F778" s="855" t="s">
        <v>7809</v>
      </c>
      <c r="G778" s="468">
        <v>1</v>
      </c>
      <c r="H778" s="468">
        <v>0</v>
      </c>
      <c r="I778" s="751"/>
      <c r="J778" s="789">
        <f>('Parâmetros financeiros Despesa'!E702)</f>
        <v>0</v>
      </c>
      <c r="K778" s="789">
        <f>('Parâmetros financeiros Despesa'!F702)*(1+'Parâmetros financeiros Despesa'!F$4)*(1+'Parâmetros financeiros Despesa'!F$7)</f>
        <v>1090.3315</v>
      </c>
      <c r="L778" s="799">
        <f t="shared" si="96"/>
        <v>6.2208251293241895E-3</v>
      </c>
      <c r="M778" s="894"/>
      <c r="N778" s="796"/>
    </row>
    <row r="779" spans="1:15" s="115" customFormat="1" x14ac:dyDescent="0.25">
      <c r="A779" s="396"/>
      <c r="B779" s="1396">
        <v>117100</v>
      </c>
      <c r="C779" s="1396"/>
      <c r="D779" s="1396"/>
      <c r="E779" s="854">
        <v>333903600000000</v>
      </c>
      <c r="F779" s="855" t="s">
        <v>7810</v>
      </c>
      <c r="G779" s="468">
        <v>1</v>
      </c>
      <c r="H779" s="468">
        <v>0</v>
      </c>
      <c r="I779" s="751"/>
      <c r="J779" s="789">
        <f>('Parâmetros financeiros Despesa'!E703)</f>
        <v>0</v>
      </c>
      <c r="K779" s="789">
        <f>('Parâmetros financeiros Despesa'!F703)*(1+'Parâmetros financeiros Despesa'!F$4)*(1+'Parâmetros financeiros Despesa'!F$7)</f>
        <v>1090.3315</v>
      </c>
      <c r="L779" s="799">
        <f t="shared" si="96"/>
        <v>6.2208251293241895E-3</v>
      </c>
      <c r="M779" s="894"/>
      <c r="N779" s="796"/>
    </row>
    <row r="780" spans="1:15" s="115" customFormat="1" x14ac:dyDescent="0.25">
      <c r="A780" s="396"/>
      <c r="B780" s="1004"/>
      <c r="C780" s="1004"/>
      <c r="D780" s="1004" t="s">
        <v>7745</v>
      </c>
      <c r="E780" s="854">
        <v>333903900000000</v>
      </c>
      <c r="F780" s="855" t="s">
        <v>7811</v>
      </c>
      <c r="G780" s="468">
        <v>1</v>
      </c>
      <c r="H780" s="468">
        <v>0</v>
      </c>
      <c r="I780" s="751"/>
      <c r="J780" s="789">
        <f>('Parâmetros financeiros Despesa'!E704)</f>
        <v>0</v>
      </c>
      <c r="K780" s="789">
        <f>('Parâmetros financeiros Despesa'!F704)*(1+'Parâmetros financeiros Despesa'!F$4)*(1+'Parâmetros financeiros Despesa'!F$7)</f>
        <v>1090.3315</v>
      </c>
      <c r="L780" s="799">
        <f t="shared" si="96"/>
        <v>6.2208251293241895E-3</v>
      </c>
      <c r="M780" s="894"/>
      <c r="N780" s="796"/>
    </row>
    <row r="781" spans="1:15" s="115" customFormat="1" x14ac:dyDescent="0.25">
      <c r="A781" s="396"/>
      <c r="B781" s="1398" t="s">
        <v>7746</v>
      </c>
      <c r="C781" s="1398"/>
      <c r="D781" s="1398"/>
      <c r="E781" s="854">
        <v>333904700000000</v>
      </c>
      <c r="F781" s="855" t="s">
        <v>7812</v>
      </c>
      <c r="G781" s="468">
        <v>1</v>
      </c>
      <c r="H781" s="468">
        <v>0</v>
      </c>
      <c r="I781" s="751"/>
      <c r="J781" s="789">
        <f>(('Parâmetros financeiros Despesa'!E703))</f>
        <v>0</v>
      </c>
      <c r="K781" s="789">
        <f>(('Parâmetros financeiros Despesa'!F703)*(1+'Parâmetros financeiros Despesa'!F$4)*(1+'Parâmetros financeiros Despesa'!F$7))*('Parâmetros financeiros Despesa'!F$83)</f>
        <v>218.06630000000001</v>
      </c>
      <c r="L781" s="799">
        <f t="shared" si="96"/>
        <v>1.2441650258648378E-3</v>
      </c>
      <c r="M781" s="894"/>
      <c r="N781" s="796"/>
    </row>
    <row r="782" spans="1:15" s="115" customFormat="1" x14ac:dyDescent="0.25">
      <c r="A782" s="396"/>
      <c r="B782" s="1004"/>
      <c r="C782" s="1004"/>
      <c r="D782" s="1004" t="s">
        <v>7747</v>
      </c>
      <c r="E782" s="854">
        <v>344905100000000</v>
      </c>
      <c r="F782" s="855" t="s">
        <v>7813</v>
      </c>
      <c r="G782" s="468">
        <v>1</v>
      </c>
      <c r="H782" s="468">
        <v>0</v>
      </c>
      <c r="I782" s="751"/>
      <c r="J782" s="789">
        <f>('Parâmetros financeiros Despesa'!E705)</f>
        <v>0</v>
      </c>
      <c r="K782" s="789">
        <f>('Parâmetros financeiros Despesa'!F705)*(1+'Parâmetros financeiros Despesa'!F$4)*(1+'Parâmetros financeiros Despesa'!F$7)</f>
        <v>1090.3315</v>
      </c>
      <c r="L782" s="799">
        <f t="shared" si="96"/>
        <v>6.2208251293241895E-3</v>
      </c>
      <c r="M782" s="894"/>
      <c r="N782" s="796"/>
    </row>
    <row r="783" spans="1:15" s="115" customFormat="1" x14ac:dyDescent="0.25">
      <c r="A783" s="396"/>
      <c r="B783" s="1398" t="s">
        <v>7748</v>
      </c>
      <c r="C783" s="1398"/>
      <c r="D783" s="1398"/>
      <c r="E783" s="854">
        <v>344905200000000</v>
      </c>
      <c r="F783" s="855" t="s">
        <v>7814</v>
      </c>
      <c r="G783" s="468">
        <v>1</v>
      </c>
      <c r="H783" s="468">
        <v>0</v>
      </c>
      <c r="I783" s="751"/>
      <c r="J783" s="789">
        <f>('Parâmetros financeiros Despesa'!E706)</f>
        <v>0</v>
      </c>
      <c r="K783" s="789">
        <f>('Parâmetros financeiros Despesa'!F706)*(1+'Parâmetros financeiros Despesa'!F$4)*(1+'Parâmetros financeiros Despesa'!F$7)</f>
        <v>1090.3315</v>
      </c>
      <c r="L783" s="799">
        <f t="shared" si="96"/>
        <v>6.2208251293241895E-3</v>
      </c>
      <c r="M783" s="894"/>
      <c r="N783" s="796"/>
      <c r="O783" s="733"/>
    </row>
    <row r="784" spans="1:15" s="115" customFormat="1" x14ac:dyDescent="0.25">
      <c r="A784" s="396"/>
      <c r="B784" s="1385" t="s">
        <v>7729</v>
      </c>
      <c r="C784" s="1385"/>
      <c r="D784" s="1385"/>
      <c r="E784" s="1385"/>
      <c r="F784" s="1385"/>
      <c r="G784" s="401"/>
      <c r="H784" s="401"/>
      <c r="I784" s="426"/>
      <c r="J784" s="402">
        <f t="shared" ref="J784:K786" si="99">J785</f>
        <v>0</v>
      </c>
      <c r="K784" s="402">
        <f t="shared" si="99"/>
        <v>26618.133900000001</v>
      </c>
      <c r="L784" s="451">
        <f t="shared" si="96"/>
        <v>0.15186826782573565</v>
      </c>
      <c r="M784" s="894"/>
      <c r="O784" s="733"/>
    </row>
    <row r="785" spans="1:15" x14ac:dyDescent="0.25">
      <c r="A785" s="396"/>
      <c r="B785" s="1386" t="s">
        <v>7771</v>
      </c>
      <c r="C785" s="1386"/>
      <c r="D785" s="1386"/>
      <c r="E785" s="1386"/>
      <c r="F785" s="1386"/>
      <c r="G785" s="403"/>
      <c r="H785" s="403"/>
      <c r="I785" s="427"/>
      <c r="J785" s="404">
        <f t="shared" si="99"/>
        <v>0</v>
      </c>
      <c r="K785" s="404">
        <f t="shared" si="99"/>
        <v>26618.133900000001</v>
      </c>
      <c r="L785" s="452">
        <f t="shared" si="96"/>
        <v>0.15186826782573565</v>
      </c>
    </row>
    <row r="786" spans="1:15" x14ac:dyDescent="0.25">
      <c r="A786" s="396"/>
      <c r="B786" s="1382" t="s">
        <v>7711</v>
      </c>
      <c r="C786" s="1382"/>
      <c r="D786" s="1382"/>
      <c r="E786" s="1382"/>
      <c r="F786" s="1382"/>
      <c r="G786" s="405"/>
      <c r="H786" s="405"/>
      <c r="I786" s="428"/>
      <c r="J786" s="406">
        <f t="shared" si="99"/>
        <v>0</v>
      </c>
      <c r="K786" s="406">
        <f t="shared" si="99"/>
        <v>26618.133900000001</v>
      </c>
      <c r="L786" s="453">
        <f t="shared" si="96"/>
        <v>0.15186826782573565</v>
      </c>
    </row>
    <row r="787" spans="1:15" x14ac:dyDescent="0.25">
      <c r="A787" s="396"/>
      <c r="B787" s="1383" t="s">
        <v>7712</v>
      </c>
      <c r="C787" s="1383"/>
      <c r="D787" s="1383"/>
      <c r="E787" s="1383"/>
      <c r="F787" s="1383"/>
      <c r="G787" s="407"/>
      <c r="H787" s="407"/>
      <c r="I787" s="429"/>
      <c r="J787" s="408">
        <f>SUM(J788:J795)</f>
        <v>0</v>
      </c>
      <c r="K787" s="408">
        <f>SUM(K788:K795)</f>
        <v>26618.133900000001</v>
      </c>
      <c r="L787" s="454">
        <f t="shared" si="96"/>
        <v>0.15186826782573565</v>
      </c>
    </row>
    <row r="788" spans="1:15" s="115" customFormat="1" x14ac:dyDescent="0.25">
      <c r="A788" s="396"/>
      <c r="B788" s="1398" t="s">
        <v>7761</v>
      </c>
      <c r="C788" s="1398"/>
      <c r="D788" s="1398"/>
      <c r="E788" s="854">
        <v>333309300000000</v>
      </c>
      <c r="F788" s="855" t="s">
        <v>7779</v>
      </c>
      <c r="G788" s="468">
        <v>1153</v>
      </c>
      <c r="H788" s="468">
        <v>0</v>
      </c>
      <c r="I788" s="751"/>
      <c r="J788" s="789">
        <f>'Parâmetros financeiros Despesa'!E708</f>
        <v>0</v>
      </c>
      <c r="K788" s="789">
        <f>'Parâmetros financeiros Despesa'!F708</f>
        <v>1</v>
      </c>
      <c r="L788" s="799">
        <f t="shared" si="96"/>
        <v>5.7054438299949962E-6</v>
      </c>
      <c r="M788" s="894"/>
      <c r="O788" s="733"/>
    </row>
    <row r="789" spans="1:15" s="115" customFormat="1" x14ac:dyDescent="0.25">
      <c r="A789" s="396"/>
      <c r="B789" s="1396">
        <v>118100</v>
      </c>
      <c r="C789" s="1396"/>
      <c r="D789" s="1396"/>
      <c r="E789" s="854">
        <v>333903000000000</v>
      </c>
      <c r="F789" s="855" t="s">
        <v>7774</v>
      </c>
      <c r="G789" s="468">
        <v>1</v>
      </c>
      <c r="H789" s="468">
        <v>0</v>
      </c>
      <c r="I789" s="751"/>
      <c r="J789" s="789">
        <f>('Parâmetros financeiros Despesa'!E709)</f>
        <v>0</v>
      </c>
      <c r="K789" s="789">
        <f>('Parâmetros financeiros Despesa'!F709)*(1+'Parâmetros financeiros Despesa'!F$4)*(1+'Parâmetros financeiros Despesa'!F$7)</f>
        <v>1090.3315</v>
      </c>
      <c r="L789" s="799">
        <f t="shared" si="96"/>
        <v>6.2208251293241895E-3</v>
      </c>
      <c r="M789" s="894"/>
      <c r="N789" s="796"/>
      <c r="O789" s="733"/>
    </row>
    <row r="790" spans="1:15" s="115" customFormat="1" x14ac:dyDescent="0.25">
      <c r="A790" s="396"/>
      <c r="B790" s="1004"/>
      <c r="C790" s="1004"/>
      <c r="D790" s="1004" t="s">
        <v>7762</v>
      </c>
      <c r="E790" s="854">
        <v>333903600000000</v>
      </c>
      <c r="F790" s="855" t="s">
        <v>7775</v>
      </c>
      <c r="G790" s="468">
        <v>1</v>
      </c>
      <c r="H790" s="468">
        <v>0</v>
      </c>
      <c r="I790" s="751"/>
      <c r="J790" s="789">
        <f>('Parâmetros financeiros Despesa'!E710)</f>
        <v>0</v>
      </c>
      <c r="K790" s="789">
        <f>('Parâmetros financeiros Despesa'!F710)*(1+'Parâmetros financeiros Despesa'!F$4)*(1+'Parâmetros financeiros Despesa'!F$7)</f>
        <v>3270.9945000000002</v>
      </c>
      <c r="L790" s="799">
        <f t="shared" ref="L790:L815" si="100">K790/K$819</f>
        <v>1.8662475387972569E-2</v>
      </c>
      <c r="M790" s="894"/>
      <c r="N790" s="796"/>
      <c r="O790" s="733"/>
    </row>
    <row r="791" spans="1:15" s="115" customFormat="1" x14ac:dyDescent="0.25">
      <c r="A791" s="396"/>
      <c r="B791" s="1398" t="s">
        <v>7763</v>
      </c>
      <c r="C791" s="1398"/>
      <c r="D791" s="1398"/>
      <c r="E791" s="854">
        <v>333903900000000</v>
      </c>
      <c r="F791" s="855" t="s">
        <v>7776</v>
      </c>
      <c r="G791" s="468">
        <v>1</v>
      </c>
      <c r="H791" s="468">
        <v>0</v>
      </c>
      <c r="I791" s="751"/>
      <c r="J791" s="789">
        <f>('Parâmetros financeiros Despesa'!E711)</f>
        <v>0</v>
      </c>
      <c r="K791" s="789">
        <f>('Parâmetros financeiros Despesa'!F711)*(1+'Parâmetros financeiros Despesa'!F$4)*(1+'Parâmetros financeiros Despesa'!F$7)</f>
        <v>4361.326</v>
      </c>
      <c r="L791" s="799">
        <f t="shared" si="100"/>
        <v>2.4883300517296758E-2</v>
      </c>
      <c r="M791" s="894"/>
      <c r="N791" s="796"/>
      <c r="O791" s="733"/>
    </row>
    <row r="792" spans="1:15" s="115" customFormat="1" x14ac:dyDescent="0.25">
      <c r="A792" s="396"/>
      <c r="B792" s="1398" t="s">
        <v>7764</v>
      </c>
      <c r="C792" s="1398"/>
      <c r="D792" s="1398"/>
      <c r="E792" s="854">
        <v>333903900000000</v>
      </c>
      <c r="F792" s="855" t="s">
        <v>7776</v>
      </c>
      <c r="G792" s="468">
        <v>1153</v>
      </c>
      <c r="H792" s="468">
        <v>0</v>
      </c>
      <c r="I792" s="751"/>
      <c r="J792" s="789">
        <f>'Parâmetros financeiros Despesa'!E712</f>
        <v>0</v>
      </c>
      <c r="K792" s="789">
        <f>'Parâmetros financeiros Despesa'!F712</f>
        <v>15059.62</v>
      </c>
      <c r="L792" s="799">
        <f t="shared" si="100"/>
        <v>8.5921816011069255E-2</v>
      </c>
      <c r="M792" s="894"/>
      <c r="O792" s="733"/>
    </row>
    <row r="793" spans="1:15" s="115" customFormat="1" ht="30" x14ac:dyDescent="0.25">
      <c r="A793" s="396"/>
      <c r="B793" s="1398" t="s">
        <v>7765</v>
      </c>
      <c r="C793" s="1398"/>
      <c r="D793" s="1398"/>
      <c r="E793" s="854">
        <v>333904700000000</v>
      </c>
      <c r="F793" s="855" t="s">
        <v>7773</v>
      </c>
      <c r="G793" s="468">
        <v>1</v>
      </c>
      <c r="H793" s="468">
        <v>0</v>
      </c>
      <c r="I793" s="751"/>
      <c r="J793" s="789">
        <f>(('Parâmetros financeiros Despesa'!E710))</f>
        <v>0</v>
      </c>
      <c r="K793" s="789">
        <f>(('Parâmetros financeiros Despesa'!F710)*(1+'Parâmetros financeiros Despesa'!F$4)*(1+'Parâmetros financeiros Despesa'!F$7))*('Parâmetros financeiros Despesa'!F$83)</f>
        <v>654.19890000000009</v>
      </c>
      <c r="L793" s="799">
        <f t="shared" si="100"/>
        <v>3.7324950775945139E-3</v>
      </c>
      <c r="M793" s="894"/>
      <c r="N793" s="796"/>
      <c r="O793" s="733"/>
    </row>
    <row r="794" spans="1:15" s="115" customFormat="1" x14ac:dyDescent="0.25">
      <c r="A794" s="396"/>
      <c r="B794" s="1004"/>
      <c r="C794" s="1004"/>
      <c r="D794" s="1004" t="s">
        <v>7782</v>
      </c>
      <c r="E794" s="854">
        <v>344905100000000</v>
      </c>
      <c r="F794" s="855" t="s">
        <v>7777</v>
      </c>
      <c r="G794" s="468">
        <v>1</v>
      </c>
      <c r="H794" s="468">
        <v>0</v>
      </c>
      <c r="I794" s="751"/>
      <c r="J794" s="789">
        <f>('Parâmetros financeiros Despesa'!E713)</f>
        <v>0</v>
      </c>
      <c r="K794" s="789">
        <f>('Parâmetros financeiros Despesa'!F713)*(1+'Parâmetros financeiros Despesa'!F$4)*(1+'Parâmetros financeiros Despesa'!F$7)</f>
        <v>1090.3315</v>
      </c>
      <c r="L794" s="799">
        <f t="shared" si="100"/>
        <v>6.2208251293241895E-3</v>
      </c>
      <c r="M794" s="894"/>
      <c r="N794" s="796"/>
      <c r="O794" s="733"/>
    </row>
    <row r="795" spans="1:15" s="115" customFormat="1" x14ac:dyDescent="0.25">
      <c r="A795" s="396"/>
      <c r="B795" s="1398" t="s">
        <v>7783</v>
      </c>
      <c r="C795" s="1398"/>
      <c r="D795" s="1398"/>
      <c r="E795" s="854">
        <v>344905200000000</v>
      </c>
      <c r="F795" s="855" t="s">
        <v>7778</v>
      </c>
      <c r="G795" s="468">
        <v>1</v>
      </c>
      <c r="H795" s="468">
        <v>0</v>
      </c>
      <c r="I795" s="751"/>
      <c r="J795" s="789">
        <f>('Parâmetros financeiros Despesa'!E714)</f>
        <v>0</v>
      </c>
      <c r="K795" s="789">
        <f>('Parâmetros financeiros Despesa'!F714)*(1+'Parâmetros financeiros Despesa'!F$4)*(1+'Parâmetros financeiros Despesa'!F$7)</f>
        <v>1090.3315</v>
      </c>
      <c r="L795" s="799">
        <f t="shared" si="100"/>
        <v>6.2208251293241895E-3</v>
      </c>
      <c r="M795" s="894"/>
      <c r="N795" s="796"/>
      <c r="O795" s="733"/>
    </row>
    <row r="796" spans="1:15" s="115" customFormat="1" x14ac:dyDescent="0.25">
      <c r="A796" s="396"/>
      <c r="B796" s="1385" t="s">
        <v>7729</v>
      </c>
      <c r="C796" s="1385"/>
      <c r="D796" s="1385"/>
      <c r="E796" s="1385"/>
      <c r="F796" s="1385"/>
      <c r="G796" s="401"/>
      <c r="H796" s="401"/>
      <c r="I796" s="426"/>
      <c r="J796" s="402">
        <f t="shared" ref="J796:K798" si="101">J797</f>
        <v>80556.077729349563</v>
      </c>
      <c r="K796" s="402">
        <f t="shared" si="101"/>
        <v>91581.215284173973</v>
      </c>
      <c r="L796" s="451">
        <f t="shared" si="100"/>
        <v>0.52251147968653389</v>
      </c>
      <c r="M796" s="894"/>
      <c r="O796" s="733"/>
    </row>
    <row r="797" spans="1:15" x14ac:dyDescent="0.25">
      <c r="A797" s="396"/>
      <c r="B797" s="1386" t="s">
        <v>7772</v>
      </c>
      <c r="C797" s="1386"/>
      <c r="D797" s="1386"/>
      <c r="E797" s="1386"/>
      <c r="F797" s="1386"/>
      <c r="G797" s="403"/>
      <c r="H797" s="403"/>
      <c r="I797" s="427"/>
      <c r="J797" s="404">
        <f t="shared" si="101"/>
        <v>80556.077729349563</v>
      </c>
      <c r="K797" s="404">
        <f t="shared" si="101"/>
        <v>91581.215284173973</v>
      </c>
      <c r="L797" s="452">
        <f t="shared" si="100"/>
        <v>0.52251147968653389</v>
      </c>
    </row>
    <row r="798" spans="1:15" x14ac:dyDescent="0.25">
      <c r="A798" s="396"/>
      <c r="B798" s="1382" t="s">
        <v>7711</v>
      </c>
      <c r="C798" s="1382"/>
      <c r="D798" s="1382"/>
      <c r="E798" s="1382"/>
      <c r="F798" s="1382"/>
      <c r="G798" s="405"/>
      <c r="H798" s="405"/>
      <c r="I798" s="428"/>
      <c r="J798" s="406">
        <f t="shared" si="101"/>
        <v>80556.077729349563</v>
      </c>
      <c r="K798" s="406">
        <f t="shared" si="101"/>
        <v>91581.215284173973</v>
      </c>
      <c r="L798" s="453">
        <f t="shared" si="100"/>
        <v>0.52251147968653389</v>
      </c>
    </row>
    <row r="799" spans="1:15" x14ac:dyDescent="0.25">
      <c r="A799" s="396"/>
      <c r="B799" s="1383" t="s">
        <v>7712</v>
      </c>
      <c r="C799" s="1383"/>
      <c r="D799" s="1383"/>
      <c r="E799" s="1383"/>
      <c r="F799" s="1383"/>
      <c r="G799" s="407"/>
      <c r="H799" s="407"/>
      <c r="I799" s="429"/>
      <c r="J799" s="408">
        <f>J800+J801+J802+J803+J804+J805+J806+J807+J808+J809+J810+J811+J812+J813+J814-0.02</f>
        <v>80556.077729349563</v>
      </c>
      <c r="K799" s="408">
        <f>K800+K801+K802+K803+K804+K805+K806+K807+K808+K809+K810+K811+K812+K813+K814-0.01</f>
        <v>91581.215284173973</v>
      </c>
      <c r="L799" s="454">
        <f t="shared" si="100"/>
        <v>0.52251147968653389</v>
      </c>
    </row>
    <row r="800" spans="1:15" s="115" customFormat="1" x14ac:dyDescent="0.25">
      <c r="A800" s="396"/>
      <c r="B800" s="1398" t="s">
        <v>7766</v>
      </c>
      <c r="C800" s="1398"/>
      <c r="D800" s="1398"/>
      <c r="E800" s="854">
        <v>331900400000000</v>
      </c>
      <c r="F800" s="855" t="s">
        <v>10364</v>
      </c>
      <c r="G800" s="468">
        <v>1</v>
      </c>
      <c r="H800" s="468">
        <v>0</v>
      </c>
      <c r="I800" s="751"/>
      <c r="J800" s="789">
        <f>(('Parâmetros financeiros Despesa'!E716))</f>
        <v>31068.05326666667</v>
      </c>
      <c r="K800" s="789">
        <f>(('Parâmetros financeiros Despesa'!F716)*2.05+(('Parâmetros financeiros Despesa'!F716)*11.28)*(1+'Parâmetros financeiros Despesa'!F$4)*(1+'Parâmetros financeiros Despesa'!F$8))*(1+'Parâmetros financeiros Despesa'!F$80)</f>
        <v>17.278630081629636</v>
      </c>
      <c r="L800" s="799">
        <f t="shared" si="100"/>
        <v>9.858225338999975E-5</v>
      </c>
      <c r="M800" s="894"/>
      <c r="O800" s="733"/>
    </row>
    <row r="801" spans="1:15" s="115" customFormat="1" x14ac:dyDescent="0.25">
      <c r="A801" s="396"/>
      <c r="B801" s="1398" t="s">
        <v>7784</v>
      </c>
      <c r="C801" s="1398"/>
      <c r="D801" s="1398"/>
      <c r="E801" s="854">
        <v>331901100000000</v>
      </c>
      <c r="F801" s="855" t="s">
        <v>10365</v>
      </c>
      <c r="G801" s="468">
        <v>1</v>
      </c>
      <c r="H801" s="468">
        <v>0</v>
      </c>
      <c r="I801" s="751"/>
      <c r="J801" s="789">
        <f>('Parâmetros financeiros Despesa'!E717)</f>
        <v>39844.855756301375</v>
      </c>
      <c r="K801" s="789">
        <f>('Parâmetros financeiros Despesa'!F717)*2.05+(('Parâmetros financeiros Despesa'!F717)*11.28)*(1+'Parâmetros financeiros Despesa'!F$4)*(1+'Parâmetros financeiros Despesa'!F$8)</f>
        <v>41972.041221323096</v>
      </c>
      <c r="L801" s="799">
        <f t="shared" si="100"/>
        <v>0.23946912361849351</v>
      </c>
      <c r="M801" s="894"/>
      <c r="O801" s="733"/>
    </row>
    <row r="802" spans="1:15" s="115" customFormat="1" x14ac:dyDescent="0.25">
      <c r="A802" s="396"/>
      <c r="B802" s="1398" t="s">
        <v>7767</v>
      </c>
      <c r="C802" s="1398"/>
      <c r="D802" s="1398"/>
      <c r="E802" s="854">
        <v>331901300000000</v>
      </c>
      <c r="F802" s="855" t="s">
        <v>10366</v>
      </c>
      <c r="G802" s="468">
        <v>1</v>
      </c>
      <c r="H802" s="468">
        <v>0</v>
      </c>
      <c r="I802" s="751"/>
      <c r="J802" s="789">
        <f>'Parâmetros financeiros Despesa'!E718</f>
        <v>9176.5087063815263</v>
      </c>
      <c r="K802" s="789">
        <f>(K801+K803)*'Parâmetros financeiros Despesa'!F$80</f>
        <v>10990.131038971473</v>
      </c>
      <c r="L802" s="799">
        <f t="shared" si="100"/>
        <v>6.2703575327136288E-2</v>
      </c>
      <c r="M802" s="894"/>
      <c r="O802" s="733"/>
    </row>
    <row r="803" spans="1:15" s="115" customFormat="1" x14ac:dyDescent="0.25">
      <c r="A803" s="396"/>
      <c r="B803" s="1398" t="s">
        <v>7768</v>
      </c>
      <c r="C803" s="1398"/>
      <c r="D803" s="1398"/>
      <c r="E803" s="854">
        <v>331901600000000</v>
      </c>
      <c r="F803" s="855" t="s">
        <v>10367</v>
      </c>
      <c r="G803" s="468">
        <v>1</v>
      </c>
      <c r="H803" s="468">
        <v>0</v>
      </c>
      <c r="I803" s="751"/>
      <c r="J803" s="789">
        <f>('Parâmetros financeiros Despesa'!E719)</f>
        <v>0</v>
      </c>
      <c r="K803" s="789">
        <f>('Parâmetros financeiros Despesa'!F719)*2.05+(('Parâmetros financeiros Despesa'!F719)*11.28)*(1+'Parâmetros financeiros Despesa'!F$4)*(1+'Parâmetros financeiros Despesa'!F$8)</f>
        <v>4186.7491680671183</v>
      </c>
      <c r="L803" s="799">
        <f t="shared" si="100"/>
        <v>2.3887262208685225E-2</v>
      </c>
      <c r="M803" s="894"/>
      <c r="O803" s="733"/>
    </row>
    <row r="804" spans="1:15" s="115" customFormat="1" x14ac:dyDescent="0.25">
      <c r="A804" s="396"/>
      <c r="B804" s="1398" t="s">
        <v>7769</v>
      </c>
      <c r="C804" s="1398"/>
      <c r="D804" s="1398"/>
      <c r="E804" s="854">
        <v>333901400000000</v>
      </c>
      <c r="F804" s="855" t="s">
        <v>7614</v>
      </c>
      <c r="G804" s="468">
        <v>1</v>
      </c>
      <c r="H804" s="468">
        <v>0</v>
      </c>
      <c r="I804" s="751"/>
      <c r="J804" s="789">
        <f>('Parâmetros financeiros Despesa'!E720)</f>
        <v>0</v>
      </c>
      <c r="K804" s="789">
        <f>('Parâmetros financeiros Despesa'!F720)*2+(('Parâmetros financeiros Despesa'!F719)*10)*(1+'Parâmetros financeiros Despesa'!F$4)*(1+'Parâmetros financeiros Despesa'!F$7)</f>
        <v>4270.9945000000007</v>
      </c>
      <c r="L804" s="799">
        <f t="shared" si="100"/>
        <v>2.4367919217967569E-2</v>
      </c>
      <c r="M804" s="894"/>
      <c r="O804" s="733"/>
    </row>
    <row r="805" spans="1:15" s="115" customFormat="1" x14ac:dyDescent="0.25">
      <c r="A805" s="396"/>
      <c r="B805" s="1396">
        <v>119500</v>
      </c>
      <c r="C805" s="1396"/>
      <c r="D805" s="1396"/>
      <c r="E805" s="854">
        <v>333903000000000</v>
      </c>
      <c r="F805" s="855" t="s">
        <v>7690</v>
      </c>
      <c r="G805" s="468">
        <v>1</v>
      </c>
      <c r="H805" s="468">
        <v>0</v>
      </c>
      <c r="I805" s="751"/>
      <c r="J805" s="789">
        <f>('Parâmetros financeiros Despesa'!E721+'Parâmetros financeiros Despesa'!E722)</f>
        <v>0</v>
      </c>
      <c r="K805" s="789">
        <f>('Parâmetros financeiros Despesa'!F721+'Parâmetros financeiros Despesa'!F722)*(1+'Parâmetros financeiros Despesa'!F$4)*(1+'Parâmetros financeiros Despesa'!F$7)</f>
        <v>4361.326</v>
      </c>
      <c r="L805" s="799">
        <f t="shared" si="100"/>
        <v>2.4883300517296758E-2</v>
      </c>
      <c r="M805" s="894"/>
      <c r="N805" s="796"/>
      <c r="O805" s="733"/>
    </row>
    <row r="806" spans="1:15" s="115" customFormat="1" x14ac:dyDescent="0.25">
      <c r="A806" s="396"/>
      <c r="B806" s="1396">
        <v>119600</v>
      </c>
      <c r="C806" s="1396"/>
      <c r="D806" s="1396"/>
      <c r="E806" s="854">
        <v>333903200000000</v>
      </c>
      <c r="F806" s="855" t="s">
        <v>7691</v>
      </c>
      <c r="G806" s="468">
        <v>1</v>
      </c>
      <c r="H806" s="468">
        <v>0</v>
      </c>
      <c r="I806" s="751"/>
      <c r="J806" s="789">
        <f>('Parâmetros financeiros Despesa'!E723)</f>
        <v>0</v>
      </c>
      <c r="K806" s="789">
        <f>('Parâmetros financeiros Despesa'!F723)*(1+'Parâmetros financeiros Despesa'!F$4)*(1+'Parâmetros financeiros Despesa'!F$7)</f>
        <v>2725.8287500000001</v>
      </c>
      <c r="L806" s="799">
        <f t="shared" si="100"/>
        <v>1.5552062823310474E-2</v>
      </c>
      <c r="M806" s="894"/>
      <c r="N806" s="796"/>
      <c r="O806" s="733"/>
    </row>
    <row r="807" spans="1:15" s="115" customFormat="1" x14ac:dyDescent="0.25">
      <c r="A807" s="396"/>
      <c r="B807" s="1396">
        <v>119700</v>
      </c>
      <c r="C807" s="1396"/>
      <c r="D807" s="1396"/>
      <c r="E807" s="854">
        <v>333903300000000</v>
      </c>
      <c r="F807" s="855" t="s">
        <v>7706</v>
      </c>
      <c r="G807" s="468">
        <v>1</v>
      </c>
      <c r="H807" s="468">
        <v>0</v>
      </c>
      <c r="I807" s="751"/>
      <c r="J807" s="789">
        <f>('Parâmetros financeiros Despesa'!E724)</f>
        <v>0</v>
      </c>
      <c r="K807" s="789">
        <f>('Parâmetros financeiros Despesa'!F724)*(1+'Parâmetros financeiros Despesa'!F$4)*(1+'Parâmetros financeiros Despesa'!F$7)</f>
        <v>1090.3315</v>
      </c>
      <c r="L807" s="799">
        <f t="shared" si="100"/>
        <v>6.2208251293241895E-3</v>
      </c>
      <c r="M807" s="894"/>
      <c r="N807" s="796"/>
      <c r="O807" s="733"/>
    </row>
    <row r="808" spans="1:15" s="115" customFormat="1" x14ac:dyDescent="0.25">
      <c r="A808" s="396"/>
      <c r="B808" s="1004"/>
      <c r="C808" s="1004"/>
      <c r="D808" s="1004" t="s">
        <v>7785</v>
      </c>
      <c r="E808" s="854">
        <v>333903600000000</v>
      </c>
      <c r="F808" s="855" t="s">
        <v>7692</v>
      </c>
      <c r="G808" s="468">
        <v>1</v>
      </c>
      <c r="H808" s="468">
        <v>0</v>
      </c>
      <c r="I808" s="751"/>
      <c r="J808" s="789">
        <f>('Parâmetros financeiros Despesa'!E725)</f>
        <v>0</v>
      </c>
      <c r="K808" s="789">
        <f>('Parâmetros financeiros Despesa'!F725)*(1+'Parâmetros financeiros Despesa'!F$4)*(1+'Parâmetros financeiros Despesa'!F$7)</f>
        <v>3270.9945000000002</v>
      </c>
      <c r="L808" s="799">
        <f t="shared" si="100"/>
        <v>1.8662475387972569E-2</v>
      </c>
      <c r="M808" s="894"/>
      <c r="N808" s="796"/>
      <c r="O808" s="733"/>
    </row>
    <row r="809" spans="1:15" s="115" customFormat="1" x14ac:dyDescent="0.25">
      <c r="A809" s="396"/>
      <c r="B809" s="1398" t="s">
        <v>7786</v>
      </c>
      <c r="C809" s="1398"/>
      <c r="D809" s="1398"/>
      <c r="E809" s="854">
        <v>333903900000000</v>
      </c>
      <c r="F809" s="855" t="s">
        <v>7693</v>
      </c>
      <c r="G809" s="468">
        <v>1</v>
      </c>
      <c r="H809" s="468">
        <v>0</v>
      </c>
      <c r="I809" s="751"/>
      <c r="J809" s="789">
        <f>('Parâmetros financeiros Despesa'!E726+'Parâmetros financeiros Despesa'!E727)</f>
        <v>0</v>
      </c>
      <c r="K809" s="789">
        <f>('Parâmetros financeiros Despesa'!F726+'Parâmetros financeiros Despesa'!F727)*(1+'Parâmetros financeiros Despesa'!F$4)*(1+'Parâmetros financeiros Despesa'!F$7)</f>
        <v>6541.9890000000005</v>
      </c>
      <c r="L809" s="799">
        <f t="shared" si="100"/>
        <v>3.7324950775945137E-2</v>
      </c>
      <c r="M809" s="894"/>
      <c r="N809" s="796"/>
      <c r="O809" s="733"/>
    </row>
    <row r="810" spans="1:15" s="115" customFormat="1" ht="30" x14ac:dyDescent="0.25">
      <c r="A810" s="396"/>
      <c r="B810" s="1398" t="s">
        <v>7787</v>
      </c>
      <c r="C810" s="1398"/>
      <c r="D810" s="1398"/>
      <c r="E810" s="854">
        <v>333904700000000</v>
      </c>
      <c r="F810" s="855" t="s">
        <v>7694</v>
      </c>
      <c r="G810" s="468">
        <v>1</v>
      </c>
      <c r="H810" s="468">
        <v>0</v>
      </c>
      <c r="I810" s="751"/>
      <c r="J810" s="789">
        <f>(('Parâmetros financeiros Despesa'!E722+'Parâmetros financeiros Despesa'!E727+'Parâmetros financeiros Despesa'!E725))</f>
        <v>0</v>
      </c>
      <c r="K810" s="789">
        <f>(('Parâmetros financeiros Despesa'!F722+'Parâmetros financeiros Despesa'!F727+'Parâmetros financeiros Despesa'!F725)*(1+'Parâmetros financeiros Despesa'!F$4)*(1+'Parâmetros financeiros Despesa'!F$7))*('Parâmetros financeiros Despesa'!F$83)</f>
        <v>1526.4641000000001</v>
      </c>
      <c r="L810" s="799">
        <f t="shared" si="100"/>
        <v>8.709155181053866E-3</v>
      </c>
      <c r="M810" s="894"/>
      <c r="N810" s="796"/>
      <c r="O810" s="733"/>
    </row>
    <row r="811" spans="1:15" s="115" customFormat="1" ht="30" x14ac:dyDescent="0.25">
      <c r="A811" s="396"/>
      <c r="B811" s="1398" t="s">
        <v>7788</v>
      </c>
      <c r="C811" s="1398"/>
      <c r="D811" s="1398"/>
      <c r="E811" s="854">
        <v>333904900000000</v>
      </c>
      <c r="F811" s="855" t="s">
        <v>10368</v>
      </c>
      <c r="G811" s="468">
        <v>1</v>
      </c>
      <c r="H811" s="468">
        <v>0</v>
      </c>
      <c r="I811" s="751"/>
      <c r="J811" s="789">
        <f>('Parâmetros financeiros Despesa'!E728)</f>
        <v>466.68</v>
      </c>
      <c r="K811" s="789">
        <f>('Parâmetros financeiros Despesa'!F728)*2.05+(('Parâmetros financeiros Despesa'!F728)*11.28)*(1+'Parâmetros financeiros Despesa'!F$4)*(1+'Parâmetros financeiros Despesa'!F$8)</f>
        <v>814.11337573065111</v>
      </c>
      <c r="L811" s="799">
        <f t="shared" si="100"/>
        <v>4.6448781364788411E-3</v>
      </c>
      <c r="M811" s="894"/>
      <c r="N811" s="796"/>
    </row>
    <row r="812" spans="1:15" s="115" customFormat="1" x14ac:dyDescent="0.25">
      <c r="A812" s="396"/>
      <c r="B812" s="1398" t="s">
        <v>7789</v>
      </c>
      <c r="C812" s="1398"/>
      <c r="D812" s="1398"/>
      <c r="E812" s="854">
        <v>333909300000000</v>
      </c>
      <c r="F812" s="855" t="s">
        <v>7696</v>
      </c>
      <c r="G812" s="468">
        <v>1</v>
      </c>
      <c r="H812" s="468">
        <v>0</v>
      </c>
      <c r="I812" s="751"/>
      <c r="J812" s="789">
        <f>('Parâmetros financeiros Despesa'!E729)</f>
        <v>0</v>
      </c>
      <c r="K812" s="789">
        <f>('Parâmetros financeiros Despesa'!F729)*(1+'Parâmetros financeiros Despesa'!F$4)*(1+'Parâmetros financeiros Despesa'!F$7)</f>
        <v>1090.3315</v>
      </c>
      <c r="L812" s="799">
        <f t="shared" si="100"/>
        <v>6.2208251293241895E-3</v>
      </c>
      <c r="M812" s="894"/>
      <c r="N812" s="796"/>
    </row>
    <row r="813" spans="1:15" s="115" customFormat="1" ht="30" x14ac:dyDescent="0.25">
      <c r="A813" s="396"/>
      <c r="B813" s="1398" t="s">
        <v>7790</v>
      </c>
      <c r="C813" s="1398"/>
      <c r="D813" s="1398"/>
      <c r="E813" s="854">
        <v>333933000000000</v>
      </c>
      <c r="F813" s="855" t="s">
        <v>7695</v>
      </c>
      <c r="G813" s="468">
        <v>1</v>
      </c>
      <c r="H813" s="468">
        <v>0</v>
      </c>
      <c r="I813" s="751"/>
      <c r="J813" s="789">
        <f>('Parâmetros financeiros Despesa'!E730)</f>
        <v>0</v>
      </c>
      <c r="K813" s="789">
        <f>('Parâmetros financeiros Despesa'!F730)*(1+'Parâmetros financeiros Despesa'!F$4)*(1+'Parâmetros financeiros Despesa'!F$7)</f>
        <v>3270.9945000000002</v>
      </c>
      <c r="L813" s="799">
        <f t="shared" si="100"/>
        <v>1.8662475387972569E-2</v>
      </c>
      <c r="M813" s="894"/>
      <c r="N813" s="796"/>
    </row>
    <row r="814" spans="1:15" s="115" customFormat="1" x14ac:dyDescent="0.25">
      <c r="A814" s="396"/>
      <c r="B814" s="1398" t="s">
        <v>7791</v>
      </c>
      <c r="C814" s="1398"/>
      <c r="D814" s="1398"/>
      <c r="E814" s="854">
        <v>344905200000000</v>
      </c>
      <c r="F814" s="855" t="s">
        <v>7697</v>
      </c>
      <c r="G814" s="468">
        <v>1</v>
      </c>
      <c r="H814" s="468">
        <v>0</v>
      </c>
      <c r="I814" s="751"/>
      <c r="J814" s="789">
        <f>('Parâmetros financeiros Despesa'!E731)</f>
        <v>0</v>
      </c>
      <c r="K814" s="789">
        <f>('Parâmetros financeiros Despesa'!F731)*(1+'Parâmetros financeiros Despesa'!F$4)*(1+'Parâmetros financeiros Despesa'!F$7)</f>
        <v>5451.6575000000003</v>
      </c>
      <c r="L814" s="799">
        <f t="shared" si="100"/>
        <v>3.1104125646620948E-2</v>
      </c>
      <c r="M814" s="894"/>
      <c r="N814" s="796"/>
    </row>
    <row r="815" spans="1:15" x14ac:dyDescent="0.25">
      <c r="B815" s="864" t="s">
        <v>22</v>
      </c>
      <c r="C815" s="864"/>
      <c r="D815" s="864"/>
      <c r="E815" s="864"/>
      <c r="F815" s="864"/>
      <c r="G815" s="864"/>
      <c r="H815" s="864"/>
      <c r="I815" s="864"/>
      <c r="J815" s="863">
        <f>J797+J785+J775+J765+J755+J746+J736+J727</f>
        <v>95399.682729349573</v>
      </c>
      <c r="K815" s="863">
        <f>K797+K785+K775+K765+K755+K746+K736+K727-0.01</f>
        <v>175271.2023458615</v>
      </c>
      <c r="L815" s="452">
        <f t="shared" si="100"/>
        <v>1</v>
      </c>
    </row>
    <row r="816" spans="1:15" x14ac:dyDescent="0.25">
      <c r="B816" s="864" t="s">
        <v>11469</v>
      </c>
      <c r="C816" s="864"/>
      <c r="D816" s="864"/>
      <c r="E816" s="864"/>
      <c r="F816" s="864"/>
      <c r="G816" s="864"/>
      <c r="H816" s="864"/>
      <c r="I816" s="864"/>
      <c r="J816" s="863"/>
      <c r="K816" s="863"/>
      <c r="L816" s="452"/>
    </row>
    <row r="817" spans="1:15" s="31" customFormat="1" x14ac:dyDescent="0.25">
      <c r="B817" s="869" t="s">
        <v>745</v>
      </c>
      <c r="C817" s="869"/>
      <c r="D817" s="869"/>
      <c r="E817" s="869"/>
      <c r="F817" s="869"/>
      <c r="G817" s="869"/>
      <c r="H817" s="869"/>
      <c r="I817" s="869"/>
      <c r="J817" s="870">
        <f>J815</f>
        <v>95399.682729349573</v>
      </c>
      <c r="K817" s="870">
        <f>K815-15060.62</f>
        <v>160210.58234586151</v>
      </c>
      <c r="L817" s="871">
        <f>K817/K$819</f>
        <v>0.91407247854510076</v>
      </c>
      <c r="M817" s="897"/>
      <c r="O817" s="736"/>
    </row>
    <row r="818" spans="1:15" s="31" customFormat="1" x14ac:dyDescent="0.25">
      <c r="B818" s="869" t="s">
        <v>11516</v>
      </c>
      <c r="C818" s="869"/>
      <c r="D818" s="869"/>
      <c r="E818" s="869"/>
      <c r="F818" s="869"/>
      <c r="G818" s="869"/>
      <c r="H818" s="869"/>
      <c r="I818" s="869"/>
      <c r="J818" s="870">
        <v>0</v>
      </c>
      <c r="K818" s="870">
        <v>15060.62</v>
      </c>
      <c r="L818" s="871">
        <f>K818/K$819</f>
        <v>8.592752145489925E-2</v>
      </c>
      <c r="M818" s="897"/>
      <c r="O818" s="736"/>
    </row>
    <row r="819" spans="1:15" s="115" customFormat="1" x14ac:dyDescent="0.25">
      <c r="B819" s="864" t="s">
        <v>2172</v>
      </c>
      <c r="C819" s="864"/>
      <c r="D819" s="864"/>
      <c r="E819" s="864"/>
      <c r="F819" s="864"/>
      <c r="G819" s="864"/>
      <c r="H819" s="864"/>
      <c r="I819" s="864"/>
      <c r="J819" s="863">
        <f>SUM(J817:J818)</f>
        <v>95399.682729349573</v>
      </c>
      <c r="K819" s="863">
        <f>SUM(K817:K818)</f>
        <v>175271.2023458615</v>
      </c>
      <c r="L819" s="452">
        <f>K819/K$819</f>
        <v>1</v>
      </c>
      <c r="N819" s="796"/>
      <c r="O819" s="733"/>
    </row>
    <row r="820" spans="1:15" x14ac:dyDescent="0.25">
      <c r="B820" s="800"/>
      <c r="C820" s="800"/>
      <c r="D820" s="800"/>
      <c r="E820" s="800"/>
      <c r="F820" s="800"/>
      <c r="G820" s="800"/>
      <c r="H820" s="800"/>
      <c r="I820" s="800"/>
      <c r="J820" s="942"/>
      <c r="K820" s="801"/>
      <c r="L820" s="802"/>
    </row>
    <row r="821" spans="1:15" s="435" customFormat="1" ht="15.75" x14ac:dyDescent="0.25">
      <c r="B821" s="999" t="s">
        <v>989</v>
      </c>
      <c r="C821" s="999"/>
      <c r="D821" s="481"/>
      <c r="E821" s="1371" t="s">
        <v>6887</v>
      </c>
      <c r="F821" s="1371"/>
      <c r="G821" s="1371"/>
      <c r="H821" s="1371"/>
      <c r="I821" s="1371"/>
      <c r="J821" s="940"/>
      <c r="K821" s="438"/>
      <c r="L821" s="449"/>
      <c r="M821" s="892"/>
      <c r="O821" s="732"/>
    </row>
    <row r="822" spans="1:15" s="435" customFormat="1" ht="18" customHeight="1" x14ac:dyDescent="0.25">
      <c r="B822" s="999" t="s">
        <v>458</v>
      </c>
      <c r="C822" s="999"/>
      <c r="D822" s="481"/>
      <c r="E822" s="1371" t="s">
        <v>7815</v>
      </c>
      <c r="F822" s="1371"/>
      <c r="G822" s="1371"/>
      <c r="H822" s="1371"/>
      <c r="I822" s="1371"/>
      <c r="J822" s="940"/>
      <c r="K822" s="438"/>
      <c r="L822" s="449"/>
      <c r="M822" s="892"/>
      <c r="O822" s="732"/>
    </row>
    <row r="823" spans="1:15" s="435" customFormat="1" ht="15.75" x14ac:dyDescent="0.25">
      <c r="B823" s="1005" t="s">
        <v>5764</v>
      </c>
      <c r="C823" s="1005"/>
      <c r="D823" s="1005"/>
      <c r="E823" s="1371" t="s">
        <v>749</v>
      </c>
      <c r="F823" s="1371"/>
      <c r="G823" s="1371"/>
      <c r="H823" s="1371"/>
      <c r="I823" s="1371"/>
      <c r="J823" s="941"/>
      <c r="K823" s="438"/>
      <c r="L823" s="449"/>
      <c r="M823" s="892"/>
      <c r="O823" s="732"/>
    </row>
    <row r="824" spans="1:15" ht="88.5" x14ac:dyDescent="0.25">
      <c r="A824" s="396"/>
      <c r="B824" s="1400" t="s">
        <v>2296</v>
      </c>
      <c r="C824" s="1400"/>
      <c r="D824" s="1400"/>
      <c r="E824" s="1384" t="s">
        <v>2297</v>
      </c>
      <c r="F824" s="1384"/>
      <c r="G824" s="443" t="s">
        <v>444</v>
      </c>
      <c r="H824" s="443" t="s">
        <v>2245</v>
      </c>
      <c r="I824" s="444" t="s">
        <v>5725</v>
      </c>
      <c r="J824" s="893" t="s">
        <v>11644</v>
      </c>
      <c r="K824" s="1000" t="s">
        <v>11522</v>
      </c>
      <c r="L824" s="450" t="s">
        <v>235</v>
      </c>
    </row>
    <row r="825" spans="1:15" s="115" customFormat="1" x14ac:dyDescent="0.25">
      <c r="A825" s="396"/>
      <c r="B825" s="1385" t="s">
        <v>7822</v>
      </c>
      <c r="C825" s="1385"/>
      <c r="D825" s="1385"/>
      <c r="E825" s="1385"/>
      <c r="F825" s="1385"/>
      <c r="G825" s="401"/>
      <c r="H825" s="401"/>
      <c r="I825" s="426"/>
      <c r="J825" s="402">
        <f t="shared" ref="J825:K827" si="102">J826</f>
        <v>0</v>
      </c>
      <c r="K825" s="402">
        <f t="shared" si="102"/>
        <v>1502</v>
      </c>
      <c r="L825" s="451">
        <f>K825/K$837</f>
        <v>1</v>
      </c>
      <c r="M825" s="894"/>
      <c r="O825" s="733"/>
    </row>
    <row r="826" spans="1:15" x14ac:dyDescent="0.25">
      <c r="A826" s="396"/>
      <c r="B826" s="1386" t="s">
        <v>7823</v>
      </c>
      <c r="C826" s="1386"/>
      <c r="D826" s="1386"/>
      <c r="E826" s="1386"/>
      <c r="F826" s="1386"/>
      <c r="G826" s="403"/>
      <c r="H826" s="403"/>
      <c r="I826" s="427"/>
      <c r="J826" s="404">
        <f t="shared" si="102"/>
        <v>0</v>
      </c>
      <c r="K826" s="404">
        <f t="shared" si="102"/>
        <v>1502</v>
      </c>
      <c r="L826" s="452">
        <f>K826/K$837</f>
        <v>1</v>
      </c>
    </row>
    <row r="827" spans="1:15" x14ac:dyDescent="0.25">
      <c r="A827" s="396"/>
      <c r="B827" s="1382" t="s">
        <v>7824</v>
      </c>
      <c r="C827" s="1382"/>
      <c r="D827" s="1382"/>
      <c r="E827" s="1382"/>
      <c r="F827" s="1382"/>
      <c r="G827" s="405"/>
      <c r="H827" s="405"/>
      <c r="I827" s="428"/>
      <c r="J827" s="406">
        <f t="shared" si="102"/>
        <v>0</v>
      </c>
      <c r="K827" s="406">
        <f t="shared" si="102"/>
        <v>1502</v>
      </c>
      <c r="L827" s="453">
        <f>K827/K$837</f>
        <v>1</v>
      </c>
    </row>
    <row r="828" spans="1:15" x14ac:dyDescent="0.25">
      <c r="A828" s="396"/>
      <c r="B828" s="1383" t="s">
        <v>7825</v>
      </c>
      <c r="C828" s="1383"/>
      <c r="D828" s="1383"/>
      <c r="E828" s="1383"/>
      <c r="F828" s="1383"/>
      <c r="G828" s="407"/>
      <c r="H828" s="407"/>
      <c r="I828" s="429"/>
      <c r="J828" s="408">
        <f>SUM(J829:J832)</f>
        <v>0</v>
      </c>
      <c r="K828" s="408">
        <f>SUM(K829:K832)</f>
        <v>1502</v>
      </c>
      <c r="L828" s="454">
        <f>K828/K$837</f>
        <v>1</v>
      </c>
    </row>
    <row r="829" spans="1:15" s="115" customFormat="1" x14ac:dyDescent="0.25">
      <c r="A829" s="396"/>
      <c r="B829" s="1398" t="s">
        <v>7816</v>
      </c>
      <c r="C829" s="1398"/>
      <c r="D829" s="1398"/>
      <c r="E829" s="854">
        <v>333904700000000</v>
      </c>
      <c r="F829" s="855" t="s">
        <v>7817</v>
      </c>
      <c r="G829" s="468">
        <v>1</v>
      </c>
      <c r="H829" s="468">
        <v>0</v>
      </c>
      <c r="I829" s="751"/>
      <c r="J829" s="789">
        <f>'Parâmetros financeiros Despesa'!E736</f>
        <v>0</v>
      </c>
      <c r="K829" s="789">
        <f>'Parâmetros financeiros Despesa'!F736</f>
        <v>1</v>
      </c>
      <c r="L829" s="799">
        <f t="shared" ref="L829:L831" si="103">K829/K$837</f>
        <v>6.6577896138482028E-4</v>
      </c>
      <c r="M829" s="894"/>
      <c r="O829" s="733"/>
    </row>
    <row r="830" spans="1:15" s="115" customFormat="1" x14ac:dyDescent="0.25">
      <c r="A830" s="396"/>
      <c r="B830" s="1396">
        <v>150100</v>
      </c>
      <c r="C830" s="1396"/>
      <c r="D830" s="1396"/>
      <c r="E830" s="854">
        <v>344209300000000</v>
      </c>
      <c r="F830" s="855" t="s">
        <v>7818</v>
      </c>
      <c r="G830" s="468">
        <v>1053</v>
      </c>
      <c r="H830" s="468">
        <v>0</v>
      </c>
      <c r="I830" s="751"/>
      <c r="J830" s="789">
        <f>'Parâmetros financeiros Despesa'!E737</f>
        <v>0</v>
      </c>
      <c r="K830" s="789">
        <f>'Parâmetros financeiros Despesa'!F737</f>
        <v>1</v>
      </c>
      <c r="L830" s="799">
        <f t="shared" si="103"/>
        <v>6.6577896138482028E-4</v>
      </c>
      <c r="M830" s="894"/>
      <c r="O830" s="733"/>
    </row>
    <row r="831" spans="1:15" s="115" customFormat="1" x14ac:dyDescent="0.25">
      <c r="A831" s="396"/>
      <c r="B831" s="1004"/>
      <c r="C831" s="1004"/>
      <c r="D831" s="1004" t="s">
        <v>7819</v>
      </c>
      <c r="E831" s="854">
        <v>344905100000000</v>
      </c>
      <c r="F831" s="855" t="s">
        <v>7826</v>
      </c>
      <c r="G831" s="468">
        <v>1</v>
      </c>
      <c r="H831" s="468">
        <v>0</v>
      </c>
      <c r="I831" s="751"/>
      <c r="J831" s="789">
        <f>'Parâmetros financeiros Despesa'!E738</f>
        <v>0</v>
      </c>
      <c r="K831" s="789">
        <f>'Parâmetros financeiros Despesa'!F738</f>
        <v>1</v>
      </c>
      <c r="L831" s="799">
        <f t="shared" si="103"/>
        <v>6.6577896138482028E-4</v>
      </c>
      <c r="M831" s="894"/>
      <c r="O831" s="733"/>
    </row>
    <row r="832" spans="1:15" s="115" customFormat="1" x14ac:dyDescent="0.25">
      <c r="A832" s="396"/>
      <c r="B832" s="1398" t="s">
        <v>7820</v>
      </c>
      <c r="C832" s="1398"/>
      <c r="D832" s="1398"/>
      <c r="E832" s="854">
        <v>344905100000000</v>
      </c>
      <c r="F832" s="855" t="s">
        <v>7826</v>
      </c>
      <c r="G832" s="468">
        <v>1053</v>
      </c>
      <c r="H832" s="468">
        <v>0</v>
      </c>
      <c r="I832" s="751"/>
      <c r="J832" s="789">
        <f>'Parâmetros financeiros Despesa'!E739</f>
        <v>0</v>
      </c>
      <c r="K832" s="789">
        <f>'Parâmetros financeiros Despesa'!F739</f>
        <v>1499</v>
      </c>
      <c r="L832" s="799">
        <f>K832/K$837</f>
        <v>0.99800266311584551</v>
      </c>
      <c r="M832" s="894"/>
      <c r="O832" s="733"/>
    </row>
    <row r="833" spans="1:15" x14ac:dyDescent="0.25">
      <c r="B833" s="864" t="s">
        <v>22</v>
      </c>
      <c r="C833" s="864"/>
      <c r="D833" s="864"/>
      <c r="E833" s="864"/>
      <c r="F833" s="864"/>
      <c r="G833" s="864"/>
      <c r="H833" s="864"/>
      <c r="I833" s="864"/>
      <c r="J833" s="863">
        <f>J826</f>
        <v>0</v>
      </c>
      <c r="K833" s="863">
        <f>K826</f>
        <v>1502</v>
      </c>
      <c r="L833" s="452">
        <f>K833/K$837</f>
        <v>1</v>
      </c>
    </row>
    <row r="834" spans="1:15" x14ac:dyDescent="0.25">
      <c r="B834" s="864" t="s">
        <v>11469</v>
      </c>
      <c r="C834" s="864"/>
      <c r="D834" s="864"/>
      <c r="E834" s="864"/>
      <c r="F834" s="864"/>
      <c r="G834" s="864"/>
      <c r="H834" s="864"/>
      <c r="I834" s="864"/>
      <c r="J834" s="863"/>
      <c r="K834" s="863"/>
      <c r="L834" s="452"/>
    </row>
    <row r="835" spans="1:15" s="31" customFormat="1" x14ac:dyDescent="0.25">
      <c r="B835" s="869" t="s">
        <v>745</v>
      </c>
      <c r="C835" s="869"/>
      <c r="D835" s="869"/>
      <c r="E835" s="869"/>
      <c r="F835" s="869"/>
      <c r="G835" s="869"/>
      <c r="H835" s="869"/>
      <c r="I835" s="869"/>
      <c r="J835" s="870">
        <v>0</v>
      </c>
      <c r="K835" s="870">
        <v>2</v>
      </c>
      <c r="L835" s="871">
        <f>K835/K$837</f>
        <v>1.3315579227696406E-3</v>
      </c>
      <c r="M835" s="897"/>
      <c r="O835" s="736"/>
    </row>
    <row r="836" spans="1:15" s="31" customFormat="1" x14ac:dyDescent="0.25">
      <c r="B836" s="869" t="s">
        <v>794</v>
      </c>
      <c r="C836" s="869"/>
      <c r="D836" s="869"/>
      <c r="E836" s="869"/>
      <c r="F836" s="869"/>
      <c r="G836" s="869"/>
      <c r="H836" s="869"/>
      <c r="I836" s="869"/>
      <c r="J836" s="870">
        <v>0</v>
      </c>
      <c r="K836" s="870">
        <v>1500</v>
      </c>
      <c r="L836" s="871">
        <f>K836/K$837</f>
        <v>0.99866844207723038</v>
      </c>
      <c r="M836" s="897"/>
      <c r="O836" s="736"/>
    </row>
    <row r="837" spans="1:15" s="115" customFormat="1" x14ac:dyDescent="0.25">
      <c r="B837" s="864" t="s">
        <v>2172</v>
      </c>
      <c r="C837" s="864"/>
      <c r="D837" s="864"/>
      <c r="E837" s="864"/>
      <c r="F837" s="864"/>
      <c r="G837" s="864"/>
      <c r="H837" s="864"/>
      <c r="I837" s="864"/>
      <c r="J837" s="863">
        <f>SUM(J835:J836)</f>
        <v>0</v>
      </c>
      <c r="K837" s="863">
        <f>SUM(K835:K836)</f>
        <v>1502</v>
      </c>
      <c r="L837" s="452">
        <f>K837/K$837</f>
        <v>1</v>
      </c>
      <c r="O837" s="733"/>
    </row>
    <row r="838" spans="1:15" s="115" customFormat="1" x14ac:dyDescent="0.25">
      <c r="A838" s="396"/>
      <c r="B838" s="874"/>
      <c r="C838" s="874"/>
      <c r="D838" s="874"/>
      <c r="E838" s="862"/>
      <c r="F838" s="641"/>
      <c r="G838" s="859"/>
      <c r="H838" s="859"/>
      <c r="I838" s="860"/>
      <c r="J838" s="791"/>
      <c r="K838" s="791"/>
      <c r="L838" s="792"/>
      <c r="M838" s="894"/>
      <c r="O838" s="733"/>
    </row>
    <row r="839" spans="1:15" x14ac:dyDescent="0.25">
      <c r="B839" s="1399"/>
      <c r="C839" s="1399"/>
      <c r="D839" s="1399"/>
      <c r="E839" s="1399"/>
      <c r="F839" s="1399"/>
      <c r="G839" s="1399"/>
      <c r="H839" s="1399"/>
      <c r="I839" s="1399"/>
      <c r="J839" s="867"/>
      <c r="K839" s="883"/>
      <c r="L839" s="792"/>
    </row>
    <row r="840" spans="1:15" ht="15.75" x14ac:dyDescent="0.25">
      <c r="B840" s="1371" t="s">
        <v>989</v>
      </c>
      <c r="C840" s="1371"/>
      <c r="D840" s="1371"/>
      <c r="E840" s="1371" t="s">
        <v>6887</v>
      </c>
      <c r="F840" s="1371"/>
      <c r="G840" s="1371"/>
      <c r="H840" s="1371"/>
      <c r="I840" s="1371"/>
      <c r="J840" s="940"/>
      <c r="K840" s="438"/>
      <c r="L840" s="449"/>
    </row>
    <row r="841" spans="1:15" ht="15.75" x14ac:dyDescent="0.25">
      <c r="B841" s="1371" t="s">
        <v>458</v>
      </c>
      <c r="C841" s="1371"/>
      <c r="D841" s="1371"/>
      <c r="E841" s="1371" t="s">
        <v>7040</v>
      </c>
      <c r="F841" s="1371"/>
      <c r="G841" s="1371"/>
      <c r="H841" s="1371"/>
      <c r="I841" s="1371"/>
      <c r="J841" s="940"/>
      <c r="K841" s="438"/>
      <c r="L841" s="449"/>
    </row>
    <row r="842" spans="1:15" ht="15.75" x14ac:dyDescent="0.25">
      <c r="B842" s="1403" t="s">
        <v>5764</v>
      </c>
      <c r="C842" s="1403"/>
      <c r="D842" s="1403"/>
      <c r="E842" s="1371" t="s">
        <v>749</v>
      </c>
      <c r="F842" s="1371"/>
      <c r="G842" s="1371"/>
      <c r="H842" s="1371"/>
      <c r="I842" s="1371"/>
      <c r="J842" s="941"/>
      <c r="K842" s="438"/>
      <c r="L842" s="449"/>
    </row>
    <row r="843" spans="1:15" ht="88.5" x14ac:dyDescent="0.25">
      <c r="A843" s="396"/>
      <c r="B843" s="1400" t="s">
        <v>2296</v>
      </c>
      <c r="C843" s="1400"/>
      <c r="D843" s="1400"/>
      <c r="E843" s="1384" t="s">
        <v>2297</v>
      </c>
      <c r="F843" s="1384"/>
      <c r="G843" s="443" t="s">
        <v>444</v>
      </c>
      <c r="H843" s="443" t="s">
        <v>2245</v>
      </c>
      <c r="I843" s="444" t="s">
        <v>5725</v>
      </c>
      <c r="J843" s="893" t="s">
        <v>11644</v>
      </c>
      <c r="K843" s="1000" t="s">
        <v>11522</v>
      </c>
      <c r="L843" s="450" t="s">
        <v>235</v>
      </c>
    </row>
    <row r="844" spans="1:15" x14ac:dyDescent="0.25">
      <c r="B844" s="1385" t="s">
        <v>5951</v>
      </c>
      <c r="C844" s="1385"/>
      <c r="D844" s="1385"/>
      <c r="E844" s="1385"/>
      <c r="F844" s="1385"/>
      <c r="G844" s="401"/>
      <c r="H844" s="401"/>
      <c r="I844" s="426"/>
      <c r="J844" s="402">
        <f t="shared" ref="J844:K846" si="104">J845</f>
        <v>84689.655274999997</v>
      </c>
      <c r="K844" s="402">
        <f t="shared" si="104"/>
        <v>125287.33894056869</v>
      </c>
      <c r="L844" s="451">
        <f t="shared" ref="L844:L861" si="105">K844/K$864</f>
        <v>1</v>
      </c>
    </row>
    <row r="845" spans="1:15" x14ac:dyDescent="0.25">
      <c r="B845" s="1386" t="s">
        <v>6043</v>
      </c>
      <c r="C845" s="1386"/>
      <c r="D845" s="1386"/>
      <c r="E845" s="1386"/>
      <c r="F845" s="1386"/>
      <c r="G845" s="403"/>
      <c r="H845" s="403"/>
      <c r="I845" s="427"/>
      <c r="J845" s="404">
        <f t="shared" si="104"/>
        <v>84689.655274999997</v>
      </c>
      <c r="K845" s="404">
        <f t="shared" si="104"/>
        <v>125287.33894056869</v>
      </c>
      <c r="L845" s="452">
        <f t="shared" si="105"/>
        <v>1</v>
      </c>
    </row>
    <row r="846" spans="1:15" x14ac:dyDescent="0.25">
      <c r="B846" s="1382" t="s">
        <v>7831</v>
      </c>
      <c r="C846" s="1382"/>
      <c r="D846" s="1382"/>
      <c r="E846" s="1382"/>
      <c r="F846" s="1382"/>
      <c r="G846" s="405"/>
      <c r="H846" s="405"/>
      <c r="I846" s="428"/>
      <c r="J846" s="406">
        <f t="shared" si="104"/>
        <v>84689.655274999997</v>
      </c>
      <c r="K846" s="406">
        <f t="shared" si="104"/>
        <v>125287.33894056869</v>
      </c>
      <c r="L846" s="453">
        <f t="shared" si="105"/>
        <v>1</v>
      </c>
    </row>
    <row r="847" spans="1:15" x14ac:dyDescent="0.25">
      <c r="B847" s="1383" t="s">
        <v>6044</v>
      </c>
      <c r="C847" s="1383"/>
      <c r="D847" s="1383"/>
      <c r="E847" s="1383"/>
      <c r="F847" s="1383"/>
      <c r="G847" s="407"/>
      <c r="H847" s="407"/>
      <c r="I847" s="429"/>
      <c r="J847" s="408">
        <f>J848+J849+J850+J851+J852+J853+J854+J855+J856+J857+J858+J859+J860-0.01</f>
        <v>84689.655274999997</v>
      </c>
      <c r="K847" s="408">
        <f>K848+K849+K850+K851+K852+K853+K854+K855+K856+K857+K858+K859+K860</f>
        <v>125287.33894056869</v>
      </c>
      <c r="L847" s="454">
        <f t="shared" si="105"/>
        <v>1</v>
      </c>
    </row>
    <row r="848" spans="1:15" s="115" customFormat="1" x14ac:dyDescent="0.25">
      <c r="B848" s="1398" t="s">
        <v>7827</v>
      </c>
      <c r="C848" s="1398"/>
      <c r="D848" s="1398"/>
      <c r="E848" s="854">
        <v>331901100000000</v>
      </c>
      <c r="F848" s="855" t="s">
        <v>10442</v>
      </c>
      <c r="G848" s="468">
        <v>1</v>
      </c>
      <c r="H848" s="468">
        <v>0</v>
      </c>
      <c r="I848" s="751"/>
      <c r="J848" s="789">
        <f>('Parâmetros financeiros Despesa'!E743)</f>
        <v>60909.768750000003</v>
      </c>
      <c r="K848" s="789">
        <f>('Parâmetros financeiros Despesa'!F743)*2.05+(('Parâmetros financeiros Despesa'!F743)*11.28)*(1+'Parâmetros financeiros Despesa'!F$4)*(1+'Parâmetros financeiros Despesa'!F$8)</f>
        <v>67310.366375015059</v>
      </c>
      <c r="L848" s="799">
        <f t="shared" si="105"/>
        <v>0.53724795293915861</v>
      </c>
      <c r="M848" s="894"/>
      <c r="O848" s="733"/>
    </row>
    <row r="849" spans="1:15" s="115" customFormat="1" x14ac:dyDescent="0.25">
      <c r="B849" s="1398" t="s">
        <v>7828</v>
      </c>
      <c r="C849" s="1398"/>
      <c r="D849" s="1398"/>
      <c r="E849" s="854">
        <v>331901300000000</v>
      </c>
      <c r="F849" s="855" t="s">
        <v>10443</v>
      </c>
      <c r="G849" s="468">
        <v>1</v>
      </c>
      <c r="H849" s="468">
        <v>0</v>
      </c>
      <c r="I849" s="751"/>
      <c r="J849" s="789">
        <f>('Parâmetros financeiros Despesa'!E744)</f>
        <v>10335.88205</v>
      </c>
      <c r="K849" s="789">
        <f>K848*'Parâmetros financeiros Despesa'!F81</f>
        <v>13462.073275003013</v>
      </c>
      <c r="L849" s="799">
        <f t="shared" si="105"/>
        <v>0.10744959058783173</v>
      </c>
      <c r="M849" s="894"/>
      <c r="O849" s="733"/>
    </row>
    <row r="850" spans="1:15" s="115" customFormat="1" x14ac:dyDescent="0.25">
      <c r="B850" s="1398" t="s">
        <v>7829</v>
      </c>
      <c r="C850" s="1398"/>
      <c r="D850" s="1398"/>
      <c r="E850" s="854">
        <v>333901400000000</v>
      </c>
      <c r="F850" s="855" t="s">
        <v>10441</v>
      </c>
      <c r="G850" s="468">
        <v>1</v>
      </c>
      <c r="H850" s="468">
        <v>0</v>
      </c>
      <c r="I850" s="751"/>
      <c r="J850" s="789">
        <f>('Parâmetros financeiros Despesa'!E745)</f>
        <v>646.5</v>
      </c>
      <c r="K850" s="789">
        <f>('Parâmetros financeiros Despesa'!F745)*2+(('Parâmetros financeiros Despesa'!F745)*10)*(1+'Parâmetros financeiros Despesa'!F$4)*(1+'Parâmetros financeiros Despesa'!F$8)</f>
        <v>903.94663150364215</v>
      </c>
      <c r="L850" s="799">
        <f t="shared" si="105"/>
        <v>7.2149878762485199E-3</v>
      </c>
      <c r="M850" s="894"/>
      <c r="N850" s="796"/>
      <c r="O850" s="733"/>
    </row>
    <row r="851" spans="1:15" s="115" customFormat="1" x14ac:dyDescent="0.25">
      <c r="B851" s="1398" t="s">
        <v>7830</v>
      </c>
      <c r="C851" s="1398"/>
      <c r="D851" s="1398"/>
      <c r="E851" s="854">
        <v>333903000000000</v>
      </c>
      <c r="F851" s="855" t="s">
        <v>10431</v>
      </c>
      <c r="G851" s="468">
        <v>1</v>
      </c>
      <c r="H851" s="468">
        <v>0</v>
      </c>
      <c r="I851" s="751"/>
      <c r="J851" s="789">
        <f>('Parâmetros financeiros Despesa'!E746+'Parâmetros financeiros Despesa'!E747)</f>
        <v>12522.150000000001</v>
      </c>
      <c r="K851" s="789">
        <f>('Parâmetros financeiros Despesa'!F746+'Parâmetros financeiros Despesa'!F747)*(1+'Parâmetros financeiros Despesa'!F$4)*(1+'Parâmetros financeiros Despesa'!F$7)</f>
        <v>15833.957592725003</v>
      </c>
      <c r="L851" s="799">
        <f t="shared" si="105"/>
        <v>0.12638114694283673</v>
      </c>
      <c r="M851" s="894"/>
      <c r="N851" s="796"/>
    </row>
    <row r="852" spans="1:15" s="115" customFormat="1" ht="30" x14ac:dyDescent="0.25">
      <c r="B852" s="1398" t="s">
        <v>7832</v>
      </c>
      <c r="C852" s="1398"/>
      <c r="D852" s="1398"/>
      <c r="E852" s="854">
        <v>333903200000000</v>
      </c>
      <c r="F852" s="855" t="s">
        <v>10432</v>
      </c>
      <c r="G852" s="468">
        <v>1</v>
      </c>
      <c r="H852" s="468">
        <v>0</v>
      </c>
      <c r="I852" s="751"/>
      <c r="J852" s="789">
        <f>('Parâmetros financeiros Despesa'!E748)</f>
        <v>0</v>
      </c>
      <c r="K852" s="789">
        <f>('Parâmetros financeiros Despesa'!F748)*(1+'Parâmetros financeiros Despesa'!F$4)*(1+'Parâmetros financeiros Despesa'!F$7)</f>
        <v>1635.4972500000001</v>
      </c>
      <c r="L852" s="799">
        <f t="shared" si="105"/>
        <v>1.3053970687140339E-2</v>
      </c>
      <c r="M852" s="894"/>
      <c r="N852" s="796"/>
    </row>
    <row r="853" spans="1:15" s="115" customFormat="1" x14ac:dyDescent="0.25">
      <c r="B853" s="1398" t="s">
        <v>7833</v>
      </c>
      <c r="C853" s="1398"/>
      <c r="D853" s="1398"/>
      <c r="E853" s="854">
        <v>333903300000000</v>
      </c>
      <c r="F853" s="855" t="s">
        <v>10433</v>
      </c>
      <c r="G853" s="468">
        <v>1</v>
      </c>
      <c r="H853" s="468">
        <v>0</v>
      </c>
      <c r="I853" s="751"/>
      <c r="J853" s="789">
        <f>('Parâmetros financeiros Despesa'!E749)</f>
        <v>0</v>
      </c>
      <c r="K853" s="789">
        <f>('Parâmetros financeiros Despesa'!F749)*(1+'Parâmetros financeiros Despesa'!F$4)*(1+'Parâmetros financeiros Despesa'!F$7)</f>
        <v>1090.3315</v>
      </c>
      <c r="L853" s="799">
        <f t="shared" si="105"/>
        <v>8.7026471247602256E-3</v>
      </c>
      <c r="M853" s="894"/>
      <c r="N853" s="796"/>
    </row>
    <row r="854" spans="1:15" s="115" customFormat="1" x14ac:dyDescent="0.25">
      <c r="B854" s="1398" t="s">
        <v>7834</v>
      </c>
      <c r="C854" s="1398"/>
      <c r="D854" s="1398"/>
      <c r="E854" s="854">
        <v>333903600000000</v>
      </c>
      <c r="F854" s="855" t="s">
        <v>10434</v>
      </c>
      <c r="G854" s="468">
        <v>1</v>
      </c>
      <c r="H854" s="468">
        <v>0</v>
      </c>
      <c r="I854" s="751"/>
      <c r="J854" s="789">
        <f>('Parâmetros financeiros Despesa'!E750)</f>
        <v>0</v>
      </c>
      <c r="K854" s="789">
        <f>('Parâmetros financeiros Despesa'!F750)*(1+'Parâmetros financeiros Despesa'!F$4)*(1+'Parâmetros financeiros Despesa'!F$7)</f>
        <v>3270.9945000000002</v>
      </c>
      <c r="L854" s="799">
        <f t="shared" si="105"/>
        <v>2.6107941374280678E-2</v>
      </c>
      <c r="M854" s="894"/>
      <c r="N854" s="796"/>
    </row>
    <row r="855" spans="1:15" s="115" customFormat="1" x14ac:dyDescent="0.25">
      <c r="B855" s="1398" t="s">
        <v>7835</v>
      </c>
      <c r="C855" s="1398"/>
      <c r="D855" s="1398"/>
      <c r="E855" s="854">
        <v>333903900000000</v>
      </c>
      <c r="F855" s="855" t="s">
        <v>10435</v>
      </c>
      <c r="G855" s="468">
        <v>1</v>
      </c>
      <c r="H855" s="468">
        <v>0</v>
      </c>
      <c r="I855" s="751"/>
      <c r="J855" s="789">
        <f>('Parâmetros financeiros Despesa'!E752+'Parâmetros financeiros Despesa'!E753)</f>
        <v>0</v>
      </c>
      <c r="K855" s="789">
        <f>('Parâmetros financeiros Despesa'!F752+'Parâmetros financeiros Despesa'!F753)*(1+'Parâmetros financeiros Despesa'!F$4)*(1+'Parâmetros financeiros Despesa'!F$7)</f>
        <v>10903.315000000001</v>
      </c>
      <c r="L855" s="799">
        <f t="shared" si="105"/>
        <v>8.7026471247602266E-2</v>
      </c>
      <c r="M855" s="894"/>
      <c r="N855" s="796"/>
    </row>
    <row r="856" spans="1:15" s="115" customFormat="1" x14ac:dyDescent="0.25">
      <c r="B856" s="1398" t="s">
        <v>7837</v>
      </c>
      <c r="C856" s="1398"/>
      <c r="D856" s="1398"/>
      <c r="E856" s="854">
        <v>333904700000000</v>
      </c>
      <c r="F856" s="855" t="s">
        <v>10436</v>
      </c>
      <c r="G856" s="468">
        <v>1</v>
      </c>
      <c r="H856" s="468">
        <v>0</v>
      </c>
      <c r="I856" s="751"/>
      <c r="J856" s="789">
        <f>'Parâmetros financeiros Despesa'!E758</f>
        <v>275.36447499999997</v>
      </c>
      <c r="K856" s="789">
        <f>(('Parâmetros financeiros Despesa'!F747+'Parâmetros financeiros Despesa'!F750+'Parâmetros financeiros Despesa'!F753)*(1+'Parâmetros financeiros Despesa'!F$4)*(1+'Parâmetros financeiros Despesa'!F$7))*('Parâmetros financeiros Despesa'!F$83)</f>
        <v>1526.4641000000001</v>
      </c>
      <c r="L856" s="799">
        <f t="shared" si="105"/>
        <v>1.2183705974664318E-2</v>
      </c>
      <c r="M856" s="894"/>
      <c r="N856" s="796"/>
    </row>
    <row r="857" spans="1:15" s="115" customFormat="1" x14ac:dyDescent="0.25">
      <c r="B857" s="1398" t="s">
        <v>7838</v>
      </c>
      <c r="C857" s="1398"/>
      <c r="D857" s="1398"/>
      <c r="E857" s="854">
        <v>333904900000000</v>
      </c>
      <c r="F857" s="855" t="s">
        <v>10437</v>
      </c>
      <c r="G857" s="468">
        <v>1</v>
      </c>
      <c r="H857" s="468">
        <v>0</v>
      </c>
      <c r="I857" s="751"/>
      <c r="J857" s="789">
        <f>('Parâmetros financeiros Despesa'!E754)*2+(('Parâmetros financeiros Despesa'!E754)*10)</f>
        <v>0</v>
      </c>
      <c r="K857" s="789">
        <f>('Parâmetros financeiros Despesa'!F754)*2+(('Parâmetros financeiros Despesa'!F754)*10)*(1+'Parâmetros financeiros Despesa'!F$4)*(1+'Parâmetros financeiros Despesa'!F$8)</f>
        <v>627.74071632197365</v>
      </c>
      <c r="L857" s="799">
        <f t="shared" si="105"/>
        <v>5.0104082473948052E-3</v>
      </c>
      <c r="M857" s="894"/>
      <c r="N857" s="796"/>
    </row>
    <row r="858" spans="1:15" s="115" customFormat="1" x14ac:dyDescent="0.25">
      <c r="B858" s="1398" t="s">
        <v>7839</v>
      </c>
      <c r="C858" s="1398"/>
      <c r="D858" s="1398"/>
      <c r="E858" s="854">
        <v>333909300000000</v>
      </c>
      <c r="F858" s="855" t="s">
        <v>10438</v>
      </c>
      <c r="G858" s="468">
        <v>1</v>
      </c>
      <c r="H858" s="468">
        <v>0</v>
      </c>
      <c r="I858" s="751"/>
      <c r="J858" s="789">
        <f>('Parâmetros financeiros Despesa'!E755)</f>
        <v>0</v>
      </c>
      <c r="K858" s="789">
        <f>('Parâmetros financeiros Despesa'!F755)*(1+'Parâmetros financeiros Despesa'!F$4)*(1+'Parâmetros financeiros Despesa'!F$7)</f>
        <v>1090.3315</v>
      </c>
      <c r="L858" s="799">
        <f t="shared" si="105"/>
        <v>8.7026471247602256E-3</v>
      </c>
      <c r="M858" s="894"/>
      <c r="N858" s="796"/>
    </row>
    <row r="859" spans="1:15" s="115" customFormat="1" x14ac:dyDescent="0.25">
      <c r="A859" s="396"/>
      <c r="B859" s="1398" t="s">
        <v>7840</v>
      </c>
      <c r="C859" s="1398"/>
      <c r="D859" s="1398"/>
      <c r="E859" s="854">
        <v>333933000000000</v>
      </c>
      <c r="F859" s="855" t="s">
        <v>10439</v>
      </c>
      <c r="G859" s="468">
        <v>1</v>
      </c>
      <c r="H859" s="468">
        <v>0</v>
      </c>
      <c r="I859" s="751"/>
      <c r="J859" s="789">
        <f>('Parâmetros financeiros Despesa'!E756)</f>
        <v>0</v>
      </c>
      <c r="K859" s="789">
        <f>('Parâmetros financeiros Despesa'!F756)*(1+'Parâmetros financeiros Despesa'!F$4)*(1+'Parâmetros financeiros Despesa'!F$7)</f>
        <v>3270.9945000000002</v>
      </c>
      <c r="L859" s="799">
        <f t="shared" si="105"/>
        <v>2.6107941374280678E-2</v>
      </c>
      <c r="M859" s="894"/>
      <c r="N859" s="796"/>
      <c r="O859" s="733"/>
    </row>
    <row r="860" spans="1:15" s="115" customFormat="1" x14ac:dyDescent="0.25">
      <c r="A860" s="396"/>
      <c r="B860" s="1398" t="s">
        <v>7841</v>
      </c>
      <c r="C860" s="1398"/>
      <c r="D860" s="1398"/>
      <c r="E860" s="854">
        <v>344905200000000</v>
      </c>
      <c r="F860" s="855" t="s">
        <v>10440</v>
      </c>
      <c r="G860" s="468">
        <v>1</v>
      </c>
      <c r="H860" s="468">
        <v>0</v>
      </c>
      <c r="I860" s="751"/>
      <c r="J860" s="789">
        <f>('Parâmetros financeiros Despesa'!E757)</f>
        <v>0</v>
      </c>
      <c r="K860" s="789">
        <f>('Parâmetros financeiros Despesa'!F757)*(1+'Parâmetros financeiros Despesa'!F$4)*(1+'Parâmetros financeiros Despesa'!F$7)</f>
        <v>4361.326</v>
      </c>
      <c r="L860" s="799">
        <f t="shared" si="105"/>
        <v>3.4810588499040902E-2</v>
      </c>
      <c r="M860" s="894"/>
      <c r="N860" s="796"/>
      <c r="O860" s="733"/>
    </row>
    <row r="861" spans="1:15" x14ac:dyDescent="0.25">
      <c r="B861" s="864" t="s">
        <v>22</v>
      </c>
      <c r="C861" s="864"/>
      <c r="D861" s="864"/>
      <c r="E861" s="864"/>
      <c r="F861" s="864"/>
      <c r="G861" s="864"/>
      <c r="H861" s="864"/>
      <c r="I861" s="864"/>
      <c r="J861" s="863">
        <f>J845</f>
        <v>84689.655274999997</v>
      </c>
      <c r="K861" s="863">
        <f>K845</f>
        <v>125287.33894056869</v>
      </c>
      <c r="L861" s="452">
        <f t="shared" si="105"/>
        <v>1</v>
      </c>
    </row>
    <row r="862" spans="1:15" x14ac:dyDescent="0.25">
      <c r="B862" s="864" t="s">
        <v>11469</v>
      </c>
      <c r="C862" s="864"/>
      <c r="D862" s="864"/>
      <c r="E862" s="864"/>
      <c r="F862" s="864"/>
      <c r="G862" s="864"/>
      <c r="H862" s="864"/>
      <c r="I862" s="864"/>
      <c r="J862" s="863"/>
      <c r="K862" s="863"/>
      <c r="L862" s="452"/>
    </row>
    <row r="863" spans="1:15" s="31" customFormat="1" x14ac:dyDescent="0.25">
      <c r="B863" s="869" t="s">
        <v>745</v>
      </c>
      <c r="C863" s="869"/>
      <c r="D863" s="869"/>
      <c r="E863" s="869"/>
      <c r="F863" s="869"/>
      <c r="G863" s="869"/>
      <c r="H863" s="869"/>
      <c r="I863" s="869"/>
      <c r="J863" s="870">
        <f>J861</f>
        <v>84689.655274999997</v>
      </c>
      <c r="K863" s="870">
        <f>K861</f>
        <v>125287.33894056869</v>
      </c>
      <c r="L863" s="871">
        <f>K863/K$864</f>
        <v>1</v>
      </c>
      <c r="M863" s="897"/>
      <c r="O863" s="736"/>
    </row>
    <row r="864" spans="1:15" s="115" customFormat="1" x14ac:dyDescent="0.25">
      <c r="B864" s="864" t="s">
        <v>2172</v>
      </c>
      <c r="C864" s="864"/>
      <c r="D864" s="864"/>
      <c r="E864" s="864"/>
      <c r="F864" s="864"/>
      <c r="G864" s="864"/>
      <c r="H864" s="864"/>
      <c r="I864" s="864"/>
      <c r="J864" s="863">
        <f>SUM(J863:J863)</f>
        <v>84689.655274999997</v>
      </c>
      <c r="K864" s="863">
        <f>SUM(K863:K863)</f>
        <v>125287.33894056869</v>
      </c>
      <c r="L864" s="452">
        <f>K864/K$864</f>
        <v>1</v>
      </c>
      <c r="N864" s="796"/>
      <c r="O864" s="733"/>
    </row>
    <row r="866" spans="1:19" ht="15.75" x14ac:dyDescent="0.25">
      <c r="B866" s="1371" t="s">
        <v>989</v>
      </c>
      <c r="C866" s="1371"/>
      <c r="D866" s="1371"/>
      <c r="E866" s="1371" t="s">
        <v>6887</v>
      </c>
      <c r="F866" s="1371"/>
      <c r="G866" s="1371"/>
      <c r="H866" s="1371"/>
      <c r="I866" s="1371"/>
      <c r="J866" s="940"/>
      <c r="K866" s="438"/>
      <c r="L866" s="449"/>
    </row>
    <row r="867" spans="1:19" ht="15.75" x14ac:dyDescent="0.25">
      <c r="B867" s="1371" t="s">
        <v>458</v>
      </c>
      <c r="C867" s="1371"/>
      <c r="D867" s="1371"/>
      <c r="E867" s="1371" t="s">
        <v>7883</v>
      </c>
      <c r="F867" s="1371"/>
      <c r="G867" s="1371"/>
      <c r="H867" s="1371"/>
      <c r="I867" s="1371"/>
      <c r="J867" s="940"/>
      <c r="K867" s="438"/>
      <c r="L867" s="449"/>
    </row>
    <row r="868" spans="1:19" ht="15.75" x14ac:dyDescent="0.25">
      <c r="B868" s="1403" t="s">
        <v>5764</v>
      </c>
      <c r="C868" s="1403"/>
      <c r="D868" s="1403"/>
      <c r="E868" s="1371" t="s">
        <v>749</v>
      </c>
      <c r="F868" s="1371"/>
      <c r="G868" s="1371"/>
      <c r="H868" s="1371"/>
      <c r="I868" s="1371"/>
      <c r="J868" s="941"/>
      <c r="K868" s="438"/>
      <c r="L868" s="449"/>
    </row>
    <row r="869" spans="1:19" ht="88.5" x14ac:dyDescent="0.25">
      <c r="A869" s="396"/>
      <c r="B869" s="1400" t="s">
        <v>2296</v>
      </c>
      <c r="C869" s="1400"/>
      <c r="D869" s="1400"/>
      <c r="E869" s="1384" t="s">
        <v>2297</v>
      </c>
      <c r="F869" s="1384"/>
      <c r="G869" s="443" t="s">
        <v>444</v>
      </c>
      <c r="H869" s="443" t="s">
        <v>2245</v>
      </c>
      <c r="I869" s="444" t="s">
        <v>5725</v>
      </c>
      <c r="J869" s="893" t="s">
        <v>11644</v>
      </c>
      <c r="K869" s="1000" t="s">
        <v>11522</v>
      </c>
      <c r="L869" s="450" t="s">
        <v>235</v>
      </c>
    </row>
    <row r="870" spans="1:19" x14ac:dyDescent="0.25">
      <c r="B870" s="1385" t="s">
        <v>7855</v>
      </c>
      <c r="C870" s="1385"/>
      <c r="D870" s="1385"/>
      <c r="E870" s="1385"/>
      <c r="F870" s="1385"/>
      <c r="G870" s="401"/>
      <c r="H870" s="401"/>
      <c r="I870" s="426"/>
      <c r="J870" s="402">
        <f t="shared" ref="J870:K872" si="106">J871</f>
        <v>228011.61547500003</v>
      </c>
      <c r="K870" s="402">
        <f t="shared" si="106"/>
        <v>366983.6830326512</v>
      </c>
      <c r="L870" s="451">
        <f t="shared" ref="L870:L892" si="107">K870/K$895</f>
        <v>0.95733542172878738</v>
      </c>
    </row>
    <row r="871" spans="1:19" x14ac:dyDescent="0.25">
      <c r="B871" s="1386" t="s">
        <v>7858</v>
      </c>
      <c r="C871" s="1386"/>
      <c r="D871" s="1386"/>
      <c r="E871" s="1386"/>
      <c r="F871" s="1386"/>
      <c r="G871" s="403"/>
      <c r="H871" s="403"/>
      <c r="I871" s="427"/>
      <c r="J871" s="404">
        <f t="shared" si="106"/>
        <v>228011.61547500003</v>
      </c>
      <c r="K871" s="404">
        <f t="shared" si="106"/>
        <v>366983.6830326512</v>
      </c>
      <c r="L871" s="452">
        <f t="shared" si="107"/>
        <v>0.95733542172878738</v>
      </c>
    </row>
    <row r="872" spans="1:19" x14ac:dyDescent="0.25">
      <c r="B872" s="1382" t="s">
        <v>7856</v>
      </c>
      <c r="C872" s="1382"/>
      <c r="D872" s="1382"/>
      <c r="E872" s="1382"/>
      <c r="F872" s="1382"/>
      <c r="G872" s="405"/>
      <c r="H872" s="405"/>
      <c r="I872" s="428"/>
      <c r="J872" s="406">
        <f t="shared" si="106"/>
        <v>228011.61547500003</v>
      </c>
      <c r="K872" s="406">
        <f t="shared" si="106"/>
        <v>366983.6830326512</v>
      </c>
      <c r="L872" s="453">
        <f t="shared" si="107"/>
        <v>0.95733542172878738</v>
      </c>
    </row>
    <row r="873" spans="1:19" x14ac:dyDescent="0.25">
      <c r="B873" s="1383" t="s">
        <v>7857</v>
      </c>
      <c r="C873" s="1383"/>
      <c r="D873" s="1383"/>
      <c r="E873" s="1383"/>
      <c r="F873" s="1383"/>
      <c r="G873" s="407"/>
      <c r="H873" s="407"/>
      <c r="I873" s="429"/>
      <c r="J873" s="408">
        <f>J874+J875+J876+J877+J878+J879+J880+J881+J882+J883+J884+J885-0.01</f>
        <v>228011.61547500003</v>
      </c>
      <c r="K873" s="408">
        <f>K874+K875+K876+K877+K878+K879+K880+K881+K882+K883+K884+K885-0.01</f>
        <v>366983.6830326512</v>
      </c>
      <c r="L873" s="454">
        <f t="shared" si="107"/>
        <v>0.95733542172878738</v>
      </c>
    </row>
    <row r="874" spans="1:19" s="115" customFormat="1" x14ac:dyDescent="0.25">
      <c r="B874" s="1398" t="s">
        <v>7859</v>
      </c>
      <c r="C874" s="1398"/>
      <c r="D874" s="1398"/>
      <c r="E874" s="854">
        <v>331900800000000</v>
      </c>
      <c r="F874" s="855" t="s">
        <v>7884</v>
      </c>
      <c r="G874" s="468">
        <v>1</v>
      </c>
      <c r="H874" s="468">
        <v>0</v>
      </c>
      <c r="I874" s="751"/>
      <c r="J874" s="789">
        <f>'Parâmetros financeiros Despesa'!E763</f>
        <v>72113.400475000017</v>
      </c>
      <c r="K874" s="789">
        <f>('Parâmetros financeiros Despesa'!F763)*2.05+(('Parâmetros financeiros Despesa'!F763)*11.28)*(1+'Parâmetros financeiros Despesa'!F$4)*(1+'Parâmetros financeiros Despesa'!F$8)</f>
        <v>75499.054624955548</v>
      </c>
      <c r="L874" s="799">
        <f t="shared" si="107"/>
        <v>0.19695131593378193</v>
      </c>
      <c r="M874" s="898"/>
      <c r="N874" s="463"/>
      <c r="O874" s="733"/>
      <c r="Q874" s="463"/>
      <c r="R874" s="463"/>
      <c r="S874" s="463"/>
    </row>
    <row r="875" spans="1:19" s="115" customFormat="1" x14ac:dyDescent="0.25">
      <c r="B875" s="1398" t="s">
        <v>7873</v>
      </c>
      <c r="C875" s="1398"/>
      <c r="D875" s="1398"/>
      <c r="E875" s="854">
        <v>331901300000000</v>
      </c>
      <c r="F875" s="855" t="s">
        <v>7843</v>
      </c>
      <c r="G875" s="468">
        <v>1</v>
      </c>
      <c r="H875" s="468">
        <v>0</v>
      </c>
      <c r="I875" s="751"/>
      <c r="J875" s="789">
        <f>('Parâmetros financeiros Despesa'!E765)</f>
        <v>0</v>
      </c>
      <c r="K875" s="789">
        <f>('Parâmetros financeiros Despesa'!F765)*(1+'Parâmetros financeiros Despesa'!F$4)*(1+'Parâmetros financeiros Despesa'!F$7)</f>
        <v>3270.9945000000002</v>
      </c>
      <c r="L875" s="799">
        <f t="shared" si="107"/>
        <v>8.5329104369237987E-3</v>
      </c>
      <c r="M875" s="898"/>
      <c r="N875" s="463"/>
      <c r="O875" s="733"/>
      <c r="Q875" s="463"/>
      <c r="R875" s="463"/>
      <c r="S875" s="463"/>
    </row>
    <row r="876" spans="1:19" s="115" customFormat="1" x14ac:dyDescent="0.25">
      <c r="B876" s="1398" t="s">
        <v>7874</v>
      </c>
      <c r="C876" s="1398"/>
      <c r="D876" s="1398"/>
      <c r="E876" s="854">
        <v>331909100000000</v>
      </c>
      <c r="F876" s="855" t="s">
        <v>7844</v>
      </c>
      <c r="G876" s="468">
        <v>1</v>
      </c>
      <c r="H876" s="468">
        <v>0</v>
      </c>
      <c r="I876" s="751"/>
      <c r="J876" s="789">
        <f>('Parâmetros financeiros Despesa'!E766+'Parâmetros financeiros Despesa'!E768+'Parâmetros financeiros Despesa'!E769+'Parâmetros financeiros Despesa'!E767)</f>
        <v>809.16</v>
      </c>
      <c r="K876" s="789">
        <f>('Parâmetros financeiros Despesa'!F766+'Parâmetros financeiros Despesa'!F768+'Parâmetros financeiros Despesa'!F769+'Parâmetros financeiros Despesa'!F767)*(1+'Parâmetros financeiros Despesa'!F$4)*(1+'Parâmetros financeiros Despesa'!F$7)</f>
        <v>48002.825585850005</v>
      </c>
      <c r="L876" s="799">
        <f t="shared" si="107"/>
        <v>0.12522302053498782</v>
      </c>
      <c r="M876" s="898"/>
      <c r="N876" s="463"/>
      <c r="O876" s="733"/>
      <c r="Q876" s="463"/>
      <c r="R876" s="463"/>
      <c r="S876" s="469"/>
    </row>
    <row r="877" spans="1:19" s="115" customFormat="1" x14ac:dyDescent="0.25">
      <c r="B877" s="1398" t="s">
        <v>7875</v>
      </c>
      <c r="C877" s="1398"/>
      <c r="D877" s="1398"/>
      <c r="E877" s="854">
        <v>332902100000000</v>
      </c>
      <c r="F877" s="855" t="s">
        <v>4984</v>
      </c>
      <c r="G877" s="468">
        <v>1</v>
      </c>
      <c r="H877" s="468">
        <v>0</v>
      </c>
      <c r="I877" s="751"/>
      <c r="J877" s="789">
        <f>('Parâmetros financeiros Despesa'!E770)</f>
        <v>0</v>
      </c>
      <c r="K877" s="789">
        <f>('Parâmetros financeiros Despesa'!F770)*(1+'Parâmetros financeiros Despesa'!F$4)*(1+'Parâmetros financeiros Despesa'!F$7)</f>
        <v>1.0903315</v>
      </c>
      <c r="L877" s="799">
        <f t="shared" si="107"/>
        <v>2.8443034789745992E-6</v>
      </c>
      <c r="M877" s="898"/>
      <c r="N877" s="463"/>
      <c r="O877" s="733"/>
      <c r="Q877" s="463"/>
      <c r="R877" s="463"/>
      <c r="S877" s="463"/>
    </row>
    <row r="878" spans="1:19" s="115" customFormat="1" x14ac:dyDescent="0.25">
      <c r="B878" s="1398" t="s">
        <v>7876</v>
      </c>
      <c r="C878" s="1398"/>
      <c r="D878" s="1398"/>
      <c r="E878" s="854">
        <v>333309300000000</v>
      </c>
      <c r="F878" s="855" t="s">
        <v>7886</v>
      </c>
      <c r="G878" s="468">
        <v>1</v>
      </c>
      <c r="H878" s="468">
        <v>0</v>
      </c>
      <c r="I878" s="990"/>
      <c r="J878" s="789">
        <f>('Parâmetros financeiros Despesa'!E771)</f>
        <v>0</v>
      </c>
      <c r="K878" s="789">
        <f>('Parâmetros financeiros Despesa'!F771)*(1+'Parâmetros financeiros Despesa'!F$4)*(1+'Parâmetros financeiros Despesa'!F$7)</f>
        <v>1090.3315</v>
      </c>
      <c r="L878" s="799">
        <f t="shared" si="107"/>
        <v>2.844303478974599E-3</v>
      </c>
      <c r="M878" s="898"/>
      <c r="N878" s="463"/>
      <c r="O878" s="733"/>
      <c r="Q878" s="463"/>
      <c r="R878" s="463"/>
      <c r="S878" s="463"/>
    </row>
    <row r="879" spans="1:19" s="115" customFormat="1" x14ac:dyDescent="0.25">
      <c r="B879" s="1398" t="s">
        <v>7877</v>
      </c>
      <c r="C879" s="1398"/>
      <c r="D879" s="1398"/>
      <c r="E879" s="854">
        <v>333903000000000</v>
      </c>
      <c r="F879" s="855" t="s">
        <v>1955</v>
      </c>
      <c r="G879" s="468">
        <v>1</v>
      </c>
      <c r="H879" s="468">
        <v>0</v>
      </c>
      <c r="I879" s="990"/>
      <c r="J879" s="789">
        <f>('Parâmetros financeiros Despesa'!E772)</f>
        <v>0</v>
      </c>
      <c r="K879" s="789">
        <f>('Parâmetros financeiros Despesa'!F772)*(1+'Parâmetros financeiros Despesa'!F$4)*(1+'Parâmetros financeiros Despesa'!F$7)</f>
        <v>5451.6575000000003</v>
      </c>
      <c r="L879" s="799">
        <f t="shared" si="107"/>
        <v>1.4221517394872997E-2</v>
      </c>
      <c r="M879" s="898"/>
      <c r="N879" s="463"/>
      <c r="O879" s="733"/>
      <c r="Q879" s="463"/>
      <c r="R879" s="463"/>
      <c r="S879" s="463"/>
    </row>
    <row r="880" spans="1:19" s="115" customFormat="1" x14ac:dyDescent="0.25">
      <c r="B880" s="1398" t="s">
        <v>7878</v>
      </c>
      <c r="C880" s="1398"/>
      <c r="D880" s="1398"/>
      <c r="E880" s="854">
        <v>333903900000000</v>
      </c>
      <c r="F880" s="855" t="s">
        <v>7885</v>
      </c>
      <c r="G880" s="468">
        <v>1</v>
      </c>
      <c r="H880" s="468">
        <v>0</v>
      </c>
      <c r="I880" s="990"/>
      <c r="J880" s="789">
        <f>('Parâmetros financeiros Despesa'!E773)</f>
        <v>32555.61</v>
      </c>
      <c r="K880" s="789">
        <f>('Parâmetros financeiros Despesa'!F773)*(1+'Parâmetros financeiros Despesa'!F$4)*(1+'Parâmetros financeiros Despesa'!F$7)+'Parâmetros financeiros Despesa'!F794</f>
        <v>33911.06708471501</v>
      </c>
      <c r="L880" s="799">
        <f t="shared" si="107"/>
        <v>8.84624227446386E-2</v>
      </c>
      <c r="M880" s="898"/>
      <c r="N880" s="463"/>
      <c r="O880" s="733"/>
      <c r="Q880" s="463"/>
      <c r="R880" s="463"/>
      <c r="S880" s="463"/>
    </row>
    <row r="881" spans="2:19" s="115" customFormat="1" x14ac:dyDescent="0.25">
      <c r="B881" s="1398" t="s">
        <v>7879</v>
      </c>
      <c r="C881" s="1398"/>
      <c r="D881" s="1398"/>
      <c r="E881" s="854">
        <v>333904700000000</v>
      </c>
      <c r="F881" s="855" t="s">
        <v>990</v>
      </c>
      <c r="G881" s="468">
        <v>1</v>
      </c>
      <c r="H881" s="468">
        <v>0</v>
      </c>
      <c r="I881" s="990"/>
      <c r="J881" s="789">
        <f>('Parâmetros financeiros Despesa'!E774+'Parâmetros financeiros Despesa'!E775)</f>
        <v>122093.49</v>
      </c>
      <c r="K881" s="789">
        <f>('Parâmetros financeiros Despesa'!F774+'Parâmetros financeiros Despesa'!F775)*(1+'Parâmetros financeiros Despesa'!F$4)*(1+'Parâmetros financeiros Despesa'!F$7)</f>
        <v>199271.51254973322</v>
      </c>
      <c r="L881" s="799">
        <f t="shared" si="107"/>
        <v>0.51983149749020063</v>
      </c>
      <c r="M881" s="898"/>
      <c r="N881" s="463"/>
      <c r="O881" s="733"/>
      <c r="Q881" s="463"/>
      <c r="R881" s="463"/>
      <c r="S881" s="463"/>
    </row>
    <row r="882" spans="2:19" s="115" customFormat="1" x14ac:dyDescent="0.25">
      <c r="B882" s="1398" t="s">
        <v>7880</v>
      </c>
      <c r="C882" s="1398"/>
      <c r="D882" s="1398"/>
      <c r="E882" s="854">
        <v>333909300000000</v>
      </c>
      <c r="F882" s="855" t="s">
        <v>985</v>
      </c>
      <c r="G882" s="468">
        <v>1</v>
      </c>
      <c r="H882" s="468">
        <v>0</v>
      </c>
      <c r="I882" s="990"/>
      <c r="J882" s="789">
        <f>('Parâmetros financeiros Despesa'!E777+'Parâmetros financeiros Despesa'!E778+'Parâmetros financeiros Despesa'!E779)</f>
        <v>439.96500000000003</v>
      </c>
      <c r="K882" s="789">
        <f>('Parâmetros financeiros Despesa'!F777+'Parâmetros financeiros Despesa'!F778+'Parâmetros financeiros Despesa'!F779)*(1+'Parâmetros financeiros Despesa'!F$4)*(1+'Parâmetros financeiros Despesa'!F$7)</f>
        <v>481.88836139750003</v>
      </c>
      <c r="L882" s="799">
        <f t="shared" si="107"/>
        <v>1.2570825870850087E-3</v>
      </c>
      <c r="M882" s="894"/>
      <c r="O882" s="733"/>
    </row>
    <row r="883" spans="2:19" s="115" customFormat="1" x14ac:dyDescent="0.25">
      <c r="B883" s="1398" t="s">
        <v>7881</v>
      </c>
      <c r="C883" s="1398"/>
      <c r="D883" s="1398"/>
      <c r="E883" s="854">
        <v>344209300000000</v>
      </c>
      <c r="F883" s="855" t="s">
        <v>985</v>
      </c>
      <c r="G883" s="468">
        <v>1</v>
      </c>
      <c r="H883" s="468">
        <v>0</v>
      </c>
      <c r="I883" s="990"/>
      <c r="J883" s="789">
        <f>('Parâmetros financeiros Despesa'!E781)</f>
        <v>0</v>
      </c>
      <c r="K883" s="789">
        <f>('Parâmetros financeiros Despesa'!F781)*(1+'Parâmetros financeiros Despesa'!F$4)*(1+'Parâmetros financeiros Despesa'!F$7)</f>
        <v>1.0903315</v>
      </c>
      <c r="L883" s="799">
        <f t="shared" si="107"/>
        <v>2.8443034789745992E-6</v>
      </c>
      <c r="M883" s="894"/>
      <c r="O883" s="733"/>
    </row>
    <row r="884" spans="2:19" s="115" customFormat="1" x14ac:dyDescent="0.25">
      <c r="B884" s="1398" t="s">
        <v>7872</v>
      </c>
      <c r="C884" s="1398"/>
      <c r="D884" s="1398"/>
      <c r="E884" s="854">
        <v>344309300000000</v>
      </c>
      <c r="F884" s="855" t="s">
        <v>985</v>
      </c>
      <c r="G884" s="468">
        <v>1</v>
      </c>
      <c r="H884" s="468">
        <v>0</v>
      </c>
      <c r="I884" s="990"/>
      <c r="J884" s="789">
        <f>('Parâmetros financeiros Despesa'!E783)</f>
        <v>0</v>
      </c>
      <c r="K884" s="789">
        <f>('Parâmetros financeiros Despesa'!F783)*(1+'Parâmetros financeiros Despesa'!F$4)*(1+'Parâmetros financeiros Despesa'!F$7)</f>
        <v>1.0903315</v>
      </c>
      <c r="L884" s="799">
        <f t="shared" si="107"/>
        <v>2.8443034789745992E-6</v>
      </c>
      <c r="M884" s="894"/>
      <c r="O884" s="733"/>
    </row>
    <row r="885" spans="2:19" s="115" customFormat="1" x14ac:dyDescent="0.25">
      <c r="B885" s="1398" t="s">
        <v>7887</v>
      </c>
      <c r="C885" s="1398"/>
      <c r="D885" s="1398"/>
      <c r="E885" s="854">
        <v>346907100000000</v>
      </c>
      <c r="F885" s="855" t="s">
        <v>5573</v>
      </c>
      <c r="G885" s="468">
        <v>1</v>
      </c>
      <c r="H885" s="468">
        <v>0</v>
      </c>
      <c r="I885" s="990"/>
      <c r="J885" s="789">
        <f>('Parâmetros financeiros Despesa'!E784)</f>
        <v>0</v>
      </c>
      <c r="K885" s="789">
        <f>('Parâmetros financeiros Despesa'!F784)*(1+'Parâmetros financeiros Despesa'!F$4)*(1+'Parâmetros financeiros Despesa'!F$7)</f>
        <v>1.0903315</v>
      </c>
      <c r="L885" s="799">
        <f t="shared" si="107"/>
        <v>2.8443034789745992E-6</v>
      </c>
      <c r="M885" s="894"/>
      <c r="O885" s="733"/>
    </row>
    <row r="886" spans="2:19" x14ac:dyDescent="0.25">
      <c r="B886" s="1385" t="s">
        <v>7855</v>
      </c>
      <c r="C886" s="1385"/>
      <c r="D886" s="1385"/>
      <c r="E886" s="1385"/>
      <c r="F886" s="1385"/>
      <c r="G886" s="401"/>
      <c r="H886" s="401"/>
      <c r="I886" s="426"/>
      <c r="J886" s="402">
        <f t="shared" ref="J886:K888" si="108">J887</f>
        <v>0.01</v>
      </c>
      <c r="K886" s="402">
        <f t="shared" si="108"/>
        <v>16354.9825</v>
      </c>
      <c r="L886" s="451">
        <f t="shared" si="107"/>
        <v>4.2664578271212644E-2</v>
      </c>
    </row>
    <row r="887" spans="2:19" x14ac:dyDescent="0.25">
      <c r="B887" s="1386" t="s">
        <v>7888</v>
      </c>
      <c r="C887" s="1386"/>
      <c r="D887" s="1386"/>
      <c r="E887" s="1386"/>
      <c r="F887" s="1386"/>
      <c r="G887" s="403"/>
      <c r="H887" s="403"/>
      <c r="I887" s="427"/>
      <c r="J887" s="404">
        <f t="shared" si="108"/>
        <v>0.01</v>
      </c>
      <c r="K887" s="404">
        <f t="shared" si="108"/>
        <v>16354.9825</v>
      </c>
      <c r="L887" s="452">
        <f t="shared" si="107"/>
        <v>4.2664578271212644E-2</v>
      </c>
    </row>
    <row r="888" spans="2:19" x14ac:dyDescent="0.25">
      <c r="B888" s="1382" t="s">
        <v>7856</v>
      </c>
      <c r="C888" s="1382"/>
      <c r="D888" s="1382"/>
      <c r="E888" s="1382"/>
      <c r="F888" s="1382"/>
      <c r="G888" s="405"/>
      <c r="H888" s="405"/>
      <c r="I888" s="428"/>
      <c r="J888" s="406">
        <f t="shared" si="108"/>
        <v>0.01</v>
      </c>
      <c r="K888" s="406">
        <f t="shared" si="108"/>
        <v>16354.9825</v>
      </c>
      <c r="L888" s="453">
        <f t="shared" si="107"/>
        <v>4.2664578271212644E-2</v>
      </c>
    </row>
    <row r="889" spans="2:19" x14ac:dyDescent="0.25">
      <c r="B889" s="1383" t="s">
        <v>7857</v>
      </c>
      <c r="C889" s="1383"/>
      <c r="D889" s="1383"/>
      <c r="E889" s="1383"/>
      <c r="F889" s="1383"/>
      <c r="G889" s="407"/>
      <c r="H889" s="407"/>
      <c r="I889" s="429"/>
      <c r="J889" s="408">
        <f>J890+J891+0.01</f>
        <v>0.01</v>
      </c>
      <c r="K889" s="408">
        <f>K890+K891+0.01</f>
        <v>16354.9825</v>
      </c>
      <c r="L889" s="454">
        <f t="shared" si="107"/>
        <v>4.2664578271212644E-2</v>
      </c>
    </row>
    <row r="890" spans="2:19" s="115" customFormat="1" x14ac:dyDescent="0.25">
      <c r="B890" s="1398" t="s">
        <v>7889</v>
      </c>
      <c r="C890" s="1398"/>
      <c r="D890" s="1398"/>
      <c r="E890" s="854">
        <v>333903000000000</v>
      </c>
      <c r="F890" s="855" t="s">
        <v>1955</v>
      </c>
      <c r="G890" s="468">
        <v>1</v>
      </c>
      <c r="H890" s="468">
        <v>0</v>
      </c>
      <c r="I890" s="990"/>
      <c r="J890" s="789">
        <f>('Parâmetros financeiros Despesa'!E785)</f>
        <v>0</v>
      </c>
      <c r="K890" s="789">
        <f>('Parâmetros financeiros Despesa'!F785)*(1+'Parâmetros financeiros Despesa'!F$4)*(1+'Parâmetros financeiros Despesa'!F$7)</f>
        <v>5451.6575000000003</v>
      </c>
      <c r="L890" s="799">
        <f t="shared" si="107"/>
        <v>1.4221517394872997E-2</v>
      </c>
      <c r="M890" s="898"/>
      <c r="N890" s="463"/>
      <c r="O890" s="733"/>
      <c r="Q890" s="463"/>
      <c r="R890" s="463"/>
      <c r="S890" s="463"/>
    </row>
    <row r="891" spans="2:19" s="115" customFormat="1" x14ac:dyDescent="0.25">
      <c r="B891" s="1398" t="s">
        <v>7890</v>
      </c>
      <c r="C891" s="1398"/>
      <c r="D891" s="1398"/>
      <c r="E891" s="854">
        <v>333903900000000</v>
      </c>
      <c r="F891" s="855" t="s">
        <v>7885</v>
      </c>
      <c r="G891" s="468">
        <v>1</v>
      </c>
      <c r="H891" s="468">
        <v>0</v>
      </c>
      <c r="I891" s="990"/>
      <c r="J891" s="789">
        <f>('Parâmetros financeiros Despesa'!E786)</f>
        <v>0</v>
      </c>
      <c r="K891" s="789">
        <f>('Parâmetros financeiros Despesa'!F786)*(1+'Parâmetros financeiros Despesa'!F$4)*(1+'Parâmetros financeiros Despesa'!F$7)</f>
        <v>10903.315000000001</v>
      </c>
      <c r="L891" s="799">
        <f t="shared" si="107"/>
        <v>2.8443034789745993E-2</v>
      </c>
      <c r="M891" s="898"/>
      <c r="N891" s="463"/>
      <c r="O891" s="733"/>
      <c r="Q891" s="463"/>
      <c r="R891" s="463"/>
      <c r="S891" s="463"/>
    </row>
    <row r="892" spans="2:19" x14ac:dyDescent="0.25">
      <c r="B892" s="864" t="s">
        <v>22</v>
      </c>
      <c r="C892" s="864"/>
      <c r="D892" s="864"/>
      <c r="E892" s="864"/>
      <c r="F892" s="864"/>
      <c r="G892" s="864"/>
      <c r="H892" s="864"/>
      <c r="I892" s="864"/>
      <c r="J892" s="863">
        <f>J887+J871-0.01</f>
        <v>228011.61547500003</v>
      </c>
      <c r="K892" s="863">
        <f>K887+K871</f>
        <v>383338.66553265118</v>
      </c>
      <c r="L892" s="452">
        <f t="shared" si="107"/>
        <v>1</v>
      </c>
    </row>
    <row r="893" spans="2:19" x14ac:dyDescent="0.25">
      <c r="B893" s="864" t="s">
        <v>11469</v>
      </c>
      <c r="C893" s="864"/>
      <c r="D893" s="864"/>
      <c r="E893" s="864"/>
      <c r="F893" s="864"/>
      <c r="G893" s="864"/>
      <c r="H893" s="864"/>
      <c r="I893" s="864"/>
      <c r="J893" s="863"/>
      <c r="K893" s="863"/>
      <c r="L893" s="452"/>
    </row>
    <row r="894" spans="2:19" s="31" customFormat="1" x14ac:dyDescent="0.25">
      <c r="B894" s="869" t="s">
        <v>745</v>
      </c>
      <c r="C894" s="869"/>
      <c r="D894" s="869"/>
      <c r="E894" s="869"/>
      <c r="F894" s="869"/>
      <c r="G894" s="869"/>
      <c r="H894" s="869"/>
      <c r="I894" s="869"/>
      <c r="J894" s="870">
        <f>J892</f>
        <v>228011.61547500003</v>
      </c>
      <c r="K894" s="870">
        <f>K892</f>
        <v>383338.66553265118</v>
      </c>
      <c r="L894" s="871">
        <f>K894/K$895</f>
        <v>1</v>
      </c>
      <c r="M894" s="897"/>
      <c r="O894" s="736"/>
    </row>
    <row r="895" spans="2:19" s="115" customFormat="1" x14ac:dyDescent="0.25">
      <c r="B895" s="864" t="s">
        <v>2172</v>
      </c>
      <c r="C895" s="864"/>
      <c r="D895" s="864"/>
      <c r="E895" s="864"/>
      <c r="F895" s="864"/>
      <c r="G895" s="864"/>
      <c r="H895" s="864"/>
      <c r="I895" s="864"/>
      <c r="J895" s="863">
        <f>SUM(J894:J894)</f>
        <v>228011.61547500003</v>
      </c>
      <c r="K895" s="863">
        <f>SUM(K894:K894)</f>
        <v>383338.66553265118</v>
      </c>
      <c r="L895" s="452">
        <f>K895/K$895</f>
        <v>1</v>
      </c>
      <c r="O895" s="733"/>
    </row>
    <row r="897" spans="1:19" ht="15.75" x14ac:dyDescent="0.25">
      <c r="B897" s="1371" t="s">
        <v>989</v>
      </c>
      <c r="C897" s="1371"/>
      <c r="D897" s="1371"/>
      <c r="E897" s="1371" t="s">
        <v>6887</v>
      </c>
      <c r="F897" s="1371"/>
      <c r="G897" s="1371"/>
      <c r="H897" s="1371"/>
      <c r="I897" s="1371"/>
      <c r="J897" s="940"/>
      <c r="K897" s="438"/>
      <c r="L897" s="449"/>
    </row>
    <row r="898" spans="1:19" ht="15.75" x14ac:dyDescent="0.25">
      <c r="B898" s="1371" t="s">
        <v>458</v>
      </c>
      <c r="C898" s="1371"/>
      <c r="D898" s="1371"/>
      <c r="E898" s="1371" t="s">
        <v>7882</v>
      </c>
      <c r="F898" s="1371"/>
      <c r="G898" s="1371"/>
      <c r="H898" s="1371"/>
      <c r="I898" s="1371"/>
      <c r="J898" s="940"/>
      <c r="K898" s="438"/>
      <c r="L898" s="449"/>
    </row>
    <row r="899" spans="1:19" ht="15.75" x14ac:dyDescent="0.25">
      <c r="B899" s="1403" t="s">
        <v>5764</v>
      </c>
      <c r="C899" s="1403"/>
      <c r="D899" s="1403"/>
      <c r="E899" s="1371" t="s">
        <v>749</v>
      </c>
      <c r="F899" s="1371"/>
      <c r="G899" s="1371"/>
      <c r="H899" s="1371"/>
      <c r="I899" s="1371"/>
      <c r="J899" s="941"/>
      <c r="K899" s="438"/>
      <c r="L899" s="449"/>
    </row>
    <row r="900" spans="1:19" ht="88.5" x14ac:dyDescent="0.25">
      <c r="A900" s="396"/>
      <c r="B900" s="1400" t="s">
        <v>2296</v>
      </c>
      <c r="C900" s="1400"/>
      <c r="D900" s="1400"/>
      <c r="E900" s="1384" t="s">
        <v>2297</v>
      </c>
      <c r="F900" s="1384"/>
      <c r="G900" s="443" t="s">
        <v>444</v>
      </c>
      <c r="H900" s="443" t="s">
        <v>2245</v>
      </c>
      <c r="I900" s="444" t="s">
        <v>5725</v>
      </c>
      <c r="J900" s="893" t="s">
        <v>11644</v>
      </c>
      <c r="K900" s="1000" t="s">
        <v>11522</v>
      </c>
      <c r="L900" s="450" t="s">
        <v>235</v>
      </c>
    </row>
    <row r="901" spans="1:19" x14ac:dyDescent="0.25">
      <c r="B901" s="1385" t="s">
        <v>5951</v>
      </c>
      <c r="C901" s="1385"/>
      <c r="D901" s="1385"/>
      <c r="E901" s="1385"/>
      <c r="F901" s="1385"/>
      <c r="G901" s="401"/>
      <c r="H901" s="401"/>
      <c r="I901" s="426"/>
      <c r="J901" s="402">
        <f t="shared" ref="J901:K904" si="109">J902</f>
        <v>1003508.38</v>
      </c>
      <c r="K901" s="402">
        <f t="shared" si="109"/>
        <v>183000.00003991171</v>
      </c>
      <c r="L901" s="451">
        <f t="shared" ref="L901:L906" si="110">K901/K$909</f>
        <v>1</v>
      </c>
    </row>
    <row r="902" spans="1:19" x14ac:dyDescent="0.25">
      <c r="B902" s="1386" t="s">
        <v>7891</v>
      </c>
      <c r="C902" s="1386"/>
      <c r="D902" s="1386"/>
      <c r="E902" s="1386"/>
      <c r="F902" s="1386"/>
      <c r="G902" s="403"/>
      <c r="H902" s="403"/>
      <c r="I902" s="427"/>
      <c r="J902" s="404">
        <f t="shared" si="109"/>
        <v>1003508.38</v>
      </c>
      <c r="K902" s="404">
        <f t="shared" si="109"/>
        <v>183000.00003991171</v>
      </c>
      <c r="L902" s="452">
        <f t="shared" si="110"/>
        <v>1</v>
      </c>
    </row>
    <row r="903" spans="1:19" x14ac:dyDescent="0.25">
      <c r="B903" s="1382" t="s">
        <v>7893</v>
      </c>
      <c r="C903" s="1382"/>
      <c r="D903" s="1382"/>
      <c r="E903" s="1382"/>
      <c r="F903" s="1382"/>
      <c r="G903" s="405"/>
      <c r="H903" s="405"/>
      <c r="I903" s="428"/>
      <c r="J903" s="406">
        <f t="shared" si="109"/>
        <v>1003508.38</v>
      </c>
      <c r="K903" s="406">
        <f t="shared" si="109"/>
        <v>183000.00003991171</v>
      </c>
      <c r="L903" s="453">
        <f t="shared" si="110"/>
        <v>1</v>
      </c>
    </row>
    <row r="904" spans="1:19" x14ac:dyDescent="0.25">
      <c r="B904" s="1383" t="s">
        <v>7892</v>
      </c>
      <c r="C904" s="1383"/>
      <c r="D904" s="1383"/>
      <c r="E904" s="1383"/>
      <c r="F904" s="1383"/>
      <c r="G904" s="407"/>
      <c r="H904" s="407"/>
      <c r="I904" s="429"/>
      <c r="J904" s="408">
        <f t="shared" si="109"/>
        <v>1003508.38</v>
      </c>
      <c r="K904" s="408">
        <f t="shared" si="109"/>
        <v>183000.00003991171</v>
      </c>
      <c r="L904" s="454">
        <f t="shared" si="110"/>
        <v>1</v>
      </c>
    </row>
    <row r="905" spans="1:19" s="115" customFormat="1" x14ac:dyDescent="0.25">
      <c r="B905" s="1398" t="s">
        <v>7894</v>
      </c>
      <c r="C905" s="1398"/>
      <c r="D905" s="1398"/>
      <c r="E905" s="854">
        <v>399999900000000</v>
      </c>
      <c r="F905" s="855" t="s">
        <v>7895</v>
      </c>
      <c r="G905" s="468">
        <v>1</v>
      </c>
      <c r="H905" s="468">
        <v>0</v>
      </c>
      <c r="I905" s="990"/>
      <c r="J905" s="789">
        <f>'Parâmetros financeiros Despesa'!E792</f>
        <v>1003508.38</v>
      </c>
      <c r="K905" s="789">
        <f>'Parâmetros financeiros Despesa'!F792</f>
        <v>183000.00003991171</v>
      </c>
      <c r="L905" s="799">
        <f t="shared" si="110"/>
        <v>1</v>
      </c>
      <c r="M905" s="894"/>
      <c r="N905" s="900"/>
      <c r="O905" s="733"/>
      <c r="Q905" s="463"/>
      <c r="R905" s="463"/>
      <c r="S905" s="463"/>
    </row>
    <row r="906" spans="1:19" x14ac:dyDescent="0.25">
      <c r="B906" s="864" t="s">
        <v>22</v>
      </c>
      <c r="C906" s="864"/>
      <c r="D906" s="864"/>
      <c r="E906" s="864"/>
      <c r="F906" s="864"/>
      <c r="G906" s="864"/>
      <c r="H906" s="864"/>
      <c r="I906" s="864"/>
      <c r="J906" s="863">
        <f>J902</f>
        <v>1003508.38</v>
      </c>
      <c r="K906" s="863">
        <f>K902</f>
        <v>183000.00003991171</v>
      </c>
      <c r="L906" s="452">
        <f t="shared" si="110"/>
        <v>1</v>
      </c>
    </row>
    <row r="907" spans="1:19" x14ac:dyDescent="0.25">
      <c r="B907" s="864" t="s">
        <v>11469</v>
      </c>
      <c r="C907" s="864"/>
      <c r="D907" s="864"/>
      <c r="E907" s="864"/>
      <c r="F907" s="864"/>
      <c r="G907" s="864"/>
      <c r="H907" s="864"/>
      <c r="I907" s="864"/>
      <c r="J907" s="863"/>
      <c r="K907" s="863"/>
      <c r="L907" s="452"/>
    </row>
    <row r="908" spans="1:19" s="31" customFormat="1" x14ac:dyDescent="0.25">
      <c r="B908" s="869" t="s">
        <v>11568</v>
      </c>
      <c r="C908" s="869"/>
      <c r="D908" s="869"/>
      <c r="E908" s="869"/>
      <c r="F908" s="869"/>
      <c r="G908" s="869"/>
      <c r="H908" s="869"/>
      <c r="I908" s="869"/>
      <c r="J908" s="870">
        <f>J906</f>
        <v>1003508.38</v>
      </c>
      <c r="K908" s="870">
        <f>K906</f>
        <v>183000.00003991171</v>
      </c>
      <c r="L908" s="871">
        <f>K908/K$909</f>
        <v>1</v>
      </c>
      <c r="M908" s="897"/>
      <c r="O908" s="736"/>
    </row>
    <row r="909" spans="1:19" s="115" customFormat="1" x14ac:dyDescent="0.25">
      <c r="B909" s="864" t="s">
        <v>2172</v>
      </c>
      <c r="C909" s="864"/>
      <c r="D909" s="864"/>
      <c r="E909" s="864"/>
      <c r="F909" s="864"/>
      <c r="G909" s="864"/>
      <c r="H909" s="864"/>
      <c r="I909" s="864"/>
      <c r="J909" s="863">
        <f>SUM(J908:J908)</f>
        <v>1003508.38</v>
      </c>
      <c r="K909" s="863">
        <f>SUM(K908:K908)</f>
        <v>183000.00003991171</v>
      </c>
      <c r="L909" s="452">
        <f>K909/K$909</f>
        <v>1</v>
      </c>
      <c r="O909" s="733"/>
    </row>
    <row r="910" spans="1:19" s="115" customFormat="1" x14ac:dyDescent="0.25">
      <c r="B910" s="875"/>
      <c r="C910" s="875"/>
      <c r="D910" s="875"/>
      <c r="E910" s="875"/>
      <c r="F910" s="875"/>
      <c r="G910" s="875"/>
      <c r="H910" s="875"/>
      <c r="I910" s="875"/>
      <c r="J910" s="943"/>
      <c r="K910" s="867"/>
      <c r="L910" s="792"/>
      <c r="M910" s="894"/>
      <c r="O910" s="733"/>
    </row>
    <row r="911" spans="1:19" ht="15.75" x14ac:dyDescent="0.25">
      <c r="B911" s="1371" t="s">
        <v>989</v>
      </c>
      <c r="C911" s="1371"/>
      <c r="D911" s="1371"/>
      <c r="E911" s="1371" t="s">
        <v>6887</v>
      </c>
      <c r="F911" s="1371"/>
      <c r="G911" s="1371"/>
      <c r="H911" s="1371"/>
      <c r="I911" s="1371"/>
      <c r="J911" s="940"/>
      <c r="K911" s="438"/>
      <c r="L911" s="449"/>
    </row>
    <row r="912" spans="1:19" ht="15.75" x14ac:dyDescent="0.25">
      <c r="B912" s="1371" t="s">
        <v>458</v>
      </c>
      <c r="C912" s="1371"/>
      <c r="D912" s="1371"/>
      <c r="E912" s="1371" t="s">
        <v>7899</v>
      </c>
      <c r="F912" s="1371"/>
      <c r="G912" s="1371"/>
      <c r="H912" s="1371"/>
      <c r="I912" s="1371"/>
      <c r="J912" s="940"/>
      <c r="K912" s="438"/>
      <c r="L912" s="449"/>
    </row>
    <row r="913" spans="1:15" ht="15.75" x14ac:dyDescent="0.25">
      <c r="B913" s="1403" t="s">
        <v>5764</v>
      </c>
      <c r="C913" s="1403"/>
      <c r="D913" s="1403"/>
      <c r="E913" s="1371" t="s">
        <v>749</v>
      </c>
      <c r="F913" s="1371"/>
      <c r="G913" s="1371"/>
      <c r="H913" s="1371"/>
      <c r="I913" s="1371"/>
      <c r="J913" s="941"/>
      <c r="K913" s="438"/>
      <c r="L913" s="449"/>
    </row>
    <row r="914" spans="1:15" ht="88.5" x14ac:dyDescent="0.25">
      <c r="A914" s="396"/>
      <c r="B914" s="1400" t="s">
        <v>2296</v>
      </c>
      <c r="C914" s="1400"/>
      <c r="D914" s="1400"/>
      <c r="E914" s="1384" t="s">
        <v>2297</v>
      </c>
      <c r="F914" s="1384"/>
      <c r="G914" s="443" t="s">
        <v>444</v>
      </c>
      <c r="H914" s="443" t="s">
        <v>2245</v>
      </c>
      <c r="I914" s="444" t="s">
        <v>5725</v>
      </c>
      <c r="J914" s="893" t="s">
        <v>11644</v>
      </c>
      <c r="K914" s="1000" t="s">
        <v>11522</v>
      </c>
      <c r="L914" s="450" t="s">
        <v>235</v>
      </c>
    </row>
    <row r="915" spans="1:15" x14ac:dyDescent="0.25">
      <c r="B915" s="1385" t="s">
        <v>7900</v>
      </c>
      <c r="C915" s="1385"/>
      <c r="D915" s="1385"/>
      <c r="E915" s="1385"/>
      <c r="F915" s="1385"/>
      <c r="G915" s="401"/>
      <c r="H915" s="401"/>
      <c r="I915" s="426"/>
      <c r="J915" s="402">
        <f t="shared" ref="J915:K917" si="111">J916</f>
        <v>0</v>
      </c>
      <c r="K915" s="402">
        <f t="shared" si="111"/>
        <v>5001</v>
      </c>
      <c r="L915" s="451">
        <f t="shared" ref="L915:L923" si="112">K915/K$927</f>
        <v>1</v>
      </c>
    </row>
    <row r="916" spans="1:15" x14ac:dyDescent="0.25">
      <c r="B916" s="1386" t="s">
        <v>7901</v>
      </c>
      <c r="C916" s="1386"/>
      <c r="D916" s="1386"/>
      <c r="E916" s="1386"/>
      <c r="F916" s="1386"/>
      <c r="G916" s="403"/>
      <c r="H916" s="403"/>
      <c r="I916" s="427"/>
      <c r="J916" s="404">
        <f t="shared" si="111"/>
        <v>0</v>
      </c>
      <c r="K916" s="404">
        <f t="shared" si="111"/>
        <v>5001</v>
      </c>
      <c r="L916" s="452">
        <f t="shared" si="112"/>
        <v>1</v>
      </c>
    </row>
    <row r="917" spans="1:15" x14ac:dyDescent="0.25">
      <c r="B917" s="1382" t="s">
        <v>7714</v>
      </c>
      <c r="C917" s="1382"/>
      <c r="D917" s="1382"/>
      <c r="E917" s="1382"/>
      <c r="F917" s="1382"/>
      <c r="G917" s="405"/>
      <c r="H917" s="405"/>
      <c r="I917" s="428"/>
      <c r="J917" s="406">
        <f t="shared" si="111"/>
        <v>0</v>
      </c>
      <c r="K917" s="406">
        <f t="shared" si="111"/>
        <v>5001</v>
      </c>
      <c r="L917" s="453">
        <f t="shared" si="112"/>
        <v>1</v>
      </c>
    </row>
    <row r="918" spans="1:15" x14ac:dyDescent="0.25">
      <c r="B918" s="1383" t="s">
        <v>7713</v>
      </c>
      <c r="C918" s="1383"/>
      <c r="D918" s="1383"/>
      <c r="E918" s="1383"/>
      <c r="F918" s="1383"/>
      <c r="G918" s="407"/>
      <c r="H918" s="407"/>
      <c r="I918" s="429"/>
      <c r="J918" s="408">
        <f>J919+J920+J921+J922</f>
        <v>0</v>
      </c>
      <c r="K918" s="408">
        <f>K919+K920+K921+K922</f>
        <v>5001</v>
      </c>
      <c r="L918" s="454">
        <f t="shared" si="112"/>
        <v>1</v>
      </c>
    </row>
    <row r="919" spans="1:15" x14ac:dyDescent="0.25">
      <c r="B919" s="1004"/>
      <c r="C919" s="1004"/>
      <c r="D919" s="1004" t="s">
        <v>7902</v>
      </c>
      <c r="E919" s="854">
        <v>344209300000000</v>
      </c>
      <c r="F919" s="855" t="s">
        <v>7905</v>
      </c>
      <c r="G919" s="468">
        <v>1127</v>
      </c>
      <c r="H919" s="468">
        <v>0</v>
      </c>
      <c r="I919" s="751"/>
      <c r="J919" s="789">
        <f>'Parâmetros financeiros Despesa'!E799</f>
        <v>0</v>
      </c>
      <c r="K919" s="789">
        <f>'Parâmetros financeiros Despesa'!F799</f>
        <v>1</v>
      </c>
      <c r="L919" s="799">
        <f t="shared" si="112"/>
        <v>1.9996000799840031E-4</v>
      </c>
    </row>
    <row r="920" spans="1:15" x14ac:dyDescent="0.25">
      <c r="B920" s="1004"/>
      <c r="C920" s="1004"/>
      <c r="D920" s="1004" t="s">
        <v>7903</v>
      </c>
      <c r="E920" s="854">
        <v>344903900000000</v>
      </c>
      <c r="F920" s="855" t="s">
        <v>7908</v>
      </c>
      <c r="G920" s="468">
        <v>1127</v>
      </c>
      <c r="H920" s="468">
        <v>0</v>
      </c>
      <c r="I920" s="751"/>
      <c r="J920" s="789">
        <f>'Parâmetros financeiros Despesa'!E800</f>
        <v>0</v>
      </c>
      <c r="K920" s="789">
        <f>'Parâmetros financeiros Despesa'!F800</f>
        <v>1</v>
      </c>
      <c r="L920" s="799">
        <f t="shared" si="112"/>
        <v>1.9996000799840031E-4</v>
      </c>
    </row>
    <row r="921" spans="1:15" x14ac:dyDescent="0.25">
      <c r="B921" s="1398" t="s">
        <v>7904</v>
      </c>
      <c r="C921" s="1398"/>
      <c r="D921" s="1398"/>
      <c r="E921" s="854">
        <v>344905100000000</v>
      </c>
      <c r="F921" s="855" t="s">
        <v>7909</v>
      </c>
      <c r="G921" s="468">
        <v>1</v>
      </c>
      <c r="H921" s="468">
        <v>0</v>
      </c>
      <c r="I921" s="751"/>
      <c r="J921" s="789">
        <f>'Parâmetros financeiros Despesa'!E801</f>
        <v>0</v>
      </c>
      <c r="K921" s="789">
        <f>'Parâmetros financeiros Despesa'!F801</f>
        <v>1</v>
      </c>
      <c r="L921" s="799">
        <f t="shared" si="112"/>
        <v>1.9996000799840031E-4</v>
      </c>
    </row>
    <row r="922" spans="1:15" x14ac:dyDescent="0.25">
      <c r="B922" s="1398" t="s">
        <v>7907</v>
      </c>
      <c r="C922" s="1398"/>
      <c r="D922" s="1398"/>
      <c r="E922" s="854">
        <v>344905100000000</v>
      </c>
      <c r="F922" s="855" t="s">
        <v>7910</v>
      </c>
      <c r="G922" s="468">
        <v>1127</v>
      </c>
      <c r="H922" s="468">
        <v>0</v>
      </c>
      <c r="I922" s="751"/>
      <c r="J922" s="789">
        <f>'Parâmetros financeiros Despesa'!E802</f>
        <v>0</v>
      </c>
      <c r="K922" s="789">
        <f>'Parâmetros financeiros Despesa'!F802</f>
        <v>4998</v>
      </c>
      <c r="L922" s="799">
        <f t="shared" si="112"/>
        <v>0.99940011997600475</v>
      </c>
    </row>
    <row r="923" spans="1:15" x14ac:dyDescent="0.25">
      <c r="B923" s="864" t="s">
        <v>22</v>
      </c>
      <c r="C923" s="864"/>
      <c r="D923" s="864"/>
      <c r="E923" s="864"/>
      <c r="F923" s="864"/>
      <c r="G923" s="864"/>
      <c r="H923" s="864"/>
      <c r="I923" s="864"/>
      <c r="J923" s="863">
        <f>J916</f>
        <v>0</v>
      </c>
      <c r="K923" s="863">
        <f>K916</f>
        <v>5001</v>
      </c>
      <c r="L923" s="452">
        <f t="shared" si="112"/>
        <v>1</v>
      </c>
    </row>
    <row r="924" spans="1:15" x14ac:dyDescent="0.25">
      <c r="B924" s="864" t="s">
        <v>11469</v>
      </c>
      <c r="C924" s="864"/>
      <c r="D924" s="864"/>
      <c r="E924" s="864"/>
      <c r="F924" s="864"/>
      <c r="G924" s="864"/>
      <c r="H924" s="864"/>
      <c r="I924" s="864"/>
      <c r="J924" s="863"/>
      <c r="K924" s="863"/>
      <c r="L924" s="452"/>
    </row>
    <row r="925" spans="1:15" s="31" customFormat="1" x14ac:dyDescent="0.25">
      <c r="B925" s="869" t="s">
        <v>745</v>
      </c>
      <c r="C925" s="869"/>
      <c r="D925" s="869"/>
      <c r="E925" s="869"/>
      <c r="F925" s="869"/>
      <c r="G925" s="869"/>
      <c r="H925" s="869"/>
      <c r="I925" s="869"/>
      <c r="J925" s="870">
        <f>J923</f>
        <v>0</v>
      </c>
      <c r="K925" s="870">
        <v>1</v>
      </c>
      <c r="L925" s="871">
        <f>K925/K$927</f>
        <v>1.9996000799840031E-4</v>
      </c>
      <c r="M925" s="897"/>
      <c r="O925" s="736"/>
    </row>
    <row r="926" spans="1:15" s="31" customFormat="1" x14ac:dyDescent="0.25">
      <c r="B926" s="869" t="s">
        <v>905</v>
      </c>
      <c r="C926" s="869"/>
      <c r="D926" s="869"/>
      <c r="E926" s="869"/>
      <c r="F926" s="869"/>
      <c r="G926" s="869"/>
      <c r="H926" s="869"/>
      <c r="I926" s="869"/>
      <c r="J926" s="870">
        <f>J922+J920+J919</f>
        <v>0</v>
      </c>
      <c r="K926" s="870">
        <f>K922+K920+K919</f>
        <v>5000</v>
      </c>
      <c r="L926" s="871">
        <f>K926/K$927</f>
        <v>0.99980003999200162</v>
      </c>
      <c r="M926" s="897"/>
      <c r="O926" s="736"/>
    </row>
    <row r="927" spans="1:15" s="115" customFormat="1" x14ac:dyDescent="0.25">
      <c r="B927" s="864" t="s">
        <v>2172</v>
      </c>
      <c r="C927" s="864"/>
      <c r="D927" s="864"/>
      <c r="E927" s="864"/>
      <c r="F927" s="864"/>
      <c r="G927" s="864"/>
      <c r="H927" s="864"/>
      <c r="I927" s="864"/>
      <c r="J927" s="863">
        <f>SUM(J925:J926)</f>
        <v>0</v>
      </c>
      <c r="K927" s="863">
        <f>SUM(K925:K926)</f>
        <v>5001</v>
      </c>
      <c r="L927" s="452">
        <f>K927/K$927</f>
        <v>1</v>
      </c>
      <c r="M927" s="894"/>
      <c r="O927" s="733"/>
    </row>
    <row r="931" spans="1:15" s="435" customFormat="1" ht="15.75" x14ac:dyDescent="0.25">
      <c r="B931" s="999" t="s">
        <v>989</v>
      </c>
      <c r="C931" s="999"/>
      <c r="D931" s="481"/>
      <c r="E931" s="1371" t="s">
        <v>7911</v>
      </c>
      <c r="F931" s="1371"/>
      <c r="G931" s="1371"/>
      <c r="H931" s="1371"/>
      <c r="I931" s="1371"/>
      <c r="J931" s="940"/>
      <c r="K931" s="438"/>
      <c r="L931" s="449"/>
      <c r="M931" s="892"/>
      <c r="O931" s="732"/>
    </row>
    <row r="932" spans="1:15" s="435" customFormat="1" ht="19.5" customHeight="1" x14ac:dyDescent="0.25">
      <c r="B932" s="999" t="s">
        <v>458</v>
      </c>
      <c r="C932" s="999"/>
      <c r="D932" s="481"/>
      <c r="E932" s="1371" t="s">
        <v>7912</v>
      </c>
      <c r="F932" s="1371"/>
      <c r="G932" s="1371"/>
      <c r="H932" s="1371"/>
      <c r="I932" s="1371"/>
      <c r="J932" s="940"/>
      <c r="K932" s="438"/>
      <c r="L932" s="449"/>
      <c r="M932" s="892"/>
      <c r="O932" s="732"/>
    </row>
    <row r="933" spans="1:15" s="435" customFormat="1" ht="15.75" x14ac:dyDescent="0.25">
      <c r="B933" s="1005" t="s">
        <v>5764</v>
      </c>
      <c r="C933" s="1005"/>
      <c r="D933" s="1005"/>
      <c r="E933" s="1371" t="s">
        <v>749</v>
      </c>
      <c r="F933" s="1371"/>
      <c r="G933" s="1371"/>
      <c r="H933" s="1371"/>
      <c r="I933" s="1371"/>
      <c r="J933" s="941"/>
      <c r="K933" s="438"/>
      <c r="L933" s="449"/>
      <c r="M933" s="892"/>
      <c r="O933" s="732"/>
    </row>
    <row r="934" spans="1:15" ht="88.5" x14ac:dyDescent="0.25">
      <c r="A934" s="396"/>
      <c r="B934" s="1400" t="s">
        <v>2296</v>
      </c>
      <c r="C934" s="1400"/>
      <c r="D934" s="1400"/>
      <c r="E934" s="1384" t="s">
        <v>2297</v>
      </c>
      <c r="F934" s="1384"/>
      <c r="G934" s="443" t="s">
        <v>444</v>
      </c>
      <c r="H934" s="443" t="s">
        <v>2245</v>
      </c>
      <c r="I934" s="444" t="s">
        <v>5725</v>
      </c>
      <c r="J934" s="893" t="s">
        <v>11644</v>
      </c>
      <c r="K934" s="1000" t="s">
        <v>11522</v>
      </c>
      <c r="L934" s="450" t="s">
        <v>235</v>
      </c>
    </row>
    <row r="935" spans="1:15" s="115" customFormat="1" x14ac:dyDescent="0.25">
      <c r="A935" s="396"/>
      <c r="B935" s="1385" t="s">
        <v>7913</v>
      </c>
      <c r="C935" s="1385"/>
      <c r="D935" s="1385"/>
      <c r="E935" s="1385"/>
      <c r="F935" s="1385"/>
      <c r="G935" s="401"/>
      <c r="H935" s="401"/>
      <c r="I935" s="426"/>
      <c r="J935" s="402">
        <f>J938+J946+J954+J960+J980+J1050</f>
        <v>757129.91769564548</v>
      </c>
      <c r="K935" s="402">
        <f>K938+K946+K954+K960+K980+K1050</f>
        <v>972999.33778075245</v>
      </c>
      <c r="L935" s="451">
        <f t="shared" ref="L935:L966" si="113">K935/K$1074</f>
        <v>0.75725309782782091</v>
      </c>
      <c r="M935" s="894"/>
      <c r="O935" s="733"/>
    </row>
    <row r="936" spans="1:15" x14ac:dyDescent="0.25">
      <c r="A936" s="396"/>
      <c r="B936" s="1386" t="s">
        <v>7915</v>
      </c>
      <c r="C936" s="1386"/>
      <c r="D936" s="1386"/>
      <c r="E936" s="1386"/>
      <c r="F936" s="1386"/>
      <c r="G936" s="403"/>
      <c r="H936" s="403"/>
      <c r="I936" s="427"/>
      <c r="J936" s="404">
        <f t="shared" ref="J936:K937" si="114">J937</f>
        <v>0</v>
      </c>
      <c r="K936" s="404">
        <f t="shared" si="114"/>
        <v>2398.7393000000002</v>
      </c>
      <c r="L936" s="452">
        <f t="shared" si="113"/>
        <v>1.8668592004896544E-3</v>
      </c>
    </row>
    <row r="937" spans="1:15" x14ac:dyDescent="0.25">
      <c r="A937" s="396"/>
      <c r="B937" s="1382" t="s">
        <v>7914</v>
      </c>
      <c r="C937" s="1382"/>
      <c r="D937" s="1382"/>
      <c r="E937" s="1382"/>
      <c r="F937" s="1382"/>
      <c r="G937" s="405"/>
      <c r="H937" s="405"/>
      <c r="I937" s="428"/>
      <c r="J937" s="406">
        <f t="shared" si="114"/>
        <v>0</v>
      </c>
      <c r="K937" s="406">
        <f t="shared" si="114"/>
        <v>2398.7393000000002</v>
      </c>
      <c r="L937" s="453">
        <f t="shared" si="113"/>
        <v>1.8668592004896544E-3</v>
      </c>
    </row>
    <row r="938" spans="1:15" x14ac:dyDescent="0.25">
      <c r="A938" s="396"/>
      <c r="B938" s="1383" t="s">
        <v>7927</v>
      </c>
      <c r="C938" s="1383"/>
      <c r="D938" s="1383"/>
      <c r="E938" s="1383"/>
      <c r="F938" s="1383"/>
      <c r="G938" s="407"/>
      <c r="H938" s="407"/>
      <c r="I938" s="429"/>
      <c r="J938" s="408">
        <f>J939+J940+J941+J942+J943</f>
        <v>0</v>
      </c>
      <c r="K938" s="408">
        <f>K939+K940+K941+K942+K943+0.01</f>
        <v>2398.7393000000002</v>
      </c>
      <c r="L938" s="454">
        <f t="shared" si="113"/>
        <v>1.8668592004896544E-3</v>
      </c>
    </row>
    <row r="939" spans="1:15" s="115" customFormat="1" ht="30" x14ac:dyDescent="0.25">
      <c r="A939" s="396"/>
      <c r="B939" s="1396">
        <v>300000</v>
      </c>
      <c r="C939" s="1396"/>
      <c r="D939" s="1396"/>
      <c r="E939" s="854">
        <v>333904700000000</v>
      </c>
      <c r="F939" s="1017" t="s">
        <v>7923</v>
      </c>
      <c r="G939" s="468">
        <v>20</v>
      </c>
      <c r="H939" s="468">
        <v>0</v>
      </c>
      <c r="I939" s="751"/>
      <c r="J939" s="789">
        <f>((('Parâmetros financeiros Despesa'!E809)))</f>
        <v>0</v>
      </c>
      <c r="K939" s="789">
        <f>((('Parâmetros financeiros Despesa'!F809))*((1+'Parâmetros financeiros Despesa'!F$4)*(1+'Parâmetros financeiros Despesa'!F$7))*(1+'Parâmetros financeiros Despesa'!F$83))</f>
        <v>654.19889999999998</v>
      </c>
      <c r="L939" s="799">
        <f t="shared" si="113"/>
        <v>5.0914129576949501E-4</v>
      </c>
      <c r="M939" s="894"/>
      <c r="O939" s="733"/>
    </row>
    <row r="940" spans="1:15" s="115" customFormat="1" x14ac:dyDescent="0.25">
      <c r="A940" s="396"/>
      <c r="B940" s="1396">
        <v>300100</v>
      </c>
      <c r="C940" s="1396"/>
      <c r="D940" s="1396"/>
      <c r="E940" s="854">
        <v>344903000000000</v>
      </c>
      <c r="F940" s="855" t="s">
        <v>7924</v>
      </c>
      <c r="G940" s="468">
        <v>20</v>
      </c>
      <c r="H940" s="468">
        <v>0</v>
      </c>
      <c r="I940" s="751"/>
      <c r="J940" s="789">
        <f>('Parâmetros financeiros Despesa'!E808)</f>
        <v>0</v>
      </c>
      <c r="K940" s="789">
        <f>('Parâmetros financeiros Despesa'!F808)*((1+'Parâmetros financeiros Despesa'!F$4)*(1+'Parâmetros financeiros Despesa'!F$7))</f>
        <v>109.03315000000001</v>
      </c>
      <c r="L940" s="799">
        <f t="shared" si="113"/>
        <v>8.4856882628249163E-5</v>
      </c>
      <c r="M940" s="894"/>
      <c r="O940" s="733"/>
    </row>
    <row r="941" spans="1:15" s="457" customFormat="1" x14ac:dyDescent="0.25">
      <c r="A941" s="396"/>
      <c r="B941" s="1398" t="s">
        <v>7920</v>
      </c>
      <c r="C941" s="1398"/>
      <c r="D941" s="1398"/>
      <c r="E941" s="854">
        <v>344903600000000</v>
      </c>
      <c r="F941" s="855" t="s">
        <v>10469</v>
      </c>
      <c r="G941" s="468">
        <v>20</v>
      </c>
      <c r="H941" s="468">
        <v>0</v>
      </c>
      <c r="I941" s="751"/>
      <c r="J941" s="789">
        <f>('Parâmetros financeiros Despesa'!E810)</f>
        <v>0</v>
      </c>
      <c r="K941" s="789">
        <f>('Parâmetros financeiros Despesa'!F810)*((1+'Parâmetros financeiros Despesa'!F$4)*(1+'Parâmetros financeiros Despesa'!F$7))</f>
        <v>545.16575</v>
      </c>
      <c r="L941" s="799">
        <f t="shared" si="113"/>
        <v>4.242844131412458E-4</v>
      </c>
      <c r="M941" s="895"/>
      <c r="O941" s="734"/>
    </row>
    <row r="942" spans="1:15" s="457" customFormat="1" x14ac:dyDescent="0.25">
      <c r="A942" s="396"/>
      <c r="B942" s="1398" t="s">
        <v>7921</v>
      </c>
      <c r="C942" s="1398"/>
      <c r="D942" s="1398"/>
      <c r="E942" s="854">
        <v>344903900000000</v>
      </c>
      <c r="F942" s="855" t="s">
        <v>10470</v>
      </c>
      <c r="G942" s="468">
        <v>20</v>
      </c>
      <c r="H942" s="468">
        <v>0</v>
      </c>
      <c r="I942" s="751"/>
      <c r="J942" s="789">
        <f>('Parâmetros financeiros Despesa'!E810)</f>
        <v>0</v>
      </c>
      <c r="K942" s="789">
        <f>('Parâmetros financeiros Despesa'!F810)*((1+'Parâmetros financeiros Despesa'!F$4)*(1+'Parâmetros financeiros Despesa'!F$7))</f>
        <v>545.16575</v>
      </c>
      <c r="L942" s="799">
        <f t="shared" si="113"/>
        <v>4.242844131412458E-4</v>
      </c>
      <c r="M942" s="895"/>
      <c r="O942" s="734"/>
    </row>
    <row r="943" spans="1:15" s="457" customFormat="1" x14ac:dyDescent="0.25">
      <c r="A943" s="396"/>
      <c r="B943" s="1398" t="s">
        <v>7922</v>
      </c>
      <c r="C943" s="1398"/>
      <c r="D943" s="1398"/>
      <c r="E943" s="854">
        <v>344905100000000</v>
      </c>
      <c r="F943" s="855" t="s">
        <v>7925</v>
      </c>
      <c r="G943" s="468">
        <v>20</v>
      </c>
      <c r="H943" s="468">
        <v>0</v>
      </c>
      <c r="I943" s="751"/>
      <c r="J943" s="789">
        <f>('Parâmetros financeiros Despesa'!E811)</f>
        <v>0</v>
      </c>
      <c r="K943" s="789">
        <f>('Parâmetros financeiros Despesa'!F811)*((1+'Parâmetros financeiros Despesa'!F$4)*(1+'Parâmetros financeiros Despesa'!F$7))</f>
        <v>545.16575</v>
      </c>
      <c r="L943" s="799">
        <f t="shared" si="113"/>
        <v>4.242844131412458E-4</v>
      </c>
      <c r="M943" s="895"/>
      <c r="O943" s="734"/>
    </row>
    <row r="944" spans="1:15" x14ac:dyDescent="0.25">
      <c r="A944" s="396"/>
      <c r="B944" s="1386" t="s">
        <v>7917</v>
      </c>
      <c r="C944" s="1386"/>
      <c r="D944" s="1386"/>
      <c r="E944" s="1386"/>
      <c r="F944" s="1386"/>
      <c r="G944" s="403">
        <v>20</v>
      </c>
      <c r="H944" s="403">
        <v>0</v>
      </c>
      <c r="I944" s="427"/>
      <c r="J944" s="404">
        <f t="shared" ref="J944:K945" si="115">J945</f>
        <v>0</v>
      </c>
      <c r="K944" s="404">
        <f t="shared" si="115"/>
        <v>2834.8819000000003</v>
      </c>
      <c r="L944" s="452">
        <f t="shared" si="113"/>
        <v>2.2062945136708239E-3</v>
      </c>
    </row>
    <row r="945" spans="1:15" x14ac:dyDescent="0.25">
      <c r="A945" s="396"/>
      <c r="B945" s="1382" t="s">
        <v>7914</v>
      </c>
      <c r="C945" s="1382"/>
      <c r="D945" s="1382"/>
      <c r="E945" s="1382"/>
      <c r="F945" s="1382"/>
      <c r="G945" s="405">
        <v>20</v>
      </c>
      <c r="H945" s="405">
        <v>0</v>
      </c>
      <c r="I945" s="428"/>
      <c r="J945" s="406">
        <f t="shared" si="115"/>
        <v>0</v>
      </c>
      <c r="K945" s="406">
        <f t="shared" si="115"/>
        <v>2834.8819000000003</v>
      </c>
      <c r="L945" s="453">
        <f t="shared" si="113"/>
        <v>2.2062945136708239E-3</v>
      </c>
    </row>
    <row r="946" spans="1:15" x14ac:dyDescent="0.25">
      <c r="A946" s="396"/>
      <c r="B946" s="1383" t="s">
        <v>7927</v>
      </c>
      <c r="C946" s="1383"/>
      <c r="D946" s="1383"/>
      <c r="E946" s="1383"/>
      <c r="F946" s="1383"/>
      <c r="G946" s="407">
        <v>20</v>
      </c>
      <c r="H946" s="407">
        <v>0</v>
      </c>
      <c r="I946" s="429"/>
      <c r="J946" s="408">
        <f>J947+J948+J949+J950+J951</f>
        <v>0</v>
      </c>
      <c r="K946" s="408">
        <f>K947+K948+K949+K950+K951+0.02</f>
        <v>2834.8819000000003</v>
      </c>
      <c r="L946" s="454">
        <f t="shared" si="113"/>
        <v>2.2062945136708239E-3</v>
      </c>
    </row>
    <row r="947" spans="1:15" s="115" customFormat="1" ht="30" x14ac:dyDescent="0.25">
      <c r="A947" s="396"/>
      <c r="B947" s="1396">
        <v>301000</v>
      </c>
      <c r="C947" s="1396"/>
      <c r="D947" s="1396"/>
      <c r="E947" s="854">
        <v>333904700000000</v>
      </c>
      <c r="F947" s="1017" t="s">
        <v>7929</v>
      </c>
      <c r="G947" s="468">
        <v>20</v>
      </c>
      <c r="H947" s="468">
        <v>0</v>
      </c>
      <c r="I947" s="751"/>
      <c r="J947" s="789">
        <f>((('Parâmetros financeiros Despesa'!E814)))</f>
        <v>0</v>
      </c>
      <c r="K947" s="789">
        <f>((('Parâmetros financeiros Despesa'!F814))*((1+'Parâmetros financeiros Despesa'!F$4)*(1+'Parâmetros financeiros Despesa'!F$7))*(1+'Parâmetros financeiros Despesa'!F$83))</f>
        <v>654.19889999999998</v>
      </c>
      <c r="L947" s="799">
        <f t="shared" si="113"/>
        <v>5.0914129576949501E-4</v>
      </c>
      <c r="M947" s="894"/>
      <c r="O947" s="733"/>
    </row>
    <row r="948" spans="1:15" s="115" customFormat="1" x14ac:dyDescent="0.25">
      <c r="A948" s="396"/>
      <c r="B948" s="1396">
        <v>301100</v>
      </c>
      <c r="C948" s="1396"/>
      <c r="D948" s="1396"/>
      <c r="E948" s="854">
        <v>344903000000000</v>
      </c>
      <c r="F948" s="855" t="s">
        <v>7928</v>
      </c>
      <c r="G948" s="468">
        <v>20</v>
      </c>
      <c r="H948" s="468">
        <v>0</v>
      </c>
      <c r="I948" s="751"/>
      <c r="J948" s="789">
        <f>('Parâmetros financeiros Despesa'!E813)</f>
        <v>0</v>
      </c>
      <c r="K948" s="789">
        <f>('Parâmetros financeiros Despesa'!F813)*((1+'Parâmetros financeiros Despesa'!F$4)*(1+'Parâmetros financeiros Despesa'!F$7))</f>
        <v>545.16575</v>
      </c>
      <c r="L948" s="799">
        <f t="shared" si="113"/>
        <v>4.242844131412458E-4</v>
      </c>
      <c r="M948" s="894"/>
      <c r="O948" s="733"/>
    </row>
    <row r="949" spans="1:15" s="457" customFormat="1" ht="30" x14ac:dyDescent="0.25">
      <c r="A949" s="396"/>
      <c r="B949" s="1398" t="s">
        <v>7933</v>
      </c>
      <c r="C949" s="1398"/>
      <c r="D949" s="1398"/>
      <c r="E949" s="854">
        <v>344903600000000</v>
      </c>
      <c r="F949" s="855" t="s">
        <v>7930</v>
      </c>
      <c r="G949" s="468">
        <v>20</v>
      </c>
      <c r="H949" s="468">
        <v>0</v>
      </c>
      <c r="I949" s="751"/>
      <c r="J949" s="789">
        <f>('Parâmetros financeiros Despesa'!E814)</f>
        <v>0</v>
      </c>
      <c r="K949" s="789">
        <f>('Parâmetros financeiros Despesa'!F814)*((1+'Parâmetros financeiros Despesa'!F$4)*(1+'Parâmetros financeiros Despesa'!F$7))</f>
        <v>545.16575</v>
      </c>
      <c r="L949" s="799">
        <f t="shared" si="113"/>
        <v>4.242844131412458E-4</v>
      </c>
      <c r="M949" s="895"/>
      <c r="O949" s="734"/>
    </row>
    <row r="950" spans="1:15" s="457" customFormat="1" ht="30" x14ac:dyDescent="0.25">
      <c r="A950" s="396"/>
      <c r="B950" s="1398" t="s">
        <v>7934</v>
      </c>
      <c r="C950" s="1398"/>
      <c r="D950" s="1398"/>
      <c r="E950" s="854">
        <v>344903900000000</v>
      </c>
      <c r="F950" s="855" t="s">
        <v>7931</v>
      </c>
      <c r="G950" s="468">
        <v>20</v>
      </c>
      <c r="H950" s="468">
        <v>0</v>
      </c>
      <c r="I950" s="751"/>
      <c r="J950" s="789">
        <f>('Parâmetros financeiros Despesa'!E815)</f>
        <v>0</v>
      </c>
      <c r="K950" s="789">
        <f>('Parâmetros financeiros Despesa'!F815)*((1+'Parâmetros financeiros Despesa'!F$4)*(1+'Parâmetros financeiros Despesa'!F$7))</f>
        <v>545.16575</v>
      </c>
      <c r="L950" s="799">
        <f t="shared" si="113"/>
        <v>4.242844131412458E-4</v>
      </c>
      <c r="M950" s="895"/>
      <c r="O950" s="734"/>
    </row>
    <row r="951" spans="1:15" s="457" customFormat="1" x14ac:dyDescent="0.25">
      <c r="A951" s="396"/>
      <c r="B951" s="1398" t="s">
        <v>7935</v>
      </c>
      <c r="C951" s="1398"/>
      <c r="D951" s="1398"/>
      <c r="E951" s="854">
        <v>344905200000000</v>
      </c>
      <c r="F951" s="855" t="s">
        <v>10474</v>
      </c>
      <c r="G951" s="468">
        <v>20</v>
      </c>
      <c r="H951" s="468">
        <v>0</v>
      </c>
      <c r="I951" s="751"/>
      <c r="J951" s="789">
        <f>('Parâmetros financeiros Despesa'!E816)</f>
        <v>0</v>
      </c>
      <c r="K951" s="789">
        <f>('Parâmetros financeiros Despesa'!F816)*((1+'Parâmetros financeiros Despesa'!F$4)*(1+'Parâmetros financeiros Despesa'!F$7))</f>
        <v>545.16575</v>
      </c>
      <c r="L951" s="799">
        <f t="shared" si="113"/>
        <v>4.242844131412458E-4</v>
      </c>
      <c r="M951" s="895"/>
      <c r="O951" s="734"/>
    </row>
    <row r="952" spans="1:15" x14ac:dyDescent="0.25">
      <c r="A952" s="396"/>
      <c r="B952" s="1386" t="s">
        <v>7918</v>
      </c>
      <c r="C952" s="1386"/>
      <c r="D952" s="1386"/>
      <c r="E952" s="1386"/>
      <c r="F952" s="1386"/>
      <c r="G952" s="403">
        <v>20</v>
      </c>
      <c r="H952" s="403">
        <v>0</v>
      </c>
      <c r="I952" s="427"/>
      <c r="J952" s="404">
        <f t="shared" ref="J952:K953" si="116">J953</f>
        <v>403.005</v>
      </c>
      <c r="K952" s="404">
        <f t="shared" si="116"/>
        <v>45902.966150000007</v>
      </c>
      <c r="L952" s="452">
        <f t="shared" si="113"/>
        <v>3.5724755369161074E-2</v>
      </c>
    </row>
    <row r="953" spans="1:15" x14ac:dyDescent="0.25">
      <c r="A953" s="396"/>
      <c r="B953" s="1382" t="s">
        <v>7914</v>
      </c>
      <c r="C953" s="1382"/>
      <c r="D953" s="1382"/>
      <c r="E953" s="1382"/>
      <c r="F953" s="1382"/>
      <c r="G953" s="405">
        <v>20</v>
      </c>
      <c r="H953" s="405">
        <v>0</v>
      </c>
      <c r="I953" s="428"/>
      <c r="J953" s="406">
        <f t="shared" si="116"/>
        <v>403.005</v>
      </c>
      <c r="K953" s="406">
        <f t="shared" si="116"/>
        <v>45902.966150000007</v>
      </c>
      <c r="L953" s="453">
        <f t="shared" si="113"/>
        <v>3.5724755369161074E-2</v>
      </c>
    </row>
    <row r="954" spans="1:15" x14ac:dyDescent="0.25">
      <c r="A954" s="396"/>
      <c r="B954" s="1383" t="s">
        <v>7927</v>
      </c>
      <c r="C954" s="1383"/>
      <c r="D954" s="1383"/>
      <c r="E954" s="1383"/>
      <c r="F954" s="1383"/>
      <c r="G954" s="407">
        <v>20</v>
      </c>
      <c r="H954" s="407">
        <v>0</v>
      </c>
      <c r="I954" s="429"/>
      <c r="J954" s="408">
        <f>J955+J956+J957+J958+J959</f>
        <v>403.005</v>
      </c>
      <c r="K954" s="408">
        <f>K955+K956+K957+K958+K959+0.01</f>
        <v>45902.966150000007</v>
      </c>
      <c r="L954" s="454">
        <f t="shared" si="113"/>
        <v>3.5724755369161074E-2</v>
      </c>
    </row>
    <row r="955" spans="1:15" s="115" customFormat="1" ht="30" x14ac:dyDescent="0.25">
      <c r="A955" s="396"/>
      <c r="B955" s="1396">
        <v>302000</v>
      </c>
      <c r="C955" s="1396"/>
      <c r="D955" s="1396"/>
      <c r="E955" s="854">
        <v>333904700000000</v>
      </c>
      <c r="F955" s="1017" t="s">
        <v>7942</v>
      </c>
      <c r="G955" s="468">
        <v>20</v>
      </c>
      <c r="H955" s="468">
        <v>0</v>
      </c>
      <c r="I955" s="751"/>
      <c r="J955" s="789">
        <f>((('Parâmetros financeiros Despesa'!E819)))</f>
        <v>0</v>
      </c>
      <c r="K955" s="789">
        <f>((('Parâmetros financeiros Despesa'!F819))*((1+'Parâmetros financeiros Despesa'!F$4)*(1+'Parâmetros financeiros Despesa'!F$7))*(1+'Parâmetros financeiros Despesa'!F$83))</f>
        <v>654.19889999999998</v>
      </c>
      <c r="L955" s="799">
        <f t="shared" si="113"/>
        <v>5.0914129576949501E-4</v>
      </c>
      <c r="M955" s="894"/>
      <c r="O955" s="733"/>
    </row>
    <row r="956" spans="1:15" s="115" customFormat="1" x14ac:dyDescent="0.25">
      <c r="A956" s="396"/>
      <c r="B956" s="1396">
        <v>302100</v>
      </c>
      <c r="C956" s="1396"/>
      <c r="D956" s="1396"/>
      <c r="E956" s="854">
        <v>344903000000000</v>
      </c>
      <c r="F956" s="855" t="s">
        <v>7943</v>
      </c>
      <c r="G956" s="468">
        <v>20</v>
      </c>
      <c r="H956" s="468">
        <v>0</v>
      </c>
      <c r="I956" s="751"/>
      <c r="J956" s="789">
        <f>('Parâmetros financeiros Despesa'!E818)</f>
        <v>0</v>
      </c>
      <c r="K956" s="789">
        <f>('Parâmetros financeiros Despesa'!F818)*((1+'Parâmetros financeiros Despesa'!F$4)*(1+'Parâmetros financeiros Despesa'!F$7))</f>
        <v>545.16575</v>
      </c>
      <c r="L956" s="799">
        <f t="shared" si="113"/>
        <v>4.242844131412458E-4</v>
      </c>
      <c r="M956" s="894"/>
      <c r="O956" s="733"/>
    </row>
    <row r="957" spans="1:15" s="457" customFormat="1" ht="30" x14ac:dyDescent="0.25">
      <c r="A957" s="396"/>
      <c r="B957" s="1398" t="s">
        <v>7936</v>
      </c>
      <c r="C957" s="1398"/>
      <c r="D957" s="1398"/>
      <c r="E957" s="854">
        <v>344903600000000</v>
      </c>
      <c r="F957" s="855" t="s">
        <v>7944</v>
      </c>
      <c r="G957" s="468">
        <v>20</v>
      </c>
      <c r="H957" s="468">
        <v>0</v>
      </c>
      <c r="I957" s="751"/>
      <c r="J957" s="789">
        <f>('Parâmetros financeiros Despesa'!E819)</f>
        <v>0</v>
      </c>
      <c r="K957" s="789">
        <f>('Parâmetros financeiros Despesa'!F819)*((1+'Parâmetros financeiros Despesa'!F$4)*(1+'Parâmetros financeiros Despesa'!F$7))</f>
        <v>545.16575</v>
      </c>
      <c r="L957" s="799">
        <f t="shared" si="113"/>
        <v>4.242844131412458E-4</v>
      </c>
      <c r="M957" s="895"/>
      <c r="O957" s="734"/>
    </row>
    <row r="958" spans="1:15" s="457" customFormat="1" ht="30" x14ac:dyDescent="0.25">
      <c r="A958" s="396"/>
      <c r="B958" s="1398" t="s">
        <v>7937</v>
      </c>
      <c r="C958" s="1398"/>
      <c r="D958" s="1398"/>
      <c r="E958" s="854">
        <v>344903900000000</v>
      </c>
      <c r="F958" s="855" t="s">
        <v>7945</v>
      </c>
      <c r="G958" s="468">
        <v>20</v>
      </c>
      <c r="H958" s="468">
        <v>0</v>
      </c>
      <c r="I958" s="751"/>
      <c r="J958" s="789">
        <f>('Parâmetros financeiros Despesa'!E820)</f>
        <v>0</v>
      </c>
      <c r="K958" s="789">
        <f>('Parâmetros financeiros Despesa'!F820)*((1+'Parâmetros financeiros Despesa'!F$4)*(1+'Parâmetros financeiros Despesa'!F$7))</f>
        <v>545.16575</v>
      </c>
      <c r="L958" s="799">
        <f t="shared" si="113"/>
        <v>4.242844131412458E-4</v>
      </c>
      <c r="M958" s="895"/>
      <c r="O958" s="734"/>
    </row>
    <row r="959" spans="1:15" s="457" customFormat="1" x14ac:dyDescent="0.25">
      <c r="A959" s="396"/>
      <c r="B959" s="1398" t="s">
        <v>7939</v>
      </c>
      <c r="C959" s="1398"/>
      <c r="D959" s="1398"/>
      <c r="E959" s="854">
        <v>344905200000000</v>
      </c>
      <c r="F959" s="855" t="s">
        <v>10473</v>
      </c>
      <c r="G959" s="468">
        <v>20</v>
      </c>
      <c r="H959" s="468">
        <v>0</v>
      </c>
      <c r="I959" s="751"/>
      <c r="J959" s="789">
        <f>('Parâmetros financeiros Despesa'!E821)</f>
        <v>403.005</v>
      </c>
      <c r="K959" s="789">
        <f>('Parâmetros financeiros Despesa'!F821)*((1+'Parâmetros financeiros Despesa'!F$4)*(1+'Parâmetros financeiros Despesa'!F$7))</f>
        <v>43613.26</v>
      </c>
      <c r="L959" s="799">
        <f t="shared" si="113"/>
        <v>3.3942753051299665E-2</v>
      </c>
      <c r="M959" s="895"/>
      <c r="O959" s="734"/>
    </row>
    <row r="960" spans="1:15" x14ac:dyDescent="0.25">
      <c r="A960" s="397"/>
      <c r="B960" s="1385" t="s">
        <v>5951</v>
      </c>
      <c r="C960" s="1385"/>
      <c r="D960" s="1385"/>
      <c r="E960" s="1385"/>
      <c r="F960" s="1385"/>
      <c r="G960" s="401"/>
      <c r="H960" s="401"/>
      <c r="I960" s="426"/>
      <c r="J960" s="402">
        <f t="shared" ref="J960:K962" si="117">J961</f>
        <v>567497.38003314543</v>
      </c>
      <c r="K960" s="402">
        <f t="shared" si="117"/>
        <v>648257.92408584664</v>
      </c>
      <c r="L960" s="451">
        <f t="shared" si="113"/>
        <v>0.50451763135326411</v>
      </c>
    </row>
    <row r="961" spans="1:15" x14ac:dyDescent="0.25">
      <c r="A961" s="396"/>
      <c r="B961" s="1386" t="s">
        <v>7919</v>
      </c>
      <c r="C961" s="1386"/>
      <c r="D961" s="1386"/>
      <c r="E961" s="1386"/>
      <c r="F961" s="1386"/>
      <c r="G961" s="403"/>
      <c r="H961" s="403"/>
      <c r="I961" s="427"/>
      <c r="J961" s="404">
        <f t="shared" si="117"/>
        <v>567497.38003314543</v>
      </c>
      <c r="K961" s="404">
        <f t="shared" si="117"/>
        <v>648257.92408584664</v>
      </c>
      <c r="L961" s="452">
        <f t="shared" si="113"/>
        <v>0.50451763135326411</v>
      </c>
    </row>
    <row r="962" spans="1:15" x14ac:dyDescent="0.25">
      <c r="A962" s="396"/>
      <c r="B962" s="1382" t="s">
        <v>7914</v>
      </c>
      <c r="C962" s="1382"/>
      <c r="D962" s="1382"/>
      <c r="E962" s="1382"/>
      <c r="F962" s="1382"/>
      <c r="G962" s="405"/>
      <c r="H962" s="405"/>
      <c r="I962" s="428"/>
      <c r="J962" s="406">
        <f t="shared" si="117"/>
        <v>567497.38003314543</v>
      </c>
      <c r="K962" s="406">
        <f t="shared" si="117"/>
        <v>648257.92408584664</v>
      </c>
      <c r="L962" s="453">
        <f t="shared" si="113"/>
        <v>0.50451763135326411</v>
      </c>
    </row>
    <row r="963" spans="1:15" x14ac:dyDescent="0.25">
      <c r="A963" s="396"/>
      <c r="B963" s="1383" t="s">
        <v>7927</v>
      </c>
      <c r="C963" s="1383"/>
      <c r="D963" s="1383"/>
      <c r="E963" s="1383"/>
      <c r="F963" s="1383"/>
      <c r="G963" s="407"/>
      <c r="H963" s="407"/>
      <c r="I963" s="429"/>
      <c r="J963" s="408">
        <f>J964+J966+J967+J968+J969+J970+J971+J972+J973+J974+J975+J976+J977+J978+J979+0.01</f>
        <v>567497.38003314543</v>
      </c>
      <c r="K963" s="408">
        <f>K964+K965+K966+K967+K968+K969+K970+K971+K972+K973+K974+K975+K976+K977+K978+K979-0.01</f>
        <v>648257.92408584664</v>
      </c>
      <c r="L963" s="454">
        <f t="shared" si="113"/>
        <v>0.50451763135326411</v>
      </c>
    </row>
    <row r="964" spans="1:15" s="115" customFormat="1" x14ac:dyDescent="0.25">
      <c r="A964" s="396"/>
      <c r="B964" s="1398" t="s">
        <v>7948</v>
      </c>
      <c r="C964" s="1398"/>
      <c r="D964" s="1398"/>
      <c r="E964" s="854">
        <v>331900400000000</v>
      </c>
      <c r="F964" s="855" t="s">
        <v>5851</v>
      </c>
      <c r="G964" s="468">
        <v>20</v>
      </c>
      <c r="H964" s="468">
        <v>0</v>
      </c>
      <c r="I964" s="751"/>
      <c r="J964" s="789">
        <f>(('Parâmetros financeiros Despesa'!E823))</f>
        <v>0</v>
      </c>
      <c r="K964" s="789">
        <f>(('Parâmetros financeiros Despesa'!F823)*2.05+(('Parâmetros financeiros Despesa'!F823)*11.28)*(1+'Parâmetros financeiros Despesa'!F$4)*(1+'Parâmetros financeiros Despesa'!F$8))*(1+'Parâmetros financeiros Despesa'!F$80)</f>
        <v>17.278630081629636</v>
      </c>
      <c r="L964" s="799">
        <f t="shared" si="113"/>
        <v>1.344738444054658E-5</v>
      </c>
      <c r="M964" s="894"/>
      <c r="O964" s="733"/>
    </row>
    <row r="965" spans="1:15" s="1018" customFormat="1" x14ac:dyDescent="0.25">
      <c r="A965" s="859"/>
      <c r="B965" s="1004"/>
      <c r="C965" s="1004"/>
      <c r="D965" s="1004" t="s">
        <v>11587</v>
      </c>
      <c r="E965" s="854">
        <v>331900800000000</v>
      </c>
      <c r="F965" s="855" t="s">
        <v>11571</v>
      </c>
      <c r="G965" s="468">
        <v>1</v>
      </c>
      <c r="H965" s="468">
        <v>0</v>
      </c>
      <c r="I965" s="751"/>
      <c r="J965" s="789">
        <f>(('Parâmetros financeiros Despesa'!E824))</f>
        <v>31456.134000000002</v>
      </c>
      <c r="K965" s="789">
        <f>(('Parâmetros financeiros Despesa'!F824)*2.05+(('Parâmetros financeiros Despesa'!F824)*11.28)*(1+'Parâmetros financeiros Despesa'!F$4)*(1+'Parâmetros financeiros Despesa'!F$8))</f>
        <v>32932.96895601596</v>
      </c>
      <c r="L965" s="799">
        <f t="shared" si="113"/>
        <v>2.5630636932899947E-2</v>
      </c>
      <c r="M965" s="883"/>
      <c r="O965" s="1019"/>
    </row>
    <row r="966" spans="1:15" s="115" customFormat="1" x14ac:dyDescent="0.25">
      <c r="A966" s="396"/>
      <c r="B966" s="1398" t="s">
        <v>7949</v>
      </c>
      <c r="C966" s="1398"/>
      <c r="D966" s="1398"/>
      <c r="E966" s="854">
        <v>331901100000000</v>
      </c>
      <c r="F966" s="855" t="s">
        <v>7941</v>
      </c>
      <c r="G966" s="468">
        <v>20</v>
      </c>
      <c r="H966" s="468">
        <v>0</v>
      </c>
      <c r="I966" s="751"/>
      <c r="J966" s="789">
        <f>('Parâmetros financeiros Despesa'!E825)</f>
        <v>334814.37547500007</v>
      </c>
      <c r="K966" s="789">
        <f>('Parâmetros financeiros Despesa'!F825)*2.05+(('Parâmetros financeiros Despesa'!F825)*11.28)*(1+'Parâmetros financeiros Despesa'!F$4)*(1+'Parâmetros financeiros Despesa'!F$8)</f>
        <v>380460.50333348481</v>
      </c>
      <c r="L966" s="799">
        <f t="shared" si="113"/>
        <v>0.296099785029178</v>
      </c>
      <c r="M966" s="894"/>
      <c r="O966" s="733"/>
    </row>
    <row r="967" spans="1:15" s="115" customFormat="1" x14ac:dyDescent="0.25">
      <c r="A967" s="396"/>
      <c r="B967" s="1398" t="s">
        <v>7950</v>
      </c>
      <c r="C967" s="1398"/>
      <c r="D967" s="1398"/>
      <c r="E967" s="854">
        <v>331901300000000</v>
      </c>
      <c r="F967" s="855" t="s">
        <v>5735</v>
      </c>
      <c r="G967" s="468">
        <v>20</v>
      </c>
      <c r="H967" s="468">
        <v>0</v>
      </c>
      <c r="I967" s="751"/>
      <c r="J967" s="789">
        <f>'Parâmetros financeiros Despesa'!E827</f>
        <v>77109.759558145364</v>
      </c>
      <c r="K967" s="789">
        <f>(K968+K966)*'Parâmetros financeiros Despesa'!F80</f>
        <v>91655.333601071252</v>
      </c>
      <c r="L967" s="799">
        <f t="shared" ref="L967:L998" si="118">K967/K$1074</f>
        <v>7.1332304768220722E-2</v>
      </c>
      <c r="M967" s="894"/>
      <c r="O967" s="733"/>
    </row>
    <row r="968" spans="1:15" s="115" customFormat="1" x14ac:dyDescent="0.25">
      <c r="A968" s="396"/>
      <c r="B968" s="1398" t="s">
        <v>7951</v>
      </c>
      <c r="C968" s="1398"/>
      <c r="D968" s="1398"/>
      <c r="E968" s="854">
        <v>331901600000000</v>
      </c>
      <c r="F968" s="855" t="s">
        <v>5736</v>
      </c>
      <c r="G968" s="468">
        <v>20</v>
      </c>
      <c r="H968" s="468">
        <v>0</v>
      </c>
      <c r="I968" s="751"/>
      <c r="J968" s="789">
        <f>('Parâmetros financeiros Despesa'!E826)</f>
        <v>3864.1050000000005</v>
      </c>
      <c r="K968" s="789">
        <f>('Parâmetros financeiros Despesa'!F826)*2.05+(('Parâmetros financeiros Despesa'!F826)*11.28)*(1+'Parâmetros financeiros Despesa'!F$4)*(1+'Parâmetros financeiros Despesa'!F$8)</f>
        <v>4493.8995539094421</v>
      </c>
      <c r="L968" s="799">
        <f t="shared" si="118"/>
        <v>3.497452902986246E-3</v>
      </c>
      <c r="M968" s="894"/>
      <c r="O968" s="733"/>
    </row>
    <row r="969" spans="1:15" s="115" customFormat="1" x14ac:dyDescent="0.25">
      <c r="A969" s="396"/>
      <c r="B969" s="1398" t="s">
        <v>7952</v>
      </c>
      <c r="C969" s="1398"/>
      <c r="D969" s="1398"/>
      <c r="E969" s="854">
        <v>333901400000000</v>
      </c>
      <c r="F969" s="855" t="s">
        <v>6568</v>
      </c>
      <c r="G969" s="468">
        <v>20</v>
      </c>
      <c r="H969" s="468">
        <v>0</v>
      </c>
      <c r="I969" s="751"/>
      <c r="J969" s="789">
        <f>('Parâmetros financeiros Despesa'!E828)</f>
        <v>2800.5</v>
      </c>
      <c r="K969" s="789">
        <f>('Parâmetros financeiros Despesa'!F828)*2+(('Parâmetros financeiros Despesa'!F828)*10)*(1+'Parâmetros financeiros Despesa'!F$4)*(1+'Parâmetros financeiros Despesa'!F$8)</f>
        <v>2929.9797934328126</v>
      </c>
      <c r="L969" s="799">
        <f t="shared" si="118"/>
        <v>2.2803060485225815E-3</v>
      </c>
      <c r="M969" s="894"/>
      <c r="O969" s="733"/>
    </row>
    <row r="970" spans="1:15" x14ac:dyDescent="0.25">
      <c r="A970" s="397"/>
      <c r="B970" s="1396">
        <v>305500</v>
      </c>
      <c r="C970" s="1396"/>
      <c r="D970" s="1396"/>
      <c r="E970" s="854">
        <v>333903000000000</v>
      </c>
      <c r="F970" s="855" t="s">
        <v>7940</v>
      </c>
      <c r="G970" s="468">
        <v>20</v>
      </c>
      <c r="H970" s="468">
        <v>0</v>
      </c>
      <c r="I970" s="751"/>
      <c r="J970" s="789">
        <f>('Parâmetros financeiros Despesa'!E829)</f>
        <v>16276.560000000001</v>
      </c>
      <c r="K970" s="789">
        <f>('Parâmetros financeiros Despesa'!F829)*(1+'Parâmetros financeiros Despesa'!F$4)*(1+'Parâmetros financeiros Despesa'!F$7)</f>
        <v>16354.9725</v>
      </c>
      <c r="L970" s="799">
        <f t="shared" si="118"/>
        <v>1.2728532394237374E-2</v>
      </c>
    </row>
    <row r="971" spans="1:15" x14ac:dyDescent="0.25">
      <c r="A971" s="397"/>
      <c r="B971" s="1396">
        <v>305600</v>
      </c>
      <c r="C971" s="1396"/>
      <c r="D971" s="1396"/>
      <c r="E971" s="854">
        <v>333903200000000</v>
      </c>
      <c r="F971" s="855" t="s">
        <v>1021</v>
      </c>
      <c r="G971" s="468">
        <v>20</v>
      </c>
      <c r="H971" s="468">
        <v>0</v>
      </c>
      <c r="I971" s="751"/>
      <c r="J971" s="789">
        <f>('Parâmetros financeiros Despesa'!E830)</f>
        <v>0</v>
      </c>
      <c r="K971" s="789">
        <f>('Parâmetros financeiros Despesa'!F830)*(1+'Parâmetros financeiros Despesa'!F$4)*(1+'Parâmetros financeiros Despesa'!F$7)</f>
        <v>5451.6575000000003</v>
      </c>
      <c r="L971" s="799">
        <f t="shared" si="118"/>
        <v>4.2428441314124581E-3</v>
      </c>
    </row>
    <row r="972" spans="1:15" x14ac:dyDescent="0.25">
      <c r="A972" s="397"/>
      <c r="B972" s="1396">
        <v>305700</v>
      </c>
      <c r="C972" s="1396"/>
      <c r="D972" s="1396"/>
      <c r="E972" s="854">
        <v>333903300000000</v>
      </c>
      <c r="F972" s="855" t="s">
        <v>3469</v>
      </c>
      <c r="G972" s="468">
        <v>20</v>
      </c>
      <c r="H972" s="468">
        <v>0</v>
      </c>
      <c r="I972" s="751"/>
      <c r="J972" s="789">
        <f>('Parâmetros financeiros Despesa'!E831)</f>
        <v>706.05</v>
      </c>
      <c r="K972" s="789">
        <f>('Parâmetros financeiros Despesa'!F831)*(1+'Parâmetros financeiros Despesa'!F$4)*(1+'Parâmetros financeiros Despesa'!F$7)</f>
        <v>769.82855557499988</v>
      </c>
      <c r="L972" s="799">
        <f t="shared" si="118"/>
        <v>5.9913201979675315E-4</v>
      </c>
    </row>
    <row r="973" spans="1:15" x14ac:dyDescent="0.25">
      <c r="A973" s="397"/>
      <c r="B973" s="1398" t="s">
        <v>7953</v>
      </c>
      <c r="C973" s="1398"/>
      <c r="D973" s="1398"/>
      <c r="E973" s="854">
        <v>333903500000000</v>
      </c>
      <c r="F973" s="855" t="s">
        <v>2190</v>
      </c>
      <c r="G973" s="468">
        <v>20</v>
      </c>
      <c r="H973" s="468">
        <v>0</v>
      </c>
      <c r="I973" s="751"/>
      <c r="J973" s="789">
        <f>('Parâmetros financeiros Despesa'!E832)</f>
        <v>0</v>
      </c>
      <c r="K973" s="789">
        <f>('Parâmetros financeiros Despesa'!F832)*(1+'Parâmetros financeiros Despesa'!F$4)*(1+'Parâmetros financeiros Despesa'!F$7)</f>
        <v>2180.663</v>
      </c>
      <c r="L973" s="799">
        <f t="shared" si="118"/>
        <v>1.6971376525649832E-3</v>
      </c>
    </row>
    <row r="974" spans="1:15" x14ac:dyDescent="0.25">
      <c r="A974" s="397"/>
      <c r="B974" s="1398" t="s">
        <v>7954</v>
      </c>
      <c r="C974" s="1398"/>
      <c r="D974" s="1398"/>
      <c r="E974" s="854">
        <v>333903600000000</v>
      </c>
      <c r="F974" s="855" t="s">
        <v>993</v>
      </c>
      <c r="G974" s="468">
        <v>20</v>
      </c>
      <c r="H974" s="468">
        <v>0</v>
      </c>
      <c r="I974" s="751"/>
      <c r="J974" s="789">
        <f>('Parâmetros financeiros Despesa'!E833+'Parâmetros financeiros Despesa'!E834)</f>
        <v>28297.98</v>
      </c>
      <c r="K974" s="789">
        <f>('Parâmetros financeiros Despesa'!F833+'Parâmetros financeiros Despesa'!F834)*(1+'Parâmetros financeiros Despesa'!F$4)*(1+'Parâmetros financeiros Despesa'!F$7)</f>
        <v>30854.178980370001</v>
      </c>
      <c r="L974" s="799">
        <f t="shared" si="118"/>
        <v>2.4012783674765423E-2</v>
      </c>
    </row>
    <row r="975" spans="1:15" x14ac:dyDescent="0.25">
      <c r="A975" s="397"/>
      <c r="B975" s="1398" t="s">
        <v>7955</v>
      </c>
      <c r="C975" s="1398"/>
      <c r="D975" s="1398"/>
      <c r="E975" s="854">
        <v>333903900000000</v>
      </c>
      <c r="F975" s="855" t="s">
        <v>2268</v>
      </c>
      <c r="G975" s="468">
        <v>20</v>
      </c>
      <c r="H975" s="468">
        <v>0</v>
      </c>
      <c r="I975" s="751"/>
      <c r="J975" s="789">
        <f>('Parâmetros financeiros Despesa'!E835)</f>
        <v>48141.63</v>
      </c>
      <c r="K975" s="789">
        <f>('Parâmetros financeiros Despesa'!F835)*(1+'Parâmetros financeiros Despesa'!F$4)*(1+'Parâmetros financeiros Despesa'!F$7)</f>
        <v>52490.335650344998</v>
      </c>
      <c r="L975" s="799">
        <f t="shared" si="118"/>
        <v>4.0851486464425983E-2</v>
      </c>
    </row>
    <row r="976" spans="1:15" x14ac:dyDescent="0.25">
      <c r="A976" s="397"/>
      <c r="B976" s="1398" t="s">
        <v>7956</v>
      </c>
      <c r="C976" s="1398"/>
      <c r="D976" s="1398"/>
      <c r="E976" s="854">
        <v>333904700000000</v>
      </c>
      <c r="F976" s="855" t="s">
        <v>990</v>
      </c>
      <c r="G976" s="468">
        <v>20</v>
      </c>
      <c r="H976" s="468">
        <v>0</v>
      </c>
      <c r="I976" s="751"/>
      <c r="J976" s="789">
        <f>(('Parâmetros financeiros Despesa'!E833))</f>
        <v>7074.4949999999999</v>
      </c>
      <c r="K976" s="789">
        <f>(('Parâmetros financeiros Despesa'!F833)*(1+'Parâmetros financeiros Despesa'!F$4)*(1+'Parâmetros financeiros Despesa'!F$7))*(1+'Parâmetros financeiros Despesa'!F$83)</f>
        <v>9256.2536941109993</v>
      </c>
      <c r="L976" s="799">
        <f t="shared" si="118"/>
        <v>7.203835102429626E-3</v>
      </c>
    </row>
    <row r="977" spans="1:15" x14ac:dyDescent="0.25">
      <c r="A977" s="397"/>
      <c r="B977" s="1398" t="s">
        <v>8037</v>
      </c>
      <c r="C977" s="1398"/>
      <c r="D977" s="1398"/>
      <c r="E977" s="854">
        <v>333904900000000</v>
      </c>
      <c r="F977" s="855" t="s">
        <v>7167</v>
      </c>
      <c r="G977" s="468">
        <v>20</v>
      </c>
      <c r="H977" s="468">
        <v>0</v>
      </c>
      <c r="I977" s="751"/>
      <c r="J977" s="789">
        <f>('Parâmetros financeiros Despesa'!E837)</f>
        <v>39580.004999999997</v>
      </c>
      <c r="K977" s="789">
        <f>('Parâmetros financeiros Despesa'!F837)*2+(('Parâmetros financeiros Despesa'!F837)*10)*(1+'Parâmetros financeiros Despesa'!F$4)*(1+'Parâmetros financeiros Despesa'!F$8)</f>
        <v>8235.2049092847101</v>
      </c>
      <c r="L977" s="799">
        <f t="shared" si="118"/>
        <v>6.4091867143777279E-3</v>
      </c>
    </row>
    <row r="978" spans="1:15" x14ac:dyDescent="0.25">
      <c r="A978" s="397"/>
      <c r="B978" s="1398" t="s">
        <v>8038</v>
      </c>
      <c r="C978" s="1398"/>
      <c r="D978" s="1398"/>
      <c r="E978" s="854">
        <v>333909300000000</v>
      </c>
      <c r="F978" s="855" t="s">
        <v>5818</v>
      </c>
      <c r="G978" s="468">
        <v>20</v>
      </c>
      <c r="H978" s="468">
        <v>0</v>
      </c>
      <c r="I978" s="751"/>
      <c r="J978" s="789">
        <f>('Parâmetros financeiros Despesa'!E838)</f>
        <v>224.25</v>
      </c>
      <c r="K978" s="789">
        <f>('Parâmetros financeiros Despesa'!F838)*(1+'Parâmetros financeiros Despesa'!F$4)*(1+'Parâmetros financeiros Despesa'!F$7)</f>
        <v>789.67258887500009</v>
      </c>
      <c r="L978" s="799">
        <f t="shared" si="118"/>
        <v>6.145759724350946E-4</v>
      </c>
    </row>
    <row r="979" spans="1:15" x14ac:dyDescent="0.25">
      <c r="A979" s="397"/>
      <c r="B979" s="1398" t="s">
        <v>8039</v>
      </c>
      <c r="C979" s="1398"/>
      <c r="D979" s="1398"/>
      <c r="E979" s="854">
        <v>333933000000000</v>
      </c>
      <c r="F979" s="855" t="s">
        <v>7066</v>
      </c>
      <c r="G979" s="468">
        <v>20</v>
      </c>
      <c r="H979" s="468">
        <v>0</v>
      </c>
      <c r="I979" s="751"/>
      <c r="J979" s="789">
        <f>('Parâmetros financeiros Despesa'!E839)</f>
        <v>8607.66</v>
      </c>
      <c r="K979" s="789">
        <f>('Parâmetros financeiros Despesa'!F839)*(1+'Parâmetros financeiros Despesa'!F$4)*(1+'Parâmetros financeiros Despesa'!F$7)</f>
        <v>9385.2028392899992</v>
      </c>
      <c r="L979" s="799">
        <f t="shared" si="118"/>
        <v>7.3041919432387517E-3</v>
      </c>
    </row>
    <row r="980" spans="1:15" x14ac:dyDescent="0.25">
      <c r="A980" s="397"/>
      <c r="B980" s="1385" t="s">
        <v>7913</v>
      </c>
      <c r="C980" s="1385"/>
      <c r="D980" s="1385"/>
      <c r="E980" s="1385"/>
      <c r="F980" s="1385"/>
      <c r="G980" s="401"/>
      <c r="H980" s="401"/>
      <c r="I980" s="426"/>
      <c r="J980" s="402">
        <f t="shared" ref="J980:K982" si="119">J981</f>
        <v>17588.858899999999</v>
      </c>
      <c r="K980" s="402">
        <f t="shared" si="119"/>
        <v>45242.07974565505</v>
      </c>
      <c r="L980" s="451">
        <f t="shared" si="118"/>
        <v>3.5210409410669503E-2</v>
      </c>
    </row>
    <row r="981" spans="1:15" x14ac:dyDescent="0.25">
      <c r="A981" s="396"/>
      <c r="B981" s="1386" t="s">
        <v>8031</v>
      </c>
      <c r="C981" s="1386"/>
      <c r="D981" s="1386"/>
      <c r="E981" s="1386"/>
      <c r="F981" s="1386"/>
      <c r="G981" s="403"/>
      <c r="H981" s="403"/>
      <c r="I981" s="427"/>
      <c r="J981" s="404">
        <f t="shared" si="119"/>
        <v>17588.858899999999</v>
      </c>
      <c r="K981" s="404">
        <f t="shared" si="119"/>
        <v>45242.07974565505</v>
      </c>
      <c r="L981" s="452">
        <f t="shared" si="118"/>
        <v>3.5210409410669503E-2</v>
      </c>
    </row>
    <row r="982" spans="1:15" x14ac:dyDescent="0.25">
      <c r="A982" s="396"/>
      <c r="B982" s="1382" t="s">
        <v>7914</v>
      </c>
      <c r="C982" s="1382"/>
      <c r="D982" s="1382"/>
      <c r="E982" s="1382"/>
      <c r="F982" s="1382"/>
      <c r="G982" s="405"/>
      <c r="H982" s="405"/>
      <c r="I982" s="428"/>
      <c r="J982" s="406">
        <f t="shared" si="119"/>
        <v>17588.858899999999</v>
      </c>
      <c r="K982" s="406">
        <f t="shared" si="119"/>
        <v>45242.07974565505</v>
      </c>
      <c r="L982" s="453">
        <f t="shared" si="118"/>
        <v>3.5210409410669503E-2</v>
      </c>
    </row>
    <row r="983" spans="1:15" x14ac:dyDescent="0.25">
      <c r="A983" s="396"/>
      <c r="B983" s="1383" t="s">
        <v>7927</v>
      </c>
      <c r="C983" s="1383"/>
      <c r="D983" s="1383"/>
      <c r="E983" s="1383"/>
      <c r="F983" s="1383"/>
      <c r="G983" s="407"/>
      <c r="H983" s="407"/>
      <c r="I983" s="429"/>
      <c r="J983" s="408">
        <f>SUM(J984:J998)-0.02</f>
        <v>17588.858899999999</v>
      </c>
      <c r="K983" s="408">
        <f>SUM(K984:K998)</f>
        <v>45242.07974565505</v>
      </c>
      <c r="L983" s="454">
        <f t="shared" si="118"/>
        <v>3.5210409410669503E-2</v>
      </c>
    </row>
    <row r="984" spans="1:15" s="115" customFormat="1" x14ac:dyDescent="0.25">
      <c r="A984" s="396"/>
      <c r="B984" s="1398" t="s">
        <v>8040</v>
      </c>
      <c r="C984" s="1398"/>
      <c r="D984" s="1398"/>
      <c r="E984" s="854">
        <v>331900400000000</v>
      </c>
      <c r="F984" s="855" t="s">
        <v>5851</v>
      </c>
      <c r="G984" s="468">
        <v>20</v>
      </c>
      <c r="H984" s="468">
        <v>0</v>
      </c>
      <c r="I984" s="751"/>
      <c r="J984" s="789">
        <f>(('Parâmetros financeiros Despesa'!E841))</f>
        <v>0</v>
      </c>
      <c r="K984" s="789">
        <f>(('Parâmetros financeiros Despesa'!F841)*2.05+(('Parâmetros financeiros Despesa'!F841)*11.28)*(1+'Parâmetros financeiros Despesa'!F$4)*(1+'Parâmetros financeiros Despesa'!F$8))*(1+'Parâmetros financeiros Despesa'!F$80)</f>
        <v>17.278630081629636</v>
      </c>
      <c r="L984" s="799">
        <f t="shared" si="118"/>
        <v>1.344738444054658E-5</v>
      </c>
      <c r="M984" s="894"/>
      <c r="O984" s="733"/>
    </row>
    <row r="985" spans="1:15" s="1018" customFormat="1" x14ac:dyDescent="0.25">
      <c r="A985" s="859"/>
      <c r="B985" s="1004"/>
      <c r="C985" s="1004"/>
      <c r="D985" s="1004" t="s">
        <v>8041</v>
      </c>
      <c r="E985" s="854">
        <v>331900800000000</v>
      </c>
      <c r="F985" s="855" t="s">
        <v>11572</v>
      </c>
      <c r="G985" s="468">
        <v>1</v>
      </c>
      <c r="H985" s="468">
        <v>0</v>
      </c>
      <c r="I985" s="751"/>
      <c r="J985" s="789">
        <f>(('Parâmetros financeiros Despesa'!E842))</f>
        <v>12014.728899999998</v>
      </c>
      <c r="K985" s="789">
        <f>(('Parâmetros financeiros Despesa'!F842)*2.05+(('Parâmetros financeiros Despesa'!F842)*11.28)*(1+'Parâmetros financeiros Despesa'!F$4)*(1+'Parâmetros financeiros Despesa'!F$8))</f>
        <v>12578.80875884645</v>
      </c>
      <c r="L985" s="799">
        <f t="shared" si="118"/>
        <v>9.7896694578907938E-3</v>
      </c>
      <c r="M985" s="883"/>
      <c r="O985" s="1019"/>
    </row>
    <row r="986" spans="1:15" s="115" customFormat="1" x14ac:dyDescent="0.25">
      <c r="A986" s="396"/>
      <c r="B986" s="1398" t="s">
        <v>11588</v>
      </c>
      <c r="C986" s="1398"/>
      <c r="D986" s="1398"/>
      <c r="E986" s="854">
        <v>331901100000000</v>
      </c>
      <c r="F986" s="855" t="s">
        <v>10485</v>
      </c>
      <c r="G986" s="468">
        <v>20</v>
      </c>
      <c r="H986" s="468">
        <v>0</v>
      </c>
      <c r="I986" s="751"/>
      <c r="J986" s="789">
        <f>('Parâmetros financeiros Despesa'!E843+'Parâmetros financeiros Despesa'!E845)</f>
        <v>0</v>
      </c>
      <c r="K986" s="789">
        <f>('Parâmetros financeiros Despesa'!F843+'Parâmetros financeiros Despesa'!F845)*2.05+(('Parâmetros financeiros Despesa'!F843+'Parâmetros financeiros Despesa'!F845)*11.28)*(1+'Parâmetros financeiros Despesa'!F$4)*(1+'Parâmetros financeiros Despesa'!F$8)</f>
        <v>11458.434681471692</v>
      </c>
      <c r="L986" s="799">
        <f t="shared" si="118"/>
        <v>8.9177194905320344E-3</v>
      </c>
      <c r="M986" s="894"/>
      <c r="O986" s="733"/>
    </row>
    <row r="987" spans="1:15" s="115" customFormat="1" x14ac:dyDescent="0.25">
      <c r="A987" s="396"/>
      <c r="B987" s="1398" t="s">
        <v>8042</v>
      </c>
      <c r="C987" s="1398"/>
      <c r="D987" s="1398"/>
      <c r="E987" s="854">
        <v>331901300000000</v>
      </c>
      <c r="F987" s="855" t="s">
        <v>5735</v>
      </c>
      <c r="G987" s="468">
        <v>20</v>
      </c>
      <c r="H987" s="468">
        <v>0</v>
      </c>
      <c r="I987" s="751"/>
      <c r="J987" s="789">
        <v>0</v>
      </c>
      <c r="K987" s="789">
        <f>(K986+K988)*'Parâmetros financeiros Despesa'!F80+('Parâmetros financeiros Despesa'!F846)*2+(('Parâmetros financeiros Despesa'!F846)*10)*(1+'Parâmetros financeiros Despesa'!F$4)*(1+'Parâmetros financeiros Despesa'!F$8)</f>
        <v>3686.3009760974487</v>
      </c>
      <c r="L987" s="799">
        <f t="shared" si="118"/>
        <v>2.8689257281946045E-3</v>
      </c>
      <c r="M987" s="894"/>
      <c r="O987" s="733"/>
    </row>
    <row r="988" spans="1:15" s="115" customFormat="1" x14ac:dyDescent="0.25">
      <c r="A988" s="396"/>
      <c r="B988" s="1398" t="s">
        <v>8043</v>
      </c>
      <c r="C988" s="1398"/>
      <c r="D988" s="1398"/>
      <c r="E988" s="854">
        <v>331901600000000</v>
      </c>
      <c r="F988" s="855" t="s">
        <v>5736</v>
      </c>
      <c r="G988" s="468">
        <v>20</v>
      </c>
      <c r="H988" s="468">
        <v>0</v>
      </c>
      <c r="I988" s="751"/>
      <c r="J988" s="789">
        <f>('Parâmetros financeiros Despesa'!E844)</f>
        <v>0</v>
      </c>
      <c r="K988" s="789">
        <f>('Parâmetros financeiros Despesa'!F844)*2.05+(('Parâmetros financeiros Despesa'!F844)*11.28)*(1+'Parâmetros financeiros Despesa'!F$4)*(1+'Parâmetros financeiros Despesa'!F$8)</f>
        <v>13.955830560223728</v>
      </c>
      <c r="L988" s="799">
        <f t="shared" si="118"/>
        <v>1.0861359832570531E-5</v>
      </c>
      <c r="M988" s="894"/>
      <c r="O988" s="733"/>
    </row>
    <row r="989" spans="1:15" s="115" customFormat="1" x14ac:dyDescent="0.25">
      <c r="A989" s="396"/>
      <c r="B989" s="1398" t="s">
        <v>8044</v>
      </c>
      <c r="C989" s="1398"/>
      <c r="D989" s="1398"/>
      <c r="E989" s="854">
        <v>333901400000000</v>
      </c>
      <c r="F989" s="855" t="s">
        <v>7947</v>
      </c>
      <c r="G989" s="468">
        <v>20</v>
      </c>
      <c r="H989" s="468">
        <v>0</v>
      </c>
      <c r="I989" s="751"/>
      <c r="J989" s="789">
        <f>('Parâmetros financeiros Despesa'!E847)</f>
        <v>216</v>
      </c>
      <c r="K989" s="789">
        <f>('Parâmetros financeiros Despesa'!F847)*2+(('Parâmetros financeiros Despesa'!F847)*10)*(1+'Parâmetros financeiros Despesa'!F$4)*(1+'Parâmetros financeiros Despesa'!F$8)</f>
        <v>6277.4071632197383</v>
      </c>
      <c r="L989" s="799">
        <f t="shared" si="118"/>
        <v>4.8854976936745188E-3</v>
      </c>
      <c r="M989" s="894"/>
      <c r="O989" s="733"/>
    </row>
    <row r="990" spans="1:15" s="115" customFormat="1" x14ac:dyDescent="0.25">
      <c r="A990" s="396"/>
      <c r="B990" s="1396">
        <v>306260</v>
      </c>
      <c r="C990" s="1396"/>
      <c r="D990" s="1396"/>
      <c r="E990" s="854">
        <v>333903000000000</v>
      </c>
      <c r="F990" s="855" t="s">
        <v>7940</v>
      </c>
      <c r="G990" s="468">
        <v>20</v>
      </c>
      <c r="H990" s="468">
        <v>0</v>
      </c>
      <c r="I990" s="751"/>
      <c r="J990" s="789">
        <f>('Parâmetros financeiros Despesa'!E848)</f>
        <v>300</v>
      </c>
      <c r="K990" s="789">
        <f>('Parâmetros financeiros Despesa'!F848)*(1+'Parâmetros financeiros Despesa'!F$4)*(1+'Parâmetros financeiros Despesa'!F$7)</f>
        <v>545.16575</v>
      </c>
      <c r="L990" s="799">
        <f t="shared" si="118"/>
        <v>4.242844131412458E-4</v>
      </c>
      <c r="M990" s="894"/>
      <c r="O990" s="733"/>
    </row>
    <row r="991" spans="1:15" s="115" customFormat="1" x14ac:dyDescent="0.25">
      <c r="A991" s="396"/>
      <c r="B991" s="1396">
        <v>306290</v>
      </c>
      <c r="C991" s="1396"/>
      <c r="D991" s="1396"/>
      <c r="E991" s="854">
        <v>333903200000000</v>
      </c>
      <c r="F991" s="855" t="s">
        <v>8050</v>
      </c>
      <c r="G991" s="468">
        <v>20</v>
      </c>
      <c r="H991" s="468">
        <v>0</v>
      </c>
      <c r="I991" s="751"/>
      <c r="J991" s="789">
        <f>('Parâmetros financeiros Despesa'!E849)</f>
        <v>0</v>
      </c>
      <c r="K991" s="789">
        <f>('Parâmetros financeiros Despesa'!F849)*(1+'Parâmetros financeiros Despesa'!F$4)*(1+'Parâmetros financeiros Despesa'!F$7)</f>
        <v>545.16575</v>
      </c>
      <c r="L991" s="799">
        <f t="shared" si="118"/>
        <v>4.242844131412458E-4</v>
      </c>
      <c r="M991" s="894"/>
      <c r="O991" s="733"/>
    </row>
    <row r="992" spans="1:15" s="115" customFormat="1" x14ac:dyDescent="0.25">
      <c r="A992" s="396"/>
      <c r="B992" s="1396">
        <v>306300</v>
      </c>
      <c r="C992" s="1396"/>
      <c r="D992" s="1396"/>
      <c r="E992" s="854">
        <v>333903300000000</v>
      </c>
      <c r="F992" s="855" t="s">
        <v>7957</v>
      </c>
      <c r="G992" s="468">
        <v>20</v>
      </c>
      <c r="H992" s="468">
        <v>0</v>
      </c>
      <c r="I992" s="751"/>
      <c r="J992" s="789">
        <f>('Parâmetros financeiros Despesa'!E850)</f>
        <v>85.125</v>
      </c>
      <c r="K992" s="789">
        <f>('Parâmetros financeiros Despesa'!F850)*(1+'Parâmetros financeiros Despesa'!F$4)*(1+'Parâmetros financeiros Despesa'!F$7)</f>
        <v>92.814468937499996</v>
      </c>
      <c r="L992" s="799">
        <f t="shared" si="118"/>
        <v>7.2234421337297097E-5</v>
      </c>
      <c r="M992" s="894"/>
      <c r="O992" s="733"/>
    </row>
    <row r="993" spans="1:15" s="115" customFormat="1" x14ac:dyDescent="0.25">
      <c r="A993" s="396"/>
      <c r="B993" s="1398" t="s">
        <v>8045</v>
      </c>
      <c r="C993" s="1398"/>
      <c r="D993" s="1398"/>
      <c r="E993" s="854">
        <v>333903600000000</v>
      </c>
      <c r="F993" s="855" t="s">
        <v>7958</v>
      </c>
      <c r="G993" s="468">
        <v>20</v>
      </c>
      <c r="H993" s="468">
        <v>0</v>
      </c>
      <c r="I993" s="751"/>
      <c r="J993" s="789">
        <f>('Parâmetros financeiros Despesa'!E851)</f>
        <v>0</v>
      </c>
      <c r="K993" s="789">
        <f>('Parâmetros financeiros Despesa'!F851)*(1+'Parâmetros financeiros Despesa'!F$4)*(1+'Parâmetros financeiros Despesa'!F$7)</f>
        <v>1090.3315</v>
      </c>
      <c r="L993" s="799">
        <f t="shared" si="118"/>
        <v>8.485688262824916E-4</v>
      </c>
      <c r="M993" s="894"/>
      <c r="O993" s="733"/>
    </row>
    <row r="994" spans="1:15" s="115" customFormat="1" x14ac:dyDescent="0.25">
      <c r="A994" s="396"/>
      <c r="B994" s="1398" t="s">
        <v>8046</v>
      </c>
      <c r="C994" s="1398"/>
      <c r="D994" s="1398"/>
      <c r="E994" s="854">
        <v>333903900000000</v>
      </c>
      <c r="F994" s="855" t="s">
        <v>8051</v>
      </c>
      <c r="G994" s="468">
        <v>20</v>
      </c>
      <c r="H994" s="468">
        <v>0</v>
      </c>
      <c r="I994" s="751"/>
      <c r="J994" s="789">
        <f>('Parâmetros financeiros Despesa'!E852)</f>
        <v>4770</v>
      </c>
      <c r="K994" s="789">
        <f>('Parâmetros financeiros Despesa'!F852)*(1+'Parâmetros financeiros Despesa'!F$4)*(1+'Parâmetros financeiros Despesa'!F$7)</f>
        <v>5200.8812550000002</v>
      </c>
      <c r="L994" s="799">
        <f t="shared" si="118"/>
        <v>4.0476733013674856E-3</v>
      </c>
      <c r="M994" s="894"/>
      <c r="O994" s="733"/>
    </row>
    <row r="995" spans="1:15" s="115" customFormat="1" x14ac:dyDescent="0.25">
      <c r="A995" s="396"/>
      <c r="B995" s="1398" t="s">
        <v>8047</v>
      </c>
      <c r="C995" s="1398"/>
      <c r="D995" s="1398"/>
      <c r="E995" s="854">
        <v>333904700000000</v>
      </c>
      <c r="F995" s="855" t="s">
        <v>990</v>
      </c>
      <c r="G995" s="468">
        <v>20</v>
      </c>
      <c r="H995" s="468">
        <v>0</v>
      </c>
      <c r="I995" s="751"/>
      <c r="J995" s="789">
        <f>(('Parâmetros financeiros Despesa'!E851))</f>
        <v>0</v>
      </c>
      <c r="K995" s="789">
        <f>(('Parâmetros financeiros Despesa'!F851)*(1+'Parâmetros financeiros Despesa'!F$4)*(1+'Parâmetros financeiros Despesa'!F$7))*('Parâmetros financeiros Despesa'!F$83)</f>
        <v>218.06630000000001</v>
      </c>
      <c r="L995" s="799">
        <f t="shared" si="118"/>
        <v>1.6971376525649833E-4</v>
      </c>
      <c r="M995" s="894"/>
      <c r="O995" s="733"/>
    </row>
    <row r="996" spans="1:15" s="115" customFormat="1" x14ac:dyDescent="0.25">
      <c r="A996" s="396"/>
      <c r="B996" s="1398" t="s">
        <v>8048</v>
      </c>
      <c r="C996" s="1398"/>
      <c r="D996" s="1398"/>
      <c r="E996" s="854">
        <v>333904900000000</v>
      </c>
      <c r="F996" s="855" t="s">
        <v>7167</v>
      </c>
      <c r="G996" s="468">
        <v>20</v>
      </c>
      <c r="H996" s="468">
        <v>0</v>
      </c>
      <c r="I996" s="751"/>
      <c r="J996" s="789">
        <f>('Parâmetros financeiros Despesa'!E853+'Parâmetros financeiros Despesa'!E854)</f>
        <v>0</v>
      </c>
      <c r="K996" s="789">
        <f>('Parâmetros financeiros Despesa'!F853+'Parâmetros financeiros Despesa'!F854)*2+(('Parâmetros financeiros Despesa'!F853+'Parâmetros financeiros Despesa'!F854)*10)*(1+'Parâmetros financeiros Despesa'!F$4)*(1+'Parâmetros financeiros Despesa'!F$8)</f>
        <v>25.10962865287895</v>
      </c>
      <c r="L996" s="799">
        <f t="shared" si="118"/>
        <v>1.9541990774698071E-5</v>
      </c>
      <c r="M996" s="894"/>
      <c r="O996" s="733"/>
    </row>
    <row r="997" spans="1:15" s="115" customFormat="1" x14ac:dyDescent="0.25">
      <c r="A997" s="396"/>
      <c r="B997" s="1398" t="s">
        <v>8052</v>
      </c>
      <c r="C997" s="1398"/>
      <c r="D997" s="1398"/>
      <c r="E997" s="854">
        <v>333909300000000</v>
      </c>
      <c r="F997" s="855" t="s">
        <v>5818</v>
      </c>
      <c r="G997" s="468">
        <v>20</v>
      </c>
      <c r="H997" s="468">
        <v>0</v>
      </c>
      <c r="I997" s="751"/>
      <c r="J997" s="789">
        <f>('Parâmetros financeiros Despesa'!E855)</f>
        <v>203.02499999999998</v>
      </c>
      <c r="K997" s="789">
        <f>('Parâmetros financeiros Despesa'!F855)*(1+'Parâmetros financeiros Despesa'!F$4)*(1+'Parâmetros financeiros Despesa'!F$7)</f>
        <v>221.3645527875</v>
      </c>
      <c r="L997" s="799">
        <f t="shared" si="118"/>
        <v>1.7228068595600285E-4</v>
      </c>
      <c r="M997" s="894"/>
      <c r="O997" s="733"/>
    </row>
    <row r="998" spans="1:15" s="115" customFormat="1" x14ac:dyDescent="0.25">
      <c r="A998" s="396"/>
      <c r="B998" s="1398" t="s">
        <v>8049</v>
      </c>
      <c r="C998" s="1398"/>
      <c r="D998" s="1398"/>
      <c r="E998" s="854">
        <v>333933000000000</v>
      </c>
      <c r="F998" s="855" t="s">
        <v>7066</v>
      </c>
      <c r="G998" s="468">
        <v>20</v>
      </c>
      <c r="H998" s="468">
        <v>0</v>
      </c>
      <c r="I998" s="751"/>
      <c r="J998" s="789">
        <f>('Parâmetros financeiros Despesa'!E856)</f>
        <v>0</v>
      </c>
      <c r="K998" s="789">
        <f>('Parâmetros financeiros Despesa'!F856)*(1+'Parâmetros financeiros Despesa'!F$4)*(1+'Parâmetros financeiros Despesa'!F$7)</f>
        <v>3270.9945000000002</v>
      </c>
      <c r="L998" s="799">
        <f t="shared" si="118"/>
        <v>2.5457064788474751E-3</v>
      </c>
      <c r="M998" s="894"/>
      <c r="O998" s="733"/>
    </row>
    <row r="999" spans="1:15" x14ac:dyDescent="0.25">
      <c r="A999" s="396"/>
      <c r="B999" s="1386" t="s">
        <v>10488</v>
      </c>
      <c r="C999" s="1386"/>
      <c r="D999" s="1386"/>
      <c r="E999" s="1386"/>
      <c r="F999" s="1386"/>
      <c r="G999" s="403"/>
      <c r="H999" s="403"/>
      <c r="I999" s="427"/>
      <c r="J999" s="404">
        <f t="shared" ref="J999:K1000" si="120">J1000</f>
        <v>0</v>
      </c>
      <c r="K999" s="404">
        <f t="shared" si="120"/>
        <v>2289.70615</v>
      </c>
      <c r="L999" s="452">
        <f t="shared" ref="L999" si="121">K999/K$1074</f>
        <v>1.7820023178614051E-3</v>
      </c>
    </row>
    <row r="1000" spans="1:15" x14ac:dyDescent="0.25">
      <c r="A1000" s="396"/>
      <c r="B1000" s="1382" t="s">
        <v>7914</v>
      </c>
      <c r="C1000" s="1382"/>
      <c r="D1000" s="1382"/>
      <c r="E1000" s="1382"/>
      <c r="F1000" s="1382"/>
      <c r="G1000" s="405"/>
      <c r="H1000" s="405"/>
      <c r="I1000" s="428"/>
      <c r="J1000" s="406">
        <f t="shared" si="120"/>
        <v>0</v>
      </c>
      <c r="K1000" s="406">
        <f t="shared" si="120"/>
        <v>2289.70615</v>
      </c>
      <c r="L1000" s="453">
        <f t="shared" ref="L1000:L1016" si="122">K1000/K$1074</f>
        <v>1.7820023178614051E-3</v>
      </c>
    </row>
    <row r="1001" spans="1:15" x14ac:dyDescent="0.25">
      <c r="A1001" s="396"/>
      <c r="B1001" s="1383" t="s">
        <v>7927</v>
      </c>
      <c r="C1001" s="1383"/>
      <c r="D1001" s="1383"/>
      <c r="E1001" s="1383"/>
      <c r="F1001" s="1383"/>
      <c r="G1001" s="407"/>
      <c r="H1001" s="407"/>
      <c r="I1001" s="429"/>
      <c r="J1001" s="408">
        <f>J1002+J1003+J1004+J1005+J1006</f>
        <v>0</v>
      </c>
      <c r="K1001" s="408">
        <f>K1002+K1003+K1004+K1005+K1006+0.01</f>
        <v>2289.70615</v>
      </c>
      <c r="L1001" s="454">
        <f t="shared" si="122"/>
        <v>1.7820023178614051E-3</v>
      </c>
    </row>
    <row r="1002" spans="1:15" s="115" customFormat="1" x14ac:dyDescent="0.25">
      <c r="A1002" s="396"/>
      <c r="B1002" s="1396">
        <v>306500</v>
      </c>
      <c r="C1002" s="1396"/>
      <c r="D1002" s="1396"/>
      <c r="E1002" s="854">
        <v>333903000000000</v>
      </c>
      <c r="F1002" s="855" t="s">
        <v>10489</v>
      </c>
      <c r="G1002" s="468">
        <v>20</v>
      </c>
      <c r="H1002" s="468">
        <v>0</v>
      </c>
      <c r="I1002" s="751"/>
      <c r="J1002" s="789">
        <f>('Parâmetros financeiros Despesa'!E858)</f>
        <v>0</v>
      </c>
      <c r="K1002" s="789">
        <f>('Parâmetros financeiros Despesa'!F858)*(1+'Parâmetros financeiros Despesa'!F$4)*(1+'Parâmetros financeiros Despesa'!F$7)</f>
        <v>545.16575</v>
      </c>
      <c r="L1002" s="799">
        <f t="shared" si="122"/>
        <v>4.242844131412458E-4</v>
      </c>
      <c r="M1002" s="894"/>
      <c r="O1002" s="733"/>
    </row>
    <row r="1003" spans="1:15" s="115" customFormat="1" x14ac:dyDescent="0.25">
      <c r="A1003" s="396"/>
      <c r="B1003" s="1398" t="s">
        <v>7977</v>
      </c>
      <c r="C1003" s="1398"/>
      <c r="D1003" s="1398"/>
      <c r="E1003" s="854">
        <v>333903600000000</v>
      </c>
      <c r="F1003" s="855" t="s">
        <v>10492</v>
      </c>
      <c r="G1003" s="468">
        <v>20</v>
      </c>
      <c r="H1003" s="468">
        <v>0</v>
      </c>
      <c r="I1003" s="751"/>
      <c r="J1003" s="789">
        <f>('Parâmetros financeiros Despesa'!E859)</f>
        <v>0</v>
      </c>
      <c r="K1003" s="789">
        <f>('Parâmetros financeiros Despesa'!F859)*(1+'Parâmetros financeiros Despesa'!F$4)*(1+'Parâmetros financeiros Despesa'!F$7)</f>
        <v>545.16575</v>
      </c>
      <c r="L1003" s="799">
        <f t="shared" si="122"/>
        <v>4.242844131412458E-4</v>
      </c>
      <c r="M1003" s="894"/>
      <c r="O1003" s="733"/>
    </row>
    <row r="1004" spans="1:15" s="115" customFormat="1" x14ac:dyDescent="0.25">
      <c r="A1004" s="396"/>
      <c r="B1004" s="1398" t="s">
        <v>7978</v>
      </c>
      <c r="C1004" s="1398"/>
      <c r="D1004" s="1398"/>
      <c r="E1004" s="854">
        <v>333903900000000</v>
      </c>
      <c r="F1004" s="855" t="s">
        <v>10491</v>
      </c>
      <c r="G1004" s="468">
        <v>20</v>
      </c>
      <c r="H1004" s="468">
        <v>0</v>
      </c>
      <c r="I1004" s="751"/>
      <c r="J1004" s="789">
        <f>('Parâmetros financeiros Despesa'!E860)</f>
        <v>0</v>
      </c>
      <c r="K1004" s="789">
        <f>('Parâmetros financeiros Despesa'!F860)*(1+'Parâmetros financeiros Despesa'!F$4)*(1+'Parâmetros financeiros Despesa'!F$7)</f>
        <v>545.16575</v>
      </c>
      <c r="L1004" s="799">
        <f t="shared" si="122"/>
        <v>4.242844131412458E-4</v>
      </c>
      <c r="M1004" s="894"/>
      <c r="O1004" s="733"/>
    </row>
    <row r="1005" spans="1:15" s="115" customFormat="1" x14ac:dyDescent="0.25">
      <c r="A1005" s="396"/>
      <c r="B1005" s="1398" t="s">
        <v>7979</v>
      </c>
      <c r="C1005" s="1398"/>
      <c r="D1005" s="1398"/>
      <c r="E1005" s="854">
        <v>333904700000000</v>
      </c>
      <c r="F1005" s="855" t="s">
        <v>11609</v>
      </c>
      <c r="G1005" s="468">
        <v>20</v>
      </c>
      <c r="H1005" s="468">
        <v>0</v>
      </c>
      <c r="I1005" s="751"/>
      <c r="J1005" s="789">
        <f>(('Parâmetros financeiros Despesa'!E859))</f>
        <v>0</v>
      </c>
      <c r="K1005" s="789">
        <f>(('Parâmetros financeiros Despesa'!F859)*(1+'Parâmetros financeiros Despesa'!F$4)*(1+'Parâmetros financeiros Despesa'!F$7))*('Parâmetros financeiros Despesa'!F$83)</f>
        <v>109.03315000000001</v>
      </c>
      <c r="L1005" s="799">
        <f t="shared" si="122"/>
        <v>8.4856882628249163E-5</v>
      </c>
      <c r="M1005" s="894"/>
      <c r="O1005" s="733"/>
    </row>
    <row r="1006" spans="1:15" s="457" customFormat="1" x14ac:dyDescent="0.25">
      <c r="A1006" s="396"/>
      <c r="B1006" s="1398" t="s">
        <v>7980</v>
      </c>
      <c r="C1006" s="1398"/>
      <c r="D1006" s="1398"/>
      <c r="E1006" s="854">
        <v>344905200000000</v>
      </c>
      <c r="F1006" s="855" t="s">
        <v>10490</v>
      </c>
      <c r="G1006" s="468">
        <v>20</v>
      </c>
      <c r="H1006" s="468">
        <v>0</v>
      </c>
      <c r="I1006" s="751"/>
      <c r="J1006" s="789">
        <f>('Parâmetros financeiros Despesa'!E861)</f>
        <v>0</v>
      </c>
      <c r="K1006" s="789">
        <f>('Parâmetros financeiros Despesa'!F861)*(1+'Parâmetros financeiros Despesa'!F$4)*(1+'Parâmetros financeiros Despesa'!F$7)</f>
        <v>545.16575</v>
      </c>
      <c r="L1006" s="799">
        <f t="shared" si="122"/>
        <v>4.242844131412458E-4</v>
      </c>
      <c r="M1006" s="895"/>
      <c r="O1006" s="734"/>
    </row>
    <row r="1007" spans="1:15" s="1057" customFormat="1" x14ac:dyDescent="0.25">
      <c r="A1007" s="396"/>
      <c r="B1007" s="1386" t="s">
        <v>11755</v>
      </c>
      <c r="C1007" s="1386"/>
      <c r="D1007" s="1386"/>
      <c r="E1007" s="1386"/>
      <c r="F1007" s="1386"/>
      <c r="G1007" s="403"/>
      <c r="H1007" s="403"/>
      <c r="I1007" s="427"/>
      <c r="J1007" s="404">
        <f t="shared" ref="J1007:K1008" si="123">J1008</f>
        <v>0</v>
      </c>
      <c r="K1007" s="404">
        <f t="shared" si="123"/>
        <v>34887.273686585118</v>
      </c>
      <c r="L1007" s="452">
        <f t="shared" si="122"/>
        <v>2.7151607455550526E-2</v>
      </c>
      <c r="M1007" s="796"/>
      <c r="O1007" s="399"/>
    </row>
    <row r="1008" spans="1:15" s="1057" customFormat="1" x14ac:dyDescent="0.25">
      <c r="A1008" s="396"/>
      <c r="B1008" s="1382" t="s">
        <v>7914</v>
      </c>
      <c r="C1008" s="1382"/>
      <c r="D1008" s="1382"/>
      <c r="E1008" s="1382"/>
      <c r="F1008" s="1382"/>
      <c r="G1008" s="405"/>
      <c r="H1008" s="405"/>
      <c r="I1008" s="428"/>
      <c r="J1008" s="406">
        <f t="shared" si="123"/>
        <v>0</v>
      </c>
      <c r="K1008" s="406">
        <f t="shared" si="123"/>
        <v>34887.273686585118</v>
      </c>
      <c r="L1008" s="453">
        <f t="shared" si="122"/>
        <v>2.7151607455550526E-2</v>
      </c>
      <c r="M1008" s="796"/>
      <c r="O1008" s="399"/>
    </row>
    <row r="1009" spans="1:15" s="1057" customFormat="1" x14ac:dyDescent="0.25">
      <c r="A1009" s="396"/>
      <c r="B1009" s="1383" t="s">
        <v>7927</v>
      </c>
      <c r="C1009" s="1383"/>
      <c r="D1009" s="1383"/>
      <c r="E1009" s="1383"/>
      <c r="F1009" s="1383"/>
      <c r="G1009" s="407"/>
      <c r="H1009" s="407"/>
      <c r="I1009" s="429"/>
      <c r="J1009" s="408">
        <f>J1010+J1011+J1012+J1013+J1014</f>
        <v>0</v>
      </c>
      <c r="K1009" s="408">
        <f>SUM(K1010:K1021)</f>
        <v>34887.273686585118</v>
      </c>
      <c r="L1009" s="454">
        <f t="shared" si="122"/>
        <v>2.7151607455550526E-2</v>
      </c>
      <c r="M1009" s="796"/>
      <c r="O1009" s="399"/>
    </row>
    <row r="1010" spans="1:15" s="115" customFormat="1" x14ac:dyDescent="0.25">
      <c r="A1010" s="396"/>
      <c r="B1010" s="1396">
        <v>306940</v>
      </c>
      <c r="C1010" s="1396"/>
      <c r="D1010" s="1396"/>
      <c r="E1010" s="854">
        <v>331900400000000</v>
      </c>
      <c r="F1010" s="855" t="s">
        <v>11756</v>
      </c>
      <c r="G1010" s="468">
        <v>20</v>
      </c>
      <c r="H1010" s="468">
        <v>0</v>
      </c>
      <c r="I1010" s="751"/>
      <c r="J1010" s="789">
        <f>'ORÇAM. PODER EXEC. ANALITICO'!K1860</f>
        <v>0</v>
      </c>
      <c r="K1010" s="789">
        <f>'ORÇAM. PODER EXEC. ANALITICO'!L1860</f>
        <v>16.790537381629637</v>
      </c>
      <c r="L1010" s="799">
        <f t="shared" si="122"/>
        <v>1.3067518088381158E-5</v>
      </c>
      <c r="M1010" s="894"/>
      <c r="O1010" s="733"/>
    </row>
    <row r="1011" spans="1:15" s="115" customFormat="1" x14ac:dyDescent="0.25">
      <c r="A1011" s="396"/>
      <c r="B1011" s="1398" t="s">
        <v>11758</v>
      </c>
      <c r="C1011" s="1398"/>
      <c r="D1011" s="1398"/>
      <c r="E1011" s="854">
        <v>331901100000000</v>
      </c>
      <c r="F1011" s="855" t="s">
        <v>11757</v>
      </c>
      <c r="G1011" s="468">
        <v>20</v>
      </c>
      <c r="H1011" s="468">
        <v>0</v>
      </c>
      <c r="I1011" s="751"/>
      <c r="J1011" s="789">
        <f>'ORÇAM. PODER EXEC. ANALITICO'!K1861</f>
        <v>0</v>
      </c>
      <c r="K1011" s="789">
        <f>'ORÇAM. PODER EXEC. ANALITICO'!L1861</f>
        <v>15351.413616246102</v>
      </c>
      <c r="L1011" s="799">
        <f t="shared" si="122"/>
        <v>1.1947495815827585E-2</v>
      </c>
      <c r="M1011" s="894"/>
      <c r="O1011" s="733"/>
    </row>
    <row r="1012" spans="1:15" s="115" customFormat="1" x14ac:dyDescent="0.25">
      <c r="A1012" s="396"/>
      <c r="B1012" s="1398" t="s">
        <v>11759</v>
      </c>
      <c r="C1012" s="1398"/>
      <c r="D1012" s="1398"/>
      <c r="E1012" s="854">
        <v>331901300000000</v>
      </c>
      <c r="F1012" s="855" t="s">
        <v>11760</v>
      </c>
      <c r="G1012" s="468">
        <v>20</v>
      </c>
      <c r="H1012" s="468">
        <v>0</v>
      </c>
      <c r="I1012" s="751"/>
      <c r="J1012" s="789">
        <f>'ORÇAM. PODER EXEC. ANALITICO'!K1862</f>
        <v>0</v>
      </c>
      <c r="K1012" s="789">
        <f>'ORÇAM. PODER EXEC. ANALITICO'!L1862</f>
        <v>3658.4022730679053</v>
      </c>
      <c r="L1012" s="799">
        <f t="shared" si="122"/>
        <v>2.8472130933816292E-3</v>
      </c>
      <c r="M1012" s="894"/>
      <c r="O1012" s="733"/>
    </row>
    <row r="1013" spans="1:15" s="115" customFormat="1" x14ac:dyDescent="0.25">
      <c r="A1013" s="396"/>
      <c r="B1013" s="1398" t="s">
        <v>11762</v>
      </c>
      <c r="C1013" s="1398"/>
      <c r="D1013" s="1398"/>
      <c r="E1013" s="854">
        <v>331901600000000</v>
      </c>
      <c r="F1013" s="855" t="s">
        <v>11761</v>
      </c>
      <c r="G1013" s="468">
        <v>20</v>
      </c>
      <c r="H1013" s="468">
        <v>0</v>
      </c>
      <c r="I1013" s="751"/>
      <c r="J1013" s="789">
        <f>'ORÇAM. PODER EXEC. ANALITICO'!K1863</f>
        <v>0</v>
      </c>
      <c r="K1013" s="789">
        <f>'ORÇAM. PODER EXEC. ANALITICO'!L1863</f>
        <v>13.955830560223728</v>
      </c>
      <c r="L1013" s="799">
        <f t="shared" si="122"/>
        <v>1.0861359832570531E-5</v>
      </c>
      <c r="M1013" s="894"/>
      <c r="O1013" s="733"/>
    </row>
    <row r="1014" spans="1:15" s="457" customFormat="1" x14ac:dyDescent="0.25">
      <c r="A1014" s="396"/>
      <c r="B1014" s="1398" t="s">
        <v>11763</v>
      </c>
      <c r="C1014" s="1398"/>
      <c r="D1014" s="1398"/>
      <c r="E1014" s="854">
        <v>333901400000000</v>
      </c>
      <c r="F1014" s="855" t="s">
        <v>11764</v>
      </c>
      <c r="G1014" s="468">
        <v>20</v>
      </c>
      <c r="H1014" s="468">
        <v>0</v>
      </c>
      <c r="I1014" s="751"/>
      <c r="J1014" s="789">
        <f>'ORÇAM. PODER EXEC. ANALITICO'!K1864</f>
        <v>0</v>
      </c>
      <c r="K1014" s="789">
        <f>'ORÇAM. PODER EXEC. ANALITICO'!L1864</f>
        <v>1807.8932630072843</v>
      </c>
      <c r="L1014" s="799">
        <f t="shared" si="122"/>
        <v>1.4070233357782612E-3</v>
      </c>
      <c r="M1014" s="895"/>
      <c r="O1014" s="734"/>
    </row>
    <row r="1015" spans="1:15" s="457" customFormat="1" x14ac:dyDescent="0.25">
      <c r="A1015" s="396"/>
      <c r="B1015" s="1398" t="s">
        <v>11765</v>
      </c>
      <c r="C1015" s="1398"/>
      <c r="D1015" s="1398"/>
      <c r="E1015" s="854">
        <v>333903000000000</v>
      </c>
      <c r="F1015" s="855" t="s">
        <v>11766</v>
      </c>
      <c r="G1015" s="468">
        <v>20</v>
      </c>
      <c r="H1015" s="468">
        <v>0</v>
      </c>
      <c r="I1015" s="751"/>
      <c r="J1015" s="789">
        <f>'ORÇAM. PODER EXEC. ANALITICO'!K1865</f>
        <v>0</v>
      </c>
      <c r="K1015" s="789">
        <f>'ORÇAM. PODER EXEC. ANALITICO'!L1865</f>
        <v>5451.6575000000003</v>
      </c>
      <c r="L1015" s="799">
        <f t="shared" si="122"/>
        <v>4.2428441314124581E-3</v>
      </c>
      <c r="M1015" s="895"/>
      <c r="O1015" s="734"/>
    </row>
    <row r="1016" spans="1:15" s="457" customFormat="1" x14ac:dyDescent="0.25">
      <c r="A1016" s="396"/>
      <c r="B1016" s="1398" t="s">
        <v>11767</v>
      </c>
      <c r="C1016" s="1398"/>
      <c r="D1016" s="1398"/>
      <c r="E1016" s="854">
        <v>333903600000000</v>
      </c>
      <c r="F1016" s="855" t="s">
        <v>11769</v>
      </c>
      <c r="G1016" s="468">
        <v>20</v>
      </c>
      <c r="H1016" s="468">
        <v>0</v>
      </c>
      <c r="I1016" s="751"/>
      <c r="J1016" s="789">
        <f>'ORÇAM. PODER EXEC. ANALITICO'!K1866</f>
        <v>0</v>
      </c>
      <c r="K1016" s="789">
        <f>'ORÇAM. PODER EXEC. ANALITICO'!L1866</f>
        <v>1090.3315</v>
      </c>
      <c r="L1016" s="799">
        <f t="shared" si="122"/>
        <v>8.485688262824916E-4</v>
      </c>
      <c r="M1016" s="895"/>
      <c r="O1016" s="734"/>
    </row>
    <row r="1017" spans="1:15" s="457" customFormat="1" x14ac:dyDescent="0.25">
      <c r="A1017" s="396"/>
      <c r="B1017" s="1056"/>
      <c r="C1017" s="1056"/>
      <c r="D1017" s="1056" t="s">
        <v>11768</v>
      </c>
      <c r="E1017" s="854">
        <v>333903900000000</v>
      </c>
      <c r="F1017" s="855" t="s">
        <v>11770</v>
      </c>
      <c r="G1017" s="468">
        <v>20</v>
      </c>
      <c r="H1017" s="468">
        <v>0</v>
      </c>
      <c r="I1017" s="751"/>
      <c r="J1017" s="789">
        <f>'ORÇAM. PODER EXEC. ANALITICO'!K1867</f>
        <v>0</v>
      </c>
      <c r="K1017" s="789">
        <f>'ORÇAM. PODER EXEC. ANALITICO'!L1867</f>
        <v>1090.3315</v>
      </c>
      <c r="L1017" s="799">
        <f t="shared" ref="L1017:L1021" si="124">K1017/K$1074</f>
        <v>8.485688262824916E-4</v>
      </c>
      <c r="M1017" s="895"/>
      <c r="O1017" s="734"/>
    </row>
    <row r="1018" spans="1:15" s="457" customFormat="1" x14ac:dyDescent="0.25">
      <c r="A1018" s="396"/>
      <c r="B1018" s="1056"/>
      <c r="C1018" s="1056"/>
      <c r="D1018" s="1056" t="s">
        <v>11775</v>
      </c>
      <c r="E1018" s="854">
        <v>333904700000000</v>
      </c>
      <c r="F1018" s="855" t="s">
        <v>11772</v>
      </c>
      <c r="G1018" s="468">
        <v>20</v>
      </c>
      <c r="H1018" s="468">
        <v>0</v>
      </c>
      <c r="I1018" s="751"/>
      <c r="J1018" s="789">
        <f>'ORÇAM. PODER EXEC. ANALITICO'!K1868</f>
        <v>0</v>
      </c>
      <c r="K1018" s="789">
        <f>'ORÇAM. PODER EXEC. ANALITICO'!L1868</f>
        <v>218.06630000000001</v>
      </c>
      <c r="L1018" s="799">
        <f t="shared" si="124"/>
        <v>1.6971376525649833E-4</v>
      </c>
      <c r="M1018" s="895"/>
      <c r="O1018" s="734"/>
    </row>
    <row r="1019" spans="1:15" s="457" customFormat="1" x14ac:dyDescent="0.25">
      <c r="A1019" s="396"/>
      <c r="B1019" s="1056"/>
      <c r="C1019" s="1056"/>
      <c r="D1019" s="1056" t="s">
        <v>11776</v>
      </c>
      <c r="E1019" s="854">
        <v>333904900000000</v>
      </c>
      <c r="F1019" s="855" t="s">
        <v>11771</v>
      </c>
      <c r="G1019" s="468">
        <v>20</v>
      </c>
      <c r="H1019" s="468">
        <v>0</v>
      </c>
      <c r="I1019" s="751"/>
      <c r="J1019" s="789">
        <f>'ORÇAM. PODER EXEC. ANALITICO'!K1869</f>
        <v>0</v>
      </c>
      <c r="K1019" s="789">
        <f>'ORÇAM. PODER EXEC. ANALITICO'!L1869</f>
        <v>627.74071632197365</v>
      </c>
      <c r="L1019" s="799">
        <f t="shared" si="124"/>
        <v>4.8854976936745171E-4</v>
      </c>
      <c r="M1019" s="895"/>
      <c r="O1019" s="734"/>
    </row>
    <row r="1020" spans="1:15" s="457" customFormat="1" x14ac:dyDescent="0.25">
      <c r="A1020" s="396"/>
      <c r="B1020" s="1056"/>
      <c r="C1020" s="1056"/>
      <c r="D1020" s="1056" t="s">
        <v>11778</v>
      </c>
      <c r="E1020" s="854">
        <v>333909300000000</v>
      </c>
      <c r="F1020" s="855" t="s">
        <v>11773</v>
      </c>
      <c r="G1020" s="468">
        <v>20</v>
      </c>
      <c r="H1020" s="468">
        <v>0</v>
      </c>
      <c r="I1020" s="751"/>
      <c r="J1020" s="789">
        <f>'ORÇAM. PODER EXEC. ANALITICO'!K1870</f>
        <v>0</v>
      </c>
      <c r="K1020" s="789">
        <f>'ORÇAM. PODER EXEC. ANALITICO'!L1870</f>
        <v>109.03315000000001</v>
      </c>
      <c r="L1020" s="799">
        <f t="shared" si="124"/>
        <v>8.4856882628249163E-5</v>
      </c>
      <c r="M1020" s="895"/>
      <c r="O1020" s="734"/>
    </row>
    <row r="1021" spans="1:15" s="457" customFormat="1" x14ac:dyDescent="0.25">
      <c r="A1021" s="396"/>
      <c r="B1021" s="1056"/>
      <c r="C1021" s="1056"/>
      <c r="D1021" s="1056" t="s">
        <v>11777</v>
      </c>
      <c r="E1021" s="854">
        <v>344905200000000</v>
      </c>
      <c r="F1021" s="855" t="s">
        <v>11774</v>
      </c>
      <c r="G1021" s="468">
        <v>20</v>
      </c>
      <c r="H1021" s="468">
        <v>0</v>
      </c>
      <c r="I1021" s="751"/>
      <c r="J1021" s="789">
        <f>'ORÇAM. PODER EXEC. ANALITICO'!K1871</f>
        <v>0</v>
      </c>
      <c r="K1021" s="789">
        <f>'ORÇAM. PODER EXEC. ANALITICO'!L1871</f>
        <v>5451.6575000000003</v>
      </c>
      <c r="L1021" s="799">
        <f t="shared" si="124"/>
        <v>4.2428441314124581E-3</v>
      </c>
      <c r="M1021" s="895"/>
      <c r="O1021" s="734"/>
    </row>
    <row r="1022" spans="1:15" x14ac:dyDescent="0.25">
      <c r="A1022" s="396"/>
      <c r="B1022" s="1386" t="s">
        <v>7916</v>
      </c>
      <c r="C1022" s="1386"/>
      <c r="D1022" s="1386"/>
      <c r="E1022" s="1386"/>
      <c r="F1022" s="1386"/>
      <c r="G1022" s="403"/>
      <c r="H1022" s="403"/>
      <c r="I1022" s="427"/>
      <c r="J1022" s="404">
        <f t="shared" ref="J1022:K1023" si="125">J1023</f>
        <v>0</v>
      </c>
      <c r="K1022" s="404">
        <f t="shared" si="125"/>
        <v>2289.7061500000004</v>
      </c>
      <c r="L1022" s="452">
        <f>K1022/K$1074</f>
        <v>1.7820023178614056E-3</v>
      </c>
    </row>
    <row r="1023" spans="1:15" x14ac:dyDescent="0.25">
      <c r="A1023" s="396"/>
      <c r="B1023" s="1382" t="s">
        <v>7914</v>
      </c>
      <c r="C1023" s="1382"/>
      <c r="D1023" s="1382"/>
      <c r="E1023" s="1382"/>
      <c r="F1023" s="1382"/>
      <c r="G1023" s="405"/>
      <c r="H1023" s="405"/>
      <c r="I1023" s="428"/>
      <c r="J1023" s="406">
        <f t="shared" si="125"/>
        <v>0</v>
      </c>
      <c r="K1023" s="406">
        <f t="shared" si="125"/>
        <v>2289.7061500000004</v>
      </c>
      <c r="L1023" s="453">
        <f>K1023/K$1074</f>
        <v>1.7820023178614056E-3</v>
      </c>
    </row>
    <row r="1024" spans="1:15" x14ac:dyDescent="0.25">
      <c r="A1024" s="396"/>
      <c r="B1024" s="1383" t="s">
        <v>7959</v>
      </c>
      <c r="C1024" s="1383"/>
      <c r="D1024" s="1383"/>
      <c r="E1024" s="1383"/>
      <c r="F1024" s="1383"/>
      <c r="G1024" s="407"/>
      <c r="H1024" s="407"/>
      <c r="I1024" s="429"/>
      <c r="J1024" s="408">
        <f>J1025+J1026+J1027+J1028+J1029</f>
        <v>0</v>
      </c>
      <c r="K1024" s="408">
        <f>K1025+K1026+K1027+K1028+K1029+0.01</f>
        <v>2289.7061500000004</v>
      </c>
      <c r="L1024" s="454">
        <f>K1024/K$1074</f>
        <v>1.7820023178614056E-3</v>
      </c>
    </row>
    <row r="1025" spans="1:15" s="115" customFormat="1" ht="30" x14ac:dyDescent="0.25">
      <c r="A1025" s="396"/>
      <c r="B1025" s="1396">
        <v>307050</v>
      </c>
      <c r="C1025" s="1396"/>
      <c r="D1025" s="1396"/>
      <c r="E1025" s="854">
        <v>333904700000000</v>
      </c>
      <c r="F1025" s="1017" t="s">
        <v>11606</v>
      </c>
      <c r="G1025" s="468">
        <v>20</v>
      </c>
      <c r="H1025" s="468">
        <v>0</v>
      </c>
      <c r="I1025" s="751"/>
      <c r="J1025" s="789">
        <f>(('Parâmetros financeiros Despesa'!E877))</f>
        <v>0</v>
      </c>
      <c r="K1025" s="789">
        <f>(('Parâmetros financeiros Despesa'!F877)*(1+'Parâmetros financeiros Despesa'!F$4)*(1+'Parâmetros financeiros Despesa'!F$7))*('Parâmetros financeiros Despesa'!F$83)</f>
        <v>109.03315000000001</v>
      </c>
      <c r="L1025" s="799">
        <f t="shared" ref="L1025:L1029" si="126">K1025/K$1074</f>
        <v>8.4856882628249163E-5</v>
      </c>
      <c r="M1025" s="894"/>
      <c r="O1025" s="733"/>
    </row>
    <row r="1026" spans="1:15" s="115" customFormat="1" x14ac:dyDescent="0.25">
      <c r="A1026" s="396"/>
      <c r="B1026" s="1396">
        <v>307100</v>
      </c>
      <c r="C1026" s="1396"/>
      <c r="D1026" s="1396"/>
      <c r="E1026" s="854">
        <v>344903000000000</v>
      </c>
      <c r="F1026" s="855" t="s">
        <v>7963</v>
      </c>
      <c r="G1026" s="468">
        <v>20</v>
      </c>
      <c r="H1026" s="468">
        <v>0</v>
      </c>
      <c r="I1026" s="751"/>
      <c r="J1026" s="789">
        <f>('Parâmetros financeiros Despesa'!E876)</f>
        <v>0</v>
      </c>
      <c r="K1026" s="789">
        <f>('Parâmetros financeiros Despesa'!F876)*(1+'Parâmetros financeiros Despesa'!F$4)*(1+'Parâmetros financeiros Despesa'!F$7)</f>
        <v>545.16575</v>
      </c>
      <c r="L1026" s="799">
        <f t="shared" si="126"/>
        <v>4.242844131412458E-4</v>
      </c>
      <c r="M1026" s="894"/>
      <c r="O1026" s="733"/>
    </row>
    <row r="1027" spans="1:15" s="457" customFormat="1" x14ac:dyDescent="0.25">
      <c r="A1027" s="396"/>
      <c r="B1027" s="1398" t="s">
        <v>7960</v>
      </c>
      <c r="C1027" s="1398"/>
      <c r="D1027" s="1398"/>
      <c r="E1027" s="854">
        <v>344903600000000</v>
      </c>
      <c r="F1027" s="855" t="s">
        <v>11607</v>
      </c>
      <c r="G1027" s="468">
        <v>20</v>
      </c>
      <c r="H1027" s="468">
        <v>0</v>
      </c>
      <c r="I1027" s="751"/>
      <c r="J1027" s="789">
        <f>('Parâmetros financeiros Despesa'!E877)</f>
        <v>0</v>
      </c>
      <c r="K1027" s="789">
        <f>('Parâmetros financeiros Despesa'!F877)*(1+'Parâmetros financeiros Despesa'!F$4)*(1+'Parâmetros financeiros Despesa'!F$7)</f>
        <v>545.16575</v>
      </c>
      <c r="L1027" s="799">
        <f t="shared" si="126"/>
        <v>4.242844131412458E-4</v>
      </c>
      <c r="M1027" s="895"/>
      <c r="O1027" s="734"/>
    </row>
    <row r="1028" spans="1:15" s="457" customFormat="1" x14ac:dyDescent="0.25">
      <c r="A1028" s="396"/>
      <c r="B1028" s="1398" t="s">
        <v>7961</v>
      </c>
      <c r="C1028" s="1398"/>
      <c r="D1028" s="1398"/>
      <c r="E1028" s="854">
        <v>344903900000000</v>
      </c>
      <c r="F1028" s="855" t="s">
        <v>11608</v>
      </c>
      <c r="G1028" s="468">
        <v>20</v>
      </c>
      <c r="H1028" s="468">
        <v>0</v>
      </c>
      <c r="I1028" s="751"/>
      <c r="J1028" s="789">
        <f>('Parâmetros financeiros Despesa'!E878)</f>
        <v>0</v>
      </c>
      <c r="K1028" s="789">
        <f>('Parâmetros financeiros Despesa'!F878)*(1+'Parâmetros financeiros Despesa'!F$4)*(1+'Parâmetros financeiros Despesa'!F$7)</f>
        <v>545.16575</v>
      </c>
      <c r="L1028" s="799">
        <f t="shared" si="126"/>
        <v>4.242844131412458E-4</v>
      </c>
      <c r="M1028" s="895"/>
      <c r="O1028" s="734"/>
    </row>
    <row r="1029" spans="1:15" s="457" customFormat="1" x14ac:dyDescent="0.25">
      <c r="A1029" s="396"/>
      <c r="B1029" s="1398" t="s">
        <v>7962</v>
      </c>
      <c r="C1029" s="1398"/>
      <c r="D1029" s="1398"/>
      <c r="E1029" s="854">
        <v>344905200000000</v>
      </c>
      <c r="F1029" s="855" t="s">
        <v>7964</v>
      </c>
      <c r="G1029" s="468">
        <v>20</v>
      </c>
      <c r="H1029" s="468">
        <v>0</v>
      </c>
      <c r="I1029" s="751"/>
      <c r="J1029" s="789">
        <f>('Parâmetros financeiros Despesa'!E879)</f>
        <v>0</v>
      </c>
      <c r="K1029" s="789">
        <f>('Parâmetros financeiros Despesa'!F879)*(1+'Parâmetros financeiros Despesa'!F$4)*(1+'Parâmetros financeiros Despesa'!F$7)</f>
        <v>545.16575</v>
      </c>
      <c r="L1029" s="799">
        <f t="shared" si="126"/>
        <v>4.242844131412458E-4</v>
      </c>
      <c r="M1029" s="895"/>
      <c r="O1029" s="734"/>
    </row>
    <row r="1030" spans="1:15" x14ac:dyDescent="0.25">
      <c r="A1030" s="396"/>
      <c r="B1030" s="1386" t="s">
        <v>7981</v>
      </c>
      <c r="C1030" s="1386"/>
      <c r="D1030" s="1386"/>
      <c r="E1030" s="1386"/>
      <c r="F1030" s="1386"/>
      <c r="G1030" s="403"/>
      <c r="H1030" s="403"/>
      <c r="I1030" s="427"/>
      <c r="J1030" s="404">
        <f t="shared" ref="J1030:K1031" si="127">J1031</f>
        <v>233779.77750000003</v>
      </c>
      <c r="K1030" s="404">
        <f t="shared" si="127"/>
        <v>272440.35769455327</v>
      </c>
      <c r="L1030" s="452">
        <f>K1030/K$1074</f>
        <v>0.2120312900809059</v>
      </c>
    </row>
    <row r="1031" spans="1:15" x14ac:dyDescent="0.25">
      <c r="A1031" s="396"/>
      <c r="B1031" s="1382" t="s">
        <v>7914</v>
      </c>
      <c r="C1031" s="1382"/>
      <c r="D1031" s="1382"/>
      <c r="E1031" s="1382"/>
      <c r="F1031" s="1382"/>
      <c r="G1031" s="405"/>
      <c r="H1031" s="405"/>
      <c r="I1031" s="428"/>
      <c r="J1031" s="406">
        <f t="shared" si="127"/>
        <v>233779.77750000003</v>
      </c>
      <c r="K1031" s="406">
        <f t="shared" si="127"/>
        <v>272440.35769455327</v>
      </c>
      <c r="L1031" s="453">
        <f>K1031/K$1074</f>
        <v>0.2120312900809059</v>
      </c>
    </row>
    <row r="1032" spans="1:15" x14ac:dyDescent="0.25">
      <c r="A1032" s="396"/>
      <c r="B1032" s="1383" t="s">
        <v>7959</v>
      </c>
      <c r="C1032" s="1383"/>
      <c r="D1032" s="1383"/>
      <c r="E1032" s="1383"/>
      <c r="F1032" s="1383"/>
      <c r="G1032" s="407"/>
      <c r="H1032" s="407"/>
      <c r="I1032" s="429"/>
      <c r="J1032" s="408">
        <f>SUM(J1033:J1049)+0.01</f>
        <v>233779.77750000003</v>
      </c>
      <c r="K1032" s="408">
        <f>SUM(K1033:K1049)-0.01</f>
        <v>272440.35769455327</v>
      </c>
      <c r="L1032" s="454">
        <f>K1032/K$1074</f>
        <v>0.2120312900809059</v>
      </c>
    </row>
    <row r="1033" spans="1:15" s="115" customFormat="1" x14ac:dyDescent="0.25">
      <c r="A1033" s="396"/>
      <c r="B1033" s="1398" t="s">
        <v>7965</v>
      </c>
      <c r="C1033" s="1398"/>
      <c r="D1033" s="1398"/>
      <c r="E1033" s="854">
        <v>331900400000000</v>
      </c>
      <c r="F1033" s="855" t="s">
        <v>5851</v>
      </c>
      <c r="G1033" s="468">
        <v>20</v>
      </c>
      <c r="H1033" s="468">
        <v>0</v>
      </c>
      <c r="I1033" s="751"/>
      <c r="J1033" s="789">
        <f>(('Parâmetros financeiros Despesa'!E881))</f>
        <v>16394.433700000001</v>
      </c>
      <c r="K1033" s="789">
        <f>(('Parâmetros financeiros Despesa'!F881)*2.05+(('Parâmetros financeiros Despesa'!F881)*11.28)*(1+'Parâmetros financeiros Despesa'!F$4)*(1+'Parâmetros financeiros Despesa'!F$8))*(1+'Parâmetros financeiros Despesa'!F$80)</f>
        <v>21250.814351095476</v>
      </c>
      <c r="L1033" s="799">
        <f>K1033/K$1074</f>
        <v>1.6538803649583836E-2</v>
      </c>
      <c r="M1033" s="894"/>
      <c r="O1033" s="733"/>
    </row>
    <row r="1034" spans="1:15" s="1018" customFormat="1" x14ac:dyDescent="0.25">
      <c r="A1034" s="859"/>
      <c r="B1034" s="1004"/>
      <c r="C1034" s="1004"/>
      <c r="D1034" s="1004" t="s">
        <v>11574</v>
      </c>
      <c r="E1034" s="854">
        <v>331900800000000</v>
      </c>
      <c r="F1034" s="855" t="s">
        <v>11575</v>
      </c>
      <c r="G1034" s="468">
        <v>1</v>
      </c>
      <c r="H1034" s="468">
        <v>0</v>
      </c>
      <c r="I1034" s="751"/>
      <c r="J1034" s="789">
        <f>(('Parâmetros financeiros Despesa'!E882))</f>
        <v>4164.2919999999995</v>
      </c>
      <c r="K1034" s="789">
        <f>(('Parâmetros financeiros Despesa'!F882)*2.05+(('Parâmetros financeiros Despesa'!F882)*11.28)*(1+'Parâmetros financeiros Despesa'!F$4)*(1+'Parâmetros financeiros Despesa'!F$8))</f>
        <v>4359.8014670138919</v>
      </c>
      <c r="L1034" s="799">
        <f t="shared" ref="L1034:L1049" si="128">K1034/K$1074</f>
        <v>3.3930888116950335E-3</v>
      </c>
      <c r="M1034" s="883"/>
      <c r="O1034" s="1019"/>
    </row>
    <row r="1035" spans="1:15" s="115" customFormat="1" x14ac:dyDescent="0.25">
      <c r="A1035" s="396"/>
      <c r="B1035" s="1398" t="s">
        <v>7966</v>
      </c>
      <c r="C1035" s="1398"/>
      <c r="D1035" s="1398"/>
      <c r="E1035" s="854">
        <v>331901100000000</v>
      </c>
      <c r="F1035" s="855" t="s">
        <v>7941</v>
      </c>
      <c r="G1035" s="468">
        <v>20</v>
      </c>
      <c r="H1035" s="468">
        <v>0</v>
      </c>
      <c r="I1035" s="751"/>
      <c r="J1035" s="789">
        <f>('Parâmetros financeiros Despesa'!E883)</f>
        <v>111798.17679999999</v>
      </c>
      <c r="K1035" s="789">
        <f>('Parâmetros financeiros Despesa'!F883)*2.05+(('Parâmetros financeiros Despesa'!F883)*11.28)*(1+'Parâmetros financeiros Despesa'!F$4)*(1+'Parâmetros financeiros Despesa'!F$8)</f>
        <v>117655.88556271656</v>
      </c>
      <c r="L1035" s="799">
        <f t="shared" si="128"/>
        <v>9.15676715908708E-2</v>
      </c>
      <c r="M1035" s="894"/>
      <c r="O1035" s="733"/>
    </row>
    <row r="1036" spans="1:15" s="115" customFormat="1" x14ac:dyDescent="0.25">
      <c r="A1036" s="396"/>
      <c r="B1036" s="1398" t="s">
        <v>7967</v>
      </c>
      <c r="C1036" s="1398"/>
      <c r="D1036" s="1398"/>
      <c r="E1036" s="854">
        <v>331901300000000</v>
      </c>
      <c r="F1036" s="855" t="s">
        <v>5735</v>
      </c>
      <c r="G1036" s="468">
        <v>20</v>
      </c>
      <c r="H1036" s="468">
        <v>0</v>
      </c>
      <c r="I1036" s="751"/>
      <c r="J1036" s="789">
        <f>'Parâmetros financeiros Despesa'!E884</f>
        <v>0</v>
      </c>
      <c r="K1036" s="789">
        <f>(K1037+K1035)*'Parâmetros financeiros Despesa'!F80</f>
        <v>28863.572463591212</v>
      </c>
      <c r="L1036" s="799">
        <f t="shared" si="128"/>
        <v>2.2463560676499982E-2</v>
      </c>
      <c r="M1036" s="894"/>
      <c r="O1036" s="733"/>
    </row>
    <row r="1037" spans="1:15" s="115" customFormat="1" x14ac:dyDescent="0.25">
      <c r="A1037" s="396"/>
      <c r="B1037" s="1398" t="s">
        <v>7968</v>
      </c>
      <c r="C1037" s="1398"/>
      <c r="D1037" s="1398"/>
      <c r="E1037" s="854">
        <v>331901600000000</v>
      </c>
      <c r="F1037" s="855" t="s">
        <v>5736</v>
      </c>
      <c r="G1037" s="468">
        <v>20</v>
      </c>
      <c r="H1037" s="468">
        <v>0</v>
      </c>
      <c r="I1037" s="751"/>
      <c r="J1037" s="789">
        <f>('Parâmetros financeiros Despesa'!E3176)</f>
        <v>0</v>
      </c>
      <c r="K1037" s="789">
        <f>('Parâmetros financeiros Despesa'!F3176)*2.05+(('Parâmetros financeiros Despesa'!F885)*11.28)*(1+'Parâmetros financeiros Despesa'!F$4)*(1+'Parâmetros financeiros Despesa'!F$8)</f>
        <v>3571.7491680671183</v>
      </c>
      <c r="L1037" s="799">
        <f t="shared" si="128"/>
        <v>2.7797738571454463E-3</v>
      </c>
      <c r="M1037" s="894"/>
      <c r="O1037" s="733"/>
    </row>
    <row r="1038" spans="1:15" s="115" customFormat="1" x14ac:dyDescent="0.25">
      <c r="A1038" s="396"/>
      <c r="B1038" s="1398" t="s">
        <v>7969</v>
      </c>
      <c r="C1038" s="1398"/>
      <c r="D1038" s="1398"/>
      <c r="E1038" s="854">
        <v>333901400000000</v>
      </c>
      <c r="F1038" s="855" t="s">
        <v>7947</v>
      </c>
      <c r="G1038" s="468">
        <v>20</v>
      </c>
      <c r="H1038" s="468">
        <v>0</v>
      </c>
      <c r="I1038" s="751"/>
      <c r="J1038" s="789">
        <f>('Parâmetros financeiros Despesa'!E886)</f>
        <v>0</v>
      </c>
      <c r="K1038" s="789">
        <f>('Parâmetros financeiros Despesa'!F886)*2+(('Parâmetros financeiros Despesa'!F886)*10)*(1+'Parâmetros financeiros Despesa'!F$4)*(1+'Parâmetros financeiros Despesa'!F$8)</f>
        <v>3766.4442979318428</v>
      </c>
      <c r="L1038" s="799">
        <f t="shared" si="128"/>
        <v>2.9312986162047111E-3</v>
      </c>
      <c r="M1038" s="894"/>
      <c r="O1038" s="733"/>
    </row>
    <row r="1039" spans="1:15" s="115" customFormat="1" x14ac:dyDescent="0.25">
      <c r="A1039" s="396"/>
      <c r="B1039" s="1396">
        <v>308500</v>
      </c>
      <c r="C1039" s="1396"/>
      <c r="D1039" s="1396"/>
      <c r="E1039" s="854">
        <v>333903000000000</v>
      </c>
      <c r="F1039" s="855" t="s">
        <v>7940</v>
      </c>
      <c r="G1039" s="468">
        <v>20</v>
      </c>
      <c r="H1039" s="468">
        <v>0</v>
      </c>
      <c r="I1039" s="751"/>
      <c r="J1039" s="789">
        <f>('Parâmetros financeiros Despesa'!E887)</f>
        <v>15768.44</v>
      </c>
      <c r="K1039" s="789">
        <f>('Parâmetros financeiros Despesa'!F887)*(1+'Parâmetros financeiros Despesa'!F$4)*(1+'Parâmetros financeiros Despesa'!F$7)</f>
        <v>16354.9725</v>
      </c>
      <c r="L1039" s="799">
        <f t="shared" si="128"/>
        <v>1.2728532394237374E-2</v>
      </c>
      <c r="M1039" s="894"/>
      <c r="O1039" s="733"/>
    </row>
    <row r="1040" spans="1:15" s="115" customFormat="1" x14ac:dyDescent="0.25">
      <c r="A1040" s="396"/>
      <c r="B1040" s="1396">
        <v>308600</v>
      </c>
      <c r="C1040" s="1396"/>
      <c r="D1040" s="1396"/>
      <c r="E1040" s="854">
        <v>333903200000000</v>
      </c>
      <c r="F1040" s="855" t="s">
        <v>1021</v>
      </c>
      <c r="G1040" s="468">
        <v>20</v>
      </c>
      <c r="H1040" s="468">
        <v>0</v>
      </c>
      <c r="I1040" s="751"/>
      <c r="J1040" s="789">
        <f>('Parâmetros financeiros Despesa'!E888)</f>
        <v>0</v>
      </c>
      <c r="K1040" s="789">
        <f>('Parâmetros financeiros Despesa'!F888)*(1+'Parâmetros financeiros Despesa'!F$4)*(1+'Parâmetros financeiros Despesa'!F$7)</f>
        <v>5451.6575000000003</v>
      </c>
      <c r="L1040" s="799">
        <f t="shared" si="128"/>
        <v>4.2428441314124581E-3</v>
      </c>
      <c r="M1040" s="894"/>
      <c r="O1040" s="733"/>
    </row>
    <row r="1041" spans="1:15" s="115" customFormat="1" x14ac:dyDescent="0.25">
      <c r="A1041" s="396"/>
      <c r="B1041" s="1396">
        <v>308700</v>
      </c>
      <c r="C1041" s="1396"/>
      <c r="D1041" s="1396"/>
      <c r="E1041" s="854">
        <v>333903300000000</v>
      </c>
      <c r="F1041" s="855" t="s">
        <v>7957</v>
      </c>
      <c r="G1041" s="468">
        <v>20</v>
      </c>
      <c r="H1041" s="468">
        <v>0</v>
      </c>
      <c r="I1041" s="751"/>
      <c r="J1041" s="789">
        <f>('Parâmetros financeiros Despesa'!E889)</f>
        <v>0</v>
      </c>
      <c r="K1041" s="789">
        <f>('Parâmetros financeiros Despesa'!F889)*(1+'Parâmetros financeiros Despesa'!F$4)*(1+'Parâmetros financeiros Despesa'!F$7)</f>
        <v>1090.3315</v>
      </c>
      <c r="L1041" s="799">
        <f t="shared" si="128"/>
        <v>8.485688262824916E-4</v>
      </c>
      <c r="M1041" s="894"/>
      <c r="O1041" s="733"/>
    </row>
    <row r="1042" spans="1:15" s="115" customFormat="1" x14ac:dyDescent="0.25">
      <c r="A1042" s="396"/>
      <c r="B1042" s="1398" t="s">
        <v>7970</v>
      </c>
      <c r="C1042" s="1398"/>
      <c r="D1042" s="1398"/>
      <c r="E1042" s="854">
        <v>333903500000000</v>
      </c>
      <c r="F1042" s="855" t="s">
        <v>2190</v>
      </c>
      <c r="G1042" s="468">
        <v>20</v>
      </c>
      <c r="H1042" s="468">
        <v>0</v>
      </c>
      <c r="I1042" s="751"/>
      <c r="J1042" s="789">
        <f>('Parâmetros financeiros Despesa'!E890)</f>
        <v>0</v>
      </c>
      <c r="K1042" s="789">
        <f>('Parâmetros financeiros Despesa'!F890)*(1+'Parâmetros financeiros Despesa'!F$4)*(1+'Parâmetros financeiros Despesa'!F$7)</f>
        <v>1090.3315</v>
      </c>
      <c r="L1042" s="799">
        <f t="shared" si="128"/>
        <v>8.485688262824916E-4</v>
      </c>
      <c r="M1042" s="894"/>
      <c r="O1042" s="733"/>
    </row>
    <row r="1043" spans="1:15" s="115" customFormat="1" x14ac:dyDescent="0.25">
      <c r="A1043" s="396"/>
      <c r="B1043" s="1398" t="s">
        <v>7971</v>
      </c>
      <c r="C1043" s="1398"/>
      <c r="D1043" s="1398"/>
      <c r="E1043" s="854">
        <v>333903600000000</v>
      </c>
      <c r="F1043" s="855" t="s">
        <v>7958</v>
      </c>
      <c r="G1043" s="468">
        <v>20</v>
      </c>
      <c r="H1043" s="468">
        <v>0</v>
      </c>
      <c r="I1043" s="751"/>
      <c r="J1043" s="789">
        <f>('Parâmetros financeiros Despesa'!E891+'Parâmetros financeiros Despesa'!E892)</f>
        <v>19416</v>
      </c>
      <c r="K1043" s="789">
        <f>('Parâmetros financeiros Despesa'!F891+'Parâmetros financeiros Despesa'!F892)*(1+'Parâmetros financeiros Despesa'!F$4)*(1+'Parâmetros financeiros Despesa'!F$7)</f>
        <v>35614.588116000006</v>
      </c>
      <c r="L1043" s="799">
        <f t="shared" si="128"/>
        <v>2.771765214169131E-2</v>
      </c>
      <c r="M1043" s="894"/>
      <c r="O1043" s="733"/>
    </row>
    <row r="1044" spans="1:15" s="115" customFormat="1" x14ac:dyDescent="0.25">
      <c r="A1044" s="396"/>
      <c r="B1044" s="1398" t="s">
        <v>7972</v>
      </c>
      <c r="C1044" s="1398"/>
      <c r="D1044" s="1398"/>
      <c r="E1044" s="854">
        <v>333903900000000</v>
      </c>
      <c r="F1044" s="855" t="s">
        <v>7836</v>
      </c>
      <c r="G1044" s="468">
        <v>20</v>
      </c>
      <c r="H1044" s="468">
        <v>0</v>
      </c>
      <c r="I1044" s="751"/>
      <c r="J1044" s="789">
        <f>('Parâmetros financeiros Despesa'!E893)</f>
        <v>13336.380000000001</v>
      </c>
      <c r="K1044" s="789">
        <f>('Parâmetros financeiros Despesa'!F893)*(1+'Parâmetros financeiros Despesa'!F$4)*(1+'Parâmetros financeiros Despesa'!F$7)</f>
        <v>14541.07520997</v>
      </c>
      <c r="L1044" s="799">
        <f t="shared" si="128"/>
        <v>1.1316836323457296E-2</v>
      </c>
      <c r="M1044" s="894"/>
      <c r="O1044" s="733"/>
    </row>
    <row r="1045" spans="1:15" s="115" customFormat="1" x14ac:dyDescent="0.25">
      <c r="A1045" s="396"/>
      <c r="B1045" s="1398" t="s">
        <v>7973</v>
      </c>
      <c r="C1045" s="1398"/>
      <c r="D1045" s="1398"/>
      <c r="E1045" s="854">
        <v>333904700000000</v>
      </c>
      <c r="F1045" s="855" t="s">
        <v>990</v>
      </c>
      <c r="G1045" s="468">
        <v>20</v>
      </c>
      <c r="H1045" s="468">
        <v>0</v>
      </c>
      <c r="I1045" s="751"/>
      <c r="J1045" s="789">
        <f>(('Parâmetros financeiros Despesa'!E891))</f>
        <v>15000</v>
      </c>
      <c r="K1045" s="789">
        <f>(('Parâmetros financeiros Despesa'!F891)*(1+'Parâmetros financeiros Despesa'!F$4)*(1+'Parâmetros financeiros Despesa'!F$7))*('Parâmetros financeiros Despesa'!F$83)</f>
        <v>3270.9945000000002</v>
      </c>
      <c r="L1045" s="799">
        <f t="shared" si="128"/>
        <v>2.5457064788474751E-3</v>
      </c>
      <c r="M1045" s="894"/>
      <c r="O1045" s="733"/>
    </row>
    <row r="1046" spans="1:15" s="115" customFormat="1" x14ac:dyDescent="0.25">
      <c r="A1046" s="396"/>
      <c r="B1046" s="1398" t="s">
        <v>7974</v>
      </c>
      <c r="C1046" s="1398"/>
      <c r="D1046" s="1398"/>
      <c r="E1046" s="854">
        <v>333904900000000</v>
      </c>
      <c r="F1046" s="855" t="s">
        <v>7167</v>
      </c>
      <c r="G1046" s="468">
        <v>20</v>
      </c>
      <c r="H1046" s="468">
        <v>0</v>
      </c>
      <c r="I1046" s="751"/>
      <c r="J1046" s="789">
        <f>('Parâmetros financeiros Despesa'!E894+'Parâmetros financeiros Despesa'!E895)</f>
        <v>1552.59</v>
      </c>
      <c r="K1046" s="789">
        <f>('Parâmetros financeiros Despesa'!F894+'Parâmetros financeiros Despesa'!F895)*2+(('Parâmetros financeiros Despesa'!F894)*10)*(1+'Parâmetros financeiros Despesa'!F$4)*(1+'Parâmetros financeiros Despesa'!F$8)</f>
        <v>6861.1530583622207</v>
      </c>
      <c r="L1046" s="799">
        <f t="shared" si="128"/>
        <v>5.3398077535859118E-3</v>
      </c>
      <c r="M1046" s="894"/>
      <c r="O1046" s="733"/>
    </row>
    <row r="1047" spans="1:15" s="115" customFormat="1" x14ac:dyDescent="0.25">
      <c r="A1047" s="396"/>
      <c r="B1047" s="1398" t="s">
        <v>7975</v>
      </c>
      <c r="C1047" s="1398"/>
      <c r="D1047" s="1398"/>
      <c r="E1047" s="854">
        <v>333909300000000</v>
      </c>
      <c r="F1047" s="855" t="s">
        <v>5818</v>
      </c>
      <c r="G1047" s="468">
        <v>20</v>
      </c>
      <c r="H1047" s="468">
        <v>0</v>
      </c>
      <c r="I1047" s="751"/>
      <c r="J1047" s="789">
        <f>('Parâmetros financeiros Despesa'!E896)</f>
        <v>0</v>
      </c>
      <c r="K1047" s="789">
        <f>('Parâmetros financeiros Despesa'!F896)*(1+'Parâmetros financeiros Despesa'!F$4)*(1+'Parâmetros financeiros Despesa'!F$7)</f>
        <v>545.16575</v>
      </c>
      <c r="L1047" s="799">
        <f t="shared" si="128"/>
        <v>4.242844131412458E-4</v>
      </c>
      <c r="M1047" s="894"/>
      <c r="O1047" s="733"/>
    </row>
    <row r="1048" spans="1:15" s="115" customFormat="1" x14ac:dyDescent="0.25">
      <c r="A1048" s="396"/>
      <c r="B1048" s="1398" t="s">
        <v>7976</v>
      </c>
      <c r="C1048" s="1398"/>
      <c r="D1048" s="1398"/>
      <c r="E1048" s="854">
        <v>333933000000000</v>
      </c>
      <c r="F1048" s="855" t="s">
        <v>7066</v>
      </c>
      <c r="G1048" s="468">
        <v>20</v>
      </c>
      <c r="H1048" s="468">
        <v>0</v>
      </c>
      <c r="I1048" s="751"/>
      <c r="J1048" s="789">
        <f>('Parâmetros financeiros Despesa'!E897)</f>
        <v>2476.4700000000003</v>
      </c>
      <c r="K1048" s="789">
        <f>('Parâmetros financeiros Despesa'!F897)*(1+'Parâmetros financeiros Despesa'!F$4)*(1+'Parâmetros financeiros Despesa'!F$7)</f>
        <v>2700.1732498050001</v>
      </c>
      <c r="L1048" s="799">
        <f t="shared" si="128"/>
        <v>2.1014552412238021E-3</v>
      </c>
      <c r="M1048" s="894"/>
      <c r="O1048" s="733"/>
    </row>
    <row r="1049" spans="1:15" s="457" customFormat="1" x14ac:dyDescent="0.25">
      <c r="A1049" s="396"/>
      <c r="B1049" s="1398" t="s">
        <v>7982</v>
      </c>
      <c r="C1049" s="1398"/>
      <c r="D1049" s="1398"/>
      <c r="E1049" s="854">
        <v>344905200000000</v>
      </c>
      <c r="F1049" s="855" t="s">
        <v>7983</v>
      </c>
      <c r="G1049" s="468">
        <v>20</v>
      </c>
      <c r="H1049" s="468">
        <v>0</v>
      </c>
      <c r="I1049" s="751"/>
      <c r="J1049" s="789">
        <f>('Parâmetros financeiros Despesa'!E898)</f>
        <v>33872.985000000001</v>
      </c>
      <c r="K1049" s="789">
        <f>('Parâmetros financeiros Despesa'!F898)*(1+'Parâmetros financeiros Despesa'!F$4)*(1+'Parâmetros financeiros Despesa'!F$7)</f>
        <v>5451.6575000000003</v>
      </c>
      <c r="L1049" s="799">
        <f t="shared" si="128"/>
        <v>4.2428441314124581E-3</v>
      </c>
      <c r="M1049" s="895"/>
      <c r="O1049" s="734"/>
    </row>
    <row r="1050" spans="1:15" x14ac:dyDescent="0.25">
      <c r="A1050" s="397"/>
      <c r="B1050" s="1385" t="s">
        <v>7984</v>
      </c>
      <c r="C1050" s="1385"/>
      <c r="D1050" s="1385"/>
      <c r="E1050" s="1385"/>
      <c r="F1050" s="1385"/>
      <c r="G1050" s="401"/>
      <c r="H1050" s="401"/>
      <c r="I1050" s="426"/>
      <c r="J1050" s="402">
        <f t="shared" ref="J1050:K1052" si="129">J1051</f>
        <v>171640.67376250002</v>
      </c>
      <c r="K1050" s="402">
        <f t="shared" si="129"/>
        <v>228362.74659925071</v>
      </c>
      <c r="L1050" s="451">
        <f>K1050/K$1074</f>
        <v>0.17772714798056574</v>
      </c>
    </row>
    <row r="1051" spans="1:15" x14ac:dyDescent="0.25">
      <c r="A1051" s="396"/>
      <c r="B1051" s="1386" t="s">
        <v>7996</v>
      </c>
      <c r="C1051" s="1386"/>
      <c r="D1051" s="1386"/>
      <c r="E1051" s="1386"/>
      <c r="F1051" s="1386"/>
      <c r="G1051" s="403"/>
      <c r="H1051" s="403"/>
      <c r="I1051" s="427"/>
      <c r="J1051" s="404">
        <f t="shared" si="129"/>
        <v>171640.67376250002</v>
      </c>
      <c r="K1051" s="404">
        <f t="shared" si="129"/>
        <v>228362.74659925071</v>
      </c>
      <c r="L1051" s="452">
        <f>K1051/K$1074</f>
        <v>0.17772714798056574</v>
      </c>
    </row>
    <row r="1052" spans="1:15" x14ac:dyDescent="0.25">
      <c r="A1052" s="396"/>
      <c r="B1052" s="1382" t="s">
        <v>7914</v>
      </c>
      <c r="C1052" s="1382"/>
      <c r="D1052" s="1382"/>
      <c r="E1052" s="1382"/>
      <c r="F1052" s="1382"/>
      <c r="G1052" s="405"/>
      <c r="H1052" s="405"/>
      <c r="I1052" s="428"/>
      <c r="J1052" s="406">
        <f t="shared" si="129"/>
        <v>171640.67376250002</v>
      </c>
      <c r="K1052" s="406">
        <f t="shared" si="129"/>
        <v>228362.74659925071</v>
      </c>
      <c r="L1052" s="453">
        <f>K1052/K$1074</f>
        <v>0.17772714798056574</v>
      </c>
    </row>
    <row r="1053" spans="1:15" x14ac:dyDescent="0.25">
      <c r="A1053" s="396"/>
      <c r="B1053" s="1383" t="s">
        <v>7298</v>
      </c>
      <c r="C1053" s="1383"/>
      <c r="D1053" s="1383"/>
      <c r="E1053" s="1383"/>
      <c r="F1053" s="1383"/>
      <c r="G1053" s="407"/>
      <c r="H1053" s="407"/>
      <c r="I1053" s="429"/>
      <c r="J1053" s="408">
        <f>SUM(J1054:J1069)-0.02</f>
        <v>171640.67376250002</v>
      </c>
      <c r="K1053" s="408">
        <f>SUM(K1054:K1069)+0.01</f>
        <v>228362.74659925071</v>
      </c>
      <c r="L1053" s="454">
        <f>K1053/K$1074</f>
        <v>0.17772714798056574</v>
      </c>
    </row>
    <row r="1054" spans="1:15" s="115" customFormat="1" x14ac:dyDescent="0.25">
      <c r="A1054" s="396"/>
      <c r="B1054" s="1398" t="s">
        <v>7998</v>
      </c>
      <c r="C1054" s="1398"/>
      <c r="D1054" s="1398"/>
      <c r="E1054" s="854">
        <v>331900400000000</v>
      </c>
      <c r="F1054" s="855" t="s">
        <v>5851</v>
      </c>
      <c r="G1054" s="468">
        <v>20</v>
      </c>
      <c r="H1054" s="468">
        <v>0</v>
      </c>
      <c r="I1054" s="751"/>
      <c r="J1054" s="789">
        <f>(('Parâmetros financeiros Despesa'!E900))</f>
        <v>9212.5129625000009</v>
      </c>
      <c r="K1054" s="789">
        <f>(('Parâmetros financeiros Despesa'!F900)*2.05+(('Parâmetros financeiros Despesa'!F900)*11.28)*(1+'Parâmetros financeiros Despesa'!F$4)*(1+'Parâmetros financeiros Despesa'!F$8))*(1+'Parâmetros financeiros Despesa'!F$80)</f>
        <v>13264.96696677129</v>
      </c>
      <c r="L1054" s="799">
        <f>K1054/K$1074</f>
        <v>1.0323683622521349E-2</v>
      </c>
      <c r="M1054" s="894"/>
      <c r="O1054" s="733"/>
    </row>
    <row r="1055" spans="1:15" s="1018" customFormat="1" x14ac:dyDescent="0.25">
      <c r="A1055" s="859"/>
      <c r="B1055" s="1004"/>
      <c r="C1055" s="1004"/>
      <c r="D1055" s="1004" t="s">
        <v>11576</v>
      </c>
      <c r="E1055" s="854">
        <v>331900800000000</v>
      </c>
      <c r="F1055" s="855" t="s">
        <v>11589</v>
      </c>
      <c r="G1055" s="468">
        <v>1</v>
      </c>
      <c r="H1055" s="468">
        <v>0</v>
      </c>
      <c r="I1055" s="751"/>
      <c r="J1055" s="789">
        <f>(('Parâmetros financeiros Despesa'!E901))</f>
        <v>1654.7862</v>
      </c>
      <c r="K1055" s="789">
        <f>(('Parâmetros financeiros Despesa'!F901)*2.05+(('Parâmetros financeiros Despesa'!F901)*11.28)*(1+'Parâmetros financeiros Despesa'!F$4)*(1+'Parâmetros financeiros Despesa'!F$8))</f>
        <v>1732.4768057461733</v>
      </c>
      <c r="L1055" s="799">
        <f t="shared" ref="L1055:L1068" si="130">K1055/K$1074</f>
        <v>1.3483292096153055E-3</v>
      </c>
      <c r="M1055" s="883"/>
      <c r="O1055" s="1019"/>
    </row>
    <row r="1056" spans="1:15" s="115" customFormat="1" x14ac:dyDescent="0.25">
      <c r="A1056" s="396"/>
      <c r="B1056" s="1398" t="s">
        <v>7999</v>
      </c>
      <c r="C1056" s="1398"/>
      <c r="D1056" s="1398"/>
      <c r="E1056" s="854">
        <v>331901100000000</v>
      </c>
      <c r="F1056" s="855" t="s">
        <v>7997</v>
      </c>
      <c r="G1056" s="468">
        <v>20</v>
      </c>
      <c r="H1056" s="468">
        <v>0</v>
      </c>
      <c r="I1056" s="751"/>
      <c r="J1056" s="789">
        <f>('Parâmetros financeiros Despesa'!E902)</f>
        <v>63212.459600000002</v>
      </c>
      <c r="K1056" s="789">
        <f>('Parâmetros financeiros Despesa'!F902)*2.05+(('Parâmetros financeiros Despesa'!F902)*11.28)*(1+'Parâmetros financeiros Despesa'!F$4)*(1+'Parâmetros financeiros Despesa'!F$8)</f>
        <v>73515.197956048985</v>
      </c>
      <c r="L1056" s="799">
        <f t="shared" si="130"/>
        <v>5.7214439134785626E-2</v>
      </c>
      <c r="M1056" s="894"/>
      <c r="O1056" s="733"/>
    </row>
    <row r="1057" spans="1:15" s="115" customFormat="1" x14ac:dyDescent="0.25">
      <c r="A1057" s="396"/>
      <c r="B1057" s="1398" t="s">
        <v>8000</v>
      </c>
      <c r="C1057" s="1398"/>
      <c r="D1057" s="1398"/>
      <c r="E1057" s="854">
        <v>331901300000000</v>
      </c>
      <c r="F1057" s="855" t="s">
        <v>5735</v>
      </c>
      <c r="G1057" s="468">
        <v>20</v>
      </c>
      <c r="H1057" s="468">
        <v>0</v>
      </c>
      <c r="I1057" s="751"/>
      <c r="J1057" s="789">
        <f>'Parâmetros financeiros Despesa'!E884</f>
        <v>0</v>
      </c>
      <c r="K1057" s="789">
        <f>(K1058+K1056)*'Parâmetros financeiros Despesa'!F80</f>
        <v>22786.097607281034</v>
      </c>
      <c r="L1057" s="799">
        <f t="shared" si="130"/>
        <v>1.773366366299493E-2</v>
      </c>
      <c r="M1057" s="894"/>
      <c r="O1057" s="733"/>
    </row>
    <row r="1058" spans="1:15" s="115" customFormat="1" x14ac:dyDescent="0.25">
      <c r="A1058" s="396"/>
      <c r="B1058" s="1398" t="s">
        <v>8001</v>
      </c>
      <c r="C1058" s="1398"/>
      <c r="D1058" s="1398"/>
      <c r="E1058" s="854">
        <v>331901600000000</v>
      </c>
      <c r="F1058" s="855" t="s">
        <v>5736</v>
      </c>
      <c r="G1058" s="468">
        <v>20</v>
      </c>
      <c r="H1058" s="468">
        <v>0</v>
      </c>
      <c r="I1058" s="751"/>
      <c r="J1058" s="789">
        <f>('Parâmetros financeiros Despesa'!E904)</f>
        <v>19077.54</v>
      </c>
      <c r="K1058" s="789">
        <f>('Parâmetros financeiros Despesa'!F904)*2.05+(('Parâmetros financeiros Despesa'!F904)*11.28)*(1+'Parâmetros financeiros Despesa'!F$4)*(1+'Parâmetros financeiros Despesa'!F$8)</f>
        <v>22186.909645490879</v>
      </c>
      <c r="L1058" s="799">
        <f t="shared" si="130"/>
        <v>1.7267335555021468E-2</v>
      </c>
      <c r="M1058" s="894"/>
      <c r="O1058" s="733"/>
    </row>
    <row r="1059" spans="1:15" s="115" customFormat="1" x14ac:dyDescent="0.25">
      <c r="A1059" s="396"/>
      <c r="B1059" s="1398" t="s">
        <v>8002</v>
      </c>
      <c r="C1059" s="1398"/>
      <c r="D1059" s="1398"/>
      <c r="E1059" s="854">
        <v>333901400000000</v>
      </c>
      <c r="F1059" s="855" t="s">
        <v>7947</v>
      </c>
      <c r="G1059" s="468">
        <v>20</v>
      </c>
      <c r="H1059" s="468">
        <v>0</v>
      </c>
      <c r="I1059" s="751"/>
      <c r="J1059" s="789">
        <f>('Parâmetros financeiros Despesa'!E905)</f>
        <v>1375.35</v>
      </c>
      <c r="K1059" s="789">
        <f>('Parâmetros financeiros Despesa'!F905)*2+(('Parâmetros financeiros Despesa'!F905)*10)*(1+'Parâmetros financeiros Despesa'!F$4)*(1+'Parâmetros financeiros Despesa'!F$8)</f>
        <v>1438.9386569890441</v>
      </c>
      <c r="L1059" s="799">
        <f t="shared" si="130"/>
        <v>1.1198782088325413E-3</v>
      </c>
      <c r="M1059" s="894"/>
      <c r="O1059" s="733"/>
    </row>
    <row r="1060" spans="1:15" s="115" customFormat="1" x14ac:dyDescent="0.25">
      <c r="A1060" s="396"/>
      <c r="B1060" s="1396">
        <v>310500</v>
      </c>
      <c r="C1060" s="1396"/>
      <c r="D1060" s="1396"/>
      <c r="E1060" s="854">
        <v>333903000000000</v>
      </c>
      <c r="F1060" s="855" t="s">
        <v>7940</v>
      </c>
      <c r="G1060" s="468">
        <v>20</v>
      </c>
      <c r="H1060" s="468">
        <v>0</v>
      </c>
      <c r="I1060" s="751"/>
      <c r="J1060" s="789">
        <f>('Parâmetros financeiros Despesa'!E906)</f>
        <v>139.5</v>
      </c>
      <c r="K1060" s="789">
        <f>('Parâmetros financeiros Despesa'!F906)*(1+'Parâmetros financeiros Despesa'!F$4)*(1+'Parâmetros financeiros Despesa'!F$7)</f>
        <v>152.10124425000001</v>
      </c>
      <c r="L1060" s="799">
        <f t="shared" si="130"/>
        <v>1.1837535126640759E-4</v>
      </c>
      <c r="M1060" s="894"/>
      <c r="O1060" s="733"/>
    </row>
    <row r="1061" spans="1:15" s="115" customFormat="1" x14ac:dyDescent="0.25">
      <c r="A1061" s="396"/>
      <c r="B1061" s="1396">
        <v>310600</v>
      </c>
      <c r="C1061" s="1396"/>
      <c r="D1061" s="1396"/>
      <c r="E1061" s="854">
        <v>333903300000000</v>
      </c>
      <c r="F1061" s="855" t="s">
        <v>7957</v>
      </c>
      <c r="G1061" s="468">
        <v>20</v>
      </c>
      <c r="H1061" s="468">
        <v>0</v>
      </c>
      <c r="I1061" s="751"/>
      <c r="J1061" s="789">
        <f>('Parâmetros financeiros Despesa'!E907)</f>
        <v>166.95</v>
      </c>
      <c r="K1061" s="789">
        <f>('Parâmetros financeiros Despesa'!F907)*(1+'Parâmetros financeiros Despesa'!F$4)*(1+'Parâmetros financeiros Despesa'!F$7)</f>
        <v>182.03084392499997</v>
      </c>
      <c r="L1061" s="799">
        <f t="shared" si="130"/>
        <v>1.4166856554786195E-4</v>
      </c>
      <c r="M1061" s="894"/>
      <c r="O1061" s="733"/>
    </row>
    <row r="1062" spans="1:15" s="115" customFormat="1" x14ac:dyDescent="0.25">
      <c r="A1062" s="396"/>
      <c r="B1062" s="1398" t="s">
        <v>8010</v>
      </c>
      <c r="C1062" s="1398"/>
      <c r="D1062" s="1398"/>
      <c r="E1062" s="854">
        <v>333903600000000</v>
      </c>
      <c r="F1062" s="855" t="s">
        <v>7958</v>
      </c>
      <c r="G1062" s="468">
        <v>20</v>
      </c>
      <c r="H1062" s="468">
        <v>0</v>
      </c>
      <c r="I1062" s="751"/>
      <c r="J1062" s="789">
        <f>('Parâmetros financeiros Despesa'!E908)</f>
        <v>0</v>
      </c>
      <c r="K1062" s="789">
        <f>('Parâmetros financeiros Despesa'!F908)*(1+'Parâmetros financeiros Despesa'!F$4)*(1+'Parâmetros financeiros Despesa'!F$7)</f>
        <v>1090.3315</v>
      </c>
      <c r="L1062" s="799">
        <f t="shared" si="130"/>
        <v>8.485688262824916E-4</v>
      </c>
      <c r="M1062" s="894"/>
      <c r="O1062" s="733"/>
    </row>
    <row r="1063" spans="1:15" s="115" customFormat="1" x14ac:dyDescent="0.25">
      <c r="A1063" s="396"/>
      <c r="B1063" s="1398" t="s">
        <v>8003</v>
      </c>
      <c r="C1063" s="1398"/>
      <c r="D1063" s="1398"/>
      <c r="E1063" s="854">
        <v>333903900000000</v>
      </c>
      <c r="F1063" s="855" t="s">
        <v>7836</v>
      </c>
      <c r="G1063" s="468">
        <v>20</v>
      </c>
      <c r="H1063" s="468">
        <v>0</v>
      </c>
      <c r="I1063" s="751"/>
      <c r="J1063" s="789">
        <f>('Parâmetros financeiros Despesa'!E909)</f>
        <v>9984.24</v>
      </c>
      <c r="K1063" s="789">
        <f>('Parâmetros financeiros Despesa'!F909)*(1+'Parâmetros financeiros Despesa'!F$4)*(1+'Parâmetros financeiros Despesa'!F$7)</f>
        <v>10886.13137556</v>
      </c>
      <c r="L1063" s="799">
        <f t="shared" si="130"/>
        <v>8.4723148181227049E-3</v>
      </c>
      <c r="M1063" s="894"/>
      <c r="O1063" s="733"/>
    </row>
    <row r="1064" spans="1:15" s="115" customFormat="1" x14ac:dyDescent="0.25">
      <c r="A1064" s="396"/>
      <c r="B1064" s="1004"/>
      <c r="C1064" s="1004"/>
      <c r="D1064" s="1004" t="s">
        <v>11553</v>
      </c>
      <c r="E1064" s="854">
        <v>333903900000000</v>
      </c>
      <c r="F1064" s="855" t="s">
        <v>11552</v>
      </c>
      <c r="G1064" s="468">
        <v>20</v>
      </c>
      <c r="H1064" s="468">
        <v>0</v>
      </c>
      <c r="I1064" s="751"/>
      <c r="J1064" s="789">
        <f>('Parâmetros financeiros Despesa'!E910)</f>
        <v>62978.450000000004</v>
      </c>
      <c r="K1064" s="789">
        <f>('Parâmetros financeiros Despesa'!F910)*(1+'Parâmetros financeiros Despesa'!F$4)*(1+'Parâmetros financeiros Despesa'!F$7)+'Parâmetros financeiros Despesa'!F916</f>
        <v>74221.014288370003</v>
      </c>
      <c r="L1064" s="799">
        <f t="shared" si="130"/>
        <v>5.7763752565323644E-2</v>
      </c>
      <c r="M1064" s="894"/>
      <c r="O1064" s="733"/>
    </row>
    <row r="1065" spans="1:15" s="115" customFormat="1" x14ac:dyDescent="0.25">
      <c r="A1065" s="396"/>
      <c r="B1065" s="1398" t="s">
        <v>8004</v>
      </c>
      <c r="C1065" s="1398"/>
      <c r="D1065" s="1398"/>
      <c r="E1065" s="854">
        <v>333904700000000</v>
      </c>
      <c r="F1065" s="855" t="s">
        <v>990</v>
      </c>
      <c r="G1065" s="468">
        <v>20</v>
      </c>
      <c r="H1065" s="468">
        <v>0</v>
      </c>
      <c r="I1065" s="751"/>
      <c r="J1065" s="789">
        <f>(('Parâmetros financeiros Despesa'!E908))</f>
        <v>0</v>
      </c>
      <c r="K1065" s="789">
        <f>(('Parâmetros financeiros Despesa'!F908)*(1+'Parâmetros financeiros Despesa'!F$4)*(1+'Parâmetros financeiros Despesa'!F$7))*('Parâmetros financeiros Despesa'!F$83)</f>
        <v>218.06630000000001</v>
      </c>
      <c r="L1065" s="799">
        <f t="shared" si="130"/>
        <v>1.6971376525649833E-4</v>
      </c>
      <c r="M1065" s="894"/>
      <c r="O1065" s="733"/>
    </row>
    <row r="1066" spans="1:15" s="115" customFormat="1" x14ac:dyDescent="0.25">
      <c r="A1066" s="396"/>
      <c r="B1066" s="1398" t="s">
        <v>8005</v>
      </c>
      <c r="C1066" s="1398"/>
      <c r="D1066" s="1398"/>
      <c r="E1066" s="854">
        <v>333904900000000</v>
      </c>
      <c r="F1066" s="855" t="s">
        <v>7167</v>
      </c>
      <c r="G1066" s="468">
        <v>20</v>
      </c>
      <c r="H1066" s="468">
        <v>0</v>
      </c>
      <c r="I1066" s="751"/>
      <c r="J1066" s="789">
        <f>('Parâmetros financeiros Despesa'!E912+'Parâmetros financeiros Despesa'!E911)</f>
        <v>3787.5299999999997</v>
      </c>
      <c r="K1066" s="789">
        <f>('Parâmetros financeiros Despesa'!F912+'Parâmetros financeiros Despesa'!F911)*2+(('Parâmetros financeiros Despesa'!F912+'Parâmetros financeiros Despesa'!F911)*10)*(1+'Parâmetros financeiros Despesa'!F$4)*(1+'Parâmetros financeiros Despesa'!F$8)</f>
        <v>3962.6446588182757</v>
      </c>
      <c r="L1066" s="799">
        <f t="shared" si="130"/>
        <v>3.0839948466205081E-3</v>
      </c>
      <c r="M1066" s="894"/>
      <c r="O1066" s="733"/>
    </row>
    <row r="1067" spans="1:15" s="115" customFormat="1" x14ac:dyDescent="0.25">
      <c r="A1067" s="396"/>
      <c r="B1067" s="1398" t="s">
        <v>8006</v>
      </c>
      <c r="C1067" s="1398"/>
      <c r="D1067" s="1398"/>
      <c r="E1067" s="854">
        <v>333909300000000</v>
      </c>
      <c r="F1067" s="855" t="s">
        <v>5818</v>
      </c>
      <c r="G1067" s="468">
        <v>20</v>
      </c>
      <c r="H1067" s="468">
        <v>0</v>
      </c>
      <c r="I1067" s="751"/>
      <c r="J1067" s="789">
        <f>('Parâmetros financeiros Despesa'!E913)</f>
        <v>51.375</v>
      </c>
      <c r="K1067" s="789">
        <f>('Parâmetros financeiros Despesa'!F913)*(1+'Parâmetros financeiros Despesa'!F$4)*(1+'Parâmetros financeiros Despesa'!F$7)</f>
        <v>545.16575</v>
      </c>
      <c r="L1067" s="799">
        <f t="shared" si="130"/>
        <v>4.242844131412458E-4</v>
      </c>
      <c r="M1067" s="894"/>
      <c r="O1067" s="733"/>
    </row>
    <row r="1068" spans="1:15" s="115" customFormat="1" x14ac:dyDescent="0.25">
      <c r="A1068" s="396"/>
      <c r="B1068" s="1398" t="s">
        <v>8007</v>
      </c>
      <c r="C1068" s="1398"/>
      <c r="D1068" s="1398"/>
      <c r="E1068" s="854">
        <v>333933000000000</v>
      </c>
      <c r="F1068" s="855" t="s">
        <v>7066</v>
      </c>
      <c r="G1068" s="468">
        <v>20</v>
      </c>
      <c r="H1068" s="468">
        <v>0</v>
      </c>
      <c r="I1068" s="751"/>
      <c r="J1068" s="789">
        <f>('Parâmetros financeiros Despesa'!E914)</f>
        <v>0</v>
      </c>
      <c r="K1068" s="789">
        <f>('Parâmetros financeiros Despesa'!F914)*(1+'Parâmetros financeiros Despesa'!F$4)*(1+'Parâmetros financeiros Despesa'!F$7)</f>
        <v>1090.3315</v>
      </c>
      <c r="L1068" s="799">
        <f t="shared" si="130"/>
        <v>8.485688262824916E-4</v>
      </c>
      <c r="M1068" s="894"/>
      <c r="O1068" s="733"/>
    </row>
    <row r="1069" spans="1:15" s="115" customFormat="1" x14ac:dyDescent="0.25">
      <c r="A1069" s="396"/>
      <c r="B1069" s="1398" t="s">
        <v>8008</v>
      </c>
      <c r="C1069" s="1398"/>
      <c r="D1069" s="1398"/>
      <c r="E1069" s="854">
        <v>344905200000000</v>
      </c>
      <c r="F1069" s="855" t="s">
        <v>8009</v>
      </c>
      <c r="G1069" s="468">
        <v>20</v>
      </c>
      <c r="H1069" s="468">
        <v>0</v>
      </c>
      <c r="I1069" s="751"/>
      <c r="J1069" s="789">
        <f>('Parâmetros financeiros Despesa'!E915)</f>
        <v>0</v>
      </c>
      <c r="K1069" s="789">
        <f>('Parâmetros financeiros Despesa'!F915)*(1+'Parâmetros financeiros Despesa'!F$4)*(1+'Parâmetros financeiros Despesa'!F$7)</f>
        <v>1090.3315</v>
      </c>
      <c r="L1069" s="799">
        <f>K1069/K$1074</f>
        <v>8.485688262824916E-4</v>
      </c>
      <c r="M1069" s="894"/>
      <c r="O1069" s="733"/>
    </row>
    <row r="1070" spans="1:15" x14ac:dyDescent="0.25">
      <c r="B1070" s="864" t="s">
        <v>22</v>
      </c>
      <c r="C1070" s="864"/>
      <c r="D1070" s="864"/>
      <c r="E1070" s="864"/>
      <c r="F1070" s="864"/>
      <c r="G1070" s="864"/>
      <c r="H1070" s="864"/>
      <c r="I1070" s="864"/>
      <c r="J1070" s="863">
        <f>J1051+J1030+J1022+J999+J981+J961+J952+J944+J936</f>
        <v>990909.69519564544</v>
      </c>
      <c r="K1070" s="863">
        <f>K1051+K1030+K1022+K999+K981+K961+K952+K944+K936+K1007</f>
        <v>1284906.3814618906</v>
      </c>
      <c r="L1070" s="452">
        <f>K1070/K$1074</f>
        <v>1</v>
      </c>
    </row>
    <row r="1071" spans="1:15" x14ac:dyDescent="0.25">
      <c r="B1071" s="864" t="s">
        <v>11469</v>
      </c>
      <c r="C1071" s="864"/>
      <c r="D1071" s="864"/>
      <c r="E1071" s="864"/>
      <c r="F1071" s="864"/>
      <c r="G1071" s="864"/>
      <c r="H1071" s="864"/>
      <c r="I1071" s="864"/>
      <c r="J1071" s="863"/>
      <c r="K1071" s="863"/>
      <c r="L1071" s="452"/>
    </row>
    <row r="1072" spans="1:15" s="31" customFormat="1" x14ac:dyDescent="0.25">
      <c r="B1072" s="869" t="s">
        <v>11568</v>
      </c>
      <c r="C1072" s="869"/>
      <c r="D1072" s="869"/>
      <c r="E1072" s="869"/>
      <c r="F1072" s="869"/>
      <c r="G1072" s="869"/>
      <c r="H1072" s="869"/>
      <c r="I1072" s="869"/>
      <c r="J1072" s="870">
        <f>J1055+J1034+J985+J965</f>
        <v>49289.941099999996</v>
      </c>
      <c r="K1072" s="870">
        <f>K1055+K1034+K985+K965</f>
        <v>51604.055987622472</v>
      </c>
      <c r="L1072" s="871">
        <f>K1072/K$1074</f>
        <v>4.0161724412101078E-2</v>
      </c>
      <c r="M1072" s="897"/>
      <c r="O1072" s="736"/>
    </row>
    <row r="1073" spans="1:15" s="31" customFormat="1" x14ac:dyDescent="0.25">
      <c r="B1073" s="869" t="s">
        <v>753</v>
      </c>
      <c r="C1073" s="869"/>
      <c r="D1073" s="869"/>
      <c r="E1073" s="869"/>
      <c r="F1073" s="869"/>
      <c r="G1073" s="869"/>
      <c r="H1073" s="869"/>
      <c r="I1073" s="869"/>
      <c r="J1073" s="870">
        <f>J1070-J1072</f>
        <v>941619.75409564539</v>
      </c>
      <c r="K1073" s="870">
        <f>K1070-K1072-0.01</f>
        <v>1233302.3154742683</v>
      </c>
      <c r="L1073" s="871">
        <f>K1073/K$1074</f>
        <v>0.95983826780523085</v>
      </c>
      <c r="M1073" s="897"/>
      <c r="O1073" s="736"/>
    </row>
    <row r="1074" spans="1:15" s="115" customFormat="1" x14ac:dyDescent="0.25">
      <c r="B1074" s="864" t="s">
        <v>2172</v>
      </c>
      <c r="C1074" s="864"/>
      <c r="D1074" s="864"/>
      <c r="E1074" s="864"/>
      <c r="F1074" s="864"/>
      <c r="G1074" s="864"/>
      <c r="H1074" s="864"/>
      <c r="I1074" s="864"/>
      <c r="J1074" s="863">
        <f>SUM(J1073:J1073)</f>
        <v>941619.75409564539</v>
      </c>
      <c r="K1074" s="863">
        <f>SUM(K1072:K1073)+0.01</f>
        <v>1284906.3814618906</v>
      </c>
      <c r="L1074" s="452">
        <f>K1074/K$1074</f>
        <v>1</v>
      </c>
      <c r="M1074" s="894"/>
      <c r="O1074" s="733"/>
    </row>
    <row r="1076" spans="1:15" s="435" customFormat="1" ht="15.75" x14ac:dyDescent="0.25">
      <c r="B1076" s="999" t="s">
        <v>989</v>
      </c>
      <c r="C1076" s="999"/>
      <c r="D1076" s="481"/>
      <c r="E1076" s="1371" t="s">
        <v>7911</v>
      </c>
      <c r="F1076" s="1371"/>
      <c r="G1076" s="1371"/>
      <c r="H1076" s="1371"/>
      <c r="I1076" s="1371"/>
      <c r="J1076" s="940"/>
      <c r="K1076" s="807"/>
      <c r="L1076" s="449"/>
      <c r="M1076" s="892"/>
      <c r="O1076" s="732"/>
    </row>
    <row r="1077" spans="1:15" s="435" customFormat="1" ht="18" customHeight="1" x14ac:dyDescent="0.25">
      <c r="B1077" s="999" t="s">
        <v>458</v>
      </c>
      <c r="C1077" s="999"/>
      <c r="D1077" s="481"/>
      <c r="E1077" s="1371" t="s">
        <v>8011</v>
      </c>
      <c r="F1077" s="1371"/>
      <c r="G1077" s="1371"/>
      <c r="H1077" s="1371"/>
      <c r="I1077" s="1371"/>
      <c r="J1077" s="940"/>
      <c r="K1077" s="438"/>
      <c r="L1077" s="449"/>
      <c r="M1077" s="892"/>
      <c r="O1077" s="732"/>
    </row>
    <row r="1078" spans="1:15" s="435" customFormat="1" ht="15.75" x14ac:dyDescent="0.25">
      <c r="B1078" s="1005" t="s">
        <v>5764</v>
      </c>
      <c r="C1078" s="1005"/>
      <c r="D1078" s="1005"/>
      <c r="E1078" s="1371" t="s">
        <v>749</v>
      </c>
      <c r="F1078" s="1371"/>
      <c r="G1078" s="1371"/>
      <c r="H1078" s="1371"/>
      <c r="I1078" s="1371"/>
      <c r="J1078" s="941"/>
      <c r="K1078" s="438"/>
      <c r="L1078" s="449"/>
      <c r="M1078" s="892"/>
      <c r="O1078" s="732"/>
    </row>
    <row r="1079" spans="1:15" ht="88.5" x14ac:dyDescent="0.25">
      <c r="A1079" s="396"/>
      <c r="B1079" s="1400" t="s">
        <v>2296</v>
      </c>
      <c r="C1079" s="1400"/>
      <c r="D1079" s="1400"/>
      <c r="E1079" s="1384" t="s">
        <v>2297</v>
      </c>
      <c r="F1079" s="1384"/>
      <c r="G1079" s="443" t="s">
        <v>444</v>
      </c>
      <c r="H1079" s="443" t="s">
        <v>2245</v>
      </c>
      <c r="I1079" s="444" t="s">
        <v>5725</v>
      </c>
      <c r="J1079" s="893" t="s">
        <v>11644</v>
      </c>
      <c r="K1079" s="1000" t="s">
        <v>11522</v>
      </c>
      <c r="L1079" s="450" t="s">
        <v>235</v>
      </c>
    </row>
    <row r="1080" spans="1:15" x14ac:dyDescent="0.25">
      <c r="B1080" s="1385" t="s">
        <v>7913</v>
      </c>
      <c r="C1080" s="1385"/>
      <c r="D1080" s="1385"/>
      <c r="E1080" s="1385"/>
      <c r="F1080" s="1385"/>
      <c r="G1080" s="401"/>
      <c r="H1080" s="401"/>
      <c r="I1080" s="426"/>
      <c r="J1080" s="402">
        <f t="shared" ref="J1080:K1082" si="131">J1081</f>
        <v>51223.765000000007</v>
      </c>
      <c r="K1080" s="402">
        <f t="shared" si="131"/>
        <v>56505.082524782505</v>
      </c>
      <c r="L1080" s="451">
        <f t="shared" ref="L1080:L1122" si="132">K1080/K$1262</f>
        <v>1.8965979005167694E-2</v>
      </c>
    </row>
    <row r="1081" spans="1:15" x14ac:dyDescent="0.25">
      <c r="B1081" s="1386" t="s">
        <v>7915</v>
      </c>
      <c r="C1081" s="1386"/>
      <c r="D1081" s="1386"/>
      <c r="E1081" s="1386"/>
      <c r="F1081" s="1386"/>
      <c r="G1081" s="403"/>
      <c r="H1081" s="403"/>
      <c r="I1081" s="427"/>
      <c r="J1081" s="404">
        <f t="shared" si="131"/>
        <v>51223.765000000007</v>
      </c>
      <c r="K1081" s="404">
        <f t="shared" si="131"/>
        <v>56505.082524782505</v>
      </c>
      <c r="L1081" s="452">
        <f t="shared" si="132"/>
        <v>1.8965979005167694E-2</v>
      </c>
    </row>
    <row r="1082" spans="1:15" x14ac:dyDescent="0.25">
      <c r="B1082" s="1382" t="s">
        <v>7914</v>
      </c>
      <c r="C1082" s="1382"/>
      <c r="D1082" s="1382"/>
      <c r="E1082" s="1382"/>
      <c r="F1082" s="1382"/>
      <c r="G1082" s="405"/>
      <c r="H1082" s="405"/>
      <c r="I1082" s="428"/>
      <c r="J1082" s="406">
        <f t="shared" si="131"/>
        <v>51223.765000000007</v>
      </c>
      <c r="K1082" s="406">
        <f t="shared" si="131"/>
        <v>56505.082524782505</v>
      </c>
      <c r="L1082" s="453">
        <f t="shared" si="132"/>
        <v>1.8965979005167694E-2</v>
      </c>
    </row>
    <row r="1083" spans="1:15" x14ac:dyDescent="0.25">
      <c r="B1083" s="1383" t="s">
        <v>7927</v>
      </c>
      <c r="C1083" s="1383"/>
      <c r="D1083" s="1383"/>
      <c r="E1083" s="1383"/>
      <c r="F1083" s="1383"/>
      <c r="G1083" s="407"/>
      <c r="H1083" s="407"/>
      <c r="I1083" s="429"/>
      <c r="J1083" s="408">
        <f>SUM(J1084:J1088)+0.01</f>
        <v>51223.765000000007</v>
      </c>
      <c r="K1083" s="408">
        <f>SUM(K1084:K1088)+0.01</f>
        <v>56505.082524782505</v>
      </c>
      <c r="L1083" s="454">
        <f t="shared" si="132"/>
        <v>1.8965979005167694E-2</v>
      </c>
    </row>
    <row r="1084" spans="1:15" ht="30" x14ac:dyDescent="0.25">
      <c r="B1084" s="1396">
        <v>320000</v>
      </c>
      <c r="C1084" s="1396"/>
      <c r="D1084" s="1396"/>
      <c r="E1084" s="854">
        <v>333904700000000</v>
      </c>
      <c r="F1084" s="1017" t="s">
        <v>11610</v>
      </c>
      <c r="G1084" s="468">
        <v>31</v>
      </c>
      <c r="H1084" s="468">
        <v>0</v>
      </c>
      <c r="I1084" s="751"/>
      <c r="J1084" s="789">
        <f>(('Parâmetros financeiros Despesa'!E923))</f>
        <v>0</v>
      </c>
      <c r="K1084" s="789">
        <f>(('Parâmetros financeiros Despesa'!F923)*(1+'Parâmetros financeiros Despesa'!F$4)*(1+'Parâmetros financeiros Despesa'!F$7))*('Parâmetros financeiros Despesa'!F$83)</f>
        <v>109.03315000000001</v>
      </c>
      <c r="L1084" s="799">
        <f t="shared" si="132"/>
        <v>3.6597069526627682E-5</v>
      </c>
    </row>
    <row r="1085" spans="1:15" x14ac:dyDescent="0.25">
      <c r="B1085" s="1396">
        <v>320100</v>
      </c>
      <c r="C1085" s="1396"/>
      <c r="D1085" s="1396"/>
      <c r="E1085" s="854">
        <v>344903000000000</v>
      </c>
      <c r="F1085" s="855" t="s">
        <v>7924</v>
      </c>
      <c r="G1085" s="468">
        <v>31</v>
      </c>
      <c r="H1085" s="468">
        <v>0</v>
      </c>
      <c r="I1085" s="751"/>
      <c r="J1085" s="789">
        <f>('Parâmetros financeiros Despesa'!E922)</f>
        <v>4358.58</v>
      </c>
      <c r="K1085" s="789">
        <f>('Parâmetros financeiros Despesa'!F922)*(1+'Parâmetros financeiros Despesa'!F$4)*(1+'Parâmetros financeiros Despesa'!F$7)</f>
        <v>4752.2970692700001</v>
      </c>
      <c r="L1085" s="799">
        <f t="shared" si="132"/>
        <v>1.5951125529736886E-3</v>
      </c>
    </row>
    <row r="1086" spans="1:15" x14ac:dyDescent="0.25">
      <c r="B1086" s="1398" t="s">
        <v>8012</v>
      </c>
      <c r="C1086" s="1398"/>
      <c r="D1086" s="1398"/>
      <c r="E1086" s="854">
        <v>344903600000000</v>
      </c>
      <c r="F1086" s="855" t="s">
        <v>11611</v>
      </c>
      <c r="G1086" s="468">
        <v>31</v>
      </c>
      <c r="H1086" s="468">
        <v>0</v>
      </c>
      <c r="I1086" s="751"/>
      <c r="J1086" s="789">
        <f>('Parâmetros financeiros Despesa'!E923)</f>
        <v>0</v>
      </c>
      <c r="K1086" s="789">
        <f>('Parâmetros financeiros Despesa'!F923)*(1+'Parâmetros financeiros Despesa'!F$4)*(1+'Parâmetros financeiros Despesa'!F$7)</f>
        <v>545.16575</v>
      </c>
      <c r="L1086" s="799">
        <f t="shared" si="132"/>
        <v>1.8298534763313841E-4</v>
      </c>
      <c r="M1086" s="1006"/>
      <c r="O1086" s="1006"/>
    </row>
    <row r="1087" spans="1:15" x14ac:dyDescent="0.25">
      <c r="B1087" s="1398" t="s">
        <v>8013</v>
      </c>
      <c r="C1087" s="1398"/>
      <c r="D1087" s="1398"/>
      <c r="E1087" s="854">
        <v>344903900000000</v>
      </c>
      <c r="F1087" s="855" t="s">
        <v>11612</v>
      </c>
      <c r="G1087" s="468">
        <v>31</v>
      </c>
      <c r="H1087" s="468">
        <v>0</v>
      </c>
      <c r="I1087" s="751"/>
      <c r="J1087" s="789">
        <f>('Parâmetros financeiros Despesa'!E924)</f>
        <v>9315</v>
      </c>
      <c r="K1087" s="789">
        <f>('Parâmetros financeiros Despesa'!F924)*(1+'Parâmetros financeiros Despesa'!F$4)*(1+'Parâmetros financeiros Despesa'!F$7)</f>
        <v>10156.437922499999</v>
      </c>
      <c r="L1087" s="799">
        <f t="shared" si="132"/>
        <v>3.4090170264053682E-3</v>
      </c>
      <c r="M1087" s="1006"/>
      <c r="O1087" s="1006"/>
    </row>
    <row r="1088" spans="1:15" x14ac:dyDescent="0.25">
      <c r="B1088" s="1398" t="s">
        <v>8014</v>
      </c>
      <c r="C1088" s="1398"/>
      <c r="D1088" s="1398"/>
      <c r="E1088" s="854">
        <v>344905100000000</v>
      </c>
      <c r="F1088" s="855" t="s">
        <v>7925</v>
      </c>
      <c r="G1088" s="468">
        <v>31</v>
      </c>
      <c r="H1088" s="468">
        <v>0</v>
      </c>
      <c r="I1088" s="751"/>
      <c r="J1088" s="789">
        <f>('Parâmetros financeiros Despesa'!E925)</f>
        <v>37550.175000000003</v>
      </c>
      <c r="K1088" s="789">
        <f>('Parâmetros financeiros Despesa'!F925)*(1+'Parâmetros financeiros Despesa'!F$4)*(1+'Parâmetros financeiros Despesa'!F$7)</f>
        <v>40942.138633012502</v>
      </c>
      <c r="L1088" s="799">
        <f t="shared" si="132"/>
        <v>1.3742263652120366E-2</v>
      </c>
      <c r="M1088" s="1006"/>
      <c r="O1088" s="1006"/>
    </row>
    <row r="1089" spans="2:15" x14ac:dyDescent="0.25">
      <c r="B1089" s="1386" t="s">
        <v>7917</v>
      </c>
      <c r="C1089" s="1386"/>
      <c r="D1089" s="1386"/>
      <c r="E1089" s="1386"/>
      <c r="F1089" s="1386"/>
      <c r="G1089" s="403"/>
      <c r="H1089" s="403"/>
      <c r="I1089" s="427"/>
      <c r="J1089" s="404">
        <f t="shared" ref="J1089:K1090" si="133">J1090</f>
        <v>0</v>
      </c>
      <c r="K1089" s="404">
        <f t="shared" si="133"/>
        <v>58832.649483333335</v>
      </c>
      <c r="L1089" s="452">
        <f t="shared" si="132"/>
        <v>1.9747228834324844E-2</v>
      </c>
      <c r="M1089" s="1006"/>
      <c r="O1089" s="1006"/>
    </row>
    <row r="1090" spans="2:15" x14ac:dyDescent="0.25">
      <c r="B1090" s="1382" t="s">
        <v>7914</v>
      </c>
      <c r="C1090" s="1382"/>
      <c r="D1090" s="1382"/>
      <c r="E1090" s="1382"/>
      <c r="F1090" s="1382"/>
      <c r="G1090" s="405"/>
      <c r="H1090" s="405"/>
      <c r="I1090" s="428"/>
      <c r="J1090" s="406">
        <f t="shared" si="133"/>
        <v>0</v>
      </c>
      <c r="K1090" s="406">
        <f t="shared" si="133"/>
        <v>58832.649483333335</v>
      </c>
      <c r="L1090" s="453">
        <f t="shared" si="132"/>
        <v>1.9747228834324844E-2</v>
      </c>
      <c r="M1090" s="1006"/>
      <c r="O1090" s="1006"/>
    </row>
    <row r="1091" spans="2:15" x14ac:dyDescent="0.25">
      <c r="B1091" s="1383" t="s">
        <v>7927</v>
      </c>
      <c r="C1091" s="1383"/>
      <c r="D1091" s="1383"/>
      <c r="E1091" s="1383"/>
      <c r="F1091" s="1383"/>
      <c r="G1091" s="407"/>
      <c r="H1091" s="407"/>
      <c r="I1091" s="429"/>
      <c r="J1091" s="408">
        <f>J1092+J1093+J1094+J1095+J1096</f>
        <v>0</v>
      </c>
      <c r="K1091" s="408">
        <f>K1092+K1093+K1094+K1095+K1096+0.01</f>
        <v>58832.649483333335</v>
      </c>
      <c r="L1091" s="454">
        <f t="shared" si="132"/>
        <v>1.9747228834324844E-2</v>
      </c>
      <c r="M1091" s="1006"/>
      <c r="O1091" s="1006"/>
    </row>
    <row r="1092" spans="2:15" ht="30" x14ac:dyDescent="0.25">
      <c r="B1092" s="1396">
        <v>321000</v>
      </c>
      <c r="C1092" s="1396"/>
      <c r="D1092" s="1396"/>
      <c r="E1092" s="854">
        <v>333904700000000</v>
      </c>
      <c r="F1092" s="1017" t="s">
        <v>7929</v>
      </c>
      <c r="G1092" s="468">
        <v>31</v>
      </c>
      <c r="H1092" s="468">
        <v>0</v>
      </c>
      <c r="I1092" s="751"/>
      <c r="J1092" s="789">
        <f>(('Parâmetros financeiros Despesa'!E929))</f>
        <v>0</v>
      </c>
      <c r="K1092" s="789">
        <f>(('Parâmetros financeiros Despesa'!F929)*(1+'Parâmetros financeiros Despesa'!F$4)*(1+'Parâmetros financeiros Despesa'!F$7))*('Parâmetros financeiros Despesa'!F$83)</f>
        <v>109.03315000000001</v>
      </c>
      <c r="L1092" s="799">
        <f t="shared" si="132"/>
        <v>3.6597069526627682E-5</v>
      </c>
      <c r="M1092" s="1006"/>
      <c r="O1092" s="1006"/>
    </row>
    <row r="1093" spans="2:15" x14ac:dyDescent="0.25">
      <c r="B1093" s="1396">
        <v>321100</v>
      </c>
      <c r="C1093" s="1396"/>
      <c r="D1093" s="1396"/>
      <c r="E1093" s="854">
        <v>344903000000000</v>
      </c>
      <c r="F1093" s="855" t="s">
        <v>7928</v>
      </c>
      <c r="G1093" s="468">
        <v>31</v>
      </c>
      <c r="H1093" s="468">
        <v>0</v>
      </c>
      <c r="I1093" s="751"/>
      <c r="J1093" s="789">
        <f>('Parâmetros financeiros Despesa'!E928)</f>
        <v>0</v>
      </c>
      <c r="K1093" s="789">
        <f>('Parâmetros financeiros Despesa'!F928)*(1+'Parâmetros financeiros Despesa'!F$4)*(1+'Parâmetros financeiros Despesa'!F$7)</f>
        <v>545.16575</v>
      </c>
      <c r="L1093" s="799">
        <f t="shared" si="132"/>
        <v>1.8298534763313841E-4</v>
      </c>
      <c r="M1093" s="1006"/>
      <c r="O1093" s="1006"/>
    </row>
    <row r="1094" spans="2:15" x14ac:dyDescent="0.25">
      <c r="B1094" s="1398" t="s">
        <v>8015</v>
      </c>
      <c r="C1094" s="1398"/>
      <c r="D1094" s="1398"/>
      <c r="E1094" s="854">
        <v>344903600000000</v>
      </c>
      <c r="F1094" s="855" t="s">
        <v>11613</v>
      </c>
      <c r="G1094" s="468">
        <v>31</v>
      </c>
      <c r="H1094" s="468">
        <v>0</v>
      </c>
      <c r="I1094" s="751"/>
      <c r="J1094" s="789">
        <f>('Parâmetros financeiros Despesa'!E929)</f>
        <v>0</v>
      </c>
      <c r="K1094" s="789">
        <f>('Parâmetros financeiros Despesa'!F929)*(1+'Parâmetros financeiros Despesa'!F$4)*(1+'Parâmetros financeiros Despesa'!F$7)</f>
        <v>545.16575</v>
      </c>
      <c r="L1094" s="799">
        <f t="shared" si="132"/>
        <v>1.8298534763313841E-4</v>
      </c>
      <c r="M1094" s="1006"/>
      <c r="O1094" s="1006"/>
    </row>
    <row r="1095" spans="2:15" x14ac:dyDescent="0.25">
      <c r="B1095" s="1398" t="s">
        <v>8016</v>
      </c>
      <c r="C1095" s="1398"/>
      <c r="D1095" s="1398"/>
      <c r="E1095" s="854">
        <v>344903900000000</v>
      </c>
      <c r="F1095" s="855" t="s">
        <v>11614</v>
      </c>
      <c r="G1095" s="468">
        <v>31</v>
      </c>
      <c r="H1095" s="468">
        <v>0</v>
      </c>
      <c r="I1095" s="751"/>
      <c r="J1095" s="789">
        <f>('Parâmetros financeiros Despesa'!E930)</f>
        <v>0</v>
      </c>
      <c r="K1095" s="789">
        <f>('Parâmetros financeiros Despesa'!F930)*(1+'Parâmetros financeiros Despesa'!F$4)*(1+'Parâmetros financeiros Despesa'!F$7)</f>
        <v>545.16575</v>
      </c>
      <c r="L1095" s="799">
        <f t="shared" si="132"/>
        <v>1.8298534763313841E-4</v>
      </c>
      <c r="M1095" s="1006"/>
      <c r="O1095" s="1006"/>
    </row>
    <row r="1096" spans="2:15" x14ac:dyDescent="0.25">
      <c r="B1096" s="1398" t="s">
        <v>8017</v>
      </c>
      <c r="C1096" s="1398"/>
      <c r="D1096" s="1398"/>
      <c r="E1096" s="854">
        <v>344905100000000</v>
      </c>
      <c r="F1096" s="855" t="s">
        <v>7932</v>
      </c>
      <c r="G1096" s="468">
        <v>31</v>
      </c>
      <c r="H1096" s="468">
        <v>0</v>
      </c>
      <c r="I1096" s="751"/>
      <c r="J1096" s="789">
        <f>('Parâmetros financeiros Despesa'!E931)</f>
        <v>0</v>
      </c>
      <c r="K1096" s="789">
        <f>('Parâmetros financeiros Despesa'!F931)*(1+'Parâmetros financeiros Despesa'!F$4)*(1+'Parâmetros financeiros Despesa'!F$7)++'Parâmetros financeiros Despesa'!F1054/3</f>
        <v>57088.109083333329</v>
      </c>
      <c r="L1096" s="799">
        <f t="shared" si="132"/>
        <v>1.9161672365390296E-2</v>
      </c>
      <c r="M1096" s="1006"/>
      <c r="O1096" s="1006"/>
    </row>
    <row r="1097" spans="2:15" x14ac:dyDescent="0.25">
      <c r="B1097" s="1386" t="s">
        <v>7918</v>
      </c>
      <c r="C1097" s="1386"/>
      <c r="D1097" s="1386"/>
      <c r="E1097" s="1386"/>
      <c r="F1097" s="1386"/>
      <c r="G1097" s="403"/>
      <c r="H1097" s="403"/>
      <c r="I1097" s="427"/>
      <c r="J1097" s="404">
        <f t="shared" ref="J1097:K1098" si="134">J1098</f>
        <v>0</v>
      </c>
      <c r="K1097" s="404">
        <f t="shared" si="134"/>
        <v>2289.6761500000002</v>
      </c>
      <c r="L1097" s="452">
        <f t="shared" si="132"/>
        <v>7.6853174704217197E-4</v>
      </c>
      <c r="M1097" s="1006"/>
      <c r="O1097" s="1006"/>
    </row>
    <row r="1098" spans="2:15" x14ac:dyDescent="0.25">
      <c r="B1098" s="1382" t="s">
        <v>7914</v>
      </c>
      <c r="C1098" s="1382"/>
      <c r="D1098" s="1382"/>
      <c r="E1098" s="1382"/>
      <c r="F1098" s="1382"/>
      <c r="G1098" s="405"/>
      <c r="H1098" s="405"/>
      <c r="I1098" s="428"/>
      <c r="J1098" s="406">
        <f t="shared" si="134"/>
        <v>0</v>
      </c>
      <c r="K1098" s="406">
        <f t="shared" si="134"/>
        <v>2289.6761500000002</v>
      </c>
      <c r="L1098" s="453">
        <f t="shared" si="132"/>
        <v>7.6853174704217197E-4</v>
      </c>
      <c r="M1098" s="1006"/>
      <c r="O1098" s="1006"/>
    </row>
    <row r="1099" spans="2:15" x14ac:dyDescent="0.25">
      <c r="B1099" s="1383" t="s">
        <v>7927</v>
      </c>
      <c r="C1099" s="1383"/>
      <c r="D1099" s="1383"/>
      <c r="E1099" s="1383"/>
      <c r="F1099" s="1383"/>
      <c r="G1099" s="407"/>
      <c r="H1099" s="407"/>
      <c r="I1099" s="429"/>
      <c r="J1099" s="408">
        <f>J1100+J1101+J1102+J1103+J1104</f>
        <v>0</v>
      </c>
      <c r="K1099" s="408">
        <f>K1100+K1101+K1102+K1103+K1104+0.01</f>
        <v>2289.6761500000002</v>
      </c>
      <c r="L1099" s="454">
        <f t="shared" si="132"/>
        <v>7.6853174704217197E-4</v>
      </c>
      <c r="M1099" s="1006"/>
      <c r="O1099" s="1006"/>
    </row>
    <row r="1100" spans="2:15" ht="30" x14ac:dyDescent="0.25">
      <c r="B1100" s="1396">
        <v>325000</v>
      </c>
      <c r="C1100" s="1396"/>
      <c r="D1100" s="1396"/>
      <c r="E1100" s="854">
        <v>333904700000000</v>
      </c>
      <c r="F1100" s="1017" t="s">
        <v>7942</v>
      </c>
      <c r="G1100" s="468">
        <v>31</v>
      </c>
      <c r="H1100" s="468">
        <v>0</v>
      </c>
      <c r="I1100" s="751"/>
      <c r="J1100" s="789">
        <f>(('Parâmetros financeiros Despesa'!E935))</f>
        <v>0</v>
      </c>
      <c r="K1100" s="789">
        <f>(('Parâmetros financeiros Despesa'!F935)*(1+'Parâmetros financeiros Despesa'!F$4)*(1+'Parâmetros financeiros Despesa'!F$7))*('Parâmetros financeiros Despesa'!F$83)-0.03</f>
        <v>109.00315000000001</v>
      </c>
      <c r="L1100" s="799">
        <f t="shared" si="132"/>
        <v>3.6587000001113659E-5</v>
      </c>
      <c r="M1100" s="1006"/>
      <c r="O1100" s="1006"/>
    </row>
    <row r="1101" spans="2:15" x14ac:dyDescent="0.25">
      <c r="B1101" s="1396">
        <v>325100</v>
      </c>
      <c r="C1101" s="1396"/>
      <c r="D1101" s="1396"/>
      <c r="E1101" s="854">
        <v>344903000000000</v>
      </c>
      <c r="F1101" s="855" t="s">
        <v>7943</v>
      </c>
      <c r="G1101" s="468">
        <v>31</v>
      </c>
      <c r="H1101" s="468">
        <v>0</v>
      </c>
      <c r="I1101" s="751"/>
      <c r="J1101" s="789">
        <f>('Parâmetros financeiros Despesa'!E934)</f>
        <v>0</v>
      </c>
      <c r="K1101" s="789">
        <f>('Parâmetros financeiros Despesa'!F934)*(1+'Parâmetros financeiros Despesa'!F$4)*(1+'Parâmetros financeiros Despesa'!F$7)</f>
        <v>545.16575</v>
      </c>
      <c r="L1101" s="799">
        <f t="shared" si="132"/>
        <v>1.8298534763313841E-4</v>
      </c>
      <c r="M1101" s="1006"/>
      <c r="O1101" s="1006"/>
    </row>
    <row r="1102" spans="2:15" x14ac:dyDescent="0.25">
      <c r="B1102" s="1398" t="s">
        <v>8018</v>
      </c>
      <c r="C1102" s="1398"/>
      <c r="D1102" s="1398"/>
      <c r="E1102" s="854">
        <v>344903600000000</v>
      </c>
      <c r="F1102" s="855" t="s">
        <v>11615</v>
      </c>
      <c r="G1102" s="468">
        <v>31</v>
      </c>
      <c r="H1102" s="468">
        <v>0</v>
      </c>
      <c r="I1102" s="751"/>
      <c r="J1102" s="789">
        <f>('Parâmetros financeiros Despesa'!E935)</f>
        <v>0</v>
      </c>
      <c r="K1102" s="789">
        <f>('Parâmetros financeiros Despesa'!F935)*(1+'Parâmetros financeiros Despesa'!F$4)*(1+'Parâmetros financeiros Despesa'!F$7)</f>
        <v>545.16575</v>
      </c>
      <c r="L1102" s="799">
        <f t="shared" si="132"/>
        <v>1.8298534763313841E-4</v>
      </c>
    </row>
    <row r="1103" spans="2:15" x14ac:dyDescent="0.25">
      <c r="B1103" s="1398" t="s">
        <v>8019</v>
      </c>
      <c r="C1103" s="1398"/>
      <c r="D1103" s="1398"/>
      <c r="E1103" s="854">
        <v>344903900000000</v>
      </c>
      <c r="F1103" s="855" t="s">
        <v>11616</v>
      </c>
      <c r="G1103" s="468">
        <v>31</v>
      </c>
      <c r="H1103" s="468">
        <v>0</v>
      </c>
      <c r="I1103" s="751"/>
      <c r="J1103" s="789">
        <f>('Parâmetros financeiros Despesa'!E936)</f>
        <v>0</v>
      </c>
      <c r="K1103" s="789">
        <f>('Parâmetros financeiros Despesa'!F936)*(1+'Parâmetros financeiros Despesa'!F$4)*(1+'Parâmetros financeiros Despesa'!F$7)</f>
        <v>545.16575</v>
      </c>
      <c r="L1103" s="799">
        <f t="shared" si="132"/>
        <v>1.8298534763313841E-4</v>
      </c>
    </row>
    <row r="1104" spans="2:15" x14ac:dyDescent="0.25">
      <c r="B1104" s="1398" t="s">
        <v>8020</v>
      </c>
      <c r="C1104" s="1398"/>
      <c r="D1104" s="1398"/>
      <c r="E1104" s="854">
        <v>344905200000000</v>
      </c>
      <c r="F1104" s="855" t="s">
        <v>7946</v>
      </c>
      <c r="G1104" s="468">
        <v>31</v>
      </c>
      <c r="H1104" s="468">
        <v>0</v>
      </c>
      <c r="I1104" s="751"/>
      <c r="J1104" s="789">
        <f>('Parâmetros financeiros Despesa'!E937)</f>
        <v>0</v>
      </c>
      <c r="K1104" s="789">
        <f>('Parâmetros financeiros Despesa'!F937)*(1+'Parâmetros financeiros Despesa'!F$4)*(1+'Parâmetros financeiros Despesa'!F$7)</f>
        <v>545.16575</v>
      </c>
      <c r="L1104" s="799">
        <f t="shared" si="132"/>
        <v>1.8298534763313841E-4</v>
      </c>
    </row>
    <row r="1105" spans="1:15" x14ac:dyDescent="0.25">
      <c r="B1105" s="1385" t="s">
        <v>7913</v>
      </c>
      <c r="C1105" s="1385"/>
      <c r="D1105" s="1385"/>
      <c r="E1105" s="1385"/>
      <c r="F1105" s="1385"/>
      <c r="G1105" s="401"/>
      <c r="H1105" s="401"/>
      <c r="I1105" s="426"/>
      <c r="J1105" s="402">
        <f t="shared" ref="J1105:K1107" si="135">J1106</f>
        <v>1507467.3614875001</v>
      </c>
      <c r="K1105" s="402">
        <f t="shared" si="135"/>
        <v>1730514.9424372604</v>
      </c>
      <c r="L1105" s="451">
        <f t="shared" si="132"/>
        <v>0.58084881217542106</v>
      </c>
    </row>
    <row r="1106" spans="1:15" x14ac:dyDescent="0.25">
      <c r="B1106" s="1386" t="s">
        <v>8031</v>
      </c>
      <c r="C1106" s="1386"/>
      <c r="D1106" s="1386"/>
      <c r="E1106" s="1386"/>
      <c r="F1106" s="1386"/>
      <c r="G1106" s="403"/>
      <c r="H1106" s="403"/>
      <c r="I1106" s="427"/>
      <c r="J1106" s="404">
        <f t="shared" si="135"/>
        <v>1507467.3614875001</v>
      </c>
      <c r="K1106" s="404">
        <f t="shared" si="135"/>
        <v>1730514.9424372604</v>
      </c>
      <c r="L1106" s="452">
        <f t="shared" si="132"/>
        <v>0.58084881217542106</v>
      </c>
    </row>
    <row r="1107" spans="1:15" x14ac:dyDescent="0.25">
      <c r="B1107" s="1382" t="s">
        <v>7914</v>
      </c>
      <c r="C1107" s="1382"/>
      <c r="D1107" s="1382"/>
      <c r="E1107" s="1382"/>
      <c r="F1107" s="1382"/>
      <c r="G1107" s="405"/>
      <c r="H1107" s="405"/>
      <c r="I1107" s="428"/>
      <c r="J1107" s="406">
        <f t="shared" si="135"/>
        <v>1507467.3614875001</v>
      </c>
      <c r="K1107" s="406">
        <f t="shared" si="135"/>
        <v>1730514.9424372604</v>
      </c>
      <c r="L1107" s="453">
        <f t="shared" si="132"/>
        <v>0.58084881217542106</v>
      </c>
    </row>
    <row r="1108" spans="1:15" x14ac:dyDescent="0.25">
      <c r="B1108" s="1383" t="s">
        <v>7927</v>
      </c>
      <c r="C1108" s="1383"/>
      <c r="D1108" s="1383"/>
      <c r="E1108" s="1383"/>
      <c r="F1108" s="1383"/>
      <c r="G1108" s="407"/>
      <c r="H1108" s="407"/>
      <c r="I1108" s="429"/>
      <c r="J1108" s="408">
        <f>SUM(J1109:J1121)+J1122+J1123+J1124-0.01</f>
        <v>1507467.3614875001</v>
      </c>
      <c r="K1108" s="408">
        <f>SUM(K1109:K1121)+K1122+K1123+K1124</f>
        <v>1730514.9424372604</v>
      </c>
      <c r="L1108" s="454">
        <f t="shared" si="132"/>
        <v>0.58084881217542106</v>
      </c>
    </row>
    <row r="1109" spans="1:15" s="115" customFormat="1" x14ac:dyDescent="0.25">
      <c r="B1109" s="1398" t="s">
        <v>8021</v>
      </c>
      <c r="C1109" s="1398"/>
      <c r="D1109" s="1398"/>
      <c r="E1109" s="854">
        <v>331900400000000</v>
      </c>
      <c r="F1109" s="855" t="s">
        <v>10557</v>
      </c>
      <c r="G1109" s="468">
        <v>31</v>
      </c>
      <c r="H1109" s="468">
        <v>0</v>
      </c>
      <c r="I1109" s="751"/>
      <c r="J1109" s="789">
        <f>(('Parâmetros financeiros Despesa'!E$939))</f>
        <v>136177.76371249999</v>
      </c>
      <c r="K1109" s="789">
        <f>(('Parâmetros financeiros Despesa'!F$939)*2.05+(('Parâmetros financeiros Despesa'!F$939)*11.28)*(1+'Parâmetros financeiros Despesa'!F$4)*(1+'Parâmetros financeiros Despesa'!F$8))*(1+'Parâmetros financeiros Despesa'!F$80)</f>
        <v>176516.51946975657</v>
      </c>
      <c r="L1109" s="799">
        <f t="shared" si="132"/>
        <v>5.9247919881549878E-2</v>
      </c>
      <c r="M1109" s="894"/>
      <c r="O1109" s="733"/>
    </row>
    <row r="1110" spans="1:15" s="1018" customFormat="1" ht="30" x14ac:dyDescent="0.25">
      <c r="A1110" s="859"/>
      <c r="B1110" s="1004"/>
      <c r="C1110" s="1004"/>
      <c r="D1110" s="1004" t="s">
        <v>11583</v>
      </c>
      <c r="E1110" s="854">
        <v>331900800000000</v>
      </c>
      <c r="F1110" s="855" t="s">
        <v>11590</v>
      </c>
      <c r="G1110" s="468">
        <v>1</v>
      </c>
      <c r="H1110" s="468">
        <v>0</v>
      </c>
      <c r="I1110" s="751"/>
      <c r="J1110" s="789">
        <f>(('Parâmetros financeiros Despesa'!E940))</f>
        <v>17598.132700000002</v>
      </c>
      <c r="K1110" s="789">
        <f>(('Parâmetros financeiros Despesa'!F940)*2.05+(('Parâmetros financeiros Despesa'!F940)*11.28)*(1+'Parâmetros financeiros Despesa'!F$4)*(1+'Parâmetros financeiros Despesa'!F$8))</f>
        <v>18424.347947301761</v>
      </c>
      <c r="L1110" s="799">
        <f t="shared" si="132"/>
        <v>6.1841480578171178E-3</v>
      </c>
      <c r="M1110" s="883"/>
      <c r="O1110" s="1019"/>
    </row>
    <row r="1111" spans="1:15" s="115" customFormat="1" x14ac:dyDescent="0.25">
      <c r="B1111" s="1398" t="s">
        <v>8022</v>
      </c>
      <c r="C1111" s="1398"/>
      <c r="D1111" s="1398"/>
      <c r="E1111" s="854">
        <v>331901100000000</v>
      </c>
      <c r="F1111" s="855" t="s">
        <v>10569</v>
      </c>
      <c r="G1111" s="468">
        <v>31</v>
      </c>
      <c r="H1111" s="468">
        <v>0</v>
      </c>
      <c r="I1111" s="751"/>
      <c r="J1111" s="789">
        <f>('Parâmetros financeiros Despesa'!E$941)</f>
        <v>915439.6828500001</v>
      </c>
      <c r="K1111" s="789">
        <f>('Parâmetros financeiros Despesa'!F$941)*2.05+(('Parâmetros financeiros Despesa'!F$941)*11.28)*(1+'Parâmetros financeiros Despesa'!F$4)*(1+'Parâmetros financeiros Despesa'!F$8)</f>
        <v>958418.68731879583</v>
      </c>
      <c r="L1111" s="799">
        <f t="shared" si="132"/>
        <v>0.32169404750229819</v>
      </c>
      <c r="M1111" s="894"/>
      <c r="O1111" s="733"/>
    </row>
    <row r="1112" spans="1:15" s="115" customFormat="1" x14ac:dyDescent="0.25">
      <c r="B1112" s="1398" t="s">
        <v>8023</v>
      </c>
      <c r="C1112" s="1398"/>
      <c r="D1112" s="1398"/>
      <c r="E1112" s="854">
        <v>331901300000000</v>
      </c>
      <c r="F1112" s="855" t="s">
        <v>10558</v>
      </c>
      <c r="G1112" s="468">
        <v>31</v>
      </c>
      <c r="H1112" s="468">
        <v>0</v>
      </c>
      <c r="I1112" s="751"/>
      <c r="J1112" s="789">
        <f>'Parâmetros financeiros Despesa'!E942</f>
        <v>181099.14722499999</v>
      </c>
      <c r="K1112" s="789">
        <f>(K1113+K1111)*'Parâmetros financeiros Despesa'!F$80</f>
        <v>228526.01889062198</v>
      </c>
      <c r="L1112" s="799">
        <f t="shared" si="132"/>
        <v>7.6704952594541409E-2</v>
      </c>
      <c r="M1112" s="894"/>
      <c r="O1112" s="733"/>
    </row>
    <row r="1113" spans="1:15" s="115" customFormat="1" x14ac:dyDescent="0.25">
      <c r="B1113" s="1398" t="s">
        <v>8024</v>
      </c>
      <c r="C1113" s="1398"/>
      <c r="D1113" s="1398"/>
      <c r="E1113" s="854">
        <v>331901600000000</v>
      </c>
      <c r="F1113" s="855" t="s">
        <v>10559</v>
      </c>
      <c r="G1113" s="468">
        <v>31</v>
      </c>
      <c r="H1113" s="468">
        <v>0</v>
      </c>
      <c r="I1113" s="751"/>
      <c r="J1113" s="789">
        <f>('Parâmetros financeiros Despesa'!E$943)</f>
        <v>0</v>
      </c>
      <c r="K1113" s="789">
        <f>('Parâmetros financeiros Despesa'!F$943)*2.05+(('Parâmetros financeiros Despesa'!F$943)*11.28)*(1+'Parâmetros financeiros Despesa'!F$4)*(1+'Parâmetros financeiros Despesa'!F$8)</f>
        <v>1395.5830560223726</v>
      </c>
      <c r="L1113" s="799">
        <f t="shared" si="132"/>
        <v>4.6842863965165002E-4</v>
      </c>
      <c r="M1113" s="894"/>
      <c r="O1113" s="733"/>
    </row>
    <row r="1114" spans="1:15" s="115" customFormat="1" x14ac:dyDescent="0.25">
      <c r="B1114" s="1398" t="s">
        <v>8025</v>
      </c>
      <c r="C1114" s="1398"/>
      <c r="D1114" s="1398"/>
      <c r="E1114" s="854">
        <v>333901400000000</v>
      </c>
      <c r="F1114" s="855" t="s">
        <v>10560</v>
      </c>
      <c r="G1114" s="468">
        <v>31</v>
      </c>
      <c r="H1114" s="468">
        <v>0</v>
      </c>
      <c r="I1114" s="751"/>
      <c r="J1114" s="789">
        <f>('Parâmetros financeiros Despesa'!E$944)</f>
        <v>864</v>
      </c>
      <c r="K1114" s="789">
        <f>('Parâmetros financeiros Despesa'!F$944)*2+(('Parâmetros financeiros Despesa'!F$944)*10)*(1+'Parâmetros financeiros Despesa'!F$4)*(1+'Parâmetros financeiros Despesa'!F$8)</f>
        <v>903.94663150364215</v>
      </c>
      <c r="L1114" s="799">
        <f t="shared" si="132"/>
        <v>3.0341045564124012E-4</v>
      </c>
      <c r="M1114" s="894"/>
      <c r="O1114" s="733"/>
    </row>
    <row r="1115" spans="1:15" s="115" customFormat="1" x14ac:dyDescent="0.25">
      <c r="B1115" s="1396">
        <v>330500</v>
      </c>
      <c r="C1115" s="1396"/>
      <c r="D1115" s="1396"/>
      <c r="E1115" s="854">
        <v>333903000000000</v>
      </c>
      <c r="F1115" s="855" t="s">
        <v>10561</v>
      </c>
      <c r="G1115" s="468">
        <v>31</v>
      </c>
      <c r="H1115" s="468">
        <v>0</v>
      </c>
      <c r="I1115" s="751"/>
      <c r="J1115" s="789">
        <f>('Parâmetros financeiros Despesa'!E945)</f>
        <v>44472.69</v>
      </c>
      <c r="K1115" s="789">
        <f>('Parâmetros financeiros Despesa'!F945)*(1+'Parâmetros financeiros Despesa'!F$4)*(1+'Parâmetros financeiros Despesa'!F$7)</f>
        <v>48489.974796734998</v>
      </c>
      <c r="L1115" s="799">
        <f t="shared" si="132"/>
        <v>1.6275701279661596E-2</v>
      </c>
      <c r="M1115" s="894"/>
      <c r="O1115" s="733"/>
    </row>
    <row r="1116" spans="1:15" s="115" customFormat="1" x14ac:dyDescent="0.25">
      <c r="B1116" s="1396">
        <v>330600</v>
      </c>
      <c r="C1116" s="1396"/>
      <c r="D1116" s="1396"/>
      <c r="E1116" s="854">
        <v>333903200000000</v>
      </c>
      <c r="F1116" s="855" t="s">
        <v>10564</v>
      </c>
      <c r="G1116" s="468">
        <v>31</v>
      </c>
      <c r="H1116" s="468">
        <v>0</v>
      </c>
      <c r="I1116" s="751"/>
      <c r="J1116" s="789">
        <f>('Parâmetros financeiros Despesa'!E946)</f>
        <v>0</v>
      </c>
      <c r="K1116" s="789">
        <f>('Parâmetros financeiros Despesa'!F946)*(1+'Parâmetros financeiros Despesa'!F$4)*(1+'Parâmetros financeiros Despesa'!F$7)</f>
        <v>1090.3315</v>
      </c>
      <c r="L1116" s="799">
        <f t="shared" si="132"/>
        <v>3.6597069526627681E-4</v>
      </c>
      <c r="M1116" s="894"/>
      <c r="O1116" s="733"/>
    </row>
    <row r="1117" spans="1:15" s="115" customFormat="1" x14ac:dyDescent="0.25">
      <c r="B1117" s="1396">
        <v>330700</v>
      </c>
      <c r="C1117" s="1396"/>
      <c r="D1117" s="1396"/>
      <c r="E1117" s="854">
        <v>333903300000000</v>
      </c>
      <c r="F1117" s="855" t="s">
        <v>10570</v>
      </c>
      <c r="G1117" s="468">
        <v>31</v>
      </c>
      <c r="H1117" s="468">
        <v>0</v>
      </c>
      <c r="I1117" s="751"/>
      <c r="J1117" s="789">
        <f>('Parâmetros financeiros Despesa'!E947)</f>
        <v>0</v>
      </c>
      <c r="K1117" s="789">
        <f>('Parâmetros financeiros Despesa'!F947)*(1+'Parâmetros financeiros Despesa'!F$4)*(1+'Parâmetros financeiros Despesa'!F$7)</f>
        <v>1635.4972500000001</v>
      </c>
      <c r="L1117" s="799">
        <f t="shared" si="132"/>
        <v>5.4895604289941522E-4</v>
      </c>
      <c r="M1117" s="894"/>
      <c r="O1117" s="733"/>
    </row>
    <row r="1118" spans="1:15" s="115" customFormat="1" x14ac:dyDescent="0.25">
      <c r="B1118" s="1398" t="s">
        <v>8092</v>
      </c>
      <c r="C1118" s="1398"/>
      <c r="D1118" s="1398"/>
      <c r="E1118" s="854">
        <v>333903500000000</v>
      </c>
      <c r="F1118" s="855" t="s">
        <v>10648</v>
      </c>
      <c r="G1118" s="468">
        <v>31</v>
      </c>
      <c r="H1118" s="468">
        <v>0</v>
      </c>
      <c r="I1118" s="751"/>
      <c r="J1118" s="789">
        <f>('Parâmetros financeiros Despesa'!E947)</f>
        <v>0</v>
      </c>
      <c r="K1118" s="789">
        <f>('Parâmetros financeiros Despesa'!F947)*(1+'Parâmetros financeiros Despesa'!F$4)*(1+'Parâmetros financeiros Despesa'!F$7)</f>
        <v>1635.4972500000001</v>
      </c>
      <c r="L1118" s="799">
        <f t="shared" si="132"/>
        <v>5.4895604289941522E-4</v>
      </c>
      <c r="M1118" s="894"/>
      <c r="O1118" s="733"/>
    </row>
    <row r="1119" spans="1:15" s="115" customFormat="1" x14ac:dyDescent="0.25">
      <c r="B1119" s="1398" t="s">
        <v>8093</v>
      </c>
      <c r="C1119" s="1398"/>
      <c r="D1119" s="1398"/>
      <c r="E1119" s="854">
        <v>333903600000000</v>
      </c>
      <c r="F1119" s="855" t="s">
        <v>10562</v>
      </c>
      <c r="G1119" s="468">
        <v>1</v>
      </c>
      <c r="H1119" s="468">
        <v>0</v>
      </c>
      <c r="I1119" s="751"/>
      <c r="J1119" s="789">
        <f>('Parâmetros financeiros Despesa'!E948)</f>
        <v>828</v>
      </c>
      <c r="K1119" s="789">
        <f>('Parâmetros financeiros Despesa'!F948)*(1+'Parâmetros financeiros Despesa'!F$4)*(1+'Parâmetros financeiros Despesa'!F$7)</f>
        <v>902.79448200000002</v>
      </c>
      <c r="L1119" s="799">
        <f t="shared" si="132"/>
        <v>3.0302373568047718E-4</v>
      </c>
      <c r="M1119" s="894"/>
      <c r="O1119" s="733"/>
    </row>
    <row r="1120" spans="1:15" s="115" customFormat="1" x14ac:dyDescent="0.25">
      <c r="B1120" s="1398" t="s">
        <v>8026</v>
      </c>
      <c r="C1120" s="1398"/>
      <c r="D1120" s="1398"/>
      <c r="E1120" s="854">
        <v>333903900000000</v>
      </c>
      <c r="F1120" s="855" t="s">
        <v>10563</v>
      </c>
      <c r="G1120" s="468">
        <v>31</v>
      </c>
      <c r="H1120" s="468">
        <v>0</v>
      </c>
      <c r="I1120" s="751"/>
      <c r="J1120" s="789">
        <f>('Parâmetros financeiros Despesa'!E949)</f>
        <v>140160.51</v>
      </c>
      <c r="K1120" s="789">
        <f>('Parâmetros financeiros Despesa'!F949)*(1+'Parâmetros financeiros Despesa'!F$4)*(1+'Parâmetros financeiros Despesa'!F$7)+'Parâmetros financeiros Despesa'!F1054/3</f>
        <v>209364.36244239836</v>
      </c>
      <c r="L1120" s="799">
        <f t="shared" si="132"/>
        <v>7.0273326311333109E-2</v>
      </c>
      <c r="M1120" s="894"/>
      <c r="O1120" s="733"/>
    </row>
    <row r="1121" spans="2:15" s="115" customFormat="1" x14ac:dyDescent="0.25">
      <c r="B1121" s="1398" t="s">
        <v>8027</v>
      </c>
      <c r="C1121" s="1398"/>
      <c r="D1121" s="1398"/>
      <c r="E1121" s="854">
        <v>333904700000000</v>
      </c>
      <c r="F1121" s="855" t="s">
        <v>10565</v>
      </c>
      <c r="G1121" s="468">
        <v>31</v>
      </c>
      <c r="H1121" s="468">
        <v>0</v>
      </c>
      <c r="I1121" s="751"/>
      <c r="J1121" s="789">
        <f>(('Parâmetros financeiros Despesa'!E948))</f>
        <v>828</v>
      </c>
      <c r="K1121" s="789">
        <f>(('Parâmetros financeiros Despesa'!F948)*(1+'Parâmetros financeiros Despesa'!F$4)*(1+'Parâmetros financeiros Despesa'!F$7))*('Parâmetros financeiros Despesa'!F$83)</f>
        <v>180.55889640000001</v>
      </c>
      <c r="L1121" s="799">
        <f t="shared" si="132"/>
        <v>6.0604747136095441E-5</v>
      </c>
      <c r="M1121" s="894"/>
      <c r="O1121" s="733"/>
    </row>
    <row r="1122" spans="2:15" s="115" customFormat="1" x14ac:dyDescent="0.25">
      <c r="B1122" s="1398" t="s">
        <v>8028</v>
      </c>
      <c r="C1122" s="1398"/>
      <c r="D1122" s="1398"/>
      <c r="E1122" s="854">
        <v>333904900000000</v>
      </c>
      <c r="F1122" s="855" t="s">
        <v>10566</v>
      </c>
      <c r="G1122" s="468">
        <v>31</v>
      </c>
      <c r="H1122" s="468">
        <v>0</v>
      </c>
      <c r="I1122" s="751"/>
      <c r="J1122" s="789">
        <f>('Parâmetros financeiros Despesa'!E$951+'Parâmetros financeiros Despesa'!E952)</f>
        <v>52737.82</v>
      </c>
      <c r="K1122" s="789">
        <f>('Parâmetros financeiros Despesa'!F$951+'Parâmetros financeiros Despesa'!F952)*2+(('Parâmetros financeiros Despesa'!F$951+'Parâmetros financeiros Despesa'!F952)*10)*(1+'Parâmetros financeiros Despesa'!F$4)*(1+'Parâmetros financeiros Despesa'!F$8)</f>
        <v>63664.763277037135</v>
      </c>
      <c r="L1122" s="799">
        <f t="shared" si="132"/>
        <v>2.1369131938736251E-2</v>
      </c>
      <c r="M1122" s="894"/>
      <c r="O1122" s="733"/>
    </row>
    <row r="1123" spans="2:15" s="115" customFormat="1" x14ac:dyDescent="0.25">
      <c r="B1123" s="1398" t="s">
        <v>8029</v>
      </c>
      <c r="C1123" s="1398"/>
      <c r="D1123" s="1398"/>
      <c r="E1123" s="854">
        <v>333909300000000</v>
      </c>
      <c r="F1123" s="855" t="s">
        <v>10567</v>
      </c>
      <c r="G1123" s="468">
        <v>31</v>
      </c>
      <c r="H1123" s="468">
        <v>0</v>
      </c>
      <c r="I1123" s="751"/>
      <c r="J1123" s="789">
        <f>('Parâmetros financeiros Despesa'!E$953)</f>
        <v>0</v>
      </c>
      <c r="K1123" s="789">
        <f>('Parâmetros financeiros Despesa'!F$953)*(1+'Parâmetros financeiros Despesa'!F$4)*(1+'Parâmetros financeiros Despesa'!F$7)</f>
        <v>545.16575</v>
      </c>
      <c r="L1123" s="799" t="e">
        <f>K1123/#REF!</f>
        <v>#REF!</v>
      </c>
      <c r="M1123" s="894"/>
      <c r="O1123" s="733"/>
    </row>
    <row r="1124" spans="2:15" s="115" customFormat="1" x14ac:dyDescent="0.25">
      <c r="B1124" s="1398" t="s">
        <v>8030</v>
      </c>
      <c r="C1124" s="1398"/>
      <c r="D1124" s="1398"/>
      <c r="E1124" s="854">
        <v>333933000000000</v>
      </c>
      <c r="F1124" s="855" t="s">
        <v>10568</v>
      </c>
      <c r="G1124" s="468">
        <v>31</v>
      </c>
      <c r="H1124" s="468">
        <v>0</v>
      </c>
      <c r="I1124" s="751"/>
      <c r="J1124" s="789">
        <f>('Parâmetros financeiros Despesa'!E$954)</f>
        <v>17261.625</v>
      </c>
      <c r="K1124" s="789">
        <f>('Parâmetros financeiros Despesa'!F$954)*(1+'Parâmetros financeiros Despesa'!F$4)*(1+'Parâmetros financeiros Despesa'!F$7)</f>
        <v>18820.8934786875</v>
      </c>
      <c r="L1124" s="799">
        <f t="shared" ref="L1124:L1155" si="136">K1124/K$1262</f>
        <v>6.317248902675745E-3</v>
      </c>
      <c r="M1124" s="894"/>
      <c r="O1124" s="733"/>
    </row>
    <row r="1125" spans="2:15" x14ac:dyDescent="0.25">
      <c r="B1125" s="1385" t="s">
        <v>7913</v>
      </c>
      <c r="C1125" s="1385"/>
      <c r="D1125" s="1385"/>
      <c r="E1125" s="1385"/>
      <c r="F1125" s="1385"/>
      <c r="G1125" s="401"/>
      <c r="H1125" s="401"/>
      <c r="I1125" s="426"/>
      <c r="J1125" s="402">
        <f t="shared" ref="J1125:K1127" si="137">J1126</f>
        <v>0</v>
      </c>
      <c r="K1125" s="402">
        <f t="shared" si="137"/>
        <v>17881.426600000003</v>
      </c>
      <c r="L1125" s="451">
        <f t="shared" si="136"/>
        <v>6.0019160458584355E-3</v>
      </c>
    </row>
    <row r="1126" spans="2:15" x14ac:dyDescent="0.25">
      <c r="B1126" s="1386" t="s">
        <v>8034</v>
      </c>
      <c r="C1126" s="1386"/>
      <c r="D1126" s="1386"/>
      <c r="E1126" s="1386"/>
      <c r="F1126" s="1386"/>
      <c r="G1126" s="403"/>
      <c r="H1126" s="403"/>
      <c r="I1126" s="427"/>
      <c r="J1126" s="404">
        <f t="shared" si="137"/>
        <v>0</v>
      </c>
      <c r="K1126" s="404">
        <f t="shared" si="137"/>
        <v>17881.426600000003</v>
      </c>
      <c r="L1126" s="452">
        <f t="shared" si="136"/>
        <v>6.0019160458584355E-3</v>
      </c>
    </row>
    <row r="1127" spans="2:15" x14ac:dyDescent="0.25">
      <c r="B1127" s="1382" t="s">
        <v>7914</v>
      </c>
      <c r="C1127" s="1382"/>
      <c r="D1127" s="1382"/>
      <c r="E1127" s="1382"/>
      <c r="F1127" s="1382"/>
      <c r="G1127" s="405"/>
      <c r="H1127" s="405"/>
      <c r="I1127" s="428"/>
      <c r="J1127" s="406">
        <f t="shared" si="137"/>
        <v>0</v>
      </c>
      <c r="K1127" s="406">
        <f t="shared" si="137"/>
        <v>17881.426600000003</v>
      </c>
      <c r="L1127" s="453">
        <f t="shared" si="136"/>
        <v>6.0019160458584355E-3</v>
      </c>
    </row>
    <row r="1128" spans="2:15" x14ac:dyDescent="0.25">
      <c r="B1128" s="1383" t="s">
        <v>7927</v>
      </c>
      <c r="C1128" s="1383"/>
      <c r="D1128" s="1383"/>
      <c r="E1128" s="1383"/>
      <c r="F1128" s="1383"/>
      <c r="G1128" s="407"/>
      <c r="H1128" s="407"/>
      <c r="I1128" s="429"/>
      <c r="J1128" s="408">
        <f>J1129+J1130+J1131+J1132+J1133+J1134</f>
        <v>0</v>
      </c>
      <c r="K1128" s="408">
        <f>K1129+K1130+K1131+K1132+K1133+K1134-0.01</f>
        <v>17881.426600000003</v>
      </c>
      <c r="L1128" s="454">
        <f t="shared" si="136"/>
        <v>6.0019160458584355E-3</v>
      </c>
    </row>
    <row r="1129" spans="2:15" s="115" customFormat="1" x14ac:dyDescent="0.25">
      <c r="B1129" s="1396">
        <v>332000</v>
      </c>
      <c r="C1129" s="1396"/>
      <c r="D1129" s="1396"/>
      <c r="E1129" s="854">
        <v>333903000000000</v>
      </c>
      <c r="F1129" s="855" t="s">
        <v>8064</v>
      </c>
      <c r="G1129" s="468">
        <v>31</v>
      </c>
      <c r="H1129" s="468">
        <v>0</v>
      </c>
      <c r="I1129" s="751"/>
      <c r="J1129" s="789">
        <f>('Parâmetros financeiros Despesa'!E$957)</f>
        <v>0</v>
      </c>
      <c r="K1129" s="789">
        <f>('Parâmetros financeiros Despesa'!F$957)*(1+'Parâmetros financeiros Despesa'!F$4)*(1+'Parâmetros financeiros Despesa'!F$7)</f>
        <v>2180.663</v>
      </c>
      <c r="L1129" s="799">
        <f t="shared" si="136"/>
        <v>7.3194139053255362E-4</v>
      </c>
      <c r="M1129" s="894"/>
      <c r="O1129" s="733"/>
    </row>
    <row r="1130" spans="2:15" s="115" customFormat="1" x14ac:dyDescent="0.25">
      <c r="B1130" s="1398" t="s">
        <v>8053</v>
      </c>
      <c r="C1130" s="1398"/>
      <c r="D1130" s="1398"/>
      <c r="E1130" s="854">
        <v>333903600000000</v>
      </c>
      <c r="F1130" s="855" t="s">
        <v>8068</v>
      </c>
      <c r="G1130" s="468">
        <v>1</v>
      </c>
      <c r="H1130" s="468">
        <v>0</v>
      </c>
      <c r="I1130" s="751"/>
      <c r="J1130" s="789">
        <f>('Parâmetros financeiros Despesa'!E$958)</f>
        <v>0</v>
      </c>
      <c r="K1130" s="789">
        <f>('Parâmetros financeiros Despesa'!F$958)*(1+'Parâmetros financeiros Despesa'!F$4)*(1+'Parâmetros financeiros Despesa'!F$7)</f>
        <v>2180.663</v>
      </c>
      <c r="L1130" s="799">
        <f t="shared" si="136"/>
        <v>7.3194139053255362E-4</v>
      </c>
      <c r="M1130" s="894"/>
      <c r="O1130" s="733"/>
    </row>
    <row r="1131" spans="2:15" s="115" customFormat="1" x14ac:dyDescent="0.25">
      <c r="B1131" s="1398" t="s">
        <v>8054</v>
      </c>
      <c r="C1131" s="1398"/>
      <c r="D1131" s="1398"/>
      <c r="E1131" s="854">
        <v>333903900000000</v>
      </c>
      <c r="F1131" s="855" t="s">
        <v>8067</v>
      </c>
      <c r="G1131" s="468">
        <v>31</v>
      </c>
      <c r="H1131" s="468">
        <v>0</v>
      </c>
      <c r="I1131" s="751"/>
      <c r="J1131" s="789">
        <f>('Parâmetros financeiros Despesa'!E$959)</f>
        <v>0</v>
      </c>
      <c r="K1131" s="789">
        <f>('Parâmetros financeiros Despesa'!F$959)*(1+'Parâmetros financeiros Despesa'!F$4)*(1+'Parâmetros financeiros Despesa'!F$7)</f>
        <v>5451.6575000000003</v>
      </c>
      <c r="L1131" s="799">
        <f t="shared" si="136"/>
        <v>1.8298534763313841E-3</v>
      </c>
      <c r="M1131" s="894"/>
      <c r="O1131" s="733"/>
    </row>
    <row r="1132" spans="2:15" s="115" customFormat="1" x14ac:dyDescent="0.25">
      <c r="B1132" s="1398" t="s">
        <v>8055</v>
      </c>
      <c r="C1132" s="1398"/>
      <c r="D1132" s="1398"/>
      <c r="E1132" s="854">
        <v>333904700000000</v>
      </c>
      <c r="F1132" s="855" t="s">
        <v>8066</v>
      </c>
      <c r="G1132" s="468">
        <v>31</v>
      </c>
      <c r="H1132" s="468">
        <v>0</v>
      </c>
      <c r="I1132" s="751"/>
      <c r="J1132" s="789">
        <f>'Parâmetros financeiros Despesa'!E956</f>
        <v>0</v>
      </c>
      <c r="K1132" s="789">
        <f>(('Parâmetros financeiros Despesa'!F958)*(1+'Parâmetros financeiros Despesa'!F$4)*(1+'Parâmetros financeiros Despesa'!F$7))*('Parâmetros financeiros Despesa'!F$83)</f>
        <v>436.13260000000002</v>
      </c>
      <c r="L1132" s="799">
        <f t="shared" si="136"/>
        <v>1.4638827810651073E-4</v>
      </c>
      <c r="M1132" s="894"/>
      <c r="O1132" s="733"/>
    </row>
    <row r="1133" spans="2:15" s="115" customFormat="1" x14ac:dyDescent="0.25">
      <c r="B1133" s="1398" t="s">
        <v>8056</v>
      </c>
      <c r="C1133" s="1398"/>
      <c r="D1133" s="1398"/>
      <c r="E1133" s="854">
        <v>333933000000000</v>
      </c>
      <c r="F1133" s="855" t="s">
        <v>8069</v>
      </c>
      <c r="G1133" s="468">
        <v>31</v>
      </c>
      <c r="H1133" s="468">
        <v>0</v>
      </c>
      <c r="I1133" s="751"/>
      <c r="J1133" s="789">
        <f>('Parâmetros financeiros Despesa'!E$960)</f>
        <v>0</v>
      </c>
      <c r="K1133" s="789">
        <f>('Parâmetros financeiros Despesa'!F$960)*(1+'Parâmetros financeiros Despesa'!F$4)*(1+'Parâmetros financeiros Despesa'!F$7)</f>
        <v>3270.9945000000002</v>
      </c>
      <c r="L1133" s="799">
        <f t="shared" si="136"/>
        <v>1.0979120857988304E-3</v>
      </c>
      <c r="M1133" s="894"/>
      <c r="O1133" s="733"/>
    </row>
    <row r="1134" spans="2:15" s="115" customFormat="1" x14ac:dyDescent="0.25">
      <c r="B1134" s="1398" t="s">
        <v>8057</v>
      </c>
      <c r="C1134" s="1398"/>
      <c r="D1134" s="1398"/>
      <c r="E1134" s="854">
        <v>344905200000000</v>
      </c>
      <c r="F1134" s="855" t="s">
        <v>8065</v>
      </c>
      <c r="G1134" s="468">
        <v>31</v>
      </c>
      <c r="H1134" s="468">
        <v>0</v>
      </c>
      <c r="I1134" s="751"/>
      <c r="J1134" s="789">
        <f>('Parâmetros financeiros Despesa'!E$961)</f>
        <v>0</v>
      </c>
      <c r="K1134" s="789">
        <f>('Parâmetros financeiros Despesa'!F$961)*(1+'Parâmetros financeiros Despesa'!F$4)*(1+'Parâmetros financeiros Despesa'!F$7)</f>
        <v>4361.326</v>
      </c>
      <c r="L1134" s="799">
        <f t="shared" si="136"/>
        <v>1.4638827810651072E-3</v>
      </c>
      <c r="M1134" s="894"/>
      <c r="O1134" s="733"/>
    </row>
    <row r="1135" spans="2:15" x14ac:dyDescent="0.25">
      <c r="B1135" s="1385" t="s">
        <v>7913</v>
      </c>
      <c r="C1135" s="1385"/>
      <c r="D1135" s="1385"/>
      <c r="E1135" s="1385"/>
      <c r="F1135" s="1385"/>
      <c r="G1135" s="401"/>
      <c r="H1135" s="401"/>
      <c r="I1135" s="426"/>
      <c r="J1135" s="402">
        <f t="shared" ref="J1135:K1138" si="138">J1136</f>
        <v>0</v>
      </c>
      <c r="K1135" s="402">
        <f t="shared" si="138"/>
        <v>5451.6575000000003</v>
      </c>
      <c r="L1135" s="451">
        <f t="shared" si="136"/>
        <v>1.8298534763313841E-3</v>
      </c>
    </row>
    <row r="1136" spans="2:15" x14ac:dyDescent="0.25">
      <c r="B1136" s="1386" t="s">
        <v>8121</v>
      </c>
      <c r="C1136" s="1386"/>
      <c r="D1136" s="1386"/>
      <c r="E1136" s="1386"/>
      <c r="F1136" s="1386"/>
      <c r="G1136" s="403"/>
      <c r="H1136" s="403"/>
      <c r="I1136" s="427"/>
      <c r="J1136" s="404">
        <f t="shared" si="138"/>
        <v>0</v>
      </c>
      <c r="K1136" s="404">
        <f t="shared" si="138"/>
        <v>5451.6575000000003</v>
      </c>
      <c r="L1136" s="452">
        <f t="shared" si="136"/>
        <v>1.8298534763313841E-3</v>
      </c>
    </row>
    <row r="1137" spans="2:15" x14ac:dyDescent="0.25">
      <c r="B1137" s="1382" t="s">
        <v>7914</v>
      </c>
      <c r="C1137" s="1382"/>
      <c r="D1137" s="1382"/>
      <c r="E1137" s="1382"/>
      <c r="F1137" s="1382"/>
      <c r="G1137" s="405"/>
      <c r="H1137" s="405"/>
      <c r="I1137" s="428"/>
      <c r="J1137" s="406">
        <f t="shared" si="138"/>
        <v>0</v>
      </c>
      <c r="K1137" s="406">
        <f t="shared" si="138"/>
        <v>5451.6575000000003</v>
      </c>
      <c r="L1137" s="453">
        <f t="shared" si="136"/>
        <v>1.8298534763313841E-3</v>
      </c>
    </row>
    <row r="1138" spans="2:15" x14ac:dyDescent="0.25">
      <c r="B1138" s="1383" t="s">
        <v>7927</v>
      </c>
      <c r="C1138" s="1383"/>
      <c r="D1138" s="1383"/>
      <c r="E1138" s="1383"/>
      <c r="F1138" s="1383"/>
      <c r="G1138" s="407"/>
      <c r="H1138" s="407"/>
      <c r="I1138" s="429"/>
      <c r="J1138" s="408">
        <f t="shared" si="138"/>
        <v>0</v>
      </c>
      <c r="K1138" s="408">
        <f t="shared" si="138"/>
        <v>5451.6575000000003</v>
      </c>
      <c r="L1138" s="454">
        <f t="shared" si="136"/>
        <v>1.8298534763313841E-3</v>
      </c>
    </row>
    <row r="1139" spans="2:15" s="115" customFormat="1" x14ac:dyDescent="0.25">
      <c r="B1139" s="1396">
        <v>332600</v>
      </c>
      <c r="C1139" s="1396"/>
      <c r="D1139" s="1396"/>
      <c r="E1139" s="854">
        <v>333903200000000</v>
      </c>
      <c r="F1139" s="855" t="s">
        <v>8122</v>
      </c>
      <c r="G1139" s="468">
        <v>31</v>
      </c>
      <c r="H1139" s="468">
        <v>0</v>
      </c>
      <c r="I1139" s="751"/>
      <c r="J1139" s="789">
        <f>('Parâmetros financeiros Despesa'!E$963)</f>
        <v>0</v>
      </c>
      <c r="K1139" s="789">
        <f>('Parâmetros financeiros Despesa'!F$963)*(1+'Parâmetros financeiros Despesa'!F$4)*(1+'Parâmetros financeiros Despesa'!F$7)</f>
        <v>5451.6575000000003</v>
      </c>
      <c r="L1139" s="799">
        <f t="shared" si="136"/>
        <v>1.8298534763313841E-3</v>
      </c>
      <c r="M1139" s="894"/>
      <c r="O1139" s="733"/>
    </row>
    <row r="1140" spans="2:15" x14ac:dyDescent="0.25">
      <c r="B1140" s="1385" t="s">
        <v>7913</v>
      </c>
      <c r="C1140" s="1385"/>
      <c r="D1140" s="1385"/>
      <c r="E1140" s="1385"/>
      <c r="F1140" s="1385"/>
      <c r="G1140" s="401"/>
      <c r="H1140" s="401"/>
      <c r="I1140" s="426"/>
      <c r="J1140" s="402">
        <f t="shared" ref="J1140:K1142" si="139">J1141</f>
        <v>0</v>
      </c>
      <c r="K1140" s="402">
        <f t="shared" si="139"/>
        <v>67.580553000000009</v>
      </c>
      <c r="L1140" s="451">
        <f t="shared" si="136"/>
        <v>2.2683470089499817E-5</v>
      </c>
    </row>
    <row r="1141" spans="2:15" x14ac:dyDescent="0.25">
      <c r="B1141" s="1386" t="s">
        <v>8036</v>
      </c>
      <c r="C1141" s="1386"/>
      <c r="D1141" s="1386"/>
      <c r="E1141" s="1386"/>
      <c r="F1141" s="1386"/>
      <c r="G1141" s="403"/>
      <c r="H1141" s="403"/>
      <c r="I1141" s="427"/>
      <c r="J1141" s="404">
        <f t="shared" si="139"/>
        <v>0</v>
      </c>
      <c r="K1141" s="404">
        <f t="shared" si="139"/>
        <v>67.580553000000009</v>
      </c>
      <c r="L1141" s="452">
        <f t="shared" si="136"/>
        <v>2.2683470089499817E-5</v>
      </c>
    </row>
    <row r="1142" spans="2:15" x14ac:dyDescent="0.25">
      <c r="B1142" s="1382" t="s">
        <v>7914</v>
      </c>
      <c r="C1142" s="1382"/>
      <c r="D1142" s="1382"/>
      <c r="E1142" s="1382"/>
      <c r="F1142" s="1382"/>
      <c r="G1142" s="405"/>
      <c r="H1142" s="405"/>
      <c r="I1142" s="428"/>
      <c r="J1142" s="406">
        <f t="shared" si="139"/>
        <v>0</v>
      </c>
      <c r="K1142" s="406">
        <f t="shared" si="139"/>
        <v>67.580553000000009</v>
      </c>
      <c r="L1142" s="453">
        <f t="shared" si="136"/>
        <v>2.2683470089499817E-5</v>
      </c>
    </row>
    <row r="1143" spans="2:15" x14ac:dyDescent="0.25">
      <c r="B1143" s="1383" t="s">
        <v>7927</v>
      </c>
      <c r="C1143" s="1383"/>
      <c r="D1143" s="1383"/>
      <c r="E1143" s="1383"/>
      <c r="F1143" s="1383"/>
      <c r="G1143" s="407"/>
      <c r="H1143" s="407"/>
      <c r="I1143" s="429"/>
      <c r="J1143" s="408">
        <f>J1144+J1145+J1146+J1147+J1148+J1149+J1150</f>
        <v>0</v>
      </c>
      <c r="K1143" s="408">
        <f>K1144+K1145+K1146+K1147+K1148+K1149+K1150-0.02</f>
        <v>67.580553000000009</v>
      </c>
      <c r="L1143" s="454">
        <f t="shared" si="136"/>
        <v>2.2683470089499817E-5</v>
      </c>
    </row>
    <row r="1144" spans="2:15" s="115" customFormat="1" x14ac:dyDescent="0.25">
      <c r="B1144" s="1396">
        <v>333000</v>
      </c>
      <c r="C1144" s="1396"/>
      <c r="D1144" s="1396"/>
      <c r="E1144" s="854">
        <v>333903000000000</v>
      </c>
      <c r="F1144" s="855" t="s">
        <v>8070</v>
      </c>
      <c r="G1144" s="468">
        <v>31</v>
      </c>
      <c r="H1144" s="468">
        <v>0</v>
      </c>
      <c r="I1144" s="751"/>
      <c r="J1144" s="789">
        <f>('Parâmetros financeiros Despesa'!E$966)</f>
        <v>0</v>
      </c>
      <c r="K1144" s="789">
        <f>('Parâmetros financeiros Despesa'!F$966)*(1+'Parâmetros financeiros Despesa'!F$4)*(1+'Parâmetros financeiros Despesa'!F$7)</f>
        <v>10.903315000000001</v>
      </c>
      <c r="L1144" s="799">
        <f t="shared" si="136"/>
        <v>3.6597069526627682E-6</v>
      </c>
      <c r="M1144" s="894"/>
      <c r="O1144" s="733"/>
    </row>
    <row r="1145" spans="2:15" s="115" customFormat="1" x14ac:dyDescent="0.25">
      <c r="B1145" s="1398" t="s">
        <v>8058</v>
      </c>
      <c r="C1145" s="1398"/>
      <c r="D1145" s="1398"/>
      <c r="E1145" s="854">
        <v>333903600000000</v>
      </c>
      <c r="F1145" s="855" t="s">
        <v>8071</v>
      </c>
      <c r="G1145" s="468">
        <v>1</v>
      </c>
      <c r="H1145" s="468">
        <v>0</v>
      </c>
      <c r="I1145" s="751"/>
      <c r="J1145" s="789">
        <f>('Parâmetros financeiros Despesa'!E$967)</f>
        <v>0</v>
      </c>
      <c r="K1145" s="789">
        <f>('Parâmetros financeiros Despesa'!F$967)*(1+'Parâmetros financeiros Despesa'!F$4)*(1+'Parâmetros financeiros Despesa'!F$7)</f>
        <v>10.903315000000001</v>
      </c>
      <c r="L1145" s="799">
        <f t="shared" si="136"/>
        <v>3.6597069526627682E-6</v>
      </c>
      <c r="M1145" s="894"/>
      <c r="O1145" s="733"/>
    </row>
    <row r="1146" spans="2:15" s="115" customFormat="1" x14ac:dyDescent="0.25">
      <c r="B1146" s="1398" t="s">
        <v>8059</v>
      </c>
      <c r="C1146" s="1398"/>
      <c r="D1146" s="1398"/>
      <c r="E1146" s="854">
        <v>333903900000000</v>
      </c>
      <c r="F1146" s="855" t="s">
        <v>8072</v>
      </c>
      <c r="G1146" s="468">
        <v>31</v>
      </c>
      <c r="H1146" s="468">
        <v>0</v>
      </c>
      <c r="I1146" s="751"/>
      <c r="J1146" s="789">
        <f>('Parâmetros financeiros Despesa'!E$968)</f>
        <v>0</v>
      </c>
      <c r="K1146" s="789">
        <f>('Parâmetros financeiros Despesa'!F$968)*(1+'Parâmetros financeiros Despesa'!F$4)*(1+'Parâmetros financeiros Despesa'!F$7)</f>
        <v>10.903315000000001</v>
      </c>
      <c r="L1146" s="799">
        <f t="shared" si="136"/>
        <v>3.6597069526627682E-6</v>
      </c>
      <c r="M1146" s="894"/>
      <c r="O1146" s="733"/>
    </row>
    <row r="1147" spans="2:15" s="115" customFormat="1" x14ac:dyDescent="0.25">
      <c r="B1147" s="1398" t="s">
        <v>8060</v>
      </c>
      <c r="C1147" s="1398"/>
      <c r="D1147" s="1398"/>
      <c r="E1147" s="854">
        <v>333904700000000</v>
      </c>
      <c r="F1147" s="855" t="s">
        <v>8073</v>
      </c>
      <c r="G1147" s="468">
        <v>31</v>
      </c>
      <c r="H1147" s="468">
        <v>0</v>
      </c>
      <c r="I1147" s="751"/>
      <c r="J1147" s="789">
        <f>'Parâmetros financeiros Despesa'!E965</f>
        <v>0</v>
      </c>
      <c r="K1147" s="789">
        <f>(('Parâmetros financeiros Despesa'!F967)*(1+'Parâmetros financeiros Despesa'!F$4)*(1+'Parâmetros financeiros Despesa'!F$7))*('Parâmetros financeiros Despesa'!F$83)</f>
        <v>2.1806630000000005</v>
      </c>
      <c r="L1147" s="799">
        <f t="shared" si="136"/>
        <v>7.3194139053255369E-7</v>
      </c>
      <c r="M1147" s="894"/>
      <c r="O1147" s="733"/>
    </row>
    <row r="1148" spans="2:15" x14ac:dyDescent="0.25">
      <c r="B1148" s="1398" t="s">
        <v>8061</v>
      </c>
      <c r="C1148" s="1398"/>
      <c r="D1148" s="1398"/>
      <c r="E1148" s="854">
        <v>333933000000000</v>
      </c>
      <c r="F1148" s="855" t="s">
        <v>8076</v>
      </c>
      <c r="G1148" s="468">
        <v>31</v>
      </c>
      <c r="H1148" s="468">
        <v>0</v>
      </c>
      <c r="I1148" s="751"/>
      <c r="J1148" s="789">
        <f>('Parâmetros financeiros Despesa'!E$968)</f>
        <v>0</v>
      </c>
      <c r="K1148" s="789">
        <f>('Parâmetros financeiros Despesa'!F$968)*(1+'Parâmetros financeiros Despesa'!F$4)*(1+'Parâmetros financeiros Despesa'!F$7)</f>
        <v>10.903315000000001</v>
      </c>
      <c r="L1148" s="799">
        <f t="shared" si="136"/>
        <v>3.6597069526627682E-6</v>
      </c>
    </row>
    <row r="1149" spans="2:15" s="115" customFormat="1" x14ac:dyDescent="0.25">
      <c r="B1149" s="1398" t="s">
        <v>8062</v>
      </c>
      <c r="C1149" s="1398"/>
      <c r="D1149" s="1398"/>
      <c r="E1149" s="854">
        <v>344905100000000</v>
      </c>
      <c r="F1149" s="855" t="s">
        <v>8074</v>
      </c>
      <c r="G1149" s="468">
        <v>31</v>
      </c>
      <c r="H1149" s="468">
        <v>0</v>
      </c>
      <c r="I1149" s="751"/>
      <c r="J1149" s="789">
        <f>('Parâmetros financeiros Despesa'!E$969)</f>
        <v>0</v>
      </c>
      <c r="K1149" s="789">
        <f>('Parâmetros financeiros Despesa'!F$969)*(1+'Parâmetros financeiros Despesa'!F$4)*(1+'Parâmetros financeiros Despesa'!F$7)</f>
        <v>10.903315000000001</v>
      </c>
      <c r="L1149" s="799">
        <f t="shared" si="136"/>
        <v>3.6597069526627682E-6</v>
      </c>
      <c r="M1149" s="894"/>
      <c r="O1149" s="733"/>
    </row>
    <row r="1150" spans="2:15" s="115" customFormat="1" ht="30" x14ac:dyDescent="0.25">
      <c r="B1150" s="1398" t="s">
        <v>8063</v>
      </c>
      <c r="C1150" s="1398"/>
      <c r="D1150" s="1398"/>
      <c r="E1150" s="854">
        <v>344905200000000</v>
      </c>
      <c r="F1150" s="855" t="s">
        <v>8075</v>
      </c>
      <c r="G1150" s="468">
        <v>31</v>
      </c>
      <c r="H1150" s="468">
        <v>0</v>
      </c>
      <c r="I1150" s="751"/>
      <c r="J1150" s="789">
        <f>('Parâmetros financeiros Despesa'!E$970)</f>
        <v>0</v>
      </c>
      <c r="K1150" s="789">
        <f>('Parâmetros financeiros Despesa'!F$970)*(1+'Parâmetros financeiros Despesa'!F$4)*(1+'Parâmetros financeiros Despesa'!F$7)</f>
        <v>10.903315000000001</v>
      </c>
      <c r="L1150" s="799">
        <f t="shared" si="136"/>
        <v>3.6597069526627682E-6</v>
      </c>
      <c r="M1150" s="894"/>
      <c r="O1150" s="733"/>
    </row>
    <row r="1151" spans="2:15" x14ac:dyDescent="0.25">
      <c r="B1151" s="1385" t="s">
        <v>7913</v>
      </c>
      <c r="C1151" s="1385"/>
      <c r="D1151" s="1385"/>
      <c r="E1151" s="1385"/>
      <c r="F1151" s="1385"/>
      <c r="G1151" s="401"/>
      <c r="H1151" s="401"/>
      <c r="I1151" s="426"/>
      <c r="J1151" s="402">
        <f t="shared" ref="J1151:K1153" si="140">J1152</f>
        <v>177002.72077499999</v>
      </c>
      <c r="K1151" s="402">
        <f t="shared" si="140"/>
        <v>271216.37325558538</v>
      </c>
      <c r="L1151" s="451">
        <f t="shared" si="136"/>
        <v>9.1034006343891388E-2</v>
      </c>
    </row>
    <row r="1152" spans="2:15" x14ac:dyDescent="0.25">
      <c r="B1152" s="1386" t="s">
        <v>8032</v>
      </c>
      <c r="C1152" s="1386"/>
      <c r="D1152" s="1386"/>
      <c r="E1152" s="1386"/>
      <c r="F1152" s="1386"/>
      <c r="G1152" s="403"/>
      <c r="H1152" s="403"/>
      <c r="I1152" s="427"/>
      <c r="J1152" s="404">
        <f t="shared" si="140"/>
        <v>177002.72077499999</v>
      </c>
      <c r="K1152" s="404">
        <f t="shared" si="140"/>
        <v>271216.37325558538</v>
      </c>
      <c r="L1152" s="452">
        <f t="shared" si="136"/>
        <v>9.1034006343891388E-2</v>
      </c>
    </row>
    <row r="1153" spans="1:15" x14ac:dyDescent="0.25">
      <c r="B1153" s="1382" t="s">
        <v>7914</v>
      </c>
      <c r="C1153" s="1382"/>
      <c r="D1153" s="1382"/>
      <c r="E1153" s="1382"/>
      <c r="F1153" s="1382"/>
      <c r="G1153" s="405"/>
      <c r="H1153" s="405"/>
      <c r="I1153" s="428"/>
      <c r="J1153" s="406">
        <f t="shared" si="140"/>
        <v>177002.72077499999</v>
      </c>
      <c r="K1153" s="406">
        <f t="shared" si="140"/>
        <v>271216.37325558538</v>
      </c>
      <c r="L1153" s="453">
        <f t="shared" si="136"/>
        <v>9.1034006343891388E-2</v>
      </c>
    </row>
    <row r="1154" spans="1:15" x14ac:dyDescent="0.25">
      <c r="B1154" s="1383" t="s">
        <v>7959</v>
      </c>
      <c r="C1154" s="1383"/>
      <c r="D1154" s="1383"/>
      <c r="E1154" s="1383"/>
      <c r="F1154" s="1383"/>
      <c r="G1154" s="407"/>
      <c r="H1154" s="407"/>
      <c r="I1154" s="429"/>
      <c r="J1154" s="408">
        <f>J1155+J1157+J1158+J1159+J1160+J1161+J1162+J1163+J1164+J1165+J1166+J1168+J1169+J1170+J1171+J1167</f>
        <v>177002.72077499999</v>
      </c>
      <c r="K1154" s="408">
        <f>K1155+K1156+K1157+K1158+K1159+K1160+K1161+K1162+K1163+K1164+K1165+K1166+K1168+K1169+K1170+K1171+K1167</f>
        <v>271216.37325558538</v>
      </c>
      <c r="L1154" s="454">
        <f t="shared" si="136"/>
        <v>9.1034006343891388E-2</v>
      </c>
    </row>
    <row r="1155" spans="1:15" s="115" customFormat="1" x14ac:dyDescent="0.25">
      <c r="B1155" s="1398" t="s">
        <v>8077</v>
      </c>
      <c r="C1155" s="1398"/>
      <c r="D1155" s="1398"/>
      <c r="E1155" s="854">
        <v>331900400000000</v>
      </c>
      <c r="F1155" s="855" t="s">
        <v>10541</v>
      </c>
      <c r="G1155" s="468">
        <v>31</v>
      </c>
      <c r="H1155" s="468">
        <v>0</v>
      </c>
      <c r="I1155" s="751"/>
      <c r="J1155" s="789">
        <f>(('Parâmetros financeiros Despesa'!E$972))</f>
        <v>10515.7870625</v>
      </c>
      <c r="K1155" s="789">
        <f>(('Parâmetros financeiros Despesa'!F$972)*2.05+(('Parâmetros financeiros Despesa'!F$972)*11.28)*(1+'Parâmetros financeiros Despesa'!F$4)*(1+'Parâmetros financeiros Despesa'!F$8))*(1+'Parâmetros financeiros Despesa'!F$80)</f>
        <v>13630.787297083585</v>
      </c>
      <c r="L1155" s="799">
        <f t="shared" si="136"/>
        <v>4.5751853488048486E-3</v>
      </c>
      <c r="M1155" s="894"/>
      <c r="O1155" s="733"/>
    </row>
    <row r="1156" spans="1:15" s="1018" customFormat="1" x14ac:dyDescent="0.25">
      <c r="A1156" s="859"/>
      <c r="B1156" s="1004"/>
      <c r="C1156" s="1004"/>
      <c r="D1156" s="1004" t="s">
        <v>11586</v>
      </c>
      <c r="E1156" s="854">
        <v>331900800000000</v>
      </c>
      <c r="F1156" s="855" t="s">
        <v>11591</v>
      </c>
      <c r="G1156" s="468">
        <v>1</v>
      </c>
      <c r="H1156" s="468">
        <v>0</v>
      </c>
      <c r="I1156" s="751"/>
      <c r="J1156" s="789">
        <f>(('Parâmetros financeiros Despesa'!E972))</f>
        <v>10515.7870625</v>
      </c>
      <c r="K1156" s="789">
        <f>(('Parâmetros financeiros Despesa'!F972)*2.05+(('Parâmetros financeiros Despesa'!F963)*11.28)*(1+'Parâmetros financeiros Despesa'!F$4)*(1+'Parâmetros financeiros Despesa'!F$8))</f>
        <v>61146.359363618642</v>
      </c>
      <c r="L1156" s="799">
        <f t="shared" ref="L1156:L1187" si="141">K1156/K$1262</f>
        <v>2.0523827523377183E-2</v>
      </c>
      <c r="M1156" s="883"/>
      <c r="O1156" s="1019"/>
    </row>
    <row r="1157" spans="1:15" s="115" customFormat="1" x14ac:dyDescent="0.25">
      <c r="B1157" s="1398" t="s">
        <v>8078</v>
      </c>
      <c r="C1157" s="1398"/>
      <c r="D1157" s="1398"/>
      <c r="E1157" s="854">
        <v>331901100000000</v>
      </c>
      <c r="F1157" s="855" t="s">
        <v>10542</v>
      </c>
      <c r="G1157" s="468">
        <v>31</v>
      </c>
      <c r="H1157" s="468">
        <v>0</v>
      </c>
      <c r="I1157" s="751"/>
      <c r="J1157" s="789">
        <f>('Parâmetros financeiros Despesa'!E$974)</f>
        <v>127466.60871249999</v>
      </c>
      <c r="K1157" s="789">
        <f>('Parâmetros financeiros Despesa'!F$974)*2.05+(('Parâmetros financeiros Despesa'!F$974)*11.28)*(1+'Parâmetros financeiros Despesa'!F$4)*(1+'Parâmetros financeiros Despesa'!F$8)</f>
        <v>133451.04225641314</v>
      </c>
      <c r="L1157" s="799">
        <f t="shared" si="141"/>
        <v>4.4792955829111421E-2</v>
      </c>
      <c r="M1157" s="894"/>
      <c r="O1157" s="733"/>
    </row>
    <row r="1158" spans="1:15" s="115" customFormat="1" x14ac:dyDescent="0.25">
      <c r="B1158" s="1398" t="s">
        <v>8079</v>
      </c>
      <c r="C1158" s="1398"/>
      <c r="D1158" s="1398"/>
      <c r="E1158" s="854">
        <v>331901300000000</v>
      </c>
      <c r="F1158" s="855" t="s">
        <v>10543</v>
      </c>
      <c r="G1158" s="468">
        <v>31</v>
      </c>
      <c r="H1158" s="468">
        <v>0</v>
      </c>
      <c r="I1158" s="751"/>
      <c r="J1158" s="789">
        <f>'Parâmetros financeiros Despesa'!E975</f>
        <v>17710.14</v>
      </c>
      <c r="K1158" s="789">
        <f>(K1159+K1157)*'Parâmetros financeiros Despesa'!F$80</f>
        <v>31777.215254519833</v>
      </c>
      <c r="L1158" s="799">
        <f t="shared" si="141"/>
        <v>1.0666049325661746E-2</v>
      </c>
      <c r="M1158" s="894"/>
      <c r="O1158" s="733"/>
    </row>
    <row r="1159" spans="1:15" s="115" customFormat="1" x14ac:dyDescent="0.25">
      <c r="B1159" s="1398" t="s">
        <v>8080</v>
      </c>
      <c r="C1159" s="1398"/>
      <c r="D1159" s="1398"/>
      <c r="E1159" s="854">
        <v>331901600000000</v>
      </c>
      <c r="F1159" s="855" t="s">
        <v>10544</v>
      </c>
      <c r="G1159" s="468">
        <v>31</v>
      </c>
      <c r="H1159" s="468">
        <v>0</v>
      </c>
      <c r="I1159" s="751"/>
      <c r="J1159" s="789">
        <f>('Parâmetros financeiros Despesa'!E$976)</f>
        <v>0</v>
      </c>
      <c r="K1159" s="789">
        <f>('Parâmetros financeiros Despesa'!F$976)*2.05+(('Parâmetros financeiros Despesa'!F$976)*11.28)*(1+'Parâmetros financeiros Despesa'!F$4)*(1+'Parâmetros financeiros Despesa'!F$8)</f>
        <v>13.955830560223728</v>
      </c>
      <c r="L1159" s="799">
        <f t="shared" si="141"/>
        <v>4.6842863965165008E-6</v>
      </c>
      <c r="M1159" s="894"/>
      <c r="O1159" s="733"/>
    </row>
    <row r="1160" spans="1:15" s="115" customFormat="1" x14ac:dyDescent="0.25">
      <c r="B1160" s="1398" t="s">
        <v>8081</v>
      </c>
      <c r="C1160" s="1398"/>
      <c r="D1160" s="1398"/>
      <c r="E1160" s="854">
        <v>333901400000000</v>
      </c>
      <c r="F1160" s="855" t="s">
        <v>10545</v>
      </c>
      <c r="G1160" s="468">
        <v>31</v>
      </c>
      <c r="H1160" s="468">
        <v>0</v>
      </c>
      <c r="I1160" s="751"/>
      <c r="J1160" s="789">
        <f>('Parâmetros financeiros Despesa'!E$977)</f>
        <v>0</v>
      </c>
      <c r="K1160" s="789">
        <f>('Parâmetros financeiros Despesa'!F$977)*2+(('Parâmetros financeiros Despesa'!F$977)*10)*(1+'Parâmetros financeiros Despesa'!F$4)*(1+'Parâmetros financeiros Despesa'!F$8)</f>
        <v>3766.4442979318428</v>
      </c>
      <c r="L1160" s="799">
        <f t="shared" si="141"/>
        <v>1.2642102318385006E-3</v>
      </c>
      <c r="M1160" s="894"/>
      <c r="O1160" s="733"/>
    </row>
    <row r="1161" spans="1:15" s="115" customFormat="1" x14ac:dyDescent="0.25">
      <c r="B1161" s="1396">
        <v>400500</v>
      </c>
      <c r="C1161" s="1396"/>
      <c r="D1161" s="1396"/>
      <c r="E1161" s="854">
        <v>333903000000000</v>
      </c>
      <c r="F1161" s="855" t="s">
        <v>10546</v>
      </c>
      <c r="G1161" s="468">
        <v>31</v>
      </c>
      <c r="H1161" s="468">
        <v>0</v>
      </c>
      <c r="I1161" s="751"/>
      <c r="J1161" s="789">
        <f>('Parâmetros financeiros Despesa'!E978)</f>
        <v>104.44499999999999</v>
      </c>
      <c r="K1161" s="789">
        <f>('Parâmetros financeiros Despesa'!F978)*(1+'Parâmetros financeiros Despesa'!F$4)*(1+'Parâmetros financeiros Despesa'!F$7)</f>
        <v>1090.3315</v>
      </c>
      <c r="L1161" s="799">
        <f t="shared" si="141"/>
        <v>3.6597069526627681E-4</v>
      </c>
      <c r="M1161" s="894"/>
      <c r="O1161" s="733"/>
    </row>
    <row r="1162" spans="1:15" s="115" customFormat="1" x14ac:dyDescent="0.25">
      <c r="B1162" s="1396">
        <v>400600</v>
      </c>
      <c r="C1162" s="1396"/>
      <c r="D1162" s="1396"/>
      <c r="E1162" s="854">
        <v>333903200000000</v>
      </c>
      <c r="F1162" s="855" t="s">
        <v>10547</v>
      </c>
      <c r="G1162" s="468">
        <v>31</v>
      </c>
      <c r="H1162" s="468">
        <v>0</v>
      </c>
      <c r="I1162" s="751"/>
      <c r="J1162" s="789">
        <f>('Parâmetros financeiros Despesa'!E979)</f>
        <v>0</v>
      </c>
      <c r="K1162" s="789">
        <f>('Parâmetros financeiros Despesa'!F979)*(1+'Parâmetros financeiros Despesa'!F$4)*(1+'Parâmetros financeiros Despesa'!F$7)</f>
        <v>3270.9945000000002</v>
      </c>
      <c r="L1162" s="799">
        <f t="shared" si="141"/>
        <v>1.0979120857988304E-3</v>
      </c>
      <c r="M1162" s="894"/>
      <c r="O1162" s="733"/>
    </row>
    <row r="1163" spans="1:15" s="115" customFormat="1" x14ac:dyDescent="0.25">
      <c r="B1163" s="1396">
        <v>400700</v>
      </c>
      <c r="C1163" s="1396"/>
      <c r="D1163" s="1396"/>
      <c r="E1163" s="854">
        <v>333903300000000</v>
      </c>
      <c r="F1163" s="855" t="s">
        <v>10548</v>
      </c>
      <c r="G1163" s="468">
        <v>31</v>
      </c>
      <c r="H1163" s="468">
        <v>0</v>
      </c>
      <c r="I1163" s="751"/>
      <c r="J1163" s="789">
        <f>('Parâmetros financeiros Despesa'!E979)</f>
        <v>0</v>
      </c>
      <c r="K1163" s="789">
        <f>('Parâmetros financeiros Despesa'!F979)*(1+'Parâmetros financeiros Despesa'!F$4)*(1+'Parâmetros financeiros Despesa'!F$7)</f>
        <v>3270.9945000000002</v>
      </c>
      <c r="L1163" s="799">
        <f t="shared" si="141"/>
        <v>1.0979120857988304E-3</v>
      </c>
      <c r="M1163" s="894"/>
      <c r="O1163" s="733"/>
    </row>
    <row r="1164" spans="1:15" s="115" customFormat="1" x14ac:dyDescent="0.25">
      <c r="B1164" s="1398" t="s">
        <v>8082</v>
      </c>
      <c r="C1164" s="1398"/>
      <c r="D1164" s="1398"/>
      <c r="E1164" s="854">
        <v>333903500000000</v>
      </c>
      <c r="F1164" s="855" t="s">
        <v>10549</v>
      </c>
      <c r="G1164" s="468">
        <v>31</v>
      </c>
      <c r="H1164" s="468">
        <v>0</v>
      </c>
      <c r="I1164" s="751"/>
      <c r="J1164" s="789">
        <f>('Parâmetros financeiros Despesa'!E980)</f>
        <v>0</v>
      </c>
      <c r="K1164" s="789">
        <f>('Parâmetros financeiros Despesa'!F980)*(1+'Parâmetros financeiros Despesa'!F$4)*(1+'Parâmetros financeiros Despesa'!F$7)</f>
        <v>1635.4972500000001</v>
      </c>
      <c r="L1164" s="799">
        <f t="shared" si="141"/>
        <v>5.4895604289941522E-4</v>
      </c>
      <c r="M1164" s="894"/>
      <c r="O1164" s="733"/>
    </row>
    <row r="1165" spans="1:15" s="115" customFormat="1" x14ac:dyDescent="0.25">
      <c r="B1165" s="1398" t="s">
        <v>8083</v>
      </c>
      <c r="C1165" s="1398"/>
      <c r="D1165" s="1398"/>
      <c r="E1165" s="854">
        <v>333903600000000</v>
      </c>
      <c r="F1165" s="855" t="s">
        <v>10550</v>
      </c>
      <c r="G1165" s="468">
        <v>1</v>
      </c>
      <c r="H1165" s="468">
        <v>0</v>
      </c>
      <c r="I1165" s="751"/>
      <c r="J1165" s="789">
        <f>('Parâmetros financeiros Despesa'!E981)</f>
        <v>0</v>
      </c>
      <c r="K1165" s="789">
        <f>('Parâmetros financeiros Despesa'!F981)*(1+'Parâmetros financeiros Despesa'!F$4)*(1+'Parâmetros financeiros Despesa'!F$7)</f>
        <v>5451.6575000000003</v>
      </c>
      <c r="L1165" s="799">
        <f t="shared" si="141"/>
        <v>1.8298534763313841E-3</v>
      </c>
      <c r="M1165" s="894"/>
      <c r="O1165" s="733"/>
    </row>
    <row r="1166" spans="1:15" s="115" customFormat="1" x14ac:dyDescent="0.25">
      <c r="B1166" s="1398" t="s">
        <v>8084</v>
      </c>
      <c r="C1166" s="1398"/>
      <c r="D1166" s="1398"/>
      <c r="E1166" s="854">
        <v>333903900000000</v>
      </c>
      <c r="F1166" s="855" t="s">
        <v>10551</v>
      </c>
      <c r="G1166" s="468">
        <v>31</v>
      </c>
      <c r="H1166" s="468">
        <v>0</v>
      </c>
      <c r="I1166" s="751"/>
      <c r="J1166" s="789">
        <f>('Parâmetros financeiros Despesa'!E982)</f>
        <v>0</v>
      </c>
      <c r="K1166" s="789">
        <f>('Parâmetros financeiros Despesa'!F982)*(1+'Parâmetros financeiros Despesa'!F$4)*(1+'Parâmetros financeiros Despesa'!F$7)</f>
        <v>1981.470338265</v>
      </c>
      <c r="L1166" s="799">
        <f t="shared" si="141"/>
        <v>6.6508220421435745E-4</v>
      </c>
      <c r="M1166" s="894"/>
      <c r="O1166" s="733"/>
    </row>
    <row r="1167" spans="1:15" s="115" customFormat="1" x14ac:dyDescent="0.25">
      <c r="B1167" s="1398" t="s">
        <v>8085</v>
      </c>
      <c r="C1167" s="1398"/>
      <c r="D1167" s="1398"/>
      <c r="E1167" s="854">
        <v>333904700000000</v>
      </c>
      <c r="F1167" s="855" t="s">
        <v>10552</v>
      </c>
      <c r="G1167" s="468">
        <v>31</v>
      </c>
      <c r="H1167" s="468">
        <v>0</v>
      </c>
      <c r="I1167" s="751"/>
      <c r="J1167" s="789">
        <f>'Parâmetros financeiros Despesa'!E983</f>
        <v>0</v>
      </c>
      <c r="K1167" s="789">
        <f>(('Parâmetros financeiros Despesa'!F981)*(1+'Parâmetros financeiros Despesa'!F$4)*(1+'Parâmetros financeiros Despesa'!F$7))*('Parâmetros financeiros Despesa'!F$83)</f>
        <v>1090.3315</v>
      </c>
      <c r="L1167" s="799">
        <f t="shared" si="141"/>
        <v>3.6597069526627681E-4</v>
      </c>
      <c r="M1167" s="894"/>
      <c r="O1167" s="733"/>
    </row>
    <row r="1168" spans="1:15" s="115" customFormat="1" x14ac:dyDescent="0.25">
      <c r="B1168" s="1398" t="s">
        <v>8086</v>
      </c>
      <c r="C1168" s="1398"/>
      <c r="D1168" s="1398"/>
      <c r="E1168" s="854">
        <v>333904900000000</v>
      </c>
      <c r="F1168" s="855" t="s">
        <v>10553</v>
      </c>
      <c r="G1168" s="468">
        <v>31</v>
      </c>
      <c r="H1168" s="468">
        <v>0</v>
      </c>
      <c r="I1168" s="751"/>
      <c r="J1168" s="789">
        <f>('Parâmetros financeiros Despesa'!E$984+'Parâmetros financeiros Despesa'!E985)*2+(('Parâmetros financeiros Despesa'!E$984+'Parâmetros financeiros Despesa'!E985))</f>
        <v>19870.739999999998</v>
      </c>
      <c r="K1168" s="789">
        <f>('Parâmetros financeiros Despesa'!F$984+'Parâmetros financeiros Despesa'!F985)*2+(('Parâmetros financeiros Despesa'!F$984+'Parâmetros financeiros Despesa'!F985)*10)*(1+'Parâmetros financeiros Despesa'!F$4)*(1+'Parâmetros financeiros Despesa'!F$8)</f>
        <v>6929.8180896931653</v>
      </c>
      <c r="L1168" s="799">
        <f t="shared" si="141"/>
        <v>2.3259993353891267E-3</v>
      </c>
      <c r="M1168" s="894"/>
      <c r="O1168" s="733"/>
    </row>
    <row r="1169" spans="1:15" s="115" customFormat="1" x14ac:dyDescent="0.25">
      <c r="B1169" s="1398" t="s">
        <v>8087</v>
      </c>
      <c r="C1169" s="1398"/>
      <c r="D1169" s="1398"/>
      <c r="E1169" s="854">
        <v>333909300000000</v>
      </c>
      <c r="F1169" s="855" t="s">
        <v>10554</v>
      </c>
      <c r="G1169" s="468">
        <v>31</v>
      </c>
      <c r="H1169" s="468">
        <v>0</v>
      </c>
      <c r="I1169" s="751"/>
      <c r="J1169" s="789">
        <f>('Parâmetros financeiros Despesa'!E$986)</f>
        <v>0</v>
      </c>
      <c r="K1169" s="789">
        <f>('Parâmetros financeiros Despesa'!F$986)*(1+'Parâmetros financeiros Despesa'!F$4)*(1+'Parâmetros financeiros Despesa'!F$7)</f>
        <v>163.549725</v>
      </c>
      <c r="L1169" s="799">
        <f t="shared" si="141"/>
        <v>5.489560428994152E-5</v>
      </c>
      <c r="M1169" s="894"/>
      <c r="O1169" s="733"/>
    </row>
    <row r="1170" spans="1:15" s="115" customFormat="1" ht="30" x14ac:dyDescent="0.25">
      <c r="B1170" s="1398" t="s">
        <v>8094</v>
      </c>
      <c r="C1170" s="1398"/>
      <c r="D1170" s="1398"/>
      <c r="E1170" s="854">
        <v>333933000000000</v>
      </c>
      <c r="F1170" s="855" t="s">
        <v>10555</v>
      </c>
      <c r="G1170" s="468">
        <v>31</v>
      </c>
      <c r="H1170" s="468">
        <v>0</v>
      </c>
      <c r="I1170" s="751"/>
      <c r="J1170" s="789">
        <f>('Parâmetros financeiros Despesa'!E$987)</f>
        <v>0</v>
      </c>
      <c r="K1170" s="789">
        <f>('Parâmetros financeiros Despesa'!F$987)*(1+'Parâmetros financeiros Despesa'!F$4)*(1+'Parâmetros financeiros Despesa'!F$7)</f>
        <v>1090.3315</v>
      </c>
      <c r="L1170" s="799">
        <f t="shared" si="141"/>
        <v>3.6597069526627681E-4</v>
      </c>
      <c r="M1170" s="894"/>
      <c r="O1170" s="733"/>
    </row>
    <row r="1171" spans="1:15" s="115" customFormat="1" ht="30" x14ac:dyDescent="0.25">
      <c r="B1171" s="1398" t="s">
        <v>8095</v>
      </c>
      <c r="C1171" s="1398"/>
      <c r="D1171" s="1398"/>
      <c r="E1171" s="854">
        <v>344905200000000</v>
      </c>
      <c r="F1171" s="855" t="s">
        <v>10556</v>
      </c>
      <c r="G1171" s="468">
        <v>31</v>
      </c>
      <c r="H1171" s="468">
        <v>0</v>
      </c>
      <c r="I1171" s="751"/>
      <c r="J1171" s="789">
        <f>('Parâmetros financeiros Despesa'!E$988)</f>
        <v>1335</v>
      </c>
      <c r="K1171" s="789">
        <f>('Parâmetros financeiros Despesa'!F$988)*(1+'Parâmetros financeiros Despesa'!F$4)*(1+'Parâmetros financeiros Despesa'!F$7)</f>
        <v>1455.5925525</v>
      </c>
      <c r="L1171" s="799">
        <f t="shared" si="141"/>
        <v>4.8857087818047953E-4</v>
      </c>
      <c r="M1171" s="894"/>
      <c r="O1171" s="733"/>
    </row>
    <row r="1172" spans="1:15" x14ac:dyDescent="0.25">
      <c r="B1172" s="1385" t="s">
        <v>7913</v>
      </c>
      <c r="C1172" s="1385"/>
      <c r="D1172" s="1385"/>
      <c r="E1172" s="1385"/>
      <c r="F1172" s="1385"/>
      <c r="G1172" s="401"/>
      <c r="H1172" s="401"/>
      <c r="I1172" s="426"/>
      <c r="J1172" s="402">
        <f t="shared" ref="J1172:K1174" si="142">J1173</f>
        <v>112488.82568750001</v>
      </c>
      <c r="K1172" s="402">
        <f t="shared" si="142"/>
        <v>125933.35615054351</v>
      </c>
      <c r="L1172" s="451">
        <f t="shared" si="141"/>
        <v>4.2269638094130146E-2</v>
      </c>
    </row>
    <row r="1173" spans="1:15" x14ac:dyDescent="0.25">
      <c r="B1173" s="1386" t="s">
        <v>8035</v>
      </c>
      <c r="C1173" s="1386"/>
      <c r="D1173" s="1386"/>
      <c r="E1173" s="1386"/>
      <c r="F1173" s="1386"/>
      <c r="G1173" s="403"/>
      <c r="H1173" s="403"/>
      <c r="I1173" s="427"/>
      <c r="J1173" s="404">
        <f t="shared" si="142"/>
        <v>112488.82568750001</v>
      </c>
      <c r="K1173" s="404">
        <f t="shared" si="142"/>
        <v>125933.35615054351</v>
      </c>
      <c r="L1173" s="452">
        <f t="shared" si="141"/>
        <v>4.2269638094130146E-2</v>
      </c>
    </row>
    <row r="1174" spans="1:15" x14ac:dyDescent="0.25">
      <c r="B1174" s="1382" t="s">
        <v>7914</v>
      </c>
      <c r="C1174" s="1382"/>
      <c r="D1174" s="1382"/>
      <c r="E1174" s="1382"/>
      <c r="F1174" s="1382"/>
      <c r="G1174" s="405"/>
      <c r="H1174" s="405"/>
      <c r="I1174" s="428"/>
      <c r="J1174" s="406">
        <f t="shared" si="142"/>
        <v>112488.82568750001</v>
      </c>
      <c r="K1174" s="406">
        <f t="shared" si="142"/>
        <v>125933.35615054351</v>
      </c>
      <c r="L1174" s="453">
        <f t="shared" si="141"/>
        <v>4.2269638094130146E-2</v>
      </c>
    </row>
    <row r="1175" spans="1:15" x14ac:dyDescent="0.25">
      <c r="B1175" s="1383" t="s">
        <v>8097</v>
      </c>
      <c r="C1175" s="1383"/>
      <c r="D1175" s="1383"/>
      <c r="E1175" s="1383"/>
      <c r="F1175" s="1383"/>
      <c r="G1175" s="407"/>
      <c r="H1175" s="407"/>
      <c r="I1175" s="429"/>
      <c r="J1175" s="408">
        <f>SUM(J1176:J1188)+J1189+J1190+J1192+J1191+0.01</f>
        <v>112488.82568750001</v>
      </c>
      <c r="K1175" s="408">
        <f>SUM(K1176:K1188)+K1189+K1190+K1192+K1191+0.02</f>
        <v>125933.35615054351</v>
      </c>
      <c r="L1175" s="454">
        <f t="shared" si="141"/>
        <v>4.2269638094130146E-2</v>
      </c>
    </row>
    <row r="1176" spans="1:15" s="115" customFormat="1" x14ac:dyDescent="0.25">
      <c r="B1176" s="1398" t="s">
        <v>8088</v>
      </c>
      <c r="C1176" s="1398"/>
      <c r="D1176" s="1398"/>
      <c r="E1176" s="854">
        <v>331900400000000</v>
      </c>
      <c r="F1176" s="855" t="s">
        <v>10572</v>
      </c>
      <c r="G1176" s="468">
        <v>31</v>
      </c>
      <c r="H1176" s="468">
        <v>0</v>
      </c>
      <c r="I1176" s="751"/>
      <c r="J1176" s="789">
        <f>(('Parâmetros financeiros Despesa'!E$990))</f>
        <v>0</v>
      </c>
      <c r="K1176" s="789">
        <f>(('Parâmetros financeiros Despesa'!F$990)*2.05+(('Parâmetros financeiros Despesa'!F$990)*11.28)*(1+'Parâmetros financeiros Despesa'!F$4)*(1+'Parâmetros financeiros Despesa'!F$8))*(1+'Parâmetros financeiros Despesa'!F$80)</f>
        <v>17.278630081629636</v>
      </c>
      <c r="L1176" s="799">
        <f t="shared" si="141"/>
        <v>5.7995868818087001E-6</v>
      </c>
      <c r="M1176" s="894"/>
      <c r="O1176" s="733"/>
    </row>
    <row r="1177" spans="1:15" s="1018" customFormat="1" x14ac:dyDescent="0.25">
      <c r="A1177" s="859"/>
      <c r="B1177" s="1004"/>
      <c r="C1177" s="1004"/>
      <c r="D1177" s="1004" t="s">
        <v>11584</v>
      </c>
      <c r="E1177" s="854">
        <v>331900800000000</v>
      </c>
      <c r="F1177" s="855" t="s">
        <v>11593</v>
      </c>
      <c r="G1177" s="468">
        <v>1</v>
      </c>
      <c r="H1177" s="468">
        <v>0</v>
      </c>
      <c r="I1177" s="751"/>
      <c r="J1177" s="789">
        <f>(('Parâmetros financeiros Despesa'!E991))</f>
        <v>0</v>
      </c>
      <c r="K1177" s="789">
        <f>(('Parâmetros financeiros Despesa'!F991)*2.05+(('Parâmetros financeiros Despesa'!F991)*11.28)*(1+'Parâmetros financeiros Despesa'!F$4)*(1+'Parâmetros financeiros Despesa'!F$8))</f>
        <v>13.955830560223728</v>
      </c>
      <c r="L1177" s="799">
        <f t="shared" si="141"/>
        <v>4.6842863965165008E-6</v>
      </c>
      <c r="M1177" s="883"/>
      <c r="O1177" s="1019"/>
    </row>
    <row r="1178" spans="1:15" s="115" customFormat="1" x14ac:dyDescent="0.25">
      <c r="B1178" s="1398" t="s">
        <v>8089</v>
      </c>
      <c r="C1178" s="1398"/>
      <c r="D1178" s="1398"/>
      <c r="E1178" s="854">
        <v>331901100000000</v>
      </c>
      <c r="F1178" s="855" t="s">
        <v>10573</v>
      </c>
      <c r="G1178" s="468">
        <v>31</v>
      </c>
      <c r="H1178" s="468">
        <v>0</v>
      </c>
      <c r="I1178" s="751"/>
      <c r="J1178" s="789">
        <f>('Parâmetros financeiros Despesa'!E$992)</f>
        <v>88728.3956875</v>
      </c>
      <c r="K1178" s="789">
        <f>('Parâmetros financeiros Despesa'!F$992)*2.05+(('Parâmetros financeiros Despesa'!F$992)*11.28)*(1+'Parâmetros financeiros Despesa'!F$4)*(1+'Parâmetros financeiros Despesa'!F$8)</f>
        <v>92894.107734076199</v>
      </c>
      <c r="L1178" s="799">
        <f t="shared" si="141"/>
        <v>3.1179986264342804E-2</v>
      </c>
      <c r="M1178" s="894"/>
      <c r="O1178" s="733"/>
    </row>
    <row r="1179" spans="1:15" s="115" customFormat="1" x14ac:dyDescent="0.25">
      <c r="B1179" s="1398" t="s">
        <v>8090</v>
      </c>
      <c r="C1179" s="1398"/>
      <c r="D1179" s="1398"/>
      <c r="E1179" s="854">
        <v>331901300000000</v>
      </c>
      <c r="F1179" s="855" t="s">
        <v>10574</v>
      </c>
      <c r="G1179" s="468">
        <v>31</v>
      </c>
      <c r="H1179" s="468">
        <v>0</v>
      </c>
      <c r="I1179" s="751"/>
      <c r="J1179" s="789">
        <f>'Parâmetros financeiros Despesa'!E993</f>
        <v>18526.064999999999</v>
      </c>
      <c r="K1179" s="789">
        <f>(K1180+K1178)*'Parâmetros financeiros Despesa'!F$80</f>
        <v>22120.852486358544</v>
      </c>
      <c r="L1179" s="799">
        <f t="shared" si="141"/>
        <v>7.4248829501077276E-3</v>
      </c>
      <c r="M1179" s="894"/>
      <c r="O1179" s="733"/>
    </row>
    <row r="1180" spans="1:15" s="115" customFormat="1" x14ac:dyDescent="0.25">
      <c r="B1180" s="1398" t="s">
        <v>8091</v>
      </c>
      <c r="C1180" s="1398"/>
      <c r="D1180" s="1398"/>
      <c r="E1180" s="854">
        <v>331901600000000</v>
      </c>
      <c r="F1180" s="855" t="s">
        <v>10575</v>
      </c>
      <c r="G1180" s="468">
        <v>31</v>
      </c>
      <c r="H1180" s="468">
        <v>0</v>
      </c>
      <c r="I1180" s="751"/>
      <c r="J1180" s="789">
        <f>('Parâmetros financeiros Despesa'!E$994)</f>
        <v>0</v>
      </c>
      <c r="K1180" s="789">
        <f>('Parâmetros financeiros Despesa'!F$994)*2.05+(('Parâmetros financeiros Despesa'!F$994)*11.28)*(1+'Parâmetros financeiros Despesa'!F$4)*(1+'Parâmetros financeiros Despesa'!F$8)</f>
        <v>13.955830560223728</v>
      </c>
      <c r="L1180" s="799">
        <f t="shared" si="141"/>
        <v>4.6842863965165008E-6</v>
      </c>
      <c r="M1180" s="894"/>
      <c r="O1180" s="733"/>
    </row>
    <row r="1181" spans="1:15" s="115" customFormat="1" x14ac:dyDescent="0.25">
      <c r="B1181" s="1398" t="s">
        <v>8098</v>
      </c>
      <c r="C1181" s="1398"/>
      <c r="D1181" s="1398"/>
      <c r="E1181" s="854">
        <v>333901400000000</v>
      </c>
      <c r="F1181" s="855" t="s">
        <v>10576</v>
      </c>
      <c r="G1181" s="468">
        <v>31</v>
      </c>
      <c r="H1181" s="468">
        <v>0</v>
      </c>
      <c r="I1181" s="751"/>
      <c r="J1181" s="789">
        <f>('Parâmetros financeiros Despesa'!E$995)</f>
        <v>0</v>
      </c>
      <c r="K1181" s="789">
        <f>('Parâmetros financeiros Despesa'!F$995)*2+(('Parâmetros financeiros Despesa'!F$995)*10)*(1+'Parâmetros financeiros Despesa'!F$4)*(1+'Parâmetros financeiros Despesa'!F$8)</f>
        <v>903.94663150364215</v>
      </c>
      <c r="L1181" s="799">
        <f t="shared" si="141"/>
        <v>3.0341045564124012E-4</v>
      </c>
      <c r="M1181" s="894"/>
      <c r="O1181" s="733"/>
    </row>
    <row r="1182" spans="1:15" s="115" customFormat="1" x14ac:dyDescent="0.25">
      <c r="B1182" s="1396">
        <v>402500</v>
      </c>
      <c r="C1182" s="1396"/>
      <c r="D1182" s="1396"/>
      <c r="E1182" s="854">
        <v>333903000000000</v>
      </c>
      <c r="F1182" s="855" t="s">
        <v>10577</v>
      </c>
      <c r="G1182" s="468">
        <v>31</v>
      </c>
      <c r="H1182" s="468">
        <v>0</v>
      </c>
      <c r="I1182" s="751"/>
      <c r="J1182" s="789">
        <f>('Parâmetros financeiros Despesa'!E996)</f>
        <v>104.44499999999999</v>
      </c>
      <c r="K1182" s="789">
        <f>('Parâmetros financeiros Despesa'!F996)*(1+'Parâmetros financeiros Despesa'!F$4)*(1+'Parâmetros financeiros Despesa'!F$7)</f>
        <v>109.03315000000001</v>
      </c>
      <c r="L1182" s="799">
        <f t="shared" si="141"/>
        <v>3.6597069526627682E-5</v>
      </c>
      <c r="M1182" s="894"/>
      <c r="O1182" s="733"/>
    </row>
    <row r="1183" spans="1:15" s="115" customFormat="1" x14ac:dyDescent="0.25">
      <c r="B1183" s="1396">
        <v>402600</v>
      </c>
      <c r="C1183" s="1396"/>
      <c r="D1183" s="1396"/>
      <c r="E1183" s="854">
        <v>333903200000000</v>
      </c>
      <c r="F1183" s="855" t="s">
        <v>10578</v>
      </c>
      <c r="G1183" s="468">
        <v>31</v>
      </c>
      <c r="H1183" s="468">
        <v>0</v>
      </c>
      <c r="I1183" s="751"/>
      <c r="J1183" s="789">
        <f>('Parâmetros financeiros Despesa'!E997)</f>
        <v>0</v>
      </c>
      <c r="K1183" s="789">
        <f>('Parâmetros financeiros Despesa'!F997)*(1+'Parâmetros financeiros Despesa'!F$4)*(1+'Parâmetros financeiros Despesa'!F$7)</f>
        <v>1635.4972500000001</v>
      </c>
      <c r="L1183" s="799">
        <f t="shared" si="141"/>
        <v>5.4895604289941522E-4</v>
      </c>
      <c r="M1183" s="894"/>
      <c r="O1183" s="733"/>
    </row>
    <row r="1184" spans="1:15" s="115" customFormat="1" x14ac:dyDescent="0.25">
      <c r="B1184" s="1396">
        <v>402700</v>
      </c>
      <c r="C1184" s="1396"/>
      <c r="D1184" s="1396"/>
      <c r="E1184" s="854">
        <v>333903300000000</v>
      </c>
      <c r="F1184" s="855" t="s">
        <v>10579</v>
      </c>
      <c r="G1184" s="468">
        <v>31</v>
      </c>
      <c r="H1184" s="468">
        <v>0</v>
      </c>
      <c r="I1184" s="751"/>
      <c r="J1184" s="789">
        <f>('Parâmetros financeiros Despesa'!E998)</f>
        <v>0</v>
      </c>
      <c r="K1184" s="789">
        <f>('Parâmetros financeiros Despesa'!F998)*(1+'Parâmetros financeiros Despesa'!F$4)*(1+'Parâmetros financeiros Despesa'!F$7)</f>
        <v>327.09944999999999</v>
      </c>
      <c r="L1184" s="799">
        <f t="shared" si="141"/>
        <v>1.0979120857988304E-4</v>
      </c>
      <c r="M1184" s="894"/>
      <c r="O1184" s="733"/>
    </row>
    <row r="1185" spans="1:15" s="115" customFormat="1" x14ac:dyDescent="0.25">
      <c r="B1185" s="1398" t="s">
        <v>8099</v>
      </c>
      <c r="C1185" s="1398"/>
      <c r="D1185" s="1398"/>
      <c r="E1185" s="854">
        <v>333903500000000</v>
      </c>
      <c r="F1185" s="855" t="s">
        <v>10580</v>
      </c>
      <c r="G1185" s="468">
        <v>31</v>
      </c>
      <c r="H1185" s="468">
        <v>0</v>
      </c>
      <c r="I1185" s="751"/>
      <c r="J1185" s="789">
        <f>('Parâmetros financeiros Despesa'!E999)</f>
        <v>0</v>
      </c>
      <c r="K1185" s="789">
        <f>('Parâmetros financeiros Despesa'!F999)*(1+'Parâmetros financeiros Despesa'!F$4)*(1+'Parâmetros financeiros Despesa'!F$7)</f>
        <v>872.26520000000005</v>
      </c>
      <c r="L1185" s="799">
        <f t="shared" si="141"/>
        <v>2.9277655621302146E-4</v>
      </c>
      <c r="M1185" s="894"/>
      <c r="O1185" s="733"/>
    </row>
    <row r="1186" spans="1:15" s="115" customFormat="1" x14ac:dyDescent="0.25">
      <c r="B1186" s="1398" t="s">
        <v>8100</v>
      </c>
      <c r="C1186" s="1398"/>
      <c r="D1186" s="1398"/>
      <c r="E1186" s="854">
        <v>333903600000000</v>
      </c>
      <c r="F1186" s="855" t="s">
        <v>10581</v>
      </c>
      <c r="G1186" s="468">
        <v>1</v>
      </c>
      <c r="H1186" s="468">
        <v>0</v>
      </c>
      <c r="I1186" s="751"/>
      <c r="J1186" s="789">
        <f>('Parâmetros financeiros Despesa'!E1000)</f>
        <v>0</v>
      </c>
      <c r="K1186" s="789">
        <f>('Parâmetros financeiros Despesa'!F1000)*(1+'Parâmetros financeiros Despesa'!F$4)*(1+'Parâmetros financeiros Despesa'!F$7)</f>
        <v>872.26520000000005</v>
      </c>
      <c r="L1186" s="799">
        <f t="shared" si="141"/>
        <v>2.9277655621302146E-4</v>
      </c>
      <c r="M1186" s="894"/>
      <c r="O1186" s="733"/>
    </row>
    <row r="1187" spans="1:15" s="115" customFormat="1" x14ac:dyDescent="0.25">
      <c r="B1187" s="1398" t="s">
        <v>8101</v>
      </c>
      <c r="C1187" s="1398"/>
      <c r="D1187" s="1398"/>
      <c r="E1187" s="854">
        <v>333903900000000</v>
      </c>
      <c r="F1187" s="855" t="s">
        <v>10582</v>
      </c>
      <c r="G1187" s="468">
        <v>31</v>
      </c>
      <c r="H1187" s="468">
        <v>0</v>
      </c>
      <c r="I1187" s="751"/>
      <c r="J1187" s="789">
        <f>('Parâmetros financeiros Despesa'!E1002)</f>
        <v>2564.9549999999999</v>
      </c>
      <c r="K1187" s="789">
        <f>('Parâmetros financeiros Despesa'!F1002)*(1+'Parâmetros financeiros Despesa'!F$4)*(1+'Parâmetros financeiros Despesa'!F$7)</f>
        <v>155.36951292124999</v>
      </c>
      <c r="L1187" s="799">
        <f t="shared" si="141"/>
        <v>5.2149909148706275E-5</v>
      </c>
      <c r="M1187" s="894"/>
      <c r="O1187" s="733"/>
    </row>
    <row r="1188" spans="1:15" s="115" customFormat="1" x14ac:dyDescent="0.25">
      <c r="B1188" s="1398" t="s">
        <v>8102</v>
      </c>
      <c r="C1188" s="1398"/>
      <c r="D1188" s="1398"/>
      <c r="E1188" s="854">
        <v>333904700000000</v>
      </c>
      <c r="F1188" s="855" t="s">
        <v>10583</v>
      </c>
      <c r="G1188" s="468">
        <v>31</v>
      </c>
      <c r="H1188" s="468">
        <v>0</v>
      </c>
      <c r="I1188" s="751"/>
      <c r="J1188" s="789">
        <f>'Parâmetros financeiros Despesa'!E1001</f>
        <v>0</v>
      </c>
      <c r="K1188" s="789">
        <f>(('Parâmetros financeiros Despesa'!F999)*(1+'Parâmetros financeiros Despesa'!F$4)*(1+'Parâmetros financeiros Despesa'!F$7))*('Parâmetros financeiros Despesa'!F$83)</f>
        <v>174.45304000000002</v>
      </c>
      <c r="L1188" s="799">
        <f t="shared" ref="L1188:L1219" si="143">K1188/K$1262</f>
        <v>5.8555311242604292E-5</v>
      </c>
      <c r="M1188" s="894"/>
      <c r="O1188" s="733"/>
    </row>
    <row r="1189" spans="1:15" s="115" customFormat="1" x14ac:dyDescent="0.25">
      <c r="B1189" s="1398" t="s">
        <v>8103</v>
      </c>
      <c r="C1189" s="1398"/>
      <c r="D1189" s="1398"/>
      <c r="E1189" s="854">
        <v>333904900000000</v>
      </c>
      <c r="F1189" s="855" t="s">
        <v>10584</v>
      </c>
      <c r="G1189" s="468">
        <v>31</v>
      </c>
      <c r="H1189" s="468">
        <v>0</v>
      </c>
      <c r="I1189" s="751"/>
      <c r="J1189" s="789">
        <f>('Parâmetros financeiros Despesa'!E$1002+'Parâmetros financeiros Despesa'!E1003)</f>
        <v>2564.9549999999999</v>
      </c>
      <c r="K1189" s="789">
        <f>('Parâmetros financeiros Despesa'!F$1002+'Parâmetros financeiros Despesa'!F1003)*2+(('Parâmetros financeiros Despesa'!F$1002+'Parâmetros financeiros Despesa'!F1003)*10)*(1+'Parâmetros financeiros Despesa'!F$4)*(1+'Parâmetros financeiros Despesa'!F$8)</f>
        <v>1789.0296544818088</v>
      </c>
      <c r="L1189" s="799">
        <f t="shared" si="143"/>
        <v>6.0048932503802238E-4</v>
      </c>
      <c r="M1189" s="894"/>
      <c r="O1189" s="733"/>
    </row>
    <row r="1190" spans="1:15" s="115" customFormat="1" x14ac:dyDescent="0.25">
      <c r="B1190" s="1398" t="s">
        <v>8104</v>
      </c>
      <c r="C1190" s="1398"/>
      <c r="D1190" s="1398"/>
      <c r="E1190" s="854">
        <v>333909300000000</v>
      </c>
      <c r="F1190" s="855" t="s">
        <v>10585</v>
      </c>
      <c r="G1190" s="468">
        <v>31</v>
      </c>
      <c r="H1190" s="468">
        <v>0</v>
      </c>
      <c r="I1190" s="751"/>
      <c r="J1190" s="789">
        <f>('Parâmetros financeiros Despesa'!E$1004)</f>
        <v>0</v>
      </c>
      <c r="K1190" s="789">
        <f>('Parâmetros financeiros Despesa'!F$1004)*(1+'Parâmetros financeiros Despesa'!F$4)*(1+'Parâmetros financeiros Despesa'!F$7)</f>
        <v>218.06630000000001</v>
      </c>
      <c r="L1190" s="799">
        <f t="shared" si="143"/>
        <v>7.3194139053255365E-5</v>
      </c>
      <c r="M1190" s="894"/>
      <c r="O1190" s="733"/>
    </row>
    <row r="1191" spans="1:15" s="115" customFormat="1" ht="30" x14ac:dyDescent="0.25">
      <c r="B1191" s="1398" t="s">
        <v>8105</v>
      </c>
      <c r="C1191" s="1398"/>
      <c r="D1191" s="1398"/>
      <c r="E1191" s="854">
        <v>333933000000000</v>
      </c>
      <c r="F1191" s="855" t="s">
        <v>10586</v>
      </c>
      <c r="G1191" s="468">
        <v>31</v>
      </c>
      <c r="H1191" s="468">
        <v>0</v>
      </c>
      <c r="I1191" s="751"/>
      <c r="J1191" s="789">
        <f>('Parâmetros financeiros Despesa'!E$1005)</f>
        <v>0</v>
      </c>
      <c r="K1191" s="789">
        <f>('Parâmetros financeiros Despesa'!F$1005)*(1+'Parâmetros financeiros Despesa'!F$4)*(1+'Parâmetros financeiros Despesa'!F$7)</f>
        <v>1090.3315</v>
      </c>
      <c r="L1191" s="799">
        <f t="shared" si="143"/>
        <v>3.6597069526627681E-4</v>
      </c>
      <c r="M1191" s="894"/>
      <c r="O1191" s="733"/>
    </row>
    <row r="1192" spans="1:15" s="115" customFormat="1" ht="30" x14ac:dyDescent="0.25">
      <c r="B1192" s="1398" t="s">
        <v>8106</v>
      </c>
      <c r="C1192" s="1398"/>
      <c r="D1192" s="1398"/>
      <c r="E1192" s="854">
        <v>344905200000000</v>
      </c>
      <c r="F1192" s="855" t="s">
        <v>10587</v>
      </c>
      <c r="G1192" s="468">
        <v>31</v>
      </c>
      <c r="H1192" s="468">
        <v>0</v>
      </c>
      <c r="I1192" s="751"/>
      <c r="J1192" s="789">
        <f>('Parâmetros financeiros Despesa'!E$1006)</f>
        <v>0</v>
      </c>
      <c r="K1192" s="789">
        <f>('Parâmetros financeiros Despesa'!F$1006)*(1+'Parâmetros financeiros Despesa'!F$4)*(1+'Parâmetros financeiros Despesa'!F$7)</f>
        <v>2725.8287500000001</v>
      </c>
      <c r="L1192" s="799">
        <f t="shared" si="143"/>
        <v>9.1492673816569203E-4</v>
      </c>
      <c r="M1192" s="894"/>
      <c r="O1192" s="733"/>
    </row>
    <row r="1193" spans="1:15" x14ac:dyDescent="0.25">
      <c r="B1193" s="1385" t="s">
        <v>7913</v>
      </c>
      <c r="C1193" s="1385"/>
      <c r="D1193" s="1385"/>
      <c r="E1193" s="1385"/>
      <c r="F1193" s="1385"/>
      <c r="G1193" s="401"/>
      <c r="H1193" s="401"/>
      <c r="I1193" s="426"/>
      <c r="J1193" s="402">
        <f t="shared" ref="J1193:K1195" si="144">J1194</f>
        <v>56531.63951666667</v>
      </c>
      <c r="K1193" s="402">
        <f t="shared" si="144"/>
        <v>137311.13278287541</v>
      </c>
      <c r="L1193" s="451">
        <f t="shared" si="143"/>
        <v>4.6088598497199214E-2</v>
      </c>
    </row>
    <row r="1194" spans="1:15" x14ac:dyDescent="0.25">
      <c r="B1194" s="1386" t="s">
        <v>8033</v>
      </c>
      <c r="C1194" s="1386"/>
      <c r="D1194" s="1386"/>
      <c r="E1194" s="1386"/>
      <c r="F1194" s="1386"/>
      <c r="G1194" s="403"/>
      <c r="H1194" s="403"/>
      <c r="I1194" s="427"/>
      <c r="J1194" s="404">
        <f t="shared" si="144"/>
        <v>56531.63951666667</v>
      </c>
      <c r="K1194" s="404">
        <f t="shared" si="144"/>
        <v>137311.13278287541</v>
      </c>
      <c r="L1194" s="452">
        <f t="shared" si="143"/>
        <v>4.6088598497199214E-2</v>
      </c>
    </row>
    <row r="1195" spans="1:15" x14ac:dyDescent="0.25">
      <c r="B1195" s="1382" t="s">
        <v>7914</v>
      </c>
      <c r="C1195" s="1382"/>
      <c r="D1195" s="1382"/>
      <c r="E1195" s="1382"/>
      <c r="F1195" s="1382"/>
      <c r="G1195" s="405"/>
      <c r="H1195" s="405"/>
      <c r="I1195" s="428"/>
      <c r="J1195" s="406">
        <f t="shared" si="144"/>
        <v>56531.63951666667</v>
      </c>
      <c r="K1195" s="406">
        <f t="shared" si="144"/>
        <v>137311.13278287541</v>
      </c>
      <c r="L1195" s="453">
        <f t="shared" si="143"/>
        <v>4.6088598497199214E-2</v>
      </c>
    </row>
    <row r="1196" spans="1:15" x14ac:dyDescent="0.25">
      <c r="B1196" s="1383" t="s">
        <v>8107</v>
      </c>
      <c r="C1196" s="1383"/>
      <c r="D1196" s="1383"/>
      <c r="E1196" s="1383"/>
      <c r="F1196" s="1383"/>
      <c r="G1196" s="407"/>
      <c r="H1196" s="407"/>
      <c r="I1196" s="429"/>
      <c r="J1196" s="408">
        <f>SUM(J1197:J1209)+J1210+J1211+J1212+J1213</f>
        <v>56531.63951666667</v>
      </c>
      <c r="K1196" s="408">
        <f>SUM(K1197:K1209)+K1210+K1211+K1212+K1213+0.02</f>
        <v>137311.13278287541</v>
      </c>
      <c r="L1196" s="454">
        <f t="shared" si="143"/>
        <v>4.6088598497199214E-2</v>
      </c>
    </row>
    <row r="1197" spans="1:15" s="115" customFormat="1" x14ac:dyDescent="0.25">
      <c r="B1197" s="1398" t="s">
        <v>8108</v>
      </c>
      <c r="C1197" s="1398"/>
      <c r="D1197" s="1398"/>
      <c r="E1197" s="854">
        <v>331900400000000</v>
      </c>
      <c r="F1197" s="855" t="s">
        <v>10589</v>
      </c>
      <c r="G1197" s="468">
        <v>31</v>
      </c>
      <c r="H1197" s="468">
        <v>0</v>
      </c>
      <c r="I1197" s="751"/>
      <c r="J1197" s="789">
        <f>(('Parâmetros financeiros Despesa'!E$1008))</f>
        <v>2393.4014999999999</v>
      </c>
      <c r="K1197" s="789">
        <f>(('Parâmetros financeiros Despesa'!F$1008)*2.05+(('Parâmetros financeiros Despesa'!F$1008)*11.28)*(1+'Parâmetros financeiros Despesa'!F$4)*(1+'Parâmetros financeiros Despesa'!F$8))*(1+'Parâmetros financeiros Despesa'!F$80)</f>
        <v>6892.4498592195805</v>
      </c>
      <c r="L1197" s="799">
        <f t="shared" si="143"/>
        <v>2.3134566570502104E-3</v>
      </c>
      <c r="M1197" s="894"/>
      <c r="O1197" s="733"/>
    </row>
    <row r="1198" spans="1:15" s="1018" customFormat="1" x14ac:dyDescent="0.25">
      <c r="A1198" s="859"/>
      <c r="B1198" s="1004"/>
      <c r="C1198" s="1004"/>
      <c r="D1198" s="1004" t="s">
        <v>11585</v>
      </c>
      <c r="E1198" s="854">
        <v>331900800000000</v>
      </c>
      <c r="F1198" s="855" t="s">
        <v>11592</v>
      </c>
      <c r="G1198" s="468">
        <v>1</v>
      </c>
      <c r="H1198" s="468">
        <v>0</v>
      </c>
      <c r="I1198" s="751"/>
      <c r="J1198" s="789">
        <f>(('Parâmetros financeiros Despesa'!E1009))</f>
        <v>1081.9961000000001</v>
      </c>
      <c r="K1198" s="789">
        <f>(('Parâmetros financeiros Despesa'!F1009)*2.05+(('Parâmetros financeiros Despesa'!F1009)*11.28)*(1+'Parâmetros financeiros Despesa'!F$4)*(1+'Parâmetros financeiros Despesa'!F$8))</f>
        <v>1132.79476657336</v>
      </c>
      <c r="L1198" s="799">
        <f t="shared" si="143"/>
        <v>3.8022352680524435E-4</v>
      </c>
      <c r="M1198" s="883"/>
      <c r="O1198" s="1019"/>
    </row>
    <row r="1199" spans="1:15" s="115" customFormat="1" x14ac:dyDescent="0.25">
      <c r="B1199" s="1398" t="s">
        <v>8109</v>
      </c>
      <c r="C1199" s="1398"/>
      <c r="D1199" s="1398"/>
      <c r="E1199" s="854">
        <v>331901100000000</v>
      </c>
      <c r="F1199" s="855" t="s">
        <v>10600</v>
      </c>
      <c r="G1199" s="468">
        <v>31</v>
      </c>
      <c r="H1199" s="468">
        <v>0</v>
      </c>
      <c r="I1199" s="751"/>
      <c r="J1199" s="789">
        <f>('Parâmetros financeiros Despesa'!E$1010)</f>
        <v>39837.926916666671</v>
      </c>
      <c r="K1199" s="789">
        <f>('Parâmetros financeiros Despesa'!F$1010)*2.05+(('Parâmetros financeiros Despesa'!F$1010)*11.28)*(1+'Parâmetros financeiros Despesa'!F$4)*(1+'Parâmetros financeiros Despesa'!F$8)</f>
        <v>92661.892986596024</v>
      </c>
      <c r="L1199" s="799">
        <f t="shared" si="143"/>
        <v>3.1102043186860037E-2</v>
      </c>
      <c r="M1199" s="894"/>
      <c r="O1199" s="733"/>
    </row>
    <row r="1200" spans="1:15" s="115" customFormat="1" x14ac:dyDescent="0.25">
      <c r="B1200" s="1398" t="s">
        <v>8110</v>
      </c>
      <c r="C1200" s="1398"/>
      <c r="D1200" s="1398"/>
      <c r="E1200" s="854">
        <v>331901300000000</v>
      </c>
      <c r="F1200" s="855" t="s">
        <v>10599</v>
      </c>
      <c r="G1200" s="468">
        <v>31</v>
      </c>
      <c r="H1200" s="468">
        <v>0</v>
      </c>
      <c r="I1200" s="751"/>
      <c r="J1200" s="789">
        <f>'Parâmetros financeiros Despesa'!E1011</f>
        <v>7120.5</v>
      </c>
      <c r="K1200" s="789">
        <f>(K1201+K1199)*'Parâmetros financeiros Despesa'!F$80</f>
        <v>22065.563548271999</v>
      </c>
      <c r="L1200" s="799">
        <f t="shared" si="143"/>
        <v>7.4063251710175457E-3</v>
      </c>
      <c r="M1200" s="894"/>
      <c r="O1200" s="733"/>
    </row>
    <row r="1201" spans="2:15" s="115" customFormat="1" x14ac:dyDescent="0.25">
      <c r="B1201" s="1398" t="s">
        <v>8111</v>
      </c>
      <c r="C1201" s="1398"/>
      <c r="D1201" s="1398"/>
      <c r="E1201" s="854">
        <v>331901600000000</v>
      </c>
      <c r="F1201" s="855" t="s">
        <v>10598</v>
      </c>
      <c r="G1201" s="468">
        <v>31</v>
      </c>
      <c r="H1201" s="468">
        <v>0</v>
      </c>
      <c r="I1201" s="751"/>
      <c r="J1201" s="789">
        <f>('Parâmetros financeiros Despesa'!E$1012)</f>
        <v>0</v>
      </c>
      <c r="K1201" s="789">
        <f>('Parâmetros financeiros Despesa'!F$1012)*2.05+(('Parâmetros financeiros Despesa'!F$1012)*11.28)*(1+'Parâmetros financeiros Despesa'!F$4)*(1+'Parâmetros financeiros Despesa'!F$8)</f>
        <v>13.955830560223728</v>
      </c>
      <c r="L1201" s="799">
        <f t="shared" si="143"/>
        <v>4.6842863965165008E-6</v>
      </c>
      <c r="M1201" s="894"/>
      <c r="O1201" s="733"/>
    </row>
    <row r="1202" spans="2:15" s="115" customFormat="1" x14ac:dyDescent="0.25">
      <c r="B1202" s="1398" t="s">
        <v>8112</v>
      </c>
      <c r="C1202" s="1398"/>
      <c r="D1202" s="1398"/>
      <c r="E1202" s="854">
        <v>333901400000000</v>
      </c>
      <c r="F1202" s="855" t="s">
        <v>10597</v>
      </c>
      <c r="G1202" s="468">
        <v>31</v>
      </c>
      <c r="H1202" s="468">
        <v>0</v>
      </c>
      <c r="I1202" s="751"/>
      <c r="J1202" s="789">
        <f>('Parâmetros financeiros Despesa'!E$1013)</f>
        <v>0</v>
      </c>
      <c r="K1202" s="789">
        <f>('Parâmetros financeiros Despesa'!F$1013)*2+(('Parâmetros financeiros Despesa'!F$1013)*10)*(1+'Parâmetros financeiros Despesa'!F$4)*(1+'Parâmetros financeiros Despesa'!F$8)</f>
        <v>903.94663150364215</v>
      </c>
      <c r="L1202" s="799">
        <f t="shared" si="143"/>
        <v>3.0341045564124012E-4</v>
      </c>
      <c r="M1202" s="894"/>
      <c r="O1202" s="733"/>
    </row>
    <row r="1203" spans="2:15" s="115" customFormat="1" x14ac:dyDescent="0.25">
      <c r="B1203" s="1396">
        <v>404500</v>
      </c>
      <c r="C1203" s="1396"/>
      <c r="D1203" s="1396"/>
      <c r="E1203" s="854">
        <v>333903000000000</v>
      </c>
      <c r="F1203" s="855" t="s">
        <v>10596</v>
      </c>
      <c r="G1203" s="468">
        <v>31</v>
      </c>
      <c r="H1203" s="468">
        <v>0</v>
      </c>
      <c r="I1203" s="751"/>
      <c r="J1203" s="789">
        <f>('Parâmetros financeiros Despesa'!E1014)</f>
        <v>104.44499999999999</v>
      </c>
      <c r="K1203" s="789">
        <f>('Parâmetros financeiros Despesa'!F1014)*(1+'Parâmetros financeiros Despesa'!F$4)*(1+'Parâmetros financeiros Despesa'!F$7)</f>
        <v>545.16575</v>
      </c>
      <c r="L1203" s="799">
        <f t="shared" si="143"/>
        <v>1.8298534763313841E-4</v>
      </c>
      <c r="M1203" s="894"/>
      <c r="O1203" s="733"/>
    </row>
    <row r="1204" spans="2:15" s="115" customFormat="1" x14ac:dyDescent="0.25">
      <c r="B1204" s="1396">
        <v>404600</v>
      </c>
      <c r="C1204" s="1396"/>
      <c r="D1204" s="1396"/>
      <c r="E1204" s="854">
        <v>333903200000000</v>
      </c>
      <c r="F1204" s="855" t="s">
        <v>10595</v>
      </c>
      <c r="G1204" s="468">
        <v>31</v>
      </c>
      <c r="H1204" s="468">
        <v>0</v>
      </c>
      <c r="I1204" s="751"/>
      <c r="J1204" s="789">
        <f>('Parâmetros financeiros Despesa'!E1015)</f>
        <v>0</v>
      </c>
      <c r="K1204" s="789">
        <f>('Parâmetros financeiros Despesa'!F1015)*(1+'Parâmetros financeiros Despesa'!F$4)*(1+'Parâmetros financeiros Despesa'!F$7)</f>
        <v>545.16575</v>
      </c>
      <c r="L1204" s="799">
        <f t="shared" si="143"/>
        <v>1.8298534763313841E-4</v>
      </c>
      <c r="M1204" s="894"/>
      <c r="O1204" s="733"/>
    </row>
    <row r="1205" spans="2:15" s="115" customFormat="1" x14ac:dyDescent="0.25">
      <c r="B1205" s="1396">
        <v>404700</v>
      </c>
      <c r="C1205" s="1396"/>
      <c r="D1205" s="1396"/>
      <c r="E1205" s="854">
        <v>333903300000000</v>
      </c>
      <c r="F1205" s="855" t="s">
        <v>10594</v>
      </c>
      <c r="G1205" s="468">
        <v>31</v>
      </c>
      <c r="H1205" s="468">
        <v>0</v>
      </c>
      <c r="I1205" s="751"/>
      <c r="J1205" s="789">
        <f>('Parâmetros financeiros Despesa'!E1016)</f>
        <v>0</v>
      </c>
      <c r="K1205" s="789">
        <f>('Parâmetros financeiros Despesa'!F1016)*(1+'Parâmetros financeiros Despesa'!F$4)*(1+'Parâmetros financeiros Despesa'!F$7)</f>
        <v>545.16575</v>
      </c>
      <c r="L1205" s="799">
        <f t="shared" si="143"/>
        <v>1.8298534763313841E-4</v>
      </c>
      <c r="M1205" s="894"/>
      <c r="O1205" s="733"/>
    </row>
    <row r="1206" spans="2:15" s="115" customFormat="1" x14ac:dyDescent="0.25">
      <c r="B1206" s="1398" t="s">
        <v>8113</v>
      </c>
      <c r="C1206" s="1398"/>
      <c r="D1206" s="1398"/>
      <c r="E1206" s="854">
        <v>333903500000000</v>
      </c>
      <c r="F1206" s="855" t="s">
        <v>10593</v>
      </c>
      <c r="G1206" s="468">
        <v>31</v>
      </c>
      <c r="H1206" s="468">
        <v>0</v>
      </c>
      <c r="I1206" s="751"/>
      <c r="J1206" s="789">
        <f>('Parâmetros financeiros Despesa'!E1017)</f>
        <v>0</v>
      </c>
      <c r="K1206" s="789">
        <f>('Parâmetros financeiros Despesa'!F1017)*(1+'Parâmetros financeiros Despesa'!F$4)*(1+'Parâmetros financeiros Despesa'!F$7)</f>
        <v>872.26520000000005</v>
      </c>
      <c r="L1206" s="799">
        <f t="shared" si="143"/>
        <v>2.9277655621302146E-4</v>
      </c>
      <c r="M1206" s="894"/>
      <c r="O1206" s="733"/>
    </row>
    <row r="1207" spans="2:15" s="115" customFormat="1" x14ac:dyDescent="0.25">
      <c r="B1207" s="1398" t="s">
        <v>8114</v>
      </c>
      <c r="C1207" s="1398"/>
      <c r="D1207" s="1398"/>
      <c r="E1207" s="854">
        <v>333903600000000</v>
      </c>
      <c r="F1207" s="855" t="s">
        <v>10592</v>
      </c>
      <c r="G1207" s="468">
        <v>1</v>
      </c>
      <c r="H1207" s="468">
        <v>0</v>
      </c>
      <c r="I1207" s="751"/>
      <c r="J1207" s="789">
        <f>('Parâmetros financeiros Despesa'!E1018)</f>
        <v>0</v>
      </c>
      <c r="K1207" s="789">
        <f>('Parâmetros financeiros Despesa'!F1018)*(1+'Parâmetros financeiros Despesa'!F$4)*(1+'Parâmetros financeiros Despesa'!F$7)</f>
        <v>872.26520000000005</v>
      </c>
      <c r="L1207" s="799">
        <f t="shared" si="143"/>
        <v>2.9277655621302146E-4</v>
      </c>
      <c r="M1207" s="894"/>
      <c r="O1207" s="733"/>
    </row>
    <row r="1208" spans="2:15" s="115" customFormat="1" x14ac:dyDescent="0.25">
      <c r="B1208" s="1398" t="s">
        <v>8115</v>
      </c>
      <c r="C1208" s="1398"/>
      <c r="D1208" s="1398"/>
      <c r="E1208" s="854">
        <v>333903900000000</v>
      </c>
      <c r="F1208" s="855" t="s">
        <v>10591</v>
      </c>
      <c r="G1208" s="468">
        <v>31</v>
      </c>
      <c r="H1208" s="468">
        <v>0</v>
      </c>
      <c r="I1208" s="751"/>
      <c r="J1208" s="789">
        <f>('Parâmetros financeiros Despesa'!E1020)</f>
        <v>2996.6849999999999</v>
      </c>
      <c r="K1208" s="789">
        <f>('Parâmetros financeiros Despesa'!F1020)*(1+'Parâmetros financeiros Despesa'!F$4)*(1+'Parâmetros financeiros Despesa'!F$7)</f>
        <v>544.56334184625007</v>
      </c>
      <c r="L1208" s="799">
        <f t="shared" si="143"/>
        <v>1.8278314882400379E-4</v>
      </c>
      <c r="M1208" s="894"/>
      <c r="O1208" s="733"/>
    </row>
    <row r="1209" spans="2:15" s="115" customFormat="1" x14ac:dyDescent="0.25">
      <c r="B1209" s="1398" t="s">
        <v>8116</v>
      </c>
      <c r="C1209" s="1398"/>
      <c r="D1209" s="1398"/>
      <c r="E1209" s="854">
        <v>333904700000000</v>
      </c>
      <c r="F1209" s="855" t="s">
        <v>10590</v>
      </c>
      <c r="G1209" s="468">
        <v>31</v>
      </c>
      <c r="H1209" s="468">
        <v>0</v>
      </c>
      <c r="I1209" s="751"/>
      <c r="J1209" s="789">
        <f>'Parâmetros financeiros Despesa'!E1019</f>
        <v>0</v>
      </c>
      <c r="K1209" s="789">
        <f>(('Parâmetros financeiros Despesa'!F1018)*(1+'Parâmetros financeiros Despesa'!F$4)*(1+'Parâmetros financeiros Despesa'!F$7))*('Parâmetros financeiros Despesa'!F$83)</f>
        <v>174.45304000000002</v>
      </c>
      <c r="L1209" s="799">
        <f t="shared" si="143"/>
        <v>5.8555311242604292E-5</v>
      </c>
      <c r="M1209" s="894"/>
      <c r="O1209" s="733"/>
    </row>
    <row r="1210" spans="2:15" s="115" customFormat="1" x14ac:dyDescent="0.25">
      <c r="B1210" s="1398" t="s">
        <v>8117</v>
      </c>
      <c r="C1210" s="1398"/>
      <c r="D1210" s="1398"/>
      <c r="E1210" s="854">
        <v>333904900000000</v>
      </c>
      <c r="F1210" s="855" t="s">
        <v>10601</v>
      </c>
      <c r="G1210" s="468">
        <v>31</v>
      </c>
      <c r="H1210" s="468">
        <v>0</v>
      </c>
      <c r="I1210" s="751"/>
      <c r="J1210" s="789">
        <f>('Parâmetros financeiros Despesa'!E$1020+'Parâmetros financeiros Despesa'!E1021)</f>
        <v>2996.6849999999999</v>
      </c>
      <c r="K1210" s="789">
        <f>('Parâmetros financeiros Despesa'!F$1020+'Parâmetros financeiros Despesa'!F1021)*2+(('Parâmetros financeiros Despesa'!F$1020+'Parâmetros financeiros Despesa'!F1021)*10)*(1+'Parâmetros financeiros Despesa'!F$4)*(1+'Parâmetros financeiros Despesa'!F$8)</f>
        <v>6270.4706283043797</v>
      </c>
      <c r="L1210" s="799">
        <f t="shared" si="143"/>
        <v>2.1046887992205317E-3</v>
      </c>
      <c r="M1210" s="894"/>
      <c r="O1210" s="733"/>
    </row>
    <row r="1211" spans="2:15" s="115" customFormat="1" x14ac:dyDescent="0.25">
      <c r="B1211" s="1398" t="s">
        <v>8118</v>
      </c>
      <c r="C1211" s="1398"/>
      <c r="D1211" s="1398"/>
      <c r="E1211" s="854">
        <v>333909300000000</v>
      </c>
      <c r="F1211" s="855" t="s">
        <v>10602</v>
      </c>
      <c r="G1211" s="468">
        <v>31</v>
      </c>
      <c r="H1211" s="468">
        <v>0</v>
      </c>
      <c r="I1211" s="751"/>
      <c r="J1211" s="789">
        <f>('Parâmetros financeiros Despesa'!E$1022)</f>
        <v>0</v>
      </c>
      <c r="K1211" s="789">
        <f>('Parâmetros financeiros Despesa'!F$1022)*(1+'Parâmetros financeiros Despesa'!F$4)*(1+'Parâmetros financeiros Despesa'!F$7)</f>
        <v>545.16575</v>
      </c>
      <c r="L1211" s="799">
        <f t="shared" si="143"/>
        <v>1.8298534763313841E-4</v>
      </c>
      <c r="M1211" s="894"/>
      <c r="O1211" s="733"/>
    </row>
    <row r="1212" spans="2:15" s="115" customFormat="1" x14ac:dyDescent="0.25">
      <c r="B1212" s="1398" t="s">
        <v>8119</v>
      </c>
      <c r="C1212" s="1398"/>
      <c r="D1212" s="1398"/>
      <c r="E1212" s="854">
        <v>333933000000000</v>
      </c>
      <c r="F1212" s="855" t="s">
        <v>10603</v>
      </c>
      <c r="G1212" s="468">
        <v>31</v>
      </c>
      <c r="H1212" s="468">
        <v>0</v>
      </c>
      <c r="I1212" s="751"/>
      <c r="J1212" s="789">
        <f>('Parâmetros financeiros Despesa'!E$1023)</f>
        <v>0</v>
      </c>
      <c r="K1212" s="789">
        <f>('Parâmetros financeiros Despesa'!F$1023)*(1+'Parâmetros financeiros Despesa'!F$4)*(1+'Parâmetros financeiros Despesa'!F$7)</f>
        <v>1090.3315</v>
      </c>
      <c r="L1212" s="799">
        <f t="shared" si="143"/>
        <v>3.6597069526627681E-4</v>
      </c>
      <c r="M1212" s="894"/>
      <c r="O1212" s="733"/>
    </row>
    <row r="1213" spans="2:15" s="115" customFormat="1" ht="30" x14ac:dyDescent="0.25">
      <c r="B1213" s="1398" t="s">
        <v>8120</v>
      </c>
      <c r="C1213" s="1398"/>
      <c r="D1213" s="1398"/>
      <c r="E1213" s="854">
        <v>344905200000000</v>
      </c>
      <c r="F1213" s="855" t="s">
        <v>10604</v>
      </c>
      <c r="G1213" s="468">
        <v>31</v>
      </c>
      <c r="H1213" s="468">
        <v>0</v>
      </c>
      <c r="I1213" s="751"/>
      <c r="J1213" s="789">
        <f>('Parâmetros financeiros Despesa'!E$1024)</f>
        <v>0</v>
      </c>
      <c r="K1213" s="789">
        <f>('Parâmetros financeiros Despesa'!F$1024)*(1+'Parâmetros financeiros Despesa'!F$4)*(1+'Parâmetros financeiros Despesa'!F$7)</f>
        <v>1635.4972500000001</v>
      </c>
      <c r="L1213" s="799">
        <f t="shared" si="143"/>
        <v>5.4895604289941522E-4</v>
      </c>
      <c r="M1213" s="894"/>
      <c r="O1213" s="733"/>
    </row>
    <row r="1214" spans="2:15" x14ac:dyDescent="0.25">
      <c r="B1214" s="1385" t="s">
        <v>7984</v>
      </c>
      <c r="C1214" s="1385"/>
      <c r="D1214" s="1385"/>
      <c r="E1214" s="1385"/>
      <c r="F1214" s="1385"/>
      <c r="G1214" s="401"/>
      <c r="H1214" s="401"/>
      <c r="I1214" s="426"/>
      <c r="J1214" s="402">
        <f t="shared" ref="J1214:K1216" si="145">J1215</f>
        <v>394616.98234999995</v>
      </c>
      <c r="K1214" s="402">
        <f t="shared" si="145"/>
        <v>459867.34323266038</v>
      </c>
      <c r="L1214" s="451">
        <f t="shared" si="143"/>
        <v>0.15435486485817596</v>
      </c>
    </row>
    <row r="1215" spans="2:15" x14ac:dyDescent="0.25">
      <c r="B1215" s="1386" t="s">
        <v>7996</v>
      </c>
      <c r="C1215" s="1386"/>
      <c r="D1215" s="1386"/>
      <c r="E1215" s="1386"/>
      <c r="F1215" s="1386"/>
      <c r="G1215" s="403"/>
      <c r="H1215" s="403"/>
      <c r="I1215" s="427"/>
      <c r="J1215" s="404">
        <f t="shared" si="145"/>
        <v>394616.98234999995</v>
      </c>
      <c r="K1215" s="404">
        <f t="shared" si="145"/>
        <v>459867.34323266038</v>
      </c>
      <c r="L1215" s="452">
        <f t="shared" si="143"/>
        <v>0.15435486485817596</v>
      </c>
    </row>
    <row r="1216" spans="2:15" x14ac:dyDescent="0.25">
      <c r="B1216" s="1382" t="s">
        <v>7914</v>
      </c>
      <c r="C1216" s="1382"/>
      <c r="D1216" s="1382"/>
      <c r="E1216" s="1382"/>
      <c r="F1216" s="1382"/>
      <c r="G1216" s="405"/>
      <c r="H1216" s="405"/>
      <c r="I1216" s="428"/>
      <c r="J1216" s="406">
        <f t="shared" si="145"/>
        <v>394616.98234999995</v>
      </c>
      <c r="K1216" s="406">
        <f t="shared" si="145"/>
        <v>459867.34323266038</v>
      </c>
      <c r="L1216" s="453">
        <f t="shared" si="143"/>
        <v>0.15435486485817596</v>
      </c>
    </row>
    <row r="1217" spans="2:15" x14ac:dyDescent="0.25">
      <c r="B1217" s="1383" t="s">
        <v>7298</v>
      </c>
      <c r="C1217" s="1383"/>
      <c r="D1217" s="1383"/>
      <c r="E1217" s="1383"/>
      <c r="F1217" s="1383"/>
      <c r="G1217" s="407"/>
      <c r="H1217" s="407"/>
      <c r="I1217" s="429"/>
      <c r="J1217" s="408">
        <f>SUM(J1218:J1230)+J1231+J1232+J1233-0.01</f>
        <v>394616.98234999995</v>
      </c>
      <c r="K1217" s="408">
        <f>SUM(K1218:K1230)+K1231+K1232+K1233</f>
        <v>459867.34323266038</v>
      </c>
      <c r="L1217" s="454">
        <f t="shared" si="143"/>
        <v>0.15435486485817596</v>
      </c>
    </row>
    <row r="1218" spans="2:15" s="115" customFormat="1" x14ac:dyDescent="0.25">
      <c r="B1218" s="1398" t="s">
        <v>8144</v>
      </c>
      <c r="C1218" s="1398"/>
      <c r="D1218" s="1398"/>
      <c r="E1218" s="854">
        <v>331900400000000</v>
      </c>
      <c r="F1218" s="855" t="s">
        <v>8123</v>
      </c>
      <c r="G1218" s="468">
        <v>31</v>
      </c>
      <c r="H1218" s="468">
        <v>0</v>
      </c>
      <c r="I1218" s="751"/>
      <c r="J1218" s="789">
        <f>(('Parâmetros financeiros Despesa'!E$1026))</f>
        <v>6371.8510833333339</v>
      </c>
      <c r="K1218" s="789">
        <f>(('Parâmetros financeiros Despesa'!F$1026)*2.05+(('Parâmetros financeiros Despesa'!F$1026)*11.28)*(1+'Parâmetros financeiros Despesa'!F$4)*(1+'Parâmetros financeiros Despesa'!F$8))*(1+'Parâmetros financeiros Despesa'!F$80)</f>
        <v>8259.3291676029803</v>
      </c>
      <c r="L1218" s="799">
        <f t="shared" si="143"/>
        <v>2.7722508593952407E-3</v>
      </c>
      <c r="M1218" s="894"/>
      <c r="O1218" s="733"/>
    </row>
    <row r="1219" spans="2:15" s="115" customFormat="1" x14ac:dyDescent="0.25">
      <c r="B1219" s="1398" t="s">
        <v>8145</v>
      </c>
      <c r="C1219" s="1398"/>
      <c r="D1219" s="1398"/>
      <c r="E1219" s="854">
        <v>331901100000000</v>
      </c>
      <c r="F1219" s="855" t="s">
        <v>8124</v>
      </c>
      <c r="G1219" s="468">
        <v>31</v>
      </c>
      <c r="H1219" s="468">
        <v>0</v>
      </c>
      <c r="I1219" s="751"/>
      <c r="J1219" s="789">
        <f>('Parâmetros financeiros Despesa'!E$1027)</f>
        <v>721.41960000000006</v>
      </c>
      <c r="K1219" s="789">
        <f>('Parâmetros financeiros Despesa'!F$1027)*2.05+(('Parâmetros financeiros Despesa'!F$1027)*11.28)*(1+'Parâmetros financeiros Despesa'!F$4)*(1+'Parâmetros financeiros Despesa'!F$8)</f>
        <v>755.28954991930823</v>
      </c>
      <c r="L1219" s="799">
        <f t="shared" si="143"/>
        <v>2.5351357977947304E-4</v>
      </c>
      <c r="M1219" s="894"/>
      <c r="O1219" s="733"/>
    </row>
    <row r="1220" spans="2:15" s="115" customFormat="1" x14ac:dyDescent="0.25">
      <c r="B1220" s="1398" t="s">
        <v>8146</v>
      </c>
      <c r="C1220" s="1398"/>
      <c r="D1220" s="1398"/>
      <c r="E1220" s="854">
        <v>331901300000000</v>
      </c>
      <c r="F1220" s="855" t="s">
        <v>8125</v>
      </c>
      <c r="G1220" s="468">
        <v>31</v>
      </c>
      <c r="H1220" s="468">
        <v>0</v>
      </c>
      <c r="I1220" s="751"/>
      <c r="J1220" s="789">
        <f>'Parâmetros financeiros Despesa'!E1028</f>
        <v>0</v>
      </c>
      <c r="K1220" s="789">
        <f>(K1221+K1219)*'Parâmetros financeiros Despesa'!F$80</f>
        <v>1458.2659499610063</v>
      </c>
      <c r="L1220" s="799">
        <f t="shared" ref="L1220:L1251" si="146">K1220/K$1262</f>
        <v>4.8946820631190339E-4</v>
      </c>
      <c r="M1220" s="894"/>
      <c r="O1220" s="733"/>
    </row>
    <row r="1221" spans="2:15" s="115" customFormat="1" x14ac:dyDescent="0.25">
      <c r="B1221" s="1398" t="s">
        <v>8147</v>
      </c>
      <c r="C1221" s="1398"/>
      <c r="D1221" s="1398"/>
      <c r="E1221" s="854">
        <v>331901600000000</v>
      </c>
      <c r="F1221" s="855" t="s">
        <v>8126</v>
      </c>
      <c r="G1221" s="468">
        <v>31</v>
      </c>
      <c r="H1221" s="468">
        <v>0</v>
      </c>
      <c r="I1221" s="751"/>
      <c r="J1221" s="789">
        <f>('Parâmetros financeiros Despesa'!E$1029)</f>
        <v>2308.48</v>
      </c>
      <c r="K1221" s="789">
        <f>('Parâmetros financeiros Despesa'!F$1029)*2.05+(('Parâmetros financeiros Despesa'!F$1029)*11.28)*(1+'Parâmetros financeiros Despesa'!F$4)*(1+'Parâmetros financeiros Despesa'!F$8)</f>
        <v>5369.4592886108785</v>
      </c>
      <c r="L1221" s="799">
        <f t="shared" si="146"/>
        <v>1.8022635767717351E-3</v>
      </c>
      <c r="M1221" s="894"/>
      <c r="O1221" s="733"/>
    </row>
    <row r="1222" spans="2:15" s="115" customFormat="1" x14ac:dyDescent="0.25">
      <c r="B1222" s="1398" t="s">
        <v>8148</v>
      </c>
      <c r="C1222" s="1398"/>
      <c r="D1222" s="1398"/>
      <c r="E1222" s="854">
        <v>333901400000000</v>
      </c>
      <c r="F1222" s="855" t="s">
        <v>8128</v>
      </c>
      <c r="G1222" s="468">
        <v>31</v>
      </c>
      <c r="H1222" s="468">
        <v>0</v>
      </c>
      <c r="I1222" s="751"/>
      <c r="J1222" s="789">
        <f>('Parâmetros financeiros Despesa'!E$1030)</f>
        <v>0</v>
      </c>
      <c r="K1222" s="789">
        <f>('Parâmetros financeiros Despesa'!F$1030)*2+(('Parâmetros financeiros Despesa'!F$1030)*10)*(1+'Parâmetros financeiros Despesa'!F$4)*(1+'Parâmetros financeiros Despesa'!F$8)</f>
        <v>2711.8398945109266</v>
      </c>
      <c r="L1222" s="799">
        <f t="shared" si="146"/>
        <v>9.1023136692372042E-4</v>
      </c>
      <c r="M1222" s="894"/>
      <c r="O1222" s="733"/>
    </row>
    <row r="1223" spans="2:15" s="115" customFormat="1" x14ac:dyDescent="0.25">
      <c r="B1223" s="1396">
        <v>406500</v>
      </c>
      <c r="C1223" s="1396"/>
      <c r="D1223" s="1396"/>
      <c r="E1223" s="854">
        <v>333903000000000</v>
      </c>
      <c r="F1223" s="855" t="s">
        <v>8129</v>
      </c>
      <c r="G1223" s="468">
        <v>31</v>
      </c>
      <c r="H1223" s="468">
        <v>0</v>
      </c>
      <c r="I1223" s="751"/>
      <c r="J1223" s="789">
        <f>('Parâmetros financeiros Despesa'!E1031)</f>
        <v>65828.024999999994</v>
      </c>
      <c r="K1223" s="789">
        <f>('Parâmetros financeiros Despesa'!F1031)*(1+'Parâmetros financeiros Despesa'!F$4)*(1+'Parâmetros financeiros Despesa'!F$7)</f>
        <v>71774.369240287502</v>
      </c>
      <c r="L1223" s="799">
        <f t="shared" si="146"/>
        <v>2.4091128077255851E-2</v>
      </c>
      <c r="M1223" s="894"/>
      <c r="O1223" s="733"/>
    </row>
    <row r="1224" spans="2:15" s="115" customFormat="1" x14ac:dyDescent="0.25">
      <c r="B1224" s="1396">
        <v>406600</v>
      </c>
      <c r="C1224" s="1396"/>
      <c r="D1224" s="1396"/>
      <c r="E1224" s="854">
        <v>333903300000000</v>
      </c>
      <c r="F1224" s="855" t="s">
        <v>8130</v>
      </c>
      <c r="G1224" s="468">
        <v>31</v>
      </c>
      <c r="H1224" s="468">
        <v>0</v>
      </c>
      <c r="I1224" s="751"/>
      <c r="J1224" s="789">
        <f>('Parâmetros financeiros Despesa'!E1032)</f>
        <v>0</v>
      </c>
      <c r="K1224" s="789">
        <f>('Parâmetros financeiros Despesa'!F1032)*(1+'Parâmetros financeiros Despesa'!F$4)*(1+'Parâmetros financeiros Despesa'!F$7)</f>
        <v>545.16575</v>
      </c>
      <c r="L1224" s="799">
        <f t="shared" si="146"/>
        <v>1.8298534763313841E-4</v>
      </c>
      <c r="M1224" s="894"/>
      <c r="O1224" s="733"/>
    </row>
    <row r="1225" spans="2:15" s="115" customFormat="1" x14ac:dyDescent="0.25">
      <c r="B1225" s="1398" t="s">
        <v>8157</v>
      </c>
      <c r="C1225" s="1398"/>
      <c r="D1225" s="1398"/>
      <c r="E1225" s="854">
        <v>333903500000000</v>
      </c>
      <c r="F1225" s="855" t="s">
        <v>8131</v>
      </c>
      <c r="G1225" s="468">
        <v>31</v>
      </c>
      <c r="H1225" s="468">
        <v>0</v>
      </c>
      <c r="I1225" s="751"/>
      <c r="J1225" s="789">
        <f>('Parâmetros financeiros Despesa'!E1033)</f>
        <v>90</v>
      </c>
      <c r="K1225" s="789">
        <f>('Parâmetros financeiros Despesa'!F1033)*(1+'Parâmetros financeiros Despesa'!F$4)*(1+'Parâmetros financeiros Despesa'!F$7)</f>
        <v>545.16575</v>
      </c>
      <c r="L1225" s="799">
        <f t="shared" si="146"/>
        <v>1.8298534763313841E-4</v>
      </c>
      <c r="M1225" s="894"/>
      <c r="O1225" s="733"/>
    </row>
    <row r="1226" spans="2:15" s="115" customFormat="1" x14ac:dyDescent="0.25">
      <c r="B1226" s="1398" t="s">
        <v>8149</v>
      </c>
      <c r="C1226" s="1398"/>
      <c r="D1226" s="1398"/>
      <c r="E1226" s="854">
        <v>333903600000000</v>
      </c>
      <c r="F1226" s="855" t="s">
        <v>8132</v>
      </c>
      <c r="G1226" s="468">
        <v>1</v>
      </c>
      <c r="H1226" s="468">
        <v>0</v>
      </c>
      <c r="I1226" s="751"/>
      <c r="J1226" s="789">
        <f>('Parâmetros financeiros Despesa'!E1033)</f>
        <v>90</v>
      </c>
      <c r="K1226" s="789">
        <f>('Parâmetros financeiros Despesa'!F1033)*(1+'Parâmetros financeiros Despesa'!F$4)*(1+'Parâmetros financeiros Despesa'!F$7)</f>
        <v>545.16575</v>
      </c>
      <c r="L1226" s="799">
        <f t="shared" si="146"/>
        <v>1.8298534763313841E-4</v>
      </c>
      <c r="M1226" s="894"/>
      <c r="O1226" s="733"/>
    </row>
    <row r="1227" spans="2:15" s="115" customFormat="1" x14ac:dyDescent="0.25">
      <c r="B1227" s="1398" t="s">
        <v>8150</v>
      </c>
      <c r="C1227" s="1398"/>
      <c r="D1227" s="1398"/>
      <c r="E1227" s="854">
        <v>333903900000000</v>
      </c>
      <c r="F1227" s="855" t="s">
        <v>11557</v>
      </c>
      <c r="G1227" s="468">
        <v>31</v>
      </c>
      <c r="H1227" s="468">
        <v>0</v>
      </c>
      <c r="I1227" s="751"/>
      <c r="J1227" s="789">
        <f>('Parâmetros financeiros Despesa'!E1034)</f>
        <v>27801.600000000002</v>
      </c>
      <c r="K1227" s="789">
        <f>('Parâmetros financeiros Despesa'!F1034)*(1+'Parâmetros financeiros Despesa'!F$4)*(1+'Parâmetros financeiros Despesa'!F$7)</f>
        <v>30312.960230400004</v>
      </c>
      <c r="L1227" s="799">
        <f t="shared" si="146"/>
        <v>1.0174570881514923E-2</v>
      </c>
      <c r="M1227" s="894"/>
      <c r="O1227" s="733"/>
    </row>
    <row r="1228" spans="2:15" s="115" customFormat="1" x14ac:dyDescent="0.25">
      <c r="B1228" s="1004"/>
      <c r="C1228" s="1004"/>
      <c r="D1228" s="1004" t="s">
        <v>11555</v>
      </c>
      <c r="E1228" s="854">
        <v>333903900000000</v>
      </c>
      <c r="F1228" s="855" t="s">
        <v>11556</v>
      </c>
      <c r="G1228" s="468">
        <v>31</v>
      </c>
      <c r="H1228" s="468">
        <v>0</v>
      </c>
      <c r="I1228" s="751"/>
      <c r="J1228" s="789">
        <f>('Parâmetros financeiros Despesa'!E1035)</f>
        <v>263604.01666666666</v>
      </c>
      <c r="K1228" s="789">
        <f>('Parâmetros financeiros Despesa'!F1035)++'Parâmetros financeiros Despesa'!F1054/3</f>
        <v>320146.95999999996</v>
      </c>
      <c r="L1228" s="799">
        <f t="shared" si="146"/>
        <v>0.10745759939851769</v>
      </c>
      <c r="M1228" s="894"/>
      <c r="O1228" s="733"/>
    </row>
    <row r="1229" spans="2:15" s="115" customFormat="1" x14ac:dyDescent="0.25">
      <c r="B1229" s="1398" t="s">
        <v>8151</v>
      </c>
      <c r="C1229" s="1398"/>
      <c r="D1229" s="1398"/>
      <c r="E1229" s="854">
        <v>333904700000000</v>
      </c>
      <c r="F1229" s="855" t="s">
        <v>8127</v>
      </c>
      <c r="G1229" s="468">
        <v>31</v>
      </c>
      <c r="H1229" s="468">
        <v>0</v>
      </c>
      <c r="I1229" s="751"/>
      <c r="J1229" s="789">
        <f>(('Parâmetros financeiros Despesa'!E1034))</f>
        <v>27801.600000000002</v>
      </c>
      <c r="K1229" s="789">
        <f>(('Parâmetros financeiros Despesa'!F1034)*(1+'Parâmetros financeiros Despesa'!F$4)*(1+'Parâmetros financeiros Despesa'!F$7))*('Parâmetros financeiros Despesa'!F$83)</f>
        <v>6062.5920460800007</v>
      </c>
      <c r="L1229" s="799">
        <f t="shared" si="146"/>
        <v>2.0349141763029844E-3</v>
      </c>
      <c r="M1229" s="894"/>
      <c r="O1229" s="733"/>
    </row>
    <row r="1230" spans="2:15" s="115" customFormat="1" x14ac:dyDescent="0.25">
      <c r="B1230" s="1398" t="s">
        <v>8152</v>
      </c>
      <c r="C1230" s="1398"/>
      <c r="D1230" s="1398"/>
      <c r="E1230" s="854">
        <v>333904900000000</v>
      </c>
      <c r="F1230" s="855" t="s">
        <v>8158</v>
      </c>
      <c r="G1230" s="468">
        <v>31</v>
      </c>
      <c r="H1230" s="468">
        <v>0</v>
      </c>
      <c r="I1230" s="751"/>
      <c r="J1230" s="789">
        <f>('Parâmetros financeiros Despesa'!E$1037)</f>
        <v>0</v>
      </c>
      <c r="K1230" s="789">
        <f>('Parâmetros financeiros Despesa'!F$1037)*2+(('Parâmetros financeiros Despesa'!F$1039)*10)*(1+'Parâmetros financeiros Despesa'!F$4)*(1+'Parâmetros financeiros Despesa'!F$8)</f>
        <v>2112.9628652878946</v>
      </c>
      <c r="L1230" s="799">
        <f t="shared" si="146"/>
        <v>7.0921778273968529E-4</v>
      </c>
      <c r="M1230" s="894"/>
      <c r="O1230" s="733"/>
    </row>
    <row r="1231" spans="2:15" s="115" customFormat="1" x14ac:dyDescent="0.25">
      <c r="B1231" s="1398" t="s">
        <v>8153</v>
      </c>
      <c r="C1231" s="1398"/>
      <c r="D1231" s="1398"/>
      <c r="E1231" s="854">
        <v>333909300000000</v>
      </c>
      <c r="F1231" s="855" t="s">
        <v>8133</v>
      </c>
      <c r="G1231" s="468">
        <v>31</v>
      </c>
      <c r="H1231" s="468">
        <v>0</v>
      </c>
      <c r="I1231" s="751"/>
      <c r="J1231" s="789">
        <f>('Parâmetros financeiros Despesa'!E1040)</f>
        <v>0</v>
      </c>
      <c r="K1231" s="789">
        <f>('Parâmetros financeiros Despesa'!F1040)*(1+'Parâmetros financeiros Despesa'!F$4)*(1+'Parâmetros financeiros Despesa'!F$7)</f>
        <v>3270.9945000000002</v>
      </c>
      <c r="L1231" s="799">
        <f t="shared" si="146"/>
        <v>1.0979120857988304E-3</v>
      </c>
      <c r="M1231" s="894"/>
      <c r="O1231" s="733"/>
    </row>
    <row r="1232" spans="2:15" s="115" customFormat="1" x14ac:dyDescent="0.25">
      <c r="B1232" s="1398" t="s">
        <v>8154</v>
      </c>
      <c r="C1232" s="1398"/>
      <c r="D1232" s="1398"/>
      <c r="E1232" s="854">
        <v>333933000000000</v>
      </c>
      <c r="F1232" s="855" t="s">
        <v>8159</v>
      </c>
      <c r="G1232" s="468">
        <v>31</v>
      </c>
      <c r="H1232" s="468">
        <v>0</v>
      </c>
      <c r="I1232" s="751"/>
      <c r="J1232" s="789">
        <f>'Parâmetros financeiros Despesa'!E1040</f>
        <v>0</v>
      </c>
      <c r="K1232" s="789">
        <f>('Parâmetros financeiros Despesa'!F1040)*(1+'Parâmetros financeiros Despesa'!F$4)*(1+'Parâmetros financeiros Despesa'!F$7)</f>
        <v>3270.9945000000002</v>
      </c>
      <c r="L1232" s="799">
        <f t="shared" si="146"/>
        <v>1.0979120857988304E-3</v>
      </c>
      <c r="M1232" s="894"/>
      <c r="O1232" s="733"/>
    </row>
    <row r="1233" spans="2:15" s="115" customFormat="1" x14ac:dyDescent="0.25">
      <c r="B1233" s="1398" t="s">
        <v>8155</v>
      </c>
      <c r="C1233" s="1398"/>
      <c r="D1233" s="1398"/>
      <c r="E1233" s="854">
        <v>344905200000000</v>
      </c>
      <c r="F1233" s="855" t="s">
        <v>8160</v>
      </c>
      <c r="G1233" s="468">
        <v>31</v>
      </c>
      <c r="H1233" s="468">
        <v>0</v>
      </c>
      <c r="I1233" s="751"/>
      <c r="J1233" s="789">
        <f>('Parâmetros financeiros Despesa'!E1041)</f>
        <v>0</v>
      </c>
      <c r="K1233" s="789">
        <f>('Parâmetros financeiros Despesa'!F1041)*(1+'Parâmetros financeiros Despesa'!F$4)*(1+'Parâmetros financeiros Despesa'!F$7)</f>
        <v>2725.8287500000001</v>
      </c>
      <c r="L1233" s="799">
        <f t="shared" si="146"/>
        <v>9.1492673816569203E-4</v>
      </c>
      <c r="M1233" s="894"/>
      <c r="O1233" s="733"/>
    </row>
    <row r="1234" spans="2:15" x14ac:dyDescent="0.25">
      <c r="B1234" s="1385" t="s">
        <v>7985</v>
      </c>
      <c r="C1234" s="1385"/>
      <c r="D1234" s="1385"/>
      <c r="E1234" s="1385"/>
      <c r="F1234" s="1385"/>
      <c r="G1234" s="401"/>
      <c r="H1234" s="401"/>
      <c r="I1234" s="426"/>
      <c r="J1234" s="402">
        <f t="shared" ref="J1234:K1236" si="147">J1235</f>
        <v>80922.733333333337</v>
      </c>
      <c r="K1234" s="402">
        <f t="shared" si="147"/>
        <v>88341.638369433349</v>
      </c>
      <c r="L1234" s="451">
        <f t="shared" si="146"/>
        <v>2.9651946050374144E-2</v>
      </c>
    </row>
    <row r="1235" spans="2:15" x14ac:dyDescent="0.25">
      <c r="B1235" s="1386" t="s">
        <v>8134</v>
      </c>
      <c r="C1235" s="1386"/>
      <c r="D1235" s="1386"/>
      <c r="E1235" s="1386"/>
      <c r="F1235" s="1386"/>
      <c r="G1235" s="403"/>
      <c r="H1235" s="403"/>
      <c r="I1235" s="427"/>
      <c r="J1235" s="404">
        <f t="shared" si="147"/>
        <v>80922.733333333337</v>
      </c>
      <c r="K1235" s="404">
        <f t="shared" si="147"/>
        <v>88341.638369433349</v>
      </c>
      <c r="L1235" s="452">
        <f t="shared" si="146"/>
        <v>2.9651946050374144E-2</v>
      </c>
    </row>
    <row r="1236" spans="2:15" x14ac:dyDescent="0.25">
      <c r="B1236" s="1382" t="s">
        <v>7914</v>
      </c>
      <c r="C1236" s="1382"/>
      <c r="D1236" s="1382"/>
      <c r="E1236" s="1382"/>
      <c r="F1236" s="1382"/>
      <c r="G1236" s="405"/>
      <c r="H1236" s="405"/>
      <c r="I1236" s="428"/>
      <c r="J1236" s="406">
        <f t="shared" si="147"/>
        <v>80922.733333333337</v>
      </c>
      <c r="K1236" s="406">
        <f t="shared" si="147"/>
        <v>88341.638369433349</v>
      </c>
      <c r="L1236" s="453">
        <f t="shared" si="146"/>
        <v>2.9651946050374144E-2</v>
      </c>
    </row>
    <row r="1237" spans="2:15" x14ac:dyDescent="0.25">
      <c r="B1237" s="1383" t="s">
        <v>7298</v>
      </c>
      <c r="C1237" s="1383"/>
      <c r="D1237" s="1383"/>
      <c r="E1237" s="1383"/>
      <c r="F1237" s="1383"/>
      <c r="G1237" s="407"/>
      <c r="H1237" s="407"/>
      <c r="I1237" s="429"/>
      <c r="J1237" s="408">
        <f>J1238+J1239</f>
        <v>80922.733333333337</v>
      </c>
      <c r="K1237" s="408">
        <f>K1238+K1239</f>
        <v>88341.638369433349</v>
      </c>
      <c r="L1237" s="454">
        <f t="shared" si="146"/>
        <v>2.9651946050374144E-2</v>
      </c>
    </row>
    <row r="1238" spans="2:15" s="115" customFormat="1" x14ac:dyDescent="0.25">
      <c r="B1238" s="1398" t="s">
        <v>8156</v>
      </c>
      <c r="C1238" s="1398"/>
      <c r="D1238" s="1398"/>
      <c r="E1238" s="854">
        <v>333903900000000</v>
      </c>
      <c r="F1238" s="855" t="s">
        <v>8162</v>
      </c>
      <c r="G1238" s="468">
        <v>31</v>
      </c>
      <c r="H1238" s="468">
        <v>0</v>
      </c>
      <c r="I1238" s="751"/>
      <c r="J1238" s="789">
        <f>('Parâmetros financeiros Despesa'!E1043)</f>
        <v>80922.733333333337</v>
      </c>
      <c r="K1238" s="789">
        <f>('Parâmetros financeiros Despesa'!F1043)*(1+'Parâmetros financeiros Despesa'!F$4)*(1+'Parâmetros financeiros Despesa'!F$7)</f>
        <v>88232.605219433346</v>
      </c>
      <c r="L1238" s="799">
        <f t="shared" si="146"/>
        <v>2.9615348980847517E-2</v>
      </c>
      <c r="M1238" s="894"/>
      <c r="O1238" s="733"/>
    </row>
    <row r="1239" spans="2:15" s="115" customFormat="1" x14ac:dyDescent="0.25">
      <c r="B1239" s="1398" t="s">
        <v>8161</v>
      </c>
      <c r="C1239" s="1398"/>
      <c r="D1239" s="1398"/>
      <c r="E1239" s="854">
        <v>333904700000000</v>
      </c>
      <c r="F1239" s="855" t="s">
        <v>8163</v>
      </c>
      <c r="G1239" s="468">
        <v>31</v>
      </c>
      <c r="H1239" s="468">
        <v>0</v>
      </c>
      <c r="I1239" s="751"/>
      <c r="J1239" s="789">
        <f>('Parâmetros financeiros Despesa'!E1044)</f>
        <v>0</v>
      </c>
      <c r="K1239" s="789">
        <f>('Parâmetros financeiros Despesa'!F1044)*(1+'Parâmetros financeiros Despesa'!F$4)*(1+'Parâmetros financeiros Despesa'!F$7)</f>
        <v>109.03315000000001</v>
      </c>
      <c r="L1239" s="799">
        <f t="shared" si="146"/>
        <v>3.6597069526627682E-5</v>
      </c>
      <c r="M1239" s="894"/>
      <c r="O1239" s="733"/>
    </row>
    <row r="1240" spans="2:15" x14ac:dyDescent="0.25">
      <c r="B1240" s="1385" t="s">
        <v>7986</v>
      </c>
      <c r="C1240" s="1385"/>
      <c r="D1240" s="1385"/>
      <c r="E1240" s="1385"/>
      <c r="F1240" s="1385"/>
      <c r="G1240" s="401"/>
      <c r="H1240" s="401"/>
      <c r="I1240" s="426"/>
      <c r="J1240" s="402">
        <f t="shared" ref="J1240:K1242" si="148">J1241</f>
        <v>11941.7</v>
      </c>
      <c r="K1240" s="402">
        <f t="shared" si="148"/>
        <v>13129.44482355</v>
      </c>
      <c r="L1240" s="451">
        <f t="shared" si="146"/>
        <v>4.4069093211879257E-3</v>
      </c>
    </row>
    <row r="1241" spans="2:15" x14ac:dyDescent="0.25">
      <c r="B1241" s="1386" t="s">
        <v>8135</v>
      </c>
      <c r="C1241" s="1386"/>
      <c r="D1241" s="1386"/>
      <c r="E1241" s="1386"/>
      <c r="F1241" s="1386"/>
      <c r="G1241" s="403"/>
      <c r="H1241" s="403"/>
      <c r="I1241" s="427"/>
      <c r="J1241" s="404">
        <f t="shared" si="148"/>
        <v>11941.7</v>
      </c>
      <c r="K1241" s="404">
        <f t="shared" si="148"/>
        <v>13129.44482355</v>
      </c>
      <c r="L1241" s="452">
        <f t="shared" si="146"/>
        <v>4.4069093211879257E-3</v>
      </c>
    </row>
    <row r="1242" spans="2:15" x14ac:dyDescent="0.25">
      <c r="B1242" s="1382" t="s">
        <v>7914</v>
      </c>
      <c r="C1242" s="1382"/>
      <c r="D1242" s="1382"/>
      <c r="E1242" s="1382"/>
      <c r="F1242" s="1382"/>
      <c r="G1242" s="405"/>
      <c r="H1242" s="405"/>
      <c r="I1242" s="428"/>
      <c r="J1242" s="406">
        <f t="shared" si="148"/>
        <v>11941.7</v>
      </c>
      <c r="K1242" s="406">
        <f t="shared" si="148"/>
        <v>13129.44482355</v>
      </c>
      <c r="L1242" s="453">
        <f t="shared" si="146"/>
        <v>4.4069093211879257E-3</v>
      </c>
    </row>
    <row r="1243" spans="2:15" x14ac:dyDescent="0.25">
      <c r="B1243" s="1383" t="s">
        <v>7298</v>
      </c>
      <c r="C1243" s="1383"/>
      <c r="D1243" s="1383"/>
      <c r="E1243" s="1383"/>
      <c r="F1243" s="1383"/>
      <c r="G1243" s="407"/>
      <c r="H1243" s="407"/>
      <c r="I1243" s="429"/>
      <c r="J1243" s="408">
        <f>J1244+J1245</f>
        <v>11941.7</v>
      </c>
      <c r="K1243" s="408">
        <f>K1244+K1245</f>
        <v>13129.44482355</v>
      </c>
      <c r="L1243" s="454">
        <f t="shared" si="146"/>
        <v>4.4069093211879257E-3</v>
      </c>
    </row>
    <row r="1244" spans="2:15" s="115" customFormat="1" x14ac:dyDescent="0.25">
      <c r="B1244" s="1398" t="s">
        <v>8164</v>
      </c>
      <c r="C1244" s="1398"/>
      <c r="D1244" s="1398"/>
      <c r="E1244" s="854">
        <v>333903900000000</v>
      </c>
      <c r="F1244" s="855" t="s">
        <v>8166</v>
      </c>
      <c r="G1244" s="468">
        <v>31</v>
      </c>
      <c r="H1244" s="468">
        <v>0</v>
      </c>
      <c r="I1244" s="751"/>
      <c r="J1244" s="789">
        <f>('Parâmetros financeiros Despesa'!E1046)</f>
        <v>11941.7</v>
      </c>
      <c r="K1244" s="789">
        <f>('Parâmetros financeiros Despesa'!F1046)*(1+'Parâmetros financeiros Despesa'!F$4)*(1+'Parâmetros financeiros Despesa'!F$7)</f>
        <v>13020.411673550001</v>
      </c>
      <c r="L1244" s="799">
        <f t="shared" si="146"/>
        <v>4.370312251661298E-3</v>
      </c>
      <c r="M1244" s="894"/>
      <c r="O1244" s="733"/>
    </row>
    <row r="1245" spans="2:15" s="115" customFormat="1" x14ac:dyDescent="0.25">
      <c r="B1245" s="1398" t="s">
        <v>8165</v>
      </c>
      <c r="C1245" s="1398"/>
      <c r="D1245" s="1398"/>
      <c r="E1245" s="854">
        <v>333904700000000</v>
      </c>
      <c r="F1245" s="855" t="s">
        <v>8167</v>
      </c>
      <c r="G1245" s="468">
        <v>31</v>
      </c>
      <c r="H1245" s="468">
        <v>0</v>
      </c>
      <c r="I1245" s="751"/>
      <c r="J1245" s="789">
        <f>('Parâmetros financeiros Despesa'!E1047)</f>
        <v>0</v>
      </c>
      <c r="K1245" s="789">
        <f>('Parâmetros financeiros Despesa'!F1047)*(1+'Parâmetros financeiros Despesa'!F$4)*(1+'Parâmetros financeiros Despesa'!F$7)</f>
        <v>109.03315000000001</v>
      </c>
      <c r="L1245" s="799">
        <f t="shared" si="146"/>
        <v>3.6597069526627682E-5</v>
      </c>
      <c r="M1245" s="894"/>
      <c r="O1245" s="733"/>
    </row>
    <row r="1246" spans="2:15" x14ac:dyDescent="0.25">
      <c r="B1246" s="1385" t="s">
        <v>7987</v>
      </c>
      <c r="C1246" s="1385"/>
      <c r="D1246" s="1385"/>
      <c r="E1246" s="1385"/>
      <c r="F1246" s="1385"/>
      <c r="G1246" s="401"/>
      <c r="H1246" s="401"/>
      <c r="I1246" s="426"/>
      <c r="J1246" s="402">
        <f t="shared" ref="J1246:K1248" si="149">J1247</f>
        <v>9754.5066666666662</v>
      </c>
      <c r="K1246" s="402">
        <f t="shared" si="149"/>
        <v>10744.689938941667</v>
      </c>
      <c r="L1246" s="451">
        <f t="shared" si="146"/>
        <v>3.6064643160131126E-3</v>
      </c>
    </row>
    <row r="1247" spans="2:15" x14ac:dyDescent="0.25">
      <c r="B1247" s="1386" t="s">
        <v>8136</v>
      </c>
      <c r="C1247" s="1386"/>
      <c r="D1247" s="1386"/>
      <c r="E1247" s="1386"/>
      <c r="F1247" s="1386"/>
      <c r="G1247" s="403"/>
      <c r="H1247" s="403"/>
      <c r="I1247" s="427"/>
      <c r="J1247" s="404">
        <f t="shared" si="149"/>
        <v>9754.5066666666662</v>
      </c>
      <c r="K1247" s="404">
        <f t="shared" si="149"/>
        <v>10744.689938941667</v>
      </c>
      <c r="L1247" s="452">
        <f t="shared" si="146"/>
        <v>3.6064643160131126E-3</v>
      </c>
    </row>
    <row r="1248" spans="2:15" x14ac:dyDescent="0.25">
      <c r="B1248" s="1382" t="s">
        <v>7914</v>
      </c>
      <c r="C1248" s="1382"/>
      <c r="D1248" s="1382"/>
      <c r="E1248" s="1382"/>
      <c r="F1248" s="1382"/>
      <c r="G1248" s="405"/>
      <c r="H1248" s="405"/>
      <c r="I1248" s="428"/>
      <c r="J1248" s="406">
        <f t="shared" si="149"/>
        <v>9754.5066666666662</v>
      </c>
      <c r="K1248" s="406">
        <f t="shared" si="149"/>
        <v>10744.689938941667</v>
      </c>
      <c r="L1248" s="453">
        <f t="shared" si="146"/>
        <v>3.6064643160131126E-3</v>
      </c>
    </row>
    <row r="1249" spans="2:15" x14ac:dyDescent="0.25">
      <c r="B1249" s="1383" t="s">
        <v>7298</v>
      </c>
      <c r="C1249" s="1383"/>
      <c r="D1249" s="1383"/>
      <c r="E1249" s="1383"/>
      <c r="F1249" s="1383"/>
      <c r="G1249" s="407"/>
      <c r="H1249" s="407"/>
      <c r="I1249" s="429"/>
      <c r="J1249" s="408">
        <f>J1250+J1251-0.01</f>
        <v>9754.5066666666662</v>
      </c>
      <c r="K1249" s="408">
        <f>K1250+K1251</f>
        <v>10744.689938941667</v>
      </c>
      <c r="L1249" s="454">
        <f t="shared" si="146"/>
        <v>3.6064643160131126E-3</v>
      </c>
    </row>
    <row r="1250" spans="2:15" s="115" customFormat="1" x14ac:dyDescent="0.25">
      <c r="B1250" s="1398" t="s">
        <v>8170</v>
      </c>
      <c r="C1250" s="1398"/>
      <c r="D1250" s="1398"/>
      <c r="E1250" s="854">
        <v>333903900000000</v>
      </c>
      <c r="F1250" s="855" t="s">
        <v>8168</v>
      </c>
      <c r="G1250" s="468">
        <v>31</v>
      </c>
      <c r="H1250" s="468">
        <v>0</v>
      </c>
      <c r="I1250" s="751"/>
      <c r="J1250" s="789">
        <f>('Parâmetros financeiros Despesa'!E1049)</f>
        <v>9754.5166666666664</v>
      </c>
      <c r="K1250" s="789">
        <f>('Parâmetros financeiros Despesa'!F1049)*(1+'Parâmetros financeiros Despesa'!F$4)*(1+'Parâmetros financeiros Despesa'!F$7)</f>
        <v>10635.656788941667</v>
      </c>
      <c r="L1250" s="799">
        <f t="shared" si="146"/>
        <v>3.5698672464864849E-3</v>
      </c>
      <c r="M1250" s="894"/>
      <c r="O1250" s="733"/>
    </row>
    <row r="1251" spans="2:15" s="115" customFormat="1" x14ac:dyDescent="0.25">
      <c r="B1251" s="1398" t="s">
        <v>8171</v>
      </c>
      <c r="C1251" s="1398"/>
      <c r="D1251" s="1398"/>
      <c r="E1251" s="854">
        <v>333904700000000</v>
      </c>
      <c r="F1251" s="855" t="s">
        <v>8169</v>
      </c>
      <c r="G1251" s="468">
        <v>31</v>
      </c>
      <c r="H1251" s="468">
        <v>0</v>
      </c>
      <c r="I1251" s="751"/>
      <c r="J1251" s="789">
        <f>('Parâmetros financeiros Despesa'!E1050)</f>
        <v>0</v>
      </c>
      <c r="K1251" s="789">
        <f>('Parâmetros financeiros Despesa'!F1050)*(1+'Parâmetros financeiros Despesa'!F$4)*(1+'Parâmetros financeiros Despesa'!F$7)</f>
        <v>109.03315000000001</v>
      </c>
      <c r="L1251" s="799">
        <f t="shared" si="146"/>
        <v>3.6597069526627682E-5</v>
      </c>
      <c r="M1251" s="894"/>
      <c r="O1251" s="733"/>
    </row>
    <row r="1252" spans="2:15" x14ac:dyDescent="0.25">
      <c r="B1252" s="1385" t="s">
        <v>7992</v>
      </c>
      <c r="C1252" s="1385"/>
      <c r="D1252" s="1385"/>
      <c r="E1252" s="1385"/>
      <c r="F1252" s="1385"/>
      <c r="G1252" s="401"/>
      <c r="H1252" s="401"/>
      <c r="I1252" s="426"/>
      <c r="J1252" s="402">
        <f t="shared" ref="J1252:K1254" si="150">J1253</f>
        <v>0</v>
      </c>
      <c r="K1252" s="402">
        <f t="shared" si="150"/>
        <v>1199.36465</v>
      </c>
      <c r="L1252" s="451">
        <f t="shared" ref="L1252:L1258" si="151">K1252/K$1262</f>
        <v>4.0256776479290446E-4</v>
      </c>
    </row>
    <row r="1253" spans="2:15" x14ac:dyDescent="0.25">
      <c r="B1253" s="1386" t="s">
        <v>8141</v>
      </c>
      <c r="C1253" s="1386"/>
      <c r="D1253" s="1386"/>
      <c r="E1253" s="1386"/>
      <c r="F1253" s="1386"/>
      <c r="G1253" s="403"/>
      <c r="H1253" s="403"/>
      <c r="I1253" s="427"/>
      <c r="J1253" s="404">
        <f t="shared" si="150"/>
        <v>0</v>
      </c>
      <c r="K1253" s="404">
        <f t="shared" si="150"/>
        <v>1199.36465</v>
      </c>
      <c r="L1253" s="452">
        <f t="shared" si="151"/>
        <v>4.0256776479290446E-4</v>
      </c>
    </row>
    <row r="1254" spans="2:15" x14ac:dyDescent="0.25">
      <c r="B1254" s="1382" t="s">
        <v>7914</v>
      </c>
      <c r="C1254" s="1382"/>
      <c r="D1254" s="1382"/>
      <c r="E1254" s="1382"/>
      <c r="F1254" s="1382"/>
      <c r="G1254" s="405"/>
      <c r="H1254" s="405"/>
      <c r="I1254" s="428"/>
      <c r="J1254" s="406">
        <f t="shared" si="150"/>
        <v>0</v>
      </c>
      <c r="K1254" s="406">
        <f t="shared" si="150"/>
        <v>1199.36465</v>
      </c>
      <c r="L1254" s="453">
        <f t="shared" si="151"/>
        <v>4.0256776479290446E-4</v>
      </c>
    </row>
    <row r="1255" spans="2:15" x14ac:dyDescent="0.25">
      <c r="B1255" s="1383" t="s">
        <v>7298</v>
      </c>
      <c r="C1255" s="1383"/>
      <c r="D1255" s="1383"/>
      <c r="E1255" s="1383"/>
      <c r="F1255" s="1383"/>
      <c r="G1255" s="407"/>
      <c r="H1255" s="407"/>
      <c r="I1255" s="429"/>
      <c r="J1255" s="408">
        <f>J1256+J1257</f>
        <v>0</v>
      </c>
      <c r="K1255" s="408">
        <f>K1256+K1257</f>
        <v>1199.36465</v>
      </c>
      <c r="L1255" s="454">
        <f t="shared" si="151"/>
        <v>4.0256776479290446E-4</v>
      </c>
    </row>
    <row r="1256" spans="2:15" s="115" customFormat="1" x14ac:dyDescent="0.25">
      <c r="B1256" s="1398" t="s">
        <v>8172</v>
      </c>
      <c r="C1256" s="1398"/>
      <c r="D1256" s="1398"/>
      <c r="E1256" s="854">
        <v>333903900000000</v>
      </c>
      <c r="F1256" s="855" t="s">
        <v>8174</v>
      </c>
      <c r="G1256" s="468">
        <v>31</v>
      </c>
      <c r="H1256" s="468">
        <v>0</v>
      </c>
      <c r="I1256" s="751"/>
      <c r="J1256" s="789">
        <f>('Parâmetros financeiros Despesa'!E1052)</f>
        <v>0</v>
      </c>
      <c r="K1256" s="789">
        <f>('Parâmetros financeiros Despesa'!F1052)*(1+'Parâmetros financeiros Despesa'!F$4)*(1+'Parâmetros financeiros Despesa'!F$7)</f>
        <v>1090.3315</v>
      </c>
      <c r="L1256" s="799">
        <f t="shared" si="151"/>
        <v>3.6597069526627681E-4</v>
      </c>
      <c r="M1256" s="894"/>
      <c r="O1256" s="733"/>
    </row>
    <row r="1257" spans="2:15" s="115" customFormat="1" x14ac:dyDescent="0.25">
      <c r="B1257" s="1398" t="s">
        <v>8173</v>
      </c>
      <c r="C1257" s="1398"/>
      <c r="D1257" s="1398"/>
      <c r="E1257" s="854">
        <v>333904700000000</v>
      </c>
      <c r="F1257" s="855" t="s">
        <v>8175</v>
      </c>
      <c r="G1257" s="468">
        <v>31</v>
      </c>
      <c r="H1257" s="468">
        <v>0</v>
      </c>
      <c r="I1257" s="751"/>
      <c r="J1257" s="789">
        <f>('Parâmetros financeiros Despesa'!E1053)</f>
        <v>0</v>
      </c>
      <c r="K1257" s="789">
        <f>('Parâmetros financeiros Despesa'!F1053)*(1+'Parâmetros financeiros Despesa'!F$4)*(1+'Parâmetros financeiros Despesa'!F$7)</f>
        <v>109.03315000000001</v>
      </c>
      <c r="L1257" s="799">
        <f t="shared" si="151"/>
        <v>3.6597069526627682E-5</v>
      </c>
      <c r="M1257" s="894"/>
      <c r="O1257" s="733"/>
    </row>
    <row r="1258" spans="2:15" x14ac:dyDescent="0.25">
      <c r="B1258" s="864" t="s">
        <v>22</v>
      </c>
      <c r="C1258" s="864"/>
      <c r="D1258" s="864"/>
      <c r="E1258" s="864"/>
      <c r="F1258" s="864"/>
      <c r="G1258" s="864"/>
      <c r="H1258" s="864"/>
      <c r="I1258" s="864"/>
      <c r="J1258" s="863">
        <f>J1253+J1247+J1241+J1235+J1215+J1194+J1173+J1152+J1141+J1136+J1126+J1106+J1097+J1089+J1081</f>
        <v>2401950.2348166672</v>
      </c>
      <c r="K1258" s="863">
        <f>K1253+K1247+K1241+K1235+K1215+K1194+K1173+K1152+K1141+K1136+K1126+K1106+K1097+K1089+K1081</f>
        <v>2979286.3584519662</v>
      </c>
      <c r="L1258" s="452">
        <f t="shared" si="151"/>
        <v>1</v>
      </c>
    </row>
    <row r="1259" spans="2:15" x14ac:dyDescent="0.25">
      <c r="B1259" s="864" t="s">
        <v>11469</v>
      </c>
      <c r="C1259" s="864"/>
      <c r="D1259" s="864"/>
      <c r="E1259" s="864"/>
      <c r="F1259" s="864"/>
      <c r="G1259" s="864"/>
      <c r="H1259" s="864"/>
      <c r="I1259" s="864"/>
      <c r="J1259" s="863"/>
      <c r="K1259" s="863"/>
      <c r="L1259" s="452"/>
    </row>
    <row r="1260" spans="2:15" s="31" customFormat="1" x14ac:dyDescent="0.25">
      <c r="B1260" s="869" t="s">
        <v>11568</v>
      </c>
      <c r="C1260" s="869"/>
      <c r="D1260" s="869"/>
      <c r="E1260" s="869"/>
      <c r="F1260" s="869"/>
      <c r="G1260" s="869"/>
      <c r="H1260" s="869"/>
      <c r="I1260" s="869"/>
      <c r="J1260" s="870">
        <f>J1177+J1198+J1156+J1110</f>
        <v>29195.915862500002</v>
      </c>
      <c r="K1260" s="870">
        <f>K1177+K1198+K1156+K1110</f>
        <v>80717.457908053984</v>
      </c>
      <c r="L1260" s="871">
        <f t="shared" ref="L1260:L1261" si="152">K1260/K$1262</f>
        <v>2.7092883394396059E-2</v>
      </c>
      <c r="M1260" s="897"/>
      <c r="O1260" s="736"/>
    </row>
    <row r="1261" spans="2:15" s="31" customFormat="1" x14ac:dyDescent="0.25">
      <c r="B1261" s="869" t="s">
        <v>755</v>
      </c>
      <c r="C1261" s="869"/>
      <c r="D1261" s="869"/>
      <c r="E1261" s="869"/>
      <c r="F1261" s="869"/>
      <c r="G1261" s="869"/>
      <c r="H1261" s="869"/>
      <c r="I1261" s="869"/>
      <c r="J1261" s="870">
        <f>J1258-J1260</f>
        <v>2372754.318954167</v>
      </c>
      <c r="K1261" s="870">
        <f>K1258-K1260</f>
        <v>2898568.9005439123</v>
      </c>
      <c r="L1261" s="871">
        <f t="shared" si="152"/>
        <v>0.97290711660560403</v>
      </c>
      <c r="M1261" s="897"/>
      <c r="O1261" s="736"/>
    </row>
    <row r="1262" spans="2:15" s="115" customFormat="1" x14ac:dyDescent="0.25">
      <c r="B1262" s="864" t="s">
        <v>2172</v>
      </c>
      <c r="C1262" s="864"/>
      <c r="D1262" s="864"/>
      <c r="E1262" s="864"/>
      <c r="F1262" s="864"/>
      <c r="G1262" s="864"/>
      <c r="H1262" s="864"/>
      <c r="I1262" s="864"/>
      <c r="J1262" s="863">
        <f>SUM(J1261:J1261)</f>
        <v>2372754.318954167</v>
      </c>
      <c r="K1262" s="863">
        <f>SUM(K1260:K1261)</f>
        <v>2979286.3584519662</v>
      </c>
      <c r="L1262" s="452">
        <f>K1262/K$1262</f>
        <v>1</v>
      </c>
      <c r="M1262" s="894"/>
      <c r="O1262" s="733"/>
    </row>
    <row r="1264" spans="2:15" x14ac:dyDescent="0.25">
      <c r="K1264" s="783"/>
    </row>
    <row r="1265" spans="1:15" x14ac:dyDescent="0.25">
      <c r="K1265" s="783"/>
    </row>
    <row r="1267" spans="1:15" s="435" customFormat="1" ht="15.75" x14ac:dyDescent="0.25">
      <c r="B1267" s="999" t="s">
        <v>989</v>
      </c>
      <c r="C1267" s="999"/>
      <c r="D1267" s="481"/>
      <c r="E1267" s="1371" t="s">
        <v>7911</v>
      </c>
      <c r="F1267" s="1371"/>
      <c r="G1267" s="1371"/>
      <c r="H1267" s="1371"/>
      <c r="I1267" s="1371"/>
      <c r="J1267" s="940"/>
      <c r="K1267" s="438"/>
      <c r="L1267" s="449"/>
      <c r="M1267" s="892"/>
      <c r="O1267" s="732"/>
    </row>
    <row r="1268" spans="1:15" s="435" customFormat="1" ht="17.25" customHeight="1" x14ac:dyDescent="0.25">
      <c r="B1268" s="999" t="s">
        <v>458</v>
      </c>
      <c r="C1268" s="999"/>
      <c r="D1268" s="481"/>
      <c r="E1268" s="1371" t="s">
        <v>8176</v>
      </c>
      <c r="F1268" s="1371"/>
      <c r="G1268" s="1371"/>
      <c r="H1268" s="1371"/>
      <c r="I1268" s="1371"/>
      <c r="J1268" s="940"/>
      <c r="K1268" s="807"/>
      <c r="L1268" s="449"/>
      <c r="M1268" s="892"/>
      <c r="O1268" s="732"/>
    </row>
    <row r="1269" spans="1:15" s="435" customFormat="1" ht="15.75" x14ac:dyDescent="0.25">
      <c r="B1269" s="1005" t="s">
        <v>5764</v>
      </c>
      <c r="C1269" s="1005"/>
      <c r="D1269" s="1005"/>
      <c r="E1269" s="1371" t="s">
        <v>749</v>
      </c>
      <c r="F1269" s="1371"/>
      <c r="G1269" s="1371"/>
      <c r="H1269" s="1371"/>
      <c r="I1269" s="1371"/>
      <c r="J1269" s="941"/>
      <c r="K1269" s="438"/>
      <c r="L1269" s="449"/>
      <c r="M1269" s="892"/>
      <c r="O1269" s="732"/>
    </row>
    <row r="1270" spans="1:15" ht="88.5" x14ac:dyDescent="0.25">
      <c r="A1270" s="396"/>
      <c r="B1270" s="1400" t="s">
        <v>2296</v>
      </c>
      <c r="C1270" s="1400"/>
      <c r="D1270" s="1400"/>
      <c r="E1270" s="1384" t="s">
        <v>2297</v>
      </c>
      <c r="F1270" s="1384"/>
      <c r="G1270" s="443" t="s">
        <v>444</v>
      </c>
      <c r="H1270" s="443" t="s">
        <v>2245</v>
      </c>
      <c r="I1270" s="444" t="s">
        <v>5725</v>
      </c>
      <c r="J1270" s="893" t="s">
        <v>11644</v>
      </c>
      <c r="K1270" s="1000" t="s">
        <v>11522</v>
      </c>
      <c r="L1270" s="450" t="s">
        <v>235</v>
      </c>
    </row>
    <row r="1271" spans="1:15" s="115" customFormat="1" x14ac:dyDescent="0.25">
      <c r="A1271" s="396"/>
      <c r="B1271" s="1385" t="s">
        <v>7913</v>
      </c>
      <c r="C1271" s="1385"/>
      <c r="D1271" s="1385"/>
      <c r="E1271" s="1385"/>
      <c r="F1271" s="1385"/>
      <c r="G1271" s="401"/>
      <c r="H1271" s="401"/>
      <c r="I1271" s="426"/>
      <c r="J1271" s="402">
        <f t="shared" ref="J1271:K1273" si="153">J1272</f>
        <v>0</v>
      </c>
      <c r="K1271" s="402">
        <f t="shared" si="153"/>
        <v>30101</v>
      </c>
      <c r="L1271" s="451">
        <f>K1271/K$1294</f>
        <v>7.4188583776634412E-2</v>
      </c>
      <c r="M1271" s="894"/>
      <c r="O1271" s="733"/>
    </row>
    <row r="1272" spans="1:15" x14ac:dyDescent="0.25">
      <c r="B1272" s="1386" t="s">
        <v>8177</v>
      </c>
      <c r="C1272" s="1386"/>
      <c r="D1272" s="1386"/>
      <c r="E1272" s="1386"/>
      <c r="F1272" s="1386"/>
      <c r="G1272" s="403"/>
      <c r="H1272" s="403"/>
      <c r="I1272" s="427"/>
      <c r="J1272" s="404">
        <f t="shared" si="153"/>
        <v>0</v>
      </c>
      <c r="K1272" s="404">
        <f t="shared" si="153"/>
        <v>30101</v>
      </c>
      <c r="L1272" s="452">
        <f>K1272/K$1294</f>
        <v>7.4188583776634412E-2</v>
      </c>
    </row>
    <row r="1273" spans="1:15" x14ac:dyDescent="0.25">
      <c r="B1273" s="1382" t="s">
        <v>7914</v>
      </c>
      <c r="C1273" s="1382"/>
      <c r="D1273" s="1382"/>
      <c r="E1273" s="1382"/>
      <c r="F1273" s="1382"/>
      <c r="G1273" s="405"/>
      <c r="H1273" s="405"/>
      <c r="I1273" s="428"/>
      <c r="J1273" s="406">
        <f t="shared" si="153"/>
        <v>0</v>
      </c>
      <c r="K1273" s="406">
        <f t="shared" si="153"/>
        <v>30101</v>
      </c>
      <c r="L1273" s="453">
        <f>K1273/K$1294</f>
        <v>7.4188583776634412E-2</v>
      </c>
    </row>
    <row r="1274" spans="1:15" x14ac:dyDescent="0.25">
      <c r="B1274" s="1383" t="s">
        <v>7927</v>
      </c>
      <c r="C1274" s="1383"/>
      <c r="D1274" s="1383"/>
      <c r="E1274" s="1383"/>
      <c r="F1274" s="1383"/>
      <c r="G1274" s="407"/>
      <c r="H1274" s="407"/>
      <c r="I1274" s="429"/>
      <c r="J1274" s="408">
        <f>SUM(J1275:J1281)</f>
        <v>0</v>
      </c>
      <c r="K1274" s="408">
        <f>SUM(K1275:K1281)</f>
        <v>30101</v>
      </c>
      <c r="L1274" s="454">
        <f>K1274/K$1294</f>
        <v>7.4188583776634412E-2</v>
      </c>
    </row>
    <row r="1275" spans="1:15" x14ac:dyDescent="0.25">
      <c r="B1275" s="1396">
        <v>410000</v>
      </c>
      <c r="C1275" s="1396"/>
      <c r="D1275" s="1396"/>
      <c r="E1275" s="854">
        <v>333904700000000</v>
      </c>
      <c r="F1275" s="1017" t="s">
        <v>8180</v>
      </c>
      <c r="G1275" s="468">
        <v>1158</v>
      </c>
      <c r="H1275" s="468">
        <v>0</v>
      </c>
      <c r="I1275" s="751"/>
      <c r="J1275" s="789">
        <f>'Parâmetros financeiros Despesa'!E1059</f>
        <v>0</v>
      </c>
      <c r="K1275" s="789">
        <f>'Parâmetros financeiros Despesa'!F1059</f>
        <v>0.2</v>
      </c>
      <c r="L1275" s="799">
        <f t="shared" ref="L1275:L1276" si="154">K1275/K$1294</f>
        <v>4.9293102406321657E-7</v>
      </c>
    </row>
    <row r="1276" spans="1:15" x14ac:dyDescent="0.25">
      <c r="B1276" s="1396">
        <v>410100</v>
      </c>
      <c r="C1276" s="1396"/>
      <c r="D1276" s="1396"/>
      <c r="E1276" s="854">
        <v>344309300000000</v>
      </c>
      <c r="F1276" s="855" t="s">
        <v>8183</v>
      </c>
      <c r="G1276" s="468">
        <v>1158</v>
      </c>
      <c r="H1276" s="468">
        <v>0</v>
      </c>
      <c r="I1276" s="751"/>
      <c r="J1276" s="789">
        <f>'Parâmetros financeiros Despesa'!E1060</f>
        <v>0</v>
      </c>
      <c r="K1276" s="789">
        <f>'Parâmetros financeiros Despesa'!F1060</f>
        <v>1</v>
      </c>
      <c r="L1276" s="799">
        <f t="shared" si="154"/>
        <v>2.4646551203160832E-6</v>
      </c>
    </row>
    <row r="1277" spans="1:15" x14ac:dyDescent="0.25">
      <c r="B1277" s="1396">
        <v>410200</v>
      </c>
      <c r="C1277" s="1396"/>
      <c r="D1277" s="1396"/>
      <c r="E1277" s="854">
        <v>344903000000000</v>
      </c>
      <c r="F1277" s="855" t="s">
        <v>8181</v>
      </c>
      <c r="G1277" s="468">
        <v>1158</v>
      </c>
      <c r="H1277" s="468">
        <v>0</v>
      </c>
      <c r="I1277" s="751"/>
      <c r="J1277" s="789">
        <f>'Parâmetros financeiros Despesa'!E1061</f>
        <v>0</v>
      </c>
      <c r="K1277" s="789">
        <f>'Parâmetros financeiros Despesa'!F1061</f>
        <v>1</v>
      </c>
      <c r="L1277" s="799">
        <f>K1277/K$1294</f>
        <v>2.4646551203160832E-6</v>
      </c>
    </row>
    <row r="1278" spans="1:15" x14ac:dyDescent="0.25">
      <c r="B1278" s="1398" t="s">
        <v>8178</v>
      </c>
      <c r="C1278" s="1398"/>
      <c r="D1278" s="1398"/>
      <c r="E1278" s="854">
        <v>344903600000000</v>
      </c>
      <c r="F1278" s="855" t="s">
        <v>8271</v>
      </c>
      <c r="G1278" s="468">
        <v>1158</v>
      </c>
      <c r="H1278" s="468">
        <v>0</v>
      </c>
      <c r="I1278" s="751"/>
      <c r="J1278" s="789">
        <f>'Parâmetros financeiros Despesa'!E1062</f>
        <v>0</v>
      </c>
      <c r="K1278" s="789">
        <f>'Parâmetros financeiros Despesa'!F1062</f>
        <v>1</v>
      </c>
      <c r="L1278" s="799">
        <f t="shared" ref="L1278:L1287" si="155">K1278/K$1294</f>
        <v>2.4646551203160832E-6</v>
      </c>
    </row>
    <row r="1279" spans="1:15" x14ac:dyDescent="0.25">
      <c r="B1279" s="1398" t="s">
        <v>8179</v>
      </c>
      <c r="C1279" s="1398"/>
      <c r="D1279" s="1398"/>
      <c r="E1279" s="854">
        <v>344903900000000</v>
      </c>
      <c r="F1279" s="855" t="s">
        <v>8272</v>
      </c>
      <c r="G1279" s="468">
        <v>1158</v>
      </c>
      <c r="H1279" s="468">
        <v>0</v>
      </c>
      <c r="I1279" s="751"/>
      <c r="J1279" s="789">
        <f>'Parâmetros financeiros Despesa'!E1063</f>
        <v>0</v>
      </c>
      <c r="K1279" s="789">
        <f>'Parâmetros financeiros Despesa'!F1063</f>
        <v>1</v>
      </c>
      <c r="L1279" s="799">
        <f t="shared" si="155"/>
        <v>2.4646551203160832E-6</v>
      </c>
    </row>
    <row r="1280" spans="1:15" x14ac:dyDescent="0.25">
      <c r="B1280" s="1398" t="s">
        <v>8273</v>
      </c>
      <c r="C1280" s="1398"/>
      <c r="D1280" s="1398"/>
      <c r="E1280" s="854">
        <v>344905200000000</v>
      </c>
      <c r="F1280" s="855" t="s">
        <v>8182</v>
      </c>
      <c r="G1280" s="468">
        <v>1</v>
      </c>
      <c r="H1280" s="468">
        <v>0</v>
      </c>
      <c r="I1280" s="751"/>
      <c r="J1280" s="789">
        <f>'Parâmetros financeiros Despesa'!E1064</f>
        <v>0</v>
      </c>
      <c r="K1280" s="789">
        <f>'Parâmetros financeiros Despesa'!F1064</f>
        <v>1</v>
      </c>
      <c r="L1280" s="799">
        <f t="shared" si="155"/>
        <v>2.4646551203160832E-6</v>
      </c>
    </row>
    <row r="1281" spans="2:15" x14ac:dyDescent="0.25">
      <c r="B1281" s="1398" t="s">
        <v>8274</v>
      </c>
      <c r="C1281" s="1398"/>
      <c r="D1281" s="1398"/>
      <c r="E1281" s="854">
        <v>344905200000000</v>
      </c>
      <c r="F1281" s="855" t="s">
        <v>8182</v>
      </c>
      <c r="G1281" s="468">
        <v>1158</v>
      </c>
      <c r="H1281" s="468">
        <v>0</v>
      </c>
      <c r="I1281" s="751"/>
      <c r="J1281" s="789">
        <f>'Parâmetros financeiros Despesa'!E1065</f>
        <v>0</v>
      </c>
      <c r="K1281" s="789">
        <f>'Parâmetros financeiros Despesa'!F1065</f>
        <v>30095.8</v>
      </c>
      <c r="L1281" s="799">
        <f t="shared" si="155"/>
        <v>7.4175767570008766E-2</v>
      </c>
    </row>
    <row r="1282" spans="2:15" x14ac:dyDescent="0.25">
      <c r="B1282" s="1385" t="s">
        <v>7994</v>
      </c>
      <c r="C1282" s="1385"/>
      <c r="D1282" s="1385"/>
      <c r="E1282" s="1385"/>
      <c r="F1282" s="1385"/>
      <c r="G1282" s="401"/>
      <c r="H1282" s="401"/>
      <c r="I1282" s="426"/>
      <c r="J1282" s="402">
        <f t="shared" ref="J1282:K1284" si="156">J1283</f>
        <v>225255.28750000001</v>
      </c>
      <c r="K1282" s="402">
        <f t="shared" si="156"/>
        <v>375635.28</v>
      </c>
      <c r="L1282" s="451">
        <f t="shared" si="155"/>
        <v>0.9258114162233656</v>
      </c>
    </row>
    <row r="1283" spans="2:15" x14ac:dyDescent="0.25">
      <c r="B1283" s="1386" t="s">
        <v>8143</v>
      </c>
      <c r="C1283" s="1386"/>
      <c r="D1283" s="1386"/>
      <c r="E1283" s="1386"/>
      <c r="F1283" s="1386"/>
      <c r="G1283" s="403"/>
      <c r="H1283" s="403"/>
      <c r="I1283" s="427"/>
      <c r="J1283" s="404">
        <f t="shared" si="156"/>
        <v>225255.28750000001</v>
      </c>
      <c r="K1283" s="404">
        <f t="shared" si="156"/>
        <v>375635.28</v>
      </c>
      <c r="L1283" s="452">
        <f t="shared" si="155"/>
        <v>0.9258114162233656</v>
      </c>
    </row>
    <row r="1284" spans="2:15" x14ac:dyDescent="0.25">
      <c r="B1284" s="1382" t="s">
        <v>7914</v>
      </c>
      <c r="C1284" s="1382"/>
      <c r="D1284" s="1382"/>
      <c r="E1284" s="1382"/>
      <c r="F1284" s="1382"/>
      <c r="G1284" s="405"/>
      <c r="H1284" s="405"/>
      <c r="I1284" s="428"/>
      <c r="J1284" s="406">
        <f t="shared" si="156"/>
        <v>225255.28750000001</v>
      </c>
      <c r="K1284" s="406">
        <f t="shared" si="156"/>
        <v>375635.28</v>
      </c>
      <c r="L1284" s="453">
        <f t="shared" si="155"/>
        <v>0.9258114162233656</v>
      </c>
    </row>
    <row r="1285" spans="2:15" x14ac:dyDescent="0.25">
      <c r="B1285" s="1383" t="s">
        <v>7298</v>
      </c>
      <c r="C1285" s="1383"/>
      <c r="D1285" s="1383"/>
      <c r="E1285" s="1383"/>
      <c r="F1285" s="1383"/>
      <c r="G1285" s="407"/>
      <c r="H1285" s="407"/>
      <c r="I1285" s="429"/>
      <c r="J1285" s="408">
        <f>SUM(J1286:J1288)</f>
        <v>225255.28750000001</v>
      </c>
      <c r="K1285" s="408">
        <f>SUM(K1286:K1288)</f>
        <v>375635.28</v>
      </c>
      <c r="L1285" s="454">
        <f t="shared" si="155"/>
        <v>0.9258114162233656</v>
      </c>
    </row>
    <row r="1286" spans="2:15" s="115" customFormat="1" x14ac:dyDescent="0.25">
      <c r="B1286" s="1398" t="s">
        <v>8184</v>
      </c>
      <c r="C1286" s="1398"/>
      <c r="D1286" s="1398"/>
      <c r="E1286" s="854">
        <v>333309300000000</v>
      </c>
      <c r="F1286" s="855" t="s">
        <v>8186</v>
      </c>
      <c r="G1286" s="468">
        <v>1013</v>
      </c>
      <c r="H1286" s="468">
        <v>0</v>
      </c>
      <c r="I1286" s="751"/>
      <c r="J1286" s="789">
        <f>'Parâmetros financeiros Despesa'!E1067</f>
        <v>0</v>
      </c>
      <c r="K1286" s="789">
        <f>'Parâmetros financeiros Despesa'!F1067</f>
        <v>1</v>
      </c>
      <c r="L1286" s="799">
        <f t="shared" si="155"/>
        <v>2.4646551203160832E-6</v>
      </c>
      <c r="M1286" s="894"/>
      <c r="O1286" s="733"/>
    </row>
    <row r="1287" spans="2:15" s="115" customFormat="1" x14ac:dyDescent="0.25">
      <c r="B1287" s="1398" t="s">
        <v>8185</v>
      </c>
      <c r="C1287" s="1398"/>
      <c r="D1287" s="1398"/>
      <c r="E1287" s="854">
        <v>333903900000000</v>
      </c>
      <c r="F1287" s="855" t="s">
        <v>8187</v>
      </c>
      <c r="G1287" s="468">
        <v>1013</v>
      </c>
      <c r="H1287" s="468">
        <v>0</v>
      </c>
      <c r="I1287" s="751"/>
      <c r="J1287" s="789">
        <f>'Parâmetros financeiros Despesa'!E1068</f>
        <v>225255.28750000001</v>
      </c>
      <c r="K1287" s="789">
        <f>'Parâmetros financeiros Despesa'!F1068</f>
        <v>375633.28</v>
      </c>
      <c r="L1287" s="799">
        <f t="shared" si="155"/>
        <v>0.92580648691312495</v>
      </c>
      <c r="M1287" s="894"/>
      <c r="O1287" s="733"/>
    </row>
    <row r="1288" spans="2:15" s="115" customFormat="1" x14ac:dyDescent="0.25">
      <c r="B1288" s="1398" t="s">
        <v>8189</v>
      </c>
      <c r="C1288" s="1398"/>
      <c r="D1288" s="1398"/>
      <c r="E1288" s="854">
        <v>333904700000000</v>
      </c>
      <c r="F1288" s="855" t="s">
        <v>8188</v>
      </c>
      <c r="G1288" s="468">
        <v>1013</v>
      </c>
      <c r="H1288" s="468">
        <v>0</v>
      </c>
      <c r="I1288" s="751"/>
      <c r="J1288" s="789">
        <f>'Parâmetros financeiros Despesa'!E1069</f>
        <v>0</v>
      </c>
      <c r="K1288" s="789">
        <f>'Parâmetros financeiros Despesa'!F1069</f>
        <v>1</v>
      </c>
      <c r="L1288" s="799">
        <f>K1288/K$1294</f>
        <v>2.4646551203160832E-6</v>
      </c>
      <c r="M1288" s="894"/>
      <c r="O1288" s="733"/>
    </row>
    <row r="1289" spans="2:15" x14ac:dyDescent="0.25">
      <c r="B1289" s="864" t="s">
        <v>22</v>
      </c>
      <c r="C1289" s="864"/>
      <c r="D1289" s="864"/>
      <c r="E1289" s="864"/>
      <c r="F1289" s="864"/>
      <c r="G1289" s="864"/>
      <c r="H1289" s="864"/>
      <c r="I1289" s="864"/>
      <c r="J1289" s="863">
        <f>J1283+J1272</f>
        <v>225255.28750000001</v>
      </c>
      <c r="K1289" s="863">
        <f>K1283+K1272</f>
        <v>405736.28</v>
      </c>
      <c r="L1289" s="452">
        <f>K1289/K$1294</f>
        <v>1</v>
      </c>
    </row>
    <row r="1290" spans="2:15" x14ac:dyDescent="0.25">
      <c r="B1290" s="864" t="s">
        <v>11469</v>
      </c>
      <c r="C1290" s="864"/>
      <c r="D1290" s="864"/>
      <c r="E1290" s="864"/>
      <c r="F1290" s="864"/>
      <c r="G1290" s="864"/>
      <c r="H1290" s="864"/>
      <c r="I1290" s="864"/>
      <c r="J1290" s="863"/>
      <c r="K1290" s="863"/>
      <c r="L1290" s="452"/>
    </row>
    <row r="1291" spans="2:15" s="31" customFormat="1" x14ac:dyDescent="0.25">
      <c r="B1291" s="869" t="s">
        <v>11568</v>
      </c>
      <c r="C1291" s="869"/>
      <c r="D1291" s="869"/>
      <c r="E1291" s="869"/>
      <c r="F1291" s="869"/>
      <c r="G1291" s="869"/>
      <c r="H1291" s="869"/>
      <c r="I1291" s="869"/>
      <c r="J1291" s="870">
        <v>1</v>
      </c>
      <c r="K1291" s="870">
        <v>1</v>
      </c>
      <c r="L1291" s="871">
        <f>K1291/K$1294</f>
        <v>2.4646551203160832E-6</v>
      </c>
      <c r="M1291" s="897"/>
      <c r="O1291" s="736"/>
    </row>
    <row r="1292" spans="2:15" s="31" customFormat="1" x14ac:dyDescent="0.25">
      <c r="B1292" s="869" t="s">
        <v>768</v>
      </c>
      <c r="C1292" s="869"/>
      <c r="D1292" s="869"/>
      <c r="E1292" s="869"/>
      <c r="F1292" s="869"/>
      <c r="G1292" s="869"/>
      <c r="H1292" s="869"/>
      <c r="I1292" s="869"/>
      <c r="J1292" s="870">
        <f>J1287</f>
        <v>225255.28750000001</v>
      </c>
      <c r="K1292" s="870">
        <v>375635.28</v>
      </c>
      <c r="L1292" s="871">
        <f t="shared" ref="L1292:L1293" si="157">K1292/K$1294</f>
        <v>0.9258114162233656</v>
      </c>
      <c r="M1292" s="897"/>
      <c r="O1292" s="736"/>
    </row>
    <row r="1293" spans="2:15" s="31" customFormat="1" x14ac:dyDescent="0.25">
      <c r="B1293" s="869" t="s">
        <v>11515</v>
      </c>
      <c r="C1293" s="869"/>
      <c r="D1293" s="869"/>
      <c r="E1293" s="869"/>
      <c r="F1293" s="869"/>
      <c r="G1293" s="869"/>
      <c r="H1293" s="869"/>
      <c r="I1293" s="869"/>
      <c r="J1293" s="870">
        <v>0</v>
      </c>
      <c r="K1293" s="870">
        <v>30100</v>
      </c>
      <c r="L1293" s="871">
        <f t="shared" si="157"/>
        <v>7.4186119121514099E-2</v>
      </c>
      <c r="M1293" s="897"/>
      <c r="O1293" s="736"/>
    </row>
    <row r="1294" spans="2:15" s="115" customFormat="1" x14ac:dyDescent="0.25">
      <c r="B1294" s="864" t="s">
        <v>2172</v>
      </c>
      <c r="C1294" s="864"/>
      <c r="D1294" s="864"/>
      <c r="E1294" s="864"/>
      <c r="F1294" s="864"/>
      <c r="G1294" s="864"/>
      <c r="H1294" s="864"/>
      <c r="I1294" s="864"/>
      <c r="J1294" s="863">
        <f>SUM(J1291:J1293)</f>
        <v>225256.28750000001</v>
      </c>
      <c r="K1294" s="863">
        <f>SUM(K1291:K1293)</f>
        <v>405736.28</v>
      </c>
      <c r="L1294" s="452">
        <f>K1294/K$1294</f>
        <v>1</v>
      </c>
      <c r="M1294" s="894"/>
      <c r="O1294" s="733"/>
    </row>
    <row r="1295" spans="2:15" x14ac:dyDescent="0.25">
      <c r="K1295" s="783"/>
    </row>
    <row r="1296" spans="2:15" s="435" customFormat="1" ht="15.75" x14ac:dyDescent="0.25">
      <c r="B1296" s="999" t="s">
        <v>989</v>
      </c>
      <c r="C1296" s="999"/>
      <c r="D1296" s="481"/>
      <c r="E1296" s="1371" t="s">
        <v>7911</v>
      </c>
      <c r="F1296" s="1371"/>
      <c r="G1296" s="1371"/>
      <c r="H1296" s="1371"/>
      <c r="I1296" s="1371"/>
      <c r="J1296" s="940"/>
      <c r="K1296" s="438"/>
      <c r="L1296" s="449"/>
      <c r="M1296" s="892"/>
      <c r="O1296" s="732"/>
    </row>
    <row r="1297" spans="1:15" s="435" customFormat="1" ht="15.75" x14ac:dyDescent="0.25">
      <c r="B1297" s="999" t="s">
        <v>458</v>
      </c>
      <c r="C1297" s="999"/>
      <c r="D1297" s="481"/>
      <c r="E1297" s="1371" t="s">
        <v>8190</v>
      </c>
      <c r="F1297" s="1371"/>
      <c r="G1297" s="1371"/>
      <c r="H1297" s="1371"/>
      <c r="I1297" s="1371"/>
      <c r="J1297" s="940"/>
      <c r="K1297" s="438"/>
      <c r="L1297" s="449"/>
      <c r="M1297" s="892"/>
      <c r="O1297" s="732"/>
    </row>
    <row r="1298" spans="1:15" s="435" customFormat="1" ht="15.75" x14ac:dyDescent="0.25">
      <c r="B1298" s="1005" t="s">
        <v>5764</v>
      </c>
      <c r="C1298" s="1005"/>
      <c r="D1298" s="1005"/>
      <c r="E1298" s="1371" t="s">
        <v>749</v>
      </c>
      <c r="F1298" s="1371"/>
      <c r="G1298" s="1371"/>
      <c r="H1298" s="1371"/>
      <c r="I1298" s="1371"/>
      <c r="J1298" s="941"/>
      <c r="K1298" s="438"/>
      <c r="L1298" s="449"/>
      <c r="M1298" s="892"/>
      <c r="O1298" s="732"/>
    </row>
    <row r="1299" spans="1:15" ht="88.5" x14ac:dyDescent="0.25">
      <c r="A1299" s="396"/>
      <c r="B1299" s="1400" t="s">
        <v>2296</v>
      </c>
      <c r="C1299" s="1400"/>
      <c r="D1299" s="1400"/>
      <c r="E1299" s="1384" t="s">
        <v>2297</v>
      </c>
      <c r="F1299" s="1384"/>
      <c r="G1299" s="443" t="s">
        <v>444</v>
      </c>
      <c r="H1299" s="443" t="s">
        <v>2245</v>
      </c>
      <c r="I1299" s="444" t="s">
        <v>5725</v>
      </c>
      <c r="J1299" s="893" t="s">
        <v>11644</v>
      </c>
      <c r="K1299" s="1000" t="s">
        <v>11522</v>
      </c>
      <c r="L1299" s="450" t="s">
        <v>235</v>
      </c>
    </row>
    <row r="1300" spans="1:15" s="115" customFormat="1" x14ac:dyDescent="0.25">
      <c r="A1300" s="396"/>
      <c r="B1300" s="1385" t="s">
        <v>7913</v>
      </c>
      <c r="C1300" s="1385"/>
      <c r="D1300" s="1385"/>
      <c r="E1300" s="1385"/>
      <c r="F1300" s="1385"/>
      <c r="G1300" s="401"/>
      <c r="H1300" s="401"/>
      <c r="I1300" s="426"/>
      <c r="J1300" s="402">
        <f t="shared" ref="J1300:K1302" si="158">J1301</f>
        <v>0</v>
      </c>
      <c r="K1300" s="402">
        <f t="shared" si="158"/>
        <v>5001</v>
      </c>
      <c r="L1300" s="451">
        <f>K1300/K$1340</f>
        <v>1.0795283413102081E-2</v>
      </c>
      <c r="M1300" s="894"/>
      <c r="O1300" s="733"/>
    </row>
    <row r="1301" spans="1:15" x14ac:dyDescent="0.25">
      <c r="B1301" s="1386" t="s">
        <v>8195</v>
      </c>
      <c r="C1301" s="1386"/>
      <c r="D1301" s="1386"/>
      <c r="E1301" s="1386"/>
      <c r="F1301" s="1386"/>
      <c r="G1301" s="403"/>
      <c r="H1301" s="403"/>
      <c r="I1301" s="427"/>
      <c r="J1301" s="404">
        <f t="shared" si="158"/>
        <v>0</v>
      </c>
      <c r="K1301" s="404">
        <f t="shared" si="158"/>
        <v>5001</v>
      </c>
      <c r="L1301" s="452">
        <f>K1301/K$1340</f>
        <v>1.0795283413102081E-2</v>
      </c>
    </row>
    <row r="1302" spans="1:15" x14ac:dyDescent="0.25">
      <c r="B1302" s="1382" t="s">
        <v>7914</v>
      </c>
      <c r="C1302" s="1382"/>
      <c r="D1302" s="1382"/>
      <c r="E1302" s="1382"/>
      <c r="F1302" s="1382"/>
      <c r="G1302" s="405"/>
      <c r="H1302" s="405"/>
      <c r="I1302" s="428"/>
      <c r="J1302" s="406">
        <f t="shared" si="158"/>
        <v>0</v>
      </c>
      <c r="K1302" s="406">
        <f t="shared" si="158"/>
        <v>5001</v>
      </c>
      <c r="L1302" s="453">
        <f>K1302/K$1340</f>
        <v>1.0795283413102081E-2</v>
      </c>
    </row>
    <row r="1303" spans="1:15" x14ac:dyDescent="0.25">
      <c r="B1303" s="1383" t="s">
        <v>7927</v>
      </c>
      <c r="C1303" s="1383"/>
      <c r="D1303" s="1383"/>
      <c r="E1303" s="1383"/>
      <c r="F1303" s="1383"/>
      <c r="G1303" s="407"/>
      <c r="H1303" s="407"/>
      <c r="I1303" s="429"/>
      <c r="J1303" s="408">
        <f>SUM(J1304:J1309)</f>
        <v>0</v>
      </c>
      <c r="K1303" s="408">
        <f>SUM(K1304:K1309)</f>
        <v>5001</v>
      </c>
      <c r="L1303" s="454">
        <f>K1303/K$1340</f>
        <v>1.0795283413102081E-2</v>
      </c>
    </row>
    <row r="1304" spans="1:15" s="115" customFormat="1" x14ac:dyDescent="0.25">
      <c r="B1304" s="1398" t="s">
        <v>8191</v>
      </c>
      <c r="C1304" s="1398"/>
      <c r="D1304" s="1398"/>
      <c r="E1304" s="1020">
        <v>333904700000000</v>
      </c>
      <c r="F1304" s="1021" t="s">
        <v>8280</v>
      </c>
      <c r="G1304" s="468">
        <v>1076</v>
      </c>
      <c r="H1304" s="468">
        <v>0</v>
      </c>
      <c r="I1304" s="751"/>
      <c r="J1304" s="789">
        <f>'Parâmetros financeiros Despesa'!E1074</f>
        <v>0</v>
      </c>
      <c r="K1304" s="789">
        <f>'Parâmetros financeiros Despesa'!F1074</f>
        <v>0.2</v>
      </c>
      <c r="L1304" s="799">
        <f>K1304/K$1340</f>
        <v>4.3172499152577808E-7</v>
      </c>
      <c r="M1304" s="894"/>
      <c r="O1304" s="733"/>
    </row>
    <row r="1305" spans="1:15" s="115" customFormat="1" x14ac:dyDescent="0.25">
      <c r="B1305" s="1398" t="s">
        <v>8192</v>
      </c>
      <c r="C1305" s="1398"/>
      <c r="D1305" s="1398"/>
      <c r="E1305" s="1020">
        <v>344209300000000</v>
      </c>
      <c r="F1305" s="1021" t="s">
        <v>8275</v>
      </c>
      <c r="G1305" s="468">
        <v>1076</v>
      </c>
      <c r="H1305" s="468">
        <v>0</v>
      </c>
      <c r="I1305" s="751"/>
      <c r="J1305" s="789">
        <f>'Parâmetros financeiros Despesa'!E1075</f>
        <v>0</v>
      </c>
      <c r="K1305" s="789">
        <f>'Parâmetros financeiros Despesa'!F1075</f>
        <v>1</v>
      </c>
      <c r="L1305" s="799">
        <f t="shared" ref="L1305:L1309" si="159">K1305/K$1340</f>
        <v>2.1586249576288904E-6</v>
      </c>
      <c r="M1305" s="894"/>
      <c r="O1305" s="733"/>
    </row>
    <row r="1306" spans="1:15" s="115" customFormat="1" x14ac:dyDescent="0.25">
      <c r="B1306" s="1398" t="s">
        <v>8193</v>
      </c>
      <c r="C1306" s="1398"/>
      <c r="D1306" s="1398"/>
      <c r="E1306" s="1020">
        <v>344903600000000</v>
      </c>
      <c r="F1306" s="1021" t="s">
        <v>8276</v>
      </c>
      <c r="G1306" s="468">
        <v>1076</v>
      </c>
      <c r="H1306" s="468">
        <v>0</v>
      </c>
      <c r="I1306" s="751"/>
      <c r="J1306" s="789">
        <f>'Parâmetros financeiros Despesa'!E1076</f>
        <v>0</v>
      </c>
      <c r="K1306" s="789">
        <f>'Parâmetros financeiros Despesa'!F1076</f>
        <v>1</v>
      </c>
      <c r="L1306" s="799">
        <f t="shared" si="159"/>
        <v>2.1586249576288904E-6</v>
      </c>
      <c r="M1306" s="894"/>
      <c r="O1306" s="733"/>
    </row>
    <row r="1307" spans="1:15" s="115" customFormat="1" x14ac:dyDescent="0.25">
      <c r="B1307" s="1398" t="s">
        <v>8194</v>
      </c>
      <c r="C1307" s="1398"/>
      <c r="D1307" s="1398"/>
      <c r="E1307" s="1020">
        <v>344903900000000</v>
      </c>
      <c r="F1307" s="1021" t="s">
        <v>8279</v>
      </c>
      <c r="G1307" s="468">
        <v>1076</v>
      </c>
      <c r="H1307" s="468">
        <v>0</v>
      </c>
      <c r="I1307" s="751"/>
      <c r="J1307" s="789">
        <f>'Parâmetros financeiros Despesa'!E1077</f>
        <v>0</v>
      </c>
      <c r="K1307" s="789">
        <f>'Parâmetros financeiros Despesa'!F1077</f>
        <v>1</v>
      </c>
      <c r="L1307" s="799">
        <f t="shared" si="159"/>
        <v>2.1586249576288904E-6</v>
      </c>
      <c r="M1307" s="894"/>
      <c r="O1307" s="733"/>
    </row>
    <row r="1308" spans="1:15" s="115" customFormat="1" x14ac:dyDescent="0.25">
      <c r="B1308" s="1004"/>
      <c r="C1308" s="1004"/>
      <c r="D1308" s="1004" t="s">
        <v>8281</v>
      </c>
      <c r="E1308" s="1020">
        <v>344905100000000</v>
      </c>
      <c r="F1308" s="1021" t="s">
        <v>8277</v>
      </c>
      <c r="G1308" s="468">
        <v>1</v>
      </c>
      <c r="H1308" s="468">
        <v>0</v>
      </c>
      <c r="I1308" s="751"/>
      <c r="J1308" s="789">
        <f>'Parâmetros financeiros Despesa'!E1078</f>
        <v>0</v>
      </c>
      <c r="K1308" s="789">
        <f>'Parâmetros financeiros Despesa'!F1078</f>
        <v>1</v>
      </c>
      <c r="L1308" s="799">
        <f t="shared" si="159"/>
        <v>2.1586249576288904E-6</v>
      </c>
      <c r="M1308" s="894"/>
      <c r="O1308" s="733"/>
    </row>
    <row r="1309" spans="1:15" s="115" customFormat="1" x14ac:dyDescent="0.25">
      <c r="B1309" s="1004"/>
      <c r="C1309" s="1004"/>
      <c r="D1309" s="1004" t="s">
        <v>8282</v>
      </c>
      <c r="E1309" s="1020">
        <v>344905100000000</v>
      </c>
      <c r="F1309" s="1021" t="s">
        <v>8278</v>
      </c>
      <c r="G1309" s="468">
        <v>1076</v>
      </c>
      <c r="H1309" s="468">
        <v>0</v>
      </c>
      <c r="I1309" s="751"/>
      <c r="J1309" s="789">
        <f>'Parâmetros financeiros Despesa'!E1079</f>
        <v>0</v>
      </c>
      <c r="K1309" s="789">
        <f>'Parâmetros financeiros Despesa'!F1079</f>
        <v>4996.8</v>
      </c>
      <c r="L1309" s="799">
        <f t="shared" si="159"/>
        <v>1.078621718828004E-2</v>
      </c>
      <c r="M1309" s="894"/>
      <c r="O1309" s="733"/>
    </row>
    <row r="1310" spans="1:15" s="115" customFormat="1" x14ac:dyDescent="0.25">
      <c r="A1310" s="396"/>
      <c r="B1310" s="1385" t="s">
        <v>7913</v>
      </c>
      <c r="C1310" s="1385"/>
      <c r="D1310" s="1385"/>
      <c r="E1310" s="1385"/>
      <c r="F1310" s="1385"/>
      <c r="G1310" s="401"/>
      <c r="H1310" s="401"/>
      <c r="I1310" s="426"/>
      <c r="J1310" s="402">
        <f t="shared" ref="J1310:K1312" si="160">J1311</f>
        <v>173076.255</v>
      </c>
      <c r="K1310" s="402">
        <f t="shared" si="160"/>
        <v>279468.08</v>
      </c>
      <c r="L1310" s="451">
        <f>K1310/K$1340</f>
        <v>0.60326677234862736</v>
      </c>
      <c r="M1310" s="894"/>
      <c r="O1310" s="733"/>
    </row>
    <row r="1311" spans="1:15" x14ac:dyDescent="0.25">
      <c r="B1311" s="1386" t="s">
        <v>8196</v>
      </c>
      <c r="C1311" s="1386"/>
      <c r="D1311" s="1386"/>
      <c r="E1311" s="1386"/>
      <c r="F1311" s="1386"/>
      <c r="G1311" s="403"/>
      <c r="H1311" s="403"/>
      <c r="I1311" s="427"/>
      <c r="J1311" s="404">
        <f t="shared" si="160"/>
        <v>173076.255</v>
      </c>
      <c r="K1311" s="404">
        <f t="shared" si="160"/>
        <v>279468.08</v>
      </c>
      <c r="L1311" s="452">
        <f>K1311/K$1340</f>
        <v>0.60326677234862736</v>
      </c>
    </row>
    <row r="1312" spans="1:15" x14ac:dyDescent="0.25">
      <c r="B1312" s="1382" t="s">
        <v>7914</v>
      </c>
      <c r="C1312" s="1382"/>
      <c r="D1312" s="1382"/>
      <c r="E1312" s="1382"/>
      <c r="F1312" s="1382"/>
      <c r="G1312" s="405"/>
      <c r="H1312" s="405"/>
      <c r="I1312" s="428"/>
      <c r="J1312" s="406">
        <f t="shared" si="160"/>
        <v>173076.255</v>
      </c>
      <c r="K1312" s="406">
        <f t="shared" si="160"/>
        <v>279468.08</v>
      </c>
      <c r="L1312" s="453">
        <f>K1312/K$1340</f>
        <v>0.60326677234862736</v>
      </c>
    </row>
    <row r="1313" spans="1:15" x14ac:dyDescent="0.25">
      <c r="B1313" s="1383" t="s">
        <v>7927</v>
      </c>
      <c r="C1313" s="1383"/>
      <c r="D1313" s="1383"/>
      <c r="E1313" s="1383"/>
      <c r="F1313" s="1383"/>
      <c r="G1313" s="407"/>
      <c r="H1313" s="407"/>
      <c r="I1313" s="429"/>
      <c r="J1313" s="408">
        <f>SUM(J1314:J1318)</f>
        <v>173076.255</v>
      </c>
      <c r="K1313" s="408">
        <f>SUM(K1314:K1318)</f>
        <v>279468.08</v>
      </c>
      <c r="L1313" s="454">
        <f>K1313/K$1340</f>
        <v>0.60326677234862736</v>
      </c>
    </row>
    <row r="1314" spans="1:15" s="115" customFormat="1" x14ac:dyDescent="0.25">
      <c r="B1314" s="1398" t="s">
        <v>8208</v>
      </c>
      <c r="C1314" s="1398"/>
      <c r="D1314" s="1398"/>
      <c r="E1314" s="854">
        <v>333903000000000</v>
      </c>
      <c r="F1314" s="855" t="s">
        <v>8203</v>
      </c>
      <c r="G1314" s="468">
        <v>1011</v>
      </c>
      <c r="H1314" s="468">
        <v>0</v>
      </c>
      <c r="I1314" s="751"/>
      <c r="J1314" s="789">
        <f>'Parâmetros financeiros Despesa'!E1081</f>
        <v>0</v>
      </c>
      <c r="K1314" s="789">
        <f>'Parâmetros financeiros Despesa'!F1081</f>
        <v>5000</v>
      </c>
      <c r="L1314" s="799">
        <f>K1314/K$1340</f>
        <v>1.0793124788144452E-2</v>
      </c>
      <c r="M1314" s="894"/>
      <c r="O1314" s="733"/>
    </row>
    <row r="1315" spans="1:15" s="115" customFormat="1" x14ac:dyDescent="0.25">
      <c r="B1315" s="1004"/>
      <c r="C1315" s="1004"/>
      <c r="D1315" s="1004" t="s">
        <v>8209</v>
      </c>
      <c r="E1315" s="854">
        <v>333903600000000</v>
      </c>
      <c r="F1315" s="855" t="s">
        <v>8204</v>
      </c>
      <c r="G1315" s="468">
        <v>1011</v>
      </c>
      <c r="H1315" s="468">
        <v>0</v>
      </c>
      <c r="I1315" s="751"/>
      <c r="J1315" s="789">
        <f>'Parâmetros financeiros Despesa'!E1082</f>
        <v>0</v>
      </c>
      <c r="K1315" s="789">
        <f>'Parâmetros financeiros Despesa'!F1082</f>
        <v>1</v>
      </c>
      <c r="L1315" s="799">
        <f t="shared" ref="L1315:L1318" si="161">K1315/K$1340</f>
        <v>2.1586249576288904E-6</v>
      </c>
      <c r="M1315" s="894"/>
      <c r="O1315" s="733"/>
    </row>
    <row r="1316" spans="1:15" s="115" customFormat="1" x14ac:dyDescent="0.25">
      <c r="B1316" s="1004"/>
      <c r="C1316" s="1004"/>
      <c r="D1316" s="1004" t="s">
        <v>8210</v>
      </c>
      <c r="E1316" s="854">
        <v>333903900000000</v>
      </c>
      <c r="F1316" s="855" t="s">
        <v>8205</v>
      </c>
      <c r="G1316" s="468">
        <v>1011</v>
      </c>
      <c r="H1316" s="468">
        <v>0</v>
      </c>
      <c r="I1316" s="751"/>
      <c r="J1316" s="789">
        <f>'Parâmetros financeiros Despesa'!E1083</f>
        <v>173076.255</v>
      </c>
      <c r="K1316" s="789">
        <f>'Parâmetros financeiros Despesa'!F1083</f>
        <v>268467.08</v>
      </c>
      <c r="L1316" s="799">
        <f t="shared" si="161"/>
        <v>0.57951973918975197</v>
      </c>
      <c r="M1316" s="894"/>
      <c r="O1316" s="733"/>
    </row>
    <row r="1317" spans="1:15" s="115" customFormat="1" x14ac:dyDescent="0.25">
      <c r="B1317" s="1004"/>
      <c r="C1317" s="1004"/>
      <c r="D1317" s="1004" t="s">
        <v>8211</v>
      </c>
      <c r="E1317" s="854">
        <v>333904700000000</v>
      </c>
      <c r="F1317" s="855" t="s">
        <v>8206</v>
      </c>
      <c r="G1317" s="468">
        <v>1011</v>
      </c>
      <c r="H1317" s="468">
        <v>0</v>
      </c>
      <c r="I1317" s="751"/>
      <c r="J1317" s="789">
        <f>'Parâmetros financeiros Despesa'!E1084</f>
        <v>0</v>
      </c>
      <c r="K1317" s="789">
        <f>'Parâmetros financeiros Despesa'!F1084</f>
        <v>1000</v>
      </c>
      <c r="L1317" s="799">
        <f t="shared" si="161"/>
        <v>2.1586249576288903E-3</v>
      </c>
      <c r="M1317" s="894"/>
      <c r="O1317" s="733"/>
    </row>
    <row r="1318" spans="1:15" s="115" customFormat="1" x14ac:dyDescent="0.25">
      <c r="B1318" s="1004"/>
      <c r="C1318" s="1004"/>
      <c r="D1318" s="1004" t="s">
        <v>8212</v>
      </c>
      <c r="E1318" s="1020">
        <v>344905200000000</v>
      </c>
      <c r="F1318" s="855" t="s">
        <v>8207</v>
      </c>
      <c r="G1318" s="468">
        <v>1011</v>
      </c>
      <c r="H1318" s="468">
        <v>0</v>
      </c>
      <c r="I1318" s="751"/>
      <c r="J1318" s="789">
        <f>'Parâmetros financeiros Despesa'!E1085</f>
        <v>0</v>
      </c>
      <c r="K1318" s="789">
        <f>'Parâmetros financeiros Despesa'!F1085</f>
        <v>5000</v>
      </c>
      <c r="L1318" s="799">
        <f t="shared" si="161"/>
        <v>1.0793124788144452E-2</v>
      </c>
      <c r="M1318" s="894"/>
      <c r="O1318" s="733"/>
    </row>
    <row r="1319" spans="1:15" s="115" customFormat="1" x14ac:dyDescent="0.25">
      <c r="A1319" s="396"/>
      <c r="B1319" s="1385" t="s">
        <v>8198</v>
      </c>
      <c r="C1319" s="1385"/>
      <c r="D1319" s="1385"/>
      <c r="E1319" s="1385"/>
      <c r="F1319" s="1385"/>
      <c r="G1319" s="401"/>
      <c r="H1319" s="401"/>
      <c r="I1319" s="426"/>
      <c r="J1319" s="402">
        <f t="shared" ref="J1319:K1321" si="162">J1320</f>
        <v>80430.083333333343</v>
      </c>
      <c r="K1319" s="402">
        <f t="shared" si="162"/>
        <v>47378.26</v>
      </c>
      <c r="L1319" s="451">
        <f>K1319/K$1340</f>
        <v>0.10227189448503056</v>
      </c>
      <c r="M1319" s="894"/>
      <c r="O1319" s="733"/>
    </row>
    <row r="1320" spans="1:15" x14ac:dyDescent="0.25">
      <c r="B1320" s="1386" t="s">
        <v>8197</v>
      </c>
      <c r="C1320" s="1386"/>
      <c r="D1320" s="1386"/>
      <c r="E1320" s="1386"/>
      <c r="F1320" s="1386"/>
      <c r="G1320" s="403"/>
      <c r="H1320" s="403"/>
      <c r="I1320" s="427"/>
      <c r="J1320" s="404">
        <f t="shared" si="162"/>
        <v>80430.083333333343</v>
      </c>
      <c r="K1320" s="404">
        <f t="shared" si="162"/>
        <v>47378.26</v>
      </c>
      <c r="L1320" s="452">
        <f>K1320/K$1340</f>
        <v>0.10227189448503056</v>
      </c>
    </row>
    <row r="1321" spans="1:15" x14ac:dyDescent="0.25">
      <c r="B1321" s="1382" t="s">
        <v>7914</v>
      </c>
      <c r="C1321" s="1382"/>
      <c r="D1321" s="1382"/>
      <c r="E1321" s="1382"/>
      <c r="F1321" s="1382"/>
      <c r="G1321" s="405"/>
      <c r="H1321" s="405"/>
      <c r="I1321" s="428"/>
      <c r="J1321" s="406">
        <f t="shared" si="162"/>
        <v>80430.083333333343</v>
      </c>
      <c r="K1321" s="406">
        <f t="shared" si="162"/>
        <v>47378.26</v>
      </c>
      <c r="L1321" s="453">
        <f>K1321/K$1340</f>
        <v>0.10227189448503056</v>
      </c>
    </row>
    <row r="1322" spans="1:15" x14ac:dyDescent="0.25">
      <c r="B1322" s="1383" t="s">
        <v>8199</v>
      </c>
      <c r="C1322" s="1383"/>
      <c r="D1322" s="1383"/>
      <c r="E1322" s="1383"/>
      <c r="F1322" s="1383"/>
      <c r="G1322" s="407"/>
      <c r="H1322" s="407"/>
      <c r="I1322" s="429"/>
      <c r="J1322" s="408">
        <f>SUM(J1323:J1325)</f>
        <v>80430.083333333343</v>
      </c>
      <c r="K1322" s="408">
        <f>SUM(K1323:K1325)</f>
        <v>47378.26</v>
      </c>
      <c r="L1322" s="454">
        <f>K1322/K$1340</f>
        <v>0.10227189448503056</v>
      </c>
    </row>
    <row r="1323" spans="1:15" s="115" customFormat="1" x14ac:dyDescent="0.25">
      <c r="B1323" s="1398" t="s">
        <v>8213</v>
      </c>
      <c r="C1323" s="1398"/>
      <c r="D1323" s="1398"/>
      <c r="E1323" s="1020">
        <v>333903000000000</v>
      </c>
      <c r="F1323" s="1021" t="s">
        <v>8237</v>
      </c>
      <c r="G1323" s="468">
        <v>1009</v>
      </c>
      <c r="H1323" s="468">
        <v>0</v>
      </c>
      <c r="I1323" s="751"/>
      <c r="J1323" s="789">
        <f>'Parâmetros financeiros Despesa'!E1087</f>
        <v>10503.999999999998</v>
      </c>
      <c r="K1323" s="789">
        <f>'Parâmetros financeiros Despesa'!F1087</f>
        <v>33163.781999999999</v>
      </c>
      <c r="L1323" s="799">
        <f>K1323/K$1340</f>
        <v>7.1588167514563761E-2</v>
      </c>
      <c r="M1323" s="894"/>
      <c r="O1323" s="733"/>
    </row>
    <row r="1324" spans="1:15" s="115" customFormat="1" x14ac:dyDescent="0.25">
      <c r="B1324" s="1398" t="s">
        <v>8214</v>
      </c>
      <c r="C1324" s="1398"/>
      <c r="D1324" s="1398"/>
      <c r="E1324" s="1020">
        <v>333903000000000</v>
      </c>
      <c r="F1324" s="1021" t="s">
        <v>8238</v>
      </c>
      <c r="G1324" s="468">
        <v>1009</v>
      </c>
      <c r="H1324" s="468">
        <v>0</v>
      </c>
      <c r="I1324" s="751"/>
      <c r="J1324" s="789">
        <f>'Parâmetros financeiros Despesa'!E1088</f>
        <v>69926.083333333343</v>
      </c>
      <c r="K1324" s="789">
        <f>'Parâmetros financeiros Despesa'!F1088</f>
        <v>14213.478000000001</v>
      </c>
      <c r="L1324" s="799">
        <f t="shared" ref="L1324:L1333" si="163">K1324/K$1340</f>
        <v>3.0681568345509169E-2</v>
      </c>
      <c r="M1324" s="894"/>
      <c r="O1324" s="733"/>
    </row>
    <row r="1325" spans="1:15" s="115" customFormat="1" x14ac:dyDescent="0.25">
      <c r="B1325" s="1004"/>
      <c r="C1325" s="1004"/>
      <c r="D1325" s="1004" t="s">
        <v>8215</v>
      </c>
      <c r="E1325" s="1020">
        <v>333903900000000</v>
      </c>
      <c r="F1325" s="1021" t="s">
        <v>8239</v>
      </c>
      <c r="G1325" s="468">
        <v>1009</v>
      </c>
      <c r="H1325" s="468">
        <v>0</v>
      </c>
      <c r="I1325" s="751"/>
      <c r="J1325" s="789">
        <f>'Parâmetros financeiros Despesa'!E1089</f>
        <v>0</v>
      </c>
      <c r="K1325" s="789">
        <f>'Parâmetros financeiros Despesa'!F1089</f>
        <v>1</v>
      </c>
      <c r="L1325" s="799">
        <f t="shared" si="163"/>
        <v>2.1586249576288904E-6</v>
      </c>
      <c r="M1325" s="894"/>
      <c r="O1325" s="733"/>
    </row>
    <row r="1326" spans="1:15" x14ac:dyDescent="0.25">
      <c r="B1326" s="1385" t="s">
        <v>7993</v>
      </c>
      <c r="C1326" s="1385"/>
      <c r="D1326" s="1385"/>
      <c r="E1326" s="1385"/>
      <c r="F1326" s="1385"/>
      <c r="G1326" s="401"/>
      <c r="H1326" s="401">
        <v>0</v>
      </c>
      <c r="I1326" s="426"/>
      <c r="J1326" s="402">
        <f t="shared" ref="J1326:K1328" si="164">J1327</f>
        <v>109792.61666666667</v>
      </c>
      <c r="K1326" s="402">
        <f t="shared" si="164"/>
        <v>131410.53</v>
      </c>
      <c r="L1326" s="451">
        <f t="shared" si="163"/>
        <v>0.28366604975324</v>
      </c>
    </row>
    <row r="1327" spans="1:15" x14ac:dyDescent="0.25">
      <c r="B1327" s="1386" t="s">
        <v>8142</v>
      </c>
      <c r="C1327" s="1386"/>
      <c r="D1327" s="1386"/>
      <c r="E1327" s="1386"/>
      <c r="F1327" s="1386"/>
      <c r="G1327" s="403"/>
      <c r="H1327" s="403">
        <v>0</v>
      </c>
      <c r="I1327" s="427"/>
      <c r="J1327" s="404">
        <f t="shared" si="164"/>
        <v>109792.61666666667</v>
      </c>
      <c r="K1327" s="404">
        <f t="shared" si="164"/>
        <v>131410.53</v>
      </c>
      <c r="L1327" s="452">
        <f t="shared" si="163"/>
        <v>0.28366604975324</v>
      </c>
    </row>
    <row r="1328" spans="1:15" x14ac:dyDescent="0.25">
      <c r="B1328" s="1382" t="s">
        <v>7914</v>
      </c>
      <c r="C1328" s="1382"/>
      <c r="D1328" s="1382"/>
      <c r="E1328" s="1382"/>
      <c r="F1328" s="1382"/>
      <c r="G1328" s="405"/>
      <c r="H1328" s="405">
        <v>0</v>
      </c>
      <c r="I1328" s="428"/>
      <c r="J1328" s="406">
        <f t="shared" si="164"/>
        <v>109792.61666666667</v>
      </c>
      <c r="K1328" s="406">
        <f t="shared" si="164"/>
        <v>131410.53</v>
      </c>
      <c r="L1328" s="453">
        <f t="shared" si="163"/>
        <v>0.28366604975324</v>
      </c>
    </row>
    <row r="1329" spans="2:15" x14ac:dyDescent="0.25">
      <c r="B1329" s="1383" t="s">
        <v>7298</v>
      </c>
      <c r="C1329" s="1383"/>
      <c r="D1329" s="1383"/>
      <c r="E1329" s="1383"/>
      <c r="F1329" s="1383"/>
      <c r="G1329" s="407"/>
      <c r="H1329" s="407">
        <v>0</v>
      </c>
      <c r="I1329" s="429"/>
      <c r="J1329" s="408">
        <f>SUM(J1330:J1332)</f>
        <v>109792.61666666667</v>
      </c>
      <c r="K1329" s="408">
        <f>SUM(K1330:K1332)</f>
        <v>131410.53</v>
      </c>
      <c r="L1329" s="454">
        <f t="shared" si="163"/>
        <v>0.28366604975324</v>
      </c>
    </row>
    <row r="1330" spans="2:15" s="115" customFormat="1" x14ac:dyDescent="0.25">
      <c r="B1330" s="1398" t="s">
        <v>8216</v>
      </c>
      <c r="C1330" s="1398"/>
      <c r="D1330" s="1398"/>
      <c r="E1330" s="854">
        <v>333209300000000</v>
      </c>
      <c r="F1330" s="855" t="s">
        <v>8200</v>
      </c>
      <c r="G1330" s="468">
        <v>1049</v>
      </c>
      <c r="H1330" s="468">
        <v>0</v>
      </c>
      <c r="I1330" s="751"/>
      <c r="J1330" s="789">
        <f>'Parâmetros financeiros Despesa'!E1091</f>
        <v>0</v>
      </c>
      <c r="K1330" s="789">
        <f>'Parâmetros financeiros Despesa'!F1091</f>
        <v>1</v>
      </c>
      <c r="L1330" s="799">
        <f t="shared" si="163"/>
        <v>2.1586249576288904E-6</v>
      </c>
      <c r="M1330" s="894"/>
      <c r="O1330" s="733"/>
    </row>
    <row r="1331" spans="2:15" s="115" customFormat="1" x14ac:dyDescent="0.25">
      <c r="B1331" s="1398" t="s">
        <v>8217</v>
      </c>
      <c r="C1331" s="1398"/>
      <c r="D1331" s="1398"/>
      <c r="E1331" s="854">
        <v>333903900000000</v>
      </c>
      <c r="F1331" s="855" t="s">
        <v>8201</v>
      </c>
      <c r="G1331" s="468">
        <v>1049</v>
      </c>
      <c r="H1331" s="468">
        <v>0</v>
      </c>
      <c r="I1331" s="751"/>
      <c r="J1331" s="789">
        <f>'Parâmetros financeiros Despesa'!E1092</f>
        <v>109792.61666666667</v>
      </c>
      <c r="K1331" s="789">
        <f>'Parâmetros financeiros Despesa'!F1092</f>
        <v>131408.53</v>
      </c>
      <c r="L1331" s="799">
        <f t="shared" si="163"/>
        <v>0.28366173250332477</v>
      </c>
      <c r="M1331" s="894"/>
      <c r="O1331" s="733"/>
    </row>
    <row r="1332" spans="2:15" s="115" customFormat="1" x14ac:dyDescent="0.25">
      <c r="B1332" s="1398" t="s">
        <v>8218</v>
      </c>
      <c r="C1332" s="1398"/>
      <c r="D1332" s="1398"/>
      <c r="E1332" s="854">
        <v>333904700000000</v>
      </c>
      <c r="F1332" s="855" t="s">
        <v>8202</v>
      </c>
      <c r="G1332" s="468">
        <v>1049</v>
      </c>
      <c r="H1332" s="468">
        <v>0</v>
      </c>
      <c r="I1332" s="751"/>
      <c r="J1332" s="789">
        <f>'Parâmetros financeiros Despesa'!E1093</f>
        <v>0</v>
      </c>
      <c r="K1332" s="789">
        <f>'Parâmetros financeiros Despesa'!F1093</f>
        <v>1</v>
      </c>
      <c r="L1332" s="799">
        <f t="shared" si="163"/>
        <v>2.1586249576288904E-6</v>
      </c>
      <c r="M1332" s="894"/>
      <c r="O1332" s="733"/>
    </row>
    <row r="1333" spans="2:15" x14ac:dyDescent="0.25">
      <c r="B1333" s="864" t="s">
        <v>22</v>
      </c>
      <c r="C1333" s="864"/>
      <c r="D1333" s="864"/>
      <c r="E1333" s="864"/>
      <c r="F1333" s="864"/>
      <c r="G1333" s="864"/>
      <c r="H1333" s="864"/>
      <c r="I1333" s="864"/>
      <c r="J1333" s="863">
        <f>J1327+J1320+J1311+J1301</f>
        <v>363298.95500000002</v>
      </c>
      <c r="K1333" s="863">
        <f>K1327+K1320+K1311+K1301</f>
        <v>463257.87</v>
      </c>
      <c r="L1333" s="452">
        <f t="shared" si="163"/>
        <v>1</v>
      </c>
    </row>
    <row r="1334" spans="2:15" x14ac:dyDescent="0.25">
      <c r="B1334" s="864" t="s">
        <v>11469</v>
      </c>
      <c r="C1334" s="864"/>
      <c r="D1334" s="864"/>
      <c r="E1334" s="864"/>
      <c r="F1334" s="864"/>
      <c r="G1334" s="864"/>
      <c r="H1334" s="864"/>
      <c r="I1334" s="864"/>
      <c r="J1334" s="863"/>
      <c r="K1334" s="863"/>
      <c r="L1334" s="452"/>
    </row>
    <row r="1335" spans="2:15" s="31" customFormat="1" x14ac:dyDescent="0.25">
      <c r="B1335" s="869" t="s">
        <v>745</v>
      </c>
      <c r="C1335" s="869"/>
      <c r="D1335" s="869"/>
      <c r="E1335" s="869"/>
      <c r="F1335" s="869"/>
      <c r="G1335" s="869"/>
      <c r="H1335" s="869"/>
      <c r="I1335" s="869"/>
      <c r="J1335" s="870">
        <v>1</v>
      </c>
      <c r="K1335" s="870">
        <v>1</v>
      </c>
      <c r="L1335" s="871">
        <f t="shared" ref="L1335:L1339" si="165">K1335/K$1340</f>
        <v>2.1586249576288904E-6</v>
      </c>
      <c r="M1335" s="897"/>
      <c r="O1335" s="736"/>
    </row>
    <row r="1336" spans="2:15" s="31" customFormat="1" x14ac:dyDescent="0.25">
      <c r="B1336" s="869" t="s">
        <v>11511</v>
      </c>
      <c r="C1336" s="869"/>
      <c r="D1336" s="869"/>
      <c r="E1336" s="869"/>
      <c r="F1336" s="869"/>
      <c r="G1336" s="869"/>
      <c r="H1336" s="869"/>
      <c r="I1336" s="869"/>
      <c r="J1336" s="870">
        <f>J1322</f>
        <v>80430.083333333343</v>
      </c>
      <c r="K1336" s="870">
        <v>47378.26</v>
      </c>
      <c r="L1336" s="871">
        <f t="shared" si="165"/>
        <v>0.10227189448503056</v>
      </c>
      <c r="M1336" s="897"/>
      <c r="O1336" s="736"/>
    </row>
    <row r="1337" spans="2:15" s="31" customFormat="1" x14ac:dyDescent="0.25">
      <c r="B1337" s="869" t="s">
        <v>11512</v>
      </c>
      <c r="C1337" s="869"/>
      <c r="D1337" s="869"/>
      <c r="E1337" s="869"/>
      <c r="F1337" s="869"/>
      <c r="G1337" s="869"/>
      <c r="H1337" s="869"/>
      <c r="I1337" s="869"/>
      <c r="J1337" s="870">
        <f>J1313</f>
        <v>173076.255</v>
      </c>
      <c r="K1337" s="870">
        <v>279468.08</v>
      </c>
      <c r="L1337" s="871">
        <f t="shared" si="165"/>
        <v>0.60326677234862736</v>
      </c>
      <c r="M1337" s="897"/>
      <c r="O1337" s="736"/>
    </row>
    <row r="1338" spans="2:15" s="31" customFormat="1" x14ac:dyDescent="0.25">
      <c r="B1338" s="869" t="s">
        <v>11513</v>
      </c>
      <c r="C1338" s="869"/>
      <c r="D1338" s="869"/>
      <c r="E1338" s="869"/>
      <c r="F1338" s="869"/>
      <c r="G1338" s="869"/>
      <c r="H1338" s="869"/>
      <c r="I1338" s="869"/>
      <c r="J1338" s="870">
        <f>J1329</f>
        <v>109792.61666666667</v>
      </c>
      <c r="K1338" s="870">
        <v>131410.53</v>
      </c>
      <c r="L1338" s="871">
        <f t="shared" si="165"/>
        <v>0.28366604975324</v>
      </c>
      <c r="M1338" s="897"/>
      <c r="O1338" s="736"/>
    </row>
    <row r="1339" spans="2:15" s="31" customFormat="1" x14ac:dyDescent="0.25">
      <c r="B1339" s="869" t="s">
        <v>11514</v>
      </c>
      <c r="C1339" s="869"/>
      <c r="D1339" s="869"/>
      <c r="E1339" s="869"/>
      <c r="F1339" s="869"/>
      <c r="G1339" s="869"/>
      <c r="H1339" s="869"/>
      <c r="I1339" s="869"/>
      <c r="J1339" s="870">
        <v>0</v>
      </c>
      <c r="K1339" s="870">
        <v>5000</v>
      </c>
      <c r="L1339" s="871">
        <f t="shared" si="165"/>
        <v>1.0793124788144452E-2</v>
      </c>
      <c r="M1339" s="897"/>
      <c r="O1339" s="736"/>
    </row>
    <row r="1340" spans="2:15" s="115" customFormat="1" x14ac:dyDescent="0.25">
      <c r="B1340" s="864" t="s">
        <v>2172</v>
      </c>
      <c r="C1340" s="864"/>
      <c r="D1340" s="864"/>
      <c r="E1340" s="864"/>
      <c r="F1340" s="864"/>
      <c r="G1340" s="864"/>
      <c r="H1340" s="864"/>
      <c r="I1340" s="864"/>
      <c r="J1340" s="863">
        <f>SUM(J1335:J1339)</f>
        <v>363299.95500000002</v>
      </c>
      <c r="K1340" s="863">
        <f>SUM(K1335:K1339)</f>
        <v>463257.87</v>
      </c>
      <c r="L1340" s="452">
        <f>K1340/K$1340</f>
        <v>1</v>
      </c>
      <c r="M1340" s="894"/>
      <c r="O1340" s="733"/>
    </row>
    <row r="1341" spans="2:15" x14ac:dyDescent="0.25">
      <c r="D1341" s="400"/>
      <c r="E1341" s="400"/>
      <c r="F1341" s="400"/>
      <c r="G1341" s="400"/>
      <c r="H1341" s="400"/>
      <c r="I1341" s="400"/>
      <c r="K1341" s="448"/>
    </row>
    <row r="1342" spans="2:15" x14ac:dyDescent="0.25">
      <c r="D1342" s="400"/>
      <c r="E1342" s="400"/>
      <c r="F1342" s="400"/>
      <c r="G1342" s="400"/>
      <c r="H1342" s="400"/>
      <c r="I1342" s="400"/>
      <c r="K1342" s="448"/>
    </row>
    <row r="1343" spans="2:15" x14ac:dyDescent="0.25">
      <c r="D1343" s="400"/>
      <c r="E1343" s="400"/>
      <c r="F1343" s="400"/>
      <c r="G1343" s="400"/>
      <c r="H1343" s="400"/>
      <c r="I1343" s="400"/>
      <c r="K1343" s="448"/>
    </row>
    <row r="1344" spans="2:15" x14ac:dyDescent="0.25">
      <c r="D1344" s="400"/>
      <c r="E1344" s="400"/>
      <c r="F1344" s="400"/>
      <c r="G1344" s="400"/>
      <c r="H1344" s="400"/>
      <c r="I1344" s="400"/>
      <c r="K1344" s="448"/>
    </row>
    <row r="1345" spans="1:15" x14ac:dyDescent="0.25">
      <c r="D1345" s="400"/>
      <c r="E1345" s="400"/>
      <c r="F1345" s="400"/>
      <c r="G1345" s="400"/>
      <c r="H1345" s="400"/>
      <c r="I1345" s="400"/>
      <c r="K1345" s="448"/>
    </row>
    <row r="1346" spans="1:15" x14ac:dyDescent="0.25">
      <c r="D1346" s="400"/>
      <c r="E1346" s="400"/>
      <c r="F1346" s="400"/>
      <c r="G1346" s="400"/>
      <c r="H1346" s="400"/>
      <c r="I1346" s="400"/>
      <c r="K1346" s="448"/>
    </row>
    <row r="1347" spans="1:15" x14ac:dyDescent="0.25">
      <c r="D1347" s="400"/>
      <c r="E1347" s="400"/>
      <c r="F1347" s="400"/>
      <c r="G1347" s="400"/>
      <c r="H1347" s="400"/>
      <c r="I1347" s="400"/>
      <c r="K1347" s="448"/>
    </row>
    <row r="1350" spans="1:15" s="435" customFormat="1" ht="15.75" x14ac:dyDescent="0.25">
      <c r="B1350" s="999" t="s">
        <v>989</v>
      </c>
      <c r="C1350" s="999"/>
      <c r="D1350" s="481"/>
      <c r="E1350" s="1371" t="s">
        <v>7911</v>
      </c>
      <c r="F1350" s="1371"/>
      <c r="G1350" s="1371"/>
      <c r="H1350" s="1371"/>
      <c r="I1350" s="1371"/>
      <c r="J1350" s="940"/>
      <c r="K1350" s="438"/>
      <c r="L1350" s="449"/>
      <c r="M1350" s="892"/>
      <c r="O1350" s="732"/>
    </row>
    <row r="1351" spans="1:15" s="435" customFormat="1" ht="20.25" customHeight="1" x14ac:dyDescent="0.25">
      <c r="B1351" s="999" t="s">
        <v>458</v>
      </c>
      <c r="C1351" s="999"/>
      <c r="D1351" s="481"/>
      <c r="E1351" s="1371" t="s">
        <v>8219</v>
      </c>
      <c r="F1351" s="1371"/>
      <c r="G1351" s="1371"/>
      <c r="H1351" s="1371"/>
      <c r="I1351" s="1371"/>
      <c r="J1351" s="940"/>
      <c r="K1351" s="438"/>
      <c r="L1351" s="449"/>
      <c r="M1351" s="892"/>
      <c r="O1351" s="732"/>
    </row>
    <row r="1352" spans="1:15" s="435" customFormat="1" ht="15.75" x14ac:dyDescent="0.25">
      <c r="B1352" s="1005" t="s">
        <v>5764</v>
      </c>
      <c r="C1352" s="1005"/>
      <c r="D1352" s="1005"/>
      <c r="E1352" s="1371" t="s">
        <v>749</v>
      </c>
      <c r="F1352" s="1371"/>
      <c r="G1352" s="1371"/>
      <c r="H1352" s="1371"/>
      <c r="I1352" s="1371"/>
      <c r="J1352" s="941"/>
      <c r="K1352" s="438"/>
      <c r="L1352" s="449"/>
      <c r="M1352" s="892"/>
      <c r="O1352" s="732"/>
    </row>
    <row r="1353" spans="1:15" ht="88.5" x14ac:dyDescent="0.25">
      <c r="A1353" s="396"/>
      <c r="B1353" s="1400" t="s">
        <v>2296</v>
      </c>
      <c r="C1353" s="1400"/>
      <c r="D1353" s="1400"/>
      <c r="E1353" s="1384" t="s">
        <v>2297</v>
      </c>
      <c r="F1353" s="1384"/>
      <c r="G1353" s="443" t="s">
        <v>444</v>
      </c>
      <c r="H1353" s="443" t="s">
        <v>2245</v>
      </c>
      <c r="I1353" s="444" t="s">
        <v>5725</v>
      </c>
      <c r="J1353" s="893" t="s">
        <v>11644</v>
      </c>
      <c r="K1353" s="1000" t="s">
        <v>11522</v>
      </c>
      <c r="L1353" s="450" t="s">
        <v>235</v>
      </c>
    </row>
    <row r="1354" spans="1:15" x14ac:dyDescent="0.25">
      <c r="B1354" s="1385" t="s">
        <v>7913</v>
      </c>
      <c r="C1354" s="1385"/>
      <c r="D1354" s="1385"/>
      <c r="E1354" s="1385"/>
      <c r="F1354" s="1385"/>
      <c r="G1354" s="401"/>
      <c r="H1354" s="401"/>
      <c r="I1354" s="426"/>
      <c r="J1354" s="402">
        <f t="shared" ref="J1354:K1356" si="166">J1355</f>
        <v>66824.748250000004</v>
      </c>
      <c r="K1354" s="402">
        <f t="shared" si="166"/>
        <v>83456.606906447472</v>
      </c>
      <c r="L1354" s="451">
        <f t="shared" ref="L1354:L1397" si="167">K1354/K$2497</f>
        <v>0.25408091874197924</v>
      </c>
    </row>
    <row r="1355" spans="1:15" x14ac:dyDescent="0.25">
      <c r="B1355" s="1386" t="s">
        <v>8031</v>
      </c>
      <c r="C1355" s="1386"/>
      <c r="D1355" s="1386"/>
      <c r="E1355" s="1386"/>
      <c r="F1355" s="1386"/>
      <c r="G1355" s="403"/>
      <c r="H1355" s="403"/>
      <c r="I1355" s="427"/>
      <c r="J1355" s="404">
        <f t="shared" si="166"/>
        <v>66824.748250000004</v>
      </c>
      <c r="K1355" s="404">
        <f t="shared" si="166"/>
        <v>83456.606906447472</v>
      </c>
      <c r="L1355" s="452">
        <f t="shared" si="167"/>
        <v>0.25408091874197924</v>
      </c>
    </row>
    <row r="1356" spans="1:15" x14ac:dyDescent="0.25">
      <c r="B1356" s="1382" t="s">
        <v>7914</v>
      </c>
      <c r="C1356" s="1382"/>
      <c r="D1356" s="1382"/>
      <c r="E1356" s="1382"/>
      <c r="F1356" s="1382"/>
      <c r="G1356" s="405"/>
      <c r="H1356" s="405"/>
      <c r="I1356" s="428"/>
      <c r="J1356" s="406">
        <f t="shared" si="166"/>
        <v>66824.748250000004</v>
      </c>
      <c r="K1356" s="406">
        <f t="shared" si="166"/>
        <v>83456.606906447472</v>
      </c>
      <c r="L1356" s="453">
        <f t="shared" si="167"/>
        <v>0.25408091874197924</v>
      </c>
    </row>
    <row r="1357" spans="1:15" x14ac:dyDescent="0.25">
      <c r="B1357" s="1383" t="s">
        <v>7927</v>
      </c>
      <c r="C1357" s="1383"/>
      <c r="D1357" s="1383"/>
      <c r="E1357" s="1383"/>
      <c r="F1357" s="1383"/>
      <c r="G1357" s="407"/>
      <c r="H1357" s="407"/>
      <c r="I1357" s="429"/>
      <c r="J1357" s="408">
        <f>SUM(J1358:J1368)+J1369+J1370+J1371</f>
        <v>66824.748250000004</v>
      </c>
      <c r="K1357" s="408">
        <f>SUM(K1358:K1368)+K1369+K1370+K1371+0.01</f>
        <v>83456.606906447472</v>
      </c>
      <c r="L1357" s="454">
        <f t="shared" si="167"/>
        <v>0.25408091874197924</v>
      </c>
    </row>
    <row r="1358" spans="1:15" s="115" customFormat="1" x14ac:dyDescent="0.25">
      <c r="B1358" s="1398" t="s">
        <v>8220</v>
      </c>
      <c r="C1358" s="1398"/>
      <c r="D1358" s="1398"/>
      <c r="E1358" s="854">
        <v>331900400000000</v>
      </c>
      <c r="F1358" s="855" t="s">
        <v>10557</v>
      </c>
      <c r="G1358" s="468">
        <v>1</v>
      </c>
      <c r="H1358" s="468">
        <v>0</v>
      </c>
      <c r="I1358" s="751"/>
      <c r="J1358" s="789">
        <f>(('Parâmetros financeiros Despesa'!E$1097))</f>
        <v>0</v>
      </c>
      <c r="K1358" s="789">
        <f>(('Parâmetros financeiros Despesa'!F$1097)*2.05+(('Parâmetros financeiros Despesa'!F$1097)*11.28)*(1+'Parâmetros financeiros Despesa'!F$4)*(1+'Parâmetros financeiros Despesa'!F$8))*(1+'Parâmetros financeiros Despesa'!F$80)</f>
        <v>17.278630081629636</v>
      </c>
      <c r="L1358" s="799">
        <f t="shared" si="167"/>
        <v>5.2604225938211418E-5</v>
      </c>
      <c r="M1358" s="894"/>
      <c r="O1358" s="733"/>
    </row>
    <row r="1359" spans="1:15" s="115" customFormat="1" x14ac:dyDescent="0.25">
      <c r="B1359" s="1398" t="s">
        <v>8221</v>
      </c>
      <c r="C1359" s="1398"/>
      <c r="D1359" s="1398"/>
      <c r="E1359" s="854">
        <v>331901100000000</v>
      </c>
      <c r="F1359" s="855" t="s">
        <v>10658</v>
      </c>
      <c r="G1359" s="468">
        <v>1</v>
      </c>
      <c r="H1359" s="468">
        <v>0</v>
      </c>
      <c r="I1359" s="751"/>
      <c r="J1359" s="789">
        <f>('Parâmetros financeiros Despesa'!E$1098)</f>
        <v>32018.66</v>
      </c>
      <c r="K1359" s="789">
        <f>('Parâmetros financeiros Despesa'!F$1098)*2.05+(('Parâmetros financeiros Despesa'!F$1098)*11.28)*(1+'Parâmetros financeiros Despesa'!F$4)*(1+'Parâmetros financeiros Despesa'!F$8)</f>
        <v>39180.436064605703</v>
      </c>
      <c r="L1359" s="799">
        <f t="shared" si="167"/>
        <v>0.11928356017595676</v>
      </c>
      <c r="M1359" s="894"/>
      <c r="O1359" s="733"/>
    </row>
    <row r="1360" spans="1:15" s="115" customFormat="1" x14ac:dyDescent="0.25">
      <c r="B1360" s="1398" t="s">
        <v>8222</v>
      </c>
      <c r="C1360" s="1398"/>
      <c r="D1360" s="1398"/>
      <c r="E1360" s="854">
        <v>331901300000000</v>
      </c>
      <c r="F1360" s="855" t="s">
        <v>10649</v>
      </c>
      <c r="G1360" s="468">
        <v>1</v>
      </c>
      <c r="H1360" s="468">
        <v>0</v>
      </c>
      <c r="I1360" s="751"/>
      <c r="J1360" s="789">
        <f>'Parâmetros financeiros Despesa'!E1099</f>
        <v>6032.1582499999995</v>
      </c>
      <c r="K1360" s="789">
        <f>(K1361+K1359)*'Parâmetros financeiros Despesa'!F$80</f>
        <v>9331.9495438876365</v>
      </c>
      <c r="L1360" s="799">
        <f t="shared" si="167"/>
        <v>2.8410816131341988E-2</v>
      </c>
      <c r="M1360" s="894"/>
      <c r="O1360" s="733"/>
    </row>
    <row r="1361" spans="2:15" s="115" customFormat="1" x14ac:dyDescent="0.25">
      <c r="B1361" s="1398" t="s">
        <v>8223</v>
      </c>
      <c r="C1361" s="1398"/>
      <c r="D1361" s="1398"/>
      <c r="E1361" s="854">
        <v>331901600000000</v>
      </c>
      <c r="F1361" s="855" t="s">
        <v>10650</v>
      </c>
      <c r="G1361" s="468">
        <v>1</v>
      </c>
      <c r="H1361" s="468">
        <v>0</v>
      </c>
      <c r="I1361" s="751"/>
      <c r="J1361" s="789">
        <f>('Parâmetros financeiros Despesa'!E$1100)</f>
        <v>0</v>
      </c>
      <c r="K1361" s="789">
        <f>('Parâmetros financeiros Despesa'!F$1100)*2.05+(('Parâmetros financeiros Despesa'!F$1100)*11.28)*(1+'Parâmetros financeiros Despesa'!F$4)*(1+'Parâmetros financeiros Despesa'!F$8)</f>
        <v>13.955830560223728</v>
      </c>
      <c r="L1361" s="799">
        <f t="shared" si="167"/>
        <v>4.2488071130472657E-5</v>
      </c>
      <c r="M1361" s="894"/>
      <c r="O1361" s="733"/>
    </row>
    <row r="1362" spans="2:15" s="115" customFormat="1" x14ac:dyDescent="0.25">
      <c r="B1362" s="1398" t="s">
        <v>8224</v>
      </c>
      <c r="C1362" s="1398"/>
      <c r="D1362" s="1398"/>
      <c r="E1362" s="854">
        <v>333901400000000</v>
      </c>
      <c r="F1362" s="855" t="s">
        <v>10651</v>
      </c>
      <c r="G1362" s="468">
        <v>1</v>
      </c>
      <c r="H1362" s="468">
        <v>0</v>
      </c>
      <c r="I1362" s="751"/>
      <c r="J1362" s="789">
        <f>('Parâmetros financeiros Despesa'!E$1101)</f>
        <v>0</v>
      </c>
      <c r="K1362" s="789">
        <f>('Parâmetros financeiros Despesa'!F$1101)*2+(('Parâmetros financeiros Despesa'!F$1101)*10)*(1+'Parâmetros financeiros Despesa'!F$4)*(1+'Parâmetros financeiros Despesa'!F$8)</f>
        <v>903.94663150364215</v>
      </c>
      <c r="L1362" s="799">
        <f t="shared" si="167"/>
        <v>2.7520360477106707E-3</v>
      </c>
      <c r="M1362" s="894"/>
      <c r="N1362" s="796"/>
      <c r="O1362" s="733"/>
    </row>
    <row r="1363" spans="2:15" s="115" customFormat="1" x14ac:dyDescent="0.25">
      <c r="B1363" s="1396">
        <v>430500</v>
      </c>
      <c r="C1363" s="1396"/>
      <c r="D1363" s="1396"/>
      <c r="E1363" s="854">
        <v>333903000000000</v>
      </c>
      <c r="F1363" s="855" t="s">
        <v>10652</v>
      </c>
      <c r="G1363" s="468">
        <v>1</v>
      </c>
      <c r="H1363" s="468">
        <v>0</v>
      </c>
      <c r="I1363" s="751"/>
      <c r="J1363" s="789">
        <f>('Parâmetros financeiros Despesa'!E1102)</f>
        <v>11208.39</v>
      </c>
      <c r="K1363" s="789">
        <f>('Parâmetros financeiros Despesa'!F1102)*(1+'Parâmetros financeiros Despesa'!F$4)*(1+'Parâmetros financeiros Despesa'!F$7)</f>
        <v>12220.860681284999</v>
      </c>
      <c r="L1363" s="799">
        <f t="shared" si="167"/>
        <v>3.7206011900284178E-2</v>
      </c>
      <c r="M1363" s="894"/>
      <c r="N1363" s="796"/>
      <c r="O1363" s="733"/>
    </row>
    <row r="1364" spans="2:15" s="115" customFormat="1" x14ac:dyDescent="0.25">
      <c r="B1364" s="1396">
        <v>430600</v>
      </c>
      <c r="C1364" s="1396"/>
      <c r="D1364" s="1396"/>
      <c r="E1364" s="854">
        <v>333903200000000</v>
      </c>
      <c r="F1364" s="855" t="s">
        <v>10653</v>
      </c>
      <c r="G1364" s="468">
        <v>1</v>
      </c>
      <c r="H1364" s="468">
        <v>0</v>
      </c>
      <c r="I1364" s="751"/>
      <c r="J1364" s="789">
        <f>('Parâmetros financeiros Despesa'!E1103)</f>
        <v>0</v>
      </c>
      <c r="K1364" s="789">
        <f>('Parâmetros financeiros Despesa'!F1103)*(1+'Parâmetros financeiros Despesa'!F$4)*(1+'Parâmetros financeiros Despesa'!F$7)</f>
        <v>1.0903315</v>
      </c>
      <c r="L1364" s="799">
        <f t="shared" si="167"/>
        <v>3.3194787030326549E-6</v>
      </c>
      <c r="M1364" s="894"/>
      <c r="N1364" s="796"/>
      <c r="O1364" s="733"/>
    </row>
    <row r="1365" spans="2:15" s="115" customFormat="1" x14ac:dyDescent="0.25">
      <c r="B1365" s="1396">
        <v>430700</v>
      </c>
      <c r="C1365" s="1396"/>
      <c r="D1365" s="1396"/>
      <c r="E1365" s="854">
        <v>333903300000000</v>
      </c>
      <c r="F1365" s="855" t="s">
        <v>10570</v>
      </c>
      <c r="G1365" s="468">
        <v>1</v>
      </c>
      <c r="H1365" s="468">
        <v>0</v>
      </c>
      <c r="I1365" s="751"/>
      <c r="J1365" s="789">
        <f>('Parâmetros financeiros Despesa'!E1104)</f>
        <v>0</v>
      </c>
      <c r="K1365" s="789">
        <f>('Parâmetros financeiros Despesa'!F1104)*(1+'Parâmetros financeiros Despesa'!F$4)*(1+'Parâmetros financeiros Despesa'!F$7)</f>
        <v>109.03315000000001</v>
      </c>
      <c r="L1365" s="799">
        <f t="shared" si="167"/>
        <v>3.3194787030326552E-4</v>
      </c>
      <c r="M1365" s="894"/>
      <c r="N1365" s="796"/>
      <c r="O1365" s="733"/>
    </row>
    <row r="1366" spans="2:15" s="115" customFormat="1" x14ac:dyDescent="0.25">
      <c r="B1366" s="1398" t="s">
        <v>8225</v>
      </c>
      <c r="C1366" s="1398"/>
      <c r="D1366" s="1398"/>
      <c r="E1366" s="854">
        <v>333903600000000</v>
      </c>
      <c r="F1366" s="855" t="s">
        <v>10654</v>
      </c>
      <c r="G1366" s="468">
        <v>1</v>
      </c>
      <c r="H1366" s="468">
        <v>0</v>
      </c>
      <c r="I1366" s="751"/>
      <c r="J1366" s="789">
        <f>('Parâmetros financeiros Despesa'!E1105)</f>
        <v>0</v>
      </c>
      <c r="K1366" s="789">
        <f>('Parâmetros financeiros Despesa'!F1105)*(1+'Parâmetros financeiros Despesa'!F$4)*(1+'Parâmetros financeiros Despesa'!F$7)</f>
        <v>545.16575</v>
      </c>
      <c r="L1366" s="799">
        <f t="shared" si="167"/>
        <v>1.6597393515163275E-3</v>
      </c>
      <c r="M1366" s="894"/>
      <c r="N1366" s="796"/>
      <c r="O1366" s="733"/>
    </row>
    <row r="1367" spans="2:15" s="115" customFormat="1" x14ac:dyDescent="0.25">
      <c r="B1367" s="1398" t="s">
        <v>8226</v>
      </c>
      <c r="C1367" s="1398"/>
      <c r="D1367" s="1398"/>
      <c r="E1367" s="854">
        <v>333903900000000</v>
      </c>
      <c r="F1367" s="855" t="s">
        <v>10655</v>
      </c>
      <c r="G1367" s="468">
        <v>1</v>
      </c>
      <c r="H1367" s="468">
        <v>0</v>
      </c>
      <c r="I1367" s="751"/>
      <c r="J1367" s="789">
        <f>('Parâmetros financeiros Despesa'!E1106)</f>
        <v>16349.130000000001</v>
      </c>
      <c r="K1367" s="789">
        <f>('Parâmetros financeiros Despesa'!F1106)*(1+'Parâmetros financeiros Despesa'!F$4)*(1+'Parâmetros financeiros Despesa'!F$7)</f>
        <v>17825.971436595002</v>
      </c>
      <c r="L1367" s="799">
        <f t="shared" si="167"/>
        <v>5.4270588848112276E-2</v>
      </c>
      <c r="M1367" s="894"/>
      <c r="N1367" s="796"/>
      <c r="O1367" s="733"/>
    </row>
    <row r="1368" spans="2:15" s="115" customFormat="1" x14ac:dyDescent="0.25">
      <c r="B1368" s="1398" t="s">
        <v>8227</v>
      </c>
      <c r="C1368" s="1398"/>
      <c r="D1368" s="1398"/>
      <c r="E1368" s="854">
        <v>333904700000000</v>
      </c>
      <c r="F1368" s="855" t="s">
        <v>10656</v>
      </c>
      <c r="G1368" s="468">
        <v>1</v>
      </c>
      <c r="H1368" s="468">
        <v>0</v>
      </c>
      <c r="I1368" s="751"/>
      <c r="J1368" s="789">
        <f>'Parâmetros financeiros Despesa'!E1107</f>
        <v>235.875</v>
      </c>
      <c r="K1368" s="789">
        <f>(('Parâmetros financeiros Despesa'!F1105)*(1+'Parâmetros financeiros Despesa'!F$4)*(1+'Parâmetros financeiros Despesa'!F$7))*('Parâmetros financeiros Despesa'!F$83)</f>
        <v>109.03315000000001</v>
      </c>
      <c r="L1368" s="799">
        <f t="shared" si="167"/>
        <v>3.3194787030326552E-4</v>
      </c>
      <c r="M1368" s="894"/>
      <c r="N1368" s="796"/>
      <c r="O1368" s="733"/>
    </row>
    <row r="1369" spans="2:15" s="115" customFormat="1" x14ac:dyDescent="0.25">
      <c r="B1369" s="1398" t="s">
        <v>8228</v>
      </c>
      <c r="C1369" s="1398"/>
      <c r="D1369" s="1398"/>
      <c r="E1369" s="854">
        <v>333904900000000</v>
      </c>
      <c r="F1369" s="855" t="s">
        <v>10566</v>
      </c>
      <c r="G1369" s="468">
        <v>1</v>
      </c>
      <c r="H1369" s="468">
        <v>0</v>
      </c>
      <c r="I1369" s="751"/>
      <c r="J1369" s="789">
        <f>('Parâmetros financeiros Despesa'!E$1108)</f>
        <v>980.53500000000008</v>
      </c>
      <c r="K1369" s="789">
        <f>('Parâmetros financeiros Despesa'!F$1108)*2+(('Parâmetros financeiros Despesa'!F$1108)*10)*(1+'Parâmetros financeiros Despesa'!F$4)*(1+'Parâmetros financeiros Despesa'!F$8)</f>
        <v>1453.3453064286336</v>
      </c>
      <c r="L1369" s="799">
        <f t="shared" si="167"/>
        <v>4.4246624011526009E-3</v>
      </c>
      <c r="M1369" s="894"/>
      <c r="N1369" s="796"/>
      <c r="O1369" s="733"/>
    </row>
    <row r="1370" spans="2:15" s="115" customFormat="1" x14ac:dyDescent="0.25">
      <c r="B1370" s="1398" t="s">
        <v>8229</v>
      </c>
      <c r="C1370" s="1398"/>
      <c r="D1370" s="1398"/>
      <c r="E1370" s="854">
        <v>333909300000000</v>
      </c>
      <c r="F1370" s="855" t="s">
        <v>10567</v>
      </c>
      <c r="G1370" s="468">
        <v>1</v>
      </c>
      <c r="H1370" s="468">
        <v>0</v>
      </c>
      <c r="I1370" s="751"/>
      <c r="J1370" s="789">
        <f>('Parâmetros financeiros Despesa'!E1109)</f>
        <v>0</v>
      </c>
      <c r="K1370" s="789">
        <f>('Parâmetros financeiros Despesa'!F1109)*(1+'Parâmetros financeiros Despesa'!F$4)*(1+'Parâmetros financeiros Despesa'!F$7)</f>
        <v>109.03315000000001</v>
      </c>
      <c r="L1370" s="799">
        <f t="shared" si="167"/>
        <v>3.3194787030326552E-4</v>
      </c>
      <c r="M1370" s="894"/>
      <c r="N1370" s="796"/>
      <c r="O1370" s="733"/>
    </row>
    <row r="1371" spans="2:15" s="115" customFormat="1" x14ac:dyDescent="0.25">
      <c r="B1371" s="1398" t="s">
        <v>8230</v>
      </c>
      <c r="C1371" s="1398"/>
      <c r="D1371" s="1398"/>
      <c r="E1371" s="854">
        <v>333933000000000</v>
      </c>
      <c r="F1371" s="855" t="s">
        <v>10657</v>
      </c>
      <c r="G1371" s="468">
        <v>1</v>
      </c>
      <c r="H1371" s="468">
        <v>0</v>
      </c>
      <c r="I1371" s="751"/>
      <c r="J1371" s="789">
        <f>('Parâmetros financeiros Despesa'!E1110)</f>
        <v>0</v>
      </c>
      <c r="K1371" s="789">
        <f>('Parâmetros financeiros Despesa'!F1110)*(1+'Parâmetros financeiros Despesa'!F$4)*(1+'Parâmetros financeiros Despesa'!F$7)</f>
        <v>1635.4972500000001</v>
      </c>
      <c r="L1371" s="799">
        <f t="shared" si="167"/>
        <v>4.9792180545489831E-3</v>
      </c>
      <c r="M1371" s="894"/>
      <c r="N1371" s="796"/>
      <c r="O1371" s="733"/>
    </row>
    <row r="1372" spans="2:15" x14ac:dyDescent="0.25">
      <c r="B1372" s="1385" t="s">
        <v>7988</v>
      </c>
      <c r="C1372" s="1385"/>
      <c r="D1372" s="1385"/>
      <c r="E1372" s="1385"/>
      <c r="F1372" s="1385"/>
      <c r="G1372" s="401"/>
      <c r="H1372" s="401">
        <v>0</v>
      </c>
      <c r="I1372" s="426"/>
      <c r="J1372" s="402">
        <f t="shared" ref="J1372:K1375" si="168">J1373</f>
        <v>12237.076923076922</v>
      </c>
      <c r="K1372" s="402">
        <f t="shared" si="168"/>
        <v>13342.470437153846</v>
      </c>
      <c r="L1372" s="451">
        <f t="shared" si="167"/>
        <v>4.062071623352622E-2</v>
      </c>
    </row>
    <row r="1373" spans="2:15" x14ac:dyDescent="0.25">
      <c r="B1373" s="1386" t="s">
        <v>8137</v>
      </c>
      <c r="C1373" s="1386"/>
      <c r="D1373" s="1386"/>
      <c r="E1373" s="1386"/>
      <c r="F1373" s="1386"/>
      <c r="G1373" s="403"/>
      <c r="H1373" s="403">
        <v>0</v>
      </c>
      <c r="I1373" s="427"/>
      <c r="J1373" s="404">
        <f t="shared" si="168"/>
        <v>12237.076923076922</v>
      </c>
      <c r="K1373" s="404">
        <f t="shared" si="168"/>
        <v>13342.470437153846</v>
      </c>
      <c r="L1373" s="452">
        <f t="shared" si="167"/>
        <v>4.062071623352622E-2</v>
      </c>
    </row>
    <row r="1374" spans="2:15" x14ac:dyDescent="0.25">
      <c r="B1374" s="1382" t="s">
        <v>7914</v>
      </c>
      <c r="C1374" s="1382"/>
      <c r="D1374" s="1382"/>
      <c r="E1374" s="1382"/>
      <c r="F1374" s="1382"/>
      <c r="G1374" s="405"/>
      <c r="H1374" s="405">
        <v>0</v>
      </c>
      <c r="I1374" s="428"/>
      <c r="J1374" s="406">
        <f t="shared" si="168"/>
        <v>12237.076923076922</v>
      </c>
      <c r="K1374" s="406">
        <f t="shared" si="168"/>
        <v>13342.470437153846</v>
      </c>
      <c r="L1374" s="453">
        <f t="shared" si="167"/>
        <v>4.062071623352622E-2</v>
      </c>
    </row>
    <row r="1375" spans="2:15" x14ac:dyDescent="0.25">
      <c r="B1375" s="1383" t="s">
        <v>7298</v>
      </c>
      <c r="C1375" s="1383"/>
      <c r="D1375" s="1383"/>
      <c r="E1375" s="1383"/>
      <c r="F1375" s="1383"/>
      <c r="G1375" s="407"/>
      <c r="H1375" s="407">
        <v>0</v>
      </c>
      <c r="I1375" s="429"/>
      <c r="J1375" s="408">
        <f t="shared" si="168"/>
        <v>12237.076923076922</v>
      </c>
      <c r="K1375" s="408">
        <f t="shared" si="168"/>
        <v>13342.470437153846</v>
      </c>
      <c r="L1375" s="454">
        <f t="shared" si="167"/>
        <v>4.062071623352622E-2</v>
      </c>
    </row>
    <row r="1376" spans="2:15" s="115" customFormat="1" x14ac:dyDescent="0.25">
      <c r="B1376" s="1398" t="s">
        <v>8232</v>
      </c>
      <c r="C1376" s="1398"/>
      <c r="D1376" s="1398"/>
      <c r="E1376" s="854">
        <v>333903900000000</v>
      </c>
      <c r="F1376" s="855" t="s">
        <v>8248</v>
      </c>
      <c r="G1376" s="468">
        <v>1</v>
      </c>
      <c r="H1376" s="468">
        <v>0</v>
      </c>
      <c r="I1376" s="751"/>
      <c r="J1376" s="789">
        <f>('Parâmetros financeiros Despesa'!E1112)</f>
        <v>12237.076923076922</v>
      </c>
      <c r="K1376" s="789">
        <f>('Parâmetros financeiros Despesa'!F1112)*(1+'Parâmetros financeiros Despesa'!F$4)*(1+'Parâmetros financeiros Despesa'!F$7)</f>
        <v>13342.470437153846</v>
      </c>
      <c r="L1376" s="799">
        <f t="shared" si="167"/>
        <v>4.062071623352622E-2</v>
      </c>
      <c r="M1376" s="894"/>
      <c r="N1376" s="796"/>
      <c r="O1376" s="733"/>
    </row>
    <row r="1377" spans="2:15" x14ac:dyDescent="0.25">
      <c r="B1377" s="1385" t="s">
        <v>7989</v>
      </c>
      <c r="C1377" s="1385"/>
      <c r="D1377" s="1385"/>
      <c r="E1377" s="1385"/>
      <c r="F1377" s="1385"/>
      <c r="G1377" s="401"/>
      <c r="H1377" s="401">
        <v>0</v>
      </c>
      <c r="I1377" s="426"/>
      <c r="J1377" s="402">
        <f t="shared" ref="J1377:K1380" si="169">J1378</f>
        <v>7858.9807692307695</v>
      </c>
      <c r="K1377" s="402">
        <f t="shared" si="169"/>
        <v>16478.642866512571</v>
      </c>
      <c r="L1377" s="451">
        <f t="shared" si="167"/>
        <v>5.0168690944239862E-2</v>
      </c>
    </row>
    <row r="1378" spans="2:15" x14ac:dyDescent="0.25">
      <c r="B1378" s="1386" t="s">
        <v>8138</v>
      </c>
      <c r="C1378" s="1386"/>
      <c r="D1378" s="1386"/>
      <c r="E1378" s="1386"/>
      <c r="F1378" s="1386"/>
      <c r="G1378" s="403"/>
      <c r="H1378" s="403">
        <v>0</v>
      </c>
      <c r="I1378" s="427"/>
      <c r="J1378" s="404">
        <f t="shared" si="169"/>
        <v>7858.9807692307695</v>
      </c>
      <c r="K1378" s="404">
        <f t="shared" si="169"/>
        <v>16478.642866512571</v>
      </c>
      <c r="L1378" s="452">
        <f t="shared" si="167"/>
        <v>5.0168690944239862E-2</v>
      </c>
    </row>
    <row r="1379" spans="2:15" x14ac:dyDescent="0.25">
      <c r="B1379" s="1382" t="s">
        <v>7914</v>
      </c>
      <c r="C1379" s="1382"/>
      <c r="D1379" s="1382"/>
      <c r="E1379" s="1382"/>
      <c r="F1379" s="1382"/>
      <c r="G1379" s="405"/>
      <c r="H1379" s="405">
        <v>0</v>
      </c>
      <c r="I1379" s="428"/>
      <c r="J1379" s="406">
        <f t="shared" si="169"/>
        <v>7858.9807692307695</v>
      </c>
      <c r="K1379" s="406">
        <f t="shared" si="169"/>
        <v>16478.642866512571</v>
      </c>
      <c r="L1379" s="453">
        <f t="shared" si="167"/>
        <v>5.0168690944239862E-2</v>
      </c>
    </row>
    <row r="1380" spans="2:15" x14ac:dyDescent="0.25">
      <c r="B1380" s="1383" t="s">
        <v>7298</v>
      </c>
      <c r="C1380" s="1383"/>
      <c r="D1380" s="1383"/>
      <c r="E1380" s="1383"/>
      <c r="F1380" s="1383"/>
      <c r="G1380" s="407"/>
      <c r="H1380" s="407">
        <v>0</v>
      </c>
      <c r="I1380" s="429"/>
      <c r="J1380" s="408">
        <f t="shared" si="169"/>
        <v>7858.9807692307695</v>
      </c>
      <c r="K1380" s="408">
        <f t="shared" si="169"/>
        <v>16478.642866512571</v>
      </c>
      <c r="L1380" s="454">
        <f t="shared" si="167"/>
        <v>5.0168690944239862E-2</v>
      </c>
    </row>
    <row r="1381" spans="2:15" s="115" customFormat="1" x14ac:dyDescent="0.25">
      <c r="B1381" s="1398" t="s">
        <v>8233</v>
      </c>
      <c r="C1381" s="1398"/>
      <c r="D1381" s="1398"/>
      <c r="E1381" s="854">
        <v>333903900000000</v>
      </c>
      <c r="F1381" s="855" t="s">
        <v>8247</v>
      </c>
      <c r="G1381" s="468">
        <v>1</v>
      </c>
      <c r="H1381" s="468">
        <v>0</v>
      </c>
      <c r="I1381" s="751"/>
      <c r="J1381" s="789">
        <f>('Parâmetros financeiros Despesa'!E1114)</f>
        <v>7858.9807692307695</v>
      </c>
      <c r="K1381" s="789">
        <f>('Parâmetros financeiros Despesa'!F1114)*(1+'Parâmetros financeiros Despesa'!F$4)*(1+'Parâmetros financeiros Despesa'!F$7)</f>
        <v>16478.642866512571</v>
      </c>
      <c r="L1381" s="799">
        <f t="shared" si="167"/>
        <v>5.0168690944239862E-2</v>
      </c>
      <c r="M1381" s="894"/>
      <c r="N1381" s="796"/>
      <c r="O1381" s="733"/>
    </row>
    <row r="1382" spans="2:15" x14ac:dyDescent="0.25">
      <c r="B1382" s="1385" t="s">
        <v>7990</v>
      </c>
      <c r="C1382" s="1385"/>
      <c r="D1382" s="1385"/>
      <c r="E1382" s="1385"/>
      <c r="F1382" s="1385"/>
      <c r="G1382" s="401"/>
      <c r="H1382" s="401">
        <v>0</v>
      </c>
      <c r="I1382" s="426"/>
      <c r="J1382" s="402">
        <f t="shared" ref="J1382:K1385" si="170">J1383</f>
        <v>13917.288461538461</v>
      </c>
      <c r="K1382" s="402">
        <f t="shared" si="170"/>
        <v>29181.650008080618</v>
      </c>
      <c r="L1382" s="451">
        <f t="shared" si="167"/>
        <v>8.8842582023151956E-2</v>
      </c>
    </row>
    <row r="1383" spans="2:15" x14ac:dyDescent="0.25">
      <c r="B1383" s="1386" t="s">
        <v>8139</v>
      </c>
      <c r="C1383" s="1386"/>
      <c r="D1383" s="1386"/>
      <c r="E1383" s="1386"/>
      <c r="F1383" s="1386"/>
      <c r="G1383" s="403"/>
      <c r="H1383" s="403">
        <v>0</v>
      </c>
      <c r="I1383" s="427"/>
      <c r="J1383" s="404">
        <f t="shared" si="170"/>
        <v>13917.288461538461</v>
      </c>
      <c r="K1383" s="404">
        <f t="shared" si="170"/>
        <v>29181.650008080618</v>
      </c>
      <c r="L1383" s="452">
        <f t="shared" si="167"/>
        <v>8.8842582023151956E-2</v>
      </c>
    </row>
    <row r="1384" spans="2:15" x14ac:dyDescent="0.25">
      <c r="B1384" s="1382" t="s">
        <v>7914</v>
      </c>
      <c r="C1384" s="1382"/>
      <c r="D1384" s="1382"/>
      <c r="E1384" s="1382"/>
      <c r="F1384" s="1382"/>
      <c r="G1384" s="405"/>
      <c r="H1384" s="405">
        <v>0</v>
      </c>
      <c r="I1384" s="428"/>
      <c r="J1384" s="406">
        <f t="shared" si="170"/>
        <v>13917.288461538461</v>
      </c>
      <c r="K1384" s="406">
        <f t="shared" si="170"/>
        <v>29181.650008080618</v>
      </c>
      <c r="L1384" s="453">
        <f t="shared" si="167"/>
        <v>8.8842582023151956E-2</v>
      </c>
    </row>
    <row r="1385" spans="2:15" x14ac:dyDescent="0.25">
      <c r="B1385" s="1383" t="s">
        <v>7298</v>
      </c>
      <c r="C1385" s="1383"/>
      <c r="D1385" s="1383"/>
      <c r="E1385" s="1383"/>
      <c r="F1385" s="1383"/>
      <c r="G1385" s="407"/>
      <c r="H1385" s="407">
        <v>0</v>
      </c>
      <c r="I1385" s="429"/>
      <c r="J1385" s="408">
        <f t="shared" si="170"/>
        <v>13917.288461538461</v>
      </c>
      <c r="K1385" s="408">
        <f t="shared" si="170"/>
        <v>29181.650008080618</v>
      </c>
      <c r="L1385" s="454">
        <f t="shared" si="167"/>
        <v>8.8842582023151956E-2</v>
      </c>
    </row>
    <row r="1386" spans="2:15" s="115" customFormat="1" x14ac:dyDescent="0.25">
      <c r="B1386" s="1398" t="s">
        <v>8234</v>
      </c>
      <c r="C1386" s="1398"/>
      <c r="D1386" s="1398"/>
      <c r="E1386" s="854">
        <v>333903900000000</v>
      </c>
      <c r="F1386" s="855" t="s">
        <v>8249</v>
      </c>
      <c r="G1386" s="468">
        <v>1</v>
      </c>
      <c r="H1386" s="468">
        <v>0</v>
      </c>
      <c r="I1386" s="751"/>
      <c r="J1386" s="789">
        <f>('Parâmetros financeiros Despesa'!E1116)</f>
        <v>13917.288461538461</v>
      </c>
      <c r="K1386" s="789">
        <f>('Parâmetros financeiros Despesa'!F1116)*(1+'Parâmetros financeiros Despesa'!F$4)*(1+'Parâmetros financeiros Despesa'!F$7)</f>
        <v>29181.650008080618</v>
      </c>
      <c r="L1386" s="799">
        <f t="shared" si="167"/>
        <v>8.8842582023151956E-2</v>
      </c>
      <c r="M1386" s="894"/>
      <c r="N1386" s="796"/>
      <c r="O1386" s="733"/>
    </row>
    <row r="1387" spans="2:15" x14ac:dyDescent="0.25">
      <c r="B1387" s="1385" t="s">
        <v>7991</v>
      </c>
      <c r="C1387" s="1385"/>
      <c r="D1387" s="1385"/>
      <c r="E1387" s="1385"/>
      <c r="F1387" s="1385"/>
      <c r="G1387" s="401"/>
      <c r="H1387" s="401">
        <v>0</v>
      </c>
      <c r="I1387" s="426"/>
      <c r="J1387" s="402">
        <f t="shared" ref="J1387:K1390" si="171">J1388</f>
        <v>3139.0384615384614</v>
      </c>
      <c r="K1387" s="402">
        <f t="shared" si="171"/>
        <v>6581.9086813979284</v>
      </c>
      <c r="L1387" s="451">
        <f t="shared" si="167"/>
        <v>2.0038406386687139E-2</v>
      </c>
    </row>
    <row r="1388" spans="2:15" x14ac:dyDescent="0.25">
      <c r="B1388" s="1386" t="s">
        <v>8140</v>
      </c>
      <c r="C1388" s="1386"/>
      <c r="D1388" s="1386"/>
      <c r="E1388" s="1386"/>
      <c r="F1388" s="1386"/>
      <c r="G1388" s="403"/>
      <c r="H1388" s="403">
        <v>0</v>
      </c>
      <c r="I1388" s="427"/>
      <c r="J1388" s="404">
        <f t="shared" si="171"/>
        <v>3139.0384615384614</v>
      </c>
      <c r="K1388" s="404">
        <f t="shared" si="171"/>
        <v>6581.9086813979284</v>
      </c>
      <c r="L1388" s="452">
        <f t="shared" si="167"/>
        <v>2.0038406386687139E-2</v>
      </c>
    </row>
    <row r="1389" spans="2:15" x14ac:dyDescent="0.25">
      <c r="B1389" s="1382" t="s">
        <v>7914</v>
      </c>
      <c r="C1389" s="1382"/>
      <c r="D1389" s="1382"/>
      <c r="E1389" s="1382"/>
      <c r="F1389" s="1382"/>
      <c r="G1389" s="405"/>
      <c r="H1389" s="405">
        <v>0</v>
      </c>
      <c r="I1389" s="428"/>
      <c r="J1389" s="406">
        <f t="shared" si="171"/>
        <v>3139.0384615384614</v>
      </c>
      <c r="K1389" s="406">
        <f t="shared" si="171"/>
        <v>6581.9086813979284</v>
      </c>
      <c r="L1389" s="453">
        <f t="shared" si="167"/>
        <v>2.0038406386687139E-2</v>
      </c>
    </row>
    <row r="1390" spans="2:15" x14ac:dyDescent="0.25">
      <c r="B1390" s="1383" t="s">
        <v>7298</v>
      </c>
      <c r="C1390" s="1383"/>
      <c r="D1390" s="1383"/>
      <c r="E1390" s="1383"/>
      <c r="F1390" s="1383"/>
      <c r="G1390" s="407"/>
      <c r="H1390" s="407">
        <v>0</v>
      </c>
      <c r="I1390" s="429"/>
      <c r="J1390" s="408">
        <f t="shared" si="171"/>
        <v>3139.0384615384614</v>
      </c>
      <c r="K1390" s="408">
        <f t="shared" si="171"/>
        <v>6581.9086813979284</v>
      </c>
      <c r="L1390" s="454">
        <f t="shared" si="167"/>
        <v>2.0038406386687139E-2</v>
      </c>
    </row>
    <row r="1391" spans="2:15" s="115" customFormat="1" x14ac:dyDescent="0.25">
      <c r="B1391" s="1398" t="s">
        <v>8235</v>
      </c>
      <c r="C1391" s="1398"/>
      <c r="D1391" s="1398"/>
      <c r="E1391" s="854">
        <v>333903900000000</v>
      </c>
      <c r="F1391" s="855" t="s">
        <v>8250</v>
      </c>
      <c r="G1391" s="468">
        <v>1</v>
      </c>
      <c r="H1391" s="468">
        <v>0</v>
      </c>
      <c r="I1391" s="751"/>
      <c r="J1391" s="789">
        <f>('Parâmetros financeiros Despesa'!E1118)</f>
        <v>3139.0384615384614</v>
      </c>
      <c r="K1391" s="789">
        <f>('Parâmetros financeiros Despesa'!F1118)*(1+'Parâmetros financeiros Despesa'!F$4)*(1+'Parâmetros financeiros Despesa'!F$7)</f>
        <v>6581.9086813979284</v>
      </c>
      <c r="L1391" s="799">
        <f t="shared" si="167"/>
        <v>2.0038406386687139E-2</v>
      </c>
      <c r="M1391" s="894"/>
      <c r="N1391" s="796"/>
      <c r="O1391" s="733"/>
    </row>
    <row r="1392" spans="2:15" x14ac:dyDescent="0.25">
      <c r="B1392" s="1385" t="s">
        <v>7992</v>
      </c>
      <c r="C1392" s="1385"/>
      <c r="D1392" s="1385"/>
      <c r="E1392" s="1385"/>
      <c r="F1392" s="1385"/>
      <c r="G1392" s="401"/>
      <c r="H1392" s="401">
        <v>0</v>
      </c>
      <c r="I1392" s="426"/>
      <c r="J1392" s="402">
        <f t="shared" ref="J1392:K1395" si="172">J1393</f>
        <v>253.36538461538458</v>
      </c>
      <c r="K1392" s="402">
        <f t="shared" si="172"/>
        <v>531.25434587647931</v>
      </c>
      <c r="L1392" s="451">
        <f t="shared" si="167"/>
        <v>1.6173865352239361E-3</v>
      </c>
    </row>
    <row r="1393" spans="2:15" x14ac:dyDescent="0.25">
      <c r="B1393" s="1386" t="s">
        <v>8141</v>
      </c>
      <c r="C1393" s="1386"/>
      <c r="D1393" s="1386"/>
      <c r="E1393" s="1386"/>
      <c r="F1393" s="1386"/>
      <c r="G1393" s="403"/>
      <c r="H1393" s="403">
        <v>0</v>
      </c>
      <c r="I1393" s="427"/>
      <c r="J1393" s="404">
        <f t="shared" si="172"/>
        <v>253.36538461538458</v>
      </c>
      <c r="K1393" s="404">
        <f t="shared" si="172"/>
        <v>531.25434587647931</v>
      </c>
      <c r="L1393" s="452">
        <f t="shared" si="167"/>
        <v>1.6173865352239361E-3</v>
      </c>
    </row>
    <row r="1394" spans="2:15" x14ac:dyDescent="0.25">
      <c r="B1394" s="1382" t="s">
        <v>7914</v>
      </c>
      <c r="C1394" s="1382"/>
      <c r="D1394" s="1382"/>
      <c r="E1394" s="1382"/>
      <c r="F1394" s="1382"/>
      <c r="G1394" s="405"/>
      <c r="H1394" s="405">
        <v>0</v>
      </c>
      <c r="I1394" s="428"/>
      <c r="J1394" s="406">
        <f t="shared" si="172"/>
        <v>253.36538461538458</v>
      </c>
      <c r="K1394" s="406">
        <f t="shared" si="172"/>
        <v>531.25434587647931</v>
      </c>
      <c r="L1394" s="453">
        <f t="shared" si="167"/>
        <v>1.6173865352239361E-3</v>
      </c>
    </row>
    <row r="1395" spans="2:15" x14ac:dyDescent="0.25">
      <c r="B1395" s="1383" t="s">
        <v>7298</v>
      </c>
      <c r="C1395" s="1383"/>
      <c r="D1395" s="1383"/>
      <c r="E1395" s="1383"/>
      <c r="F1395" s="1383"/>
      <c r="G1395" s="407"/>
      <c r="H1395" s="407">
        <v>0</v>
      </c>
      <c r="I1395" s="429"/>
      <c r="J1395" s="408">
        <f t="shared" si="172"/>
        <v>253.36538461538458</v>
      </c>
      <c r="K1395" s="408">
        <f t="shared" si="172"/>
        <v>531.25434587647931</v>
      </c>
      <c r="L1395" s="454">
        <f t="shared" si="167"/>
        <v>1.6173865352239361E-3</v>
      </c>
    </row>
    <row r="1396" spans="2:15" s="115" customFormat="1" x14ac:dyDescent="0.25">
      <c r="B1396" s="1398" t="s">
        <v>8236</v>
      </c>
      <c r="C1396" s="1398"/>
      <c r="D1396" s="1398"/>
      <c r="E1396" s="854">
        <v>333903900000000</v>
      </c>
      <c r="F1396" s="855" t="s">
        <v>8251</v>
      </c>
      <c r="G1396" s="468">
        <v>1</v>
      </c>
      <c r="H1396" s="468">
        <v>0</v>
      </c>
      <c r="I1396" s="751"/>
      <c r="J1396" s="789">
        <f>('Parâmetros financeiros Despesa'!E1120)</f>
        <v>253.36538461538458</v>
      </c>
      <c r="K1396" s="789">
        <f>('Parâmetros financeiros Despesa'!F1120)*(1+'Parâmetros financeiros Despesa'!F$4)*(1+'Parâmetros financeiros Despesa'!F$7)</f>
        <v>531.25434587647931</v>
      </c>
      <c r="L1396" s="799">
        <f t="shared" si="167"/>
        <v>1.6173865352239361E-3</v>
      </c>
      <c r="M1396" s="894"/>
      <c r="N1396" s="796"/>
      <c r="O1396" s="733"/>
    </row>
    <row r="1397" spans="2:15" x14ac:dyDescent="0.25">
      <c r="B1397" s="864" t="s">
        <v>22</v>
      </c>
      <c r="C1397" s="864"/>
      <c r="D1397" s="864"/>
      <c r="E1397" s="864"/>
      <c r="F1397" s="864"/>
      <c r="G1397" s="864"/>
      <c r="H1397" s="864"/>
      <c r="I1397" s="864"/>
      <c r="J1397" s="863">
        <f>J1393+J1388+J1383+J1378+J1373+J1355</f>
        <v>104230.49825</v>
      </c>
      <c r="K1397" s="863">
        <f>K1393+K1388+K1383+K1378+K1373+K1355</f>
        <v>149572.53324546892</v>
      </c>
      <c r="L1397" s="452">
        <f t="shared" si="167"/>
        <v>0.45536870086480841</v>
      </c>
    </row>
    <row r="1398" spans="2:15" x14ac:dyDescent="0.25">
      <c r="B1398" s="864" t="s">
        <v>11469</v>
      </c>
      <c r="C1398" s="864"/>
      <c r="D1398" s="864"/>
      <c r="E1398" s="864"/>
      <c r="F1398" s="864"/>
      <c r="G1398" s="864"/>
      <c r="H1398" s="864"/>
      <c r="I1398" s="864"/>
      <c r="J1398" s="863"/>
      <c r="K1398" s="863"/>
      <c r="L1398" s="452"/>
    </row>
    <row r="1399" spans="2:15" s="31" customFormat="1" x14ac:dyDescent="0.25">
      <c r="B1399" s="869" t="s">
        <v>745</v>
      </c>
      <c r="C1399" s="869"/>
      <c r="D1399" s="869"/>
      <c r="E1399" s="869"/>
      <c r="F1399" s="869"/>
      <c r="G1399" s="869"/>
      <c r="H1399" s="869"/>
      <c r="I1399" s="869"/>
      <c r="J1399" s="870">
        <f>J1397</f>
        <v>104230.49825</v>
      </c>
      <c r="K1399" s="870">
        <f>K1397</f>
        <v>149572.53324546892</v>
      </c>
      <c r="L1399" s="871">
        <f>K1399/K$2497</f>
        <v>0.45536870086480841</v>
      </c>
      <c r="M1399" s="897"/>
      <c r="O1399" s="736"/>
    </row>
    <row r="1400" spans="2:15" s="115" customFormat="1" x14ac:dyDescent="0.25">
      <c r="B1400" s="864" t="s">
        <v>2172</v>
      </c>
      <c r="C1400" s="864"/>
      <c r="D1400" s="864"/>
      <c r="E1400" s="864"/>
      <c r="F1400" s="864"/>
      <c r="G1400" s="864"/>
      <c r="H1400" s="864"/>
      <c r="I1400" s="864"/>
      <c r="J1400" s="863">
        <f>SUM(J1399)</f>
        <v>104230.49825</v>
      </c>
      <c r="K1400" s="863">
        <f>SUM(K1399)</f>
        <v>149572.53324546892</v>
      </c>
      <c r="L1400" s="452">
        <f>K1400/K$2497</f>
        <v>0.45536870086480841</v>
      </c>
      <c r="N1400" s="796"/>
      <c r="O1400" s="733"/>
    </row>
    <row r="1401" spans="2:15" x14ac:dyDescent="0.25">
      <c r="F1401" s="399"/>
      <c r="G1401" s="399"/>
      <c r="H1401" s="399"/>
    </row>
    <row r="1402" spans="2:15" x14ac:dyDescent="0.25">
      <c r="F1402" s="399"/>
      <c r="G1402" s="399"/>
      <c r="H1402" s="399"/>
    </row>
    <row r="1403" spans="2:15" x14ac:dyDescent="0.25">
      <c r="F1403" s="399"/>
      <c r="G1403" s="399"/>
      <c r="H1403" s="399"/>
    </row>
    <row r="1404" spans="2:15" x14ac:dyDescent="0.25">
      <c r="F1404" s="399"/>
      <c r="G1404" s="399"/>
      <c r="H1404" s="399"/>
    </row>
    <row r="1405" spans="2:15" x14ac:dyDescent="0.25">
      <c r="F1405" s="399"/>
      <c r="G1405" s="399"/>
      <c r="H1405" s="399"/>
    </row>
    <row r="1406" spans="2:15" x14ac:dyDescent="0.25">
      <c r="F1406" s="399"/>
      <c r="G1406" s="399"/>
      <c r="H1406" s="399"/>
    </row>
    <row r="1407" spans="2:15" x14ac:dyDescent="0.25">
      <c r="F1407" s="399"/>
      <c r="G1407" s="399"/>
      <c r="H1407" s="399"/>
    </row>
    <row r="1409" spans="1:15" s="435" customFormat="1" ht="15.75" x14ac:dyDescent="0.25">
      <c r="B1409" s="999" t="s">
        <v>989</v>
      </c>
      <c r="C1409" s="999"/>
      <c r="D1409" s="481"/>
      <c r="E1409" s="1371" t="s">
        <v>7911</v>
      </c>
      <c r="F1409" s="1371"/>
      <c r="G1409" s="1371"/>
      <c r="H1409" s="1371"/>
      <c r="I1409" s="1371"/>
      <c r="J1409" s="940"/>
      <c r="K1409" s="438"/>
      <c r="L1409" s="449"/>
      <c r="M1409" s="892"/>
      <c r="O1409" s="732"/>
    </row>
    <row r="1410" spans="1:15" s="435" customFormat="1" ht="14.25" customHeight="1" x14ac:dyDescent="0.25">
      <c r="B1410" s="999" t="s">
        <v>458</v>
      </c>
      <c r="C1410" s="999"/>
      <c r="D1410" s="481"/>
      <c r="E1410" s="1371" t="s">
        <v>8264</v>
      </c>
      <c r="F1410" s="1371"/>
      <c r="G1410" s="1371"/>
      <c r="H1410" s="1371"/>
      <c r="I1410" s="1371"/>
      <c r="J1410" s="940"/>
      <c r="K1410" s="438"/>
      <c r="L1410" s="449"/>
      <c r="M1410" s="892"/>
      <c r="O1410" s="732"/>
    </row>
    <row r="1411" spans="1:15" s="435" customFormat="1" ht="15.75" x14ac:dyDescent="0.25">
      <c r="B1411" s="1005" t="s">
        <v>5764</v>
      </c>
      <c r="C1411" s="1005"/>
      <c r="D1411" s="1005"/>
      <c r="E1411" s="1371" t="s">
        <v>749</v>
      </c>
      <c r="F1411" s="1371"/>
      <c r="G1411" s="1371"/>
      <c r="H1411" s="1371"/>
      <c r="I1411" s="1371"/>
      <c r="J1411" s="941"/>
      <c r="K1411" s="438"/>
      <c r="L1411" s="449"/>
      <c r="M1411" s="892"/>
      <c r="O1411" s="732"/>
    </row>
    <row r="1412" spans="1:15" ht="88.5" x14ac:dyDescent="0.25">
      <c r="A1412" s="396"/>
      <c r="B1412" s="1400" t="s">
        <v>2296</v>
      </c>
      <c r="C1412" s="1400"/>
      <c r="D1412" s="1400"/>
      <c r="E1412" s="1384" t="s">
        <v>2297</v>
      </c>
      <c r="F1412" s="1384"/>
      <c r="G1412" s="443" t="s">
        <v>444</v>
      </c>
      <c r="H1412" s="443" t="s">
        <v>2245</v>
      </c>
      <c r="I1412" s="444" t="s">
        <v>5725</v>
      </c>
      <c r="J1412" s="893" t="s">
        <v>11644</v>
      </c>
      <c r="K1412" s="1000" t="s">
        <v>11522</v>
      </c>
      <c r="L1412" s="450" t="s">
        <v>235</v>
      </c>
    </row>
    <row r="1413" spans="1:15" x14ac:dyDescent="0.25">
      <c r="B1413" s="1385" t="s">
        <v>8198</v>
      </c>
      <c r="C1413" s="1385"/>
      <c r="D1413" s="1385"/>
      <c r="E1413" s="1385"/>
      <c r="F1413" s="1385"/>
      <c r="G1413" s="401"/>
      <c r="H1413" s="401"/>
      <c r="I1413" s="426"/>
      <c r="J1413" s="402">
        <f t="shared" ref="J1413:K1415" si="173">J1414</f>
        <v>1918.5</v>
      </c>
      <c r="K1413" s="402">
        <f t="shared" si="173"/>
        <v>5580.8617827500002</v>
      </c>
      <c r="L1413" s="451">
        <f t="shared" ref="L1413:L1447" si="174">K1413/K$1450</f>
        <v>4.8272039068682618E-2</v>
      </c>
    </row>
    <row r="1414" spans="1:15" x14ac:dyDescent="0.25">
      <c r="B1414" s="1386" t="s">
        <v>8231</v>
      </c>
      <c r="C1414" s="1386"/>
      <c r="D1414" s="1386"/>
      <c r="E1414" s="1386"/>
      <c r="F1414" s="1386"/>
      <c r="G1414" s="403"/>
      <c r="H1414" s="403"/>
      <c r="I1414" s="427"/>
      <c r="J1414" s="404">
        <f t="shared" si="173"/>
        <v>1918.5</v>
      </c>
      <c r="K1414" s="404">
        <f t="shared" si="173"/>
        <v>5580.8617827500002</v>
      </c>
      <c r="L1414" s="452">
        <f t="shared" si="174"/>
        <v>4.8272039068682618E-2</v>
      </c>
    </row>
    <row r="1415" spans="1:15" x14ac:dyDescent="0.25">
      <c r="B1415" s="1382" t="s">
        <v>7914</v>
      </c>
      <c r="C1415" s="1382"/>
      <c r="D1415" s="1382"/>
      <c r="E1415" s="1382"/>
      <c r="F1415" s="1382"/>
      <c r="G1415" s="405"/>
      <c r="H1415" s="405"/>
      <c r="I1415" s="428"/>
      <c r="J1415" s="406">
        <f t="shared" si="173"/>
        <v>1918.5</v>
      </c>
      <c r="K1415" s="406">
        <f t="shared" si="173"/>
        <v>5580.8617827500002</v>
      </c>
      <c r="L1415" s="453">
        <f t="shared" si="174"/>
        <v>4.8272039068682618E-2</v>
      </c>
    </row>
    <row r="1416" spans="1:15" x14ac:dyDescent="0.25">
      <c r="B1416" s="1383" t="s">
        <v>8199</v>
      </c>
      <c r="C1416" s="1383"/>
      <c r="D1416" s="1383"/>
      <c r="E1416" s="1383"/>
      <c r="F1416" s="1383"/>
      <c r="G1416" s="407"/>
      <c r="H1416" s="407"/>
      <c r="I1416" s="429"/>
      <c r="J1416" s="408">
        <f>SUM(J1417:J1421)</f>
        <v>1918.5</v>
      </c>
      <c r="K1416" s="408">
        <f>SUM(K1417:K1421)</f>
        <v>5580.8617827500002</v>
      </c>
      <c r="L1416" s="454">
        <f t="shared" si="174"/>
        <v>4.8272039068682618E-2</v>
      </c>
    </row>
    <row r="1417" spans="1:15" s="115" customFormat="1" x14ac:dyDescent="0.25">
      <c r="B1417" s="1398" t="s">
        <v>8242</v>
      </c>
      <c r="C1417" s="1398"/>
      <c r="D1417" s="1398"/>
      <c r="E1417" s="1022">
        <v>333904700000000</v>
      </c>
      <c r="F1417" s="989" t="s">
        <v>8283</v>
      </c>
      <c r="G1417" s="468">
        <v>1</v>
      </c>
      <c r="H1417" s="468">
        <v>0</v>
      </c>
      <c r="I1417" s="751"/>
      <c r="J1417" s="789">
        <f>'Parâmetros financeiros Despesa'!E1124</f>
        <v>0</v>
      </c>
      <c r="K1417" s="789">
        <f>(('Parâmetros financeiros Despesa'!F1126)*(1+'Parâmetros financeiros Despesa'!F$4)*(1+'Parâmetros financeiros Despesa'!F$7))*('Parâmetros financeiros Despesa'!F$83)</f>
        <v>218.06630000000001</v>
      </c>
      <c r="L1417" s="799">
        <f t="shared" si="174"/>
        <v>1.8861791176587913E-3</v>
      </c>
      <c r="M1417" s="894"/>
      <c r="N1417" s="796"/>
      <c r="O1417" s="733"/>
    </row>
    <row r="1418" spans="1:15" s="115" customFormat="1" x14ac:dyDescent="0.25">
      <c r="B1418" s="1398" t="s">
        <v>8243</v>
      </c>
      <c r="C1418" s="1398"/>
      <c r="D1418" s="1398"/>
      <c r="E1418" s="1022">
        <v>344903000000000</v>
      </c>
      <c r="F1418" s="989" t="s">
        <v>8284</v>
      </c>
      <c r="G1418" s="468">
        <v>1</v>
      </c>
      <c r="H1418" s="468">
        <v>0</v>
      </c>
      <c r="I1418" s="751"/>
      <c r="J1418" s="789">
        <f>('Parâmetros financeiros Despesa'!E1125)</f>
        <v>0</v>
      </c>
      <c r="K1418" s="789">
        <f>('Parâmetros financeiros Despesa'!F1125)*(1+'Parâmetros financeiros Despesa'!F$4)*(1+'Parâmetros financeiros Despesa'!F$7)</f>
        <v>1090.3315</v>
      </c>
      <c r="L1418" s="799">
        <f t="shared" si="174"/>
        <v>9.4308955882939569E-3</v>
      </c>
      <c r="M1418" s="894"/>
      <c r="N1418" s="796"/>
      <c r="O1418" s="733"/>
    </row>
    <row r="1419" spans="1:15" s="115" customFormat="1" x14ac:dyDescent="0.25">
      <c r="B1419" s="1398" t="s">
        <v>8265</v>
      </c>
      <c r="C1419" s="1398"/>
      <c r="D1419" s="1398"/>
      <c r="E1419" s="1022">
        <v>344903600000000</v>
      </c>
      <c r="F1419" s="989" t="s">
        <v>8285</v>
      </c>
      <c r="G1419" s="468">
        <v>1</v>
      </c>
      <c r="H1419" s="468">
        <v>0</v>
      </c>
      <c r="I1419" s="751"/>
      <c r="J1419" s="789">
        <f>('Parâmetros financeiros Despesa'!E1126)</f>
        <v>0</v>
      </c>
      <c r="K1419" s="789">
        <f>('Parâmetros financeiros Despesa'!F1126)*(1+'Parâmetros financeiros Despesa'!F$4)*(1+'Parâmetros financeiros Despesa'!F$7)</f>
        <v>1090.3315</v>
      </c>
      <c r="L1419" s="799">
        <f t="shared" si="174"/>
        <v>9.4308955882939569E-3</v>
      </c>
      <c r="M1419" s="894"/>
      <c r="N1419" s="796"/>
      <c r="O1419" s="733"/>
    </row>
    <row r="1420" spans="1:15" s="115" customFormat="1" x14ac:dyDescent="0.25">
      <c r="B1420" s="1398" t="s">
        <v>8266</v>
      </c>
      <c r="C1420" s="1398"/>
      <c r="D1420" s="1398"/>
      <c r="E1420" s="1022">
        <v>344903900000000</v>
      </c>
      <c r="F1420" s="989" t="s">
        <v>8286</v>
      </c>
      <c r="G1420" s="468">
        <v>1</v>
      </c>
      <c r="H1420" s="468">
        <v>0</v>
      </c>
      <c r="I1420" s="751"/>
      <c r="J1420" s="789">
        <f>('Parâmetros financeiros Despesa'!E1127)</f>
        <v>0</v>
      </c>
      <c r="K1420" s="789">
        <f>('Parâmetros financeiros Despesa'!F1127)*(1+'Parâmetros financeiros Despesa'!F$4)*(1+'Parâmetros financeiros Despesa'!F$7)</f>
        <v>1090.3315</v>
      </c>
      <c r="L1420" s="799">
        <f t="shared" si="174"/>
        <v>9.4308955882939569E-3</v>
      </c>
      <c r="M1420" s="894"/>
      <c r="N1420" s="796"/>
      <c r="O1420" s="733"/>
    </row>
    <row r="1421" spans="1:15" s="115" customFormat="1" x14ac:dyDescent="0.25">
      <c r="B1421" s="1398" t="s">
        <v>8267</v>
      </c>
      <c r="C1421" s="1398"/>
      <c r="D1421" s="1398"/>
      <c r="E1421" s="1022">
        <v>344905200000000</v>
      </c>
      <c r="F1421" s="989" t="s">
        <v>8287</v>
      </c>
      <c r="G1421" s="468">
        <v>1</v>
      </c>
      <c r="H1421" s="468">
        <v>0</v>
      </c>
      <c r="I1421" s="751"/>
      <c r="J1421" s="789">
        <f>('Parâmetros financeiros Despesa'!E1128)</f>
        <v>1918.5</v>
      </c>
      <c r="K1421" s="789">
        <f>('Parâmetros financeiros Despesa'!F1128)*(1+'Parâmetros financeiros Despesa'!F$4)*(1+'Parâmetros financeiros Despesa'!F$7)</f>
        <v>2091.80098275</v>
      </c>
      <c r="L1421" s="799">
        <f t="shared" si="174"/>
        <v>1.8093173186141957E-2</v>
      </c>
      <c r="M1421" s="894"/>
      <c r="N1421" s="796"/>
      <c r="O1421" s="733"/>
    </row>
    <row r="1422" spans="1:15" s="115" customFormat="1" x14ac:dyDescent="0.25">
      <c r="A1422" s="396"/>
      <c r="B1422" s="1385" t="s">
        <v>8198</v>
      </c>
      <c r="C1422" s="1385"/>
      <c r="D1422" s="1385"/>
      <c r="E1422" s="1385"/>
      <c r="F1422" s="1385"/>
      <c r="G1422" s="401"/>
      <c r="H1422" s="401"/>
      <c r="I1422" s="426"/>
      <c r="J1422" s="402">
        <f>J1425</f>
        <v>52546.95</v>
      </c>
      <c r="K1422" s="402">
        <f>K1425</f>
        <v>68196.909813924998</v>
      </c>
      <c r="L1422" s="451">
        <f t="shared" si="174"/>
        <v>0.58987375481624271</v>
      </c>
      <c r="M1422" s="894"/>
      <c r="O1422" s="733"/>
    </row>
    <row r="1423" spans="1:15" x14ac:dyDescent="0.25">
      <c r="B1423" s="1386" t="s">
        <v>8244</v>
      </c>
      <c r="C1423" s="1386"/>
      <c r="D1423" s="1386"/>
      <c r="E1423" s="1386"/>
      <c r="F1423" s="1386"/>
      <c r="G1423" s="403"/>
      <c r="H1423" s="403"/>
      <c r="I1423" s="427"/>
      <c r="J1423" s="404">
        <f t="shared" ref="J1423:K1424" si="175">J1424</f>
        <v>52546.95</v>
      </c>
      <c r="K1423" s="404">
        <f t="shared" si="175"/>
        <v>68196.909813924998</v>
      </c>
      <c r="L1423" s="452">
        <f t="shared" si="174"/>
        <v>0.58987375481624271</v>
      </c>
    </row>
    <row r="1424" spans="1:15" x14ac:dyDescent="0.25">
      <c r="B1424" s="1382" t="s">
        <v>7914</v>
      </c>
      <c r="C1424" s="1382"/>
      <c r="D1424" s="1382"/>
      <c r="E1424" s="1382"/>
      <c r="F1424" s="1382"/>
      <c r="G1424" s="405"/>
      <c r="H1424" s="405"/>
      <c r="I1424" s="428"/>
      <c r="J1424" s="406">
        <f t="shared" si="175"/>
        <v>52546.95</v>
      </c>
      <c r="K1424" s="406">
        <f t="shared" si="175"/>
        <v>68196.909813924998</v>
      </c>
      <c r="L1424" s="453">
        <f t="shared" si="174"/>
        <v>0.58987375481624271</v>
      </c>
    </row>
    <row r="1425" spans="2:15" x14ac:dyDescent="0.25">
      <c r="B1425" s="1383" t="s">
        <v>8199</v>
      </c>
      <c r="C1425" s="1383"/>
      <c r="D1425" s="1383"/>
      <c r="E1425" s="1383"/>
      <c r="F1425" s="1383"/>
      <c r="G1425" s="407"/>
      <c r="H1425" s="407"/>
      <c r="I1425" s="429"/>
      <c r="J1425" s="408">
        <f>SUM(J1426:J1427)</f>
        <v>52546.95</v>
      </c>
      <c r="K1425" s="408">
        <f>SUM(K1426:K1427)</f>
        <v>68196.909813924998</v>
      </c>
      <c r="L1425" s="454">
        <f t="shared" si="174"/>
        <v>0.58987375481624271</v>
      </c>
    </row>
    <row r="1426" spans="2:15" s="115" customFormat="1" x14ac:dyDescent="0.25">
      <c r="B1426" s="1398" t="s">
        <v>8268</v>
      </c>
      <c r="C1426" s="1398"/>
      <c r="D1426" s="1398"/>
      <c r="E1426" s="1020">
        <v>333903000000000</v>
      </c>
      <c r="F1426" s="1021" t="s">
        <v>8240</v>
      </c>
      <c r="G1426" s="468">
        <v>1</v>
      </c>
      <c r="H1426" s="468">
        <v>0</v>
      </c>
      <c r="I1426" s="751"/>
      <c r="J1426" s="789">
        <f>('Parâmetros financeiros Despesa'!E1130)</f>
        <v>52546.95</v>
      </c>
      <c r="K1426" s="789">
        <f>('Parâmetros financeiros Despesa'!F1130)*(1+'Parâmetros financeiros Despesa'!F$4)*(1+'Parâmetros financeiros Despesa'!F$7)</f>
        <v>57293.594813925003</v>
      </c>
      <c r="L1426" s="799">
        <f t="shared" si="174"/>
        <v>0.49556479893330313</v>
      </c>
      <c r="M1426" s="894"/>
      <c r="N1426" s="796"/>
      <c r="O1426" s="733"/>
    </row>
    <row r="1427" spans="2:15" s="115" customFormat="1" x14ac:dyDescent="0.25">
      <c r="B1427" s="1398" t="s">
        <v>8269</v>
      </c>
      <c r="C1427" s="1398"/>
      <c r="D1427" s="1398"/>
      <c r="E1427" s="1020">
        <v>333903000000000</v>
      </c>
      <c r="F1427" s="1021" t="s">
        <v>8241</v>
      </c>
      <c r="G1427" s="468">
        <v>1</v>
      </c>
      <c r="H1427" s="468">
        <v>0</v>
      </c>
      <c r="I1427" s="751"/>
      <c r="J1427" s="789">
        <f>('Parâmetros financeiros Despesa'!E1131)</f>
        <v>0</v>
      </c>
      <c r="K1427" s="789">
        <f>('Parâmetros financeiros Despesa'!F1131)*(1+'Parâmetros financeiros Despesa'!F$4)*(1+'Parâmetros financeiros Despesa'!F$7)</f>
        <v>10903.315000000001</v>
      </c>
      <c r="L1427" s="799">
        <f t="shared" si="174"/>
        <v>9.4308955882939569E-2</v>
      </c>
      <c r="M1427" s="894"/>
      <c r="N1427" s="796"/>
      <c r="O1427" s="733"/>
    </row>
    <row r="1428" spans="2:15" x14ac:dyDescent="0.25">
      <c r="B1428" s="1385" t="s">
        <v>8198</v>
      </c>
      <c r="C1428" s="1385"/>
      <c r="D1428" s="1385"/>
      <c r="E1428" s="1385"/>
      <c r="F1428" s="1385"/>
      <c r="G1428" s="401"/>
      <c r="H1428" s="401"/>
      <c r="I1428" s="426"/>
      <c r="J1428" s="402">
        <f t="shared" ref="J1428:K1430" si="176">J1429</f>
        <v>55712.553862500004</v>
      </c>
      <c r="K1428" s="402">
        <f t="shared" si="176"/>
        <v>41834.949357776823</v>
      </c>
      <c r="L1428" s="451">
        <f t="shared" si="174"/>
        <v>0.36185420611507468</v>
      </c>
    </row>
    <row r="1429" spans="2:15" x14ac:dyDescent="0.25">
      <c r="B1429" s="1386" t="s">
        <v>8245</v>
      </c>
      <c r="C1429" s="1386"/>
      <c r="D1429" s="1386"/>
      <c r="E1429" s="1386"/>
      <c r="F1429" s="1386"/>
      <c r="G1429" s="403"/>
      <c r="H1429" s="403"/>
      <c r="I1429" s="427"/>
      <c r="J1429" s="404">
        <f t="shared" si="176"/>
        <v>55712.553862500004</v>
      </c>
      <c r="K1429" s="404">
        <f t="shared" si="176"/>
        <v>41834.949357776823</v>
      </c>
      <c r="L1429" s="452">
        <f t="shared" si="174"/>
        <v>0.36185420611507468</v>
      </c>
    </row>
    <row r="1430" spans="2:15" x14ac:dyDescent="0.25">
      <c r="B1430" s="1382" t="s">
        <v>7914</v>
      </c>
      <c r="C1430" s="1382"/>
      <c r="D1430" s="1382"/>
      <c r="E1430" s="1382"/>
      <c r="F1430" s="1382"/>
      <c r="G1430" s="405"/>
      <c r="H1430" s="405"/>
      <c r="I1430" s="428"/>
      <c r="J1430" s="406">
        <f t="shared" si="176"/>
        <v>55712.553862500004</v>
      </c>
      <c r="K1430" s="406">
        <f t="shared" si="176"/>
        <v>41834.949357776823</v>
      </c>
      <c r="L1430" s="453">
        <f t="shared" si="174"/>
        <v>0.36185420611507468</v>
      </c>
    </row>
    <row r="1431" spans="2:15" x14ac:dyDescent="0.25">
      <c r="B1431" s="1383" t="s">
        <v>8199</v>
      </c>
      <c r="C1431" s="1383"/>
      <c r="D1431" s="1383"/>
      <c r="E1431" s="1383"/>
      <c r="F1431" s="1383"/>
      <c r="G1431" s="407"/>
      <c r="H1431" s="407"/>
      <c r="I1431" s="429"/>
      <c r="J1431" s="408">
        <f>SUM(J1432:J1443)+J1444+J1445+J1446-0.01</f>
        <v>55712.553862500004</v>
      </c>
      <c r="K1431" s="408">
        <f>SUM(K1432:K1443)+K1444+K1445+K1446-0.01</f>
        <v>41834.949357776823</v>
      </c>
      <c r="L1431" s="454">
        <f t="shared" si="174"/>
        <v>0.36185420611507468</v>
      </c>
    </row>
    <row r="1432" spans="2:15" s="115" customFormat="1" x14ac:dyDescent="0.25">
      <c r="B1432" s="1398" t="s">
        <v>8252</v>
      </c>
      <c r="C1432" s="1398"/>
      <c r="D1432" s="1398"/>
      <c r="E1432" s="854">
        <v>331900400000000</v>
      </c>
      <c r="F1432" s="855" t="s">
        <v>8288</v>
      </c>
      <c r="G1432" s="468">
        <v>1</v>
      </c>
      <c r="H1432" s="468">
        <v>0</v>
      </c>
      <c r="I1432" s="751"/>
      <c r="J1432" s="789">
        <f>(('Parâmetros financeiros Despesa'!E$1133))</f>
        <v>0</v>
      </c>
      <c r="K1432" s="789">
        <f>(('Parâmetros financeiros Despesa'!F$1133)*2.05+(('Parâmetros financeiros Despesa'!F$1133)*11.28)*(1+'Parâmetros financeiros Despesa'!F$4)*(1+'Parâmetros financeiros Despesa'!F$8))*(1+'Parâmetros financeiros Despesa'!F$80)</f>
        <v>17.278630081629636</v>
      </c>
      <c r="L1432" s="799">
        <f t="shared" si="174"/>
        <v>1.4945267215393134E-4</v>
      </c>
      <c r="M1432" s="894"/>
      <c r="O1432" s="733"/>
    </row>
    <row r="1433" spans="2:15" s="115" customFormat="1" x14ac:dyDescent="0.25">
      <c r="B1433" s="1398" t="s">
        <v>8253</v>
      </c>
      <c r="C1433" s="1398"/>
      <c r="D1433" s="1398"/>
      <c r="E1433" s="854">
        <v>331901100000000</v>
      </c>
      <c r="F1433" s="855" t="s">
        <v>8289</v>
      </c>
      <c r="G1433" s="468">
        <v>1</v>
      </c>
      <c r="H1433" s="468">
        <v>0</v>
      </c>
      <c r="I1433" s="751"/>
      <c r="J1433" s="789">
        <f>('Parâmetros financeiros Despesa'!E$1134)</f>
        <v>24755.87615</v>
      </c>
      <c r="K1433" s="789">
        <f>('Parâmetros financeiros Despesa'!F$1134)*2.05+(('Parâmetros financeiros Despesa'!F$1134)*11.28)*(1+'Parâmetros financeiros Despesa'!F$4)*(1+'Parâmetros financeiros Despesa'!F$8)</f>
        <v>25918.140504072297</v>
      </c>
      <c r="L1433" s="799">
        <f t="shared" si="174"/>
        <v>0.22418069819741823</v>
      </c>
      <c r="M1433" s="894"/>
      <c r="O1433" s="733"/>
    </row>
    <row r="1434" spans="2:15" s="115" customFormat="1" x14ac:dyDescent="0.25">
      <c r="B1434" s="1398" t="s">
        <v>8254</v>
      </c>
      <c r="C1434" s="1398"/>
      <c r="D1434" s="1398"/>
      <c r="E1434" s="854">
        <v>331901300000000</v>
      </c>
      <c r="F1434" s="855" t="s">
        <v>8292</v>
      </c>
      <c r="G1434" s="468">
        <v>1</v>
      </c>
      <c r="H1434" s="468">
        <v>0</v>
      </c>
      <c r="I1434" s="751"/>
      <c r="J1434" s="789">
        <f>'Parâmetros financeiros Despesa'!E1135</f>
        <v>4852.5365625000004</v>
      </c>
      <c r="K1434" s="789">
        <f>(K1435+K1433)*'Parâmetros financeiros Despesa'!F$80</f>
        <v>6220.0439546059597</v>
      </c>
      <c r="L1434" s="799">
        <f t="shared" si="174"/>
        <v>5.3800688222332235E-2</v>
      </c>
      <c r="M1434" s="894"/>
      <c r="O1434" s="733"/>
    </row>
    <row r="1435" spans="2:15" s="115" customFormat="1" x14ac:dyDescent="0.25">
      <c r="B1435" s="1398" t="s">
        <v>8255</v>
      </c>
      <c r="C1435" s="1398"/>
      <c r="D1435" s="1398"/>
      <c r="E1435" s="854">
        <v>331901600000000</v>
      </c>
      <c r="F1435" s="855" t="s">
        <v>8290</v>
      </c>
      <c r="G1435" s="468">
        <v>1</v>
      </c>
      <c r="H1435" s="468">
        <v>0</v>
      </c>
      <c r="I1435" s="751"/>
      <c r="J1435" s="789">
        <f>('Parâmetros financeiros Despesa'!E$1136)</f>
        <v>177.285</v>
      </c>
      <c r="K1435" s="789">
        <f>('Parâmetros financeiros Despesa'!F$1136)*2.05+(('Parâmetros financeiros Despesa'!F$1136)*11.28)*(1+'Parâmetros financeiros Despesa'!F$4)*(1+'Parâmetros financeiros Despesa'!F$8)</f>
        <v>206.17995173910526</v>
      </c>
      <c r="L1435" s="799">
        <f t="shared" si="174"/>
        <v>1.7833673495180032E-3</v>
      </c>
      <c r="M1435" s="894"/>
      <c r="O1435" s="733"/>
    </row>
    <row r="1436" spans="2:15" s="115" customFormat="1" x14ac:dyDescent="0.25">
      <c r="B1436" s="1398" t="s">
        <v>8256</v>
      </c>
      <c r="C1436" s="1398"/>
      <c r="D1436" s="1398"/>
      <c r="E1436" s="854">
        <v>333901400000000</v>
      </c>
      <c r="F1436" s="855" t="s">
        <v>8293</v>
      </c>
      <c r="G1436" s="468">
        <v>1</v>
      </c>
      <c r="H1436" s="468">
        <v>0</v>
      </c>
      <c r="I1436" s="751"/>
      <c r="J1436" s="789">
        <f>('Parâmetros financeiros Despesa'!E$1137)</f>
        <v>0</v>
      </c>
      <c r="K1436" s="789">
        <f>('Parâmetros financeiros Despesa'!F$1137)*2+(('Parâmetros financeiros Despesa'!F$1137)*10)*(1+'Parâmetros financeiros Despesa'!F$4)*(1+'Parâmetros financeiros Despesa'!F$8)</f>
        <v>1255.4814326439473</v>
      </c>
      <c r="L1436" s="799">
        <f t="shared" si="174"/>
        <v>1.0859371030101194E-2</v>
      </c>
      <c r="M1436" s="894"/>
      <c r="N1436" s="796"/>
      <c r="O1436" s="733"/>
    </row>
    <row r="1437" spans="2:15" s="115" customFormat="1" x14ac:dyDescent="0.25">
      <c r="B1437" s="1396">
        <v>434500</v>
      </c>
      <c r="C1437" s="1396"/>
      <c r="D1437" s="1396"/>
      <c r="E1437" s="854">
        <v>333903000000000</v>
      </c>
      <c r="F1437" s="855" t="s">
        <v>8294</v>
      </c>
      <c r="G1437" s="468">
        <v>1</v>
      </c>
      <c r="H1437" s="468">
        <v>0</v>
      </c>
      <c r="I1437" s="751"/>
      <c r="J1437" s="789">
        <f>('Parâmetros financeiros Despesa'!E1134)</f>
        <v>24755.87615</v>
      </c>
      <c r="K1437" s="789">
        <f>('Parâmetros financeiros Despesa'!F1134)*(1+'Parâmetros financeiros Despesa'!F$4)*(1+'Parâmetros financeiros Despesa'!F$7)</f>
        <v>2024.9145968825001</v>
      </c>
      <c r="L1437" s="799">
        <f t="shared" si="174"/>
        <v>1.7514634896278063E-2</v>
      </c>
      <c r="M1437" s="894"/>
      <c r="N1437" s="796"/>
      <c r="O1437" s="733"/>
    </row>
    <row r="1438" spans="2:15" s="115" customFormat="1" x14ac:dyDescent="0.25">
      <c r="B1438" s="1396">
        <v>434600</v>
      </c>
      <c r="C1438" s="1396"/>
      <c r="D1438" s="1396"/>
      <c r="E1438" s="854">
        <v>333903200000000</v>
      </c>
      <c r="F1438" s="855" t="s">
        <v>8295</v>
      </c>
      <c r="G1438" s="468">
        <v>1</v>
      </c>
      <c r="H1438" s="468">
        <v>0</v>
      </c>
      <c r="I1438" s="751"/>
      <c r="J1438" s="789">
        <f>('Parâmetros financeiros Despesa'!E1136)</f>
        <v>177.285</v>
      </c>
      <c r="K1438" s="789">
        <f>('Parâmetros financeiros Despesa'!F1136)*(1+'Parâmetros financeiros Despesa'!F$4)*(1+'Parâmetros financeiros Despesa'!F$7)</f>
        <v>16.108284998125001</v>
      </c>
      <c r="L1438" s="799">
        <f t="shared" si="174"/>
        <v>1.3932969369755786E-4</v>
      </c>
      <c r="M1438" s="894"/>
      <c r="N1438" s="796"/>
      <c r="O1438" s="733"/>
    </row>
    <row r="1439" spans="2:15" s="115" customFormat="1" x14ac:dyDescent="0.25">
      <c r="B1439" s="1396">
        <v>434700</v>
      </c>
      <c r="C1439" s="1396"/>
      <c r="D1439" s="1396"/>
      <c r="E1439" s="854">
        <v>333903300000000</v>
      </c>
      <c r="F1439" s="855" t="s">
        <v>8296</v>
      </c>
      <c r="G1439" s="468">
        <v>1</v>
      </c>
      <c r="H1439" s="468">
        <v>0</v>
      </c>
      <c r="I1439" s="751"/>
      <c r="J1439" s="789">
        <f>('Parâmetros financeiros Despesa'!E1140)</f>
        <v>87.15</v>
      </c>
      <c r="K1439" s="789">
        <f>('Parâmetros financeiros Despesa'!F1140)*(1+'Parâmetros financeiros Despesa'!F$4)*(1+'Parâmetros financeiros Despesa'!F$7)</f>
        <v>95.022390225000009</v>
      </c>
      <c r="L1439" s="799">
        <f t="shared" si="174"/>
        <v>8.2190255051981843E-4</v>
      </c>
      <c r="M1439" s="894"/>
      <c r="N1439" s="796"/>
      <c r="O1439" s="733"/>
    </row>
    <row r="1440" spans="2:15" s="115" customFormat="1" x14ac:dyDescent="0.25">
      <c r="B1440" s="1398" t="s">
        <v>8257</v>
      </c>
      <c r="C1440" s="1398"/>
      <c r="D1440" s="1398"/>
      <c r="E1440" s="854">
        <v>333903500000000</v>
      </c>
      <c r="F1440" s="855" t="s">
        <v>8297</v>
      </c>
      <c r="G1440" s="468">
        <v>1</v>
      </c>
      <c r="H1440" s="468">
        <v>0</v>
      </c>
      <c r="I1440" s="751"/>
      <c r="J1440" s="789">
        <f>('Parâmetros financeiros Despesa'!E1141)</f>
        <v>0</v>
      </c>
      <c r="K1440" s="789">
        <f>('Parâmetros financeiros Despesa'!F1141)*(1+'Parâmetros financeiros Despesa'!F$4)*(1+'Parâmetros financeiros Despesa'!F$7)</f>
        <v>1090.3315</v>
      </c>
      <c r="L1440" s="799">
        <f t="shared" si="174"/>
        <v>9.4308955882939569E-3</v>
      </c>
      <c r="M1440" s="894"/>
      <c r="N1440" s="796"/>
      <c r="O1440" s="733"/>
    </row>
    <row r="1441" spans="2:15" s="115" customFormat="1" x14ac:dyDescent="0.25">
      <c r="B1441" s="1398" t="s">
        <v>8258</v>
      </c>
      <c r="C1441" s="1398"/>
      <c r="D1441" s="1398"/>
      <c r="E1441" s="854">
        <v>333903600000000</v>
      </c>
      <c r="F1441" s="855" t="s">
        <v>8298</v>
      </c>
      <c r="G1441" s="468">
        <v>1</v>
      </c>
      <c r="H1441" s="468">
        <v>0</v>
      </c>
      <c r="I1441" s="751"/>
      <c r="J1441" s="789">
        <f>('Parâmetros financeiros Despesa'!E1142)</f>
        <v>0</v>
      </c>
      <c r="K1441" s="789">
        <f>('Parâmetros financeiros Despesa'!F1142)*(1+'Parâmetros financeiros Despesa'!F$4)*(1+'Parâmetros financeiros Despesa'!F$7)</f>
        <v>1090.3315</v>
      </c>
      <c r="L1441" s="799">
        <f t="shared" si="174"/>
        <v>9.4308955882939569E-3</v>
      </c>
      <c r="M1441" s="894"/>
      <c r="N1441" s="796"/>
      <c r="O1441" s="733"/>
    </row>
    <row r="1442" spans="2:15" s="115" customFormat="1" x14ac:dyDescent="0.25">
      <c r="B1442" s="1398" t="s">
        <v>8259</v>
      </c>
      <c r="C1442" s="1398"/>
      <c r="D1442" s="1398"/>
      <c r="E1442" s="854">
        <v>333903900000000</v>
      </c>
      <c r="F1442" s="855" t="s">
        <v>8299</v>
      </c>
      <c r="G1442" s="468">
        <v>1</v>
      </c>
      <c r="H1442" s="468">
        <v>0</v>
      </c>
      <c r="I1442" s="751"/>
      <c r="J1442" s="789">
        <f>('Parâmetros financeiros Despesa'!E1143)</f>
        <v>502.5</v>
      </c>
      <c r="K1442" s="789">
        <f>('Parâmetros financeiros Despesa'!F1143)*(1+'Parâmetros financeiros Despesa'!F$4)*(1+'Parâmetros financeiros Despesa'!F$7)</f>
        <v>1638.22307875</v>
      </c>
      <c r="L1442" s="799">
        <f t="shared" si="174"/>
        <v>1.4169920621411669E-2</v>
      </c>
      <c r="M1442" s="894"/>
      <c r="N1442" s="796"/>
      <c r="O1442" s="733"/>
    </row>
    <row r="1443" spans="2:15" s="115" customFormat="1" x14ac:dyDescent="0.25">
      <c r="B1443" s="1398" t="s">
        <v>8260</v>
      </c>
      <c r="C1443" s="1398"/>
      <c r="D1443" s="1398"/>
      <c r="E1443" s="854">
        <v>333904700000000</v>
      </c>
      <c r="F1443" s="855" t="s">
        <v>8300</v>
      </c>
      <c r="G1443" s="468">
        <v>1</v>
      </c>
      <c r="H1443" s="468">
        <v>0</v>
      </c>
      <c r="I1443" s="751"/>
      <c r="J1443" s="789">
        <f>'Parâmetros financeiros Despesa'!E1144</f>
        <v>0</v>
      </c>
      <c r="K1443" s="789">
        <f>(('Parâmetros financeiros Despesa'!F1142)*(1+'Parâmetros financeiros Despesa'!F$4)*(1+'Parâmetros financeiros Despesa'!F$7))*('Parâmetros financeiros Despesa'!F$83)</f>
        <v>218.06630000000001</v>
      </c>
      <c r="L1443" s="799">
        <f t="shared" si="174"/>
        <v>1.8861791176587913E-3</v>
      </c>
      <c r="M1443" s="894"/>
      <c r="N1443" s="796"/>
      <c r="O1443" s="733"/>
    </row>
    <row r="1444" spans="2:15" s="115" customFormat="1" x14ac:dyDescent="0.25">
      <c r="B1444" s="1398" t="s">
        <v>8261</v>
      </c>
      <c r="C1444" s="1398"/>
      <c r="D1444" s="1398"/>
      <c r="E1444" s="854">
        <v>333904900000000</v>
      </c>
      <c r="F1444" s="855" t="s">
        <v>8291</v>
      </c>
      <c r="G1444" s="468">
        <v>1</v>
      </c>
      <c r="H1444" s="468">
        <v>0</v>
      </c>
      <c r="I1444" s="751"/>
      <c r="J1444" s="789">
        <f>('Parâmetros financeiros Despesa'!E$1145)</f>
        <v>404.05500000000001</v>
      </c>
      <c r="K1444" s="789">
        <f>('Parâmetros financeiros Despesa'!F$1145)*2+(('Parâmetros financeiros Despesa'!F$1145)*10)*(1+'Parâmetros financeiros Despesa'!F$4)*(1+'Parâmetros financeiros Despesa'!F$8)</f>
        <v>845.47258377825028</v>
      </c>
      <c r="L1444" s="799">
        <f t="shared" si="174"/>
        <v>7.3129719359458969E-3</v>
      </c>
      <c r="M1444" s="894"/>
      <c r="N1444" s="796"/>
      <c r="O1444" s="733"/>
    </row>
    <row r="1445" spans="2:15" s="115" customFormat="1" x14ac:dyDescent="0.25">
      <c r="B1445" s="1398" t="s">
        <v>8262</v>
      </c>
      <c r="C1445" s="1398"/>
      <c r="D1445" s="1398"/>
      <c r="E1445" s="854">
        <v>333909300000000</v>
      </c>
      <c r="F1445" s="855" t="s">
        <v>8301</v>
      </c>
      <c r="G1445" s="468">
        <v>1</v>
      </c>
      <c r="H1445" s="468">
        <v>0</v>
      </c>
      <c r="I1445" s="751"/>
      <c r="J1445" s="789">
        <f>('Parâmetros financeiros Despesa'!E1146)</f>
        <v>0</v>
      </c>
      <c r="K1445" s="789">
        <f>('Parâmetros financeiros Despesa'!F1146)*(1+'Parâmetros financeiros Despesa'!F$4)*(1+'Parâmetros financeiros Despesa'!F$7)</f>
        <v>327.09944999999999</v>
      </c>
      <c r="L1445" s="799">
        <f t="shared" si="174"/>
        <v>2.8292686764881869E-3</v>
      </c>
      <c r="M1445" s="894"/>
      <c r="N1445" s="796"/>
      <c r="O1445" s="733"/>
    </row>
    <row r="1446" spans="2:15" s="115" customFormat="1" x14ac:dyDescent="0.25">
      <c r="B1446" s="1398" t="s">
        <v>8263</v>
      </c>
      <c r="C1446" s="1398"/>
      <c r="D1446" s="1398"/>
      <c r="E1446" s="854">
        <v>333933000000000</v>
      </c>
      <c r="F1446" s="855" t="s">
        <v>8302</v>
      </c>
      <c r="G1446" s="468">
        <v>1</v>
      </c>
      <c r="H1446" s="468">
        <v>0</v>
      </c>
      <c r="I1446" s="751"/>
      <c r="J1446" s="789">
        <f>('Parâmetros financeiros Despesa'!E1147)</f>
        <v>0</v>
      </c>
      <c r="K1446" s="789">
        <f>('Parâmetros financeiros Despesa'!F1147)*(1+'Parâmetros financeiros Despesa'!F$4)*(1+'Parâmetros financeiros Despesa'!F$7)</f>
        <v>872.26520000000005</v>
      </c>
      <c r="L1446" s="799">
        <f t="shared" si="174"/>
        <v>7.5447164706351653E-3</v>
      </c>
      <c r="M1446" s="894"/>
      <c r="N1446" s="796"/>
      <c r="O1446" s="733"/>
    </row>
    <row r="1447" spans="2:15" x14ac:dyDescent="0.25">
      <c r="B1447" s="864" t="s">
        <v>22</v>
      </c>
      <c r="C1447" s="864"/>
      <c r="D1447" s="864"/>
      <c r="E1447" s="864"/>
      <c r="F1447" s="864"/>
      <c r="G1447" s="864"/>
      <c r="H1447" s="864"/>
      <c r="I1447" s="864"/>
      <c r="J1447" s="863">
        <f>J1429+J1423+J1414</f>
        <v>110178.0038625</v>
      </c>
      <c r="K1447" s="863">
        <f>K1429+K1423+K1414</f>
        <v>115612.72095445183</v>
      </c>
      <c r="L1447" s="452">
        <f t="shared" si="174"/>
        <v>1</v>
      </c>
    </row>
    <row r="1448" spans="2:15" x14ac:dyDescent="0.25">
      <c r="B1448" s="864" t="s">
        <v>11469</v>
      </c>
      <c r="C1448" s="864"/>
      <c r="D1448" s="864"/>
      <c r="E1448" s="864"/>
      <c r="F1448" s="864"/>
      <c r="G1448" s="864"/>
      <c r="H1448" s="864"/>
      <c r="I1448" s="864"/>
      <c r="J1448" s="863"/>
      <c r="K1448" s="863"/>
      <c r="L1448" s="452"/>
    </row>
    <row r="1449" spans="2:15" s="31" customFormat="1" x14ac:dyDescent="0.25">
      <c r="B1449" s="869" t="s">
        <v>745</v>
      </c>
      <c r="C1449" s="869"/>
      <c r="D1449" s="869"/>
      <c r="E1449" s="869"/>
      <c r="F1449" s="869"/>
      <c r="G1449" s="869"/>
      <c r="H1449" s="869"/>
      <c r="I1449" s="869"/>
      <c r="J1449" s="870">
        <f>J1447</f>
        <v>110178.0038625</v>
      </c>
      <c r="K1449" s="870">
        <f>K1447</f>
        <v>115612.72095445183</v>
      </c>
      <c r="L1449" s="871">
        <f>K1449/K$1450</f>
        <v>1</v>
      </c>
      <c r="M1449" s="897"/>
      <c r="O1449" s="736"/>
    </row>
    <row r="1450" spans="2:15" s="115" customFormat="1" x14ac:dyDescent="0.25">
      <c r="B1450" s="864" t="s">
        <v>2172</v>
      </c>
      <c r="C1450" s="864"/>
      <c r="D1450" s="864"/>
      <c r="E1450" s="864"/>
      <c r="F1450" s="864"/>
      <c r="G1450" s="864"/>
      <c r="H1450" s="864"/>
      <c r="I1450" s="864"/>
      <c r="J1450" s="863">
        <f>J1449</f>
        <v>110178.0038625</v>
      </c>
      <c r="K1450" s="863">
        <f>K1449</f>
        <v>115612.72095445183</v>
      </c>
      <c r="L1450" s="452">
        <f>K1450/K$1450</f>
        <v>1</v>
      </c>
      <c r="N1450" s="796"/>
      <c r="O1450" s="733"/>
    </row>
    <row r="1451" spans="2:15" x14ac:dyDescent="0.25">
      <c r="F1451" s="399"/>
      <c r="G1451" s="399"/>
      <c r="H1451" s="399"/>
    </row>
    <row r="1452" spans="2:15" s="115" customFormat="1" x14ac:dyDescent="0.25">
      <c r="B1452" s="977"/>
      <c r="C1452" s="977"/>
      <c r="D1452" s="977"/>
      <c r="E1452" s="977"/>
      <c r="F1452" s="977"/>
      <c r="G1452" s="977"/>
      <c r="H1452" s="977"/>
      <c r="I1452" s="977"/>
      <c r="J1452" s="944"/>
      <c r="K1452" s="901"/>
      <c r="L1452" s="902"/>
      <c r="M1452" s="894"/>
      <c r="O1452" s="733"/>
    </row>
    <row r="1453" spans="2:15" x14ac:dyDescent="0.25">
      <c r="F1453" s="399"/>
      <c r="G1453" s="399"/>
      <c r="H1453" s="399"/>
    </row>
    <row r="1454" spans="2:15" x14ac:dyDescent="0.25">
      <c r="F1454" s="399"/>
      <c r="G1454" s="399"/>
      <c r="H1454" s="399"/>
    </row>
    <row r="1455" spans="2:15" x14ac:dyDescent="0.25">
      <c r="F1455" s="399"/>
      <c r="G1455" s="399"/>
      <c r="H1455" s="399"/>
    </row>
    <row r="1456" spans="2:15" x14ac:dyDescent="0.25">
      <c r="F1456" s="399"/>
      <c r="G1456" s="399"/>
      <c r="H1456" s="399"/>
    </row>
    <row r="1457" spans="1:15" x14ac:dyDescent="0.25">
      <c r="F1457" s="399"/>
      <c r="G1457" s="399"/>
      <c r="H1457" s="399"/>
    </row>
    <row r="1458" spans="1:15" x14ac:dyDescent="0.25">
      <c r="F1458" s="399"/>
      <c r="G1458" s="399"/>
      <c r="H1458" s="399"/>
    </row>
    <row r="1459" spans="1:15" x14ac:dyDescent="0.25">
      <c r="F1459" s="399"/>
      <c r="G1459" s="399"/>
      <c r="H1459" s="399"/>
    </row>
    <row r="1460" spans="1:15" x14ac:dyDescent="0.25">
      <c r="F1460" s="399"/>
      <c r="G1460" s="399"/>
      <c r="H1460" s="399"/>
    </row>
    <row r="1461" spans="1:15" x14ac:dyDescent="0.25">
      <c r="F1461" s="399"/>
      <c r="G1461" s="399"/>
      <c r="H1461" s="399"/>
    </row>
    <row r="1463" spans="1:15" s="435" customFormat="1" ht="15.75" x14ac:dyDescent="0.25">
      <c r="B1463" s="999" t="s">
        <v>989</v>
      </c>
      <c r="C1463" s="999"/>
      <c r="D1463" s="481"/>
      <c r="E1463" s="1371" t="s">
        <v>7911</v>
      </c>
      <c r="F1463" s="1371"/>
      <c r="G1463" s="1371"/>
      <c r="H1463" s="1371"/>
      <c r="I1463" s="1371"/>
      <c r="J1463" s="940"/>
      <c r="K1463" s="438"/>
      <c r="L1463" s="449"/>
      <c r="M1463" s="892"/>
      <c r="O1463" s="732"/>
    </row>
    <row r="1464" spans="1:15" s="435" customFormat="1" ht="18.75" customHeight="1" x14ac:dyDescent="0.25">
      <c r="B1464" s="999" t="s">
        <v>458</v>
      </c>
      <c r="C1464" s="999"/>
      <c r="D1464" s="481"/>
      <c r="E1464" s="1371" t="s">
        <v>8270</v>
      </c>
      <c r="F1464" s="1371"/>
      <c r="G1464" s="1371"/>
      <c r="H1464" s="1371"/>
      <c r="I1464" s="1371"/>
      <c r="J1464" s="940"/>
      <c r="K1464" s="438"/>
      <c r="L1464" s="449"/>
      <c r="M1464" s="892"/>
      <c r="O1464" s="732"/>
    </row>
    <row r="1465" spans="1:15" s="435" customFormat="1" ht="15.75" x14ac:dyDescent="0.25">
      <c r="B1465" s="1005" t="s">
        <v>5764</v>
      </c>
      <c r="C1465" s="1005"/>
      <c r="D1465" s="1005"/>
      <c r="E1465" s="1371" t="s">
        <v>749</v>
      </c>
      <c r="F1465" s="1371"/>
      <c r="G1465" s="1371"/>
      <c r="H1465" s="1371"/>
      <c r="I1465" s="1371"/>
      <c r="J1465" s="941"/>
      <c r="K1465" s="438"/>
      <c r="L1465" s="449"/>
      <c r="M1465" s="892"/>
      <c r="O1465" s="732"/>
    </row>
    <row r="1466" spans="1:15" ht="88.5" x14ac:dyDescent="0.25">
      <c r="A1466" s="396"/>
      <c r="B1466" s="1400" t="s">
        <v>2296</v>
      </c>
      <c r="C1466" s="1400"/>
      <c r="D1466" s="1400"/>
      <c r="E1466" s="1384" t="s">
        <v>2297</v>
      </c>
      <c r="F1466" s="1384"/>
      <c r="G1466" s="443" t="s">
        <v>444</v>
      </c>
      <c r="H1466" s="443" t="s">
        <v>2245</v>
      </c>
      <c r="I1466" s="444" t="s">
        <v>5725</v>
      </c>
      <c r="J1466" s="893" t="s">
        <v>11644</v>
      </c>
      <c r="K1466" s="1000" t="s">
        <v>11522</v>
      </c>
      <c r="L1466" s="450" t="s">
        <v>235</v>
      </c>
    </row>
    <row r="1467" spans="1:15" s="115" customFormat="1" x14ac:dyDescent="0.25">
      <c r="A1467" s="396"/>
      <c r="B1467" s="1385" t="s">
        <v>5951</v>
      </c>
      <c r="C1467" s="1385"/>
      <c r="D1467" s="1385"/>
      <c r="E1467" s="1385"/>
      <c r="F1467" s="1385"/>
      <c r="G1467" s="401"/>
      <c r="H1467" s="401"/>
      <c r="I1467" s="426"/>
      <c r="J1467" s="402">
        <f t="shared" ref="J1467:K1469" si="177">J1468</f>
        <v>3179.8600000000006</v>
      </c>
      <c r="K1467" s="402">
        <f t="shared" si="177"/>
        <v>5538.7304702750007</v>
      </c>
      <c r="L1467" s="451">
        <f t="shared" ref="L1467:L1498" si="178">K1467/K$1659</f>
        <v>1.9300239408568641E-2</v>
      </c>
      <c r="M1467" s="894"/>
      <c r="O1467" s="733"/>
    </row>
    <row r="1468" spans="1:15" x14ac:dyDescent="0.25">
      <c r="A1468" s="396"/>
      <c r="B1468" s="1386" t="s">
        <v>5950</v>
      </c>
      <c r="C1468" s="1386"/>
      <c r="D1468" s="1386"/>
      <c r="E1468" s="1386"/>
      <c r="F1468" s="1386"/>
      <c r="G1468" s="403"/>
      <c r="H1468" s="403"/>
      <c r="I1468" s="427"/>
      <c r="J1468" s="404">
        <f t="shared" si="177"/>
        <v>3179.8600000000006</v>
      </c>
      <c r="K1468" s="404">
        <f t="shared" si="177"/>
        <v>5538.7304702750007</v>
      </c>
      <c r="L1468" s="452">
        <f t="shared" si="178"/>
        <v>1.9300239408568641E-2</v>
      </c>
    </row>
    <row r="1469" spans="1:15" x14ac:dyDescent="0.25">
      <c r="A1469" s="396"/>
      <c r="B1469" s="1382" t="s">
        <v>8309</v>
      </c>
      <c r="C1469" s="1382"/>
      <c r="D1469" s="1382"/>
      <c r="E1469" s="1382"/>
      <c r="F1469" s="1382"/>
      <c r="G1469" s="405"/>
      <c r="H1469" s="405"/>
      <c r="I1469" s="428"/>
      <c r="J1469" s="406">
        <f t="shared" si="177"/>
        <v>3179.8600000000006</v>
      </c>
      <c r="K1469" s="406">
        <f t="shared" si="177"/>
        <v>5538.7304702750007</v>
      </c>
      <c r="L1469" s="453">
        <f t="shared" si="178"/>
        <v>1.9300239408568641E-2</v>
      </c>
    </row>
    <row r="1470" spans="1:15" x14ac:dyDescent="0.25">
      <c r="A1470" s="396"/>
      <c r="B1470" s="1383" t="s">
        <v>2290</v>
      </c>
      <c r="C1470" s="1383"/>
      <c r="D1470" s="1383"/>
      <c r="E1470" s="1383"/>
      <c r="F1470" s="1383"/>
      <c r="G1470" s="407"/>
      <c r="H1470" s="407"/>
      <c r="I1470" s="429"/>
      <c r="J1470" s="408">
        <f>J1471+J1472+J1473+J1474+J1475+0.01</f>
        <v>3179.8600000000006</v>
      </c>
      <c r="K1470" s="408">
        <f>K1471+K1472+K1473+K1474+K1475+0.01</f>
        <v>5538.7304702750007</v>
      </c>
      <c r="L1470" s="454">
        <f t="shared" si="178"/>
        <v>1.9300239408568641E-2</v>
      </c>
    </row>
    <row r="1471" spans="1:15" ht="30" x14ac:dyDescent="0.25">
      <c r="A1471" s="396"/>
      <c r="B1471" s="1396">
        <v>436000</v>
      </c>
      <c r="C1471" s="1396"/>
      <c r="D1471" s="1396"/>
      <c r="E1471" s="417">
        <v>333904700000000</v>
      </c>
      <c r="F1471" s="1017" t="s">
        <v>8305</v>
      </c>
      <c r="G1471" s="468">
        <v>1</v>
      </c>
      <c r="H1471" s="468">
        <v>0</v>
      </c>
      <c r="I1471" s="751"/>
      <c r="J1471" s="789">
        <f>'Parâmetros financeiros Despesa'!E1152</f>
        <v>0</v>
      </c>
      <c r="K1471" s="789">
        <f>(('Parâmetros financeiros Despesa'!F1154)*(1+'Parâmetros financeiros Despesa'!F$4)*(1+'Parâmetros financeiros Despesa'!F$7))*('Parâmetros financeiros Despesa'!F$83)</f>
        <v>109.03315000000001</v>
      </c>
      <c r="L1471" s="799">
        <f t="shared" si="178"/>
        <v>3.7993650526307215E-4</v>
      </c>
      <c r="M1471" s="894"/>
      <c r="N1471" s="796"/>
    </row>
    <row r="1472" spans="1:15" s="115" customFormat="1" ht="30" x14ac:dyDescent="0.25">
      <c r="A1472" s="396"/>
      <c r="B1472" s="1396">
        <v>436100</v>
      </c>
      <c r="C1472" s="1396"/>
      <c r="D1472" s="1396"/>
      <c r="E1472" s="854">
        <v>344903000000000</v>
      </c>
      <c r="F1472" s="855" t="s">
        <v>8306</v>
      </c>
      <c r="G1472" s="468">
        <v>1</v>
      </c>
      <c r="H1472" s="468">
        <v>0</v>
      </c>
      <c r="I1472" s="751"/>
      <c r="J1472" s="789">
        <f>('Parâmetros financeiros Despesa'!E1153)</f>
        <v>0</v>
      </c>
      <c r="K1472" s="789">
        <f>('Parâmetros financeiros Despesa'!F1153)*(1+'Parâmetros financeiros Despesa'!F$4)*(1+'Parâmetros financeiros Despesa'!F$7)</f>
        <v>872.26520000000005</v>
      </c>
      <c r="L1472" s="799">
        <f t="shared" si="178"/>
        <v>3.0394920421045772E-3</v>
      </c>
      <c r="M1472" s="894"/>
      <c r="N1472" s="796"/>
      <c r="O1472" s="733"/>
    </row>
    <row r="1473" spans="1:15" s="457" customFormat="1" ht="30" x14ac:dyDescent="0.25">
      <c r="A1473" s="396"/>
      <c r="B1473" s="1398" t="s">
        <v>8310</v>
      </c>
      <c r="C1473" s="1398"/>
      <c r="D1473" s="1398"/>
      <c r="E1473" s="854">
        <v>344903600000000</v>
      </c>
      <c r="F1473" s="855" t="s">
        <v>8304</v>
      </c>
      <c r="G1473" s="468">
        <v>1</v>
      </c>
      <c r="H1473" s="468">
        <v>0</v>
      </c>
      <c r="I1473" s="751"/>
      <c r="J1473" s="789">
        <f>('Parâmetros financeiros Despesa'!E1154)</f>
        <v>0</v>
      </c>
      <c r="K1473" s="789">
        <f>('Parâmetros financeiros Despesa'!F1154*(1+'Parâmetros financeiros Despesa'!F$4)*(1+'Parâmetros financeiros Despesa'!F$7))</f>
        <v>545.16575</v>
      </c>
      <c r="L1473" s="799">
        <f t="shared" si="178"/>
        <v>1.8996825263153606E-3</v>
      </c>
      <c r="M1473" s="894"/>
      <c r="N1473" s="796"/>
      <c r="O1473" s="734"/>
    </row>
    <row r="1474" spans="1:15" s="457" customFormat="1" ht="30" x14ac:dyDescent="0.25">
      <c r="A1474" s="396"/>
      <c r="B1474" s="1398" t="s">
        <v>8311</v>
      </c>
      <c r="C1474" s="1398"/>
      <c r="D1474" s="1398"/>
      <c r="E1474" s="854">
        <v>344903900000000</v>
      </c>
      <c r="F1474" s="855" t="s">
        <v>8307</v>
      </c>
      <c r="G1474" s="468">
        <v>1</v>
      </c>
      <c r="H1474" s="468">
        <v>0</v>
      </c>
      <c r="I1474" s="751"/>
      <c r="J1474" s="789">
        <f>('Parâmetros financeiros Despesa'!E1155)</f>
        <v>0</v>
      </c>
      <c r="K1474" s="789">
        <f>('Parâmetros financeiros Despesa'!F1155)*(1+'Parâmetros financeiros Despesa'!F$4)*(1+'Parâmetros financeiros Despesa'!F$7)</f>
        <v>545.16575</v>
      </c>
      <c r="L1474" s="799">
        <f t="shared" si="178"/>
        <v>1.8996825263153606E-3</v>
      </c>
      <c r="M1474" s="894"/>
      <c r="N1474" s="796"/>
      <c r="O1474" s="734"/>
    </row>
    <row r="1475" spans="1:15" s="457" customFormat="1" ht="30" x14ac:dyDescent="0.25">
      <c r="A1475" s="396"/>
      <c r="B1475" s="1398" t="s">
        <v>8312</v>
      </c>
      <c r="C1475" s="1398"/>
      <c r="D1475" s="1398"/>
      <c r="E1475" s="854">
        <v>344905200000000</v>
      </c>
      <c r="F1475" s="855" t="s">
        <v>8308</v>
      </c>
      <c r="G1475" s="468">
        <v>1</v>
      </c>
      <c r="H1475" s="468">
        <v>0</v>
      </c>
      <c r="I1475" s="751"/>
      <c r="J1475" s="789">
        <f>('Parâmetros financeiros Despesa'!E1156)</f>
        <v>3179.8500000000004</v>
      </c>
      <c r="K1475" s="789">
        <f>('Parâmetros financeiros Despesa'!F1156)*(1+'Parâmetros financeiros Despesa'!F$4)*(1+'Parâmetros financeiros Despesa'!F$7)</f>
        <v>3467.0906202750007</v>
      </c>
      <c r="L1475" s="799">
        <f t="shared" si="178"/>
        <v>1.2081410962607802E-2</v>
      </c>
      <c r="M1475" s="894"/>
      <c r="N1475" s="796"/>
      <c r="O1475" s="734"/>
    </row>
    <row r="1476" spans="1:15" x14ac:dyDescent="0.25">
      <c r="A1476" s="397"/>
      <c r="B1476" s="1385" t="s">
        <v>5951</v>
      </c>
      <c r="C1476" s="1385"/>
      <c r="D1476" s="1385"/>
      <c r="E1476" s="1385"/>
      <c r="F1476" s="1385"/>
      <c r="G1476" s="401"/>
      <c r="H1476" s="401"/>
      <c r="I1476" s="426"/>
      <c r="J1476" s="402">
        <f t="shared" ref="J1476:K1478" si="179">J1477</f>
        <v>38797.398187500003</v>
      </c>
      <c r="K1476" s="402">
        <f t="shared" si="179"/>
        <v>45551.203448051587</v>
      </c>
      <c r="L1476" s="451">
        <f t="shared" si="178"/>
        <v>0.15872755257075413</v>
      </c>
    </row>
    <row r="1477" spans="1:15" x14ac:dyDescent="0.25">
      <c r="A1477" s="397"/>
      <c r="B1477" s="1386" t="s">
        <v>5965</v>
      </c>
      <c r="C1477" s="1386"/>
      <c r="D1477" s="1386"/>
      <c r="E1477" s="1386"/>
      <c r="F1477" s="1386"/>
      <c r="G1477" s="403"/>
      <c r="H1477" s="403"/>
      <c r="I1477" s="427"/>
      <c r="J1477" s="404">
        <f t="shared" si="179"/>
        <v>38797.398187500003</v>
      </c>
      <c r="K1477" s="404">
        <f t="shared" si="179"/>
        <v>45551.203448051587</v>
      </c>
      <c r="L1477" s="452">
        <f t="shared" si="178"/>
        <v>0.15872755257075413</v>
      </c>
    </row>
    <row r="1478" spans="1:15" x14ac:dyDescent="0.25">
      <c r="A1478" s="397"/>
      <c r="B1478" s="1382" t="s">
        <v>8309</v>
      </c>
      <c r="C1478" s="1382"/>
      <c r="D1478" s="1382"/>
      <c r="E1478" s="1382"/>
      <c r="F1478" s="1382"/>
      <c r="G1478" s="405"/>
      <c r="H1478" s="405"/>
      <c r="I1478" s="428"/>
      <c r="J1478" s="406">
        <f t="shared" si="179"/>
        <v>38797.398187500003</v>
      </c>
      <c r="K1478" s="406">
        <f t="shared" si="179"/>
        <v>45551.203448051587</v>
      </c>
      <c r="L1478" s="453">
        <f t="shared" si="178"/>
        <v>0.15872755257075413</v>
      </c>
    </row>
    <row r="1479" spans="1:15" x14ac:dyDescent="0.25">
      <c r="A1479" s="397"/>
      <c r="B1479" s="1383" t="s">
        <v>2290</v>
      </c>
      <c r="C1479" s="1383"/>
      <c r="D1479" s="1383"/>
      <c r="E1479" s="1383"/>
      <c r="F1479" s="1383"/>
      <c r="G1479" s="407"/>
      <c r="H1479" s="407"/>
      <c r="I1479" s="429"/>
      <c r="J1479" s="408">
        <f>SUM(J1480:J1494)</f>
        <v>38797.398187500003</v>
      </c>
      <c r="K1479" s="408">
        <f>SUM(K1480:K1494)+0.04</f>
        <v>45551.203448051587</v>
      </c>
      <c r="L1479" s="454">
        <f t="shared" si="178"/>
        <v>0.15872755257075413</v>
      </c>
    </row>
    <row r="1480" spans="1:15" s="115" customFormat="1" x14ac:dyDescent="0.25">
      <c r="A1480" s="396"/>
      <c r="B1480" s="1398" t="s">
        <v>8313</v>
      </c>
      <c r="C1480" s="1398"/>
      <c r="D1480" s="1398"/>
      <c r="E1480" s="854">
        <v>331900400000000</v>
      </c>
      <c r="F1480" s="855" t="s">
        <v>8303</v>
      </c>
      <c r="G1480" s="468">
        <v>1</v>
      </c>
      <c r="H1480" s="468">
        <v>0</v>
      </c>
      <c r="I1480" s="751"/>
      <c r="J1480" s="789">
        <f>(('Parâmetros financeiros Despesa'!E$1158))</f>
        <v>0</v>
      </c>
      <c r="K1480" s="789">
        <f>(('Parâmetros financeiros Despesa'!F$1158)*2.05+(('Parâmetros financeiros Despesa'!F$1158)*11.28)*(1+'Parâmetros financeiros Despesa'!F$4)*(1+'Parâmetros financeiros Despesa'!F$8))*(1+'Parâmetros financeiros Despesa'!F$80)</f>
        <v>17.278630081629636</v>
      </c>
      <c r="L1480" s="799">
        <f t="shared" si="178"/>
        <v>6.0209049531704394E-5</v>
      </c>
      <c r="M1480" s="894"/>
      <c r="O1480" s="733"/>
    </row>
    <row r="1481" spans="1:15" s="115" customFormat="1" x14ac:dyDescent="0.25">
      <c r="A1481" s="396"/>
      <c r="B1481" s="1398" t="s">
        <v>8314</v>
      </c>
      <c r="C1481" s="1398"/>
      <c r="D1481" s="1398"/>
      <c r="E1481" s="854">
        <v>331901100000000</v>
      </c>
      <c r="F1481" s="855" t="s">
        <v>8325</v>
      </c>
      <c r="G1481" s="468">
        <v>1</v>
      </c>
      <c r="H1481" s="468">
        <v>0</v>
      </c>
      <c r="I1481" s="751"/>
      <c r="J1481" s="789">
        <f>('Parâmetros financeiros Despesa'!E$1159)</f>
        <v>24943.3626</v>
      </c>
      <c r="K1481" s="789">
        <f>('Parâmetros financeiros Despesa'!F$1159)*2.05+(('Parâmetros financeiros Despesa'!F$1159)*11.28)*(1+'Parâmetros financeiros Despesa'!F$4)*(1+'Parâmetros financeiros Despesa'!F$8)</f>
        <v>26114.429260901841</v>
      </c>
      <c r="L1481" s="799">
        <f t="shared" si="178"/>
        <v>9.0998242188974246E-2</v>
      </c>
      <c r="M1481" s="894"/>
      <c r="O1481" s="733"/>
    </row>
    <row r="1482" spans="1:15" s="115" customFormat="1" x14ac:dyDescent="0.25">
      <c r="A1482" s="396"/>
      <c r="B1482" s="1398" t="s">
        <v>8315</v>
      </c>
      <c r="C1482" s="1398"/>
      <c r="D1482" s="1398"/>
      <c r="E1482" s="854">
        <v>331901300000000</v>
      </c>
      <c r="F1482" s="855" t="s">
        <v>8326</v>
      </c>
      <c r="G1482" s="468">
        <v>1</v>
      </c>
      <c r="H1482" s="468">
        <v>0</v>
      </c>
      <c r="I1482" s="751"/>
      <c r="J1482" s="789">
        <f>'Parâmetros financeiros Despesa'!E1160</f>
        <v>4576.5055874999998</v>
      </c>
      <c r="K1482" s="789">
        <f>(K1483+K1481)*'Parâmetros financeiros Despesa'!F$80</f>
        <v>6221.0117199665683</v>
      </c>
      <c r="L1482" s="799">
        <f t="shared" si="178"/>
        <v>2.1677714090482678E-2</v>
      </c>
      <c r="M1482" s="894"/>
      <c r="O1482" s="733"/>
    </row>
    <row r="1483" spans="1:15" s="115" customFormat="1" x14ac:dyDescent="0.25">
      <c r="A1483" s="396"/>
      <c r="B1483" s="1398" t="s">
        <v>8316</v>
      </c>
      <c r="C1483" s="1398"/>
      <c r="D1483" s="1398"/>
      <c r="E1483" s="854">
        <v>331901600000000</v>
      </c>
      <c r="F1483" s="855" t="s">
        <v>8327</v>
      </c>
      <c r="G1483" s="468">
        <v>1</v>
      </c>
      <c r="H1483" s="468">
        <v>0</v>
      </c>
      <c r="I1483" s="751"/>
      <c r="J1483" s="789">
        <f>('Parâmetros financeiros Despesa'!E$1161)</f>
        <v>0</v>
      </c>
      <c r="K1483" s="789">
        <f>('Parâmetros financeiros Despesa'!F$1161)*2.05+(('Parâmetros financeiros Despesa'!F$1161)*11.28)*(1+'Parâmetros financeiros Despesa'!F$4)*(1+'Parâmetros financeiros Despesa'!F$8)</f>
        <v>13.955830560223728</v>
      </c>
      <c r="L1483" s="799">
        <f t="shared" si="178"/>
        <v>4.8630434790657566E-5</v>
      </c>
      <c r="M1483" s="894"/>
      <c r="O1483" s="733"/>
    </row>
    <row r="1484" spans="1:15" s="115" customFormat="1" x14ac:dyDescent="0.25">
      <c r="A1484" s="396"/>
      <c r="B1484" s="1398" t="s">
        <v>8317</v>
      </c>
      <c r="C1484" s="1398"/>
      <c r="D1484" s="1398"/>
      <c r="E1484" s="854">
        <v>333901400000000</v>
      </c>
      <c r="F1484" s="855" t="s">
        <v>8329</v>
      </c>
      <c r="G1484" s="468">
        <v>1</v>
      </c>
      <c r="H1484" s="468">
        <v>0</v>
      </c>
      <c r="I1484" s="751"/>
      <c r="J1484" s="789">
        <f>('Parâmetros financeiros Despesa'!E$1162)</f>
        <v>358.5</v>
      </c>
      <c r="K1484" s="789">
        <f>('Parâmetros financeiros Despesa'!F$1162)*2+(('Parâmetros financeiros Despesa'!F$1162)*10)*(1+'Parâmetros financeiros Despesa'!F$4)*(1+'Parâmetros financeiros Despesa'!F$8)</f>
        <v>375.07507800237931</v>
      </c>
      <c r="L1484" s="799">
        <f t="shared" si="178"/>
        <v>1.3069852090625482E-3</v>
      </c>
      <c r="M1484" s="894"/>
      <c r="N1484" s="796"/>
      <c r="O1484" s="733"/>
    </row>
    <row r="1485" spans="1:15" s="115" customFormat="1" x14ac:dyDescent="0.25">
      <c r="A1485" s="396"/>
      <c r="B1485" s="1396">
        <v>438500</v>
      </c>
      <c r="C1485" s="1396"/>
      <c r="D1485" s="1396"/>
      <c r="E1485" s="854">
        <v>333903000000000</v>
      </c>
      <c r="F1485" s="855" t="s">
        <v>8330</v>
      </c>
      <c r="G1485" s="468">
        <v>1</v>
      </c>
      <c r="H1485" s="468">
        <v>0</v>
      </c>
      <c r="I1485" s="751"/>
      <c r="J1485" s="789">
        <f>('Parâmetros financeiros Despesa'!E1163)</f>
        <v>5777.1749999999993</v>
      </c>
      <c r="K1485" s="789">
        <f>('Parâmetros financeiros Despesa'!F1163)*(1+'Parâmetros financeiros Despesa'!F$4)*(1+'Parâmetros financeiros Despesa'!F$7)</f>
        <v>6299.0358835124998</v>
      </c>
      <c r="L1485" s="799">
        <f t="shared" si="178"/>
        <v>2.1949596797931886E-2</v>
      </c>
      <c r="M1485" s="894"/>
      <c r="N1485" s="796"/>
      <c r="O1485" s="733"/>
    </row>
    <row r="1486" spans="1:15" s="115" customFormat="1" x14ac:dyDescent="0.25">
      <c r="A1486" s="396"/>
      <c r="B1486" s="1396">
        <v>438600</v>
      </c>
      <c r="C1486" s="1396"/>
      <c r="D1486" s="1396"/>
      <c r="E1486" s="854">
        <v>333903200000000</v>
      </c>
      <c r="F1486" s="855" t="s">
        <v>8331</v>
      </c>
      <c r="G1486" s="468">
        <v>1</v>
      </c>
      <c r="H1486" s="468">
        <v>0</v>
      </c>
      <c r="I1486" s="751"/>
      <c r="J1486" s="789">
        <f>('Parâmetros financeiros Despesa'!E1164)</f>
        <v>0</v>
      </c>
      <c r="K1486" s="789">
        <f>('Parâmetros financeiros Despesa'!F1164)*(1+'Parâmetros financeiros Despesa'!F$4)*(1+'Parâmetros financeiros Despesa'!F$7)</f>
        <v>545.16575</v>
      </c>
      <c r="L1486" s="799">
        <f t="shared" si="178"/>
        <v>1.8996825263153606E-3</v>
      </c>
      <c r="M1486" s="894"/>
      <c r="N1486" s="796"/>
      <c r="O1486" s="733"/>
    </row>
    <row r="1487" spans="1:15" s="115" customFormat="1" x14ac:dyDescent="0.25">
      <c r="A1487" s="396"/>
      <c r="B1487" s="1396">
        <v>438700</v>
      </c>
      <c r="C1487" s="1396"/>
      <c r="D1487" s="1396"/>
      <c r="E1487" s="854">
        <v>333903300000000</v>
      </c>
      <c r="F1487" s="855" t="s">
        <v>8332</v>
      </c>
      <c r="G1487" s="468">
        <v>1</v>
      </c>
      <c r="H1487" s="468">
        <v>0</v>
      </c>
      <c r="I1487" s="751"/>
      <c r="J1487" s="789">
        <f>('Parâmetros financeiros Despesa'!E1165)</f>
        <v>0</v>
      </c>
      <c r="K1487" s="789">
        <f>('Parâmetros financeiros Despesa'!F1165)*(1+'Parâmetros financeiros Despesa'!F$4)*(1+'Parâmetros financeiros Despesa'!F$7)</f>
        <v>545.16575</v>
      </c>
      <c r="L1487" s="799">
        <f t="shared" si="178"/>
        <v>1.8996825263153606E-3</v>
      </c>
      <c r="M1487" s="894"/>
      <c r="N1487" s="796"/>
      <c r="O1487" s="733"/>
    </row>
    <row r="1488" spans="1:15" s="115" customFormat="1" x14ac:dyDescent="0.25">
      <c r="A1488" s="396"/>
      <c r="B1488" s="1398" t="s">
        <v>8318</v>
      </c>
      <c r="C1488" s="1398"/>
      <c r="D1488" s="1398"/>
      <c r="E1488" s="854">
        <v>333903500000000</v>
      </c>
      <c r="F1488" s="855" t="s">
        <v>8333</v>
      </c>
      <c r="G1488" s="468">
        <v>1</v>
      </c>
      <c r="H1488" s="468">
        <v>0</v>
      </c>
      <c r="I1488" s="751"/>
      <c r="J1488" s="789">
        <f>('Parâmetros financeiros Despesa'!E1166)</f>
        <v>0</v>
      </c>
      <c r="K1488" s="789">
        <f>('Parâmetros financeiros Despesa'!F1166)*(1+'Parâmetros financeiros Despesa'!F$4)*(1+'Parâmetros financeiros Despesa'!F$7)</f>
        <v>545.16575</v>
      </c>
      <c r="L1488" s="799">
        <f t="shared" si="178"/>
        <v>1.8996825263153606E-3</v>
      </c>
      <c r="M1488" s="894"/>
      <c r="N1488" s="796"/>
      <c r="O1488" s="733"/>
    </row>
    <row r="1489" spans="1:15" s="115" customFormat="1" x14ac:dyDescent="0.25">
      <c r="A1489" s="396"/>
      <c r="B1489" s="1398" t="s">
        <v>8319</v>
      </c>
      <c r="C1489" s="1398"/>
      <c r="D1489" s="1398"/>
      <c r="E1489" s="854">
        <v>333903600000000</v>
      </c>
      <c r="F1489" s="855" t="s">
        <v>8334</v>
      </c>
      <c r="G1489" s="468">
        <v>1</v>
      </c>
      <c r="H1489" s="468">
        <v>0</v>
      </c>
      <c r="I1489" s="751"/>
      <c r="J1489" s="789">
        <f>('Parâmetros financeiros Despesa'!E1167)</f>
        <v>0</v>
      </c>
      <c r="K1489" s="789">
        <f>('Parâmetros financeiros Despesa'!F1167)*(1+'Parâmetros financeiros Despesa'!F$4)*(1+'Parâmetros financeiros Despesa'!F$7)</f>
        <v>545.16575</v>
      </c>
      <c r="L1489" s="799">
        <f t="shared" si="178"/>
        <v>1.8996825263153606E-3</v>
      </c>
      <c r="M1489" s="894"/>
      <c r="N1489" s="796"/>
      <c r="O1489" s="733"/>
    </row>
    <row r="1490" spans="1:15" s="115" customFormat="1" x14ac:dyDescent="0.25">
      <c r="A1490" s="396"/>
      <c r="B1490" s="1398" t="s">
        <v>8320</v>
      </c>
      <c r="C1490" s="1398"/>
      <c r="D1490" s="1398"/>
      <c r="E1490" s="854">
        <v>333903900000000</v>
      </c>
      <c r="F1490" s="855" t="s">
        <v>8335</v>
      </c>
      <c r="G1490" s="468">
        <v>1</v>
      </c>
      <c r="H1490" s="468">
        <v>0</v>
      </c>
      <c r="I1490" s="751"/>
      <c r="J1490" s="789">
        <f>('Parâmetros financeiros Despesa'!E1168)</f>
        <v>2737.8</v>
      </c>
      <c r="K1490" s="789">
        <f>('Parâmetros financeiros Despesa'!F1168)*(1+'Parâmetros financeiros Despesa'!F$4)*(1+'Parâmetros financeiros Despesa'!F$7)</f>
        <v>2985.1095807000002</v>
      </c>
      <c r="L1490" s="799">
        <f t="shared" si="178"/>
        <v>1.0401901641092389E-2</v>
      </c>
      <c r="M1490" s="894"/>
      <c r="N1490" s="796"/>
      <c r="O1490" s="733"/>
    </row>
    <row r="1491" spans="1:15" s="115" customFormat="1" x14ac:dyDescent="0.25">
      <c r="A1491" s="396"/>
      <c r="B1491" s="1398" t="s">
        <v>8321</v>
      </c>
      <c r="C1491" s="1398"/>
      <c r="D1491" s="1398"/>
      <c r="E1491" s="854">
        <v>333904700000000</v>
      </c>
      <c r="F1491" s="855" t="s">
        <v>8336</v>
      </c>
      <c r="G1491" s="468">
        <v>1</v>
      </c>
      <c r="H1491" s="468">
        <v>0</v>
      </c>
      <c r="I1491" s="751"/>
      <c r="J1491" s="789">
        <f>'Parâmetros financeiros Despesa'!E1169</f>
        <v>0</v>
      </c>
      <c r="K1491" s="789">
        <f>(('Parâmetros financeiros Despesa'!F1167)*(1+'Parâmetros financeiros Despesa'!F$4)*(1+'Parâmetros financeiros Despesa'!F$7))*('Parâmetros financeiros Despesa'!F$83)</f>
        <v>109.03315000000001</v>
      </c>
      <c r="L1491" s="799">
        <f t="shared" si="178"/>
        <v>3.7993650526307215E-4</v>
      </c>
      <c r="M1491" s="894"/>
      <c r="N1491" s="796"/>
      <c r="O1491" s="733"/>
    </row>
    <row r="1492" spans="1:15" s="115" customFormat="1" x14ac:dyDescent="0.25">
      <c r="A1492" s="396"/>
      <c r="B1492" s="1398" t="s">
        <v>8322</v>
      </c>
      <c r="C1492" s="1398"/>
      <c r="D1492" s="1398"/>
      <c r="E1492" s="854">
        <v>333904900000000</v>
      </c>
      <c r="F1492" s="855" t="s">
        <v>8328</v>
      </c>
      <c r="G1492" s="468">
        <v>1</v>
      </c>
      <c r="H1492" s="468">
        <v>0</v>
      </c>
      <c r="I1492" s="751"/>
      <c r="J1492" s="789">
        <f>('Parâmetros financeiros Despesa'!E$1145)</f>
        <v>404.05500000000001</v>
      </c>
      <c r="K1492" s="789">
        <f>('Parâmetros financeiros Despesa'!F$1145)*2+(('Parâmetros financeiros Despesa'!F$1170)*10)*(1+'Parâmetros financeiros Despesa'!F$4)*(1+'Parâmetros financeiros Despesa'!F$8)</f>
        <v>145.23981432643947</v>
      </c>
      <c r="L1492" s="799">
        <f t="shared" si="178"/>
        <v>5.0610211188289881E-4</v>
      </c>
      <c r="M1492" s="894"/>
      <c r="N1492" s="796"/>
      <c r="O1492" s="733"/>
    </row>
    <row r="1493" spans="1:15" s="115" customFormat="1" x14ac:dyDescent="0.25">
      <c r="A1493" s="396"/>
      <c r="B1493" s="1398" t="s">
        <v>8323</v>
      </c>
      <c r="C1493" s="1398"/>
      <c r="D1493" s="1398"/>
      <c r="E1493" s="854">
        <v>333909300000000</v>
      </c>
      <c r="F1493" s="855" t="s">
        <v>8337</v>
      </c>
      <c r="G1493" s="468">
        <v>1</v>
      </c>
      <c r="H1493" s="468">
        <v>0</v>
      </c>
      <c r="I1493" s="751"/>
      <c r="J1493" s="789">
        <f>('Parâmetros financeiros Despesa'!E1171)</f>
        <v>0</v>
      </c>
      <c r="K1493" s="789">
        <f>('Parâmetros financeiros Despesa'!F1171)*(1+'Parâmetros financeiros Despesa'!F$4)*(1+'Parâmetros financeiros Despesa'!F$7)</f>
        <v>545.16575</v>
      </c>
      <c r="L1493" s="799">
        <f t="shared" si="178"/>
        <v>1.8996825263153606E-3</v>
      </c>
      <c r="M1493" s="894"/>
      <c r="N1493" s="796"/>
      <c r="O1493" s="733"/>
    </row>
    <row r="1494" spans="1:15" s="115" customFormat="1" x14ac:dyDescent="0.25">
      <c r="A1494" s="396"/>
      <c r="B1494" s="1398" t="s">
        <v>8324</v>
      </c>
      <c r="C1494" s="1398"/>
      <c r="D1494" s="1398"/>
      <c r="E1494" s="854">
        <v>333933000000000</v>
      </c>
      <c r="F1494" s="855" t="s">
        <v>10708</v>
      </c>
      <c r="G1494" s="468">
        <v>1</v>
      </c>
      <c r="H1494" s="468">
        <v>0</v>
      </c>
      <c r="I1494" s="751"/>
      <c r="J1494" s="789">
        <f>('Parâmetros financeiros Despesa'!E1172)</f>
        <v>0</v>
      </c>
      <c r="K1494" s="789">
        <f>('Parâmetros financeiros Despesa'!F1172)*(1+'Parâmetros financeiros Despesa'!F$4)*(1+'Parâmetros financeiros Despesa'!F$7)</f>
        <v>545.16575</v>
      </c>
      <c r="L1494" s="799">
        <f t="shared" si="178"/>
        <v>1.8996825263153606E-3</v>
      </c>
      <c r="M1494" s="894"/>
      <c r="N1494" s="796"/>
      <c r="O1494" s="733"/>
    </row>
    <row r="1495" spans="1:15" x14ac:dyDescent="0.25">
      <c r="A1495" s="397"/>
      <c r="B1495" s="1385" t="s">
        <v>8354</v>
      </c>
      <c r="C1495" s="1385"/>
      <c r="D1495" s="1385"/>
      <c r="E1495" s="1385"/>
      <c r="F1495" s="1385"/>
      <c r="G1495" s="401"/>
      <c r="H1495" s="401"/>
      <c r="I1495" s="426"/>
      <c r="J1495" s="402">
        <f t="shared" ref="J1495:K1497" si="180">J1496</f>
        <v>18798.57</v>
      </c>
      <c r="K1495" s="402">
        <f t="shared" si="180"/>
        <v>24967.042175955001</v>
      </c>
      <c r="L1495" s="451">
        <f t="shared" si="178"/>
        <v>8.7000061459180725E-2</v>
      </c>
    </row>
    <row r="1496" spans="1:15" x14ac:dyDescent="0.25">
      <c r="A1496" s="397"/>
      <c r="B1496" s="1386" t="s">
        <v>8338</v>
      </c>
      <c r="C1496" s="1386"/>
      <c r="D1496" s="1386"/>
      <c r="E1496" s="1386"/>
      <c r="F1496" s="1386"/>
      <c r="G1496" s="403"/>
      <c r="H1496" s="403"/>
      <c r="I1496" s="427"/>
      <c r="J1496" s="404">
        <f t="shared" si="180"/>
        <v>18798.57</v>
      </c>
      <c r="K1496" s="404">
        <f t="shared" si="180"/>
        <v>24967.042175955001</v>
      </c>
      <c r="L1496" s="452">
        <f t="shared" si="178"/>
        <v>8.7000061459180725E-2</v>
      </c>
    </row>
    <row r="1497" spans="1:15" x14ac:dyDescent="0.25">
      <c r="A1497" s="397"/>
      <c r="B1497" s="1382" t="s">
        <v>8309</v>
      </c>
      <c r="C1497" s="1382"/>
      <c r="D1497" s="1382"/>
      <c r="E1497" s="1382"/>
      <c r="F1497" s="1382"/>
      <c r="G1497" s="405"/>
      <c r="H1497" s="405"/>
      <c r="I1497" s="428"/>
      <c r="J1497" s="406">
        <f t="shared" si="180"/>
        <v>18798.57</v>
      </c>
      <c r="K1497" s="406">
        <f t="shared" si="180"/>
        <v>24967.042175955001</v>
      </c>
      <c r="L1497" s="453">
        <f t="shared" si="178"/>
        <v>8.7000061459180725E-2</v>
      </c>
    </row>
    <row r="1498" spans="1:15" x14ac:dyDescent="0.25">
      <c r="A1498" s="397"/>
      <c r="B1498" s="1383" t="s">
        <v>8355</v>
      </c>
      <c r="C1498" s="1383"/>
      <c r="D1498" s="1383"/>
      <c r="E1498" s="1383"/>
      <c r="F1498" s="1383"/>
      <c r="G1498" s="407"/>
      <c r="H1498" s="407"/>
      <c r="I1498" s="429"/>
      <c r="J1498" s="408">
        <f>SUM(J1499:J1506)</f>
        <v>18798.57</v>
      </c>
      <c r="K1498" s="408">
        <f>SUM(K1499:K1506)+0.01</f>
        <v>24967.042175955001</v>
      </c>
      <c r="L1498" s="454">
        <f t="shared" si="178"/>
        <v>8.7000061459180725E-2</v>
      </c>
    </row>
    <row r="1499" spans="1:15" s="115" customFormat="1" x14ac:dyDescent="0.25">
      <c r="A1499" s="396"/>
      <c r="B1499" s="1396">
        <v>439500</v>
      </c>
      <c r="C1499" s="1396"/>
      <c r="D1499" s="1396"/>
      <c r="E1499" s="854">
        <v>333903000000000</v>
      </c>
      <c r="F1499" s="855" t="s">
        <v>8360</v>
      </c>
      <c r="G1499" s="468">
        <v>1</v>
      </c>
      <c r="H1499" s="468">
        <v>0</v>
      </c>
      <c r="I1499" s="751"/>
      <c r="J1499" s="789">
        <f>('Parâmetros financeiros Despesa'!E1174)</f>
        <v>11604.57</v>
      </c>
      <c r="K1499" s="789">
        <f>('Parâmetros financeiros Despesa'!F1174)*(1+'Parâmetros financeiros Despesa'!F$4)*(1+'Parâmetros financeiros Despesa'!F$7)</f>
        <v>12652.828214955001</v>
      </c>
      <c r="L1499" s="799">
        <f t="shared" ref="L1499:L1530" si="181">K1499/K$1659</f>
        <v>4.4089997708806894E-2</v>
      </c>
      <c r="M1499" s="894"/>
      <c r="N1499" s="796"/>
      <c r="O1499" s="733"/>
    </row>
    <row r="1500" spans="1:15" s="115" customFormat="1" x14ac:dyDescent="0.25">
      <c r="A1500" s="396"/>
      <c r="B1500" s="1396">
        <v>439600</v>
      </c>
      <c r="C1500" s="1396"/>
      <c r="D1500" s="1396"/>
      <c r="E1500" s="854">
        <v>333903200000000</v>
      </c>
      <c r="F1500" s="855" t="s">
        <v>8361</v>
      </c>
      <c r="G1500" s="468">
        <v>1</v>
      </c>
      <c r="H1500" s="468">
        <v>0</v>
      </c>
      <c r="I1500" s="751"/>
      <c r="J1500" s="789">
        <f>('Parâmetros financeiros Despesa'!E1175)</f>
        <v>0</v>
      </c>
      <c r="K1500" s="789">
        <f>('Parâmetros financeiros Despesa'!F1175)*(1+'Parâmetros financeiros Despesa'!F$4)*(1+'Parâmetros financeiros Despesa'!F$7)</f>
        <v>545.16575</v>
      </c>
      <c r="L1500" s="799">
        <f t="shared" si="181"/>
        <v>1.8996825263153606E-3</v>
      </c>
      <c r="M1500" s="894"/>
      <c r="N1500" s="796"/>
      <c r="O1500" s="733"/>
    </row>
    <row r="1501" spans="1:15" s="115" customFormat="1" x14ac:dyDescent="0.25">
      <c r="A1501" s="396"/>
      <c r="B1501" s="1398" t="s">
        <v>8367</v>
      </c>
      <c r="C1501" s="1398"/>
      <c r="D1501" s="1398"/>
      <c r="E1501" s="854">
        <v>333903600000000</v>
      </c>
      <c r="F1501" s="855" t="s">
        <v>8362</v>
      </c>
      <c r="G1501" s="468">
        <v>1</v>
      </c>
      <c r="H1501" s="468">
        <v>0</v>
      </c>
      <c r="I1501" s="751"/>
      <c r="J1501" s="789">
        <f>('Parâmetros financeiros Despesa'!E1176)</f>
        <v>0</v>
      </c>
      <c r="K1501" s="789">
        <f>('Parâmetros financeiros Despesa'!F1176)*(1+'Parâmetros financeiros Despesa'!F$4)*(1+'Parâmetros financeiros Despesa'!F$7)</f>
        <v>545.16575</v>
      </c>
      <c r="L1501" s="799">
        <f t="shared" si="181"/>
        <v>1.8996825263153606E-3</v>
      </c>
      <c r="M1501" s="894"/>
      <c r="N1501" s="796"/>
      <c r="O1501" s="733"/>
    </row>
    <row r="1502" spans="1:15" s="115" customFormat="1" x14ac:dyDescent="0.25">
      <c r="A1502" s="396"/>
      <c r="B1502" s="1398" t="s">
        <v>8356</v>
      </c>
      <c r="C1502" s="1398"/>
      <c r="D1502" s="1398"/>
      <c r="E1502" s="854">
        <v>333903900000000</v>
      </c>
      <c r="F1502" s="855" t="s">
        <v>8363</v>
      </c>
      <c r="G1502" s="468">
        <v>1</v>
      </c>
      <c r="H1502" s="468">
        <v>0</v>
      </c>
      <c r="I1502" s="751"/>
      <c r="J1502" s="789">
        <f>('Parâmetros financeiros Despesa'!E1177)</f>
        <v>7194</v>
      </c>
      <c r="K1502" s="789">
        <f>('Parâmetros financeiros Despesa'!F1177)*(1+'Parâmetros financeiros Despesa'!F$4)*(1+'Parâmetros financeiros Despesa'!F$7)</f>
        <v>7843.8448109999999</v>
      </c>
      <c r="L1502" s="799">
        <f t="shared" si="181"/>
        <v>2.7332632188625409E-2</v>
      </c>
      <c r="M1502" s="894"/>
      <c r="N1502" s="796"/>
      <c r="O1502" s="733"/>
    </row>
    <row r="1503" spans="1:15" s="115" customFormat="1" x14ac:dyDescent="0.25">
      <c r="A1503" s="396"/>
      <c r="B1503" s="1398" t="s">
        <v>8357</v>
      </c>
      <c r="C1503" s="1398"/>
      <c r="D1503" s="1398"/>
      <c r="E1503" s="854">
        <v>333904700000000</v>
      </c>
      <c r="F1503" s="855" t="s">
        <v>8364</v>
      </c>
      <c r="G1503" s="468">
        <v>1</v>
      </c>
      <c r="H1503" s="468">
        <v>0</v>
      </c>
      <c r="I1503" s="751"/>
      <c r="J1503" s="789">
        <f>'Parâmetros financeiros Despesa'!E1178</f>
        <v>0</v>
      </c>
      <c r="K1503" s="789">
        <f>(('Parâmetros financeiros Despesa'!F1176)*(1+'Parâmetros financeiros Despesa'!F$4)*(1+'Parâmetros financeiros Despesa'!F$7))*('Parâmetros financeiros Despesa'!F$83)</f>
        <v>109.03315000000001</v>
      </c>
      <c r="L1503" s="799">
        <f t="shared" si="181"/>
        <v>3.7993650526307215E-4</v>
      </c>
      <c r="M1503" s="894"/>
      <c r="N1503" s="796"/>
      <c r="O1503" s="733"/>
    </row>
    <row r="1504" spans="1:15" s="115" customFormat="1" x14ac:dyDescent="0.25">
      <c r="A1504" s="396"/>
      <c r="B1504" s="1398" t="s">
        <v>8358</v>
      </c>
      <c r="C1504" s="1398"/>
      <c r="D1504" s="1398"/>
      <c r="E1504" s="854">
        <v>333933000000000</v>
      </c>
      <c r="F1504" s="855" t="s">
        <v>8365</v>
      </c>
      <c r="G1504" s="468">
        <v>1</v>
      </c>
      <c r="H1504" s="468">
        <v>0</v>
      </c>
      <c r="I1504" s="751"/>
      <c r="J1504" s="789">
        <f>('Parâmetros financeiros Despesa'!E1179)</f>
        <v>0</v>
      </c>
      <c r="K1504" s="789">
        <f>('Parâmetros financeiros Despesa'!F1179)*(1+'Parâmetros financeiros Despesa'!F$4)*(1+'Parâmetros financeiros Despesa'!F$7)</f>
        <v>545.16575</v>
      </c>
      <c r="L1504" s="799">
        <f t="shared" si="181"/>
        <v>1.8996825263153606E-3</v>
      </c>
      <c r="M1504" s="894"/>
      <c r="N1504" s="796"/>
      <c r="O1504" s="733"/>
    </row>
    <row r="1505" spans="1:15" s="115" customFormat="1" x14ac:dyDescent="0.25">
      <c r="A1505" s="396"/>
      <c r="B1505" s="1398" t="s">
        <v>8359</v>
      </c>
      <c r="C1505" s="1398"/>
      <c r="D1505" s="1398"/>
      <c r="E1505" s="854">
        <v>344905100000000</v>
      </c>
      <c r="F1505" s="855" t="s">
        <v>8381</v>
      </c>
      <c r="G1505" s="468">
        <v>1</v>
      </c>
      <c r="H1505" s="468">
        <v>0</v>
      </c>
      <c r="I1505" s="751"/>
      <c r="J1505" s="789">
        <f>('Parâmetros financeiros Despesa'!E1180)</f>
        <v>0</v>
      </c>
      <c r="K1505" s="789">
        <f>('Parâmetros financeiros Despesa'!F1180)*(1+'Parâmetros financeiros Despesa'!F$4)*(1+'Parâmetros financeiros Despesa'!F$7)</f>
        <v>545.16575</v>
      </c>
      <c r="L1505" s="799">
        <f t="shared" si="181"/>
        <v>1.8996825263153606E-3</v>
      </c>
      <c r="M1505" s="894"/>
      <c r="N1505" s="796"/>
      <c r="O1505" s="733"/>
    </row>
    <row r="1506" spans="1:15" s="115" customFormat="1" x14ac:dyDescent="0.25">
      <c r="A1506" s="396"/>
      <c r="B1506" s="1398" t="s">
        <v>8380</v>
      </c>
      <c r="C1506" s="1398"/>
      <c r="D1506" s="1398"/>
      <c r="E1506" s="854">
        <v>344905200000000</v>
      </c>
      <c r="F1506" s="855" t="s">
        <v>8366</v>
      </c>
      <c r="G1506" s="468">
        <v>1</v>
      </c>
      <c r="H1506" s="468">
        <v>0</v>
      </c>
      <c r="I1506" s="751"/>
      <c r="J1506" s="789">
        <f>('Parâmetros financeiros Despesa'!E1181)</f>
        <v>0</v>
      </c>
      <c r="K1506" s="789">
        <f>('Parâmetros financeiros Despesa'!F1181)*(1+'Parâmetros financeiros Despesa'!F$4)*(1+'Parâmetros financeiros Despesa'!F$7)</f>
        <v>2180.663</v>
      </c>
      <c r="L1506" s="799">
        <f t="shared" si="181"/>
        <v>7.5987301052614425E-3</v>
      </c>
      <c r="M1506" s="894"/>
      <c r="N1506" s="796"/>
      <c r="O1506" s="733"/>
    </row>
    <row r="1507" spans="1:15" x14ac:dyDescent="0.25">
      <c r="A1507" s="397"/>
      <c r="B1507" s="1385" t="s">
        <v>8354</v>
      </c>
      <c r="C1507" s="1385"/>
      <c r="D1507" s="1385"/>
      <c r="E1507" s="1385"/>
      <c r="F1507" s="1385"/>
      <c r="G1507" s="401"/>
      <c r="H1507" s="401"/>
      <c r="I1507" s="426"/>
      <c r="J1507" s="402">
        <f t="shared" ref="J1507:K1509" si="182">J1508</f>
        <v>0</v>
      </c>
      <c r="K1507" s="402">
        <f t="shared" si="182"/>
        <v>5425.2034000000003</v>
      </c>
      <c r="L1507" s="451">
        <f t="shared" si="181"/>
        <v>1.8904643405582035E-2</v>
      </c>
    </row>
    <row r="1508" spans="1:15" x14ac:dyDescent="0.25">
      <c r="A1508" s="397"/>
      <c r="B1508" s="1386" t="s">
        <v>8339</v>
      </c>
      <c r="C1508" s="1386"/>
      <c r="D1508" s="1386"/>
      <c r="E1508" s="1386"/>
      <c r="F1508" s="1386"/>
      <c r="G1508" s="403"/>
      <c r="H1508" s="403"/>
      <c r="I1508" s="427"/>
      <c r="J1508" s="404">
        <f t="shared" si="182"/>
        <v>0</v>
      </c>
      <c r="K1508" s="404">
        <f t="shared" si="182"/>
        <v>5425.2034000000003</v>
      </c>
      <c r="L1508" s="452">
        <f t="shared" si="181"/>
        <v>1.8904643405582035E-2</v>
      </c>
    </row>
    <row r="1509" spans="1:15" x14ac:dyDescent="0.25">
      <c r="A1509" s="397"/>
      <c r="B1509" s="1382" t="s">
        <v>8309</v>
      </c>
      <c r="C1509" s="1382"/>
      <c r="D1509" s="1382"/>
      <c r="E1509" s="1382"/>
      <c r="F1509" s="1382"/>
      <c r="G1509" s="405"/>
      <c r="H1509" s="405"/>
      <c r="I1509" s="428"/>
      <c r="J1509" s="406">
        <f t="shared" si="182"/>
        <v>0</v>
      </c>
      <c r="K1509" s="406">
        <f t="shared" si="182"/>
        <v>5425.2034000000003</v>
      </c>
      <c r="L1509" s="453">
        <f t="shared" si="181"/>
        <v>1.8904643405582035E-2</v>
      </c>
    </row>
    <row r="1510" spans="1:15" x14ac:dyDescent="0.25">
      <c r="A1510" s="397"/>
      <c r="B1510" s="1383" t="s">
        <v>8355</v>
      </c>
      <c r="C1510" s="1383"/>
      <c r="D1510" s="1383"/>
      <c r="E1510" s="1383"/>
      <c r="F1510" s="1383"/>
      <c r="G1510" s="407"/>
      <c r="H1510" s="407"/>
      <c r="I1510" s="429"/>
      <c r="J1510" s="408">
        <f>SUM(J1511:J1517)</f>
        <v>0</v>
      </c>
      <c r="K1510" s="408">
        <f>SUM(K1511:K1517)+0.01</f>
        <v>5425.2034000000003</v>
      </c>
      <c r="L1510" s="454">
        <f t="shared" si="181"/>
        <v>1.8904643405582035E-2</v>
      </c>
    </row>
    <row r="1511" spans="1:15" s="115" customFormat="1" x14ac:dyDescent="0.25">
      <c r="A1511" s="396"/>
      <c r="B1511" s="1396">
        <v>440200</v>
      </c>
      <c r="C1511" s="1396"/>
      <c r="D1511" s="1396"/>
      <c r="E1511" s="854">
        <v>333903000000000</v>
      </c>
      <c r="F1511" s="855" t="s">
        <v>8368</v>
      </c>
      <c r="G1511" s="468">
        <v>1</v>
      </c>
      <c r="H1511" s="468">
        <v>0</v>
      </c>
      <c r="I1511" s="751"/>
      <c r="J1511" s="789">
        <f>('Parâmetros financeiros Despesa'!E1183)</f>
        <v>0</v>
      </c>
      <c r="K1511" s="789">
        <f>('Parâmetros financeiros Despesa'!F1183)*(1+'Parâmetros financeiros Despesa'!F$4)*(1+'Parâmetros financeiros Despesa'!F$7)</f>
        <v>545.16575</v>
      </c>
      <c r="L1511" s="799">
        <f t="shared" si="181"/>
        <v>1.8996825263153606E-3</v>
      </c>
      <c r="M1511" s="894"/>
      <c r="N1511" s="796"/>
      <c r="O1511" s="733"/>
    </row>
    <row r="1512" spans="1:15" s="115" customFormat="1" x14ac:dyDescent="0.25">
      <c r="A1512" s="396"/>
      <c r="B1512" s="1396">
        <v>440300</v>
      </c>
      <c r="C1512" s="1396"/>
      <c r="D1512" s="1396"/>
      <c r="E1512" s="854">
        <v>333903200000000</v>
      </c>
      <c r="F1512" s="855" t="s">
        <v>8369</v>
      </c>
      <c r="G1512" s="468">
        <v>1</v>
      </c>
      <c r="H1512" s="468">
        <v>0</v>
      </c>
      <c r="I1512" s="751"/>
      <c r="J1512" s="789">
        <f>('Parâmetros financeiros Despesa'!E1184)</f>
        <v>0</v>
      </c>
      <c r="K1512" s="789">
        <f>('Parâmetros financeiros Despesa'!F1184)*(1+'Parâmetros financeiros Despesa'!F$4)*(1+'Parâmetros financeiros Despesa'!F$7)</f>
        <v>545.16575</v>
      </c>
      <c r="L1512" s="799">
        <f t="shared" si="181"/>
        <v>1.8996825263153606E-3</v>
      </c>
      <c r="M1512" s="894"/>
      <c r="N1512" s="796"/>
      <c r="O1512" s="733"/>
    </row>
    <row r="1513" spans="1:15" s="115" customFormat="1" x14ac:dyDescent="0.25">
      <c r="A1513" s="396"/>
      <c r="B1513" s="1398" t="s">
        <v>8375</v>
      </c>
      <c r="C1513" s="1398"/>
      <c r="D1513" s="1398"/>
      <c r="E1513" s="854">
        <v>333903600000000</v>
      </c>
      <c r="F1513" s="855" t="s">
        <v>8370</v>
      </c>
      <c r="G1513" s="468">
        <v>1</v>
      </c>
      <c r="H1513" s="468">
        <v>0</v>
      </c>
      <c r="I1513" s="751"/>
      <c r="J1513" s="789">
        <f>('Parâmetros financeiros Despesa'!E1185)</f>
        <v>0</v>
      </c>
      <c r="K1513" s="789">
        <f>('Parâmetros financeiros Despesa'!F1185)*(1+'Parâmetros financeiros Despesa'!F$4)*(1+'Parâmetros financeiros Despesa'!F$7)</f>
        <v>545.16575</v>
      </c>
      <c r="L1513" s="799">
        <f t="shared" si="181"/>
        <v>1.8996825263153606E-3</v>
      </c>
      <c r="M1513" s="894"/>
      <c r="N1513" s="796"/>
      <c r="O1513" s="733"/>
    </row>
    <row r="1514" spans="1:15" s="115" customFormat="1" x14ac:dyDescent="0.25">
      <c r="A1514" s="396"/>
      <c r="B1514" s="1398" t="s">
        <v>8376</v>
      </c>
      <c r="C1514" s="1398"/>
      <c r="D1514" s="1398"/>
      <c r="E1514" s="854">
        <v>333903900000000</v>
      </c>
      <c r="F1514" s="855" t="s">
        <v>8371</v>
      </c>
      <c r="G1514" s="468">
        <v>1</v>
      </c>
      <c r="H1514" s="468">
        <v>0</v>
      </c>
      <c r="I1514" s="751"/>
      <c r="J1514" s="789">
        <f>('Parâmetros financeiros Despesa'!E1186)</f>
        <v>0</v>
      </c>
      <c r="K1514" s="789">
        <f>('Parâmetros financeiros Despesa'!F1186)*(1+'Parâmetros financeiros Despesa'!F$4)*(1+'Parâmetros financeiros Despesa'!F$7)</f>
        <v>2180.663</v>
      </c>
      <c r="L1514" s="799">
        <f t="shared" si="181"/>
        <v>7.5987301052614425E-3</v>
      </c>
      <c r="M1514" s="894"/>
      <c r="N1514" s="796"/>
      <c r="O1514" s="733"/>
    </row>
    <row r="1515" spans="1:15" s="115" customFormat="1" x14ac:dyDescent="0.25">
      <c r="A1515" s="396"/>
      <c r="B1515" s="1398" t="s">
        <v>8377</v>
      </c>
      <c r="C1515" s="1398"/>
      <c r="D1515" s="1398"/>
      <c r="E1515" s="854">
        <v>333904700000000</v>
      </c>
      <c r="F1515" s="855" t="s">
        <v>8374</v>
      </c>
      <c r="G1515" s="468">
        <v>1</v>
      </c>
      <c r="H1515" s="468">
        <v>0</v>
      </c>
      <c r="I1515" s="751"/>
      <c r="J1515" s="789">
        <f>'Parâmetros financeiros Despesa'!E1187</f>
        <v>0</v>
      </c>
      <c r="K1515" s="789">
        <f>(('Parâmetros financeiros Despesa'!F1185)*(1+'Parâmetros financeiros Despesa'!F$4)*(1+'Parâmetros financeiros Despesa'!F$7))*('Parâmetros financeiros Despesa'!F$83)</f>
        <v>109.03315000000001</v>
      </c>
      <c r="L1515" s="799">
        <f t="shared" si="181"/>
        <v>3.7993650526307215E-4</v>
      </c>
      <c r="M1515" s="894"/>
      <c r="N1515" s="796"/>
      <c r="O1515" s="733"/>
    </row>
    <row r="1516" spans="1:15" s="115" customFormat="1" x14ac:dyDescent="0.25">
      <c r="A1516" s="396"/>
      <c r="B1516" s="1398" t="s">
        <v>8378</v>
      </c>
      <c r="C1516" s="1398"/>
      <c r="D1516" s="1398"/>
      <c r="E1516" s="854">
        <v>333933000000000</v>
      </c>
      <c r="F1516" s="855" t="s">
        <v>8372</v>
      </c>
      <c r="G1516" s="468">
        <v>1</v>
      </c>
      <c r="H1516" s="468">
        <v>0</v>
      </c>
      <c r="I1516" s="751"/>
      <c r="J1516" s="789">
        <f>('Parâmetros financeiros Despesa'!E1188)</f>
        <v>0</v>
      </c>
      <c r="K1516" s="789">
        <f>('Parâmetros financeiros Despesa'!F1188)*((1+'Parâmetros financeiros Despesa'!F3264)*(1+'Parâmetros financeiros Despesa'!F3267)*(1+'Parâmetros financeiros Despesa'!F3337))</f>
        <v>500</v>
      </c>
      <c r="L1516" s="799">
        <f t="shared" si="181"/>
        <v>1.74229812338299E-3</v>
      </c>
      <c r="M1516" s="894"/>
      <c r="N1516" s="796"/>
      <c r="O1516" s="733"/>
    </row>
    <row r="1517" spans="1:15" s="115" customFormat="1" x14ac:dyDescent="0.25">
      <c r="A1517" s="396"/>
      <c r="B1517" s="1398" t="s">
        <v>8379</v>
      </c>
      <c r="C1517" s="1398"/>
      <c r="D1517" s="1398"/>
      <c r="E1517" s="854">
        <v>344905200000000</v>
      </c>
      <c r="F1517" s="855" t="s">
        <v>8373</v>
      </c>
      <c r="G1517" s="468">
        <v>1</v>
      </c>
      <c r="H1517" s="468">
        <v>0</v>
      </c>
      <c r="I1517" s="751"/>
      <c r="J1517" s="789">
        <f>('Parâmetros financeiros Despesa'!E1189)</f>
        <v>0</v>
      </c>
      <c r="K1517" s="789">
        <f>('Parâmetros financeiros Despesa'!F1189)*((1+'Parâmetros financeiros Despesa'!F3265)*(1+'Parâmetros financeiros Despesa'!F3268)*(1+'Parâmetros financeiros Despesa'!F3338))</f>
        <v>1000</v>
      </c>
      <c r="L1517" s="799">
        <f t="shared" si="181"/>
        <v>3.48459624676598E-3</v>
      </c>
      <c r="M1517" s="894"/>
      <c r="N1517" s="796"/>
      <c r="O1517" s="733"/>
    </row>
    <row r="1518" spans="1:15" x14ac:dyDescent="0.25">
      <c r="A1518" s="397"/>
      <c r="B1518" s="1385" t="s">
        <v>8354</v>
      </c>
      <c r="C1518" s="1385"/>
      <c r="D1518" s="1385"/>
      <c r="E1518" s="1385"/>
      <c r="F1518" s="1385"/>
      <c r="G1518" s="401"/>
      <c r="H1518" s="401"/>
      <c r="I1518" s="426"/>
      <c r="J1518" s="402">
        <f t="shared" ref="J1518:K1520" si="183">J1519</f>
        <v>0</v>
      </c>
      <c r="K1518" s="402">
        <f t="shared" si="183"/>
        <v>5015.5349000000006</v>
      </c>
      <c r="L1518" s="451">
        <f t="shared" si="181"/>
        <v>1.7477114088063787E-2</v>
      </c>
    </row>
    <row r="1519" spans="1:15" x14ac:dyDescent="0.25">
      <c r="A1519" s="397"/>
      <c r="B1519" s="1386" t="s">
        <v>8341</v>
      </c>
      <c r="C1519" s="1386"/>
      <c r="D1519" s="1386"/>
      <c r="E1519" s="1386"/>
      <c r="F1519" s="1386"/>
      <c r="G1519" s="403"/>
      <c r="H1519" s="403"/>
      <c r="I1519" s="427"/>
      <c r="J1519" s="404">
        <f t="shared" si="183"/>
        <v>0</v>
      </c>
      <c r="K1519" s="404">
        <f t="shared" si="183"/>
        <v>5015.5349000000006</v>
      </c>
      <c r="L1519" s="452">
        <f t="shared" si="181"/>
        <v>1.7477114088063787E-2</v>
      </c>
    </row>
    <row r="1520" spans="1:15" x14ac:dyDescent="0.25">
      <c r="A1520" s="397"/>
      <c r="B1520" s="1382" t="s">
        <v>8309</v>
      </c>
      <c r="C1520" s="1382"/>
      <c r="D1520" s="1382"/>
      <c r="E1520" s="1382"/>
      <c r="F1520" s="1382"/>
      <c r="G1520" s="405"/>
      <c r="H1520" s="405"/>
      <c r="I1520" s="428"/>
      <c r="J1520" s="406">
        <f t="shared" si="183"/>
        <v>0</v>
      </c>
      <c r="K1520" s="406">
        <f t="shared" si="183"/>
        <v>5015.5349000000006</v>
      </c>
      <c r="L1520" s="453">
        <f t="shared" si="181"/>
        <v>1.7477114088063787E-2</v>
      </c>
    </row>
    <row r="1521" spans="1:15" x14ac:dyDescent="0.25">
      <c r="A1521" s="397"/>
      <c r="B1521" s="1383" t="s">
        <v>8355</v>
      </c>
      <c r="C1521" s="1383"/>
      <c r="D1521" s="1383"/>
      <c r="E1521" s="1383"/>
      <c r="F1521" s="1383"/>
      <c r="G1521" s="407"/>
      <c r="H1521" s="407"/>
      <c r="I1521" s="429"/>
      <c r="J1521" s="408">
        <f>SUM(J1522:J1529)</f>
        <v>0</v>
      </c>
      <c r="K1521" s="408">
        <f>SUM(K1522:K1529)+0.01</f>
        <v>5015.5349000000006</v>
      </c>
      <c r="L1521" s="454">
        <f t="shared" si="181"/>
        <v>1.7477114088063787E-2</v>
      </c>
    </row>
    <row r="1522" spans="1:15" s="115" customFormat="1" x14ac:dyDescent="0.25">
      <c r="A1522" s="396"/>
      <c r="B1522" s="1396">
        <v>441600</v>
      </c>
      <c r="C1522" s="1396"/>
      <c r="D1522" s="1396"/>
      <c r="E1522" s="854">
        <v>333903000000000</v>
      </c>
      <c r="F1522" s="855" t="s">
        <v>8382</v>
      </c>
      <c r="G1522" s="468">
        <v>1</v>
      </c>
      <c r="H1522" s="468">
        <v>0</v>
      </c>
      <c r="I1522" s="751"/>
      <c r="J1522" s="789">
        <f>('Parâmetros financeiros Despesa'!E1199)</f>
        <v>0</v>
      </c>
      <c r="K1522" s="789">
        <f>('Parâmetros financeiros Despesa'!F1199)*(1+'Parâmetros financeiros Despesa'!F$4)*(1+'Parâmetros financeiros Despesa'!F$7)</f>
        <v>545.16575</v>
      </c>
      <c r="L1522" s="799">
        <f t="shared" si="181"/>
        <v>1.8996825263153606E-3</v>
      </c>
      <c r="M1522" s="894"/>
      <c r="N1522" s="796"/>
      <c r="O1522" s="733"/>
    </row>
    <row r="1523" spans="1:15" s="115" customFormat="1" x14ac:dyDescent="0.25">
      <c r="A1523" s="396"/>
      <c r="B1523" s="1396">
        <v>441700</v>
      </c>
      <c r="C1523" s="1396"/>
      <c r="D1523" s="1396"/>
      <c r="E1523" s="854">
        <v>333903100000000</v>
      </c>
      <c r="F1523" s="855" t="s">
        <v>8389</v>
      </c>
      <c r="G1523" s="468">
        <v>1</v>
      </c>
      <c r="H1523" s="468">
        <v>0</v>
      </c>
      <c r="I1523" s="751"/>
      <c r="J1523" s="789">
        <f>('Parâmetros financeiros Despesa'!E1200)</f>
        <v>0</v>
      </c>
      <c r="K1523" s="789">
        <f>('Parâmetros financeiros Despesa'!F1200)*(1+'Parâmetros financeiros Despesa'!F$4)*(1+'Parâmetros financeiros Despesa'!F$7)</f>
        <v>1090.3315</v>
      </c>
      <c r="L1523" s="799">
        <f t="shared" si="181"/>
        <v>3.7993650526307213E-3</v>
      </c>
      <c r="M1523" s="894"/>
      <c r="N1523" s="796"/>
      <c r="O1523" s="733"/>
    </row>
    <row r="1524" spans="1:15" s="115" customFormat="1" x14ac:dyDescent="0.25">
      <c r="A1524" s="396"/>
      <c r="B1524" s="1396">
        <v>441800</v>
      </c>
      <c r="C1524" s="1396"/>
      <c r="D1524" s="1396"/>
      <c r="E1524" s="854">
        <v>333903200000000</v>
      </c>
      <c r="F1524" s="855" t="s">
        <v>8383</v>
      </c>
      <c r="G1524" s="468">
        <v>1</v>
      </c>
      <c r="H1524" s="468">
        <v>0</v>
      </c>
      <c r="I1524" s="751"/>
      <c r="J1524" s="789">
        <f>('Parâmetros financeiros Despesa'!E1201)</f>
        <v>0</v>
      </c>
      <c r="K1524" s="789">
        <f>('Parâmetros financeiros Despesa'!F1201)*(1+'Parâmetros financeiros Despesa'!F$4)*(1+'Parâmetros financeiros Despesa'!F$7)</f>
        <v>545.16575</v>
      </c>
      <c r="L1524" s="799">
        <f t="shared" si="181"/>
        <v>1.8996825263153606E-3</v>
      </c>
      <c r="M1524" s="894"/>
      <c r="N1524" s="796"/>
      <c r="O1524" s="733"/>
    </row>
    <row r="1525" spans="1:15" s="115" customFormat="1" x14ac:dyDescent="0.25">
      <c r="A1525" s="396"/>
      <c r="B1525" s="1398" t="s">
        <v>8390</v>
      </c>
      <c r="C1525" s="1398"/>
      <c r="D1525" s="1398"/>
      <c r="E1525" s="854">
        <v>333903600000000</v>
      </c>
      <c r="F1525" s="855" t="s">
        <v>8384</v>
      </c>
      <c r="G1525" s="468">
        <v>1</v>
      </c>
      <c r="H1525" s="468">
        <v>0</v>
      </c>
      <c r="I1525" s="751"/>
      <c r="J1525" s="789">
        <f>('Parâmetros financeiros Despesa'!E1202)</f>
        <v>0</v>
      </c>
      <c r="K1525" s="789">
        <f>('Parâmetros financeiros Despesa'!F1202)*(1+'Parâmetros financeiros Despesa'!F$4)*(1+'Parâmetros financeiros Despesa'!F$7)</f>
        <v>545.16575</v>
      </c>
      <c r="L1525" s="799">
        <f t="shared" si="181"/>
        <v>1.8996825263153606E-3</v>
      </c>
      <c r="M1525" s="894"/>
      <c r="N1525" s="796"/>
      <c r="O1525" s="733"/>
    </row>
    <row r="1526" spans="1:15" s="115" customFormat="1" x14ac:dyDescent="0.25">
      <c r="A1526" s="396"/>
      <c r="B1526" s="1398" t="s">
        <v>8391</v>
      </c>
      <c r="C1526" s="1398"/>
      <c r="D1526" s="1398"/>
      <c r="E1526" s="854">
        <v>333903900000000</v>
      </c>
      <c r="F1526" s="855" t="s">
        <v>8385</v>
      </c>
      <c r="G1526" s="468">
        <v>1</v>
      </c>
      <c r="H1526" s="468">
        <v>0</v>
      </c>
      <c r="I1526" s="751"/>
      <c r="J1526" s="789">
        <f>('Parâmetros financeiros Despesa'!E1204)</f>
        <v>0</v>
      </c>
      <c r="K1526" s="789">
        <f>('Parâmetros financeiros Despesa'!F1204)*(1+'Parâmetros financeiros Despesa'!F$4)*(1+'Parâmetros financeiros Despesa'!F$7)</f>
        <v>1090.3315</v>
      </c>
      <c r="L1526" s="799">
        <f t="shared" si="181"/>
        <v>3.7993650526307213E-3</v>
      </c>
      <c r="M1526" s="894"/>
      <c r="N1526" s="796"/>
      <c r="O1526" s="733"/>
    </row>
    <row r="1527" spans="1:15" s="115" customFormat="1" x14ac:dyDescent="0.25">
      <c r="A1527" s="396"/>
      <c r="B1527" s="1398" t="s">
        <v>8392</v>
      </c>
      <c r="C1527" s="1398"/>
      <c r="D1527" s="1398"/>
      <c r="E1527" s="854">
        <v>333904700000000</v>
      </c>
      <c r="F1527" s="855" t="s">
        <v>8386</v>
      </c>
      <c r="G1527" s="468">
        <v>1</v>
      </c>
      <c r="H1527" s="468">
        <v>0</v>
      </c>
      <c r="I1527" s="751"/>
      <c r="J1527" s="789">
        <f>'Parâmetros financeiros Despesa'!E1203</f>
        <v>0</v>
      </c>
      <c r="K1527" s="789">
        <f>(('Parâmetros financeiros Despesa'!F1202)*(1+'Parâmetros financeiros Despesa'!F$4)*(1+'Parâmetros financeiros Despesa'!F$7))*('Parâmetros financeiros Despesa'!F$83)</f>
        <v>109.03315000000001</v>
      </c>
      <c r="L1527" s="799">
        <f t="shared" si="181"/>
        <v>3.7993650526307215E-4</v>
      </c>
      <c r="M1527" s="894"/>
      <c r="N1527" s="796"/>
      <c r="O1527" s="733"/>
    </row>
    <row r="1528" spans="1:15" s="115" customFormat="1" x14ac:dyDescent="0.25">
      <c r="A1528" s="396"/>
      <c r="B1528" s="1398" t="s">
        <v>8393</v>
      </c>
      <c r="C1528" s="1398"/>
      <c r="D1528" s="1398"/>
      <c r="E1528" s="854">
        <v>333933000000000</v>
      </c>
      <c r="F1528" s="855" t="s">
        <v>8387</v>
      </c>
      <c r="G1528" s="468">
        <v>1</v>
      </c>
      <c r="H1528" s="468">
        <v>0</v>
      </c>
      <c r="I1528" s="751"/>
      <c r="J1528" s="789">
        <f>('Parâmetros financeiros Despesa'!E1205)</f>
        <v>0</v>
      </c>
      <c r="K1528" s="789">
        <f>('Parâmetros financeiros Despesa'!F1205)*(1+'Parâmetros financeiros Despesa'!F$4)*(1+'Parâmetros financeiros Despesa'!F$7)</f>
        <v>545.16575</v>
      </c>
      <c r="L1528" s="799">
        <f t="shared" si="181"/>
        <v>1.8996825263153606E-3</v>
      </c>
      <c r="M1528" s="894"/>
      <c r="N1528" s="796"/>
      <c r="O1528" s="733"/>
    </row>
    <row r="1529" spans="1:15" s="115" customFormat="1" x14ac:dyDescent="0.25">
      <c r="A1529" s="396"/>
      <c r="B1529" s="1398" t="s">
        <v>8394</v>
      </c>
      <c r="C1529" s="1398"/>
      <c r="D1529" s="1398"/>
      <c r="E1529" s="854">
        <v>344905200000000</v>
      </c>
      <c r="F1529" s="855" t="s">
        <v>8388</v>
      </c>
      <c r="G1529" s="468">
        <v>1</v>
      </c>
      <c r="H1529" s="468">
        <v>0</v>
      </c>
      <c r="I1529" s="751"/>
      <c r="J1529" s="789">
        <f>('Parâmetros financeiros Despesa'!E1206)</f>
        <v>0</v>
      </c>
      <c r="K1529" s="789">
        <f>('Parâmetros financeiros Despesa'!F1206)*(1+'Parâmetros financeiros Despesa'!F$4)*(1+'Parâmetros financeiros Despesa'!F$7)</f>
        <v>545.16575</v>
      </c>
      <c r="L1529" s="799">
        <f t="shared" si="181"/>
        <v>1.8996825263153606E-3</v>
      </c>
      <c r="M1529" s="894"/>
      <c r="N1529" s="796"/>
      <c r="O1529" s="733"/>
    </row>
    <row r="1530" spans="1:15" x14ac:dyDescent="0.25">
      <c r="A1530" s="397"/>
      <c r="B1530" s="1385" t="s">
        <v>8354</v>
      </c>
      <c r="C1530" s="1385"/>
      <c r="D1530" s="1385"/>
      <c r="E1530" s="1385"/>
      <c r="F1530" s="1385"/>
      <c r="G1530" s="401"/>
      <c r="H1530" s="401"/>
      <c r="I1530" s="426"/>
      <c r="J1530" s="402">
        <f t="shared" ref="J1530:K1532" si="184">J1531</f>
        <v>0</v>
      </c>
      <c r="K1530" s="402">
        <f t="shared" si="184"/>
        <v>16027.873050000002</v>
      </c>
      <c r="L1530" s="451">
        <f t="shared" si="181"/>
        <v>5.5850666273671606E-2</v>
      </c>
    </row>
    <row r="1531" spans="1:15" x14ac:dyDescent="0.25">
      <c r="A1531" s="397"/>
      <c r="B1531" s="1386" t="s">
        <v>8342</v>
      </c>
      <c r="C1531" s="1386"/>
      <c r="D1531" s="1386"/>
      <c r="E1531" s="1386"/>
      <c r="F1531" s="1386"/>
      <c r="G1531" s="403"/>
      <c r="H1531" s="403"/>
      <c r="I1531" s="427"/>
      <c r="J1531" s="404">
        <f t="shared" si="184"/>
        <v>0</v>
      </c>
      <c r="K1531" s="404">
        <f t="shared" si="184"/>
        <v>16027.873050000002</v>
      </c>
      <c r="L1531" s="452">
        <f t="shared" ref="L1531:L1562" si="185">K1531/K$1659</f>
        <v>5.5850666273671606E-2</v>
      </c>
    </row>
    <row r="1532" spans="1:15" x14ac:dyDescent="0.25">
      <c r="A1532" s="397"/>
      <c r="B1532" s="1382" t="s">
        <v>8309</v>
      </c>
      <c r="C1532" s="1382"/>
      <c r="D1532" s="1382"/>
      <c r="E1532" s="1382"/>
      <c r="F1532" s="1382"/>
      <c r="G1532" s="405"/>
      <c r="H1532" s="405"/>
      <c r="I1532" s="428"/>
      <c r="J1532" s="406">
        <f t="shared" si="184"/>
        <v>0</v>
      </c>
      <c r="K1532" s="406">
        <f t="shared" si="184"/>
        <v>16027.873050000002</v>
      </c>
      <c r="L1532" s="453">
        <f t="shared" si="185"/>
        <v>5.5850666273671606E-2</v>
      </c>
    </row>
    <row r="1533" spans="1:15" x14ac:dyDescent="0.25">
      <c r="A1533" s="397"/>
      <c r="B1533" s="1383" t="s">
        <v>8355</v>
      </c>
      <c r="C1533" s="1383"/>
      <c r="D1533" s="1383"/>
      <c r="E1533" s="1383"/>
      <c r="F1533" s="1383"/>
      <c r="G1533" s="407"/>
      <c r="H1533" s="407"/>
      <c r="I1533" s="429"/>
      <c r="J1533" s="408">
        <f>SUM(J1534:J1541)</f>
        <v>0</v>
      </c>
      <c r="K1533" s="408">
        <f>SUM(K1534:K1541)</f>
        <v>16027.873050000002</v>
      </c>
      <c r="L1533" s="454">
        <f t="shared" si="185"/>
        <v>5.5850666273671606E-2</v>
      </c>
    </row>
    <row r="1534" spans="1:15" s="115" customFormat="1" x14ac:dyDescent="0.25">
      <c r="A1534" s="396"/>
      <c r="B1534" s="1396">
        <v>442400</v>
      </c>
      <c r="C1534" s="1396"/>
      <c r="D1534" s="1396"/>
      <c r="E1534" s="854">
        <v>333903000000000</v>
      </c>
      <c r="F1534" s="855" t="s">
        <v>8400</v>
      </c>
      <c r="G1534" s="468">
        <v>1</v>
      </c>
      <c r="H1534" s="468">
        <v>0</v>
      </c>
      <c r="I1534" s="751"/>
      <c r="J1534" s="789">
        <f>('Parâmetros financeiros Despesa'!E1208)</f>
        <v>0</v>
      </c>
      <c r="K1534" s="789">
        <f>('Parâmetros financeiros Despesa'!F1208)*(1+'Parâmetros financeiros Despesa'!F$4)*(1+'Parâmetros financeiros Despesa'!F$7)</f>
        <v>3270.9945000000002</v>
      </c>
      <c r="L1534" s="799">
        <f t="shared" si="185"/>
        <v>1.1398095157892165E-2</v>
      </c>
      <c r="M1534" s="894"/>
      <c r="N1534" s="796"/>
      <c r="O1534" s="733"/>
    </row>
    <row r="1535" spans="1:15" s="115" customFormat="1" x14ac:dyDescent="0.25">
      <c r="A1535" s="396"/>
      <c r="B1535" s="1396">
        <v>442500</v>
      </c>
      <c r="C1535" s="1396"/>
      <c r="D1535" s="1396"/>
      <c r="E1535" s="854">
        <v>333903100000000</v>
      </c>
      <c r="F1535" s="855" t="s">
        <v>8401</v>
      </c>
      <c r="G1535" s="468">
        <v>1</v>
      </c>
      <c r="H1535" s="468">
        <v>0</v>
      </c>
      <c r="I1535" s="751"/>
      <c r="J1535" s="789">
        <f>('Parâmetros financeiros Despesa'!E1209)</f>
        <v>0</v>
      </c>
      <c r="K1535" s="789">
        <f>('Parâmetros financeiros Despesa'!F1209)*(1+'Parâmetros financeiros Despesa'!F$4)*(1+'Parâmetros financeiros Despesa'!F$7)</f>
        <v>2180.663</v>
      </c>
      <c r="L1535" s="799">
        <f t="shared" si="185"/>
        <v>7.5987301052614425E-3</v>
      </c>
      <c r="M1535" s="894"/>
      <c r="N1535" s="796"/>
      <c r="O1535" s="733"/>
    </row>
    <row r="1536" spans="1:15" s="115" customFormat="1" ht="30" x14ac:dyDescent="0.25">
      <c r="A1536" s="396"/>
      <c r="B1536" s="1396">
        <v>442600</v>
      </c>
      <c r="C1536" s="1396"/>
      <c r="D1536" s="1396"/>
      <c r="E1536" s="854">
        <v>333903200000000</v>
      </c>
      <c r="F1536" s="855" t="s">
        <v>8402</v>
      </c>
      <c r="G1536" s="468">
        <v>1</v>
      </c>
      <c r="H1536" s="468">
        <v>0</v>
      </c>
      <c r="I1536" s="751"/>
      <c r="J1536" s="789">
        <f>('Parâmetros financeiros Despesa'!E1210)</f>
        <v>0</v>
      </c>
      <c r="K1536" s="789">
        <f>('Parâmetros financeiros Despesa'!F1210)*(1+'Parâmetros financeiros Despesa'!F$4)*(1+'Parâmetros financeiros Despesa'!F$7)</f>
        <v>1090.3315</v>
      </c>
      <c r="L1536" s="799">
        <f t="shared" si="185"/>
        <v>3.7993650526307213E-3</v>
      </c>
      <c r="M1536" s="894"/>
      <c r="N1536" s="796"/>
      <c r="O1536" s="733"/>
    </row>
    <row r="1537" spans="1:15" s="115" customFormat="1" x14ac:dyDescent="0.25">
      <c r="A1537" s="396"/>
      <c r="B1537" s="1398" t="s">
        <v>8395</v>
      </c>
      <c r="C1537" s="1398"/>
      <c r="D1537" s="1398"/>
      <c r="E1537" s="854">
        <v>333903600000000</v>
      </c>
      <c r="F1537" s="855" t="s">
        <v>8403</v>
      </c>
      <c r="G1537" s="468">
        <v>1</v>
      </c>
      <c r="H1537" s="468">
        <v>0</v>
      </c>
      <c r="I1537" s="751"/>
      <c r="J1537" s="789">
        <f>('Parâmetros financeiros Despesa'!E1211)</f>
        <v>0</v>
      </c>
      <c r="K1537" s="789">
        <f>('Parâmetros financeiros Despesa'!F1211)*(1+'Parâmetros financeiros Despesa'!F$4)*(1+'Parâmetros financeiros Despesa'!F$7)</f>
        <v>1090.3315</v>
      </c>
      <c r="L1537" s="799">
        <f t="shared" si="185"/>
        <v>3.7993650526307213E-3</v>
      </c>
      <c r="M1537" s="894"/>
      <c r="N1537" s="796"/>
      <c r="O1537" s="733"/>
    </row>
    <row r="1538" spans="1:15" s="115" customFormat="1" x14ac:dyDescent="0.25">
      <c r="A1538" s="396"/>
      <c r="B1538" s="1398" t="s">
        <v>8396</v>
      </c>
      <c r="C1538" s="1398"/>
      <c r="D1538" s="1398"/>
      <c r="E1538" s="854">
        <v>333903900000000</v>
      </c>
      <c r="F1538" s="855" t="s">
        <v>8404</v>
      </c>
      <c r="G1538" s="468">
        <v>1</v>
      </c>
      <c r="H1538" s="468">
        <v>0</v>
      </c>
      <c r="I1538" s="751"/>
      <c r="J1538" s="789">
        <f>('Parâmetros financeiros Despesa'!E1212)</f>
        <v>0</v>
      </c>
      <c r="K1538" s="789">
        <f>('Parâmetros financeiros Despesa'!F1212)*(1+'Parâmetros financeiros Despesa'!F$4)*(1+'Parâmetros financeiros Despesa'!F$7)</f>
        <v>6541.9890000000005</v>
      </c>
      <c r="L1538" s="799">
        <f t="shared" si="185"/>
        <v>2.279619031578433E-2</v>
      </c>
      <c r="M1538" s="894"/>
      <c r="N1538" s="796"/>
      <c r="O1538" s="733"/>
    </row>
    <row r="1539" spans="1:15" s="115" customFormat="1" x14ac:dyDescent="0.25">
      <c r="A1539" s="396"/>
      <c r="B1539" s="1398" t="s">
        <v>8397</v>
      </c>
      <c r="C1539" s="1398"/>
      <c r="D1539" s="1398"/>
      <c r="E1539" s="854">
        <v>333904700000000</v>
      </c>
      <c r="F1539" s="855" t="s">
        <v>8405</v>
      </c>
      <c r="G1539" s="468">
        <v>1</v>
      </c>
      <c r="H1539" s="468">
        <v>0</v>
      </c>
      <c r="I1539" s="751"/>
      <c r="J1539" s="789">
        <f>'Parâmetros financeiros Despesa'!E1213</f>
        <v>0</v>
      </c>
      <c r="K1539" s="789">
        <f>('Parâmetros financeiros Despesa'!F1213)*(1+'Parâmetros financeiros Despesa'!F$4)*(1+'Parâmetros financeiros Despesa'!F$7)</f>
        <v>218.06630000000001</v>
      </c>
      <c r="L1539" s="799">
        <f t="shared" si="185"/>
        <v>7.5987301052614429E-4</v>
      </c>
      <c r="M1539" s="894"/>
      <c r="N1539" s="796"/>
      <c r="O1539" s="733"/>
    </row>
    <row r="1540" spans="1:15" s="115" customFormat="1" ht="30" x14ac:dyDescent="0.25">
      <c r="A1540" s="396"/>
      <c r="B1540" s="1398" t="s">
        <v>8398</v>
      </c>
      <c r="C1540" s="1398"/>
      <c r="D1540" s="1398"/>
      <c r="E1540" s="854">
        <v>333933000000000</v>
      </c>
      <c r="F1540" s="855" t="s">
        <v>8406</v>
      </c>
      <c r="G1540" s="468">
        <v>1</v>
      </c>
      <c r="H1540" s="468">
        <v>0</v>
      </c>
      <c r="I1540" s="751"/>
      <c r="J1540" s="789">
        <f>('Parâmetros financeiros Despesa'!E1214)</f>
        <v>0</v>
      </c>
      <c r="K1540" s="789">
        <f>('Parâmetros financeiros Despesa'!F1214)*(1+'Parâmetros financeiros Despesa'!F$4)*(1+'Parâmetros financeiros Despesa'!F$7)</f>
        <v>545.16575</v>
      </c>
      <c r="L1540" s="799">
        <f t="shared" si="185"/>
        <v>1.8996825263153606E-3</v>
      </c>
      <c r="M1540" s="894"/>
      <c r="N1540" s="796"/>
      <c r="O1540" s="733"/>
    </row>
    <row r="1541" spans="1:15" s="115" customFormat="1" ht="30" x14ac:dyDescent="0.25">
      <c r="A1541" s="396"/>
      <c r="B1541" s="1398" t="s">
        <v>8399</v>
      </c>
      <c r="C1541" s="1398"/>
      <c r="D1541" s="1398"/>
      <c r="E1541" s="854">
        <v>344905200000000</v>
      </c>
      <c r="F1541" s="855" t="s">
        <v>8407</v>
      </c>
      <c r="G1541" s="468">
        <v>1</v>
      </c>
      <c r="H1541" s="468">
        <v>0</v>
      </c>
      <c r="I1541" s="751"/>
      <c r="J1541" s="789">
        <f>('Parâmetros financeiros Despesa'!E1215)</f>
        <v>0</v>
      </c>
      <c r="K1541" s="789">
        <f>('Parâmetros financeiros Despesa'!F1215)*(1+'Parâmetros financeiros Despesa'!F$4)*(1+'Parâmetros financeiros Despesa'!F$7)</f>
        <v>1090.3315</v>
      </c>
      <c r="L1541" s="799">
        <f t="shared" si="185"/>
        <v>3.7993650526307213E-3</v>
      </c>
      <c r="M1541" s="894"/>
      <c r="N1541" s="796"/>
      <c r="O1541" s="733"/>
    </row>
    <row r="1542" spans="1:15" x14ac:dyDescent="0.25">
      <c r="A1542" s="397"/>
      <c r="B1542" s="1385" t="s">
        <v>8354</v>
      </c>
      <c r="C1542" s="1385"/>
      <c r="D1542" s="1385"/>
      <c r="E1542" s="1385"/>
      <c r="F1542" s="1385"/>
      <c r="G1542" s="401"/>
      <c r="H1542" s="401"/>
      <c r="I1542" s="426"/>
      <c r="J1542" s="402">
        <f t="shared" ref="J1542:K1544" si="186">J1543</f>
        <v>0</v>
      </c>
      <c r="K1542" s="402">
        <f t="shared" si="186"/>
        <v>3925.1934000000006</v>
      </c>
      <c r="L1542" s="451">
        <f t="shared" si="185"/>
        <v>1.3677714189470598E-2</v>
      </c>
    </row>
    <row r="1543" spans="1:15" x14ac:dyDescent="0.25">
      <c r="A1543" s="397"/>
      <c r="B1543" s="1386" t="s">
        <v>8344</v>
      </c>
      <c r="C1543" s="1386"/>
      <c r="D1543" s="1386"/>
      <c r="E1543" s="1386"/>
      <c r="F1543" s="1386"/>
      <c r="G1543" s="403"/>
      <c r="H1543" s="403"/>
      <c r="I1543" s="427"/>
      <c r="J1543" s="404">
        <f t="shared" si="186"/>
        <v>0</v>
      </c>
      <c r="K1543" s="404">
        <f t="shared" si="186"/>
        <v>3925.1934000000006</v>
      </c>
      <c r="L1543" s="452">
        <f t="shared" si="185"/>
        <v>1.3677714189470598E-2</v>
      </c>
    </row>
    <row r="1544" spans="1:15" x14ac:dyDescent="0.25">
      <c r="A1544" s="397"/>
      <c r="B1544" s="1382" t="s">
        <v>8309</v>
      </c>
      <c r="C1544" s="1382"/>
      <c r="D1544" s="1382"/>
      <c r="E1544" s="1382"/>
      <c r="F1544" s="1382"/>
      <c r="G1544" s="405"/>
      <c r="H1544" s="405"/>
      <c r="I1544" s="428"/>
      <c r="J1544" s="406">
        <f t="shared" si="186"/>
        <v>0</v>
      </c>
      <c r="K1544" s="406">
        <f t="shared" si="186"/>
        <v>3925.1934000000006</v>
      </c>
      <c r="L1544" s="453">
        <f t="shared" si="185"/>
        <v>1.3677714189470598E-2</v>
      </c>
    </row>
    <row r="1545" spans="1:15" x14ac:dyDescent="0.25">
      <c r="A1545" s="397"/>
      <c r="B1545" s="1383" t="s">
        <v>8355</v>
      </c>
      <c r="C1545" s="1383"/>
      <c r="D1545" s="1383"/>
      <c r="E1545" s="1383"/>
      <c r="F1545" s="1383"/>
      <c r="G1545" s="407"/>
      <c r="H1545" s="407"/>
      <c r="I1545" s="429"/>
      <c r="J1545" s="408">
        <f>SUM(J1546:J1553)</f>
        <v>0</v>
      </c>
      <c r="K1545" s="408">
        <f>SUM(K1546:K1553)</f>
        <v>3925.1934000000006</v>
      </c>
      <c r="L1545" s="454">
        <f t="shared" si="185"/>
        <v>1.3677714189470598E-2</v>
      </c>
    </row>
    <row r="1546" spans="1:15" s="115" customFormat="1" x14ac:dyDescent="0.25">
      <c r="A1546" s="396"/>
      <c r="B1546" s="1396">
        <v>443200</v>
      </c>
      <c r="C1546" s="1396"/>
      <c r="D1546" s="1396"/>
      <c r="E1546" s="854">
        <v>333903000000000</v>
      </c>
      <c r="F1546" s="855" t="s">
        <v>8408</v>
      </c>
      <c r="G1546" s="468">
        <v>1</v>
      </c>
      <c r="H1546" s="468">
        <v>0</v>
      </c>
      <c r="I1546" s="751"/>
      <c r="J1546" s="789">
        <f>('Parâmetros financeiros Despesa'!E1217)</f>
        <v>0</v>
      </c>
      <c r="K1546" s="789">
        <f>('Parâmetros financeiros Despesa'!F1217)*(1+'Parâmetros financeiros Despesa'!F$4)*(1+'Parâmetros financeiros Despesa'!F$7)</f>
        <v>545.16575</v>
      </c>
      <c r="L1546" s="799">
        <f t="shared" si="185"/>
        <v>1.8996825263153606E-3</v>
      </c>
      <c r="M1546" s="894"/>
      <c r="N1546" s="796"/>
      <c r="O1546" s="733"/>
    </row>
    <row r="1547" spans="1:15" s="115" customFormat="1" x14ac:dyDescent="0.25">
      <c r="A1547" s="396"/>
      <c r="B1547" s="1396">
        <v>443300</v>
      </c>
      <c r="C1547" s="1396"/>
      <c r="D1547" s="1396"/>
      <c r="E1547" s="854">
        <v>333903100000000</v>
      </c>
      <c r="F1547" s="855" t="s">
        <v>8409</v>
      </c>
      <c r="G1547" s="468">
        <v>1</v>
      </c>
      <c r="H1547" s="468">
        <v>0</v>
      </c>
      <c r="I1547" s="751"/>
      <c r="J1547" s="789">
        <f>('Parâmetros financeiros Despesa'!E1218)</f>
        <v>0</v>
      </c>
      <c r="K1547" s="789">
        <f>('Parâmetros financeiros Despesa'!F1218)*(1+'Parâmetros financeiros Despesa'!F$4)*(1+'Parâmetros financeiros Despesa'!F$7)</f>
        <v>545.16575</v>
      </c>
      <c r="L1547" s="799">
        <f t="shared" si="185"/>
        <v>1.8996825263153606E-3</v>
      </c>
      <c r="M1547" s="894"/>
      <c r="N1547" s="796"/>
      <c r="O1547" s="733"/>
    </row>
    <row r="1548" spans="1:15" s="115" customFormat="1" x14ac:dyDescent="0.25">
      <c r="A1548" s="396"/>
      <c r="B1548" s="1396">
        <v>443400</v>
      </c>
      <c r="C1548" s="1396"/>
      <c r="D1548" s="1396"/>
      <c r="E1548" s="854">
        <v>333903200000000</v>
      </c>
      <c r="F1548" s="855" t="s">
        <v>8410</v>
      </c>
      <c r="G1548" s="468">
        <v>1</v>
      </c>
      <c r="H1548" s="468">
        <v>0</v>
      </c>
      <c r="I1548" s="751"/>
      <c r="J1548" s="789">
        <f>('Parâmetros financeiros Despesa'!E1219)</f>
        <v>0</v>
      </c>
      <c r="K1548" s="789">
        <f>('Parâmetros financeiros Despesa'!F1219)*(1+'Parâmetros financeiros Despesa'!F$4)*(1+'Parâmetros financeiros Despesa'!F$7)</f>
        <v>545.16575</v>
      </c>
      <c r="L1548" s="799">
        <f t="shared" si="185"/>
        <v>1.8996825263153606E-3</v>
      </c>
      <c r="M1548" s="894"/>
      <c r="N1548" s="796"/>
      <c r="O1548" s="733"/>
    </row>
    <row r="1549" spans="1:15" s="115" customFormat="1" x14ac:dyDescent="0.25">
      <c r="A1549" s="396"/>
      <c r="B1549" s="1398" t="s">
        <v>8416</v>
      </c>
      <c r="C1549" s="1398"/>
      <c r="D1549" s="1398"/>
      <c r="E1549" s="854">
        <v>333903600000000</v>
      </c>
      <c r="F1549" s="855" t="s">
        <v>8411</v>
      </c>
      <c r="G1549" s="468">
        <v>1</v>
      </c>
      <c r="H1549" s="468">
        <v>0</v>
      </c>
      <c r="I1549" s="751"/>
      <c r="J1549" s="789">
        <f>('Parâmetros financeiros Despesa'!E1220)</f>
        <v>0</v>
      </c>
      <c r="K1549" s="789">
        <f>('Parâmetros financeiros Despesa'!F1220)*(1+'Parâmetros financeiros Despesa'!F$4)*(1+'Parâmetros financeiros Despesa'!F$7)</f>
        <v>545.16575</v>
      </c>
      <c r="L1549" s="799">
        <f t="shared" si="185"/>
        <v>1.8996825263153606E-3</v>
      </c>
      <c r="M1549" s="894"/>
      <c r="N1549" s="796"/>
      <c r="O1549" s="733"/>
    </row>
    <row r="1550" spans="1:15" s="115" customFormat="1" x14ac:dyDescent="0.25">
      <c r="A1550" s="396"/>
      <c r="B1550" s="1398" t="s">
        <v>8417</v>
      </c>
      <c r="C1550" s="1398"/>
      <c r="D1550" s="1398"/>
      <c r="E1550" s="854">
        <v>333903900000000</v>
      </c>
      <c r="F1550" s="855" t="s">
        <v>8412</v>
      </c>
      <c r="G1550" s="468">
        <v>1</v>
      </c>
      <c r="H1550" s="468">
        <v>0</v>
      </c>
      <c r="I1550" s="751"/>
      <c r="J1550" s="789">
        <f>('Parâmetros financeiros Despesa'!E1221)</f>
        <v>0</v>
      </c>
      <c r="K1550" s="789">
        <f>('Parâmetros financeiros Despesa'!F1221)*(1+'Parâmetros financeiros Despesa'!F$4)*(1+'Parâmetros financeiros Despesa'!F$7)</f>
        <v>545.16575</v>
      </c>
      <c r="L1550" s="799">
        <f t="shared" si="185"/>
        <v>1.8996825263153606E-3</v>
      </c>
      <c r="M1550" s="894"/>
      <c r="N1550" s="796"/>
      <c r="O1550" s="733"/>
    </row>
    <row r="1551" spans="1:15" s="115" customFormat="1" x14ac:dyDescent="0.25">
      <c r="A1551" s="396"/>
      <c r="B1551" s="1398" t="s">
        <v>8418</v>
      </c>
      <c r="C1551" s="1398"/>
      <c r="D1551" s="1398"/>
      <c r="E1551" s="854">
        <v>333904700000000</v>
      </c>
      <c r="F1551" s="855" t="s">
        <v>8413</v>
      </c>
      <c r="G1551" s="468">
        <v>1</v>
      </c>
      <c r="H1551" s="468">
        <v>0</v>
      </c>
      <c r="I1551" s="751"/>
      <c r="J1551" s="789">
        <f>'Parâmetros financeiros Despesa'!E1222</f>
        <v>0</v>
      </c>
      <c r="K1551" s="789">
        <f>('Parâmetros financeiros Despesa'!F1222)*(1+'Parâmetros financeiros Despesa'!F$4)*(1+'Parâmetros financeiros Despesa'!F$7)</f>
        <v>109.03315000000001</v>
      </c>
      <c r="L1551" s="799">
        <f t="shared" si="185"/>
        <v>3.7993650526307215E-4</v>
      </c>
      <c r="M1551" s="894"/>
      <c r="N1551" s="796"/>
      <c r="O1551" s="733"/>
    </row>
    <row r="1552" spans="1:15" s="115" customFormat="1" ht="30" x14ac:dyDescent="0.25">
      <c r="A1552" s="396"/>
      <c r="B1552" s="1398" t="s">
        <v>8419</v>
      </c>
      <c r="C1552" s="1398"/>
      <c r="D1552" s="1398"/>
      <c r="E1552" s="854">
        <v>333933000000000</v>
      </c>
      <c r="F1552" s="855" t="s">
        <v>8414</v>
      </c>
      <c r="G1552" s="468">
        <v>1</v>
      </c>
      <c r="H1552" s="468">
        <v>0</v>
      </c>
      <c r="I1552" s="751"/>
      <c r="J1552" s="789">
        <f>('Parâmetros financeiros Despesa'!E1223)</f>
        <v>0</v>
      </c>
      <c r="K1552" s="789">
        <f>('Parâmetros financeiros Despesa'!F1223)*(1+'Parâmetros financeiros Despesa'!F$4)*(1+'Parâmetros financeiros Despesa'!F$7)</f>
        <v>545.16575</v>
      </c>
      <c r="L1552" s="799">
        <f t="shared" si="185"/>
        <v>1.8996825263153606E-3</v>
      </c>
      <c r="M1552" s="894"/>
      <c r="N1552" s="796"/>
      <c r="O1552" s="733"/>
    </row>
    <row r="1553" spans="1:15" s="115" customFormat="1" x14ac:dyDescent="0.25">
      <c r="A1553" s="396"/>
      <c r="B1553" s="1398" t="s">
        <v>8420</v>
      </c>
      <c r="C1553" s="1398"/>
      <c r="D1553" s="1398"/>
      <c r="E1553" s="854">
        <v>344905200000000</v>
      </c>
      <c r="F1553" s="855" t="s">
        <v>8415</v>
      </c>
      <c r="G1553" s="468">
        <v>1</v>
      </c>
      <c r="H1553" s="468">
        <v>0</v>
      </c>
      <c r="I1553" s="751"/>
      <c r="J1553" s="789">
        <f>('Parâmetros financeiros Despesa'!E1224)</f>
        <v>0</v>
      </c>
      <c r="K1553" s="789">
        <f>('Parâmetros financeiros Despesa'!F1224)*(1+'Parâmetros financeiros Despesa'!F$4)*(1+'Parâmetros financeiros Despesa'!F$7)</f>
        <v>545.16575</v>
      </c>
      <c r="L1553" s="799">
        <f t="shared" si="185"/>
        <v>1.8996825263153606E-3</v>
      </c>
      <c r="M1553" s="894"/>
      <c r="N1553" s="796"/>
      <c r="O1553" s="733"/>
    </row>
    <row r="1554" spans="1:15" x14ac:dyDescent="0.25">
      <c r="A1554" s="397"/>
      <c r="B1554" s="1385" t="s">
        <v>8354</v>
      </c>
      <c r="C1554" s="1385"/>
      <c r="D1554" s="1385"/>
      <c r="E1554" s="1385"/>
      <c r="F1554" s="1385"/>
      <c r="G1554" s="401"/>
      <c r="H1554" s="401"/>
      <c r="I1554" s="426"/>
      <c r="J1554" s="402">
        <f t="shared" ref="J1554:K1556" si="187">J1555</f>
        <v>5904.79</v>
      </c>
      <c r="K1554" s="402">
        <f t="shared" si="187"/>
        <v>7196.197900000001</v>
      </c>
      <c r="L1554" s="451">
        <f t="shared" si="185"/>
        <v>2.5075844193325231E-2</v>
      </c>
    </row>
    <row r="1555" spans="1:15" x14ac:dyDescent="0.25">
      <c r="A1555" s="397"/>
      <c r="B1555" s="1386" t="s">
        <v>8345</v>
      </c>
      <c r="C1555" s="1386"/>
      <c r="D1555" s="1386"/>
      <c r="E1555" s="1386"/>
      <c r="F1555" s="1386"/>
      <c r="G1555" s="403"/>
      <c r="H1555" s="403"/>
      <c r="I1555" s="427"/>
      <c r="J1555" s="404">
        <f t="shared" si="187"/>
        <v>5904.79</v>
      </c>
      <c r="K1555" s="404">
        <f t="shared" si="187"/>
        <v>7196.197900000001</v>
      </c>
      <c r="L1555" s="452">
        <f t="shared" si="185"/>
        <v>2.5075844193325231E-2</v>
      </c>
    </row>
    <row r="1556" spans="1:15" x14ac:dyDescent="0.25">
      <c r="A1556" s="397"/>
      <c r="B1556" s="1382" t="s">
        <v>8309</v>
      </c>
      <c r="C1556" s="1382"/>
      <c r="D1556" s="1382"/>
      <c r="E1556" s="1382"/>
      <c r="F1556" s="1382"/>
      <c r="G1556" s="405"/>
      <c r="H1556" s="405"/>
      <c r="I1556" s="428"/>
      <c r="J1556" s="406">
        <f t="shared" si="187"/>
        <v>5904.79</v>
      </c>
      <c r="K1556" s="406">
        <f t="shared" si="187"/>
        <v>7196.197900000001</v>
      </c>
      <c r="L1556" s="453">
        <f t="shared" si="185"/>
        <v>2.5075844193325231E-2</v>
      </c>
    </row>
    <row r="1557" spans="1:15" x14ac:dyDescent="0.25">
      <c r="A1557" s="397"/>
      <c r="B1557" s="1383" t="s">
        <v>8355</v>
      </c>
      <c r="C1557" s="1383"/>
      <c r="D1557" s="1383"/>
      <c r="E1557" s="1383"/>
      <c r="F1557" s="1383"/>
      <c r="G1557" s="407"/>
      <c r="H1557" s="407"/>
      <c r="I1557" s="429"/>
      <c r="J1557" s="408">
        <f>SUM(J1558:J1564)-0.01</f>
        <v>5904.79</v>
      </c>
      <c r="K1557" s="408">
        <f>SUM(K1558:K1564)+0.01</f>
        <v>7196.197900000001</v>
      </c>
      <c r="L1557" s="454">
        <f t="shared" si="185"/>
        <v>2.5075844193325231E-2</v>
      </c>
    </row>
    <row r="1558" spans="1:15" s="115" customFormat="1" x14ac:dyDescent="0.25">
      <c r="A1558" s="396"/>
      <c r="B1558" s="1396">
        <v>444000</v>
      </c>
      <c r="C1558" s="1396"/>
      <c r="D1558" s="1396"/>
      <c r="E1558" s="854">
        <v>333903000000000</v>
      </c>
      <c r="F1558" s="855" t="s">
        <v>8426</v>
      </c>
      <c r="G1558" s="468">
        <v>1</v>
      </c>
      <c r="H1558" s="468">
        <v>0</v>
      </c>
      <c r="I1558" s="751"/>
      <c r="J1558" s="789">
        <f>('Parâmetros financeiros Despesa'!E1226)</f>
        <v>3904.8</v>
      </c>
      <c r="K1558" s="789">
        <f>('Parâmetros financeiros Despesa'!F1226)*(1+'Parâmetros financeiros Despesa'!F$4)*(1+'Parâmetros financeiros Despesa'!F$7)</f>
        <v>2180.663</v>
      </c>
      <c r="L1558" s="799">
        <f t="shared" si="185"/>
        <v>7.5987301052614425E-3</v>
      </c>
      <c r="M1558" s="894"/>
      <c r="N1558" s="796"/>
      <c r="O1558" s="733"/>
    </row>
    <row r="1559" spans="1:15" s="115" customFormat="1" x14ac:dyDescent="0.25">
      <c r="A1559" s="396"/>
      <c r="B1559" s="1396">
        <v>444100</v>
      </c>
      <c r="C1559" s="1396"/>
      <c r="D1559" s="1396"/>
      <c r="E1559" s="854">
        <v>333903200000000</v>
      </c>
      <c r="F1559" s="855" t="s">
        <v>8427</v>
      </c>
      <c r="G1559" s="468">
        <v>1</v>
      </c>
      <c r="H1559" s="468">
        <v>0</v>
      </c>
      <c r="I1559" s="751"/>
      <c r="J1559" s="789">
        <f>('Parâmetros financeiros Despesa'!E1227)</f>
        <v>0</v>
      </c>
      <c r="K1559" s="789">
        <f>('Parâmetros financeiros Despesa'!F1227)*(1+'Parâmetros financeiros Despesa'!F$4)*(1+'Parâmetros financeiros Despesa'!F$7)</f>
        <v>545.16575</v>
      </c>
      <c r="L1559" s="799">
        <f t="shared" si="185"/>
        <v>1.8996825263153606E-3</v>
      </c>
      <c r="M1559" s="894"/>
      <c r="N1559" s="796"/>
      <c r="O1559" s="733"/>
    </row>
    <row r="1560" spans="1:15" s="115" customFormat="1" x14ac:dyDescent="0.25">
      <c r="A1560" s="396"/>
      <c r="B1560" s="1398" t="s">
        <v>8421</v>
      </c>
      <c r="C1560" s="1398"/>
      <c r="D1560" s="1398"/>
      <c r="E1560" s="854">
        <v>333903600000000</v>
      </c>
      <c r="F1560" s="855" t="s">
        <v>8428</v>
      </c>
      <c r="G1560" s="468">
        <v>1</v>
      </c>
      <c r="H1560" s="468">
        <v>0</v>
      </c>
      <c r="I1560" s="751"/>
      <c r="J1560" s="789">
        <f>('Parâmetros financeiros Despesa'!E1228)</f>
        <v>0</v>
      </c>
      <c r="K1560" s="789">
        <f>('Parâmetros financeiros Despesa'!F1228)*(1+'Parâmetros financeiros Despesa'!F$4)*(1+'Parâmetros financeiros Despesa'!F$7)</f>
        <v>545.16575</v>
      </c>
      <c r="L1560" s="799">
        <f t="shared" si="185"/>
        <v>1.8996825263153606E-3</v>
      </c>
      <c r="M1560" s="894"/>
      <c r="N1560" s="796"/>
      <c r="O1560" s="733"/>
    </row>
    <row r="1561" spans="1:15" s="115" customFormat="1" x14ac:dyDescent="0.25">
      <c r="A1561" s="396"/>
      <c r="B1561" s="1398" t="s">
        <v>8422</v>
      </c>
      <c r="C1561" s="1398"/>
      <c r="D1561" s="1398"/>
      <c r="E1561" s="854">
        <v>333903900000000</v>
      </c>
      <c r="F1561" s="855" t="s">
        <v>8429</v>
      </c>
      <c r="G1561" s="468">
        <v>1</v>
      </c>
      <c r="H1561" s="468">
        <v>0</v>
      </c>
      <c r="I1561" s="751"/>
      <c r="J1561" s="789">
        <f>('Parâmetros financeiros Despesa'!E1229)</f>
        <v>2000</v>
      </c>
      <c r="K1561" s="789">
        <f>('Parâmetros financeiros Despesa'!F1229)*(1+'Parâmetros financeiros Despesa'!F$4)*(1+'Parâmetros financeiros Despesa'!F$7)</f>
        <v>2180.663</v>
      </c>
      <c r="L1561" s="799">
        <f t="shared" si="185"/>
        <v>7.5987301052614425E-3</v>
      </c>
      <c r="M1561" s="894"/>
      <c r="N1561" s="796"/>
      <c r="O1561" s="733"/>
    </row>
    <row r="1562" spans="1:15" s="115" customFormat="1" x14ac:dyDescent="0.25">
      <c r="A1562" s="396"/>
      <c r="B1562" s="1398" t="s">
        <v>8423</v>
      </c>
      <c r="C1562" s="1398"/>
      <c r="D1562" s="1398"/>
      <c r="E1562" s="854">
        <v>333904700000000</v>
      </c>
      <c r="F1562" s="855" t="s">
        <v>8430</v>
      </c>
      <c r="G1562" s="468">
        <v>1</v>
      </c>
      <c r="H1562" s="468">
        <v>0</v>
      </c>
      <c r="I1562" s="751"/>
      <c r="J1562" s="789">
        <f>'Parâmetros financeiros Despesa'!E1230</f>
        <v>0</v>
      </c>
      <c r="K1562" s="789">
        <f>('Parâmetros financeiros Despesa'!F1230)*(1+'Parâmetros financeiros Despesa'!F$4)*(1+'Parâmetros financeiros Despesa'!F$7)</f>
        <v>109.03315000000001</v>
      </c>
      <c r="L1562" s="799">
        <f t="shared" si="185"/>
        <v>3.7993650526307215E-4</v>
      </c>
      <c r="M1562" s="894"/>
      <c r="N1562" s="796"/>
      <c r="O1562" s="733"/>
    </row>
    <row r="1563" spans="1:15" s="115" customFormat="1" x14ac:dyDescent="0.25">
      <c r="A1563" s="396"/>
      <c r="B1563" s="1398" t="s">
        <v>8424</v>
      </c>
      <c r="C1563" s="1398"/>
      <c r="D1563" s="1398"/>
      <c r="E1563" s="854">
        <v>333933000000000</v>
      </c>
      <c r="F1563" s="855" t="s">
        <v>8431</v>
      </c>
      <c r="G1563" s="468">
        <v>1</v>
      </c>
      <c r="H1563" s="468">
        <v>0</v>
      </c>
      <c r="I1563" s="751"/>
      <c r="J1563" s="789">
        <f>('Parâmetros financeiros Despesa'!E1231)</f>
        <v>0</v>
      </c>
      <c r="K1563" s="789">
        <f>('Parâmetros financeiros Despesa'!F1231)*(1+'Parâmetros financeiros Despesa'!F$4)*(1+'Parâmetros financeiros Despesa'!F$7)</f>
        <v>545.16575</v>
      </c>
      <c r="L1563" s="799">
        <f t="shared" ref="L1563:L1580" si="188">K1563/K$1659</f>
        <v>1.8996825263153606E-3</v>
      </c>
      <c r="M1563" s="894"/>
      <c r="N1563" s="796"/>
      <c r="O1563" s="733"/>
    </row>
    <row r="1564" spans="1:15" s="115" customFormat="1" x14ac:dyDescent="0.25">
      <c r="A1564" s="396"/>
      <c r="B1564" s="1398" t="s">
        <v>8425</v>
      </c>
      <c r="C1564" s="1398"/>
      <c r="D1564" s="1398"/>
      <c r="E1564" s="854">
        <v>344905200000000</v>
      </c>
      <c r="F1564" s="855" t="s">
        <v>8432</v>
      </c>
      <c r="G1564" s="468">
        <v>1</v>
      </c>
      <c r="H1564" s="468">
        <v>0</v>
      </c>
      <c r="I1564" s="751"/>
      <c r="J1564" s="789">
        <f>('Parâmetros financeiros Despesa'!E1232)</f>
        <v>0</v>
      </c>
      <c r="K1564" s="789">
        <f>('Parâmetros financeiros Despesa'!F1232)*(1+'Parâmetros financeiros Despesa'!F$4)*(1+'Parâmetros financeiros Despesa'!F$7)</f>
        <v>1090.3315</v>
      </c>
      <c r="L1564" s="799">
        <f t="shared" si="188"/>
        <v>3.7993650526307213E-3</v>
      </c>
      <c r="M1564" s="894"/>
      <c r="N1564" s="796"/>
      <c r="O1564" s="733"/>
    </row>
    <row r="1565" spans="1:15" x14ac:dyDescent="0.25">
      <c r="A1565" s="397"/>
      <c r="B1565" s="1385" t="s">
        <v>8354</v>
      </c>
      <c r="C1565" s="1385"/>
      <c r="D1565" s="1385"/>
      <c r="E1565" s="1385"/>
      <c r="F1565" s="1385"/>
      <c r="G1565" s="401"/>
      <c r="H1565" s="401"/>
      <c r="I1565" s="426"/>
      <c r="J1565" s="402">
        <f t="shared" ref="J1565:K1567" si="189">J1566</f>
        <v>0</v>
      </c>
      <c r="K1565" s="402">
        <f t="shared" si="189"/>
        <v>23115.0278</v>
      </c>
      <c r="L1565" s="451">
        <f t="shared" si="188"/>
        <v>8.0546539115771296E-2</v>
      </c>
    </row>
    <row r="1566" spans="1:15" x14ac:dyDescent="0.25">
      <c r="A1566" s="397"/>
      <c r="B1566" s="1386" t="s">
        <v>8346</v>
      </c>
      <c r="C1566" s="1386"/>
      <c r="D1566" s="1386"/>
      <c r="E1566" s="1386"/>
      <c r="F1566" s="1386"/>
      <c r="G1566" s="403"/>
      <c r="H1566" s="403"/>
      <c r="I1566" s="427"/>
      <c r="J1566" s="404">
        <f t="shared" si="189"/>
        <v>0</v>
      </c>
      <c r="K1566" s="404">
        <f t="shared" si="189"/>
        <v>23115.0278</v>
      </c>
      <c r="L1566" s="452">
        <f t="shared" si="188"/>
        <v>8.0546539115771296E-2</v>
      </c>
    </row>
    <row r="1567" spans="1:15" x14ac:dyDescent="0.25">
      <c r="A1567" s="397"/>
      <c r="B1567" s="1382" t="s">
        <v>8309</v>
      </c>
      <c r="C1567" s="1382"/>
      <c r="D1567" s="1382"/>
      <c r="E1567" s="1382"/>
      <c r="F1567" s="1382"/>
      <c r="G1567" s="405"/>
      <c r="H1567" s="405"/>
      <c r="I1567" s="428"/>
      <c r="J1567" s="406">
        <f t="shared" si="189"/>
        <v>0</v>
      </c>
      <c r="K1567" s="406">
        <f t="shared" si="189"/>
        <v>23115.0278</v>
      </c>
      <c r="L1567" s="453">
        <f t="shared" si="188"/>
        <v>8.0546539115771296E-2</v>
      </c>
    </row>
    <row r="1568" spans="1:15" x14ac:dyDescent="0.25">
      <c r="A1568" s="397"/>
      <c r="B1568" s="1383" t="s">
        <v>8355</v>
      </c>
      <c r="C1568" s="1383"/>
      <c r="D1568" s="1383"/>
      <c r="E1568" s="1383"/>
      <c r="F1568" s="1383"/>
      <c r="G1568" s="407"/>
      <c r="H1568" s="407"/>
      <c r="I1568" s="429"/>
      <c r="J1568" s="408">
        <f>SUM(J1569:J1575)</f>
        <v>0</v>
      </c>
      <c r="K1568" s="408">
        <f>SUM(K1569:K1575)</f>
        <v>23115.0278</v>
      </c>
      <c r="L1568" s="454">
        <f t="shared" si="188"/>
        <v>8.0546539115771296E-2</v>
      </c>
    </row>
    <row r="1569" spans="1:15" s="115" customFormat="1" x14ac:dyDescent="0.25">
      <c r="A1569" s="396"/>
      <c r="B1569" s="1396">
        <v>444700</v>
      </c>
      <c r="C1569" s="1396"/>
      <c r="D1569" s="1396"/>
      <c r="E1569" s="854">
        <v>333903000000000</v>
      </c>
      <c r="F1569" s="855" t="s">
        <v>8433</v>
      </c>
      <c r="G1569" s="468">
        <v>1</v>
      </c>
      <c r="H1569" s="468">
        <v>0</v>
      </c>
      <c r="I1569" s="751"/>
      <c r="J1569" s="789">
        <f>('Parâmetros financeiros Despesa'!E1234)</f>
        <v>0</v>
      </c>
      <c r="K1569" s="789">
        <f>('Parâmetros financeiros Despesa'!F1234)*(1+'Parâmetros financeiros Despesa'!F$4)*(1+'Parâmetros financeiros Despesa'!F$7)</f>
        <v>1090.3315</v>
      </c>
      <c r="L1569" s="799">
        <f t="shared" si="188"/>
        <v>3.7993650526307213E-3</v>
      </c>
      <c r="M1569" s="894"/>
      <c r="N1569" s="796"/>
      <c r="O1569" s="733"/>
    </row>
    <row r="1570" spans="1:15" s="115" customFormat="1" x14ac:dyDescent="0.25">
      <c r="A1570" s="396"/>
      <c r="B1570" s="1396">
        <v>444800</v>
      </c>
      <c r="C1570" s="1396"/>
      <c r="D1570" s="1396"/>
      <c r="E1570" s="854">
        <v>333903200000000</v>
      </c>
      <c r="F1570" s="855" t="s">
        <v>8434</v>
      </c>
      <c r="G1570" s="468">
        <v>1</v>
      </c>
      <c r="H1570" s="468">
        <v>0</v>
      </c>
      <c r="I1570" s="751"/>
      <c r="J1570" s="789">
        <f>('Parâmetros financeiros Despesa'!E1235)</f>
        <v>0</v>
      </c>
      <c r="K1570" s="789">
        <f>('Parâmetros financeiros Despesa'!F1235)*(1+'Parâmetros financeiros Despesa'!F$4)*(1+'Parâmetros financeiros Despesa'!F$7)</f>
        <v>545.16575</v>
      </c>
      <c r="L1570" s="799">
        <f t="shared" si="188"/>
        <v>1.8996825263153606E-3</v>
      </c>
      <c r="M1570" s="894"/>
      <c r="N1570" s="796"/>
      <c r="O1570" s="733"/>
    </row>
    <row r="1571" spans="1:15" s="115" customFormat="1" x14ac:dyDescent="0.25">
      <c r="A1571" s="396"/>
      <c r="B1571" s="1398" t="s">
        <v>8440</v>
      </c>
      <c r="C1571" s="1398"/>
      <c r="D1571" s="1398"/>
      <c r="E1571" s="854">
        <v>333903600000000</v>
      </c>
      <c r="F1571" s="855" t="s">
        <v>8435</v>
      </c>
      <c r="G1571" s="468">
        <v>1</v>
      </c>
      <c r="H1571" s="468">
        <v>0</v>
      </c>
      <c r="I1571" s="751"/>
      <c r="J1571" s="789">
        <f>('Parâmetros financeiros Despesa'!E1236)</f>
        <v>0</v>
      </c>
      <c r="K1571" s="789">
        <f>('Parâmetros financeiros Despesa'!F1236)*(1+'Parâmetros financeiros Despesa'!F$4)*(1+'Parâmetros financeiros Despesa'!F$7)</f>
        <v>1090.3315</v>
      </c>
      <c r="L1571" s="799">
        <f t="shared" si="188"/>
        <v>3.7993650526307213E-3</v>
      </c>
      <c r="M1571" s="894"/>
      <c r="N1571" s="796"/>
      <c r="O1571" s="733"/>
    </row>
    <row r="1572" spans="1:15" s="115" customFormat="1" x14ac:dyDescent="0.25">
      <c r="A1572" s="396"/>
      <c r="B1572" s="1398" t="s">
        <v>8441</v>
      </c>
      <c r="C1572" s="1398"/>
      <c r="D1572" s="1398"/>
      <c r="E1572" s="854">
        <v>333903900000000</v>
      </c>
      <c r="F1572" s="855" t="s">
        <v>8436</v>
      </c>
      <c r="G1572" s="468">
        <v>1</v>
      </c>
      <c r="H1572" s="468">
        <v>0</v>
      </c>
      <c r="I1572" s="751"/>
      <c r="J1572" s="789">
        <f>('Parâmetros financeiros Despesa'!E1237)</f>
        <v>0</v>
      </c>
      <c r="K1572" s="789">
        <f>('Parâmetros financeiros Despesa'!F1237)*(1+'Parâmetros financeiros Despesa'!F$4)*(1+'Parâmetros financeiros Despesa'!F$7)</f>
        <v>1090.3315</v>
      </c>
      <c r="L1572" s="799">
        <f t="shared" si="188"/>
        <v>3.7993650526307213E-3</v>
      </c>
      <c r="M1572" s="894"/>
      <c r="N1572" s="796"/>
      <c r="O1572" s="733"/>
    </row>
    <row r="1573" spans="1:15" s="115" customFormat="1" x14ac:dyDescent="0.25">
      <c r="A1573" s="396"/>
      <c r="B1573" s="1398" t="s">
        <v>8442</v>
      </c>
      <c r="C1573" s="1398"/>
      <c r="D1573" s="1398"/>
      <c r="E1573" s="854">
        <v>333904700000000</v>
      </c>
      <c r="F1573" s="855" t="s">
        <v>8437</v>
      </c>
      <c r="G1573" s="468">
        <v>1</v>
      </c>
      <c r="H1573" s="468">
        <v>0</v>
      </c>
      <c r="I1573" s="751"/>
      <c r="J1573" s="789">
        <f>'Parâmetros financeiros Despesa'!E1238</f>
        <v>0</v>
      </c>
      <c r="K1573" s="789">
        <f>('Parâmetros financeiros Despesa'!F1238)*(1+'Parâmetros financeiros Despesa'!F$4)*(1+'Parâmetros financeiros Despesa'!F$7)</f>
        <v>218.06630000000001</v>
      </c>
      <c r="L1573" s="799">
        <f t="shared" si="188"/>
        <v>7.5987301052614429E-4</v>
      </c>
      <c r="M1573" s="894"/>
      <c r="N1573" s="796"/>
      <c r="O1573" s="733"/>
    </row>
    <row r="1574" spans="1:15" s="115" customFormat="1" x14ac:dyDescent="0.25">
      <c r="A1574" s="396"/>
      <c r="B1574" s="1398" t="s">
        <v>8443</v>
      </c>
      <c r="C1574" s="1398"/>
      <c r="D1574" s="1398"/>
      <c r="E1574" s="854">
        <v>333933000000000</v>
      </c>
      <c r="F1574" s="855" t="s">
        <v>8438</v>
      </c>
      <c r="G1574" s="468">
        <v>1</v>
      </c>
      <c r="H1574" s="468">
        <v>0</v>
      </c>
      <c r="I1574" s="751"/>
      <c r="J1574" s="789">
        <f>('Parâmetros financeiros Despesa'!E1239)</f>
        <v>0</v>
      </c>
      <c r="K1574" s="789">
        <f>('Parâmetros financeiros Despesa'!F1239)*(1+'Parâmetros financeiros Despesa'!F$4)*(1+'Parâmetros financeiros Despesa'!F$7)</f>
        <v>2725.8287500000001</v>
      </c>
      <c r="L1574" s="799">
        <f t="shared" si="188"/>
        <v>9.4984126315768042E-3</v>
      </c>
      <c r="M1574" s="894"/>
      <c r="N1574" s="796"/>
      <c r="O1574" s="733"/>
    </row>
    <row r="1575" spans="1:15" s="115" customFormat="1" x14ac:dyDescent="0.25">
      <c r="A1575" s="396"/>
      <c r="B1575" s="1398" t="s">
        <v>8444</v>
      </c>
      <c r="C1575" s="1398"/>
      <c r="D1575" s="1398"/>
      <c r="E1575" s="854">
        <v>344905200000000</v>
      </c>
      <c r="F1575" s="855" t="s">
        <v>8439</v>
      </c>
      <c r="G1575" s="468">
        <v>1</v>
      </c>
      <c r="H1575" s="468">
        <v>0</v>
      </c>
      <c r="I1575" s="751"/>
      <c r="J1575" s="789">
        <f>('Parâmetros financeiros Despesa'!E1240)</f>
        <v>0</v>
      </c>
      <c r="K1575" s="789">
        <f>('Parâmetros financeiros Despesa'!F1240)*(1+'Parâmetros financeiros Despesa'!F$4)*(1+'Parâmetros financeiros Despesa'!F$7)</f>
        <v>16354.9725</v>
      </c>
      <c r="L1575" s="799">
        <f t="shared" si="188"/>
        <v>5.6990475789460815E-2</v>
      </c>
      <c r="M1575" s="894"/>
      <c r="N1575" s="796"/>
      <c r="O1575" s="733"/>
    </row>
    <row r="1576" spans="1:15" x14ac:dyDescent="0.25">
      <c r="A1576" s="397"/>
      <c r="B1576" s="1385" t="s">
        <v>8354</v>
      </c>
      <c r="C1576" s="1385"/>
      <c r="D1576" s="1385"/>
      <c r="E1576" s="1385"/>
      <c r="F1576" s="1385"/>
      <c r="G1576" s="401"/>
      <c r="H1576" s="401"/>
      <c r="I1576" s="426"/>
      <c r="J1576" s="402">
        <f t="shared" ref="J1576:K1578" si="190">J1577</f>
        <v>2315.0899999999997</v>
      </c>
      <c r="K1576" s="402">
        <f t="shared" si="190"/>
        <v>19343.541141500002</v>
      </c>
      <c r="L1576" s="451">
        <f t="shared" si="188"/>
        <v>6.7404430860834225E-2</v>
      </c>
    </row>
    <row r="1577" spans="1:15" x14ac:dyDescent="0.25">
      <c r="A1577" s="397"/>
      <c r="B1577" s="1386" t="s">
        <v>8347</v>
      </c>
      <c r="C1577" s="1386"/>
      <c r="D1577" s="1386"/>
      <c r="E1577" s="1386"/>
      <c r="F1577" s="1386"/>
      <c r="G1577" s="403"/>
      <c r="H1577" s="403"/>
      <c r="I1577" s="427"/>
      <c r="J1577" s="404">
        <f t="shared" si="190"/>
        <v>2315.0899999999997</v>
      </c>
      <c r="K1577" s="404">
        <f t="shared" si="190"/>
        <v>19343.541141500002</v>
      </c>
      <c r="L1577" s="452">
        <f t="shared" si="188"/>
        <v>6.7404430860834225E-2</v>
      </c>
    </row>
    <row r="1578" spans="1:15" x14ac:dyDescent="0.25">
      <c r="A1578" s="397"/>
      <c r="B1578" s="1382" t="s">
        <v>8309</v>
      </c>
      <c r="C1578" s="1382"/>
      <c r="D1578" s="1382"/>
      <c r="E1578" s="1382"/>
      <c r="F1578" s="1382"/>
      <c r="G1578" s="405"/>
      <c r="H1578" s="405"/>
      <c r="I1578" s="428"/>
      <c r="J1578" s="406">
        <f t="shared" si="190"/>
        <v>2315.0899999999997</v>
      </c>
      <c r="K1578" s="406">
        <f t="shared" si="190"/>
        <v>19343.541141500002</v>
      </c>
      <c r="L1578" s="453">
        <f t="shared" si="188"/>
        <v>6.7404430860834225E-2</v>
      </c>
    </row>
    <row r="1579" spans="1:15" x14ac:dyDescent="0.25">
      <c r="A1579" s="397"/>
      <c r="B1579" s="1383" t="s">
        <v>8355</v>
      </c>
      <c r="C1579" s="1383"/>
      <c r="D1579" s="1383"/>
      <c r="E1579" s="1383"/>
      <c r="F1579" s="1383"/>
      <c r="G1579" s="407"/>
      <c r="H1579" s="407"/>
      <c r="I1579" s="429"/>
      <c r="J1579" s="408">
        <f>SUM(J1580:J1586)-0.01</f>
        <v>2315.0899999999997</v>
      </c>
      <c r="K1579" s="408">
        <f>SUM(K1580:K1586)</f>
        <v>19343.541141500002</v>
      </c>
      <c r="L1579" s="454">
        <f t="shared" si="188"/>
        <v>6.7404430860834225E-2</v>
      </c>
    </row>
    <row r="1580" spans="1:15" s="115" customFormat="1" x14ac:dyDescent="0.25">
      <c r="A1580" s="396"/>
      <c r="B1580" s="1396">
        <v>445400</v>
      </c>
      <c r="C1580" s="1396"/>
      <c r="D1580" s="1396"/>
      <c r="E1580" s="854">
        <v>333903000000000</v>
      </c>
      <c r="F1580" s="855" t="s">
        <v>8445</v>
      </c>
      <c r="G1580" s="468">
        <v>1</v>
      </c>
      <c r="H1580" s="468">
        <v>0</v>
      </c>
      <c r="I1580" s="751"/>
      <c r="J1580" s="789">
        <f>('Parâmetros financeiros Despesa'!E1242)</f>
        <v>0</v>
      </c>
      <c r="K1580" s="789">
        <f>('Parâmetros financeiros Despesa'!F1242)*(1+'Parâmetros financeiros Despesa'!F$4)*(1+'Parâmetros financeiros Despesa'!F$7)</f>
        <v>5451.6575000000003</v>
      </c>
      <c r="L1580" s="799">
        <f t="shared" si="188"/>
        <v>1.8996825263153608E-2</v>
      </c>
      <c r="M1580" s="894"/>
      <c r="N1580" s="796"/>
      <c r="O1580" s="733"/>
    </row>
    <row r="1581" spans="1:15" s="115" customFormat="1" x14ac:dyDescent="0.25">
      <c r="A1581" s="396"/>
      <c r="B1581" s="1396">
        <v>445500</v>
      </c>
      <c r="C1581" s="1396"/>
      <c r="D1581" s="1396"/>
      <c r="E1581" s="854">
        <v>333903200000000</v>
      </c>
      <c r="F1581" s="855" t="s">
        <v>8446</v>
      </c>
      <c r="G1581" s="468">
        <v>1</v>
      </c>
      <c r="H1581" s="468">
        <v>0</v>
      </c>
      <c r="I1581" s="751"/>
      <c r="J1581" s="789">
        <f>('Parâmetros financeiros Despesa'!E1243)</f>
        <v>0</v>
      </c>
      <c r="K1581" s="789">
        <f>('Parâmetros financeiros Despesa'!F1243)*(1+'Parâmetros financeiros Despesa'!F$4)*(1+'Parâmetros financeiros Despesa'!F$7)</f>
        <v>2180.663</v>
      </c>
      <c r="L1581" s="799">
        <f t="shared" ref="L1581:L1586" si="191">K1581/K$1659</f>
        <v>7.5987301052614425E-3</v>
      </c>
      <c r="M1581" s="894"/>
      <c r="N1581" s="796"/>
      <c r="O1581" s="733"/>
    </row>
    <row r="1582" spans="1:15" s="115" customFormat="1" x14ac:dyDescent="0.25">
      <c r="A1582" s="396"/>
      <c r="B1582" s="1398" t="s">
        <v>8451</v>
      </c>
      <c r="C1582" s="1398"/>
      <c r="D1582" s="1398"/>
      <c r="E1582" s="854">
        <v>333903600000000</v>
      </c>
      <c r="F1582" s="855" t="s">
        <v>8447</v>
      </c>
      <c r="G1582" s="468">
        <v>1</v>
      </c>
      <c r="H1582" s="468">
        <v>0</v>
      </c>
      <c r="I1582" s="751"/>
      <c r="J1582" s="789">
        <f>('Parâmetros financeiros Despesa'!E1244)</f>
        <v>2241</v>
      </c>
      <c r="K1582" s="789">
        <f>('Parâmetros financeiros Despesa'!F1244)*(1+'Parâmetros financeiros Despesa'!F$4)*(1+'Parâmetros financeiros Despesa'!F$7)-0.03</f>
        <v>2443.4028914999999</v>
      </c>
      <c r="L1582" s="799">
        <f t="shared" si="191"/>
        <v>8.5142725450580437E-3</v>
      </c>
      <c r="M1582" s="894"/>
      <c r="N1582" s="796"/>
      <c r="O1582" s="733"/>
    </row>
    <row r="1583" spans="1:15" s="115" customFormat="1" x14ac:dyDescent="0.25">
      <c r="A1583" s="396"/>
      <c r="B1583" s="1398" t="s">
        <v>8452</v>
      </c>
      <c r="C1583" s="1398"/>
      <c r="D1583" s="1398"/>
      <c r="E1583" s="854">
        <v>333903900000000</v>
      </c>
      <c r="F1583" s="855" t="s">
        <v>8448</v>
      </c>
      <c r="G1583" s="468">
        <v>1</v>
      </c>
      <c r="H1583" s="468">
        <v>0</v>
      </c>
      <c r="I1583" s="751"/>
      <c r="J1583" s="789">
        <f>('Parâmetros financeiros Despesa'!E1245)</f>
        <v>0</v>
      </c>
      <c r="K1583" s="789">
        <f>('Parâmetros financeiros Despesa'!F1245)*(1+'Parâmetros financeiros Despesa'!F$4)*(1+'Parâmetros financeiros Despesa'!F$7)</f>
        <v>5451.6575000000003</v>
      </c>
      <c r="L1583" s="799">
        <f t="shared" si="191"/>
        <v>1.8996825263153608E-2</v>
      </c>
      <c r="M1583" s="894"/>
      <c r="N1583" s="796"/>
      <c r="O1583" s="733"/>
    </row>
    <row r="1584" spans="1:15" s="115" customFormat="1" x14ac:dyDescent="0.25">
      <c r="A1584" s="396"/>
      <c r="B1584" s="1398" t="s">
        <v>8453</v>
      </c>
      <c r="C1584" s="1398"/>
      <c r="D1584" s="1398"/>
      <c r="E1584" s="854">
        <v>333904700000000</v>
      </c>
      <c r="F1584" s="855" t="s">
        <v>8449</v>
      </c>
      <c r="G1584" s="468">
        <v>1</v>
      </c>
      <c r="H1584" s="468">
        <v>0</v>
      </c>
      <c r="I1584" s="751"/>
      <c r="J1584" s="789">
        <f>'Parâmetros financeiros Despesa'!E1246</f>
        <v>74.099999999999994</v>
      </c>
      <c r="K1584" s="789">
        <f>('Parâmetros financeiros Despesa'!F1246)*(1+'Parâmetros financeiros Despesa'!F$4)*(1+'Parâmetros financeiros Despesa'!F$7)</f>
        <v>1090.3315</v>
      </c>
      <c r="L1584" s="799">
        <f t="shared" si="191"/>
        <v>3.7993650526307213E-3</v>
      </c>
      <c r="M1584" s="894"/>
      <c r="N1584" s="796"/>
      <c r="O1584" s="733"/>
    </row>
    <row r="1585" spans="1:15" s="115" customFormat="1" ht="30" x14ac:dyDescent="0.25">
      <c r="A1585" s="396"/>
      <c r="B1585" s="1398" t="s">
        <v>8454</v>
      </c>
      <c r="C1585" s="1398"/>
      <c r="D1585" s="1398"/>
      <c r="E1585" s="854">
        <v>333933000000000</v>
      </c>
      <c r="F1585" s="855" t="s">
        <v>8450</v>
      </c>
      <c r="G1585" s="468">
        <v>1</v>
      </c>
      <c r="H1585" s="468">
        <v>0</v>
      </c>
      <c r="I1585" s="751"/>
      <c r="J1585" s="789">
        <f>('Parâmetros financeiros Despesa'!E1247)</f>
        <v>0</v>
      </c>
      <c r="K1585" s="789">
        <f>('Parâmetros financeiros Despesa'!F1247)*(1+'Parâmetros financeiros Despesa'!F$4)*(1+'Parâmetros financeiros Despesa'!F$7)</f>
        <v>545.16575</v>
      </c>
      <c r="L1585" s="799">
        <f t="shared" si="191"/>
        <v>1.8996825263153606E-3</v>
      </c>
      <c r="M1585" s="894"/>
      <c r="N1585" s="796"/>
      <c r="O1585" s="733"/>
    </row>
    <row r="1586" spans="1:15" s="115" customFormat="1" x14ac:dyDescent="0.25">
      <c r="A1586" s="396"/>
      <c r="B1586" s="1398" t="s">
        <v>8455</v>
      </c>
      <c r="C1586" s="1398"/>
      <c r="D1586" s="1398"/>
      <c r="E1586" s="854">
        <v>344905200000000</v>
      </c>
      <c r="F1586" s="855" t="s">
        <v>8463</v>
      </c>
      <c r="G1586" s="468">
        <v>1</v>
      </c>
      <c r="H1586" s="468">
        <v>0</v>
      </c>
      <c r="I1586" s="751"/>
      <c r="J1586" s="789">
        <f>('Parâmetros financeiros Despesa'!E1248)</f>
        <v>0</v>
      </c>
      <c r="K1586" s="789">
        <f>('Parâmetros financeiros Despesa'!F1248)*(1+'Parâmetros financeiros Despesa'!F$4)*(1+'Parâmetros financeiros Despesa'!F$7)</f>
        <v>2180.663</v>
      </c>
      <c r="L1586" s="799">
        <f t="shared" si="191"/>
        <v>7.5987301052614425E-3</v>
      </c>
      <c r="M1586" s="894"/>
      <c r="N1586" s="796"/>
      <c r="O1586" s="733"/>
    </row>
    <row r="1587" spans="1:15" x14ac:dyDescent="0.25">
      <c r="A1587" s="397"/>
      <c r="B1587" s="1385" t="s">
        <v>8354</v>
      </c>
      <c r="C1587" s="1385"/>
      <c r="D1587" s="1385"/>
      <c r="E1587" s="1385"/>
      <c r="F1587" s="1385"/>
      <c r="G1587" s="401"/>
      <c r="H1587" s="401"/>
      <c r="I1587" s="426"/>
      <c r="J1587" s="402">
        <f t="shared" ref="J1587:K1589" si="192">J1588</f>
        <v>69747.55</v>
      </c>
      <c r="K1587" s="402">
        <f t="shared" si="192"/>
        <v>78963.244660950018</v>
      </c>
      <c r="L1587" s="451">
        <f>K1587/K$1659</f>
        <v>0.27515502597801023</v>
      </c>
    </row>
    <row r="1588" spans="1:15" x14ac:dyDescent="0.25">
      <c r="A1588" s="397"/>
      <c r="B1588" s="1386" t="s">
        <v>8348</v>
      </c>
      <c r="C1588" s="1386"/>
      <c r="D1588" s="1386"/>
      <c r="E1588" s="1386"/>
      <c r="F1588" s="1386"/>
      <c r="G1588" s="403"/>
      <c r="H1588" s="403"/>
      <c r="I1588" s="427"/>
      <c r="J1588" s="404">
        <f t="shared" si="192"/>
        <v>69747.55</v>
      </c>
      <c r="K1588" s="404">
        <f t="shared" si="192"/>
        <v>78963.244660950018</v>
      </c>
      <c r="L1588" s="452">
        <f>K1588/K$1659</f>
        <v>0.27515502597801023</v>
      </c>
    </row>
    <row r="1589" spans="1:15" x14ac:dyDescent="0.25">
      <c r="A1589" s="397"/>
      <c r="B1589" s="1382" t="s">
        <v>8309</v>
      </c>
      <c r="C1589" s="1382"/>
      <c r="D1589" s="1382"/>
      <c r="E1589" s="1382"/>
      <c r="F1589" s="1382"/>
      <c r="G1589" s="405"/>
      <c r="H1589" s="405"/>
      <c r="I1589" s="428"/>
      <c r="J1589" s="406">
        <f t="shared" si="192"/>
        <v>69747.55</v>
      </c>
      <c r="K1589" s="406">
        <f t="shared" si="192"/>
        <v>78963.244660950018</v>
      </c>
      <c r="L1589" s="453">
        <f>K1589/K$1659</f>
        <v>0.27515502597801023</v>
      </c>
    </row>
    <row r="1590" spans="1:15" x14ac:dyDescent="0.25">
      <c r="A1590" s="397"/>
      <c r="B1590" s="1383" t="s">
        <v>8355</v>
      </c>
      <c r="C1590" s="1383"/>
      <c r="D1590" s="1383"/>
      <c r="E1590" s="1383"/>
      <c r="F1590" s="1383"/>
      <c r="G1590" s="407"/>
      <c r="H1590" s="407"/>
      <c r="I1590" s="429"/>
      <c r="J1590" s="408">
        <f>SUM(J1591:J1598)+0.01</f>
        <v>69747.55</v>
      </c>
      <c r="K1590" s="408">
        <f>SUM(K1591:K1598)+0.02</f>
        <v>78963.244660950018</v>
      </c>
      <c r="L1590" s="454">
        <f>K1590/K$1659</f>
        <v>0.27515502597801023</v>
      </c>
    </row>
    <row r="1591" spans="1:15" s="115" customFormat="1" x14ac:dyDescent="0.25">
      <c r="A1591" s="396"/>
      <c r="B1591" s="1396">
        <v>446100</v>
      </c>
      <c r="C1591" s="1396"/>
      <c r="D1591" s="1396"/>
      <c r="E1591" s="854">
        <v>333903000000000</v>
      </c>
      <c r="F1591" s="855" t="s">
        <v>8456</v>
      </c>
      <c r="G1591" s="468">
        <v>1</v>
      </c>
      <c r="H1591" s="468">
        <v>0</v>
      </c>
      <c r="I1591" s="751"/>
      <c r="J1591" s="789">
        <f>('Parâmetros financeiros Despesa'!E1250)</f>
        <v>18122.04</v>
      </c>
      <c r="K1591" s="789">
        <f>('Parâmetros financeiros Despesa'!F1250)*(1+'Parâmetros financeiros Despesa'!F$4)*(1+'Parâmetros financeiros Despesa'!F$7)</f>
        <v>19759.031056260003</v>
      </c>
      <c r="L1591" s="799">
        <f>K1591/K$1659</f>
        <v>6.8852245458376038E-2</v>
      </c>
      <c r="M1591" s="894"/>
      <c r="N1591" s="796"/>
      <c r="O1591" s="733"/>
    </row>
    <row r="1592" spans="1:15" s="115" customFormat="1" x14ac:dyDescent="0.25">
      <c r="A1592" s="396"/>
      <c r="B1592" s="1396">
        <v>446200</v>
      </c>
      <c r="C1592" s="1396"/>
      <c r="D1592" s="1396"/>
      <c r="E1592" s="854">
        <v>333903200000000</v>
      </c>
      <c r="F1592" s="855" t="s">
        <v>8457</v>
      </c>
      <c r="G1592" s="468">
        <v>1</v>
      </c>
      <c r="H1592" s="468">
        <v>0</v>
      </c>
      <c r="I1592" s="751"/>
      <c r="J1592" s="789">
        <f>('Parâmetros financeiros Despesa'!E1252)</f>
        <v>0</v>
      </c>
      <c r="K1592" s="789">
        <f>('Parâmetros financeiros Despesa'!F1252)*(1+'Parâmetros financeiros Despesa'!F$4)*(1+'Parâmetros financeiros Despesa'!F$7)</f>
        <v>545.16575</v>
      </c>
      <c r="L1592" s="799">
        <f t="shared" ref="L1592:L1598" si="193">K1592/K$1659</f>
        <v>1.8996825263153606E-3</v>
      </c>
      <c r="M1592" s="894"/>
      <c r="N1592" s="796"/>
      <c r="O1592" s="733"/>
    </row>
    <row r="1593" spans="1:15" s="115" customFormat="1" x14ac:dyDescent="0.25">
      <c r="A1593" s="396"/>
      <c r="B1593" s="1398" t="s">
        <v>8464</v>
      </c>
      <c r="C1593" s="1398"/>
      <c r="D1593" s="1398"/>
      <c r="E1593" s="854">
        <v>333903600000000</v>
      </c>
      <c r="F1593" s="855" t="s">
        <v>8458</v>
      </c>
      <c r="G1593" s="468">
        <v>1</v>
      </c>
      <c r="H1593" s="468">
        <v>0</v>
      </c>
      <c r="I1593" s="751"/>
      <c r="J1593" s="789">
        <f>('Parâmetros financeiros Despesa'!E1253)</f>
        <v>664.5</v>
      </c>
      <c r="K1593" s="789">
        <f>('Parâmetros financeiros Despesa'!F1253)*(1+'Parâmetros financeiros Despesa'!F$4)*(1+'Parâmetros financeiros Despesa'!F$7)</f>
        <v>724.52528174999998</v>
      </c>
      <c r="L1593" s="799">
        <f t="shared" si="193"/>
        <v>2.5246780774731141E-3</v>
      </c>
      <c r="M1593" s="894"/>
      <c r="N1593" s="796"/>
      <c r="O1593" s="733"/>
    </row>
    <row r="1594" spans="1:15" s="115" customFormat="1" x14ac:dyDescent="0.25">
      <c r="A1594" s="396"/>
      <c r="B1594" s="1398" t="s">
        <v>8465</v>
      </c>
      <c r="C1594" s="1398"/>
      <c r="D1594" s="1398"/>
      <c r="E1594" s="854">
        <v>333903900000000</v>
      </c>
      <c r="F1594" s="855" t="s">
        <v>8459</v>
      </c>
      <c r="G1594" s="468">
        <v>1</v>
      </c>
      <c r="H1594" s="468">
        <v>0</v>
      </c>
      <c r="I1594" s="751"/>
      <c r="J1594" s="789">
        <f>('Parâmetros financeiros Despesa'!E1254)</f>
        <v>46282.5</v>
      </c>
      <c r="K1594" s="789">
        <f>('Parâmetros financeiros Despesa'!F1254)*(1+'Parâmetros financeiros Despesa'!F$4)*(1+'Parâmetros financeiros Despesa'!F$7)</f>
        <v>50463.267648749999</v>
      </c>
      <c r="L1594" s="799">
        <f t="shared" si="193"/>
        <v>0.17584411304838135</v>
      </c>
      <c r="M1594" s="894"/>
      <c r="N1594" s="796"/>
      <c r="O1594" s="733"/>
    </row>
    <row r="1595" spans="1:15" s="115" customFormat="1" x14ac:dyDescent="0.25">
      <c r="A1595" s="396"/>
      <c r="B1595" s="1398" t="s">
        <v>8466</v>
      </c>
      <c r="C1595" s="1398"/>
      <c r="D1595" s="1398"/>
      <c r="E1595" s="854">
        <v>333904700000000</v>
      </c>
      <c r="F1595" s="855" t="s">
        <v>8460</v>
      </c>
      <c r="G1595" s="468">
        <v>1</v>
      </c>
      <c r="H1595" s="468">
        <v>0</v>
      </c>
      <c r="I1595" s="751"/>
      <c r="J1595" s="789">
        <f>('Parâmetros financeiros Despesa'!E1256)</f>
        <v>1459.1399999999999</v>
      </c>
      <c r="K1595" s="789">
        <f>('Parâmetros financeiros Despesa'!F1256)*(1+'Parâmetros financeiros Despesa'!F$4)*(1+'Parâmetros financeiros Despesa'!F$7)</f>
        <v>1235.23655635</v>
      </c>
      <c r="L1595" s="799">
        <f t="shared" si="193"/>
        <v>4.3043006681253437E-3</v>
      </c>
      <c r="M1595" s="894"/>
      <c r="N1595" s="796"/>
      <c r="O1595" s="733"/>
    </row>
    <row r="1596" spans="1:15" s="115" customFormat="1" x14ac:dyDescent="0.25">
      <c r="A1596" s="396"/>
      <c r="B1596" s="1398" t="s">
        <v>8467</v>
      </c>
      <c r="C1596" s="1398"/>
      <c r="D1596" s="1398"/>
      <c r="E1596" s="854">
        <v>333933000000000</v>
      </c>
      <c r="F1596" s="855" t="s">
        <v>8461</v>
      </c>
      <c r="G1596" s="468">
        <v>1</v>
      </c>
      <c r="H1596" s="468">
        <v>0</v>
      </c>
      <c r="I1596" s="751"/>
      <c r="J1596" s="789">
        <f>('Parâmetros financeiros Despesa'!E1257)</f>
        <v>0</v>
      </c>
      <c r="K1596" s="789">
        <f>('Parâmetros financeiros Despesa'!F1257)*(1+'Parâmetros financeiros Despesa'!F$4)*(1+'Parâmetros financeiros Despesa'!F$7)</f>
        <v>1635.4972500000001</v>
      </c>
      <c r="L1596" s="799">
        <f t="shared" si="193"/>
        <v>5.6990475789460825E-3</v>
      </c>
      <c r="M1596" s="894"/>
      <c r="N1596" s="796"/>
      <c r="O1596" s="733"/>
    </row>
    <row r="1597" spans="1:15" s="115" customFormat="1" x14ac:dyDescent="0.25">
      <c r="A1597" s="396"/>
      <c r="B1597" s="1398" t="s">
        <v>8468</v>
      </c>
      <c r="C1597" s="1398"/>
      <c r="D1597" s="1398"/>
      <c r="E1597" s="854">
        <v>344905100000000</v>
      </c>
      <c r="F1597" s="855" t="s">
        <v>8557</v>
      </c>
      <c r="G1597" s="468">
        <v>1</v>
      </c>
      <c r="H1597" s="468">
        <v>0</v>
      </c>
      <c r="I1597" s="751"/>
      <c r="J1597" s="789">
        <f>('Parâmetros financeiros Despesa'!E1258)</f>
        <v>0</v>
      </c>
      <c r="K1597" s="789">
        <f>('Parâmetros financeiros Despesa'!F1258)*(1+'Parâmetros financeiros Despesa'!F$4)*(1+'Parâmetros financeiros Despesa'!F$7)</f>
        <v>1090.3315</v>
      </c>
      <c r="L1597" s="799">
        <f t="shared" si="193"/>
        <v>3.7993650526307213E-3</v>
      </c>
      <c r="M1597" s="894"/>
      <c r="N1597" s="796"/>
      <c r="O1597" s="733"/>
    </row>
    <row r="1598" spans="1:15" s="115" customFormat="1" x14ac:dyDescent="0.25">
      <c r="A1598" s="396"/>
      <c r="B1598" s="1398" t="s">
        <v>8558</v>
      </c>
      <c r="C1598" s="1398"/>
      <c r="D1598" s="1398"/>
      <c r="E1598" s="854">
        <v>344905200000000</v>
      </c>
      <c r="F1598" s="855" t="s">
        <v>8462</v>
      </c>
      <c r="G1598" s="468">
        <v>1</v>
      </c>
      <c r="H1598" s="468">
        <v>0</v>
      </c>
      <c r="I1598" s="751"/>
      <c r="J1598" s="789">
        <f>('Parâmetros financeiros Despesa'!E1259)</f>
        <v>3219.3599999999997</v>
      </c>
      <c r="K1598" s="789">
        <f>('Parâmetros financeiros Despesa'!F1259)*(1+'Parâmetros financeiros Despesa'!F$4)*(1+'Parâmetros financeiros Despesa'!F$7)</f>
        <v>3510.1696178399993</v>
      </c>
      <c r="L1598" s="799">
        <f t="shared" si="193"/>
        <v>1.2231523875837237E-2</v>
      </c>
      <c r="M1598" s="894"/>
      <c r="N1598" s="796"/>
      <c r="O1598" s="733"/>
    </row>
    <row r="1599" spans="1:15" x14ac:dyDescent="0.25">
      <c r="A1599" s="397"/>
      <c r="B1599" s="1385" t="s">
        <v>8354</v>
      </c>
      <c r="C1599" s="1385"/>
      <c r="D1599" s="1385"/>
      <c r="E1599" s="1385"/>
      <c r="F1599" s="1385"/>
      <c r="G1599" s="401"/>
      <c r="H1599" s="401"/>
      <c r="I1599" s="426"/>
      <c r="J1599" s="402">
        <f t="shared" ref="J1599:K1601" si="194">J1600</f>
        <v>0</v>
      </c>
      <c r="K1599" s="402">
        <f t="shared" si="194"/>
        <v>3380.0376500000007</v>
      </c>
      <c r="L1599" s="451">
        <f>K1599/K$1659</f>
        <v>1.1778066509117707E-2</v>
      </c>
    </row>
    <row r="1600" spans="1:15" x14ac:dyDescent="0.25">
      <c r="A1600" s="397"/>
      <c r="B1600" s="1386" t="s">
        <v>8349</v>
      </c>
      <c r="C1600" s="1386"/>
      <c r="D1600" s="1386"/>
      <c r="E1600" s="1386"/>
      <c r="F1600" s="1386"/>
      <c r="G1600" s="403"/>
      <c r="H1600" s="403"/>
      <c r="I1600" s="427"/>
      <c r="J1600" s="404">
        <f t="shared" si="194"/>
        <v>0</v>
      </c>
      <c r="K1600" s="404">
        <f t="shared" si="194"/>
        <v>3380.0376500000007</v>
      </c>
      <c r="L1600" s="452">
        <f>K1600/K$1659</f>
        <v>1.1778066509117707E-2</v>
      </c>
    </row>
    <row r="1601" spans="1:15" x14ac:dyDescent="0.25">
      <c r="A1601" s="397"/>
      <c r="B1601" s="1382" t="s">
        <v>8309</v>
      </c>
      <c r="C1601" s="1382"/>
      <c r="D1601" s="1382"/>
      <c r="E1601" s="1382"/>
      <c r="F1601" s="1382"/>
      <c r="G1601" s="405"/>
      <c r="H1601" s="405"/>
      <c r="I1601" s="428"/>
      <c r="J1601" s="406">
        <f t="shared" si="194"/>
        <v>0</v>
      </c>
      <c r="K1601" s="406">
        <f t="shared" si="194"/>
        <v>3380.0376500000007</v>
      </c>
      <c r="L1601" s="453">
        <f>K1601/K$1659</f>
        <v>1.1778066509117707E-2</v>
      </c>
    </row>
    <row r="1602" spans="1:15" x14ac:dyDescent="0.25">
      <c r="A1602" s="397"/>
      <c r="B1602" s="1383" t="s">
        <v>8355</v>
      </c>
      <c r="C1602" s="1383"/>
      <c r="D1602" s="1383"/>
      <c r="E1602" s="1383"/>
      <c r="F1602" s="1383"/>
      <c r="G1602" s="407"/>
      <c r="H1602" s="407"/>
      <c r="I1602" s="429"/>
      <c r="J1602" s="408">
        <f>SUM(J1603:J1609)</f>
        <v>0</v>
      </c>
      <c r="K1602" s="408">
        <f>SUM(K1603:K1609)+0.01</f>
        <v>3380.0376500000007</v>
      </c>
      <c r="L1602" s="454">
        <f>K1602/K$1659</f>
        <v>1.1778066509117707E-2</v>
      </c>
    </row>
    <row r="1603" spans="1:15" s="115" customFormat="1" x14ac:dyDescent="0.25">
      <c r="A1603" s="396"/>
      <c r="B1603" s="1396">
        <v>446900</v>
      </c>
      <c r="C1603" s="1396"/>
      <c r="D1603" s="1396"/>
      <c r="E1603" s="854">
        <v>333903000000000</v>
      </c>
      <c r="F1603" s="855" t="s">
        <v>8469</v>
      </c>
      <c r="G1603" s="468">
        <v>1</v>
      </c>
      <c r="H1603" s="468">
        <v>0</v>
      </c>
      <c r="I1603" s="751"/>
      <c r="J1603" s="789">
        <f>('Parâmetros financeiros Despesa'!E1261)</f>
        <v>0</v>
      </c>
      <c r="K1603" s="789">
        <f>('Parâmetros financeiros Despesa'!F1261)*(1+'Parâmetros financeiros Despesa'!F$4)*(1+'Parâmetros financeiros Despesa'!F$7)</f>
        <v>545.16575</v>
      </c>
      <c r="L1603" s="799">
        <f>K1603/K$1659</f>
        <v>1.8996825263153606E-3</v>
      </c>
      <c r="M1603" s="894"/>
      <c r="N1603" s="796"/>
      <c r="O1603" s="733"/>
    </row>
    <row r="1604" spans="1:15" s="115" customFormat="1" x14ac:dyDescent="0.25">
      <c r="A1604" s="396"/>
      <c r="B1604" s="1396">
        <v>447000</v>
      </c>
      <c r="C1604" s="1396"/>
      <c r="D1604" s="1396"/>
      <c r="E1604" s="854">
        <v>333903200000000</v>
      </c>
      <c r="F1604" s="855" t="s">
        <v>8470</v>
      </c>
      <c r="G1604" s="468">
        <v>1</v>
      </c>
      <c r="H1604" s="468">
        <v>0</v>
      </c>
      <c r="I1604" s="751"/>
      <c r="J1604" s="789">
        <f>('Parâmetros financeiros Despesa'!E1262)</f>
        <v>0</v>
      </c>
      <c r="K1604" s="789">
        <f>('Parâmetros financeiros Despesa'!F1262)*(1+'Parâmetros financeiros Despesa'!F$4)*(1+'Parâmetros financeiros Despesa'!F$7)</f>
        <v>545.16575</v>
      </c>
      <c r="L1604" s="799">
        <f t="shared" ref="L1604:L1609" si="195">K1604/K$1659</f>
        <v>1.8996825263153606E-3</v>
      </c>
      <c r="M1604" s="894"/>
      <c r="N1604" s="796"/>
      <c r="O1604" s="733"/>
    </row>
    <row r="1605" spans="1:15" s="115" customFormat="1" x14ac:dyDescent="0.25">
      <c r="A1605" s="396"/>
      <c r="B1605" s="1398" t="s">
        <v>8476</v>
      </c>
      <c r="C1605" s="1398"/>
      <c r="D1605" s="1398"/>
      <c r="E1605" s="854">
        <v>333903600000000</v>
      </c>
      <c r="F1605" s="855" t="s">
        <v>8471</v>
      </c>
      <c r="G1605" s="468">
        <v>1</v>
      </c>
      <c r="H1605" s="468">
        <v>0</v>
      </c>
      <c r="I1605" s="751"/>
      <c r="J1605" s="789">
        <f>('Parâmetros financeiros Despesa'!E1263)</f>
        <v>0</v>
      </c>
      <c r="K1605" s="789">
        <f>('Parâmetros financeiros Despesa'!F1263)*(1+'Parâmetros financeiros Despesa'!F$4)*(1+'Parâmetros financeiros Despesa'!F$7)</f>
        <v>545.16575</v>
      </c>
      <c r="L1605" s="799">
        <f t="shared" si="195"/>
        <v>1.8996825263153606E-3</v>
      </c>
      <c r="M1605" s="894"/>
      <c r="N1605" s="796"/>
      <c r="O1605" s="733"/>
    </row>
    <row r="1606" spans="1:15" s="115" customFormat="1" x14ac:dyDescent="0.25">
      <c r="A1606" s="396"/>
      <c r="B1606" s="1398" t="s">
        <v>8477</v>
      </c>
      <c r="C1606" s="1398"/>
      <c r="D1606" s="1398"/>
      <c r="E1606" s="854">
        <v>333903900000000</v>
      </c>
      <c r="F1606" s="855" t="s">
        <v>8472</v>
      </c>
      <c r="G1606" s="468">
        <v>1</v>
      </c>
      <c r="H1606" s="468">
        <v>0</v>
      </c>
      <c r="I1606" s="751"/>
      <c r="J1606" s="789">
        <f>('Parâmetros financeiros Despesa'!E1264)</f>
        <v>0</v>
      </c>
      <c r="K1606" s="789">
        <f>('Parâmetros financeiros Despesa'!F1264)*(1+'Parâmetros financeiros Despesa'!F$4)*(1+'Parâmetros financeiros Despesa'!F$7)</f>
        <v>545.16575</v>
      </c>
      <c r="L1606" s="799">
        <f t="shared" si="195"/>
        <v>1.8996825263153606E-3</v>
      </c>
      <c r="M1606" s="894"/>
      <c r="N1606" s="796"/>
      <c r="O1606" s="733"/>
    </row>
    <row r="1607" spans="1:15" s="115" customFormat="1" x14ac:dyDescent="0.25">
      <c r="A1607" s="396"/>
      <c r="B1607" s="1398" t="s">
        <v>8478</v>
      </c>
      <c r="C1607" s="1398"/>
      <c r="D1607" s="1398"/>
      <c r="E1607" s="854">
        <v>333904700000000</v>
      </c>
      <c r="F1607" s="855" t="s">
        <v>8473</v>
      </c>
      <c r="G1607" s="468">
        <v>1</v>
      </c>
      <c r="H1607" s="468">
        <v>0</v>
      </c>
      <c r="I1607" s="751"/>
      <c r="J1607" s="789">
        <f>'Parâmetros financeiros Despesa'!E1265</f>
        <v>0</v>
      </c>
      <c r="K1607" s="789">
        <f>('Parâmetros financeiros Despesa'!F1265)*(1+'Parâmetros financeiros Despesa'!F$4)*(1+'Parâmetros financeiros Despesa'!F$7)</f>
        <v>109.03315000000001</v>
      </c>
      <c r="L1607" s="799">
        <f t="shared" si="195"/>
        <v>3.7993650526307215E-4</v>
      </c>
      <c r="M1607" s="894"/>
      <c r="N1607" s="796"/>
      <c r="O1607" s="733"/>
    </row>
    <row r="1608" spans="1:15" s="115" customFormat="1" x14ac:dyDescent="0.25">
      <c r="A1608" s="396"/>
      <c r="B1608" s="1398" t="s">
        <v>8479</v>
      </c>
      <c r="C1608" s="1398"/>
      <c r="D1608" s="1398"/>
      <c r="E1608" s="854">
        <v>333933000000000</v>
      </c>
      <c r="F1608" s="855" t="s">
        <v>8474</v>
      </c>
      <c r="G1608" s="468">
        <v>1</v>
      </c>
      <c r="H1608" s="468">
        <v>0</v>
      </c>
      <c r="I1608" s="751"/>
      <c r="J1608" s="789">
        <f>('Parâmetros financeiros Despesa'!E1266)</f>
        <v>0</v>
      </c>
      <c r="K1608" s="789">
        <f>('Parâmetros financeiros Despesa'!F1266)*(1+'Parâmetros financeiros Despesa'!F$4)*(1+'Parâmetros financeiros Despesa'!F$7)</f>
        <v>545.16575</v>
      </c>
      <c r="L1608" s="799">
        <f t="shared" si="195"/>
        <v>1.8996825263153606E-3</v>
      </c>
      <c r="M1608" s="894"/>
      <c r="N1608" s="796"/>
      <c r="O1608" s="733"/>
    </row>
    <row r="1609" spans="1:15" s="115" customFormat="1" x14ac:dyDescent="0.25">
      <c r="A1609" s="396"/>
      <c r="B1609" s="1398" t="s">
        <v>8559</v>
      </c>
      <c r="C1609" s="1398"/>
      <c r="D1609" s="1398"/>
      <c r="E1609" s="854">
        <v>344905200000000</v>
      </c>
      <c r="F1609" s="855" t="s">
        <v>8475</v>
      </c>
      <c r="G1609" s="468">
        <v>1</v>
      </c>
      <c r="H1609" s="468">
        <v>0</v>
      </c>
      <c r="I1609" s="751"/>
      <c r="J1609" s="789">
        <f>('Parâmetros financeiros Despesa'!E1267)</f>
        <v>0</v>
      </c>
      <c r="K1609" s="789">
        <f>('Parâmetros financeiros Despesa'!F1267)*(1+'Parâmetros financeiros Despesa'!F$4)*(1+'Parâmetros financeiros Despesa'!F$7)</f>
        <v>545.16575</v>
      </c>
      <c r="L1609" s="799">
        <f t="shared" si="195"/>
        <v>1.8996825263153606E-3</v>
      </c>
      <c r="M1609" s="894"/>
      <c r="N1609" s="796"/>
      <c r="O1609" s="733"/>
    </row>
    <row r="1610" spans="1:15" x14ac:dyDescent="0.25">
      <c r="A1610" s="397"/>
      <c r="B1610" s="1385" t="s">
        <v>8354</v>
      </c>
      <c r="C1610" s="1385"/>
      <c r="D1610" s="1385"/>
      <c r="E1610" s="1385"/>
      <c r="F1610" s="1385"/>
      <c r="G1610" s="401"/>
      <c r="H1610" s="401"/>
      <c r="I1610" s="426"/>
      <c r="J1610" s="402">
        <f t="shared" ref="J1610:K1612" si="196">J1611</f>
        <v>0</v>
      </c>
      <c r="K1610" s="402">
        <f t="shared" si="196"/>
        <v>8940.7083000000002</v>
      </c>
      <c r="L1610" s="451">
        <f>K1610/K$1659</f>
        <v>3.1154758585609447E-2</v>
      </c>
    </row>
    <row r="1611" spans="1:15" x14ac:dyDescent="0.25">
      <c r="A1611" s="397"/>
      <c r="B1611" s="1386" t="s">
        <v>8350</v>
      </c>
      <c r="C1611" s="1386"/>
      <c r="D1611" s="1386"/>
      <c r="E1611" s="1386"/>
      <c r="F1611" s="1386"/>
      <c r="G1611" s="403"/>
      <c r="H1611" s="403"/>
      <c r="I1611" s="427"/>
      <c r="J1611" s="404">
        <f t="shared" si="196"/>
        <v>0</v>
      </c>
      <c r="K1611" s="404">
        <f t="shared" si="196"/>
        <v>8940.7083000000002</v>
      </c>
      <c r="L1611" s="452">
        <f>K1611/K$1659</f>
        <v>3.1154758585609447E-2</v>
      </c>
    </row>
    <row r="1612" spans="1:15" x14ac:dyDescent="0.25">
      <c r="A1612" s="397"/>
      <c r="B1612" s="1382" t="s">
        <v>8309</v>
      </c>
      <c r="C1612" s="1382"/>
      <c r="D1612" s="1382"/>
      <c r="E1612" s="1382"/>
      <c r="F1612" s="1382"/>
      <c r="G1612" s="405"/>
      <c r="H1612" s="405"/>
      <c r="I1612" s="428"/>
      <c r="J1612" s="406">
        <f t="shared" si="196"/>
        <v>0</v>
      </c>
      <c r="K1612" s="406">
        <f t="shared" si="196"/>
        <v>8940.7083000000002</v>
      </c>
      <c r="L1612" s="453">
        <f>K1612/K$1659</f>
        <v>3.1154758585609447E-2</v>
      </c>
    </row>
    <row r="1613" spans="1:15" x14ac:dyDescent="0.25">
      <c r="A1613" s="397"/>
      <c r="B1613" s="1383" t="s">
        <v>8355</v>
      </c>
      <c r="C1613" s="1383"/>
      <c r="D1613" s="1383"/>
      <c r="E1613" s="1383"/>
      <c r="F1613" s="1383"/>
      <c r="G1613" s="407"/>
      <c r="H1613" s="407"/>
      <c r="I1613" s="429"/>
      <c r="J1613" s="408">
        <f>SUM(J1614:J1620)</f>
        <v>0</v>
      </c>
      <c r="K1613" s="408">
        <f>SUM(K1614:K1620)-0.01</f>
        <v>8940.7083000000002</v>
      </c>
      <c r="L1613" s="454">
        <f>K1613/K$1659</f>
        <v>3.1154758585609447E-2</v>
      </c>
    </row>
    <row r="1614" spans="1:15" s="115" customFormat="1" x14ac:dyDescent="0.25">
      <c r="A1614" s="396"/>
      <c r="B1614" s="876"/>
      <c r="C1614" s="1002"/>
      <c r="D1614" s="1002">
        <v>447600</v>
      </c>
      <c r="E1614" s="854">
        <v>333903000000000</v>
      </c>
      <c r="F1614" s="855" t="s">
        <v>8485</v>
      </c>
      <c r="G1614" s="468">
        <v>1</v>
      </c>
      <c r="H1614" s="468">
        <v>0</v>
      </c>
      <c r="I1614" s="751"/>
      <c r="J1614" s="789">
        <f>('Parâmetros financeiros Despesa'!E1269)</f>
        <v>0</v>
      </c>
      <c r="K1614" s="789">
        <f>('Parâmetros financeiros Despesa'!F1269)*(1+'Parâmetros financeiros Despesa'!F$4)*(1+'Parâmetros financeiros Despesa'!F$7)</f>
        <v>1090.3315</v>
      </c>
      <c r="L1614" s="799">
        <f>K1614/K$1659</f>
        <v>3.7993650526307213E-3</v>
      </c>
      <c r="M1614" s="894"/>
      <c r="N1614" s="796"/>
      <c r="O1614" s="733"/>
    </row>
    <row r="1615" spans="1:15" s="115" customFormat="1" x14ac:dyDescent="0.25">
      <c r="A1615" s="396"/>
      <c r="B1615" s="876"/>
      <c r="C1615" s="1004"/>
      <c r="D1615" s="1004" t="s">
        <v>8480</v>
      </c>
      <c r="E1615" s="854">
        <v>333903200000000</v>
      </c>
      <c r="F1615" s="855" t="s">
        <v>8486</v>
      </c>
      <c r="G1615" s="468">
        <v>1</v>
      </c>
      <c r="H1615" s="468">
        <v>0</v>
      </c>
      <c r="I1615" s="751"/>
      <c r="J1615" s="789">
        <f>('Parâmetros financeiros Despesa'!E1270)</f>
        <v>0</v>
      </c>
      <c r="K1615" s="789">
        <f>('Parâmetros financeiros Despesa'!F1270)*(1+'Parâmetros financeiros Despesa'!F$4)*(1+'Parâmetros financeiros Despesa'!F$7)</f>
        <v>1090.3315</v>
      </c>
      <c r="L1615" s="799">
        <f t="shared" ref="L1615:L1620" si="197">K1615/K$1659</f>
        <v>3.7993650526307213E-3</v>
      </c>
      <c r="M1615" s="894"/>
      <c r="N1615" s="796"/>
      <c r="O1615" s="733"/>
    </row>
    <row r="1616" spans="1:15" s="115" customFormat="1" x14ac:dyDescent="0.25">
      <c r="A1616" s="396"/>
      <c r="B1616" s="876"/>
      <c r="C1616" s="1004"/>
      <c r="D1616" s="1004" t="s">
        <v>8481</v>
      </c>
      <c r="E1616" s="854">
        <v>333903600000000</v>
      </c>
      <c r="F1616" s="855" t="s">
        <v>8487</v>
      </c>
      <c r="G1616" s="468">
        <v>1</v>
      </c>
      <c r="H1616" s="468">
        <v>0</v>
      </c>
      <c r="I1616" s="751"/>
      <c r="J1616" s="789">
        <f>('Parâmetros financeiros Despesa'!E1271)</f>
        <v>0</v>
      </c>
      <c r="K1616" s="789">
        <f>('Parâmetros financeiros Despesa'!F1271)*(1+'Parâmetros financeiros Despesa'!F$4)*(1+'Parâmetros financeiros Despesa'!F$7)</f>
        <v>1090.3315</v>
      </c>
      <c r="L1616" s="799">
        <f t="shared" si="197"/>
        <v>3.7993650526307213E-3</v>
      </c>
      <c r="M1616" s="894"/>
      <c r="N1616" s="796"/>
      <c r="O1616" s="733"/>
    </row>
    <row r="1617" spans="1:15" s="115" customFormat="1" x14ac:dyDescent="0.25">
      <c r="A1617" s="396"/>
      <c r="B1617" s="876"/>
      <c r="C1617" s="1004"/>
      <c r="D1617" s="1004" t="s">
        <v>8482</v>
      </c>
      <c r="E1617" s="854">
        <v>333903900000000</v>
      </c>
      <c r="F1617" s="855" t="s">
        <v>8488</v>
      </c>
      <c r="G1617" s="468">
        <v>1</v>
      </c>
      <c r="H1617" s="468">
        <v>0</v>
      </c>
      <c r="I1617" s="751"/>
      <c r="J1617" s="789">
        <f>('Parâmetros financeiros Despesa'!E1272)</f>
        <v>0</v>
      </c>
      <c r="K1617" s="789">
        <f>('Parâmetros financeiros Despesa'!F1272)*(1+'Parâmetros financeiros Despesa'!F$4)*(1+'Parâmetros financeiros Despesa'!F$7)</f>
        <v>3270.9945000000002</v>
      </c>
      <c r="L1617" s="799">
        <f t="shared" si="197"/>
        <v>1.1398095157892165E-2</v>
      </c>
      <c r="M1617" s="894"/>
      <c r="N1617" s="796"/>
      <c r="O1617" s="733"/>
    </row>
    <row r="1618" spans="1:15" s="115" customFormat="1" x14ac:dyDescent="0.25">
      <c r="A1618" s="396"/>
      <c r="B1618" s="876"/>
      <c r="C1618" s="1004"/>
      <c r="D1618" s="1004" t="s">
        <v>8483</v>
      </c>
      <c r="E1618" s="854">
        <v>333904700000000</v>
      </c>
      <c r="F1618" s="855" t="s">
        <v>8489</v>
      </c>
      <c r="G1618" s="468">
        <v>1</v>
      </c>
      <c r="H1618" s="468">
        <v>0</v>
      </c>
      <c r="I1618" s="751"/>
      <c r="J1618" s="789">
        <f>'Parâmetros financeiros Despesa'!E1273</f>
        <v>0</v>
      </c>
      <c r="K1618" s="789">
        <f>('Parâmetros financeiros Despesa'!F1273)*(1+'Parâmetros financeiros Despesa'!F$4)*(1+'Parâmetros financeiros Despesa'!F$7)</f>
        <v>218.06630000000001</v>
      </c>
      <c r="L1618" s="799">
        <f t="shared" si="197"/>
        <v>7.5987301052614429E-4</v>
      </c>
      <c r="M1618" s="894"/>
      <c r="N1618" s="796"/>
      <c r="O1618" s="733"/>
    </row>
    <row r="1619" spans="1:15" s="115" customFormat="1" x14ac:dyDescent="0.25">
      <c r="A1619" s="396"/>
      <c r="B1619" s="876"/>
      <c r="C1619" s="876"/>
      <c r="D1619" s="1004" t="s">
        <v>8484</v>
      </c>
      <c r="E1619" s="854">
        <v>333933000000000</v>
      </c>
      <c r="F1619" s="855" t="s">
        <v>8490</v>
      </c>
      <c r="G1619" s="468">
        <v>1</v>
      </c>
      <c r="H1619" s="468">
        <v>0</v>
      </c>
      <c r="I1619" s="751"/>
      <c r="J1619" s="789">
        <f>('Parâmetros financeiros Despesa'!E1274)</f>
        <v>0</v>
      </c>
      <c r="K1619" s="789">
        <f>('Parâmetros financeiros Despesa'!F1274)*(1+'Parâmetros financeiros Despesa'!F$4)*(1+'Parâmetros financeiros Despesa'!F$7)</f>
        <v>1090.3315</v>
      </c>
      <c r="L1619" s="799">
        <f t="shared" si="197"/>
        <v>3.7993650526307213E-3</v>
      </c>
      <c r="M1619" s="894"/>
      <c r="N1619" s="796"/>
      <c r="O1619" s="733"/>
    </row>
    <row r="1620" spans="1:15" s="115" customFormat="1" x14ac:dyDescent="0.25">
      <c r="A1620" s="396"/>
      <c r="B1620" s="876"/>
      <c r="C1620" s="876"/>
      <c r="D1620" s="1004" t="s">
        <v>8560</v>
      </c>
      <c r="E1620" s="854">
        <v>344905200000000</v>
      </c>
      <c r="F1620" s="855" t="s">
        <v>8491</v>
      </c>
      <c r="G1620" s="468">
        <v>1</v>
      </c>
      <c r="H1620" s="468">
        <v>0</v>
      </c>
      <c r="I1620" s="751"/>
      <c r="J1620" s="789">
        <f>('Parâmetros financeiros Despesa'!E1275)</f>
        <v>0</v>
      </c>
      <c r="K1620" s="789">
        <f>('Parâmetros financeiros Despesa'!F1275)*(1+'Parâmetros financeiros Despesa'!F$4)*(1+'Parâmetros financeiros Despesa'!F$7)</f>
        <v>1090.3315</v>
      </c>
      <c r="L1620" s="799">
        <f t="shared" si="197"/>
        <v>3.7993650526307213E-3</v>
      </c>
      <c r="M1620" s="894"/>
      <c r="N1620" s="796"/>
      <c r="O1620" s="733"/>
    </row>
    <row r="1621" spans="1:15" x14ac:dyDescent="0.25">
      <c r="A1621" s="397"/>
      <c r="B1621" s="1385" t="s">
        <v>8354</v>
      </c>
      <c r="C1621" s="1385"/>
      <c r="D1621" s="1385"/>
      <c r="E1621" s="1385"/>
      <c r="F1621" s="1385"/>
      <c r="G1621" s="401"/>
      <c r="H1621" s="401"/>
      <c r="I1621" s="426"/>
      <c r="J1621" s="402">
        <f t="shared" ref="J1621:K1623" si="198">J1622</f>
        <v>0</v>
      </c>
      <c r="K1621" s="402">
        <f t="shared" si="198"/>
        <v>24205.3593</v>
      </c>
      <c r="L1621" s="451">
        <f>K1621/K$1659</f>
        <v>8.4345904168402014E-2</v>
      </c>
    </row>
    <row r="1622" spans="1:15" x14ac:dyDescent="0.25">
      <c r="A1622" s="397"/>
      <c r="B1622" s="1386" t="s">
        <v>8351</v>
      </c>
      <c r="C1622" s="1386"/>
      <c r="D1622" s="1386"/>
      <c r="E1622" s="1386"/>
      <c r="F1622" s="1386"/>
      <c r="G1622" s="403"/>
      <c r="H1622" s="403"/>
      <c r="I1622" s="427"/>
      <c r="J1622" s="404">
        <f t="shared" si="198"/>
        <v>0</v>
      </c>
      <c r="K1622" s="404">
        <f t="shared" si="198"/>
        <v>24205.3593</v>
      </c>
      <c r="L1622" s="452">
        <f>K1622/K$1659</f>
        <v>8.4345904168402014E-2</v>
      </c>
    </row>
    <row r="1623" spans="1:15" x14ac:dyDescent="0.25">
      <c r="A1623" s="397"/>
      <c r="B1623" s="1382" t="s">
        <v>8309</v>
      </c>
      <c r="C1623" s="1382"/>
      <c r="D1623" s="1382"/>
      <c r="E1623" s="1382"/>
      <c r="F1623" s="1382"/>
      <c r="G1623" s="405"/>
      <c r="H1623" s="405"/>
      <c r="I1623" s="428"/>
      <c r="J1623" s="406">
        <f t="shared" si="198"/>
        <v>0</v>
      </c>
      <c r="K1623" s="406">
        <f t="shared" si="198"/>
        <v>24205.3593</v>
      </c>
      <c r="L1623" s="453">
        <f>K1623/K$1659</f>
        <v>8.4345904168402014E-2</v>
      </c>
    </row>
    <row r="1624" spans="1:15" x14ac:dyDescent="0.25">
      <c r="A1624" s="397"/>
      <c r="B1624" s="1383" t="s">
        <v>8355</v>
      </c>
      <c r="C1624" s="1383"/>
      <c r="D1624" s="1383"/>
      <c r="E1624" s="1383"/>
      <c r="F1624" s="1383"/>
      <c r="G1624" s="407"/>
      <c r="H1624" s="407"/>
      <c r="I1624" s="429"/>
      <c r="J1624" s="408">
        <f>SUM(J1625:J1631)</f>
        <v>0</v>
      </c>
      <c r="K1624" s="408">
        <f>SUM(K1625:K1631)</f>
        <v>24205.3593</v>
      </c>
      <c r="L1624" s="454">
        <f>K1624/K$1659</f>
        <v>8.4345904168402014E-2</v>
      </c>
    </row>
    <row r="1625" spans="1:15" s="115" customFormat="1" x14ac:dyDescent="0.25">
      <c r="A1625" s="396"/>
      <c r="B1625" s="1002"/>
      <c r="C1625" s="1002"/>
      <c r="D1625" s="1002">
        <v>448300</v>
      </c>
      <c r="E1625" s="854">
        <v>333903000000000</v>
      </c>
      <c r="F1625" s="855" t="s">
        <v>8492</v>
      </c>
      <c r="G1625" s="468">
        <v>1</v>
      </c>
      <c r="H1625" s="468">
        <v>0</v>
      </c>
      <c r="I1625" s="751"/>
      <c r="J1625" s="789">
        <f>('Parâmetros financeiros Despesa'!E1277)</f>
        <v>0</v>
      </c>
      <c r="K1625" s="789">
        <f>('Parâmetros financeiros Despesa'!F1277)*(1+'Parâmetros financeiros Despesa'!F$4)*(1+'Parâmetros financeiros Despesa'!F$7)</f>
        <v>3270.9945000000002</v>
      </c>
      <c r="L1625" s="799">
        <f>K1625/K$1659</f>
        <v>1.1398095157892165E-2</v>
      </c>
      <c r="M1625" s="894"/>
      <c r="N1625" s="796"/>
      <c r="O1625" s="733"/>
    </row>
    <row r="1626" spans="1:15" s="115" customFormat="1" x14ac:dyDescent="0.25">
      <c r="A1626" s="396"/>
      <c r="B1626" s="1004"/>
      <c r="C1626" s="1004"/>
      <c r="D1626" s="1004" t="s">
        <v>8506</v>
      </c>
      <c r="E1626" s="854">
        <v>333903200000000</v>
      </c>
      <c r="F1626" s="855" t="s">
        <v>8493</v>
      </c>
      <c r="G1626" s="468">
        <v>1</v>
      </c>
      <c r="H1626" s="468">
        <v>0</v>
      </c>
      <c r="I1626" s="751"/>
      <c r="J1626" s="789">
        <f>('Parâmetros financeiros Despesa'!E1278)</f>
        <v>0</v>
      </c>
      <c r="K1626" s="789">
        <f>('Parâmetros financeiros Despesa'!F1278)*(1+'Parâmetros financeiros Despesa'!F$4)*(1+'Parâmetros financeiros Despesa'!F$7)</f>
        <v>1635.4972500000001</v>
      </c>
      <c r="L1626" s="799">
        <f t="shared" ref="L1626:L1631" si="199">K1626/K$1659</f>
        <v>5.6990475789460825E-3</v>
      </c>
      <c r="M1626" s="894"/>
      <c r="N1626" s="796"/>
      <c r="O1626" s="733"/>
    </row>
    <row r="1627" spans="1:15" s="115" customFormat="1" x14ac:dyDescent="0.25">
      <c r="A1627" s="396"/>
      <c r="B1627" s="1004"/>
      <c r="C1627" s="1004"/>
      <c r="D1627" s="1004" t="s">
        <v>8507</v>
      </c>
      <c r="E1627" s="854">
        <v>333903600000000</v>
      </c>
      <c r="F1627" s="855" t="s">
        <v>8494</v>
      </c>
      <c r="G1627" s="468">
        <v>1</v>
      </c>
      <c r="H1627" s="468">
        <v>0</v>
      </c>
      <c r="I1627" s="751"/>
      <c r="J1627" s="789">
        <f>('Parâmetros financeiros Despesa'!E1279)</f>
        <v>0</v>
      </c>
      <c r="K1627" s="789">
        <f>('Parâmetros financeiros Despesa'!F1279)*(1+'Parâmetros financeiros Despesa'!F$4)*(1+'Parâmetros financeiros Despesa'!F$7)</f>
        <v>1090.3315</v>
      </c>
      <c r="L1627" s="799">
        <f t="shared" si="199"/>
        <v>3.7993650526307213E-3</v>
      </c>
      <c r="M1627" s="894"/>
      <c r="N1627" s="796"/>
      <c r="O1627" s="733"/>
    </row>
    <row r="1628" spans="1:15" s="115" customFormat="1" x14ac:dyDescent="0.25">
      <c r="A1628" s="396"/>
      <c r="B1628" s="1004"/>
      <c r="C1628" s="1004"/>
      <c r="D1628" s="1004" t="s">
        <v>8508</v>
      </c>
      <c r="E1628" s="854">
        <v>333903900000000</v>
      </c>
      <c r="F1628" s="855" t="s">
        <v>8495</v>
      </c>
      <c r="G1628" s="468">
        <v>1</v>
      </c>
      <c r="H1628" s="468">
        <v>0</v>
      </c>
      <c r="I1628" s="751"/>
      <c r="J1628" s="789">
        <f>('Parâmetros financeiros Despesa'!E1280)</f>
        <v>0</v>
      </c>
      <c r="K1628" s="789">
        <f>('Parâmetros financeiros Despesa'!F1280)*(1+'Parâmetros financeiros Despesa'!F$4)*(1+'Parâmetros financeiros Despesa'!F$7)</f>
        <v>16354.9725</v>
      </c>
      <c r="L1628" s="799">
        <f t="shared" si="199"/>
        <v>5.6990475789460815E-2</v>
      </c>
      <c r="M1628" s="894"/>
      <c r="N1628" s="796"/>
      <c r="O1628" s="733"/>
    </row>
    <row r="1629" spans="1:15" s="115" customFormat="1" x14ac:dyDescent="0.25">
      <c r="A1629" s="396"/>
      <c r="B1629" s="876"/>
      <c r="C1629" s="876"/>
      <c r="D1629" s="1004" t="s">
        <v>8509</v>
      </c>
      <c r="E1629" s="854">
        <v>333904700000000</v>
      </c>
      <c r="F1629" s="855" t="s">
        <v>8496</v>
      </c>
      <c r="G1629" s="468">
        <v>1</v>
      </c>
      <c r="H1629" s="468">
        <v>0</v>
      </c>
      <c r="I1629" s="751"/>
      <c r="J1629" s="789">
        <f>'Parâmetros financeiros Despesa'!E1281</f>
        <v>0</v>
      </c>
      <c r="K1629" s="789">
        <f>('Parâmetros financeiros Despesa'!F1281)*(1+'Parâmetros financeiros Despesa'!F$4)*(1+'Parâmetros financeiros Despesa'!F$7)</f>
        <v>218.06630000000001</v>
      </c>
      <c r="L1629" s="799">
        <f t="shared" si="199"/>
        <v>7.5987301052614429E-4</v>
      </c>
      <c r="M1629" s="894"/>
      <c r="N1629" s="796"/>
      <c r="O1629" s="733"/>
    </row>
    <row r="1630" spans="1:15" s="115" customFormat="1" ht="30" x14ac:dyDescent="0.25">
      <c r="A1630" s="396"/>
      <c r="B1630" s="876"/>
      <c r="C1630" s="876"/>
      <c r="D1630" s="1004" t="s">
        <v>8510</v>
      </c>
      <c r="E1630" s="854">
        <v>333933000000000</v>
      </c>
      <c r="F1630" s="855" t="s">
        <v>8497</v>
      </c>
      <c r="G1630" s="468">
        <v>1</v>
      </c>
      <c r="H1630" s="468">
        <v>0</v>
      </c>
      <c r="I1630" s="751"/>
      <c r="J1630" s="789">
        <f>('Parâmetros financeiros Despesa'!E1282)</f>
        <v>0</v>
      </c>
      <c r="K1630" s="789">
        <f>('Parâmetros financeiros Despesa'!F1282)*(1+'Parâmetros financeiros Despesa'!F$4)*(1+'Parâmetros financeiros Despesa'!F$7)</f>
        <v>545.16575</v>
      </c>
      <c r="L1630" s="799">
        <f t="shared" si="199"/>
        <v>1.8996825263153606E-3</v>
      </c>
      <c r="M1630" s="894"/>
      <c r="N1630" s="796"/>
      <c r="O1630" s="733"/>
    </row>
    <row r="1631" spans="1:15" s="115" customFormat="1" x14ac:dyDescent="0.25">
      <c r="A1631" s="396"/>
      <c r="B1631" s="876"/>
      <c r="C1631" s="876"/>
      <c r="D1631" s="1004" t="s">
        <v>8561</v>
      </c>
      <c r="E1631" s="854">
        <v>344905200000000</v>
      </c>
      <c r="F1631" s="855" t="s">
        <v>8498</v>
      </c>
      <c r="G1631" s="468">
        <v>1</v>
      </c>
      <c r="H1631" s="468">
        <v>0</v>
      </c>
      <c r="I1631" s="751"/>
      <c r="J1631" s="789">
        <f>('Parâmetros financeiros Despesa'!E1283)</f>
        <v>0</v>
      </c>
      <c r="K1631" s="789">
        <f>('Parâmetros financeiros Despesa'!F1283)*(1+'Parâmetros financeiros Despesa'!F$4)*(1+'Parâmetros financeiros Despesa'!F$7)</f>
        <v>1090.3315</v>
      </c>
      <c r="L1631" s="799">
        <f t="shared" si="199"/>
        <v>3.7993650526307213E-3</v>
      </c>
      <c r="M1631" s="894"/>
      <c r="N1631" s="796"/>
      <c r="O1631" s="733"/>
    </row>
    <row r="1632" spans="1:15" x14ac:dyDescent="0.25">
      <c r="A1632" s="397"/>
      <c r="B1632" s="1385" t="s">
        <v>8354</v>
      </c>
      <c r="C1632" s="1385"/>
      <c r="D1632" s="1385"/>
      <c r="E1632" s="1385"/>
      <c r="F1632" s="1385"/>
      <c r="G1632" s="401"/>
      <c r="H1632" s="401"/>
      <c r="I1632" s="426"/>
      <c r="J1632" s="402">
        <f t="shared" ref="J1632:K1634" si="200">J1633</f>
        <v>0</v>
      </c>
      <c r="K1632" s="402">
        <f t="shared" si="200"/>
        <v>12320.74595</v>
      </c>
      <c r="L1632" s="451">
        <f>K1632/K$1659</f>
        <v>4.2932825094727151E-2</v>
      </c>
    </row>
    <row r="1633" spans="1:15" x14ac:dyDescent="0.25">
      <c r="A1633" s="397"/>
      <c r="B1633" s="1386" t="s">
        <v>8352</v>
      </c>
      <c r="C1633" s="1386"/>
      <c r="D1633" s="1386"/>
      <c r="E1633" s="1386"/>
      <c r="F1633" s="1386"/>
      <c r="G1633" s="403"/>
      <c r="H1633" s="403"/>
      <c r="I1633" s="427"/>
      <c r="J1633" s="404">
        <f t="shared" si="200"/>
        <v>0</v>
      </c>
      <c r="K1633" s="404">
        <f t="shared" si="200"/>
        <v>12320.74595</v>
      </c>
      <c r="L1633" s="452">
        <f>K1633/K$1659</f>
        <v>4.2932825094727151E-2</v>
      </c>
    </row>
    <row r="1634" spans="1:15" x14ac:dyDescent="0.25">
      <c r="A1634" s="397"/>
      <c r="B1634" s="1382" t="s">
        <v>8309</v>
      </c>
      <c r="C1634" s="1382"/>
      <c r="D1634" s="1382"/>
      <c r="E1634" s="1382"/>
      <c r="F1634" s="1382"/>
      <c r="G1634" s="405"/>
      <c r="H1634" s="405"/>
      <c r="I1634" s="428"/>
      <c r="J1634" s="406">
        <f t="shared" si="200"/>
        <v>0</v>
      </c>
      <c r="K1634" s="406">
        <f t="shared" si="200"/>
        <v>12320.74595</v>
      </c>
      <c r="L1634" s="453">
        <f>K1634/K$1659</f>
        <v>4.2932825094727151E-2</v>
      </c>
    </row>
    <row r="1635" spans="1:15" x14ac:dyDescent="0.25">
      <c r="A1635" s="397"/>
      <c r="B1635" s="1383" t="s">
        <v>8355</v>
      </c>
      <c r="C1635" s="1383"/>
      <c r="D1635" s="1383"/>
      <c r="E1635" s="1383"/>
      <c r="F1635" s="1383"/>
      <c r="G1635" s="407"/>
      <c r="H1635" s="407"/>
      <c r="I1635" s="429"/>
      <c r="J1635" s="408">
        <f>SUM(J1636:J1642)</f>
        <v>0</v>
      </c>
      <c r="K1635" s="408">
        <f>SUM(K1636:K1642)</f>
        <v>12320.74595</v>
      </c>
      <c r="L1635" s="454">
        <f>K1635/K$1659</f>
        <v>4.2932825094727151E-2</v>
      </c>
    </row>
    <row r="1636" spans="1:15" s="115" customFormat="1" x14ac:dyDescent="0.25">
      <c r="A1636" s="396"/>
      <c r="B1636" s="1396">
        <v>449000</v>
      </c>
      <c r="C1636" s="1396"/>
      <c r="D1636" s="1396"/>
      <c r="E1636" s="854">
        <v>333903000000000</v>
      </c>
      <c r="F1636" s="855" t="s">
        <v>8499</v>
      </c>
      <c r="G1636" s="468">
        <v>1</v>
      </c>
      <c r="H1636" s="468">
        <v>0</v>
      </c>
      <c r="I1636" s="751"/>
      <c r="J1636" s="789">
        <f>('Parâmetros financeiros Despesa'!E1285)</f>
        <v>0</v>
      </c>
      <c r="K1636" s="789">
        <f>('Parâmetros financeiros Despesa'!F1285)*(1+'Parâmetros financeiros Despesa'!F$4)*(1+'Parâmetros financeiros Despesa'!F$7)</f>
        <v>1090.3315</v>
      </c>
      <c r="L1636" s="799">
        <f>K1636/K$1659</f>
        <v>3.7993650526307213E-3</v>
      </c>
      <c r="M1636" s="894"/>
      <c r="N1636" s="796"/>
      <c r="O1636" s="733"/>
    </row>
    <row r="1637" spans="1:15" s="115" customFormat="1" x14ac:dyDescent="0.25">
      <c r="A1637" s="396"/>
      <c r="B1637" s="1396">
        <v>449100</v>
      </c>
      <c r="C1637" s="1396"/>
      <c r="D1637" s="1396"/>
      <c r="E1637" s="854">
        <v>333903200000000</v>
      </c>
      <c r="F1637" s="855" t="s">
        <v>8500</v>
      </c>
      <c r="G1637" s="468">
        <v>1</v>
      </c>
      <c r="H1637" s="468">
        <v>0</v>
      </c>
      <c r="I1637" s="751"/>
      <c r="J1637" s="789">
        <f>('Parâmetros financeiros Despesa'!E1286)</f>
        <v>0</v>
      </c>
      <c r="K1637" s="789">
        <f>('Parâmetros financeiros Despesa'!F1286)*(1+'Parâmetros financeiros Despesa'!F$4)*(1+'Parâmetros financeiros Despesa'!F$7)</f>
        <v>2180.663</v>
      </c>
      <c r="L1637" s="799">
        <f t="shared" ref="L1637:L1642" si="201">K1637/K$1659</f>
        <v>7.5987301052614425E-3</v>
      </c>
      <c r="M1637" s="894"/>
      <c r="N1637" s="796"/>
      <c r="O1637" s="733"/>
    </row>
    <row r="1638" spans="1:15" s="115" customFormat="1" x14ac:dyDescent="0.25">
      <c r="A1638" s="396"/>
      <c r="B1638" s="1398" t="s">
        <v>8511</v>
      </c>
      <c r="C1638" s="1398"/>
      <c r="D1638" s="1398"/>
      <c r="E1638" s="854">
        <v>333903600000000</v>
      </c>
      <c r="F1638" s="855" t="s">
        <v>8501</v>
      </c>
      <c r="G1638" s="468">
        <v>1</v>
      </c>
      <c r="H1638" s="468">
        <v>0</v>
      </c>
      <c r="I1638" s="751"/>
      <c r="J1638" s="789">
        <f>('Parâmetros financeiros Despesa'!E1287)</f>
        <v>0</v>
      </c>
      <c r="K1638" s="789">
        <f>('Parâmetros financeiros Despesa'!F1287)*(1+'Parâmetros financeiros Despesa'!F$4)*(1+'Parâmetros financeiros Despesa'!F$7)</f>
        <v>1635.4972500000001</v>
      </c>
      <c r="L1638" s="799">
        <f t="shared" si="201"/>
        <v>5.6990475789460825E-3</v>
      </c>
      <c r="M1638" s="894"/>
      <c r="N1638" s="796"/>
      <c r="O1638" s="733"/>
    </row>
    <row r="1639" spans="1:15" s="115" customFormat="1" x14ac:dyDescent="0.25">
      <c r="A1639" s="396"/>
      <c r="B1639" s="1398" t="s">
        <v>8512</v>
      </c>
      <c r="C1639" s="1398"/>
      <c r="D1639" s="1398"/>
      <c r="E1639" s="854">
        <v>333903900000000</v>
      </c>
      <c r="F1639" s="855" t="s">
        <v>8502</v>
      </c>
      <c r="G1639" s="468">
        <v>1</v>
      </c>
      <c r="H1639" s="468">
        <v>0</v>
      </c>
      <c r="I1639" s="751"/>
      <c r="J1639" s="789">
        <f>('Parâmetros financeiros Despesa'!E1288)</f>
        <v>0</v>
      </c>
      <c r="K1639" s="789">
        <f>('Parâmetros financeiros Despesa'!F1288)*(1+'Parâmetros financeiros Despesa'!F$4)*(1+'Parâmetros financeiros Despesa'!F$7)</f>
        <v>5451.6575000000003</v>
      </c>
      <c r="L1639" s="799">
        <f t="shared" si="201"/>
        <v>1.8996825263153608E-2</v>
      </c>
      <c r="M1639" s="894"/>
      <c r="N1639" s="796"/>
      <c r="O1639" s="733"/>
    </row>
    <row r="1640" spans="1:15" s="115" customFormat="1" x14ac:dyDescent="0.25">
      <c r="A1640" s="396"/>
      <c r="B1640" s="1398" t="s">
        <v>8513</v>
      </c>
      <c r="C1640" s="1398"/>
      <c r="D1640" s="1398"/>
      <c r="E1640" s="854">
        <v>333904700000000</v>
      </c>
      <c r="F1640" s="855" t="s">
        <v>8503</v>
      </c>
      <c r="G1640" s="468">
        <v>1</v>
      </c>
      <c r="H1640" s="468">
        <v>0</v>
      </c>
      <c r="I1640" s="751"/>
      <c r="J1640" s="789">
        <f>'Parâmetros financeiros Despesa'!E1289</f>
        <v>0</v>
      </c>
      <c r="K1640" s="789">
        <f>('Parâmetros financeiros Despesa'!F1289)*(1+'Parâmetros financeiros Despesa'!F$4)*(1+'Parâmetros financeiros Despesa'!F$7)</f>
        <v>327.09944999999999</v>
      </c>
      <c r="L1640" s="799">
        <f t="shared" si="201"/>
        <v>1.1398095157892163E-3</v>
      </c>
      <c r="M1640" s="894"/>
      <c r="N1640" s="796"/>
      <c r="O1640" s="733"/>
    </row>
    <row r="1641" spans="1:15" s="115" customFormat="1" x14ac:dyDescent="0.25">
      <c r="A1641" s="396"/>
      <c r="B1641" s="1398" t="s">
        <v>8514</v>
      </c>
      <c r="C1641" s="1398"/>
      <c r="D1641" s="1398"/>
      <c r="E1641" s="854">
        <v>333933000000000</v>
      </c>
      <c r="F1641" s="855" t="s">
        <v>8504</v>
      </c>
      <c r="G1641" s="468">
        <v>1</v>
      </c>
      <c r="H1641" s="468">
        <v>0</v>
      </c>
      <c r="I1641" s="751"/>
      <c r="J1641" s="789">
        <f>('Parâmetros financeiros Despesa'!E1290)</f>
        <v>0</v>
      </c>
      <c r="K1641" s="789">
        <f>('Parâmetros financeiros Despesa'!F1290)*(1+'Parâmetros financeiros Despesa'!F$4)*(1+'Parâmetros financeiros Despesa'!F$7)</f>
        <v>545.16575</v>
      </c>
      <c r="L1641" s="799">
        <f t="shared" si="201"/>
        <v>1.8996825263153606E-3</v>
      </c>
      <c r="M1641" s="894"/>
      <c r="N1641" s="796"/>
      <c r="O1641" s="733"/>
    </row>
    <row r="1642" spans="1:15" s="115" customFormat="1" x14ac:dyDescent="0.25">
      <c r="A1642" s="396"/>
      <c r="B1642" s="1398" t="s">
        <v>8562</v>
      </c>
      <c r="C1642" s="1398"/>
      <c r="D1642" s="1398"/>
      <c r="E1642" s="854">
        <v>344905200000000</v>
      </c>
      <c r="F1642" s="855" t="s">
        <v>8505</v>
      </c>
      <c r="G1642" s="468">
        <v>1</v>
      </c>
      <c r="H1642" s="468">
        <v>0</v>
      </c>
      <c r="I1642" s="751"/>
      <c r="J1642" s="789">
        <f>('Parâmetros financeiros Despesa'!E1291)</f>
        <v>0</v>
      </c>
      <c r="K1642" s="789">
        <f>('Parâmetros financeiros Despesa'!F1291)*(1+'Parâmetros financeiros Despesa'!F$4)*(1+'Parâmetros financeiros Despesa'!F$7)</f>
        <v>1090.3315</v>
      </c>
      <c r="L1642" s="799">
        <f t="shared" si="201"/>
        <v>3.7993650526307213E-3</v>
      </c>
      <c r="M1642" s="894"/>
      <c r="N1642" s="796"/>
      <c r="O1642" s="733"/>
    </row>
    <row r="1643" spans="1:15" x14ac:dyDescent="0.25">
      <c r="A1643" s="397"/>
      <c r="B1643" s="1385" t="s">
        <v>8354</v>
      </c>
      <c r="C1643" s="1385"/>
      <c r="D1643" s="1385"/>
      <c r="E1643" s="1385"/>
      <c r="F1643" s="1385"/>
      <c r="G1643" s="401"/>
      <c r="H1643" s="401"/>
      <c r="I1643" s="426"/>
      <c r="J1643" s="402">
        <f t="shared" ref="J1643:K1645" si="202">J1644</f>
        <v>0</v>
      </c>
      <c r="K1643" s="402">
        <f t="shared" si="202"/>
        <v>3061.62</v>
      </c>
      <c r="L1643" s="451">
        <f>K1643/K$1659</f>
        <v>1.0668509561023659E-2</v>
      </c>
    </row>
    <row r="1644" spans="1:15" x14ac:dyDescent="0.25">
      <c r="A1644" s="397"/>
      <c r="B1644" s="1386" t="s">
        <v>8353</v>
      </c>
      <c r="C1644" s="1386"/>
      <c r="D1644" s="1386"/>
      <c r="E1644" s="1386"/>
      <c r="F1644" s="1386"/>
      <c r="G1644" s="403"/>
      <c r="H1644" s="403"/>
      <c r="I1644" s="427"/>
      <c r="J1644" s="404">
        <f t="shared" si="202"/>
        <v>0</v>
      </c>
      <c r="K1644" s="404">
        <f t="shared" si="202"/>
        <v>3061.62</v>
      </c>
      <c r="L1644" s="452">
        <f>K1644/K$1659</f>
        <v>1.0668509561023659E-2</v>
      </c>
    </row>
    <row r="1645" spans="1:15" x14ac:dyDescent="0.25">
      <c r="A1645" s="397"/>
      <c r="B1645" s="1382" t="s">
        <v>8309</v>
      </c>
      <c r="C1645" s="1382"/>
      <c r="D1645" s="1382"/>
      <c r="E1645" s="1382"/>
      <c r="F1645" s="1382"/>
      <c r="G1645" s="405"/>
      <c r="H1645" s="405"/>
      <c r="I1645" s="428"/>
      <c r="J1645" s="406">
        <f t="shared" si="202"/>
        <v>0</v>
      </c>
      <c r="K1645" s="406">
        <f t="shared" si="202"/>
        <v>3061.62</v>
      </c>
      <c r="L1645" s="453">
        <f>K1645/K$1659</f>
        <v>1.0668509561023659E-2</v>
      </c>
    </row>
    <row r="1646" spans="1:15" x14ac:dyDescent="0.25">
      <c r="A1646" s="397"/>
      <c r="B1646" s="1383" t="s">
        <v>8355</v>
      </c>
      <c r="C1646" s="1383"/>
      <c r="D1646" s="1383"/>
      <c r="E1646" s="1383"/>
      <c r="F1646" s="1383"/>
      <c r="G1646" s="407"/>
      <c r="H1646" s="407"/>
      <c r="I1646" s="429"/>
      <c r="J1646" s="408">
        <f>SUM(J1647:J1654)</f>
        <v>0</v>
      </c>
      <c r="K1646" s="408">
        <f>SUM(K1647:K1654)</f>
        <v>3061.62</v>
      </c>
      <c r="L1646" s="454">
        <f>K1646/K$1659</f>
        <v>1.0668509561023659E-2</v>
      </c>
    </row>
    <row r="1647" spans="1:15" s="115" customFormat="1" x14ac:dyDescent="0.25">
      <c r="A1647" s="396"/>
      <c r="B1647" s="1396">
        <v>449700</v>
      </c>
      <c r="C1647" s="1396"/>
      <c r="D1647" s="1396"/>
      <c r="E1647" s="854">
        <v>333309300000000</v>
      </c>
      <c r="F1647" s="855" t="s">
        <v>8519</v>
      </c>
      <c r="G1647" s="468">
        <v>1146</v>
      </c>
      <c r="H1647" s="468">
        <v>0</v>
      </c>
      <c r="I1647" s="751"/>
      <c r="J1647" s="789">
        <f>'Parâmetros financeiros Despesa'!E1293</f>
        <v>0</v>
      </c>
      <c r="K1647" s="789">
        <f>'Parâmetros financeiros Despesa'!F1293</f>
        <v>1</v>
      </c>
      <c r="L1647" s="799">
        <f>K1647/K$1659</f>
        <v>3.4845962467659801E-6</v>
      </c>
      <c r="M1647" s="894"/>
      <c r="O1647" s="733"/>
    </row>
    <row r="1648" spans="1:15" s="115" customFormat="1" x14ac:dyDescent="0.25">
      <c r="A1648" s="396"/>
      <c r="B1648" s="1396">
        <v>449800</v>
      </c>
      <c r="C1648" s="1396"/>
      <c r="D1648" s="1396"/>
      <c r="E1648" s="854">
        <v>333903200000000</v>
      </c>
      <c r="F1648" s="855" t="s">
        <v>8520</v>
      </c>
      <c r="G1648" s="468">
        <v>1146</v>
      </c>
      <c r="H1648" s="468">
        <v>0</v>
      </c>
      <c r="I1648" s="751"/>
      <c r="J1648" s="789">
        <f>'Parâmetros financeiros Despesa'!E1294</f>
        <v>0</v>
      </c>
      <c r="K1648" s="789">
        <f>'Parâmetros financeiros Despesa'!F1294</f>
        <v>1</v>
      </c>
      <c r="L1648" s="799">
        <f t="shared" ref="L1648:L1654" si="203">K1648/K$1659</f>
        <v>3.4845962467659801E-6</v>
      </c>
      <c r="M1648" s="894"/>
      <c r="O1648" s="733"/>
    </row>
    <row r="1649" spans="1:15" s="115" customFormat="1" x14ac:dyDescent="0.25">
      <c r="A1649" s="396"/>
      <c r="B1649" s="1398" t="s">
        <v>8515</v>
      </c>
      <c r="C1649" s="1398"/>
      <c r="D1649" s="1398"/>
      <c r="E1649" s="854">
        <v>333903600000000</v>
      </c>
      <c r="F1649" s="855" t="s">
        <v>10826</v>
      </c>
      <c r="G1649" s="468">
        <v>1146</v>
      </c>
      <c r="H1649" s="468">
        <v>0</v>
      </c>
      <c r="I1649" s="751"/>
      <c r="J1649" s="789">
        <f>'Parâmetros financeiros Despesa'!E1295</f>
        <v>0</v>
      </c>
      <c r="K1649" s="789">
        <f>'Parâmetros financeiros Despesa'!F1295</f>
        <v>1</v>
      </c>
      <c r="L1649" s="799">
        <f t="shared" si="203"/>
        <v>3.4845962467659801E-6</v>
      </c>
      <c r="M1649" s="894"/>
      <c r="O1649" s="733"/>
    </row>
    <row r="1650" spans="1:15" s="115" customFormat="1" x14ac:dyDescent="0.25">
      <c r="A1650" s="396"/>
      <c r="B1650" s="1398" t="s">
        <v>8516</v>
      </c>
      <c r="C1650" s="1398"/>
      <c r="D1650" s="1398"/>
      <c r="E1650" s="854">
        <v>333903900000000</v>
      </c>
      <c r="F1650" s="855" t="s">
        <v>10827</v>
      </c>
      <c r="G1650" s="468">
        <v>1146</v>
      </c>
      <c r="H1650" s="468">
        <v>0</v>
      </c>
      <c r="I1650" s="751"/>
      <c r="J1650" s="789">
        <f>'Parâmetros financeiros Despesa'!E1296</f>
        <v>0</v>
      </c>
      <c r="K1650" s="789">
        <f>'Parâmetros financeiros Despesa'!F1296</f>
        <v>1</v>
      </c>
      <c r="L1650" s="799">
        <f t="shared" si="203"/>
        <v>3.4845962467659801E-6</v>
      </c>
      <c r="M1650" s="894"/>
      <c r="O1650" s="733"/>
    </row>
    <row r="1651" spans="1:15" s="115" customFormat="1" x14ac:dyDescent="0.25">
      <c r="A1651" s="396"/>
      <c r="B1651" s="1398" t="s">
        <v>8517</v>
      </c>
      <c r="C1651" s="1398"/>
      <c r="D1651" s="1398"/>
      <c r="E1651" s="854">
        <v>333903900000000</v>
      </c>
      <c r="F1651" s="855" t="s">
        <v>10827</v>
      </c>
      <c r="G1651" s="468">
        <v>1</v>
      </c>
      <c r="H1651" s="468">
        <v>0</v>
      </c>
      <c r="I1651" s="751"/>
      <c r="J1651" s="789">
        <f>'Parâmetros financeiros Despesa'!E1297</f>
        <v>0</v>
      </c>
      <c r="K1651" s="789">
        <f>'Parâmetros financeiros Despesa'!F1297</f>
        <v>3055.42</v>
      </c>
      <c r="L1651" s="799">
        <f t="shared" si="203"/>
        <v>1.0646905064293711E-2</v>
      </c>
      <c r="M1651" s="894"/>
      <c r="N1651" s="796"/>
      <c r="O1651" s="733"/>
    </row>
    <row r="1652" spans="1:15" s="115" customFormat="1" x14ac:dyDescent="0.25">
      <c r="A1652" s="396"/>
      <c r="B1652" s="1398" t="s">
        <v>8518</v>
      </c>
      <c r="C1652" s="1398"/>
      <c r="D1652" s="1398"/>
      <c r="E1652" s="854">
        <v>333904700000000</v>
      </c>
      <c r="F1652" s="855" t="s">
        <v>10828</v>
      </c>
      <c r="G1652" s="468">
        <v>1146</v>
      </c>
      <c r="H1652" s="468">
        <v>0</v>
      </c>
      <c r="I1652" s="751"/>
      <c r="J1652" s="789">
        <f>'Parâmetros financeiros Despesa'!E1298</f>
        <v>0</v>
      </c>
      <c r="K1652" s="789">
        <f>'Parâmetros financeiros Despesa'!F1298</f>
        <v>0.2</v>
      </c>
      <c r="L1652" s="799">
        <f t="shared" si="203"/>
        <v>6.9691924935319601E-7</v>
      </c>
      <c r="M1652" s="894"/>
      <c r="O1652" s="733"/>
    </row>
    <row r="1653" spans="1:15" s="115" customFormat="1" ht="30" x14ac:dyDescent="0.25">
      <c r="A1653" s="396"/>
      <c r="B1653" s="1398" t="s">
        <v>8563</v>
      </c>
      <c r="C1653" s="1398"/>
      <c r="D1653" s="1398"/>
      <c r="E1653" s="854">
        <v>333933000000000</v>
      </c>
      <c r="F1653" s="855" t="s">
        <v>10829</v>
      </c>
      <c r="G1653" s="468">
        <v>1146</v>
      </c>
      <c r="H1653" s="468">
        <v>0</v>
      </c>
      <c r="I1653" s="751"/>
      <c r="J1653" s="789">
        <f>'Parâmetros financeiros Despesa'!E1299</f>
        <v>0</v>
      </c>
      <c r="K1653" s="789">
        <f>'Parâmetros financeiros Despesa'!F1299</f>
        <v>1</v>
      </c>
      <c r="L1653" s="799">
        <f t="shared" si="203"/>
        <v>3.4845962467659801E-6</v>
      </c>
      <c r="M1653" s="894"/>
      <c r="O1653" s="733"/>
    </row>
    <row r="1654" spans="1:15" s="115" customFormat="1" x14ac:dyDescent="0.25">
      <c r="A1654" s="396"/>
      <c r="B1654" s="1398" t="s">
        <v>8564</v>
      </c>
      <c r="C1654" s="1398"/>
      <c r="D1654" s="1398"/>
      <c r="E1654" s="854">
        <v>344905200000000</v>
      </c>
      <c r="F1654" s="855" t="s">
        <v>10830</v>
      </c>
      <c r="G1654" s="468">
        <v>1146</v>
      </c>
      <c r="H1654" s="468">
        <v>0</v>
      </c>
      <c r="I1654" s="751"/>
      <c r="J1654" s="789">
        <f>'Parâmetros financeiros Despesa'!E1300</f>
        <v>0</v>
      </c>
      <c r="K1654" s="789">
        <f>'Parâmetros financeiros Despesa'!F1300</f>
        <v>1</v>
      </c>
      <c r="L1654" s="799">
        <f t="shared" si="203"/>
        <v>3.4845962467659801E-6</v>
      </c>
      <c r="M1654" s="894"/>
      <c r="O1654" s="733"/>
    </row>
    <row r="1655" spans="1:15" x14ac:dyDescent="0.25">
      <c r="B1655" s="864" t="s">
        <v>22</v>
      </c>
      <c r="C1655" s="864"/>
      <c r="D1655" s="864"/>
      <c r="E1655" s="864"/>
      <c r="F1655" s="864"/>
      <c r="G1655" s="864"/>
      <c r="H1655" s="864"/>
      <c r="I1655" s="864"/>
      <c r="J1655" s="863">
        <f>J1644+J1633+J1622+J1611+J1600+J1588+J1577+J1566+J1555+J1543+J1531+J1519+J1508+J1496+J1477+J1468</f>
        <v>138743.2581875</v>
      </c>
      <c r="K1655" s="863">
        <f>K1644+K1633+K1622+K1611+K1600+K1588+K1577+K1566+K1555+K1543+K1531+K1519+K1508+K1496+K1477+K1468+0.03</f>
        <v>286977.29354673164</v>
      </c>
      <c r="L1655" s="452">
        <f>K1655/K$1659</f>
        <v>1</v>
      </c>
    </row>
    <row r="1656" spans="1:15" x14ac:dyDescent="0.25">
      <c r="B1656" s="864" t="s">
        <v>11469</v>
      </c>
      <c r="C1656" s="864"/>
      <c r="D1656" s="864"/>
      <c r="E1656" s="864"/>
      <c r="F1656" s="864"/>
      <c r="G1656" s="864"/>
      <c r="H1656" s="864"/>
      <c r="I1656" s="864"/>
      <c r="J1656" s="863"/>
      <c r="K1656" s="863"/>
      <c r="L1656" s="452"/>
    </row>
    <row r="1657" spans="1:15" s="31" customFormat="1" x14ac:dyDescent="0.25">
      <c r="B1657" s="869" t="s">
        <v>745</v>
      </c>
      <c r="C1657" s="869"/>
      <c r="D1657" s="869"/>
      <c r="E1657" s="869"/>
      <c r="F1657" s="869"/>
      <c r="G1657" s="869"/>
      <c r="H1657" s="869"/>
      <c r="I1657" s="869"/>
      <c r="J1657" s="870">
        <f>J1655</f>
        <v>138743.2581875</v>
      </c>
      <c r="K1657" s="870">
        <f>K1655-K1658</f>
        <v>283916.67354673165</v>
      </c>
      <c r="L1657" s="871">
        <f t="shared" ref="L1657:L1658" si="204">K1657/K$1659</f>
        <v>0.98933497503522316</v>
      </c>
      <c r="M1657" s="897"/>
      <c r="O1657" s="736"/>
    </row>
    <row r="1658" spans="1:15" s="31" customFormat="1" x14ac:dyDescent="0.25">
      <c r="B1658" s="869" t="s">
        <v>11510</v>
      </c>
      <c r="C1658" s="869"/>
      <c r="D1658" s="869"/>
      <c r="E1658" s="869"/>
      <c r="F1658" s="869"/>
      <c r="G1658" s="869"/>
      <c r="H1658" s="869"/>
      <c r="I1658" s="869"/>
      <c r="J1658" s="870">
        <v>0</v>
      </c>
      <c r="K1658" s="870">
        <v>3060.62</v>
      </c>
      <c r="L1658" s="871">
        <f t="shared" si="204"/>
        <v>1.0665024964776894E-2</v>
      </c>
      <c r="M1658" s="897"/>
      <c r="O1658" s="736"/>
    </row>
    <row r="1659" spans="1:15" s="115" customFormat="1" x14ac:dyDescent="0.25">
      <c r="B1659" s="864" t="s">
        <v>2172</v>
      </c>
      <c r="C1659" s="864"/>
      <c r="D1659" s="864"/>
      <c r="E1659" s="864"/>
      <c r="F1659" s="864"/>
      <c r="G1659" s="864"/>
      <c r="H1659" s="864"/>
      <c r="I1659" s="864"/>
      <c r="J1659" s="863">
        <f>J1658+J1657</f>
        <v>138743.2581875</v>
      </c>
      <c r="K1659" s="863">
        <f>K1658+K1657</f>
        <v>286977.29354673164</v>
      </c>
      <c r="L1659" s="452">
        <f>K1659/K$1659</f>
        <v>1</v>
      </c>
      <c r="N1659" s="796"/>
      <c r="O1659" s="733"/>
    </row>
    <row r="1660" spans="1:15" x14ac:dyDescent="0.25">
      <c r="G1660" s="1006"/>
      <c r="H1660" s="1006"/>
      <c r="I1660" s="1006"/>
    </row>
    <row r="1661" spans="1:15" x14ac:dyDescent="0.25">
      <c r="G1661" s="1006"/>
      <c r="H1661" s="1006"/>
      <c r="I1661" s="1006"/>
    </row>
    <row r="1662" spans="1:15" x14ac:dyDescent="0.25">
      <c r="G1662" s="1006"/>
      <c r="H1662" s="1006"/>
      <c r="I1662" s="1006"/>
    </row>
    <row r="1663" spans="1:15" x14ac:dyDescent="0.25">
      <c r="G1663" s="1006"/>
      <c r="H1663" s="1006"/>
      <c r="I1663" s="1006"/>
    </row>
    <row r="1664" spans="1:15" x14ac:dyDescent="0.25">
      <c r="G1664" s="1006"/>
      <c r="H1664" s="1006"/>
      <c r="I1664" s="1006"/>
    </row>
    <row r="1665" spans="1:15" x14ac:dyDescent="0.25">
      <c r="G1665" s="1006"/>
      <c r="H1665" s="1006"/>
      <c r="I1665" s="1006"/>
    </row>
    <row r="1666" spans="1:15" x14ac:dyDescent="0.25">
      <c r="G1666" s="1006"/>
      <c r="H1666" s="1006"/>
      <c r="I1666" s="1006"/>
    </row>
    <row r="1667" spans="1:15" x14ac:dyDescent="0.25">
      <c r="G1667" s="1006"/>
      <c r="H1667" s="1006"/>
      <c r="I1667" s="1006"/>
    </row>
    <row r="1668" spans="1:15" x14ac:dyDescent="0.25">
      <c r="G1668" s="1006"/>
      <c r="H1668" s="1006"/>
      <c r="I1668" s="1006"/>
    </row>
    <row r="1669" spans="1:15" x14ac:dyDescent="0.25">
      <c r="G1669" s="1006"/>
      <c r="H1669" s="1006"/>
      <c r="I1669" s="1006"/>
    </row>
    <row r="1670" spans="1:15" x14ac:dyDescent="0.25">
      <c r="G1670" s="1006"/>
      <c r="H1670" s="1006"/>
      <c r="I1670" s="1006"/>
    </row>
    <row r="1671" spans="1:15" x14ac:dyDescent="0.25">
      <c r="G1671" s="1006"/>
      <c r="H1671" s="1006"/>
      <c r="I1671" s="1006"/>
    </row>
    <row r="1672" spans="1:15" x14ac:dyDescent="0.25">
      <c r="I1672" s="1006"/>
    </row>
    <row r="1674" spans="1:15" s="435" customFormat="1" ht="15.75" x14ac:dyDescent="0.25">
      <c r="B1674" s="999" t="s">
        <v>989</v>
      </c>
      <c r="C1674" s="999"/>
      <c r="D1674" s="481"/>
      <c r="E1674" s="1371" t="s">
        <v>7911</v>
      </c>
      <c r="F1674" s="1371"/>
      <c r="G1674" s="1371"/>
      <c r="H1674" s="1371"/>
      <c r="I1674" s="1371"/>
      <c r="J1674" s="940"/>
      <c r="K1674" s="438"/>
      <c r="L1674" s="449"/>
      <c r="M1674" s="892"/>
      <c r="O1674" s="732"/>
    </row>
    <row r="1675" spans="1:15" s="435" customFormat="1" ht="18" customHeight="1" x14ac:dyDescent="0.25">
      <c r="B1675" s="999" t="s">
        <v>458</v>
      </c>
      <c r="C1675" s="999"/>
      <c r="D1675" s="481"/>
      <c r="E1675" s="1371" t="s">
        <v>8521</v>
      </c>
      <c r="F1675" s="1371"/>
      <c r="G1675" s="1371"/>
      <c r="H1675" s="1371"/>
      <c r="I1675" s="1371"/>
      <c r="J1675" s="940"/>
      <c r="K1675" s="438"/>
      <c r="L1675" s="449"/>
      <c r="M1675" s="892"/>
      <c r="O1675" s="732"/>
    </row>
    <row r="1676" spans="1:15" s="435" customFormat="1" ht="15.75" x14ac:dyDescent="0.25">
      <c r="B1676" s="1005" t="s">
        <v>5764</v>
      </c>
      <c r="C1676" s="1005"/>
      <c r="D1676" s="1005"/>
      <c r="E1676" s="1371" t="s">
        <v>749</v>
      </c>
      <c r="F1676" s="1371"/>
      <c r="G1676" s="1371"/>
      <c r="H1676" s="1371"/>
      <c r="I1676" s="1371"/>
      <c r="J1676" s="941"/>
      <c r="K1676" s="438"/>
      <c r="L1676" s="449"/>
      <c r="M1676" s="892"/>
      <c r="O1676" s="732"/>
    </row>
    <row r="1677" spans="1:15" ht="88.5" x14ac:dyDescent="0.25">
      <c r="A1677" s="396"/>
      <c r="B1677" s="1400" t="s">
        <v>2296</v>
      </c>
      <c r="C1677" s="1400"/>
      <c r="D1677" s="1400"/>
      <c r="E1677" s="1384" t="s">
        <v>2297</v>
      </c>
      <c r="F1677" s="1384"/>
      <c r="G1677" s="443" t="s">
        <v>444</v>
      </c>
      <c r="H1677" s="443" t="s">
        <v>2245</v>
      </c>
      <c r="I1677" s="444" t="s">
        <v>5725</v>
      </c>
      <c r="J1677" s="893" t="s">
        <v>11644</v>
      </c>
      <c r="K1677" s="1000" t="s">
        <v>11522</v>
      </c>
      <c r="L1677" s="450" t="s">
        <v>235</v>
      </c>
    </row>
    <row r="1678" spans="1:15" s="115" customFormat="1" x14ac:dyDescent="0.25">
      <c r="A1678" s="396"/>
      <c r="B1678" s="1385" t="s">
        <v>5951</v>
      </c>
      <c r="C1678" s="1385"/>
      <c r="D1678" s="1385"/>
      <c r="E1678" s="1385"/>
      <c r="F1678" s="1385"/>
      <c r="G1678" s="401"/>
      <c r="H1678" s="401"/>
      <c r="I1678" s="426"/>
      <c r="J1678" s="402">
        <f t="shared" ref="J1678:K1680" si="205">J1679</f>
        <v>643.5</v>
      </c>
      <c r="K1678" s="402">
        <f t="shared" si="205"/>
        <v>5408.0542400000004</v>
      </c>
      <c r="L1678" s="451">
        <f>K1678/K$1806</f>
        <v>4.7425473418583823E-2</v>
      </c>
      <c r="M1678" s="894"/>
      <c r="O1678" s="733"/>
    </row>
    <row r="1679" spans="1:15" x14ac:dyDescent="0.25">
      <c r="A1679" s="396"/>
      <c r="B1679" s="1386" t="s">
        <v>5950</v>
      </c>
      <c r="C1679" s="1386"/>
      <c r="D1679" s="1386"/>
      <c r="E1679" s="1386"/>
      <c r="F1679" s="1386"/>
      <c r="G1679" s="403"/>
      <c r="H1679" s="403"/>
      <c r="I1679" s="427"/>
      <c r="J1679" s="404">
        <f t="shared" si="205"/>
        <v>643.5</v>
      </c>
      <c r="K1679" s="404">
        <f t="shared" si="205"/>
        <v>5408.0542400000004</v>
      </c>
      <c r="L1679" s="452">
        <f>K1679/K$1806</f>
        <v>4.7425473418583823E-2</v>
      </c>
    </row>
    <row r="1680" spans="1:15" x14ac:dyDescent="0.25">
      <c r="A1680" s="396"/>
      <c r="B1680" s="1382" t="s">
        <v>8565</v>
      </c>
      <c r="C1680" s="1382"/>
      <c r="D1680" s="1382"/>
      <c r="E1680" s="1382"/>
      <c r="F1680" s="1382"/>
      <c r="G1680" s="405"/>
      <c r="H1680" s="405"/>
      <c r="I1680" s="428"/>
      <c r="J1680" s="406">
        <f t="shared" si="205"/>
        <v>643.5</v>
      </c>
      <c r="K1680" s="406">
        <f t="shared" si="205"/>
        <v>5408.0542400000004</v>
      </c>
      <c r="L1680" s="453">
        <f>K1680/K$1806</f>
        <v>4.7425473418583823E-2</v>
      </c>
    </row>
    <row r="1681" spans="1:15" x14ac:dyDescent="0.25">
      <c r="A1681" s="396"/>
      <c r="B1681" s="1383" t="s">
        <v>2290</v>
      </c>
      <c r="C1681" s="1383"/>
      <c r="D1681" s="1383"/>
      <c r="E1681" s="1383"/>
      <c r="F1681" s="1383"/>
      <c r="G1681" s="407"/>
      <c r="H1681" s="407"/>
      <c r="I1681" s="429"/>
      <c r="J1681" s="408">
        <f>J1682+J1683+J1684+J1685+J1686</f>
        <v>643.5</v>
      </c>
      <c r="K1681" s="408">
        <f>K1682+K1683+K1684+K1685+K1686+0.01</f>
        <v>5408.0542400000004</v>
      </c>
      <c r="L1681" s="454">
        <f>K1681/K$1806</f>
        <v>4.7425473418583823E-2</v>
      </c>
    </row>
    <row r="1682" spans="1:15" ht="30" x14ac:dyDescent="0.25">
      <c r="A1682" s="396"/>
      <c r="B1682" s="1396">
        <v>461000</v>
      </c>
      <c r="C1682" s="1396"/>
      <c r="D1682" s="1396"/>
      <c r="E1682" s="417">
        <v>333904700000000</v>
      </c>
      <c r="F1682" s="1017" t="s">
        <v>8522</v>
      </c>
      <c r="G1682" s="468">
        <v>1</v>
      </c>
      <c r="H1682" s="468">
        <v>0</v>
      </c>
      <c r="I1682" s="751"/>
      <c r="J1682" s="789">
        <f>'Parâmetros financeiros Despesa'!F1306</f>
        <v>0</v>
      </c>
      <c r="K1682" s="789">
        <f>('Parâmetros financeiros Despesa'!F1307)*(1+'Parâmetros financeiros Despesa'!F$4)*(1+'Parâmetros financeiros Despesa'!F$7)</f>
        <v>174.45304000000002</v>
      </c>
      <c r="L1682" s="799">
        <f>K1682/K$1806</f>
        <v>1.5298511524010048E-3</v>
      </c>
      <c r="M1682" s="894"/>
      <c r="N1682" s="796"/>
    </row>
    <row r="1683" spans="1:15" s="115" customFormat="1" ht="30" x14ac:dyDescent="0.25">
      <c r="A1683" s="396"/>
      <c r="B1683" s="1396">
        <v>461100</v>
      </c>
      <c r="C1683" s="1396"/>
      <c r="D1683" s="1396"/>
      <c r="E1683" s="854">
        <v>344903000000000</v>
      </c>
      <c r="F1683" s="855" t="s">
        <v>8523</v>
      </c>
      <c r="G1683" s="468">
        <v>1</v>
      </c>
      <c r="H1683" s="468">
        <v>0</v>
      </c>
      <c r="I1683" s="751"/>
      <c r="J1683" s="789">
        <f>('Parâmetros financeiros Despesa'!E1308)</f>
        <v>0</v>
      </c>
      <c r="K1683" s="789">
        <f>('Parâmetros financeiros Despesa'!F1308)*(1+'Parâmetros financeiros Despesa'!F$4)*(1+'Parâmetros financeiros Despesa'!F$7)</f>
        <v>545.16575</v>
      </c>
      <c r="L1683" s="799">
        <f t="shared" ref="L1683:L1686" si="206">K1683/K$1806</f>
        <v>4.7807848512531398E-3</v>
      </c>
      <c r="M1683" s="894"/>
      <c r="N1683" s="796"/>
      <c r="O1683" s="733"/>
    </row>
    <row r="1684" spans="1:15" s="457" customFormat="1" ht="30" x14ac:dyDescent="0.25">
      <c r="A1684" s="396"/>
      <c r="B1684" s="1398" t="s">
        <v>8542</v>
      </c>
      <c r="C1684" s="1398"/>
      <c r="D1684" s="1398"/>
      <c r="E1684" s="854">
        <v>344903600000000</v>
      </c>
      <c r="F1684" s="855" t="s">
        <v>8524</v>
      </c>
      <c r="G1684" s="468">
        <v>1</v>
      </c>
      <c r="H1684" s="468">
        <v>0</v>
      </c>
      <c r="I1684" s="751"/>
      <c r="J1684" s="789">
        <f>('Parâmetros financeiros Despesa'!E1309)</f>
        <v>0</v>
      </c>
      <c r="K1684" s="789">
        <f>('Parâmetros financeiros Despesa'!F1309)*(1+'Parâmetros financeiros Despesa'!F$4)*(1+'Parâmetros financeiros Despesa'!F$7)</f>
        <v>872.26520000000005</v>
      </c>
      <c r="L1684" s="799">
        <f t="shared" si="206"/>
        <v>7.649255762005024E-3</v>
      </c>
      <c r="M1684" s="894"/>
      <c r="N1684" s="796"/>
      <c r="O1684" s="734"/>
    </row>
    <row r="1685" spans="1:15" s="457" customFormat="1" ht="30" x14ac:dyDescent="0.25">
      <c r="A1685" s="396"/>
      <c r="B1685" s="1398" t="s">
        <v>8543</v>
      </c>
      <c r="C1685" s="1398"/>
      <c r="D1685" s="1398"/>
      <c r="E1685" s="854">
        <v>344903900000000</v>
      </c>
      <c r="F1685" s="855" t="s">
        <v>8525</v>
      </c>
      <c r="G1685" s="468">
        <v>1</v>
      </c>
      <c r="H1685" s="468">
        <v>0</v>
      </c>
      <c r="I1685" s="751"/>
      <c r="J1685" s="789">
        <f>('Parâmetros financeiros Despesa'!E1310)</f>
        <v>0</v>
      </c>
      <c r="K1685" s="789">
        <f>('Parâmetros financeiros Despesa'!F1310)*(1+'Parâmetros financeiros Despesa'!F$4)*(1+'Parâmetros financeiros Despesa'!F$7)</f>
        <v>1090.3315</v>
      </c>
      <c r="L1685" s="799">
        <f t="shared" si="206"/>
        <v>9.5615697025062795E-3</v>
      </c>
      <c r="M1685" s="894"/>
      <c r="N1685" s="796"/>
      <c r="O1685" s="734"/>
    </row>
    <row r="1686" spans="1:15" s="457" customFormat="1" ht="30" x14ac:dyDescent="0.25">
      <c r="A1686" s="396"/>
      <c r="B1686" s="1398" t="s">
        <v>8544</v>
      </c>
      <c r="C1686" s="1398"/>
      <c r="D1686" s="1398"/>
      <c r="E1686" s="854">
        <v>344905200000000</v>
      </c>
      <c r="F1686" s="855" t="s">
        <v>8526</v>
      </c>
      <c r="G1686" s="468">
        <v>1</v>
      </c>
      <c r="H1686" s="468">
        <v>0</v>
      </c>
      <c r="I1686" s="751"/>
      <c r="J1686" s="789">
        <f>('Parâmetros financeiros Despesa'!E1311)</f>
        <v>643.5</v>
      </c>
      <c r="K1686" s="789">
        <f>('Parâmetros financeiros Despesa'!F1311)*(1+'Parâmetros financeiros Despesa'!F$4)*(1+'Parâmetros financeiros Despesa'!F$7)</f>
        <v>2725.8287500000001</v>
      </c>
      <c r="L1686" s="799">
        <f t="shared" si="206"/>
        <v>2.39039242562657E-2</v>
      </c>
      <c r="M1686" s="894"/>
      <c r="N1686" s="796"/>
      <c r="O1686" s="734"/>
    </row>
    <row r="1687" spans="1:15" x14ac:dyDescent="0.25">
      <c r="A1687" s="397"/>
      <c r="B1687" s="1385" t="s">
        <v>5951</v>
      </c>
      <c r="C1687" s="1385"/>
      <c r="D1687" s="1385"/>
      <c r="E1687" s="1385"/>
      <c r="F1687" s="1385"/>
      <c r="G1687" s="401"/>
      <c r="H1687" s="401"/>
      <c r="I1687" s="426"/>
      <c r="J1687" s="402">
        <f t="shared" ref="J1687:K1689" si="207">J1688</f>
        <v>22721.0189125</v>
      </c>
      <c r="K1687" s="402">
        <f t="shared" si="207"/>
        <v>40080.287541796512</v>
      </c>
      <c r="L1687" s="451">
        <f>K1687/K$1806</f>
        <v>0.3514806854863694</v>
      </c>
    </row>
    <row r="1688" spans="1:15" x14ac:dyDescent="0.25">
      <c r="A1688" s="397"/>
      <c r="B1688" s="1386" t="s">
        <v>5965</v>
      </c>
      <c r="C1688" s="1386"/>
      <c r="D1688" s="1386"/>
      <c r="E1688" s="1386"/>
      <c r="F1688" s="1386"/>
      <c r="G1688" s="403"/>
      <c r="H1688" s="403"/>
      <c r="I1688" s="427"/>
      <c r="J1688" s="404">
        <f t="shared" si="207"/>
        <v>22721.0189125</v>
      </c>
      <c r="K1688" s="404">
        <f t="shared" si="207"/>
        <v>40080.287541796512</v>
      </c>
      <c r="L1688" s="452">
        <f>K1688/K$1806</f>
        <v>0.3514806854863694</v>
      </c>
    </row>
    <row r="1689" spans="1:15" x14ac:dyDescent="0.25">
      <c r="A1689" s="397"/>
      <c r="B1689" s="1382" t="s">
        <v>8565</v>
      </c>
      <c r="C1689" s="1382"/>
      <c r="D1689" s="1382"/>
      <c r="E1689" s="1382"/>
      <c r="F1689" s="1382"/>
      <c r="G1689" s="405"/>
      <c r="H1689" s="405"/>
      <c r="I1689" s="428"/>
      <c r="J1689" s="406">
        <f t="shared" si="207"/>
        <v>22721.0189125</v>
      </c>
      <c r="K1689" s="406">
        <f t="shared" si="207"/>
        <v>40080.287541796512</v>
      </c>
      <c r="L1689" s="453">
        <f>K1689/K$1806</f>
        <v>0.3514806854863694</v>
      </c>
    </row>
    <row r="1690" spans="1:15" x14ac:dyDescent="0.25">
      <c r="A1690" s="397"/>
      <c r="B1690" s="1383" t="s">
        <v>2290</v>
      </c>
      <c r="C1690" s="1383"/>
      <c r="D1690" s="1383"/>
      <c r="E1690" s="1383"/>
      <c r="F1690" s="1383"/>
      <c r="G1690" s="407"/>
      <c r="H1690" s="407"/>
      <c r="I1690" s="429"/>
      <c r="J1690" s="408">
        <f>SUM(J1691:J1705)</f>
        <v>22721.0189125</v>
      </c>
      <c r="K1690" s="408">
        <f>SUM(K1691:K1705)+0.02</f>
        <v>40080.287541796512</v>
      </c>
      <c r="L1690" s="454">
        <f>K1690/K$1806</f>
        <v>0.3514806854863694</v>
      </c>
    </row>
    <row r="1691" spans="1:15" s="115" customFormat="1" x14ac:dyDescent="0.25">
      <c r="A1691" s="396"/>
      <c r="B1691" s="1398" t="s">
        <v>8545</v>
      </c>
      <c r="C1691" s="1398"/>
      <c r="D1691" s="1398"/>
      <c r="E1691" s="854">
        <v>331900400000000</v>
      </c>
      <c r="F1691" s="855" t="s">
        <v>8527</v>
      </c>
      <c r="G1691" s="468">
        <v>1</v>
      </c>
      <c r="H1691" s="468">
        <v>0</v>
      </c>
      <c r="I1691" s="751"/>
      <c r="J1691" s="789">
        <f>(('Parâmetros financeiros Despesa'!E$1313))</f>
        <v>0</v>
      </c>
      <c r="K1691" s="789">
        <f>(('Parâmetros financeiros Despesa'!F$1313)*2.05+(('Parâmetros financeiros Despesa'!F$1313)*11.28)*(1+'Parâmetros financeiros Despesa'!F$4)*(1+'Parâmetros financeiros Despesa'!F$8))*(1+'Parâmetros financeiros Despesa'!F$80)</f>
        <v>17.278630081629636</v>
      </c>
      <c r="L1691" s="799">
        <f>K1691/K$1806</f>
        <v>1.5152348243568451E-4</v>
      </c>
      <c r="M1691" s="894"/>
      <c r="O1691" s="733"/>
    </row>
    <row r="1692" spans="1:15" s="115" customFormat="1" x14ac:dyDescent="0.25">
      <c r="A1692" s="396"/>
      <c r="B1692" s="1398" t="s">
        <v>8546</v>
      </c>
      <c r="C1692" s="1398"/>
      <c r="D1692" s="1398"/>
      <c r="E1692" s="854">
        <v>331901100000000</v>
      </c>
      <c r="F1692" s="855" t="s">
        <v>8529</v>
      </c>
      <c r="G1692" s="468">
        <v>1</v>
      </c>
      <c r="H1692" s="468">
        <v>0</v>
      </c>
      <c r="I1692" s="751"/>
      <c r="J1692" s="789">
        <f>('Parâmetros financeiros Despesa'!E$1314)</f>
        <v>22632.023912500001</v>
      </c>
      <c r="K1692" s="789">
        <f>('Parâmetros financeiros Despesa'!F$1314)*2.05+(('Parâmetros financeiros Despesa'!F$1314)*11.28)*(1+'Parâmetros financeiros Despesa'!F$4)*(1+'Parâmetros financeiros Despesa'!F$8)</f>
        <v>23694.575465700051</v>
      </c>
      <c r="L1692" s="799">
        <f t="shared" ref="L1692:L1720" si="208">K1692/K$1806</f>
        <v>0.20778757184084493</v>
      </c>
      <c r="M1692" s="894"/>
      <c r="O1692" s="733"/>
    </row>
    <row r="1693" spans="1:15" s="115" customFormat="1" x14ac:dyDescent="0.25">
      <c r="A1693" s="396"/>
      <c r="B1693" s="1398" t="s">
        <v>8547</v>
      </c>
      <c r="C1693" s="1398"/>
      <c r="D1693" s="1398"/>
      <c r="E1693" s="854">
        <v>331901300000000</v>
      </c>
      <c r="F1693" s="855" t="s">
        <v>8528</v>
      </c>
      <c r="G1693" s="468">
        <v>1</v>
      </c>
      <c r="H1693" s="468">
        <v>0</v>
      </c>
      <c r="I1693" s="751"/>
      <c r="J1693" s="789">
        <f>'Parâmetros financeiros Despesa'!F1315</f>
        <v>0</v>
      </c>
      <c r="K1693" s="789">
        <f>(K1694+K1692)*'Parâmetros financeiros Despesa'!F$80</f>
        <v>5644.8590504517933</v>
      </c>
      <c r="L1693" s="799">
        <f t="shared" si="208"/>
        <v>4.9502113138727287E-2</v>
      </c>
      <c r="M1693" s="894"/>
      <c r="O1693" s="733"/>
    </row>
    <row r="1694" spans="1:15" s="115" customFormat="1" x14ac:dyDescent="0.25">
      <c r="A1694" s="396"/>
      <c r="B1694" s="1398" t="s">
        <v>8548</v>
      </c>
      <c r="C1694" s="1398"/>
      <c r="D1694" s="1398"/>
      <c r="E1694" s="854">
        <v>331901600000000</v>
      </c>
      <c r="F1694" s="855" t="s">
        <v>8530</v>
      </c>
      <c r="G1694" s="468">
        <v>1</v>
      </c>
      <c r="H1694" s="468">
        <v>0</v>
      </c>
      <c r="I1694" s="751"/>
      <c r="J1694" s="789">
        <f>('Parâmetros financeiros Despesa'!E$1316)</f>
        <v>0</v>
      </c>
      <c r="K1694" s="789">
        <f>('Parâmetros financeiros Despesa'!F$1316)*2.05+(('Parâmetros financeiros Despesa'!F$1316)*11.28)*(1+'Parâmetros financeiros Despesa'!F$4)*(1+'Parâmetros financeiros Despesa'!F$8)</f>
        <v>13.955830560223728</v>
      </c>
      <c r="L1694" s="799">
        <f t="shared" si="208"/>
        <v>1.2238447358252645E-4</v>
      </c>
      <c r="M1694" s="894"/>
      <c r="O1694" s="733"/>
    </row>
    <row r="1695" spans="1:15" s="115" customFormat="1" x14ac:dyDescent="0.25">
      <c r="A1695" s="396"/>
      <c r="B1695" s="1398" t="s">
        <v>8549</v>
      </c>
      <c r="C1695" s="1398"/>
      <c r="D1695" s="1398"/>
      <c r="E1695" s="854">
        <v>333901400000000</v>
      </c>
      <c r="F1695" s="855" t="s">
        <v>8531</v>
      </c>
      <c r="G1695" s="468">
        <v>1</v>
      </c>
      <c r="H1695" s="468">
        <v>0</v>
      </c>
      <c r="I1695" s="751"/>
      <c r="J1695" s="789">
        <f>('Parâmetros financeiros Despesa'!E$1317)</f>
        <v>0</v>
      </c>
      <c r="K1695" s="789">
        <f>('Parâmetros financeiros Despesa'!F$1317)*2+(('Parâmetros financeiros Despesa'!F$1317)*10)*(1+'Parâmetros financeiros Despesa'!F$4)*(1+'Parâmetros financeiros Despesa'!F$8)</f>
        <v>2410.5243506763791</v>
      </c>
      <c r="L1695" s="799">
        <f t="shared" si="208"/>
        <v>2.1138889042993703E-2</v>
      </c>
      <c r="M1695" s="894"/>
      <c r="N1695" s="796"/>
      <c r="O1695" s="733"/>
    </row>
    <row r="1696" spans="1:15" s="115" customFormat="1" x14ac:dyDescent="0.25">
      <c r="A1696" s="396"/>
      <c r="B1696" s="1396">
        <v>462500</v>
      </c>
      <c r="C1696" s="1396"/>
      <c r="D1696" s="1396"/>
      <c r="E1696" s="854">
        <v>333903000000000</v>
      </c>
      <c r="F1696" s="855" t="s">
        <v>8533</v>
      </c>
      <c r="G1696" s="468">
        <v>1</v>
      </c>
      <c r="H1696" s="468">
        <v>0</v>
      </c>
      <c r="I1696" s="751"/>
      <c r="J1696" s="789">
        <f>('Parâmetros financeiros Despesa'!E1318)</f>
        <v>88.995000000000005</v>
      </c>
      <c r="K1696" s="789">
        <f>('Parâmetros financeiros Despesa'!F1318)*(1+'Parâmetros financeiros Despesa'!F$4)*(1+'Parâmetros financeiros Despesa'!F$7)</f>
        <v>1090.3315</v>
      </c>
      <c r="L1696" s="799">
        <f t="shared" si="208"/>
        <v>9.5615697025062795E-3</v>
      </c>
      <c r="M1696" s="894"/>
      <c r="N1696" s="796"/>
      <c r="O1696" s="733"/>
    </row>
    <row r="1697" spans="1:15" s="115" customFormat="1" x14ac:dyDescent="0.25">
      <c r="A1697" s="396"/>
      <c r="B1697" s="1396">
        <v>462600</v>
      </c>
      <c r="C1697" s="1396"/>
      <c r="D1697" s="1396"/>
      <c r="E1697" s="854">
        <v>333903200000000</v>
      </c>
      <c r="F1697" s="855" t="s">
        <v>8532</v>
      </c>
      <c r="G1697" s="468">
        <v>1</v>
      </c>
      <c r="H1697" s="468">
        <v>0</v>
      </c>
      <c r="I1697" s="751"/>
      <c r="J1697" s="789">
        <f>('Parâmetros financeiros Despesa'!E1319)</f>
        <v>0</v>
      </c>
      <c r="K1697" s="789">
        <f>('Parâmetros financeiros Despesa'!F1319)*(1+'Parâmetros financeiros Despesa'!F$4)*(1+'Parâmetros financeiros Despesa'!F$7)</f>
        <v>872.26520000000005</v>
      </c>
      <c r="L1697" s="799">
        <f t="shared" si="208"/>
        <v>7.649255762005024E-3</v>
      </c>
      <c r="M1697" s="894"/>
      <c r="N1697" s="796"/>
      <c r="O1697" s="733"/>
    </row>
    <row r="1698" spans="1:15" s="115" customFormat="1" x14ac:dyDescent="0.25">
      <c r="A1698" s="396"/>
      <c r="B1698" s="1396">
        <v>462700</v>
      </c>
      <c r="C1698" s="1396"/>
      <c r="D1698" s="1396"/>
      <c r="E1698" s="854">
        <v>333903300000000</v>
      </c>
      <c r="F1698" s="855" t="s">
        <v>8535</v>
      </c>
      <c r="G1698" s="468">
        <v>1</v>
      </c>
      <c r="H1698" s="468">
        <v>0</v>
      </c>
      <c r="I1698" s="751"/>
      <c r="J1698" s="789">
        <f>('Parâmetros financeiros Despesa'!E1320)</f>
        <v>0</v>
      </c>
      <c r="K1698" s="789">
        <f>('Parâmetros financeiros Despesa'!F1320)*(1+'Parâmetros financeiros Despesa'!F$4)*(1+'Parâmetros financeiros Despesa'!F$7)</f>
        <v>545.16575</v>
      </c>
      <c r="L1698" s="799">
        <f t="shared" si="208"/>
        <v>4.7807848512531398E-3</v>
      </c>
      <c r="M1698" s="894"/>
      <c r="N1698" s="796"/>
      <c r="O1698" s="733"/>
    </row>
    <row r="1699" spans="1:15" s="115" customFormat="1" x14ac:dyDescent="0.25">
      <c r="A1699" s="396"/>
      <c r="B1699" s="1398" t="s">
        <v>8550</v>
      </c>
      <c r="C1699" s="1398"/>
      <c r="D1699" s="1398"/>
      <c r="E1699" s="854">
        <v>333903500000000</v>
      </c>
      <c r="F1699" s="855" t="s">
        <v>8534</v>
      </c>
      <c r="G1699" s="468">
        <v>1</v>
      </c>
      <c r="H1699" s="468">
        <v>0</v>
      </c>
      <c r="I1699" s="751"/>
      <c r="J1699" s="789">
        <f>('Parâmetros financeiros Despesa'!E1321)</f>
        <v>0</v>
      </c>
      <c r="K1699" s="789">
        <f>('Parâmetros financeiros Despesa'!F1321)*(1+'Parâmetros financeiros Despesa'!F$4)*(1+'Parâmetros financeiros Despesa'!F$7)</f>
        <v>545.16575</v>
      </c>
      <c r="L1699" s="799">
        <f t="shared" si="208"/>
        <v>4.7807848512531398E-3</v>
      </c>
      <c r="M1699" s="894"/>
      <c r="N1699" s="796"/>
      <c r="O1699" s="733"/>
    </row>
    <row r="1700" spans="1:15" s="115" customFormat="1" x14ac:dyDescent="0.25">
      <c r="A1700" s="396"/>
      <c r="B1700" s="1398" t="s">
        <v>8551</v>
      </c>
      <c r="C1700" s="1398"/>
      <c r="D1700" s="1398"/>
      <c r="E1700" s="854">
        <v>333903600000000</v>
      </c>
      <c r="F1700" s="855" t="s">
        <v>8536</v>
      </c>
      <c r="G1700" s="468">
        <v>1</v>
      </c>
      <c r="H1700" s="468">
        <v>0</v>
      </c>
      <c r="I1700" s="751"/>
      <c r="J1700" s="789">
        <f>('Parâmetros financeiros Despesa'!E1322)</f>
        <v>0</v>
      </c>
      <c r="K1700" s="789">
        <f>('Parâmetros financeiros Despesa'!F1322)*(1+'Parâmetros financeiros Despesa'!F$4)*(1+'Parâmetros financeiros Despesa'!F$7)</f>
        <v>1635.4972500000001</v>
      </c>
      <c r="L1700" s="799">
        <f t="shared" si="208"/>
        <v>1.434235455375942E-2</v>
      </c>
      <c r="M1700" s="894"/>
      <c r="N1700" s="796"/>
      <c r="O1700" s="733"/>
    </row>
    <row r="1701" spans="1:15" s="115" customFormat="1" x14ac:dyDescent="0.25">
      <c r="A1701" s="396"/>
      <c r="B1701" s="1398" t="s">
        <v>8552</v>
      </c>
      <c r="C1701" s="1398"/>
      <c r="D1701" s="1398"/>
      <c r="E1701" s="854">
        <v>333903900000000</v>
      </c>
      <c r="F1701" s="855" t="s">
        <v>8537</v>
      </c>
      <c r="G1701" s="468">
        <v>1</v>
      </c>
      <c r="H1701" s="468">
        <v>0</v>
      </c>
      <c r="I1701" s="751"/>
      <c r="J1701" s="789">
        <f>('Parâmetros financeiros Despesa'!E1323)</f>
        <v>0</v>
      </c>
      <c r="K1701" s="789">
        <f>('Parâmetros financeiros Despesa'!F1323)*(1+'Parâmetros financeiros Despesa'!F$4)*(1+'Parâmetros financeiros Despesa'!F$7)</f>
        <v>2180.663</v>
      </c>
      <c r="L1701" s="799">
        <f t="shared" si="208"/>
        <v>1.9123139405012559E-2</v>
      </c>
      <c r="M1701" s="894"/>
      <c r="N1701" s="796"/>
      <c r="O1701" s="733"/>
    </row>
    <row r="1702" spans="1:15" s="115" customFormat="1" x14ac:dyDescent="0.25">
      <c r="A1702" s="396"/>
      <c r="B1702" s="1398" t="s">
        <v>8553</v>
      </c>
      <c r="C1702" s="1398"/>
      <c r="D1702" s="1398"/>
      <c r="E1702" s="854">
        <v>333904700000000</v>
      </c>
      <c r="F1702" s="855" t="s">
        <v>8538</v>
      </c>
      <c r="G1702" s="468">
        <v>1</v>
      </c>
      <c r="H1702" s="468">
        <v>0</v>
      </c>
      <c r="I1702" s="751"/>
      <c r="J1702" s="789">
        <f>('Parâmetros financeiros Despesa'!E1324)</f>
        <v>0</v>
      </c>
      <c r="K1702" s="789">
        <f>('Parâmetros financeiros Despesa'!F1324)*(1+'Parâmetros financeiros Despesa'!F$4)*(1+'Parâmetros financeiros Despesa'!F$7)</f>
        <v>327.09944999999999</v>
      </c>
      <c r="L1702" s="799">
        <f t="shared" si="208"/>
        <v>2.8684709107518838E-3</v>
      </c>
      <c r="M1702" s="894"/>
      <c r="N1702" s="796"/>
      <c r="O1702" s="733"/>
    </row>
    <row r="1703" spans="1:15" s="115" customFormat="1" x14ac:dyDescent="0.25">
      <c r="A1703" s="396"/>
      <c r="B1703" s="1398" t="s">
        <v>8554</v>
      </c>
      <c r="C1703" s="1398"/>
      <c r="D1703" s="1398"/>
      <c r="E1703" s="854">
        <v>333904900000000</v>
      </c>
      <c r="F1703" s="855" t="s">
        <v>8539</v>
      </c>
      <c r="G1703" s="468">
        <v>1</v>
      </c>
      <c r="H1703" s="468">
        <v>0</v>
      </c>
      <c r="I1703" s="751"/>
      <c r="J1703" s="789">
        <f>('Parâmetros financeiros Despesa'!E$1325)</f>
        <v>0</v>
      </c>
      <c r="K1703" s="789">
        <f>('Parâmetros financeiros Despesa'!F$1325)*2+(('Parâmetros financeiros Despesa'!F$1325)*10)*(1+'Parâmetros financeiros Despesa'!F$4)*(1+'Parâmetros financeiros Despesa'!F$8)</f>
        <v>12.554814326439475</v>
      </c>
      <c r="L1703" s="799">
        <f t="shared" si="208"/>
        <v>1.1009838043225887E-4</v>
      </c>
      <c r="M1703" s="894"/>
      <c r="N1703" s="796"/>
      <c r="O1703" s="733"/>
    </row>
    <row r="1704" spans="1:15" s="115" customFormat="1" x14ac:dyDescent="0.25">
      <c r="A1704" s="396"/>
      <c r="B1704" s="1398" t="s">
        <v>8555</v>
      </c>
      <c r="C1704" s="1398"/>
      <c r="D1704" s="1398"/>
      <c r="E1704" s="854">
        <v>333909300000000</v>
      </c>
      <c r="F1704" s="855" t="s">
        <v>8540</v>
      </c>
      <c r="G1704" s="468">
        <v>1</v>
      </c>
      <c r="H1704" s="468">
        <v>0</v>
      </c>
      <c r="I1704" s="751"/>
      <c r="J1704" s="789">
        <f>('Parâmetros financeiros Despesa'!E1326)</f>
        <v>0</v>
      </c>
      <c r="K1704" s="789">
        <f>('Parâmetros financeiros Despesa'!F1326)*(1+'Parâmetros financeiros Despesa'!F$4)*(1+'Parâmetros financeiros Despesa'!F$7)</f>
        <v>545.16575</v>
      </c>
      <c r="L1704" s="799">
        <f t="shared" si="208"/>
        <v>4.7807848512531398E-3</v>
      </c>
      <c r="M1704" s="894"/>
      <c r="N1704" s="796"/>
      <c r="O1704" s="733"/>
    </row>
    <row r="1705" spans="1:15" s="115" customFormat="1" x14ac:dyDescent="0.25">
      <c r="A1705" s="396"/>
      <c r="B1705" s="1398" t="s">
        <v>8556</v>
      </c>
      <c r="C1705" s="1398"/>
      <c r="D1705" s="1398"/>
      <c r="E1705" s="854">
        <v>333933000000000</v>
      </c>
      <c r="F1705" s="855" t="s">
        <v>8541</v>
      </c>
      <c r="G1705" s="468">
        <v>1</v>
      </c>
      <c r="H1705" s="468">
        <v>0</v>
      </c>
      <c r="I1705" s="751"/>
      <c r="J1705" s="789">
        <f>('Parâmetros financeiros Despesa'!E1327)</f>
        <v>0</v>
      </c>
      <c r="K1705" s="789">
        <f>('Parâmetros financeiros Despesa'!F1327)*(1+'Parâmetros financeiros Despesa'!F$4)*(1+'Parâmetros financeiros Despesa'!F$7)</f>
        <v>545.16575</v>
      </c>
      <c r="L1705" s="799">
        <f t="shared" si="208"/>
        <v>4.7807848512531398E-3</v>
      </c>
      <c r="M1705" s="894"/>
      <c r="N1705" s="796"/>
      <c r="O1705" s="733"/>
    </row>
    <row r="1706" spans="1:15" x14ac:dyDescent="0.25">
      <c r="A1706" s="397"/>
      <c r="B1706" s="1385" t="s">
        <v>8566</v>
      </c>
      <c r="C1706" s="1385"/>
      <c r="D1706" s="1385"/>
      <c r="E1706" s="1385"/>
      <c r="F1706" s="1385"/>
      <c r="G1706" s="401"/>
      <c r="H1706" s="401"/>
      <c r="I1706" s="426"/>
      <c r="J1706" s="402">
        <f t="shared" ref="J1706:K1708" si="209">J1707</f>
        <v>17600.099999999999</v>
      </c>
      <c r="K1706" s="402">
        <f t="shared" si="209"/>
        <v>55443.356775</v>
      </c>
      <c r="L1706" s="451">
        <f t="shared" si="208"/>
        <v>0.48620581937244434</v>
      </c>
    </row>
    <row r="1707" spans="1:15" x14ac:dyDescent="0.25">
      <c r="A1707" s="397"/>
      <c r="B1707" s="1386" t="s">
        <v>8567</v>
      </c>
      <c r="C1707" s="1386"/>
      <c r="D1707" s="1386"/>
      <c r="E1707" s="1386"/>
      <c r="F1707" s="1386"/>
      <c r="G1707" s="403"/>
      <c r="H1707" s="403"/>
      <c r="I1707" s="427"/>
      <c r="J1707" s="404">
        <f t="shared" si="209"/>
        <v>17600.099999999999</v>
      </c>
      <c r="K1707" s="404">
        <f t="shared" si="209"/>
        <v>55443.356775</v>
      </c>
      <c r="L1707" s="452">
        <f t="shared" si="208"/>
        <v>0.48620581937244434</v>
      </c>
    </row>
    <row r="1708" spans="1:15" x14ac:dyDescent="0.25">
      <c r="A1708" s="397"/>
      <c r="B1708" s="1382" t="s">
        <v>8565</v>
      </c>
      <c r="C1708" s="1382"/>
      <c r="D1708" s="1382"/>
      <c r="E1708" s="1382"/>
      <c r="F1708" s="1382"/>
      <c r="G1708" s="405"/>
      <c r="H1708" s="405"/>
      <c r="I1708" s="428"/>
      <c r="J1708" s="406">
        <f t="shared" si="209"/>
        <v>17600.099999999999</v>
      </c>
      <c r="K1708" s="406">
        <f t="shared" si="209"/>
        <v>55443.356775</v>
      </c>
      <c r="L1708" s="453">
        <f t="shared" si="208"/>
        <v>0.48620581937244434</v>
      </c>
    </row>
    <row r="1709" spans="1:15" x14ac:dyDescent="0.25">
      <c r="A1709" s="397"/>
      <c r="B1709" s="1383" t="s">
        <v>8568</v>
      </c>
      <c r="C1709" s="1383"/>
      <c r="D1709" s="1383"/>
      <c r="E1709" s="1383"/>
      <c r="F1709" s="1383"/>
      <c r="G1709" s="407"/>
      <c r="H1709" s="407"/>
      <c r="I1709" s="429"/>
      <c r="J1709" s="408">
        <f>J1710+J1721+J1732+J1733+J1744+J1755+J1776+J1778</f>
        <v>17600.099999999999</v>
      </c>
      <c r="K1709" s="408">
        <f>K1710+K1721+K1732+K1733+K1744+K1755+K1776+K1778</f>
        <v>55443.356775</v>
      </c>
      <c r="L1709" s="454">
        <f t="shared" si="208"/>
        <v>0.48620581937244434</v>
      </c>
    </row>
    <row r="1710" spans="1:15" s="115" customFormat="1" x14ac:dyDescent="0.25">
      <c r="A1710" s="396"/>
      <c r="B1710" s="1396">
        <v>464000</v>
      </c>
      <c r="C1710" s="1396"/>
      <c r="D1710" s="1396"/>
      <c r="E1710" s="854">
        <v>333903000000000</v>
      </c>
      <c r="F1710" s="855" t="s">
        <v>8632</v>
      </c>
      <c r="G1710" s="468">
        <v>1</v>
      </c>
      <c r="H1710" s="468">
        <v>0</v>
      </c>
      <c r="I1710" s="751"/>
      <c r="J1710" s="789">
        <f>('Parâmetros financeiros Despesa'!E1329)</f>
        <v>8340</v>
      </c>
      <c r="K1710" s="789">
        <f>('Parâmetros financeiros Despesa'!F1329)*(1+'Parâmetros financeiros Despesa'!F$4)*(1+'Parâmetros financeiros Despesa'!F$7)</f>
        <v>7959.4199499999995</v>
      </c>
      <c r="L1710" s="799">
        <f t="shared" si="208"/>
        <v>6.9799458828295829E-2</v>
      </c>
      <c r="M1710" s="894"/>
      <c r="N1710" s="796"/>
      <c r="O1710" s="733"/>
    </row>
    <row r="1711" spans="1:15" x14ac:dyDescent="0.25">
      <c r="B1711" s="599">
        <f t="shared" ref="B1711:B1720" si="210">B1710+1</f>
        <v>464001</v>
      </c>
      <c r="C1711" s="1017" t="s">
        <v>6062</v>
      </c>
      <c r="D1711" s="528">
        <f>B1710</f>
        <v>464000</v>
      </c>
      <c r="E1711" s="417">
        <v>333903099000000</v>
      </c>
      <c r="F1711" s="418" t="s">
        <v>8569</v>
      </c>
      <c r="G1711" s="603">
        <v>1</v>
      </c>
      <c r="H1711" s="603">
        <v>0</v>
      </c>
      <c r="I1711" s="601">
        <v>331119900000000</v>
      </c>
      <c r="J1711" s="891">
        <v>0</v>
      </c>
      <c r="K1711" s="891">
        <v>0</v>
      </c>
      <c r="L1711" s="996">
        <f t="shared" si="208"/>
        <v>0</v>
      </c>
    </row>
    <row r="1712" spans="1:15" x14ac:dyDescent="0.25">
      <c r="B1712" s="599">
        <f t="shared" si="210"/>
        <v>464002</v>
      </c>
      <c r="C1712" s="1017" t="s">
        <v>6062</v>
      </c>
      <c r="D1712" s="528">
        <f t="shared" ref="D1712:D1720" si="211">D1711</f>
        <v>464000</v>
      </c>
      <c r="E1712" s="417">
        <v>333903099000000</v>
      </c>
      <c r="F1712" s="418" t="s">
        <v>8570</v>
      </c>
      <c r="G1712" s="603">
        <v>1</v>
      </c>
      <c r="H1712" s="603">
        <v>0</v>
      </c>
      <c r="I1712" s="601">
        <v>331119900000000</v>
      </c>
      <c r="J1712" s="891">
        <v>0</v>
      </c>
      <c r="K1712" s="891">
        <v>0</v>
      </c>
      <c r="L1712" s="996">
        <f t="shared" si="208"/>
        <v>0</v>
      </c>
    </row>
    <row r="1713" spans="1:15" x14ac:dyDescent="0.25">
      <c r="B1713" s="599">
        <f t="shared" si="210"/>
        <v>464003</v>
      </c>
      <c r="C1713" s="1017" t="s">
        <v>6062</v>
      </c>
      <c r="D1713" s="528">
        <f t="shared" si="211"/>
        <v>464000</v>
      </c>
      <c r="E1713" s="417">
        <v>333903099000000</v>
      </c>
      <c r="F1713" s="418" t="s">
        <v>8571</v>
      </c>
      <c r="G1713" s="603">
        <v>1</v>
      </c>
      <c r="H1713" s="603">
        <v>0</v>
      </c>
      <c r="I1713" s="601">
        <v>331119900000000</v>
      </c>
      <c r="J1713" s="891">
        <v>0</v>
      </c>
      <c r="K1713" s="891">
        <v>0</v>
      </c>
      <c r="L1713" s="996">
        <f t="shared" si="208"/>
        <v>0</v>
      </c>
    </row>
    <row r="1714" spans="1:15" x14ac:dyDescent="0.25">
      <c r="B1714" s="599">
        <f t="shared" si="210"/>
        <v>464004</v>
      </c>
      <c r="C1714" s="1017" t="s">
        <v>6062</v>
      </c>
      <c r="D1714" s="528">
        <f t="shared" si="211"/>
        <v>464000</v>
      </c>
      <c r="E1714" s="417">
        <v>333903099000000</v>
      </c>
      <c r="F1714" s="418" t="s">
        <v>8572</v>
      </c>
      <c r="G1714" s="603">
        <v>1</v>
      </c>
      <c r="H1714" s="603">
        <v>0</v>
      </c>
      <c r="I1714" s="601">
        <v>331119900000000</v>
      </c>
      <c r="J1714" s="891">
        <v>0</v>
      </c>
      <c r="K1714" s="891">
        <v>0</v>
      </c>
      <c r="L1714" s="996">
        <f t="shared" si="208"/>
        <v>0</v>
      </c>
    </row>
    <row r="1715" spans="1:15" x14ac:dyDescent="0.25">
      <c r="B1715" s="599">
        <f t="shared" si="210"/>
        <v>464005</v>
      </c>
      <c r="C1715" s="1017" t="s">
        <v>6062</v>
      </c>
      <c r="D1715" s="528">
        <f t="shared" si="211"/>
        <v>464000</v>
      </c>
      <c r="E1715" s="417">
        <v>333903099000000</v>
      </c>
      <c r="F1715" s="418" t="s">
        <v>8573</v>
      </c>
      <c r="G1715" s="603">
        <v>1</v>
      </c>
      <c r="H1715" s="603">
        <v>0</v>
      </c>
      <c r="I1715" s="601">
        <v>331119900000000</v>
      </c>
      <c r="J1715" s="891">
        <v>0</v>
      </c>
      <c r="K1715" s="891">
        <v>0</v>
      </c>
      <c r="L1715" s="996">
        <f t="shared" si="208"/>
        <v>0</v>
      </c>
    </row>
    <row r="1716" spans="1:15" x14ac:dyDescent="0.25">
      <c r="B1716" s="599">
        <f t="shared" si="210"/>
        <v>464006</v>
      </c>
      <c r="C1716" s="1017" t="s">
        <v>6062</v>
      </c>
      <c r="D1716" s="528">
        <f t="shared" si="211"/>
        <v>464000</v>
      </c>
      <c r="E1716" s="417">
        <v>333903099000000</v>
      </c>
      <c r="F1716" s="418" t="s">
        <v>8574</v>
      </c>
      <c r="G1716" s="603">
        <v>1</v>
      </c>
      <c r="H1716" s="603">
        <v>0</v>
      </c>
      <c r="I1716" s="601">
        <v>331119900000000</v>
      </c>
      <c r="J1716" s="891">
        <v>0</v>
      </c>
      <c r="K1716" s="891">
        <v>0</v>
      </c>
      <c r="L1716" s="996">
        <f t="shared" si="208"/>
        <v>0</v>
      </c>
    </row>
    <row r="1717" spans="1:15" x14ac:dyDescent="0.25">
      <c r="B1717" s="599">
        <f t="shared" si="210"/>
        <v>464007</v>
      </c>
      <c r="C1717" s="1017" t="s">
        <v>6062</v>
      </c>
      <c r="D1717" s="528">
        <f t="shared" si="211"/>
        <v>464000</v>
      </c>
      <c r="E1717" s="417">
        <v>333903099000000</v>
      </c>
      <c r="F1717" s="418" t="s">
        <v>8575</v>
      </c>
      <c r="G1717" s="603">
        <v>1</v>
      </c>
      <c r="H1717" s="603">
        <v>0</v>
      </c>
      <c r="I1717" s="601">
        <v>331119900000000</v>
      </c>
      <c r="J1717" s="891">
        <v>0</v>
      </c>
      <c r="K1717" s="891">
        <v>0</v>
      </c>
      <c r="L1717" s="996">
        <f t="shared" si="208"/>
        <v>0</v>
      </c>
    </row>
    <row r="1718" spans="1:15" x14ac:dyDescent="0.25">
      <c r="B1718" s="599">
        <f t="shared" si="210"/>
        <v>464008</v>
      </c>
      <c r="C1718" s="1017" t="s">
        <v>6062</v>
      </c>
      <c r="D1718" s="528">
        <f t="shared" si="211"/>
        <v>464000</v>
      </c>
      <c r="E1718" s="417">
        <v>333903099000000</v>
      </c>
      <c r="F1718" s="418" t="s">
        <v>8576</v>
      </c>
      <c r="G1718" s="603">
        <v>1</v>
      </c>
      <c r="H1718" s="603">
        <v>0</v>
      </c>
      <c r="I1718" s="601">
        <v>331119900000000</v>
      </c>
      <c r="J1718" s="891">
        <v>0</v>
      </c>
      <c r="K1718" s="891">
        <v>0</v>
      </c>
      <c r="L1718" s="996">
        <f t="shared" si="208"/>
        <v>0</v>
      </c>
    </row>
    <row r="1719" spans="1:15" x14ac:dyDescent="0.25">
      <c r="B1719" s="599">
        <f t="shared" si="210"/>
        <v>464009</v>
      </c>
      <c r="C1719" s="1017" t="s">
        <v>6062</v>
      </c>
      <c r="D1719" s="528">
        <f t="shared" si="211"/>
        <v>464000</v>
      </c>
      <c r="E1719" s="417">
        <v>333903099000000</v>
      </c>
      <c r="F1719" s="418" t="s">
        <v>8577</v>
      </c>
      <c r="G1719" s="603">
        <v>1</v>
      </c>
      <c r="H1719" s="603">
        <v>0</v>
      </c>
      <c r="I1719" s="601">
        <v>331119900000000</v>
      </c>
      <c r="J1719" s="891">
        <v>0</v>
      </c>
      <c r="K1719" s="891">
        <v>0</v>
      </c>
      <c r="L1719" s="996">
        <f t="shared" si="208"/>
        <v>0</v>
      </c>
    </row>
    <row r="1720" spans="1:15" x14ac:dyDescent="0.25">
      <c r="B1720" s="599">
        <f t="shared" si="210"/>
        <v>464010</v>
      </c>
      <c r="C1720" s="1017" t="s">
        <v>6062</v>
      </c>
      <c r="D1720" s="528">
        <f t="shared" si="211"/>
        <v>464000</v>
      </c>
      <c r="E1720" s="417">
        <v>333903099000000</v>
      </c>
      <c r="F1720" s="418" t="s">
        <v>8578</v>
      </c>
      <c r="G1720" s="603">
        <v>1</v>
      </c>
      <c r="H1720" s="603">
        <v>0</v>
      </c>
      <c r="I1720" s="601">
        <v>331119900000000</v>
      </c>
      <c r="J1720" s="891">
        <v>0</v>
      </c>
      <c r="K1720" s="891">
        <v>0</v>
      </c>
      <c r="L1720" s="996">
        <f t="shared" si="208"/>
        <v>0</v>
      </c>
    </row>
    <row r="1721" spans="1:15" s="115" customFormat="1" x14ac:dyDescent="0.25">
      <c r="A1721" s="396"/>
      <c r="B1721" s="1396">
        <v>464100</v>
      </c>
      <c r="C1721" s="1396"/>
      <c r="D1721" s="1396"/>
      <c r="E1721" s="854">
        <v>333903100000000</v>
      </c>
      <c r="F1721" s="855" t="s">
        <v>8631</v>
      </c>
      <c r="G1721" s="468">
        <v>1</v>
      </c>
      <c r="H1721" s="468">
        <v>0</v>
      </c>
      <c r="I1721" s="751"/>
      <c r="J1721" s="789">
        <f>('Parâmetros financeiros Despesa'!E1330)</f>
        <v>770.09999999999991</v>
      </c>
      <c r="K1721" s="789">
        <f>('Parâmetros financeiros Despesa'!F1330)*(1+'Parâmetros financeiros Despesa'!F$4)*(1+'Parâmetros financeiros Despesa'!F$7)</f>
        <v>5397.1409249999997</v>
      </c>
      <c r="L1721" s="799">
        <f>K1721/K$1806</f>
        <v>4.7329770027406078E-2</v>
      </c>
      <c r="M1721" s="894"/>
      <c r="N1721" s="796"/>
      <c r="O1721" s="733"/>
    </row>
    <row r="1722" spans="1:15" x14ac:dyDescent="0.25">
      <c r="B1722" s="599">
        <f t="shared" ref="B1722:B1731" si="212">B1721+1</f>
        <v>464101</v>
      </c>
      <c r="C1722" s="1017" t="s">
        <v>6062</v>
      </c>
      <c r="D1722" s="528">
        <f>B1721</f>
        <v>464100</v>
      </c>
      <c r="E1722" s="417">
        <v>333903104000000</v>
      </c>
      <c r="F1722" s="418" t="s">
        <v>8579</v>
      </c>
      <c r="G1722" s="603">
        <v>1</v>
      </c>
      <c r="H1722" s="603">
        <v>0</v>
      </c>
      <c r="I1722" s="601">
        <v>391410100000000</v>
      </c>
      <c r="J1722" s="891">
        <v>0</v>
      </c>
      <c r="K1722" s="891">
        <v>0</v>
      </c>
      <c r="L1722" s="996">
        <f>K1722/K$1806</f>
        <v>0</v>
      </c>
    </row>
    <row r="1723" spans="1:15" x14ac:dyDescent="0.25">
      <c r="B1723" s="599">
        <f t="shared" si="212"/>
        <v>464102</v>
      </c>
      <c r="C1723" s="1017" t="s">
        <v>6062</v>
      </c>
      <c r="D1723" s="528">
        <f>D1722</f>
        <v>464100</v>
      </c>
      <c r="E1723" s="417">
        <v>333903104000000</v>
      </c>
      <c r="F1723" s="418" t="s">
        <v>8580</v>
      </c>
      <c r="G1723" s="603">
        <v>1</v>
      </c>
      <c r="H1723" s="603">
        <v>0</v>
      </c>
      <c r="I1723" s="601">
        <v>391410100000000</v>
      </c>
      <c r="J1723" s="891">
        <v>0</v>
      </c>
      <c r="K1723" s="891">
        <v>0</v>
      </c>
      <c r="L1723" s="996">
        <f t="shared" ref="L1723:L1731" si="213">K1723/K$1806</f>
        <v>0</v>
      </c>
    </row>
    <row r="1724" spans="1:15" x14ac:dyDescent="0.25">
      <c r="B1724" s="599">
        <f t="shared" si="212"/>
        <v>464103</v>
      </c>
      <c r="C1724" s="1017" t="s">
        <v>6062</v>
      </c>
      <c r="D1724" s="528">
        <f t="shared" ref="D1724:D1731" si="214">D1723</f>
        <v>464100</v>
      </c>
      <c r="E1724" s="417">
        <v>333903104000000</v>
      </c>
      <c r="F1724" s="418" t="s">
        <v>8581</v>
      </c>
      <c r="G1724" s="603">
        <v>1</v>
      </c>
      <c r="H1724" s="603">
        <v>0</v>
      </c>
      <c r="I1724" s="601">
        <v>391410100000000</v>
      </c>
      <c r="J1724" s="891">
        <v>0</v>
      </c>
      <c r="K1724" s="891">
        <v>0</v>
      </c>
      <c r="L1724" s="996">
        <f t="shared" si="213"/>
        <v>0</v>
      </c>
    </row>
    <row r="1725" spans="1:15" x14ac:dyDescent="0.25">
      <c r="B1725" s="599">
        <f t="shared" si="212"/>
        <v>464104</v>
      </c>
      <c r="C1725" s="1017" t="s">
        <v>6062</v>
      </c>
      <c r="D1725" s="528">
        <f t="shared" si="214"/>
        <v>464100</v>
      </c>
      <c r="E1725" s="417">
        <v>333903104000000</v>
      </c>
      <c r="F1725" s="418" t="s">
        <v>8582</v>
      </c>
      <c r="G1725" s="603">
        <v>1</v>
      </c>
      <c r="H1725" s="603">
        <v>0</v>
      </c>
      <c r="I1725" s="601">
        <v>391410100000000</v>
      </c>
      <c r="J1725" s="891">
        <v>0</v>
      </c>
      <c r="K1725" s="891">
        <v>0</v>
      </c>
      <c r="L1725" s="996">
        <f t="shared" si="213"/>
        <v>0</v>
      </c>
    </row>
    <row r="1726" spans="1:15" x14ac:dyDescent="0.25">
      <c r="B1726" s="599">
        <f t="shared" si="212"/>
        <v>464105</v>
      </c>
      <c r="C1726" s="1017" t="s">
        <v>6062</v>
      </c>
      <c r="D1726" s="528">
        <f t="shared" si="214"/>
        <v>464100</v>
      </c>
      <c r="E1726" s="417">
        <v>333903104000000</v>
      </c>
      <c r="F1726" s="418" t="s">
        <v>8583</v>
      </c>
      <c r="G1726" s="603">
        <v>1</v>
      </c>
      <c r="H1726" s="603">
        <v>0</v>
      </c>
      <c r="I1726" s="601">
        <v>391410100000000</v>
      </c>
      <c r="J1726" s="891">
        <v>0</v>
      </c>
      <c r="K1726" s="891">
        <v>0</v>
      </c>
      <c r="L1726" s="996">
        <f t="shared" si="213"/>
        <v>0</v>
      </c>
    </row>
    <row r="1727" spans="1:15" x14ac:dyDescent="0.25">
      <c r="B1727" s="599">
        <f t="shared" si="212"/>
        <v>464106</v>
      </c>
      <c r="C1727" s="1017" t="s">
        <v>6062</v>
      </c>
      <c r="D1727" s="528">
        <f t="shared" si="214"/>
        <v>464100</v>
      </c>
      <c r="E1727" s="417">
        <v>333903104000000</v>
      </c>
      <c r="F1727" s="418" t="s">
        <v>8584</v>
      </c>
      <c r="G1727" s="603">
        <v>1</v>
      </c>
      <c r="H1727" s="603">
        <v>0</v>
      </c>
      <c r="I1727" s="601">
        <v>391410100000000</v>
      </c>
      <c r="J1727" s="891">
        <v>0</v>
      </c>
      <c r="K1727" s="891">
        <v>0</v>
      </c>
      <c r="L1727" s="996">
        <f t="shared" si="213"/>
        <v>0</v>
      </c>
    </row>
    <row r="1728" spans="1:15" x14ac:dyDescent="0.25">
      <c r="B1728" s="599">
        <f t="shared" si="212"/>
        <v>464107</v>
      </c>
      <c r="C1728" s="1017" t="s">
        <v>6062</v>
      </c>
      <c r="D1728" s="528">
        <f t="shared" si="214"/>
        <v>464100</v>
      </c>
      <c r="E1728" s="417">
        <v>333903104000000</v>
      </c>
      <c r="F1728" s="418" t="s">
        <v>8585</v>
      </c>
      <c r="G1728" s="603">
        <v>1</v>
      </c>
      <c r="H1728" s="603">
        <v>0</v>
      </c>
      <c r="I1728" s="601">
        <v>391410100000000</v>
      </c>
      <c r="J1728" s="891">
        <v>0</v>
      </c>
      <c r="K1728" s="891">
        <v>0</v>
      </c>
      <c r="L1728" s="996">
        <f t="shared" si="213"/>
        <v>0</v>
      </c>
    </row>
    <row r="1729" spans="1:15" x14ac:dyDescent="0.25">
      <c r="B1729" s="599">
        <f t="shared" si="212"/>
        <v>464108</v>
      </c>
      <c r="C1729" s="1017" t="s">
        <v>6062</v>
      </c>
      <c r="D1729" s="528">
        <f t="shared" si="214"/>
        <v>464100</v>
      </c>
      <c r="E1729" s="417">
        <v>333903104000000</v>
      </c>
      <c r="F1729" s="418" t="s">
        <v>8586</v>
      </c>
      <c r="G1729" s="603">
        <v>1</v>
      </c>
      <c r="H1729" s="603">
        <v>0</v>
      </c>
      <c r="I1729" s="601">
        <v>391410100000000</v>
      </c>
      <c r="J1729" s="891">
        <v>0</v>
      </c>
      <c r="K1729" s="891">
        <v>0</v>
      </c>
      <c r="L1729" s="996">
        <f t="shared" si="213"/>
        <v>0</v>
      </c>
    </row>
    <row r="1730" spans="1:15" x14ac:dyDescent="0.25">
      <c r="B1730" s="599">
        <f t="shared" si="212"/>
        <v>464109</v>
      </c>
      <c r="C1730" s="1017" t="s">
        <v>6062</v>
      </c>
      <c r="D1730" s="528">
        <f t="shared" si="214"/>
        <v>464100</v>
      </c>
      <c r="E1730" s="417">
        <v>333903104000000</v>
      </c>
      <c r="F1730" s="418" t="s">
        <v>8587</v>
      </c>
      <c r="G1730" s="603">
        <v>1</v>
      </c>
      <c r="H1730" s="603">
        <v>0</v>
      </c>
      <c r="I1730" s="601">
        <v>391410100000000</v>
      </c>
      <c r="J1730" s="891">
        <v>0</v>
      </c>
      <c r="K1730" s="891">
        <v>0</v>
      </c>
      <c r="L1730" s="996">
        <f t="shared" si="213"/>
        <v>0</v>
      </c>
    </row>
    <row r="1731" spans="1:15" x14ac:dyDescent="0.25">
      <c r="B1731" s="599">
        <f t="shared" si="212"/>
        <v>464110</v>
      </c>
      <c r="C1731" s="1017" t="s">
        <v>6062</v>
      </c>
      <c r="D1731" s="528">
        <f t="shared" si="214"/>
        <v>464100</v>
      </c>
      <c r="E1731" s="417">
        <v>333903104000000</v>
      </c>
      <c r="F1731" s="418" t="s">
        <v>8588</v>
      </c>
      <c r="G1731" s="603">
        <v>1</v>
      </c>
      <c r="H1731" s="603">
        <v>0</v>
      </c>
      <c r="I1731" s="601">
        <v>391410100000000</v>
      </c>
      <c r="J1731" s="891">
        <v>0</v>
      </c>
      <c r="K1731" s="891">
        <v>0</v>
      </c>
      <c r="L1731" s="996">
        <f t="shared" si="213"/>
        <v>0</v>
      </c>
    </row>
    <row r="1732" spans="1:15" s="115" customFormat="1" x14ac:dyDescent="0.25">
      <c r="A1732" s="396"/>
      <c r="B1732" s="1396">
        <v>464150</v>
      </c>
      <c r="C1732" s="1396"/>
      <c r="D1732" s="1396"/>
      <c r="E1732" s="854">
        <v>333903200000000</v>
      </c>
      <c r="F1732" s="855" t="s">
        <v>10863</v>
      </c>
      <c r="G1732" s="468">
        <v>1</v>
      </c>
      <c r="H1732" s="468">
        <v>0</v>
      </c>
      <c r="I1732" s="751"/>
      <c r="J1732" s="789">
        <f>('Parâmetros financeiros Despesa'!E1331)</f>
        <v>0</v>
      </c>
      <c r="K1732" s="789">
        <f>('Parâmetros financeiros Despesa'!F1331)*(1+'Parâmetros financeiros Despesa'!F$4)*(1+'Parâmetros financeiros Despesa'!F$7)</f>
        <v>2180.663</v>
      </c>
      <c r="L1732" s="799">
        <f>K1732/K$1806</f>
        <v>1.9123139405012559E-2</v>
      </c>
      <c r="M1732" s="894"/>
      <c r="N1732" s="796"/>
      <c r="O1732" s="733"/>
    </row>
    <row r="1733" spans="1:15" s="115" customFormat="1" x14ac:dyDescent="0.25">
      <c r="A1733" s="396"/>
      <c r="B1733" s="1396">
        <v>464200</v>
      </c>
      <c r="C1733" s="1396"/>
      <c r="D1733" s="1396"/>
      <c r="E1733" s="854">
        <v>333903600000000</v>
      </c>
      <c r="F1733" s="855" t="s">
        <v>8589</v>
      </c>
      <c r="G1733" s="468">
        <v>1</v>
      </c>
      <c r="H1733" s="468">
        <v>0</v>
      </c>
      <c r="I1733" s="751"/>
      <c r="J1733" s="789">
        <f>('Parâmetros financeiros Despesa'!E1332)</f>
        <v>0</v>
      </c>
      <c r="K1733" s="789">
        <f>('Parâmetros financeiros Despesa'!F1332)*(1+'Parâmetros financeiros Despesa'!F$4)*(1+'Parâmetros financeiros Despesa'!F$7)</f>
        <v>3270.9945000000002</v>
      </c>
      <c r="L1733" s="799">
        <f>K1733/K$1806</f>
        <v>2.868470910751884E-2</v>
      </c>
      <c r="M1733" s="894"/>
      <c r="N1733" s="796"/>
      <c r="O1733" s="733"/>
    </row>
    <row r="1734" spans="1:15" x14ac:dyDescent="0.25">
      <c r="B1734" s="599">
        <f t="shared" ref="B1734:B1743" si="215">B1733+1</f>
        <v>464201</v>
      </c>
      <c r="C1734" s="1017" t="s">
        <v>6062</v>
      </c>
      <c r="D1734" s="528">
        <f>B1733</f>
        <v>464200</v>
      </c>
      <c r="E1734" s="417">
        <v>333903606000000</v>
      </c>
      <c r="F1734" s="418" t="s">
        <v>8590</v>
      </c>
      <c r="G1734" s="603">
        <v>1</v>
      </c>
      <c r="H1734" s="603">
        <v>0</v>
      </c>
      <c r="I1734" s="601">
        <v>332211500000000</v>
      </c>
      <c r="J1734" s="891">
        <v>0</v>
      </c>
      <c r="K1734" s="891">
        <v>0</v>
      </c>
      <c r="L1734" s="996">
        <f>K1734/K$1806</f>
        <v>0</v>
      </c>
    </row>
    <row r="1735" spans="1:15" x14ac:dyDescent="0.25">
      <c r="B1735" s="599">
        <f t="shared" si="215"/>
        <v>464202</v>
      </c>
      <c r="C1735" s="1017" t="s">
        <v>6062</v>
      </c>
      <c r="D1735" s="528">
        <f>D1734</f>
        <v>464200</v>
      </c>
      <c r="E1735" s="417">
        <v>333903606000000</v>
      </c>
      <c r="F1735" s="418" t="s">
        <v>8591</v>
      </c>
      <c r="G1735" s="603">
        <v>1</v>
      </c>
      <c r="H1735" s="603">
        <v>0</v>
      </c>
      <c r="I1735" s="601">
        <v>332211500000000</v>
      </c>
      <c r="J1735" s="891">
        <v>0</v>
      </c>
      <c r="K1735" s="891">
        <v>0</v>
      </c>
      <c r="L1735" s="996">
        <f t="shared" ref="L1735:L1743" si="216">K1735/K$1806</f>
        <v>0</v>
      </c>
    </row>
    <row r="1736" spans="1:15" x14ac:dyDescent="0.25">
      <c r="B1736" s="599">
        <f t="shared" si="215"/>
        <v>464203</v>
      </c>
      <c r="C1736" s="1017" t="s">
        <v>6062</v>
      </c>
      <c r="D1736" s="528">
        <f t="shared" ref="D1736:D1743" si="217">D1735</f>
        <v>464200</v>
      </c>
      <c r="E1736" s="417">
        <v>333903606000000</v>
      </c>
      <c r="F1736" s="418" t="s">
        <v>8592</v>
      </c>
      <c r="G1736" s="603">
        <v>1</v>
      </c>
      <c r="H1736" s="603">
        <v>0</v>
      </c>
      <c r="I1736" s="601">
        <v>332211500000000</v>
      </c>
      <c r="J1736" s="891">
        <v>0</v>
      </c>
      <c r="K1736" s="891">
        <v>0</v>
      </c>
      <c r="L1736" s="996">
        <f t="shared" si="216"/>
        <v>0</v>
      </c>
    </row>
    <row r="1737" spans="1:15" x14ac:dyDescent="0.25">
      <c r="B1737" s="599">
        <f t="shared" si="215"/>
        <v>464204</v>
      </c>
      <c r="C1737" s="1017" t="s">
        <v>6062</v>
      </c>
      <c r="D1737" s="528">
        <f t="shared" si="217"/>
        <v>464200</v>
      </c>
      <c r="E1737" s="417">
        <v>333903606000000</v>
      </c>
      <c r="F1737" s="418" t="s">
        <v>8593</v>
      </c>
      <c r="G1737" s="603">
        <v>1</v>
      </c>
      <c r="H1737" s="603">
        <v>0</v>
      </c>
      <c r="I1737" s="601">
        <v>332211500000000</v>
      </c>
      <c r="J1737" s="891">
        <v>0</v>
      </c>
      <c r="K1737" s="891">
        <v>0</v>
      </c>
      <c r="L1737" s="996">
        <f t="shared" si="216"/>
        <v>0</v>
      </c>
    </row>
    <row r="1738" spans="1:15" x14ac:dyDescent="0.25">
      <c r="B1738" s="599">
        <f t="shared" si="215"/>
        <v>464205</v>
      </c>
      <c r="C1738" s="1017" t="s">
        <v>6062</v>
      </c>
      <c r="D1738" s="528">
        <f t="shared" si="217"/>
        <v>464200</v>
      </c>
      <c r="E1738" s="417">
        <v>333903606000000</v>
      </c>
      <c r="F1738" s="418" t="s">
        <v>8594</v>
      </c>
      <c r="G1738" s="603">
        <v>1</v>
      </c>
      <c r="H1738" s="603">
        <v>0</v>
      </c>
      <c r="I1738" s="601">
        <v>332211500000000</v>
      </c>
      <c r="J1738" s="891">
        <v>0</v>
      </c>
      <c r="K1738" s="891">
        <v>0</v>
      </c>
      <c r="L1738" s="996">
        <f t="shared" si="216"/>
        <v>0</v>
      </c>
    </row>
    <row r="1739" spans="1:15" x14ac:dyDescent="0.25">
      <c r="B1739" s="599">
        <f t="shared" si="215"/>
        <v>464206</v>
      </c>
      <c r="C1739" s="1017" t="s">
        <v>6062</v>
      </c>
      <c r="D1739" s="528">
        <f t="shared" si="217"/>
        <v>464200</v>
      </c>
      <c r="E1739" s="417">
        <v>333903606000000</v>
      </c>
      <c r="F1739" s="418" t="s">
        <v>8595</v>
      </c>
      <c r="G1739" s="603">
        <v>1</v>
      </c>
      <c r="H1739" s="603">
        <v>0</v>
      </c>
      <c r="I1739" s="601">
        <v>332211500000000</v>
      </c>
      <c r="J1739" s="891">
        <v>0</v>
      </c>
      <c r="K1739" s="891">
        <v>0</v>
      </c>
      <c r="L1739" s="996">
        <f t="shared" si="216"/>
        <v>0</v>
      </c>
    </row>
    <row r="1740" spans="1:15" x14ac:dyDescent="0.25">
      <c r="B1740" s="599">
        <f t="shared" si="215"/>
        <v>464207</v>
      </c>
      <c r="C1740" s="1017" t="s">
        <v>6062</v>
      </c>
      <c r="D1740" s="528">
        <f t="shared" si="217"/>
        <v>464200</v>
      </c>
      <c r="E1740" s="417">
        <v>333903606000000</v>
      </c>
      <c r="F1740" s="418" t="s">
        <v>8596</v>
      </c>
      <c r="G1740" s="603">
        <v>1</v>
      </c>
      <c r="H1740" s="603">
        <v>0</v>
      </c>
      <c r="I1740" s="601">
        <v>332211500000000</v>
      </c>
      <c r="J1740" s="891">
        <v>0</v>
      </c>
      <c r="K1740" s="891">
        <v>0</v>
      </c>
      <c r="L1740" s="996">
        <f t="shared" si="216"/>
        <v>0</v>
      </c>
    </row>
    <row r="1741" spans="1:15" x14ac:dyDescent="0.25">
      <c r="B1741" s="599">
        <f t="shared" si="215"/>
        <v>464208</v>
      </c>
      <c r="C1741" s="1017" t="s">
        <v>6062</v>
      </c>
      <c r="D1741" s="528">
        <f t="shared" si="217"/>
        <v>464200</v>
      </c>
      <c r="E1741" s="417">
        <v>333903606000000</v>
      </c>
      <c r="F1741" s="418" t="s">
        <v>8597</v>
      </c>
      <c r="G1741" s="603">
        <v>1</v>
      </c>
      <c r="H1741" s="603">
        <v>0</v>
      </c>
      <c r="I1741" s="601">
        <v>332211500000000</v>
      </c>
      <c r="J1741" s="891">
        <v>0</v>
      </c>
      <c r="K1741" s="891">
        <v>0</v>
      </c>
      <c r="L1741" s="996">
        <f t="shared" si="216"/>
        <v>0</v>
      </c>
    </row>
    <row r="1742" spans="1:15" x14ac:dyDescent="0.25">
      <c r="B1742" s="599">
        <f t="shared" si="215"/>
        <v>464209</v>
      </c>
      <c r="C1742" s="1017" t="s">
        <v>6062</v>
      </c>
      <c r="D1742" s="528">
        <f t="shared" si="217"/>
        <v>464200</v>
      </c>
      <c r="E1742" s="417">
        <v>333903606000000</v>
      </c>
      <c r="F1742" s="418" t="s">
        <v>8598</v>
      </c>
      <c r="G1742" s="603">
        <v>1</v>
      </c>
      <c r="H1742" s="603">
        <v>0</v>
      </c>
      <c r="I1742" s="601">
        <v>332211500000000</v>
      </c>
      <c r="J1742" s="891">
        <v>0</v>
      </c>
      <c r="K1742" s="891">
        <v>0</v>
      </c>
      <c r="L1742" s="996">
        <f t="shared" si="216"/>
        <v>0</v>
      </c>
    </row>
    <row r="1743" spans="1:15" x14ac:dyDescent="0.25">
      <c r="B1743" s="599">
        <f t="shared" si="215"/>
        <v>464210</v>
      </c>
      <c r="C1743" s="1017" t="s">
        <v>6062</v>
      </c>
      <c r="D1743" s="528">
        <f t="shared" si="217"/>
        <v>464200</v>
      </c>
      <c r="E1743" s="417">
        <v>333903606000000</v>
      </c>
      <c r="F1743" s="418" t="s">
        <v>8599</v>
      </c>
      <c r="G1743" s="603">
        <v>1</v>
      </c>
      <c r="H1743" s="603">
        <v>0</v>
      </c>
      <c r="I1743" s="601">
        <v>332211500000000</v>
      </c>
      <c r="J1743" s="891">
        <v>0</v>
      </c>
      <c r="K1743" s="891">
        <v>0</v>
      </c>
      <c r="L1743" s="996">
        <f t="shared" si="216"/>
        <v>0</v>
      </c>
    </row>
    <row r="1744" spans="1:15" s="115" customFormat="1" x14ac:dyDescent="0.25">
      <c r="A1744" s="396"/>
      <c r="B1744" s="1396">
        <v>464300</v>
      </c>
      <c r="C1744" s="1396"/>
      <c r="D1744" s="1396"/>
      <c r="E1744" s="854">
        <v>333903600000000</v>
      </c>
      <c r="F1744" s="855" t="s">
        <v>8630</v>
      </c>
      <c r="G1744" s="468">
        <v>1</v>
      </c>
      <c r="H1744" s="468">
        <v>0</v>
      </c>
      <c r="I1744" s="751"/>
      <c r="J1744" s="789">
        <f>('Parâmetros financeiros Despesa'!E1334)</f>
        <v>8490</v>
      </c>
      <c r="K1744" s="789">
        <f>('Parâmetros financeiros Despesa'!F1334)*(1+'Parâmetros financeiros Despesa'!F$4)*(1+'Parâmetros financeiros Despesa'!F$7)</f>
        <v>10903.315000000001</v>
      </c>
      <c r="L1744" s="799">
        <f>K1744/K$1806</f>
        <v>9.5615697025062799E-2</v>
      </c>
      <c r="M1744" s="894"/>
      <c r="N1744" s="796"/>
      <c r="O1744" s="733"/>
    </row>
    <row r="1745" spans="1:15" x14ac:dyDescent="0.25">
      <c r="B1745" s="599">
        <f t="shared" ref="B1745:B1754" si="218">B1744+1</f>
        <v>464301</v>
      </c>
      <c r="C1745" s="1017" t="s">
        <v>6062</v>
      </c>
      <c r="D1745" s="528">
        <f>B1744</f>
        <v>464300</v>
      </c>
      <c r="E1745" s="417">
        <v>333903905000000</v>
      </c>
      <c r="F1745" s="418" t="s">
        <v>8600</v>
      </c>
      <c r="G1745" s="603">
        <v>1</v>
      </c>
      <c r="H1745" s="603">
        <v>0</v>
      </c>
      <c r="I1745" s="601">
        <v>332315100000000</v>
      </c>
      <c r="J1745" s="891">
        <v>0</v>
      </c>
      <c r="K1745" s="891">
        <v>0</v>
      </c>
      <c r="L1745" s="996">
        <f>K1745/K$1806</f>
        <v>0</v>
      </c>
    </row>
    <row r="1746" spans="1:15" x14ac:dyDescent="0.25">
      <c r="B1746" s="599">
        <f t="shared" si="218"/>
        <v>464302</v>
      </c>
      <c r="C1746" s="1017" t="s">
        <v>6062</v>
      </c>
      <c r="D1746" s="528">
        <f>D1745</f>
        <v>464300</v>
      </c>
      <c r="E1746" s="417">
        <v>333903905000000</v>
      </c>
      <c r="F1746" s="418" t="s">
        <v>8601</v>
      </c>
      <c r="G1746" s="603">
        <v>1</v>
      </c>
      <c r="H1746" s="603">
        <v>0</v>
      </c>
      <c r="I1746" s="601">
        <v>332315100000000</v>
      </c>
      <c r="J1746" s="891">
        <v>0</v>
      </c>
      <c r="K1746" s="891">
        <v>0</v>
      </c>
      <c r="L1746" s="996">
        <f t="shared" ref="L1746:L1753" si="219">K1746/K$1806</f>
        <v>0</v>
      </c>
    </row>
    <row r="1747" spans="1:15" x14ac:dyDescent="0.25">
      <c r="B1747" s="599">
        <f t="shared" si="218"/>
        <v>464303</v>
      </c>
      <c r="C1747" s="1017" t="s">
        <v>6062</v>
      </c>
      <c r="D1747" s="528">
        <f t="shared" ref="D1747:D1754" si="220">D1746</f>
        <v>464300</v>
      </c>
      <c r="E1747" s="417">
        <v>333903905000000</v>
      </c>
      <c r="F1747" s="418" t="s">
        <v>8602</v>
      </c>
      <c r="G1747" s="603">
        <v>1</v>
      </c>
      <c r="H1747" s="603">
        <v>0</v>
      </c>
      <c r="I1747" s="601">
        <v>332315100000000</v>
      </c>
      <c r="J1747" s="891">
        <v>0</v>
      </c>
      <c r="K1747" s="891">
        <v>0</v>
      </c>
      <c r="L1747" s="996">
        <f t="shared" si="219"/>
        <v>0</v>
      </c>
    </row>
    <row r="1748" spans="1:15" x14ac:dyDescent="0.25">
      <c r="B1748" s="599">
        <f t="shared" si="218"/>
        <v>464304</v>
      </c>
      <c r="C1748" s="1017" t="s">
        <v>6062</v>
      </c>
      <c r="D1748" s="528">
        <f t="shared" si="220"/>
        <v>464300</v>
      </c>
      <c r="E1748" s="417">
        <v>333903905000000</v>
      </c>
      <c r="F1748" s="418" t="s">
        <v>8603</v>
      </c>
      <c r="G1748" s="603">
        <v>1</v>
      </c>
      <c r="H1748" s="603">
        <v>0</v>
      </c>
      <c r="I1748" s="601">
        <v>332315100000000</v>
      </c>
      <c r="J1748" s="891">
        <v>0</v>
      </c>
      <c r="K1748" s="891">
        <v>0</v>
      </c>
      <c r="L1748" s="996">
        <f t="shared" si="219"/>
        <v>0</v>
      </c>
    </row>
    <row r="1749" spans="1:15" x14ac:dyDescent="0.25">
      <c r="B1749" s="599">
        <f t="shared" si="218"/>
        <v>464305</v>
      </c>
      <c r="C1749" s="1017" t="s">
        <v>6062</v>
      </c>
      <c r="D1749" s="528">
        <f t="shared" si="220"/>
        <v>464300</v>
      </c>
      <c r="E1749" s="417">
        <v>333903905000000</v>
      </c>
      <c r="F1749" s="418" t="s">
        <v>8604</v>
      </c>
      <c r="G1749" s="603">
        <v>1</v>
      </c>
      <c r="H1749" s="603">
        <v>0</v>
      </c>
      <c r="I1749" s="601">
        <v>332315100000000</v>
      </c>
      <c r="J1749" s="891">
        <v>0</v>
      </c>
      <c r="K1749" s="891">
        <v>0</v>
      </c>
      <c r="L1749" s="996">
        <f t="shared" si="219"/>
        <v>0</v>
      </c>
    </row>
    <row r="1750" spans="1:15" x14ac:dyDescent="0.25">
      <c r="B1750" s="599">
        <f t="shared" si="218"/>
        <v>464306</v>
      </c>
      <c r="C1750" s="1017" t="s">
        <v>6062</v>
      </c>
      <c r="D1750" s="528">
        <f t="shared" si="220"/>
        <v>464300</v>
      </c>
      <c r="E1750" s="417">
        <v>333903905000000</v>
      </c>
      <c r="F1750" s="418" t="s">
        <v>8605</v>
      </c>
      <c r="G1750" s="603">
        <v>1</v>
      </c>
      <c r="H1750" s="603">
        <v>0</v>
      </c>
      <c r="I1750" s="601">
        <v>332315100000000</v>
      </c>
      <c r="J1750" s="891">
        <v>0</v>
      </c>
      <c r="K1750" s="891">
        <v>0</v>
      </c>
      <c r="L1750" s="996">
        <f t="shared" si="219"/>
        <v>0</v>
      </c>
    </row>
    <row r="1751" spans="1:15" x14ac:dyDescent="0.25">
      <c r="B1751" s="599">
        <f t="shared" si="218"/>
        <v>464307</v>
      </c>
      <c r="C1751" s="1017" t="s">
        <v>6062</v>
      </c>
      <c r="D1751" s="528">
        <f t="shared" si="220"/>
        <v>464300</v>
      </c>
      <c r="E1751" s="417">
        <v>333903905000000</v>
      </c>
      <c r="F1751" s="418" t="s">
        <v>8606</v>
      </c>
      <c r="G1751" s="603">
        <v>1</v>
      </c>
      <c r="H1751" s="603">
        <v>0</v>
      </c>
      <c r="I1751" s="601">
        <v>332315100000000</v>
      </c>
      <c r="J1751" s="891">
        <v>0</v>
      </c>
      <c r="K1751" s="891">
        <v>0</v>
      </c>
      <c r="L1751" s="996">
        <f t="shared" si="219"/>
        <v>0</v>
      </c>
    </row>
    <row r="1752" spans="1:15" x14ac:dyDescent="0.25">
      <c r="B1752" s="599">
        <f t="shared" si="218"/>
        <v>464308</v>
      </c>
      <c r="C1752" s="1017" t="s">
        <v>6062</v>
      </c>
      <c r="D1752" s="528">
        <f t="shared" si="220"/>
        <v>464300</v>
      </c>
      <c r="E1752" s="417">
        <v>333903905000000</v>
      </c>
      <c r="F1752" s="418" t="s">
        <v>8607</v>
      </c>
      <c r="G1752" s="603">
        <v>1</v>
      </c>
      <c r="H1752" s="603">
        <v>0</v>
      </c>
      <c r="I1752" s="601">
        <v>332315100000000</v>
      </c>
      <c r="J1752" s="891">
        <v>0</v>
      </c>
      <c r="K1752" s="891">
        <v>0</v>
      </c>
      <c r="L1752" s="996">
        <f t="shared" si="219"/>
        <v>0</v>
      </c>
    </row>
    <row r="1753" spans="1:15" x14ac:dyDescent="0.25">
      <c r="B1753" s="599">
        <f t="shared" si="218"/>
        <v>464309</v>
      </c>
      <c r="C1753" s="1017" t="s">
        <v>6062</v>
      </c>
      <c r="D1753" s="528">
        <f t="shared" si="220"/>
        <v>464300</v>
      </c>
      <c r="E1753" s="417">
        <v>333903905000000</v>
      </c>
      <c r="F1753" s="418" t="s">
        <v>8608</v>
      </c>
      <c r="G1753" s="603">
        <v>1</v>
      </c>
      <c r="H1753" s="603">
        <v>0</v>
      </c>
      <c r="I1753" s="601">
        <v>332315100000000</v>
      </c>
      <c r="J1753" s="891">
        <v>0</v>
      </c>
      <c r="K1753" s="891">
        <v>0</v>
      </c>
      <c r="L1753" s="996">
        <f t="shared" si="219"/>
        <v>0</v>
      </c>
    </row>
    <row r="1754" spans="1:15" x14ac:dyDescent="0.25">
      <c r="B1754" s="599">
        <f t="shared" si="218"/>
        <v>464310</v>
      </c>
      <c r="C1754" s="1017" t="s">
        <v>6062</v>
      </c>
      <c r="D1754" s="528">
        <f t="shared" si="220"/>
        <v>464300</v>
      </c>
      <c r="E1754" s="417">
        <v>333903905000000</v>
      </c>
      <c r="F1754" s="418" t="s">
        <v>8609</v>
      </c>
      <c r="G1754" s="603">
        <v>1</v>
      </c>
      <c r="H1754" s="603">
        <v>0</v>
      </c>
      <c r="I1754" s="601">
        <v>332315100000000</v>
      </c>
      <c r="J1754" s="891">
        <v>0</v>
      </c>
      <c r="K1754" s="891">
        <v>0</v>
      </c>
      <c r="L1754" s="996" t="e">
        <f>K1754/#REF!</f>
        <v>#REF!</v>
      </c>
    </row>
    <row r="1755" spans="1:15" s="115" customFormat="1" x14ac:dyDescent="0.25">
      <c r="A1755" s="396"/>
      <c r="B1755" s="1396">
        <v>464400</v>
      </c>
      <c r="C1755" s="1396"/>
      <c r="D1755" s="1396"/>
      <c r="E1755" s="854">
        <v>333904700000000</v>
      </c>
      <c r="F1755" s="855" t="s">
        <v>8629</v>
      </c>
      <c r="G1755" s="468">
        <v>1</v>
      </c>
      <c r="H1755" s="468">
        <v>0</v>
      </c>
      <c r="I1755" s="751"/>
      <c r="J1755" s="789">
        <f>(('Parâmetros financeiros Despesa'!E1332))</f>
        <v>0</v>
      </c>
      <c r="K1755" s="789">
        <f>(('Parâmetros financeiros Despesa'!F1332)*(1+'Parâmetros financeiros Despesa'!F$4)*(1+'Parâmetros financeiros Despesa'!F$7))*('Parâmetros financeiros Despesa'!F$83)</f>
        <v>654.19890000000009</v>
      </c>
      <c r="L1755" s="799">
        <f>K1755/K$1806</f>
        <v>5.7369418215037684E-3</v>
      </c>
      <c r="M1755" s="894"/>
      <c r="N1755" s="796"/>
      <c r="O1755" s="733"/>
    </row>
    <row r="1756" spans="1:15" x14ac:dyDescent="0.25">
      <c r="B1756" s="762">
        <f t="shared" ref="B1756:B1775" si="221">B1755+1</f>
        <v>464401</v>
      </c>
      <c r="C1756" s="763" t="s">
        <v>6062</v>
      </c>
      <c r="D1756" s="764">
        <f>B1755</f>
        <v>464400</v>
      </c>
      <c r="E1756" s="765">
        <v>333904718000000</v>
      </c>
      <c r="F1756" s="766" t="s">
        <v>8610</v>
      </c>
      <c r="G1756" s="767">
        <v>1</v>
      </c>
      <c r="H1756" s="767">
        <v>0</v>
      </c>
      <c r="I1756" s="768">
        <v>372110400000000</v>
      </c>
      <c r="J1756" s="770">
        <v>0</v>
      </c>
      <c r="K1756" s="770">
        <v>0</v>
      </c>
      <c r="L1756" s="771">
        <f>K1756/K$1806</f>
        <v>0</v>
      </c>
    </row>
    <row r="1757" spans="1:15" x14ac:dyDescent="0.25">
      <c r="B1757" s="762">
        <f t="shared" si="221"/>
        <v>464402</v>
      </c>
      <c r="C1757" s="763" t="s">
        <v>6062</v>
      </c>
      <c r="D1757" s="764">
        <f>D1756</f>
        <v>464400</v>
      </c>
      <c r="E1757" s="765">
        <v>333904718000000</v>
      </c>
      <c r="F1757" s="766" t="s">
        <v>8611</v>
      </c>
      <c r="G1757" s="767">
        <v>1</v>
      </c>
      <c r="H1757" s="767">
        <v>0</v>
      </c>
      <c r="I1757" s="768">
        <v>372110400000000</v>
      </c>
      <c r="J1757" s="770">
        <v>0</v>
      </c>
      <c r="K1757" s="770">
        <v>0</v>
      </c>
      <c r="L1757" s="771">
        <f t="shared" ref="L1757:L1775" si="222">K1757/K$1806</f>
        <v>0</v>
      </c>
    </row>
    <row r="1758" spans="1:15" x14ac:dyDescent="0.25">
      <c r="B1758" s="762">
        <f t="shared" si="221"/>
        <v>464403</v>
      </c>
      <c r="C1758" s="763" t="s">
        <v>6062</v>
      </c>
      <c r="D1758" s="764">
        <f t="shared" ref="D1758:D1765" si="223">D1757</f>
        <v>464400</v>
      </c>
      <c r="E1758" s="765">
        <v>333904718000000</v>
      </c>
      <c r="F1758" s="766" t="s">
        <v>8633</v>
      </c>
      <c r="G1758" s="767">
        <v>1</v>
      </c>
      <c r="H1758" s="767">
        <v>0</v>
      </c>
      <c r="I1758" s="768">
        <v>372110400000000</v>
      </c>
      <c r="J1758" s="770">
        <v>0</v>
      </c>
      <c r="K1758" s="770">
        <v>0</v>
      </c>
      <c r="L1758" s="771">
        <f t="shared" si="222"/>
        <v>0</v>
      </c>
    </row>
    <row r="1759" spans="1:15" x14ac:dyDescent="0.25">
      <c r="B1759" s="762">
        <f t="shared" si="221"/>
        <v>464404</v>
      </c>
      <c r="C1759" s="763" t="s">
        <v>6062</v>
      </c>
      <c r="D1759" s="764">
        <f t="shared" si="223"/>
        <v>464400</v>
      </c>
      <c r="E1759" s="765">
        <v>333904718000000</v>
      </c>
      <c r="F1759" s="766" t="s">
        <v>8612</v>
      </c>
      <c r="G1759" s="767">
        <v>1</v>
      </c>
      <c r="H1759" s="767">
        <v>0</v>
      </c>
      <c r="I1759" s="768">
        <v>372110400000000</v>
      </c>
      <c r="J1759" s="770">
        <v>0</v>
      </c>
      <c r="K1759" s="770">
        <v>0</v>
      </c>
      <c r="L1759" s="771">
        <f t="shared" si="222"/>
        <v>0</v>
      </c>
    </row>
    <row r="1760" spans="1:15" x14ac:dyDescent="0.25">
      <c r="B1760" s="762">
        <f t="shared" si="221"/>
        <v>464405</v>
      </c>
      <c r="C1760" s="763" t="s">
        <v>6062</v>
      </c>
      <c r="D1760" s="764">
        <f t="shared" si="223"/>
        <v>464400</v>
      </c>
      <c r="E1760" s="765">
        <v>333904718000000</v>
      </c>
      <c r="F1760" s="766" t="s">
        <v>8613</v>
      </c>
      <c r="G1760" s="767">
        <v>1</v>
      </c>
      <c r="H1760" s="767">
        <v>0</v>
      </c>
      <c r="I1760" s="768">
        <v>372110400000000</v>
      </c>
      <c r="J1760" s="770">
        <v>0</v>
      </c>
      <c r="K1760" s="770">
        <v>0</v>
      </c>
      <c r="L1760" s="771">
        <f t="shared" si="222"/>
        <v>0</v>
      </c>
    </row>
    <row r="1761" spans="1:15" x14ac:dyDescent="0.25">
      <c r="B1761" s="762">
        <f t="shared" si="221"/>
        <v>464406</v>
      </c>
      <c r="C1761" s="763" t="s">
        <v>6062</v>
      </c>
      <c r="D1761" s="764">
        <f t="shared" si="223"/>
        <v>464400</v>
      </c>
      <c r="E1761" s="765">
        <v>333904718000000</v>
      </c>
      <c r="F1761" s="766" t="s">
        <v>8614</v>
      </c>
      <c r="G1761" s="767">
        <v>1</v>
      </c>
      <c r="H1761" s="767">
        <v>0</v>
      </c>
      <c r="I1761" s="768">
        <v>372110400000000</v>
      </c>
      <c r="J1761" s="770">
        <v>0</v>
      </c>
      <c r="K1761" s="770">
        <v>0</v>
      </c>
      <c r="L1761" s="771">
        <f t="shared" si="222"/>
        <v>0</v>
      </c>
    </row>
    <row r="1762" spans="1:15" x14ac:dyDescent="0.25">
      <c r="B1762" s="762">
        <f t="shared" si="221"/>
        <v>464407</v>
      </c>
      <c r="C1762" s="763" t="s">
        <v>6062</v>
      </c>
      <c r="D1762" s="764">
        <f t="shared" si="223"/>
        <v>464400</v>
      </c>
      <c r="E1762" s="765">
        <v>333904718000000</v>
      </c>
      <c r="F1762" s="766" t="s">
        <v>8615</v>
      </c>
      <c r="G1762" s="767">
        <v>1</v>
      </c>
      <c r="H1762" s="767">
        <v>0</v>
      </c>
      <c r="I1762" s="768">
        <v>372110400000000</v>
      </c>
      <c r="J1762" s="770">
        <v>0</v>
      </c>
      <c r="K1762" s="770">
        <v>0</v>
      </c>
      <c r="L1762" s="771">
        <f t="shared" si="222"/>
        <v>0</v>
      </c>
    </row>
    <row r="1763" spans="1:15" x14ac:dyDescent="0.25">
      <c r="B1763" s="762">
        <f t="shared" si="221"/>
        <v>464408</v>
      </c>
      <c r="C1763" s="763" t="s">
        <v>6062</v>
      </c>
      <c r="D1763" s="764">
        <f t="shared" si="223"/>
        <v>464400</v>
      </c>
      <c r="E1763" s="765">
        <v>333904718000000</v>
      </c>
      <c r="F1763" s="766" t="s">
        <v>8616</v>
      </c>
      <c r="G1763" s="767">
        <v>1</v>
      </c>
      <c r="H1763" s="767">
        <v>0</v>
      </c>
      <c r="I1763" s="768">
        <v>372110400000000</v>
      </c>
      <c r="J1763" s="770">
        <v>0</v>
      </c>
      <c r="K1763" s="770">
        <v>0</v>
      </c>
      <c r="L1763" s="771">
        <f t="shared" si="222"/>
        <v>0</v>
      </c>
    </row>
    <row r="1764" spans="1:15" x14ac:dyDescent="0.25">
      <c r="B1764" s="762">
        <f t="shared" si="221"/>
        <v>464409</v>
      </c>
      <c r="C1764" s="763" t="s">
        <v>6062</v>
      </c>
      <c r="D1764" s="764">
        <f t="shared" si="223"/>
        <v>464400</v>
      </c>
      <c r="E1764" s="765">
        <v>333904718000000</v>
      </c>
      <c r="F1764" s="766" t="s">
        <v>8617</v>
      </c>
      <c r="G1764" s="767">
        <v>1</v>
      </c>
      <c r="H1764" s="767">
        <v>0</v>
      </c>
      <c r="I1764" s="768">
        <v>372110400000000</v>
      </c>
      <c r="J1764" s="770">
        <v>0</v>
      </c>
      <c r="K1764" s="770">
        <v>0</v>
      </c>
      <c r="L1764" s="771">
        <f t="shared" si="222"/>
        <v>0</v>
      </c>
    </row>
    <row r="1765" spans="1:15" x14ac:dyDescent="0.25">
      <c r="B1765" s="762">
        <f t="shared" si="221"/>
        <v>464410</v>
      </c>
      <c r="C1765" s="763" t="s">
        <v>6062</v>
      </c>
      <c r="D1765" s="764">
        <f t="shared" si="223"/>
        <v>464400</v>
      </c>
      <c r="E1765" s="765">
        <v>333904718000000</v>
      </c>
      <c r="F1765" s="766" t="s">
        <v>8618</v>
      </c>
      <c r="G1765" s="767">
        <v>1</v>
      </c>
      <c r="H1765" s="767">
        <v>0</v>
      </c>
      <c r="I1765" s="768">
        <v>372110400000000</v>
      </c>
      <c r="J1765" s="770">
        <v>0</v>
      </c>
      <c r="K1765" s="770">
        <v>0</v>
      </c>
      <c r="L1765" s="771">
        <f t="shared" si="222"/>
        <v>0</v>
      </c>
    </row>
    <row r="1766" spans="1:15" x14ac:dyDescent="0.25">
      <c r="B1766" s="599">
        <f t="shared" si="221"/>
        <v>464411</v>
      </c>
      <c r="C1766" s="1017" t="s">
        <v>6062</v>
      </c>
      <c r="D1766" s="528">
        <f>B1765</f>
        <v>464410</v>
      </c>
      <c r="E1766" s="417">
        <v>333904720000000</v>
      </c>
      <c r="F1766" s="418" t="s">
        <v>8619</v>
      </c>
      <c r="G1766" s="603">
        <v>1</v>
      </c>
      <c r="H1766" s="603">
        <v>0</v>
      </c>
      <c r="I1766" s="471">
        <v>372110500000000</v>
      </c>
      <c r="J1766" s="891">
        <v>0</v>
      </c>
      <c r="K1766" s="891">
        <v>0</v>
      </c>
      <c r="L1766" s="996">
        <f t="shared" si="222"/>
        <v>0</v>
      </c>
    </row>
    <row r="1767" spans="1:15" x14ac:dyDescent="0.25">
      <c r="B1767" s="599">
        <f t="shared" si="221"/>
        <v>464412</v>
      </c>
      <c r="C1767" s="1017" t="s">
        <v>6062</v>
      </c>
      <c r="D1767" s="528">
        <f>D1766</f>
        <v>464410</v>
      </c>
      <c r="E1767" s="417">
        <v>333904720000000</v>
      </c>
      <c r="F1767" s="418" t="s">
        <v>8620</v>
      </c>
      <c r="G1767" s="603">
        <v>1</v>
      </c>
      <c r="H1767" s="603">
        <v>0</v>
      </c>
      <c r="I1767" s="471">
        <v>372110500000000</v>
      </c>
      <c r="J1767" s="891">
        <v>0</v>
      </c>
      <c r="K1767" s="891">
        <v>0</v>
      </c>
      <c r="L1767" s="996">
        <f t="shared" si="222"/>
        <v>0</v>
      </c>
    </row>
    <row r="1768" spans="1:15" x14ac:dyDescent="0.25">
      <c r="B1768" s="599">
        <f t="shared" si="221"/>
        <v>464413</v>
      </c>
      <c r="C1768" s="1017" t="s">
        <v>6062</v>
      </c>
      <c r="D1768" s="528">
        <f t="shared" ref="D1768:D1775" si="224">D1767</f>
        <v>464410</v>
      </c>
      <c r="E1768" s="417">
        <v>333904720000000</v>
      </c>
      <c r="F1768" s="418" t="s">
        <v>8621</v>
      </c>
      <c r="G1768" s="603">
        <v>1</v>
      </c>
      <c r="H1768" s="603">
        <v>0</v>
      </c>
      <c r="I1768" s="471">
        <v>372110500000000</v>
      </c>
      <c r="J1768" s="891">
        <v>0</v>
      </c>
      <c r="K1768" s="891">
        <v>0</v>
      </c>
      <c r="L1768" s="996">
        <f t="shared" si="222"/>
        <v>0</v>
      </c>
    </row>
    <row r="1769" spans="1:15" x14ac:dyDescent="0.25">
      <c r="B1769" s="599">
        <f t="shared" si="221"/>
        <v>464414</v>
      </c>
      <c r="C1769" s="1017" t="s">
        <v>6062</v>
      </c>
      <c r="D1769" s="528">
        <f t="shared" si="224"/>
        <v>464410</v>
      </c>
      <c r="E1769" s="417">
        <v>333904720000000</v>
      </c>
      <c r="F1769" s="418" t="s">
        <v>8622</v>
      </c>
      <c r="G1769" s="603">
        <v>1</v>
      </c>
      <c r="H1769" s="603">
        <v>0</v>
      </c>
      <c r="I1769" s="471">
        <v>372110500000000</v>
      </c>
      <c r="J1769" s="891">
        <v>0</v>
      </c>
      <c r="K1769" s="891">
        <v>0</v>
      </c>
      <c r="L1769" s="996">
        <f t="shared" si="222"/>
        <v>0</v>
      </c>
    </row>
    <row r="1770" spans="1:15" x14ac:dyDescent="0.25">
      <c r="B1770" s="599">
        <f t="shared" si="221"/>
        <v>464415</v>
      </c>
      <c r="C1770" s="1017" t="s">
        <v>6062</v>
      </c>
      <c r="D1770" s="528">
        <f t="shared" si="224"/>
        <v>464410</v>
      </c>
      <c r="E1770" s="417">
        <v>333904720000000</v>
      </c>
      <c r="F1770" s="418" t="s">
        <v>8623</v>
      </c>
      <c r="G1770" s="603">
        <v>1</v>
      </c>
      <c r="H1770" s="603">
        <v>0</v>
      </c>
      <c r="I1770" s="471">
        <v>372110500000000</v>
      </c>
      <c r="J1770" s="891">
        <v>0</v>
      </c>
      <c r="K1770" s="891">
        <v>0</v>
      </c>
      <c r="L1770" s="996">
        <f t="shared" si="222"/>
        <v>0</v>
      </c>
    </row>
    <row r="1771" spans="1:15" x14ac:dyDescent="0.25">
      <c r="B1771" s="599">
        <f t="shared" si="221"/>
        <v>464416</v>
      </c>
      <c r="C1771" s="1017" t="s">
        <v>6062</v>
      </c>
      <c r="D1771" s="528">
        <f t="shared" si="224"/>
        <v>464410</v>
      </c>
      <c r="E1771" s="417">
        <v>333904720000000</v>
      </c>
      <c r="F1771" s="418" t="s">
        <v>8624</v>
      </c>
      <c r="G1771" s="603">
        <v>1</v>
      </c>
      <c r="H1771" s="603">
        <v>0</v>
      </c>
      <c r="I1771" s="471">
        <v>372110500000000</v>
      </c>
      <c r="J1771" s="891">
        <v>0</v>
      </c>
      <c r="K1771" s="891">
        <v>0</v>
      </c>
      <c r="L1771" s="996">
        <f t="shared" si="222"/>
        <v>0</v>
      </c>
    </row>
    <row r="1772" spans="1:15" x14ac:dyDescent="0.25">
      <c r="B1772" s="599">
        <f t="shared" si="221"/>
        <v>464417</v>
      </c>
      <c r="C1772" s="1017" t="s">
        <v>6062</v>
      </c>
      <c r="D1772" s="528">
        <f t="shared" si="224"/>
        <v>464410</v>
      </c>
      <c r="E1772" s="417">
        <v>333904720000000</v>
      </c>
      <c r="F1772" s="418" t="s">
        <v>8625</v>
      </c>
      <c r="G1772" s="603">
        <v>1</v>
      </c>
      <c r="H1772" s="603">
        <v>0</v>
      </c>
      <c r="I1772" s="471">
        <v>372110500000000</v>
      </c>
      <c r="J1772" s="891">
        <v>0</v>
      </c>
      <c r="K1772" s="891">
        <v>0</v>
      </c>
      <c r="L1772" s="996">
        <f t="shared" si="222"/>
        <v>0</v>
      </c>
    </row>
    <row r="1773" spans="1:15" x14ac:dyDescent="0.25">
      <c r="B1773" s="599">
        <f t="shared" si="221"/>
        <v>464418</v>
      </c>
      <c r="C1773" s="1017" t="s">
        <v>6062</v>
      </c>
      <c r="D1773" s="528">
        <f t="shared" si="224"/>
        <v>464410</v>
      </c>
      <c r="E1773" s="417">
        <v>333904720000000</v>
      </c>
      <c r="F1773" s="418" t="s">
        <v>8626</v>
      </c>
      <c r="G1773" s="603">
        <v>1</v>
      </c>
      <c r="H1773" s="603">
        <v>0</v>
      </c>
      <c r="I1773" s="471">
        <v>372110500000000</v>
      </c>
      <c r="J1773" s="891">
        <v>0</v>
      </c>
      <c r="K1773" s="891">
        <v>0</v>
      </c>
      <c r="L1773" s="996">
        <f t="shared" si="222"/>
        <v>0</v>
      </c>
    </row>
    <row r="1774" spans="1:15" x14ac:dyDescent="0.25">
      <c r="B1774" s="599">
        <f t="shared" si="221"/>
        <v>464419</v>
      </c>
      <c r="C1774" s="1017" t="s">
        <v>6062</v>
      </c>
      <c r="D1774" s="528">
        <f t="shared" si="224"/>
        <v>464410</v>
      </c>
      <c r="E1774" s="417">
        <v>333904720000000</v>
      </c>
      <c r="F1774" s="418" t="s">
        <v>8627</v>
      </c>
      <c r="G1774" s="603">
        <v>1</v>
      </c>
      <c r="H1774" s="603">
        <v>0</v>
      </c>
      <c r="I1774" s="471">
        <v>372110500000000</v>
      </c>
      <c r="J1774" s="891">
        <v>0</v>
      </c>
      <c r="K1774" s="891">
        <v>0</v>
      </c>
      <c r="L1774" s="996">
        <f t="shared" si="222"/>
        <v>0</v>
      </c>
    </row>
    <row r="1775" spans="1:15" x14ac:dyDescent="0.25">
      <c r="B1775" s="599">
        <f t="shared" si="221"/>
        <v>464420</v>
      </c>
      <c r="C1775" s="1017" t="s">
        <v>6062</v>
      </c>
      <c r="D1775" s="528">
        <f t="shared" si="224"/>
        <v>464410</v>
      </c>
      <c r="E1775" s="417">
        <v>333904720000000</v>
      </c>
      <c r="F1775" s="418" t="s">
        <v>8628</v>
      </c>
      <c r="G1775" s="603">
        <v>1</v>
      </c>
      <c r="H1775" s="603">
        <v>0</v>
      </c>
      <c r="I1775" s="471">
        <v>372110500000000</v>
      </c>
      <c r="J1775" s="891">
        <v>0</v>
      </c>
      <c r="K1775" s="891">
        <v>0</v>
      </c>
      <c r="L1775" s="996">
        <f t="shared" si="222"/>
        <v>0</v>
      </c>
    </row>
    <row r="1776" spans="1:15" s="115" customFormat="1" x14ac:dyDescent="0.25">
      <c r="A1776" s="396"/>
      <c r="B1776" s="1396">
        <v>464500</v>
      </c>
      <c r="C1776" s="1396"/>
      <c r="D1776" s="1396"/>
      <c r="E1776" s="854">
        <v>344905100000000</v>
      </c>
      <c r="F1776" s="855" t="s">
        <v>8647</v>
      </c>
      <c r="G1776" s="468">
        <v>1</v>
      </c>
      <c r="H1776" s="468">
        <v>0</v>
      </c>
      <c r="I1776" s="751"/>
      <c r="J1776" s="789">
        <f>('Parâmetros financeiros Despesa'!E1335)</f>
        <v>0</v>
      </c>
      <c r="K1776" s="789">
        <f>('Parâmetros financeiros Despesa'!F1335)*(1+'Parâmetros financeiros Despesa'!F$4)*(1+'Parâmetros financeiros Despesa'!F$7)</f>
        <v>21806.63</v>
      </c>
      <c r="L1776" s="799">
        <f>K1776/K$1806</f>
        <v>0.1912313940501256</v>
      </c>
      <c r="M1776" s="894"/>
      <c r="N1776" s="796"/>
      <c r="O1776" s="733"/>
    </row>
    <row r="1777" spans="1:15" x14ac:dyDescent="0.25">
      <c r="B1777" s="599">
        <f>B1776+1</f>
        <v>464501</v>
      </c>
      <c r="C1777" s="1017" t="s">
        <v>6062</v>
      </c>
      <c r="D1777" s="528">
        <f>B1776</f>
        <v>464500</v>
      </c>
      <c r="E1777" s="417">
        <v>344905199000000</v>
      </c>
      <c r="F1777" s="418" t="s">
        <v>8648</v>
      </c>
      <c r="G1777" s="603">
        <v>1</v>
      </c>
      <c r="H1777" s="603">
        <v>0</v>
      </c>
      <c r="I1777" s="601"/>
      <c r="J1777" s="891">
        <v>0</v>
      </c>
      <c r="K1777" s="891">
        <v>0</v>
      </c>
      <c r="L1777" s="996">
        <f>K1777/K$1806</f>
        <v>0</v>
      </c>
    </row>
    <row r="1778" spans="1:15" s="115" customFormat="1" x14ac:dyDescent="0.25">
      <c r="A1778" s="396"/>
      <c r="B1778" s="1396">
        <v>465000</v>
      </c>
      <c r="C1778" s="1396"/>
      <c r="D1778" s="1396"/>
      <c r="E1778" s="854">
        <v>344905200000000</v>
      </c>
      <c r="F1778" s="855" t="s">
        <v>8634</v>
      </c>
      <c r="G1778" s="468">
        <v>1</v>
      </c>
      <c r="H1778" s="468">
        <v>0</v>
      </c>
      <c r="I1778" s="751"/>
      <c r="J1778" s="789">
        <f>('Parâmetros financeiros Despesa'!E1336)</f>
        <v>0</v>
      </c>
      <c r="K1778" s="789">
        <f>('Parâmetros financeiros Despesa'!F1336)*(1+'Parâmetros financeiros Despesa'!F$4)*(1+'Parâmetros financeiros Despesa'!F$7)</f>
        <v>3270.9945000000002</v>
      </c>
      <c r="L1778" s="799">
        <f>K1778/K$1806</f>
        <v>2.868470910751884E-2</v>
      </c>
      <c r="M1778" s="894"/>
      <c r="N1778" s="796"/>
      <c r="O1778" s="733"/>
    </row>
    <row r="1779" spans="1:15" x14ac:dyDescent="0.25">
      <c r="B1779" s="599">
        <f t="shared" ref="B1779:B1790" si="225">B1778+1</f>
        <v>465001</v>
      </c>
      <c r="C1779" s="1017" t="s">
        <v>6062</v>
      </c>
      <c r="D1779" s="528">
        <f>B1778</f>
        <v>465000</v>
      </c>
      <c r="E1779" s="417">
        <v>344905234000000</v>
      </c>
      <c r="F1779" s="418" t="s">
        <v>8635</v>
      </c>
      <c r="G1779" s="603">
        <v>1</v>
      </c>
      <c r="H1779" s="603">
        <v>0</v>
      </c>
      <c r="I1779" s="601"/>
      <c r="J1779" s="891">
        <v>0</v>
      </c>
      <c r="K1779" s="891">
        <v>0</v>
      </c>
      <c r="L1779" s="996">
        <f>K1779/K$1806</f>
        <v>0</v>
      </c>
    </row>
    <row r="1780" spans="1:15" x14ac:dyDescent="0.25">
      <c r="B1780" s="599">
        <f t="shared" si="225"/>
        <v>465002</v>
      </c>
      <c r="C1780" s="1017" t="s">
        <v>6062</v>
      </c>
      <c r="D1780" s="528">
        <f>D1779</f>
        <v>465000</v>
      </c>
      <c r="E1780" s="417">
        <v>344905234000000</v>
      </c>
      <c r="F1780" s="418" t="s">
        <v>8644</v>
      </c>
      <c r="G1780" s="603">
        <v>1</v>
      </c>
      <c r="H1780" s="603">
        <v>0</v>
      </c>
      <c r="I1780" s="601"/>
      <c r="J1780" s="891">
        <v>0</v>
      </c>
      <c r="K1780" s="891">
        <v>0</v>
      </c>
      <c r="L1780" s="996">
        <f t="shared" ref="L1780:L1790" si="226">K1780/K$1806</f>
        <v>0</v>
      </c>
    </row>
    <row r="1781" spans="1:15" x14ac:dyDescent="0.25">
      <c r="B1781" s="599">
        <f t="shared" si="225"/>
        <v>465003</v>
      </c>
      <c r="C1781" s="1017" t="s">
        <v>6062</v>
      </c>
      <c r="D1781" s="528">
        <f t="shared" ref="D1781:D1788" si="227">D1780</f>
        <v>465000</v>
      </c>
      <c r="E1781" s="417">
        <v>344905234000000</v>
      </c>
      <c r="F1781" s="418" t="s">
        <v>8636</v>
      </c>
      <c r="G1781" s="603">
        <v>1</v>
      </c>
      <c r="H1781" s="603">
        <v>0</v>
      </c>
      <c r="I1781" s="601"/>
      <c r="J1781" s="891">
        <v>0</v>
      </c>
      <c r="K1781" s="891">
        <v>0</v>
      </c>
      <c r="L1781" s="996">
        <f t="shared" si="226"/>
        <v>0</v>
      </c>
    </row>
    <row r="1782" spans="1:15" x14ac:dyDescent="0.25">
      <c r="B1782" s="599">
        <f t="shared" si="225"/>
        <v>465004</v>
      </c>
      <c r="C1782" s="1017" t="s">
        <v>6062</v>
      </c>
      <c r="D1782" s="528">
        <f t="shared" si="227"/>
        <v>465000</v>
      </c>
      <c r="E1782" s="417">
        <v>344905234000000</v>
      </c>
      <c r="F1782" s="418" t="s">
        <v>8637</v>
      </c>
      <c r="G1782" s="603">
        <v>1</v>
      </c>
      <c r="H1782" s="603">
        <v>0</v>
      </c>
      <c r="I1782" s="601"/>
      <c r="J1782" s="891">
        <v>0</v>
      </c>
      <c r="K1782" s="891">
        <v>0</v>
      </c>
      <c r="L1782" s="996">
        <f t="shared" si="226"/>
        <v>0</v>
      </c>
    </row>
    <row r="1783" spans="1:15" x14ac:dyDescent="0.25">
      <c r="B1783" s="599">
        <f t="shared" si="225"/>
        <v>465005</v>
      </c>
      <c r="C1783" s="1017" t="s">
        <v>6062</v>
      </c>
      <c r="D1783" s="528">
        <f t="shared" si="227"/>
        <v>465000</v>
      </c>
      <c r="E1783" s="417">
        <v>344905234000000</v>
      </c>
      <c r="F1783" s="418" t="s">
        <v>8638</v>
      </c>
      <c r="G1783" s="603">
        <v>1</v>
      </c>
      <c r="H1783" s="603">
        <v>0</v>
      </c>
      <c r="I1783" s="601"/>
      <c r="J1783" s="891">
        <v>0</v>
      </c>
      <c r="K1783" s="891">
        <v>0</v>
      </c>
      <c r="L1783" s="996">
        <f t="shared" si="226"/>
        <v>0</v>
      </c>
    </row>
    <row r="1784" spans="1:15" x14ac:dyDescent="0.25">
      <c r="B1784" s="599">
        <f t="shared" si="225"/>
        <v>465006</v>
      </c>
      <c r="C1784" s="1017" t="s">
        <v>6062</v>
      </c>
      <c r="D1784" s="528">
        <f t="shared" si="227"/>
        <v>465000</v>
      </c>
      <c r="E1784" s="417">
        <v>344905234000000</v>
      </c>
      <c r="F1784" s="418" t="s">
        <v>8639</v>
      </c>
      <c r="G1784" s="603">
        <v>1</v>
      </c>
      <c r="H1784" s="603">
        <v>0</v>
      </c>
      <c r="I1784" s="601"/>
      <c r="J1784" s="891">
        <v>0</v>
      </c>
      <c r="K1784" s="891">
        <v>0</v>
      </c>
      <c r="L1784" s="996">
        <f t="shared" si="226"/>
        <v>0</v>
      </c>
    </row>
    <row r="1785" spans="1:15" x14ac:dyDescent="0.25">
      <c r="B1785" s="599">
        <f t="shared" si="225"/>
        <v>465007</v>
      </c>
      <c r="C1785" s="1017" t="s">
        <v>6062</v>
      </c>
      <c r="D1785" s="528">
        <f t="shared" si="227"/>
        <v>465000</v>
      </c>
      <c r="E1785" s="417">
        <v>344905234000000</v>
      </c>
      <c r="F1785" s="418" t="s">
        <v>8640</v>
      </c>
      <c r="G1785" s="603">
        <v>1</v>
      </c>
      <c r="H1785" s="603">
        <v>0</v>
      </c>
      <c r="I1785" s="601"/>
      <c r="J1785" s="891">
        <v>0</v>
      </c>
      <c r="K1785" s="891">
        <v>0</v>
      </c>
      <c r="L1785" s="996">
        <f t="shared" si="226"/>
        <v>0</v>
      </c>
    </row>
    <row r="1786" spans="1:15" x14ac:dyDescent="0.25">
      <c r="B1786" s="599">
        <f t="shared" si="225"/>
        <v>465008</v>
      </c>
      <c r="C1786" s="1017" t="s">
        <v>6062</v>
      </c>
      <c r="D1786" s="528">
        <f t="shared" si="227"/>
        <v>465000</v>
      </c>
      <c r="E1786" s="417">
        <v>344905234000000</v>
      </c>
      <c r="F1786" s="418" t="s">
        <v>8641</v>
      </c>
      <c r="G1786" s="603">
        <v>1</v>
      </c>
      <c r="H1786" s="603">
        <v>0</v>
      </c>
      <c r="I1786" s="601"/>
      <c r="J1786" s="891">
        <v>0</v>
      </c>
      <c r="K1786" s="891">
        <v>0</v>
      </c>
      <c r="L1786" s="996">
        <f t="shared" si="226"/>
        <v>0</v>
      </c>
    </row>
    <row r="1787" spans="1:15" x14ac:dyDescent="0.25">
      <c r="B1787" s="599">
        <f t="shared" si="225"/>
        <v>465009</v>
      </c>
      <c r="C1787" s="1017" t="s">
        <v>6062</v>
      </c>
      <c r="D1787" s="528">
        <f t="shared" si="227"/>
        <v>465000</v>
      </c>
      <c r="E1787" s="417">
        <v>344905234000000</v>
      </c>
      <c r="F1787" s="418" t="s">
        <v>8642</v>
      </c>
      <c r="G1787" s="603">
        <v>1</v>
      </c>
      <c r="H1787" s="603">
        <v>0</v>
      </c>
      <c r="I1787" s="601"/>
      <c r="J1787" s="891">
        <v>0</v>
      </c>
      <c r="K1787" s="891">
        <v>0</v>
      </c>
      <c r="L1787" s="996">
        <f t="shared" si="226"/>
        <v>0</v>
      </c>
    </row>
    <row r="1788" spans="1:15" x14ac:dyDescent="0.25">
      <c r="B1788" s="599">
        <f t="shared" si="225"/>
        <v>465010</v>
      </c>
      <c r="C1788" s="1017" t="s">
        <v>6062</v>
      </c>
      <c r="D1788" s="528">
        <f t="shared" si="227"/>
        <v>465000</v>
      </c>
      <c r="E1788" s="417">
        <v>344905234000000</v>
      </c>
      <c r="F1788" s="418" t="s">
        <v>8643</v>
      </c>
      <c r="G1788" s="603">
        <v>1</v>
      </c>
      <c r="H1788" s="603">
        <v>0</v>
      </c>
      <c r="I1788" s="601"/>
      <c r="J1788" s="891">
        <v>0</v>
      </c>
      <c r="K1788" s="891">
        <v>0</v>
      </c>
      <c r="L1788" s="996">
        <f t="shared" si="226"/>
        <v>0</v>
      </c>
    </row>
    <row r="1789" spans="1:15" x14ac:dyDescent="0.25">
      <c r="B1789" s="599">
        <f t="shared" si="225"/>
        <v>465011</v>
      </c>
      <c r="C1789" s="1017" t="s">
        <v>6062</v>
      </c>
      <c r="D1789" s="528">
        <f>D1788</f>
        <v>465000</v>
      </c>
      <c r="E1789" s="417">
        <v>344905234000000</v>
      </c>
      <c r="F1789" s="418" t="s">
        <v>8645</v>
      </c>
      <c r="G1789" s="603">
        <v>1</v>
      </c>
      <c r="H1789" s="603">
        <v>0</v>
      </c>
      <c r="I1789" s="601"/>
      <c r="J1789" s="891">
        <v>0</v>
      </c>
      <c r="K1789" s="891">
        <v>0</v>
      </c>
      <c r="L1789" s="996">
        <f t="shared" si="226"/>
        <v>0</v>
      </c>
    </row>
    <row r="1790" spans="1:15" x14ac:dyDescent="0.25">
      <c r="B1790" s="599">
        <f t="shared" si="225"/>
        <v>465012</v>
      </c>
      <c r="C1790" s="1017" t="s">
        <v>6062</v>
      </c>
      <c r="D1790" s="528">
        <f>D1789</f>
        <v>465000</v>
      </c>
      <c r="E1790" s="417">
        <v>344905234000000</v>
      </c>
      <c r="F1790" s="418" t="s">
        <v>8646</v>
      </c>
      <c r="G1790" s="603">
        <v>1</v>
      </c>
      <c r="H1790" s="603">
        <v>0</v>
      </c>
      <c r="I1790" s="601"/>
      <c r="J1790" s="891">
        <v>0</v>
      </c>
      <c r="K1790" s="891">
        <v>0</v>
      </c>
      <c r="L1790" s="996">
        <f t="shared" si="226"/>
        <v>0</v>
      </c>
    </row>
    <row r="1791" spans="1:15" x14ac:dyDescent="0.25">
      <c r="A1791" s="397"/>
      <c r="B1791" s="1385" t="s">
        <v>8566</v>
      </c>
      <c r="C1791" s="1385"/>
      <c r="D1791" s="1385"/>
      <c r="E1791" s="1385"/>
      <c r="F1791" s="1385"/>
      <c r="G1791" s="401"/>
      <c r="H1791" s="401"/>
      <c r="I1791" s="426"/>
      <c r="J1791" s="402">
        <f t="shared" ref="J1791:K1793" si="228">J1792</f>
        <v>0</v>
      </c>
      <c r="K1791" s="402">
        <f t="shared" si="228"/>
        <v>13101</v>
      </c>
      <c r="L1791" s="451">
        <f>K1791/K$1806</f>
        <v>0.11488810941675515</v>
      </c>
    </row>
    <row r="1792" spans="1:15" x14ac:dyDescent="0.25">
      <c r="A1792" s="397"/>
      <c r="B1792" s="1386" t="s">
        <v>8649</v>
      </c>
      <c r="C1792" s="1386"/>
      <c r="D1792" s="1386"/>
      <c r="E1792" s="1386"/>
      <c r="F1792" s="1386"/>
      <c r="G1792" s="403"/>
      <c r="H1792" s="403"/>
      <c r="I1792" s="427"/>
      <c r="J1792" s="404">
        <f t="shared" si="228"/>
        <v>0</v>
      </c>
      <c r="K1792" s="404">
        <f t="shared" si="228"/>
        <v>13101</v>
      </c>
      <c r="L1792" s="452">
        <f>K1792/K$1806</f>
        <v>0.11488810941675515</v>
      </c>
    </row>
    <row r="1793" spans="1:15" x14ac:dyDescent="0.25">
      <c r="A1793" s="397"/>
      <c r="B1793" s="1382" t="s">
        <v>8565</v>
      </c>
      <c r="C1793" s="1382"/>
      <c r="D1793" s="1382"/>
      <c r="E1793" s="1382"/>
      <c r="F1793" s="1382"/>
      <c r="G1793" s="405"/>
      <c r="H1793" s="405"/>
      <c r="I1793" s="428"/>
      <c r="J1793" s="406">
        <f t="shared" si="228"/>
        <v>0</v>
      </c>
      <c r="K1793" s="406">
        <f t="shared" si="228"/>
        <v>13101</v>
      </c>
      <c r="L1793" s="453">
        <f>K1793/K$1806</f>
        <v>0.11488810941675515</v>
      </c>
    </row>
    <row r="1794" spans="1:15" x14ac:dyDescent="0.25">
      <c r="A1794" s="397"/>
      <c r="B1794" s="1383" t="s">
        <v>8568</v>
      </c>
      <c r="C1794" s="1383"/>
      <c r="D1794" s="1383"/>
      <c r="E1794" s="1383"/>
      <c r="F1794" s="1383"/>
      <c r="G1794" s="407"/>
      <c r="H1794" s="407"/>
      <c r="I1794" s="429"/>
      <c r="J1794" s="408">
        <f>SUM(J1795:J1802)</f>
        <v>0</v>
      </c>
      <c r="K1794" s="408">
        <f>SUM(K1795:K1802)</f>
        <v>13101</v>
      </c>
      <c r="L1794" s="454">
        <f>K1794/K$1806</f>
        <v>0.11488810941675515</v>
      </c>
    </row>
    <row r="1795" spans="1:15" s="115" customFormat="1" x14ac:dyDescent="0.25">
      <c r="A1795" s="396"/>
      <c r="B1795" s="1396">
        <v>466000</v>
      </c>
      <c r="C1795" s="1396"/>
      <c r="D1795" s="1396"/>
      <c r="E1795" s="854">
        <v>333309300000000</v>
      </c>
      <c r="F1795" s="855" t="s">
        <v>8656</v>
      </c>
      <c r="G1795" s="468">
        <v>1159</v>
      </c>
      <c r="H1795" s="468">
        <v>0</v>
      </c>
      <c r="I1795" s="751"/>
      <c r="J1795" s="789">
        <f>'Parâmetros financeiros Despesa'!E1338</f>
        <v>0</v>
      </c>
      <c r="K1795" s="789">
        <f>'Parâmetros financeiros Despesa'!F1338</f>
        <v>1</v>
      </c>
      <c r="L1795" s="799">
        <f>K1795/K$1806</f>
        <v>8.7694152672891498E-6</v>
      </c>
      <c r="M1795" s="894"/>
      <c r="O1795" s="733"/>
    </row>
    <row r="1796" spans="1:15" s="115" customFormat="1" x14ac:dyDescent="0.25">
      <c r="A1796" s="396"/>
      <c r="B1796" s="1396">
        <v>466100</v>
      </c>
      <c r="C1796" s="1396"/>
      <c r="D1796" s="1396"/>
      <c r="E1796" s="854">
        <v>333903000000000</v>
      </c>
      <c r="F1796" s="855" t="s">
        <v>8657</v>
      </c>
      <c r="G1796" s="468">
        <v>1159</v>
      </c>
      <c r="H1796" s="468">
        <v>0</v>
      </c>
      <c r="I1796" s="751"/>
      <c r="J1796" s="789">
        <f>'Parâmetros financeiros Despesa'!E1339</f>
        <v>0</v>
      </c>
      <c r="K1796" s="789">
        <f>'Parâmetros financeiros Despesa'!F1339</f>
        <v>1</v>
      </c>
      <c r="L1796" s="799">
        <f t="shared" ref="L1796:L1801" si="229">K1796/K$1806</f>
        <v>8.7694152672891498E-6</v>
      </c>
      <c r="M1796" s="894"/>
      <c r="O1796" s="733"/>
    </row>
    <row r="1797" spans="1:15" s="115" customFormat="1" x14ac:dyDescent="0.25">
      <c r="A1797" s="396"/>
      <c r="B1797" s="1398" t="s">
        <v>8650</v>
      </c>
      <c r="C1797" s="1398"/>
      <c r="D1797" s="1398"/>
      <c r="E1797" s="854">
        <v>333903600000000</v>
      </c>
      <c r="F1797" s="855" t="s">
        <v>8658</v>
      </c>
      <c r="G1797" s="468">
        <v>1159</v>
      </c>
      <c r="H1797" s="468">
        <v>0</v>
      </c>
      <c r="I1797" s="751"/>
      <c r="J1797" s="789">
        <f>'Parâmetros financeiros Despesa'!E1340</f>
        <v>0</v>
      </c>
      <c r="K1797" s="789">
        <f>'Parâmetros financeiros Despesa'!F1340</f>
        <v>1</v>
      </c>
      <c r="L1797" s="799">
        <f t="shared" si="229"/>
        <v>8.7694152672891498E-6</v>
      </c>
      <c r="M1797" s="894"/>
      <c r="O1797" s="733"/>
    </row>
    <row r="1798" spans="1:15" s="115" customFormat="1" x14ac:dyDescent="0.25">
      <c r="A1798" s="396"/>
      <c r="B1798" s="1398" t="s">
        <v>8651</v>
      </c>
      <c r="C1798" s="1398"/>
      <c r="D1798" s="1398"/>
      <c r="E1798" s="854">
        <v>333903900000000</v>
      </c>
      <c r="F1798" s="855" t="s">
        <v>8659</v>
      </c>
      <c r="G1798" s="468">
        <v>1</v>
      </c>
      <c r="H1798" s="468">
        <v>0</v>
      </c>
      <c r="I1798" s="751"/>
      <c r="J1798" s="789">
        <f>'Parâmetros financeiros Despesa'!E1341</f>
        <v>0</v>
      </c>
      <c r="K1798" s="789">
        <f>'Parâmetros financeiros Despesa'!F1341</f>
        <v>1</v>
      </c>
      <c r="L1798" s="799">
        <f t="shared" si="229"/>
        <v>8.7694152672891498E-6</v>
      </c>
      <c r="M1798" s="894"/>
      <c r="O1798" s="733"/>
    </row>
    <row r="1799" spans="1:15" s="115" customFormat="1" x14ac:dyDescent="0.25">
      <c r="A1799" s="396"/>
      <c r="B1799" s="1398" t="s">
        <v>8652</v>
      </c>
      <c r="C1799" s="1398"/>
      <c r="D1799" s="1398"/>
      <c r="E1799" s="854">
        <v>333903900000000</v>
      </c>
      <c r="F1799" s="855" t="s">
        <v>8660</v>
      </c>
      <c r="G1799" s="468">
        <v>1159</v>
      </c>
      <c r="H1799" s="468">
        <v>0</v>
      </c>
      <c r="I1799" s="751"/>
      <c r="J1799" s="789">
        <f>'Parâmetros financeiros Despesa'!E1342</f>
        <v>0</v>
      </c>
      <c r="K1799" s="789">
        <f>'Parâmetros financeiros Despesa'!F1342</f>
        <v>5000</v>
      </c>
      <c r="L1799" s="799">
        <f t="shared" si="229"/>
        <v>4.3847076336445745E-2</v>
      </c>
      <c r="M1799" s="894"/>
      <c r="O1799" s="733"/>
    </row>
    <row r="1800" spans="1:15" s="115" customFormat="1" x14ac:dyDescent="0.25">
      <c r="A1800" s="396"/>
      <c r="B1800" s="1398" t="s">
        <v>8653</v>
      </c>
      <c r="C1800" s="1398"/>
      <c r="D1800" s="1398"/>
      <c r="E1800" s="854">
        <v>333904700000000</v>
      </c>
      <c r="F1800" s="855" t="s">
        <v>8661</v>
      </c>
      <c r="G1800" s="468">
        <v>1159</v>
      </c>
      <c r="H1800" s="468">
        <v>0</v>
      </c>
      <c r="I1800" s="751"/>
      <c r="J1800" s="789">
        <f>'Parâmetros financeiros Despesa'!E1343</f>
        <v>0</v>
      </c>
      <c r="K1800" s="789">
        <f>'Parâmetros financeiros Despesa'!F1343</f>
        <v>0.2</v>
      </c>
      <c r="L1800" s="799">
        <f t="shared" si="229"/>
        <v>1.7538830534578301E-6</v>
      </c>
      <c r="M1800" s="894"/>
      <c r="O1800" s="733"/>
    </row>
    <row r="1801" spans="1:15" s="115" customFormat="1" ht="30" x14ac:dyDescent="0.25">
      <c r="A1801" s="396"/>
      <c r="B1801" s="1398" t="s">
        <v>8654</v>
      </c>
      <c r="C1801" s="1398"/>
      <c r="D1801" s="1398"/>
      <c r="E1801" s="854">
        <v>333933000000000</v>
      </c>
      <c r="F1801" s="855" t="s">
        <v>8663</v>
      </c>
      <c r="G1801" s="468">
        <v>1159</v>
      </c>
      <c r="H1801" s="468">
        <v>0</v>
      </c>
      <c r="I1801" s="751"/>
      <c r="J1801" s="789">
        <f>'Parâmetros financeiros Despesa'!E1344</f>
        <v>0</v>
      </c>
      <c r="K1801" s="789">
        <f>'Parâmetros financeiros Despesa'!F1344</f>
        <v>1</v>
      </c>
      <c r="L1801" s="799">
        <f t="shared" si="229"/>
        <v>8.7694152672891498E-6</v>
      </c>
      <c r="M1801" s="894"/>
      <c r="O1801" s="733"/>
    </row>
    <row r="1802" spans="1:15" s="115" customFormat="1" ht="30" x14ac:dyDescent="0.25">
      <c r="A1802" s="396"/>
      <c r="B1802" s="1398" t="s">
        <v>8655</v>
      </c>
      <c r="C1802" s="1398"/>
      <c r="D1802" s="1398"/>
      <c r="E1802" s="854">
        <v>344905200000000</v>
      </c>
      <c r="F1802" s="855" t="s">
        <v>8662</v>
      </c>
      <c r="G1802" s="468">
        <v>1159</v>
      </c>
      <c r="H1802" s="468">
        <v>0</v>
      </c>
      <c r="I1802" s="751"/>
      <c r="J1802" s="789">
        <f>'Parâmetros financeiros Despesa'!E1345</f>
        <v>0</v>
      </c>
      <c r="K1802" s="789">
        <f>'Parâmetros financeiros Despesa'!F1345</f>
        <v>8095.8</v>
      </c>
      <c r="L1802" s="799">
        <f>K1802/K$1806</f>
        <v>7.0995432120919494E-2</v>
      </c>
      <c r="M1802" s="894"/>
      <c r="O1802" s="733"/>
    </row>
    <row r="1803" spans="1:15" x14ac:dyDescent="0.25">
      <c r="B1803" s="864" t="s">
        <v>11469</v>
      </c>
      <c r="C1803" s="864"/>
      <c r="D1803" s="864"/>
      <c r="E1803" s="864"/>
      <c r="F1803" s="864"/>
      <c r="G1803" s="864"/>
      <c r="H1803" s="864"/>
      <c r="I1803" s="864"/>
      <c r="J1803" s="863">
        <f>J1792+J1707+J1688+J1679</f>
        <v>40964.618912499995</v>
      </c>
      <c r="K1803" s="863">
        <f>K1792+K1707+K1688+K1679-0.01</f>
        <v>114032.68855679651</v>
      </c>
      <c r="L1803" s="452">
        <f>K1803/K$1806</f>
        <v>1</v>
      </c>
    </row>
    <row r="1804" spans="1:15" s="31" customFormat="1" x14ac:dyDescent="0.25">
      <c r="B1804" s="869" t="s">
        <v>745</v>
      </c>
      <c r="C1804" s="869"/>
      <c r="D1804" s="869"/>
      <c r="E1804" s="869"/>
      <c r="F1804" s="869"/>
      <c r="G1804" s="869"/>
      <c r="H1804" s="869"/>
      <c r="I1804" s="869"/>
      <c r="J1804" s="870">
        <f>J1803</f>
        <v>40964.618912499995</v>
      </c>
      <c r="K1804" s="870">
        <f>K1803-K1805</f>
        <v>100932.68855679651</v>
      </c>
      <c r="L1804" s="871">
        <f t="shared" ref="L1804:L1805" si="230">K1804/K$1806</f>
        <v>0.88512065999851219</v>
      </c>
      <c r="M1804" s="897"/>
      <c r="O1804" s="736"/>
    </row>
    <row r="1805" spans="1:15" s="31" customFormat="1" x14ac:dyDescent="0.25">
      <c r="B1805" s="869" t="s">
        <v>11509</v>
      </c>
      <c r="C1805" s="869"/>
      <c r="D1805" s="869"/>
      <c r="E1805" s="869"/>
      <c r="F1805" s="869"/>
      <c r="G1805" s="869"/>
      <c r="H1805" s="869"/>
      <c r="I1805" s="869"/>
      <c r="J1805" s="870">
        <v>0</v>
      </c>
      <c r="K1805" s="870">
        <v>13100</v>
      </c>
      <c r="L1805" s="871">
        <f t="shared" si="230"/>
        <v>0.11487934000148786</v>
      </c>
      <c r="M1805" s="897"/>
      <c r="O1805" s="736"/>
    </row>
    <row r="1806" spans="1:15" s="115" customFormat="1" x14ac:dyDescent="0.25">
      <c r="B1806" s="864" t="s">
        <v>2172</v>
      </c>
      <c r="C1806" s="864"/>
      <c r="D1806" s="864"/>
      <c r="E1806" s="864"/>
      <c r="F1806" s="864"/>
      <c r="G1806" s="864"/>
      <c r="H1806" s="864"/>
      <c r="I1806" s="864"/>
      <c r="J1806" s="863">
        <f>J1805+J1804</f>
        <v>40964.618912499995</v>
      </c>
      <c r="K1806" s="863">
        <f>K1805+K1804</f>
        <v>114032.68855679651</v>
      </c>
      <c r="L1806" s="452">
        <f>K1806/K$1806</f>
        <v>1</v>
      </c>
      <c r="N1806" s="796"/>
      <c r="O1806" s="733"/>
    </row>
    <row r="1808" spans="1:15" s="435" customFormat="1" ht="15.75" x14ac:dyDescent="0.25">
      <c r="B1808" s="999" t="s">
        <v>989</v>
      </c>
      <c r="C1808" s="999"/>
      <c r="D1808" s="481"/>
      <c r="E1808" s="1371" t="s">
        <v>7911</v>
      </c>
      <c r="F1808" s="1371"/>
      <c r="G1808" s="1371"/>
      <c r="H1808" s="1371"/>
      <c r="I1808" s="1371"/>
      <c r="J1808" s="940"/>
      <c r="K1808" s="438"/>
      <c r="L1808" s="449"/>
      <c r="M1808" s="892"/>
      <c r="O1808" s="732"/>
    </row>
    <row r="1809" spans="1:15" s="435" customFormat="1" ht="18" customHeight="1" x14ac:dyDescent="0.25">
      <c r="B1809" s="999" t="s">
        <v>458</v>
      </c>
      <c r="C1809" s="999"/>
      <c r="D1809" s="481"/>
      <c r="E1809" s="1371" t="s">
        <v>8664</v>
      </c>
      <c r="F1809" s="1371"/>
      <c r="G1809" s="1371"/>
      <c r="H1809" s="1371"/>
      <c r="I1809" s="1371"/>
      <c r="J1809" s="940"/>
      <c r="K1809" s="438"/>
      <c r="L1809" s="449"/>
      <c r="M1809" s="892"/>
      <c r="O1809" s="732"/>
    </row>
    <row r="1810" spans="1:15" s="435" customFormat="1" ht="15.75" x14ac:dyDescent="0.25">
      <c r="B1810" s="1005" t="s">
        <v>5764</v>
      </c>
      <c r="C1810" s="1005"/>
      <c r="D1810" s="1005"/>
      <c r="E1810" s="1371" t="s">
        <v>749</v>
      </c>
      <c r="F1810" s="1371"/>
      <c r="G1810" s="1371"/>
      <c r="H1810" s="1371"/>
      <c r="I1810" s="1371"/>
      <c r="J1810" s="941"/>
      <c r="K1810" s="438"/>
      <c r="L1810" s="449"/>
      <c r="M1810" s="892"/>
      <c r="O1810" s="732"/>
    </row>
    <row r="1811" spans="1:15" s="435" customFormat="1" ht="15.75" x14ac:dyDescent="0.25">
      <c r="B1811" s="1005"/>
      <c r="C1811" s="1005"/>
      <c r="D1811" s="1005"/>
      <c r="E1811" s="999"/>
      <c r="F1811" s="999"/>
      <c r="G1811" s="999"/>
      <c r="H1811" s="999"/>
      <c r="I1811" s="999"/>
      <c r="J1811" s="941"/>
      <c r="K1811" s="438"/>
      <c r="L1811" s="449"/>
      <c r="M1811" s="892"/>
      <c r="O1811" s="732"/>
    </row>
    <row r="1812" spans="1:15" ht="88.5" x14ac:dyDescent="0.25">
      <c r="A1812" s="396"/>
      <c r="B1812" s="1400" t="s">
        <v>2296</v>
      </c>
      <c r="C1812" s="1400"/>
      <c r="D1812" s="1400"/>
      <c r="E1812" s="1384" t="s">
        <v>2297</v>
      </c>
      <c r="F1812" s="1384"/>
      <c r="G1812" s="443" t="s">
        <v>444</v>
      </c>
      <c r="H1812" s="443" t="s">
        <v>2245</v>
      </c>
      <c r="I1812" s="444" t="s">
        <v>5725</v>
      </c>
      <c r="J1812" s="893" t="s">
        <v>11644</v>
      </c>
      <c r="K1812" s="1000" t="s">
        <v>11522</v>
      </c>
      <c r="L1812" s="450" t="s">
        <v>235</v>
      </c>
    </row>
    <row r="1813" spans="1:15" x14ac:dyDescent="0.25">
      <c r="A1813" s="397"/>
      <c r="B1813" s="1385" t="s">
        <v>8666</v>
      </c>
      <c r="C1813" s="1385"/>
      <c r="D1813" s="1385"/>
      <c r="E1813" s="1385"/>
      <c r="F1813" s="1385"/>
      <c r="G1813" s="401"/>
      <c r="H1813" s="401"/>
      <c r="I1813" s="426"/>
      <c r="J1813" s="402">
        <f t="shared" ref="J1813:K1815" si="231">J1814</f>
        <v>107333.12999999999</v>
      </c>
      <c r="K1813" s="402">
        <f t="shared" si="231"/>
        <v>141501.16</v>
      </c>
      <c r="L1813" s="451">
        <f>K1813/K$1843</f>
        <v>0.99297554507243957</v>
      </c>
    </row>
    <row r="1814" spans="1:15" x14ac:dyDescent="0.25">
      <c r="A1814" s="397"/>
      <c r="B1814" s="1386" t="s">
        <v>8665</v>
      </c>
      <c r="C1814" s="1386"/>
      <c r="D1814" s="1386"/>
      <c r="E1814" s="1386"/>
      <c r="F1814" s="1386"/>
      <c r="G1814" s="403"/>
      <c r="H1814" s="403"/>
      <c r="I1814" s="427"/>
      <c r="J1814" s="404">
        <f t="shared" si="231"/>
        <v>107333.12999999999</v>
      </c>
      <c r="K1814" s="404">
        <f t="shared" si="231"/>
        <v>141501.16</v>
      </c>
      <c r="L1814" s="452">
        <f>K1814/K$1843</f>
        <v>0.99297554507243957</v>
      </c>
    </row>
    <row r="1815" spans="1:15" x14ac:dyDescent="0.25">
      <c r="A1815" s="397"/>
      <c r="B1815" s="1382" t="s">
        <v>8565</v>
      </c>
      <c r="C1815" s="1382"/>
      <c r="D1815" s="1382"/>
      <c r="E1815" s="1382"/>
      <c r="F1815" s="1382"/>
      <c r="G1815" s="405"/>
      <c r="H1815" s="405"/>
      <c r="I1815" s="428"/>
      <c r="J1815" s="406">
        <f t="shared" si="231"/>
        <v>107333.12999999999</v>
      </c>
      <c r="K1815" s="406">
        <f t="shared" si="231"/>
        <v>141501.16</v>
      </c>
      <c r="L1815" s="453">
        <f>K1815/K$1843</f>
        <v>0.99297554507243957</v>
      </c>
    </row>
    <row r="1816" spans="1:15" x14ac:dyDescent="0.25">
      <c r="A1816" s="397"/>
      <c r="B1816" s="1383" t="s">
        <v>8667</v>
      </c>
      <c r="C1816" s="1383"/>
      <c r="D1816" s="1383"/>
      <c r="E1816" s="1383"/>
      <c r="F1816" s="1383"/>
      <c r="G1816" s="407"/>
      <c r="H1816" s="407"/>
      <c r="I1816" s="429"/>
      <c r="J1816" s="408">
        <f>SUM(J1817:J1828)</f>
        <v>107333.12999999999</v>
      </c>
      <c r="K1816" s="408">
        <f>SUM(K1817:K1828)</f>
        <v>141501.16</v>
      </c>
      <c r="L1816" s="454">
        <f>K1816/K$1843</f>
        <v>0.99297554507243957</v>
      </c>
    </row>
    <row r="1817" spans="1:15" s="115" customFormat="1" x14ac:dyDescent="0.25">
      <c r="A1817" s="396"/>
      <c r="B1817" s="1396">
        <v>470000</v>
      </c>
      <c r="C1817" s="1396"/>
      <c r="D1817" s="1396"/>
      <c r="E1817" s="854">
        <v>333901400000000</v>
      </c>
      <c r="F1817" s="855" t="s">
        <v>8690</v>
      </c>
      <c r="G1817" s="468">
        <v>1</v>
      </c>
      <c r="H1817" s="468">
        <v>0</v>
      </c>
      <c r="I1817" s="751"/>
      <c r="J1817" s="789">
        <f>('Parâmetros financeiros Despesa'!E1351)</f>
        <v>0</v>
      </c>
      <c r="K1817" s="789">
        <f>('Parâmetros financeiros Despesa'!F1351)</f>
        <v>2000</v>
      </c>
      <c r="L1817" s="799">
        <f>K1817/K$1843</f>
        <v>1.4034874980140652E-2</v>
      </c>
      <c r="M1817" s="894"/>
      <c r="N1817" s="796"/>
      <c r="O1817" s="733"/>
    </row>
    <row r="1818" spans="1:15" s="115" customFormat="1" x14ac:dyDescent="0.25">
      <c r="A1818" s="396"/>
      <c r="B1818" s="1396">
        <v>470100</v>
      </c>
      <c r="C1818" s="1396"/>
      <c r="D1818" s="1396"/>
      <c r="E1818" s="854">
        <v>333903000000000</v>
      </c>
      <c r="F1818" s="855" t="s">
        <v>8668</v>
      </c>
      <c r="G1818" s="468">
        <v>1</v>
      </c>
      <c r="H1818" s="468">
        <v>0</v>
      </c>
      <c r="I1818" s="751"/>
      <c r="J1818" s="789">
        <f>('Parâmetros financeiros Despesa'!E1352)</f>
        <v>11477.07</v>
      </c>
      <c r="K1818" s="789">
        <f>('Parâmetros financeiros Despesa'!F1352)</f>
        <v>15000</v>
      </c>
      <c r="L1818" s="799">
        <f t="shared" ref="L1818:L1828" si="232">K1818/K$1843</f>
        <v>0.10526156235105488</v>
      </c>
      <c r="M1818" s="894"/>
      <c r="N1818" s="796"/>
      <c r="O1818" s="733"/>
    </row>
    <row r="1819" spans="1:15" s="115" customFormat="1" x14ac:dyDescent="0.25">
      <c r="A1819" s="396"/>
      <c r="B1819" s="1396">
        <v>470180</v>
      </c>
      <c r="C1819" s="1396"/>
      <c r="D1819" s="1396"/>
      <c r="E1819" s="854">
        <v>333903100000000</v>
      </c>
      <c r="F1819" s="855" t="s">
        <v>11595</v>
      </c>
      <c r="G1819" s="468">
        <v>1</v>
      </c>
      <c r="H1819" s="468">
        <v>0</v>
      </c>
      <c r="I1819" s="751"/>
      <c r="J1819" s="789">
        <f>('Parâmetros financeiros Despesa'!E1353)</f>
        <v>5700</v>
      </c>
      <c r="K1819" s="789">
        <f>('Parâmetros financeiros Despesa'!F1353)</f>
        <v>6000</v>
      </c>
      <c r="L1819" s="799">
        <f t="shared" si="232"/>
        <v>4.2104624940421956E-2</v>
      </c>
      <c r="M1819" s="894"/>
      <c r="N1819" s="796"/>
      <c r="O1819" s="733"/>
    </row>
    <row r="1820" spans="1:15" s="115" customFormat="1" x14ac:dyDescent="0.25">
      <c r="A1820" s="396"/>
      <c r="B1820" s="1396">
        <v>470200</v>
      </c>
      <c r="C1820" s="1396"/>
      <c r="D1820" s="1396"/>
      <c r="E1820" s="854">
        <v>333903200000000</v>
      </c>
      <c r="F1820" s="855" t="s">
        <v>8669</v>
      </c>
      <c r="G1820" s="468">
        <v>1</v>
      </c>
      <c r="H1820" s="468">
        <v>0</v>
      </c>
      <c r="I1820" s="751"/>
      <c r="J1820" s="789">
        <f>('Parâmetros financeiros Despesa'!E1354)</f>
        <v>0</v>
      </c>
      <c r="K1820" s="789">
        <f>('Parâmetros financeiros Despesa'!F1354)</f>
        <v>2500</v>
      </c>
      <c r="L1820" s="799">
        <f t="shared" si="232"/>
        <v>1.7543593725175815E-2</v>
      </c>
      <c r="M1820" s="894"/>
      <c r="N1820" s="796"/>
      <c r="O1820" s="733"/>
    </row>
    <row r="1821" spans="1:15" s="115" customFormat="1" x14ac:dyDescent="0.25">
      <c r="A1821" s="396"/>
      <c r="B1821" s="1396">
        <v>470300</v>
      </c>
      <c r="C1821" s="1396"/>
      <c r="D1821" s="1396"/>
      <c r="E1821" s="854">
        <v>333903300000000</v>
      </c>
      <c r="F1821" s="855" t="s">
        <v>8691</v>
      </c>
      <c r="G1821" s="468">
        <v>1</v>
      </c>
      <c r="H1821" s="468">
        <v>0</v>
      </c>
      <c r="I1821" s="751"/>
      <c r="J1821" s="789">
        <f>('Parâmetros financeiros Despesa'!E1355)</f>
        <v>0</v>
      </c>
      <c r="K1821" s="789">
        <f>('Parâmetros financeiros Despesa'!F1355)</f>
        <v>500</v>
      </c>
      <c r="L1821" s="799">
        <f t="shared" si="232"/>
        <v>3.508718745035163E-3</v>
      </c>
      <c r="M1821" s="894"/>
      <c r="N1821" s="796"/>
      <c r="O1821" s="733"/>
    </row>
    <row r="1822" spans="1:15" s="115" customFormat="1" x14ac:dyDescent="0.25">
      <c r="A1822" s="396"/>
      <c r="B1822" s="1398" t="s">
        <v>8676</v>
      </c>
      <c r="C1822" s="1398"/>
      <c r="D1822" s="1398"/>
      <c r="E1822" s="854">
        <v>333903600000000</v>
      </c>
      <c r="F1822" s="855" t="s">
        <v>8670</v>
      </c>
      <c r="G1822" s="468">
        <v>1</v>
      </c>
      <c r="H1822" s="468">
        <v>0</v>
      </c>
      <c r="I1822" s="751"/>
      <c r="J1822" s="789">
        <f>('Parâmetros financeiros Despesa'!E1356)</f>
        <v>14681</v>
      </c>
      <c r="K1822" s="789">
        <f>('Parâmetros financeiros Despesa'!F1356)</f>
        <v>18000</v>
      </c>
      <c r="L1822" s="799">
        <f t="shared" si="232"/>
        <v>0.12631387482126585</v>
      </c>
      <c r="M1822" s="894"/>
      <c r="N1822" s="796"/>
      <c r="O1822" s="733"/>
    </row>
    <row r="1823" spans="1:15" s="115" customFormat="1" x14ac:dyDescent="0.25">
      <c r="A1823" s="396"/>
      <c r="B1823" s="1398" t="s">
        <v>8677</v>
      </c>
      <c r="C1823" s="1398"/>
      <c r="D1823" s="1398"/>
      <c r="E1823" s="854">
        <v>333903900000000</v>
      </c>
      <c r="F1823" s="855" t="s">
        <v>8671</v>
      </c>
      <c r="G1823" s="468">
        <v>1</v>
      </c>
      <c r="H1823" s="468">
        <v>0</v>
      </c>
      <c r="I1823" s="751"/>
      <c r="J1823" s="789">
        <f>('Parâmetros financeiros Despesa'!E1357)</f>
        <v>72602.8</v>
      </c>
      <c r="K1823" s="789">
        <f>('Parâmetros financeiros Despesa'!F1357)</f>
        <v>78401.16</v>
      </c>
      <c r="L1823" s="799">
        <f t="shared" si="232"/>
        <v>0.55017523944900204</v>
      </c>
      <c r="M1823" s="894"/>
      <c r="N1823" s="796"/>
      <c r="O1823" s="733"/>
    </row>
    <row r="1824" spans="1:15" s="115" customFormat="1" x14ac:dyDescent="0.25">
      <c r="A1824" s="396"/>
      <c r="B1824" s="1398" t="s">
        <v>11507</v>
      </c>
      <c r="C1824" s="1398"/>
      <c r="D1824" s="1398"/>
      <c r="E1824" s="854">
        <v>333904700000000</v>
      </c>
      <c r="F1824" s="855" t="s">
        <v>8672</v>
      </c>
      <c r="G1824" s="468">
        <v>1</v>
      </c>
      <c r="H1824" s="468">
        <v>0</v>
      </c>
      <c r="I1824" s="751"/>
      <c r="J1824" s="789">
        <f>('Parâmetros financeiros Despesa'!E1358)</f>
        <v>2872.26</v>
      </c>
      <c r="K1824" s="789">
        <f>('Parâmetros financeiros Despesa'!F1358)</f>
        <v>3600</v>
      </c>
      <c r="L1824" s="799">
        <f t="shared" si="232"/>
        <v>2.5262774964253172E-2</v>
      </c>
      <c r="M1824" s="894"/>
      <c r="N1824" s="796"/>
      <c r="O1824" s="733"/>
    </row>
    <row r="1825" spans="1:15" s="115" customFormat="1" x14ac:dyDescent="0.25">
      <c r="A1825" s="396"/>
      <c r="B1825" s="1398" t="s">
        <v>8678</v>
      </c>
      <c r="C1825" s="1398"/>
      <c r="D1825" s="1398"/>
      <c r="E1825" s="854">
        <v>333909300000000</v>
      </c>
      <c r="F1825" s="855" t="s">
        <v>8692</v>
      </c>
      <c r="G1825" s="468">
        <v>1</v>
      </c>
      <c r="H1825" s="468">
        <v>0</v>
      </c>
      <c r="I1825" s="751"/>
      <c r="J1825" s="789">
        <f>('Parâmetros financeiros Despesa'!E1359)</f>
        <v>0</v>
      </c>
      <c r="K1825" s="789">
        <f>('Parâmetros financeiros Despesa'!F1359)</f>
        <v>1500</v>
      </c>
      <c r="L1825" s="799">
        <f t="shared" si="232"/>
        <v>1.0526156235105489E-2</v>
      </c>
      <c r="M1825" s="894"/>
      <c r="N1825" s="796"/>
      <c r="O1825" s="733"/>
    </row>
    <row r="1826" spans="1:15" s="115" customFormat="1" ht="30" x14ac:dyDescent="0.25">
      <c r="A1826" s="396"/>
      <c r="B1826" s="1398" t="s">
        <v>8679</v>
      </c>
      <c r="C1826" s="1398"/>
      <c r="D1826" s="1398"/>
      <c r="E1826" s="854">
        <v>333933000000000</v>
      </c>
      <c r="F1826" s="855" t="s">
        <v>8673</v>
      </c>
      <c r="G1826" s="468">
        <v>1</v>
      </c>
      <c r="H1826" s="468">
        <v>0</v>
      </c>
      <c r="I1826" s="751"/>
      <c r="J1826" s="789">
        <f>('Parâmetros financeiros Despesa'!E1360)</f>
        <v>0</v>
      </c>
      <c r="K1826" s="789">
        <f>('Parâmetros financeiros Despesa'!F1360)</f>
        <v>1000</v>
      </c>
      <c r="L1826" s="799">
        <f t="shared" si="232"/>
        <v>7.017437490070326E-3</v>
      </c>
      <c r="M1826" s="894"/>
      <c r="N1826" s="796"/>
      <c r="O1826" s="733"/>
    </row>
    <row r="1827" spans="1:15" s="115" customFormat="1" x14ac:dyDescent="0.25">
      <c r="A1827" s="396"/>
      <c r="B1827" s="1398" t="s">
        <v>8693</v>
      </c>
      <c r="C1827" s="1398"/>
      <c r="D1827" s="1398"/>
      <c r="E1827" s="854">
        <v>344905100000000</v>
      </c>
      <c r="F1827" s="855" t="s">
        <v>8675</v>
      </c>
      <c r="G1827" s="468">
        <v>1</v>
      </c>
      <c r="H1827" s="468">
        <v>0</v>
      </c>
      <c r="I1827" s="751"/>
      <c r="J1827" s="789">
        <f>('Parâmetros financeiros Despesa'!E1361)</f>
        <v>0</v>
      </c>
      <c r="K1827" s="789">
        <f>('Parâmetros financeiros Despesa'!F1361)</f>
        <v>8000</v>
      </c>
      <c r="L1827" s="799">
        <f t="shared" si="232"/>
        <v>5.6139499920562608E-2</v>
      </c>
      <c r="M1827" s="894"/>
      <c r="N1827" s="796"/>
      <c r="O1827" s="733"/>
    </row>
    <row r="1828" spans="1:15" s="115" customFormat="1" x14ac:dyDescent="0.25">
      <c r="A1828" s="396"/>
      <c r="B1828" s="1398" t="s">
        <v>8694</v>
      </c>
      <c r="C1828" s="1398"/>
      <c r="D1828" s="1398"/>
      <c r="E1828" s="854">
        <v>344905200000000</v>
      </c>
      <c r="F1828" s="855" t="s">
        <v>8674</v>
      </c>
      <c r="G1828" s="468">
        <v>1</v>
      </c>
      <c r="H1828" s="468">
        <v>0</v>
      </c>
      <c r="I1828" s="751"/>
      <c r="J1828" s="789">
        <f>('Parâmetros financeiros Despesa'!E1362)</f>
        <v>0</v>
      </c>
      <c r="K1828" s="789">
        <f>('Parâmetros financeiros Despesa'!F1362)</f>
        <v>5000</v>
      </c>
      <c r="L1828" s="799">
        <f t="shared" si="232"/>
        <v>3.508718745035163E-2</v>
      </c>
      <c r="M1828" s="894"/>
      <c r="N1828" s="796"/>
      <c r="O1828" s="733"/>
    </row>
    <row r="1829" spans="1:15" x14ac:dyDescent="0.25">
      <c r="A1829" s="397"/>
      <c r="B1829" s="1385" t="s">
        <v>8666</v>
      </c>
      <c r="C1829" s="1385"/>
      <c r="D1829" s="1385"/>
      <c r="E1829" s="1385"/>
      <c r="F1829" s="1385"/>
      <c r="G1829" s="401"/>
      <c r="H1829" s="401"/>
      <c r="I1829" s="426"/>
      <c r="J1829" s="402">
        <f t="shared" ref="J1829:K1831" si="233">J1830</f>
        <v>0</v>
      </c>
      <c r="K1829" s="402">
        <f t="shared" si="233"/>
        <v>1001</v>
      </c>
      <c r="L1829" s="451">
        <f>K1829/K$1843</f>
        <v>7.024454927560396E-3</v>
      </c>
    </row>
    <row r="1830" spans="1:15" x14ac:dyDescent="0.25">
      <c r="A1830" s="397"/>
      <c r="B1830" s="1386" t="s">
        <v>8680</v>
      </c>
      <c r="C1830" s="1386"/>
      <c r="D1830" s="1386"/>
      <c r="E1830" s="1386"/>
      <c r="F1830" s="1386"/>
      <c r="G1830" s="403"/>
      <c r="H1830" s="403"/>
      <c r="I1830" s="427"/>
      <c r="J1830" s="404">
        <f t="shared" si="233"/>
        <v>0</v>
      </c>
      <c r="K1830" s="404">
        <f t="shared" si="233"/>
        <v>1001</v>
      </c>
      <c r="L1830" s="452">
        <f>K1830/K$1843</f>
        <v>7.024454927560396E-3</v>
      </c>
    </row>
    <row r="1831" spans="1:15" x14ac:dyDescent="0.25">
      <c r="A1831" s="397"/>
      <c r="B1831" s="1382" t="s">
        <v>8565</v>
      </c>
      <c r="C1831" s="1382"/>
      <c r="D1831" s="1382"/>
      <c r="E1831" s="1382"/>
      <c r="F1831" s="1382"/>
      <c r="G1831" s="405"/>
      <c r="H1831" s="405"/>
      <c r="I1831" s="428"/>
      <c r="J1831" s="406">
        <f t="shared" si="233"/>
        <v>0</v>
      </c>
      <c r="K1831" s="406">
        <f t="shared" si="233"/>
        <v>1001</v>
      </c>
      <c r="L1831" s="453">
        <f>K1831/K$1843</f>
        <v>7.024454927560396E-3</v>
      </c>
    </row>
    <row r="1832" spans="1:15" x14ac:dyDescent="0.25">
      <c r="A1832" s="397"/>
      <c r="B1832" s="1383" t="s">
        <v>8667</v>
      </c>
      <c r="C1832" s="1383"/>
      <c r="D1832" s="1383"/>
      <c r="E1832" s="1383"/>
      <c r="F1832" s="1383"/>
      <c r="G1832" s="407"/>
      <c r="H1832" s="407"/>
      <c r="I1832" s="429"/>
      <c r="J1832" s="408">
        <f>SUM(J1833:J1839)</f>
        <v>0</v>
      </c>
      <c r="K1832" s="408">
        <f>SUM(K1833:K1839)</f>
        <v>1001</v>
      </c>
      <c r="L1832" s="454">
        <f>K1832/K$1843</f>
        <v>7.024454927560396E-3</v>
      </c>
    </row>
    <row r="1833" spans="1:15" s="115" customFormat="1" x14ac:dyDescent="0.25">
      <c r="A1833" s="396"/>
      <c r="B1833" s="1398" t="s">
        <v>8695</v>
      </c>
      <c r="C1833" s="1398"/>
      <c r="D1833" s="1398"/>
      <c r="E1833" s="854">
        <v>333904700000000</v>
      </c>
      <c r="F1833" s="855" t="s">
        <v>8685</v>
      </c>
      <c r="G1833" s="468">
        <v>1091</v>
      </c>
      <c r="H1833" s="468">
        <v>0</v>
      </c>
      <c r="I1833" s="751"/>
      <c r="J1833" s="789">
        <f>'Parâmetros financeiros Despesa'!E1364</f>
        <v>0</v>
      </c>
      <c r="K1833" s="789">
        <f>'Parâmetros financeiros Despesa'!F1364</f>
        <v>1</v>
      </c>
      <c r="L1833" s="799">
        <f>K1833/K$1843</f>
        <v>7.0174374900703259E-6</v>
      </c>
      <c r="M1833" s="894"/>
      <c r="O1833" s="733"/>
    </row>
    <row r="1834" spans="1:15" s="115" customFormat="1" x14ac:dyDescent="0.25">
      <c r="A1834" s="396"/>
      <c r="B1834" s="1396">
        <v>471100</v>
      </c>
      <c r="C1834" s="1396"/>
      <c r="D1834" s="1396"/>
      <c r="E1834" s="854">
        <v>344209300000000</v>
      </c>
      <c r="F1834" s="855" t="s">
        <v>8681</v>
      </c>
      <c r="G1834" s="468">
        <v>1091</v>
      </c>
      <c r="H1834" s="468">
        <v>0</v>
      </c>
      <c r="I1834" s="751"/>
      <c r="J1834" s="789">
        <f>'Parâmetros financeiros Despesa'!E1365</f>
        <v>0</v>
      </c>
      <c r="K1834" s="789">
        <f>'Parâmetros financeiros Despesa'!F1365</f>
        <v>1</v>
      </c>
      <c r="L1834" s="799">
        <f t="shared" ref="L1834:L1839" si="234">K1834/K$1843</f>
        <v>7.0174374900703259E-6</v>
      </c>
      <c r="M1834" s="894"/>
      <c r="O1834" s="733"/>
    </row>
    <row r="1835" spans="1:15" s="115" customFormat="1" x14ac:dyDescent="0.25">
      <c r="A1835" s="396"/>
      <c r="B1835" s="1396">
        <v>471200</v>
      </c>
      <c r="C1835" s="1396"/>
      <c r="D1835" s="1396"/>
      <c r="E1835" s="854">
        <v>344903000000000</v>
      </c>
      <c r="F1835" s="855" t="s">
        <v>8682</v>
      </c>
      <c r="G1835" s="468">
        <v>1091</v>
      </c>
      <c r="H1835" s="468">
        <v>0</v>
      </c>
      <c r="I1835" s="751"/>
      <c r="J1835" s="789">
        <f>'Parâmetros financeiros Despesa'!E1366</f>
        <v>0</v>
      </c>
      <c r="K1835" s="789">
        <f>'Parâmetros financeiros Despesa'!F1366</f>
        <v>1</v>
      </c>
      <c r="L1835" s="799">
        <f t="shared" si="234"/>
        <v>7.0174374900703259E-6</v>
      </c>
      <c r="M1835" s="894"/>
      <c r="O1835" s="733"/>
    </row>
    <row r="1836" spans="1:15" s="115" customFormat="1" x14ac:dyDescent="0.25">
      <c r="A1836" s="396"/>
      <c r="B1836" s="1398" t="s">
        <v>8686</v>
      </c>
      <c r="C1836" s="1398"/>
      <c r="D1836" s="1398"/>
      <c r="E1836" s="854">
        <v>344903600000000</v>
      </c>
      <c r="F1836" s="855" t="s">
        <v>8683</v>
      </c>
      <c r="G1836" s="468">
        <v>1091</v>
      </c>
      <c r="H1836" s="468">
        <v>0</v>
      </c>
      <c r="I1836" s="751"/>
      <c r="J1836" s="789">
        <f>'Parâmetros financeiros Despesa'!E1367</f>
        <v>0</v>
      </c>
      <c r="K1836" s="789">
        <f>'Parâmetros financeiros Despesa'!F1367</f>
        <v>1</v>
      </c>
      <c r="L1836" s="799">
        <f t="shared" si="234"/>
        <v>7.0174374900703259E-6</v>
      </c>
      <c r="M1836" s="894"/>
      <c r="O1836" s="733"/>
    </row>
    <row r="1837" spans="1:15" s="115" customFormat="1" x14ac:dyDescent="0.25">
      <c r="A1837" s="396"/>
      <c r="B1837" s="1398" t="s">
        <v>8687</v>
      </c>
      <c r="C1837" s="1398"/>
      <c r="D1837" s="1398"/>
      <c r="E1837" s="854">
        <v>344903900000000</v>
      </c>
      <c r="F1837" s="855" t="s">
        <v>8684</v>
      </c>
      <c r="G1837" s="468">
        <v>1</v>
      </c>
      <c r="H1837" s="468">
        <v>0</v>
      </c>
      <c r="I1837" s="751"/>
      <c r="J1837" s="789">
        <f>'Parâmetros financeiros Despesa'!E1368</f>
        <v>0</v>
      </c>
      <c r="K1837" s="789">
        <f>'Parâmetros financeiros Despesa'!F1368</f>
        <v>1</v>
      </c>
      <c r="L1837" s="799">
        <f t="shared" si="234"/>
        <v>7.0174374900703259E-6</v>
      </c>
      <c r="M1837" s="894"/>
      <c r="O1837" s="733"/>
    </row>
    <row r="1838" spans="1:15" s="115" customFormat="1" x14ac:dyDescent="0.25">
      <c r="A1838" s="396"/>
      <c r="B1838" s="1398" t="s">
        <v>8688</v>
      </c>
      <c r="C1838" s="1398"/>
      <c r="D1838" s="1398"/>
      <c r="E1838" s="854">
        <v>344903900000000</v>
      </c>
      <c r="F1838" s="855" t="s">
        <v>8684</v>
      </c>
      <c r="G1838" s="468">
        <v>1091</v>
      </c>
      <c r="H1838" s="468">
        <v>0</v>
      </c>
      <c r="I1838" s="751"/>
      <c r="J1838" s="789">
        <f>'Parâmetros financeiros Despesa'!E1369</f>
        <v>0</v>
      </c>
      <c r="K1838" s="789">
        <f>'Parâmetros financeiros Despesa'!F1369</f>
        <v>1</v>
      </c>
      <c r="L1838" s="799">
        <f t="shared" si="234"/>
        <v>7.0174374900703259E-6</v>
      </c>
      <c r="M1838" s="894"/>
      <c r="O1838" s="733"/>
    </row>
    <row r="1839" spans="1:15" s="115" customFormat="1" x14ac:dyDescent="0.25">
      <c r="A1839" s="396"/>
      <c r="B1839" s="1398" t="s">
        <v>8689</v>
      </c>
      <c r="C1839" s="1398"/>
      <c r="D1839" s="1398"/>
      <c r="E1839" s="854">
        <v>344905100000000</v>
      </c>
      <c r="F1839" s="855" t="s">
        <v>8696</v>
      </c>
      <c r="G1839" s="468">
        <v>1091</v>
      </c>
      <c r="H1839" s="468">
        <v>0</v>
      </c>
      <c r="I1839" s="751"/>
      <c r="J1839" s="789">
        <f>'Parâmetros financeiros Despesa'!E1370</f>
        <v>0</v>
      </c>
      <c r="K1839" s="789">
        <f>'Parâmetros financeiros Despesa'!F1370</f>
        <v>995</v>
      </c>
      <c r="L1839" s="799">
        <f t="shared" si="234"/>
        <v>6.9823503026199742E-3</v>
      </c>
      <c r="M1839" s="894"/>
      <c r="O1839" s="733"/>
    </row>
    <row r="1840" spans="1:15" x14ac:dyDescent="0.25">
      <c r="B1840" s="864" t="s">
        <v>11469</v>
      </c>
      <c r="C1840" s="864"/>
      <c r="D1840" s="864"/>
      <c r="E1840" s="864"/>
      <c r="F1840" s="864"/>
      <c r="G1840" s="864"/>
      <c r="H1840" s="864"/>
      <c r="I1840" s="864"/>
      <c r="J1840" s="863">
        <f>J1830+J1814</f>
        <v>107333.12999999999</v>
      </c>
      <c r="K1840" s="863">
        <f>K1830+K1814</f>
        <v>142502.16</v>
      </c>
      <c r="L1840" s="452">
        <f>K1840/K$1843</f>
        <v>1</v>
      </c>
    </row>
    <row r="1841" spans="1:15" s="31" customFormat="1" x14ac:dyDescent="0.25">
      <c r="B1841" s="869" t="s">
        <v>745</v>
      </c>
      <c r="C1841" s="869"/>
      <c r="D1841" s="869"/>
      <c r="E1841" s="869"/>
      <c r="F1841" s="869"/>
      <c r="G1841" s="869"/>
      <c r="H1841" s="869"/>
      <c r="I1841" s="869"/>
      <c r="J1841" s="870">
        <f>J1840</f>
        <v>107333.12999999999</v>
      </c>
      <c r="K1841" s="870">
        <f>K1840-K1842</f>
        <v>141502.16</v>
      </c>
      <c r="L1841" s="871">
        <f>K1841/K$1843</f>
        <v>0.99298256250992967</v>
      </c>
      <c r="M1841" s="897"/>
      <c r="O1841" s="736"/>
    </row>
    <row r="1842" spans="1:15" s="31" customFormat="1" x14ac:dyDescent="0.25">
      <c r="B1842" s="869" t="s">
        <v>11508</v>
      </c>
      <c r="C1842" s="869"/>
      <c r="D1842" s="869"/>
      <c r="E1842" s="869"/>
      <c r="F1842" s="869"/>
      <c r="G1842" s="869"/>
      <c r="H1842" s="869"/>
      <c r="I1842" s="869"/>
      <c r="J1842" s="870">
        <v>0</v>
      </c>
      <c r="K1842" s="870">
        <v>1000</v>
      </c>
      <c r="L1842" s="871">
        <f>K1842/K$1843</f>
        <v>7.017437490070326E-3</v>
      </c>
      <c r="M1842" s="897"/>
      <c r="O1842" s="736"/>
    </row>
    <row r="1843" spans="1:15" s="115" customFormat="1" x14ac:dyDescent="0.25">
      <c r="B1843" s="864" t="s">
        <v>2172</v>
      </c>
      <c r="C1843" s="864"/>
      <c r="D1843" s="864"/>
      <c r="E1843" s="864"/>
      <c r="F1843" s="864"/>
      <c r="G1843" s="864"/>
      <c r="H1843" s="864"/>
      <c r="I1843" s="864"/>
      <c r="J1843" s="863">
        <f>J1842+J1841</f>
        <v>107333.12999999999</v>
      </c>
      <c r="K1843" s="863">
        <f>K1842+K1841</f>
        <v>142502.16</v>
      </c>
      <c r="L1843" s="452">
        <f>K1843/K$1843</f>
        <v>1</v>
      </c>
      <c r="N1843" s="796"/>
      <c r="O1843" s="733"/>
    </row>
    <row r="1845" spans="1:15" s="435" customFormat="1" ht="15.75" x14ac:dyDescent="0.25">
      <c r="B1845" s="999" t="s">
        <v>989</v>
      </c>
      <c r="C1845" s="999"/>
      <c r="D1845" s="481"/>
      <c r="E1845" s="1371" t="s">
        <v>9485</v>
      </c>
      <c r="F1845" s="1371"/>
      <c r="G1845" s="1371"/>
      <c r="H1845" s="1371"/>
      <c r="I1845" s="1371"/>
      <c r="J1845" s="940"/>
      <c r="K1845" s="438"/>
      <c r="L1845" s="449"/>
      <c r="M1845" s="892"/>
      <c r="O1845" s="732"/>
    </row>
    <row r="1846" spans="1:15" s="435" customFormat="1" ht="23.25" customHeight="1" x14ac:dyDescent="0.25">
      <c r="B1846" s="999" t="s">
        <v>458</v>
      </c>
      <c r="C1846" s="999"/>
      <c r="D1846" s="481"/>
      <c r="E1846" s="1371" t="s">
        <v>8697</v>
      </c>
      <c r="F1846" s="1371"/>
      <c r="G1846" s="1371"/>
      <c r="H1846" s="1371"/>
      <c r="I1846" s="1371"/>
      <c r="J1846" s="940"/>
      <c r="K1846" s="438"/>
      <c r="L1846" s="449"/>
      <c r="M1846" s="892"/>
      <c r="O1846" s="732"/>
    </row>
    <row r="1847" spans="1:15" s="435" customFormat="1" ht="15.75" x14ac:dyDescent="0.25">
      <c r="B1847" s="1005" t="s">
        <v>5764</v>
      </c>
      <c r="C1847" s="1005"/>
      <c r="D1847" s="1005"/>
      <c r="E1847" s="1371" t="s">
        <v>749</v>
      </c>
      <c r="F1847" s="1371"/>
      <c r="G1847" s="1371"/>
      <c r="H1847" s="1371"/>
      <c r="I1847" s="1371"/>
      <c r="J1847" s="941"/>
      <c r="K1847" s="438"/>
      <c r="L1847" s="449"/>
      <c r="M1847" s="892"/>
      <c r="O1847" s="732"/>
    </row>
    <row r="1848" spans="1:15" ht="88.5" x14ac:dyDescent="0.25">
      <c r="A1848" s="396"/>
      <c r="B1848" s="1400" t="s">
        <v>2296</v>
      </c>
      <c r="C1848" s="1400"/>
      <c r="D1848" s="1400"/>
      <c r="E1848" s="1384" t="s">
        <v>2297</v>
      </c>
      <c r="F1848" s="1384"/>
      <c r="G1848" s="443" t="s">
        <v>444</v>
      </c>
      <c r="H1848" s="443" t="s">
        <v>2245</v>
      </c>
      <c r="I1848" s="444" t="s">
        <v>5725</v>
      </c>
      <c r="J1848" s="893" t="s">
        <v>11644</v>
      </c>
      <c r="K1848" s="1000" t="s">
        <v>11522</v>
      </c>
      <c r="L1848" s="450" t="s">
        <v>235</v>
      </c>
    </row>
    <row r="1849" spans="1:15" x14ac:dyDescent="0.25">
      <c r="A1849" s="397"/>
      <c r="B1849" s="1382" t="s">
        <v>8699</v>
      </c>
      <c r="C1849" s="1382"/>
      <c r="D1849" s="1382"/>
      <c r="E1849" s="1382"/>
      <c r="F1849" s="1382"/>
      <c r="G1849" s="405"/>
      <c r="H1849" s="405"/>
      <c r="I1849" s="428"/>
      <c r="J1849" s="406">
        <f t="shared" ref="J1849:K1851" si="235">J1850</f>
        <v>6399.9600000000009</v>
      </c>
      <c r="K1849" s="406">
        <f t="shared" si="235"/>
        <v>8068.4094867400017</v>
      </c>
      <c r="L1849" s="453">
        <f>K1849/K$1923</f>
        <v>1.4833830766121362E-2</v>
      </c>
    </row>
    <row r="1850" spans="1:15" x14ac:dyDescent="0.25">
      <c r="A1850" s="397"/>
      <c r="B1850" s="1383" t="s">
        <v>2290</v>
      </c>
      <c r="C1850" s="1383"/>
      <c r="D1850" s="1383"/>
      <c r="E1850" s="1383"/>
      <c r="F1850" s="1383"/>
      <c r="G1850" s="407"/>
      <c r="H1850" s="407"/>
      <c r="I1850" s="429"/>
      <c r="J1850" s="408">
        <f t="shared" si="235"/>
        <v>6399.9600000000009</v>
      </c>
      <c r="K1850" s="408">
        <f t="shared" si="235"/>
        <v>8068.4094867400017</v>
      </c>
      <c r="L1850" s="454">
        <f>K1850/K$1923</f>
        <v>1.4833830766121362E-2</v>
      </c>
    </row>
    <row r="1851" spans="1:15" x14ac:dyDescent="0.25">
      <c r="A1851" s="397"/>
      <c r="B1851" s="1386" t="s">
        <v>8700</v>
      </c>
      <c r="C1851" s="1386"/>
      <c r="D1851" s="1386"/>
      <c r="E1851" s="1386"/>
      <c r="F1851" s="1386"/>
      <c r="G1851" s="403"/>
      <c r="H1851" s="403"/>
      <c r="I1851" s="427"/>
      <c r="J1851" s="404">
        <f t="shared" si="235"/>
        <v>6399.9600000000009</v>
      </c>
      <c r="K1851" s="404">
        <f t="shared" si="235"/>
        <v>8068.4094867400017</v>
      </c>
      <c r="L1851" s="452">
        <f>K1851/K$1923</f>
        <v>1.4833830766121362E-2</v>
      </c>
    </row>
    <row r="1852" spans="1:15" x14ac:dyDescent="0.25">
      <c r="A1852" s="397"/>
      <c r="B1852" s="1385" t="s">
        <v>8698</v>
      </c>
      <c r="C1852" s="1385"/>
      <c r="D1852" s="1385"/>
      <c r="E1852" s="1385"/>
      <c r="F1852" s="1385"/>
      <c r="G1852" s="401"/>
      <c r="H1852" s="401"/>
      <c r="I1852" s="426"/>
      <c r="J1852" s="402">
        <f>SUM(J1853:J1857)</f>
        <v>6399.9600000000009</v>
      </c>
      <c r="K1852" s="402">
        <f>SUM(K1853:K1857)</f>
        <v>8068.4094867400017</v>
      </c>
      <c r="L1852" s="451">
        <f>K1852/K$1923</f>
        <v>1.4833830766121362E-2</v>
      </c>
    </row>
    <row r="1853" spans="1:15" x14ac:dyDescent="0.25">
      <c r="A1853" s="396"/>
      <c r="B1853" s="1396">
        <v>500000</v>
      </c>
      <c r="C1853" s="1396"/>
      <c r="D1853" s="1396"/>
      <c r="E1853" s="854">
        <v>333904700000000</v>
      </c>
      <c r="F1853" s="1017" t="s">
        <v>8726</v>
      </c>
      <c r="G1853" s="468">
        <v>40</v>
      </c>
      <c r="H1853" s="468">
        <v>0</v>
      </c>
      <c r="I1853" s="751"/>
      <c r="J1853" s="789">
        <f>('Parâmetros financeiros Despesa'!E1376)</f>
        <v>120</v>
      </c>
      <c r="K1853" s="789">
        <f>('Parâmetros financeiros Despesa'!F1376)*(1+'Parâmetros financeiros Despesa'!F$4)*(1+'Parâmetros financeiros Despesa'!F$7)</f>
        <v>130.83977999999999</v>
      </c>
      <c r="L1853" s="799">
        <f t="shared" ref="L1853:L1857" si="236">K1853/K$1923</f>
        <v>2.4054990728795329E-4</v>
      </c>
    </row>
    <row r="1854" spans="1:15" s="115" customFormat="1" x14ac:dyDescent="0.25">
      <c r="A1854" s="396"/>
      <c r="B1854" s="1396">
        <v>500100</v>
      </c>
      <c r="C1854" s="1396"/>
      <c r="D1854" s="1396"/>
      <c r="E1854" s="854">
        <v>344903000000000</v>
      </c>
      <c r="F1854" s="855" t="s">
        <v>8727</v>
      </c>
      <c r="G1854" s="468">
        <v>40</v>
      </c>
      <c r="H1854" s="468">
        <v>0</v>
      </c>
      <c r="I1854" s="751"/>
      <c r="J1854" s="789">
        <f>('Parâmetros financeiros Despesa'!E1377)</f>
        <v>1429.26</v>
      </c>
      <c r="K1854" s="789">
        <f>('Parâmetros financeiros Despesa'!F1377)*(1+'Parâmetros financeiros Despesa'!F$4)*(1+'Parâmetros financeiros Despesa'!F$7)</f>
        <v>1558.3671996900002</v>
      </c>
      <c r="L1854" s="799">
        <f t="shared" si="236"/>
        <v>2.8650696707531683E-3</v>
      </c>
      <c r="M1854" s="894"/>
      <c r="O1854" s="733"/>
    </row>
    <row r="1855" spans="1:15" s="457" customFormat="1" x14ac:dyDescent="0.25">
      <c r="A1855" s="396"/>
      <c r="B1855" s="1398" t="s">
        <v>8707</v>
      </c>
      <c r="C1855" s="1398"/>
      <c r="D1855" s="1398"/>
      <c r="E1855" s="854">
        <v>344903600000000</v>
      </c>
      <c r="F1855" s="855" t="s">
        <v>8728</v>
      </c>
      <c r="G1855" s="468">
        <v>40</v>
      </c>
      <c r="H1855" s="468">
        <v>0</v>
      </c>
      <c r="I1855" s="751"/>
      <c r="J1855" s="789">
        <f>('Parâmetros financeiros Despesa'!E1378)</f>
        <v>600</v>
      </c>
      <c r="K1855" s="789">
        <f>('Parâmetros financeiros Despesa'!F1378)*(1+'Parâmetros financeiros Despesa'!F$4)*(1+'Parâmetros financeiros Despesa'!F$7)</f>
        <v>654.19889999999998</v>
      </c>
      <c r="L1855" s="799">
        <f t="shared" si="236"/>
        <v>1.2027495364397664E-3</v>
      </c>
      <c r="M1855" s="895"/>
      <c r="O1855" s="734"/>
    </row>
    <row r="1856" spans="1:15" s="457" customFormat="1" x14ac:dyDescent="0.25">
      <c r="A1856" s="396"/>
      <c r="B1856" s="1398" t="s">
        <v>8708</v>
      </c>
      <c r="C1856" s="1398"/>
      <c r="D1856" s="1398"/>
      <c r="E1856" s="854">
        <v>344903900000000</v>
      </c>
      <c r="F1856" s="855" t="s">
        <v>8729</v>
      </c>
      <c r="G1856" s="468">
        <v>40</v>
      </c>
      <c r="H1856" s="468">
        <v>0</v>
      </c>
      <c r="I1856" s="751"/>
      <c r="J1856" s="789">
        <f>('Parâmetros financeiros Despesa'!E1379)</f>
        <v>0</v>
      </c>
      <c r="K1856" s="789">
        <f>('Parâmetros financeiros Despesa'!F1379)*(1+'Parâmetros financeiros Despesa'!F$4)*(1+'Parâmetros financeiros Despesa'!F$7)</f>
        <v>1090.3315</v>
      </c>
      <c r="L1856" s="799">
        <f t="shared" si="236"/>
        <v>2.0045825607329444E-3</v>
      </c>
      <c r="M1856" s="895"/>
      <c r="O1856" s="734"/>
    </row>
    <row r="1857" spans="1:15" s="457" customFormat="1" x14ac:dyDescent="0.25">
      <c r="A1857" s="396"/>
      <c r="B1857" s="1398" t="s">
        <v>8709</v>
      </c>
      <c r="C1857" s="1398"/>
      <c r="D1857" s="1398"/>
      <c r="E1857" s="854">
        <v>344905200000000</v>
      </c>
      <c r="F1857" s="855" t="s">
        <v>8730</v>
      </c>
      <c r="G1857" s="468">
        <v>40</v>
      </c>
      <c r="H1857" s="468">
        <v>0</v>
      </c>
      <c r="I1857" s="751"/>
      <c r="J1857" s="789">
        <f>('Parâmetros financeiros Despesa'!E1380)</f>
        <v>4250.7000000000007</v>
      </c>
      <c r="K1857" s="789">
        <f>('Parâmetros financeiros Despesa'!F1380)*(1+'Parâmetros financeiros Despesa'!F$4)*(1+'Parâmetros financeiros Despesa'!F$7)</f>
        <v>4634.6721070500016</v>
      </c>
      <c r="L1857" s="799">
        <f t="shared" si="236"/>
        <v>8.5208790909075283E-3</v>
      </c>
      <c r="M1857" s="895"/>
      <c r="O1857" s="734"/>
    </row>
    <row r="1858" spans="1:15" x14ac:dyDescent="0.25">
      <c r="A1858" s="397"/>
      <c r="B1858" s="1382" t="s">
        <v>8699</v>
      </c>
      <c r="C1858" s="1382"/>
      <c r="D1858" s="1382"/>
      <c r="E1858" s="1382"/>
      <c r="F1858" s="1382"/>
      <c r="G1858" s="405"/>
      <c r="H1858" s="405"/>
      <c r="I1858" s="428"/>
      <c r="J1858" s="406">
        <f t="shared" ref="J1858:K1860" si="237">J1859</f>
        <v>0</v>
      </c>
      <c r="K1858" s="406">
        <f t="shared" si="237"/>
        <v>8940.7183000000005</v>
      </c>
      <c r="L1858" s="453">
        <f>K1858/K$1923</f>
        <v>1.6437576998010142E-2</v>
      </c>
    </row>
    <row r="1859" spans="1:15" x14ac:dyDescent="0.25">
      <c r="A1859" s="397"/>
      <c r="B1859" s="1383" t="s">
        <v>2290</v>
      </c>
      <c r="C1859" s="1383"/>
      <c r="D1859" s="1383"/>
      <c r="E1859" s="1383"/>
      <c r="F1859" s="1383"/>
      <c r="G1859" s="407"/>
      <c r="H1859" s="407"/>
      <c r="I1859" s="429"/>
      <c r="J1859" s="408">
        <f t="shared" si="237"/>
        <v>0</v>
      </c>
      <c r="K1859" s="408">
        <f t="shared" si="237"/>
        <v>8940.7183000000005</v>
      </c>
      <c r="L1859" s="454">
        <f>K1859/K$1923</f>
        <v>1.6437576998010142E-2</v>
      </c>
    </row>
    <row r="1860" spans="1:15" x14ac:dyDescent="0.25">
      <c r="A1860" s="397"/>
      <c r="B1860" s="1386" t="s">
        <v>8701</v>
      </c>
      <c r="C1860" s="1386"/>
      <c r="D1860" s="1386"/>
      <c r="E1860" s="1386"/>
      <c r="F1860" s="1386"/>
      <c r="G1860" s="403"/>
      <c r="H1860" s="403"/>
      <c r="I1860" s="427"/>
      <c r="J1860" s="404">
        <f t="shared" si="237"/>
        <v>0</v>
      </c>
      <c r="K1860" s="404">
        <f t="shared" si="237"/>
        <v>8940.7183000000005</v>
      </c>
      <c r="L1860" s="452">
        <f>K1860/K$1923</f>
        <v>1.6437576998010142E-2</v>
      </c>
    </row>
    <row r="1861" spans="1:15" x14ac:dyDescent="0.25">
      <c r="A1861" s="397"/>
      <c r="B1861" s="1385" t="s">
        <v>8698</v>
      </c>
      <c r="C1861" s="1385"/>
      <c r="D1861" s="1385"/>
      <c r="E1861" s="1385"/>
      <c r="F1861" s="1385"/>
      <c r="G1861" s="401"/>
      <c r="H1861" s="401"/>
      <c r="I1861" s="426"/>
      <c r="J1861" s="402">
        <f>SUM(J1862:J1866)</f>
        <v>0</v>
      </c>
      <c r="K1861" s="402">
        <f>SUM(K1862:K1866)</f>
        <v>8940.7183000000005</v>
      </c>
      <c r="L1861" s="451">
        <f>K1861/K$1923</f>
        <v>1.6437576998010142E-2</v>
      </c>
    </row>
    <row r="1862" spans="1:15" x14ac:dyDescent="0.25">
      <c r="A1862" s="396"/>
      <c r="B1862" s="1396">
        <v>501000</v>
      </c>
      <c r="C1862" s="1396"/>
      <c r="D1862" s="1396"/>
      <c r="E1862" s="854">
        <v>333904700000000</v>
      </c>
      <c r="F1862" s="1017" t="s">
        <v>8713</v>
      </c>
      <c r="G1862" s="468">
        <v>40</v>
      </c>
      <c r="H1862" s="468">
        <v>0</v>
      </c>
      <c r="I1862" s="751"/>
      <c r="J1862" s="789">
        <f>('Parâmetros financeiros Despesa'!E1382)</f>
        <v>0</v>
      </c>
      <c r="K1862" s="789">
        <f>('Parâmetros financeiros Despesa'!F1382)*(1+'Parâmetros financeiros Despesa'!F$4)*(1+'Parâmetros financeiros Despesa'!F$7)</f>
        <v>218.06630000000001</v>
      </c>
      <c r="L1862" s="799">
        <f t="shared" ref="L1862:L1866" si="238">K1862/K$1923</f>
        <v>4.0091651214658889E-4</v>
      </c>
    </row>
    <row r="1863" spans="1:15" s="115" customFormat="1" x14ac:dyDescent="0.25">
      <c r="A1863" s="396"/>
      <c r="B1863" s="1396">
        <v>501100</v>
      </c>
      <c r="C1863" s="1396"/>
      <c r="D1863" s="1396"/>
      <c r="E1863" s="854">
        <v>344903000000000</v>
      </c>
      <c r="F1863" s="855" t="s">
        <v>8714</v>
      </c>
      <c r="G1863" s="468">
        <v>40</v>
      </c>
      <c r="H1863" s="468">
        <v>0</v>
      </c>
      <c r="I1863" s="751"/>
      <c r="J1863" s="789">
        <f>('Parâmetros financeiros Despesa'!E1383)</f>
        <v>0</v>
      </c>
      <c r="K1863" s="789">
        <f>('Parâmetros financeiros Despesa'!F1383)*(1+'Parâmetros financeiros Despesa'!F$4)*(1+'Parâmetros financeiros Despesa'!F$7)</f>
        <v>1090.3315</v>
      </c>
      <c r="L1863" s="799">
        <f t="shared" si="238"/>
        <v>2.0045825607329444E-3</v>
      </c>
      <c r="M1863" s="894"/>
      <c r="O1863" s="733"/>
    </row>
    <row r="1864" spans="1:15" s="457" customFormat="1" x14ac:dyDescent="0.25">
      <c r="A1864" s="396"/>
      <c r="B1864" s="1398" t="s">
        <v>8710</v>
      </c>
      <c r="C1864" s="1398"/>
      <c r="D1864" s="1398"/>
      <c r="E1864" s="854">
        <v>344903600000000</v>
      </c>
      <c r="F1864" s="855" t="s">
        <v>8715</v>
      </c>
      <c r="G1864" s="468">
        <v>40</v>
      </c>
      <c r="H1864" s="468">
        <v>0</v>
      </c>
      <c r="I1864" s="751"/>
      <c r="J1864" s="789">
        <f>('Parâmetros financeiros Despesa'!E1384)</f>
        <v>0</v>
      </c>
      <c r="K1864" s="789">
        <f>('Parâmetros financeiros Despesa'!F1384)*(1+'Parâmetros financeiros Despesa'!F$4)*(1+'Parâmetros financeiros Despesa'!F$7)</f>
        <v>1090.3315</v>
      </c>
      <c r="L1864" s="799">
        <f t="shared" si="238"/>
        <v>2.0045825607329444E-3</v>
      </c>
      <c r="M1864" s="895"/>
      <c r="O1864" s="734"/>
    </row>
    <row r="1865" spans="1:15" s="457" customFormat="1" ht="30" x14ac:dyDescent="0.25">
      <c r="A1865" s="396"/>
      <c r="B1865" s="1398" t="s">
        <v>8711</v>
      </c>
      <c r="C1865" s="1398"/>
      <c r="D1865" s="1398"/>
      <c r="E1865" s="854">
        <v>344903900000000</v>
      </c>
      <c r="F1865" s="855" t="s">
        <v>8717</v>
      </c>
      <c r="G1865" s="468">
        <v>40</v>
      </c>
      <c r="H1865" s="468">
        <v>0</v>
      </c>
      <c r="I1865" s="751"/>
      <c r="J1865" s="789">
        <f>('Parâmetros financeiros Despesa'!E1385)</f>
        <v>0</v>
      </c>
      <c r="K1865" s="789">
        <f>('Parâmetros financeiros Despesa'!F1385)*(1+'Parâmetros financeiros Despesa'!F$4)*(1+'Parâmetros financeiros Despesa'!F$7)</f>
        <v>1090.3315</v>
      </c>
      <c r="L1865" s="799">
        <f t="shared" si="238"/>
        <v>2.0045825607329444E-3</v>
      </c>
      <c r="M1865" s="895"/>
      <c r="O1865" s="734"/>
    </row>
    <row r="1866" spans="1:15" s="457" customFormat="1" x14ac:dyDescent="0.25">
      <c r="A1866" s="396"/>
      <c r="B1866" s="1398" t="s">
        <v>8712</v>
      </c>
      <c r="C1866" s="1398"/>
      <c r="D1866" s="1398"/>
      <c r="E1866" s="854">
        <v>344905100000000</v>
      </c>
      <c r="F1866" s="855" t="s">
        <v>8716</v>
      </c>
      <c r="G1866" s="468">
        <v>40</v>
      </c>
      <c r="H1866" s="468">
        <v>0</v>
      </c>
      <c r="I1866" s="751"/>
      <c r="J1866" s="789">
        <f>('Parâmetros financeiros Despesa'!E1386)</f>
        <v>0</v>
      </c>
      <c r="K1866" s="789">
        <f>('Parâmetros financeiros Despesa'!F1386)*(1+'Parâmetros financeiros Despesa'!F$4)*(1+'Parâmetros financeiros Despesa'!F$7)</f>
        <v>5451.6575000000003</v>
      </c>
      <c r="L1866" s="799">
        <f t="shared" si="238"/>
        <v>1.0022912803664722E-2</v>
      </c>
      <c r="M1866" s="895"/>
      <c r="O1866" s="734"/>
    </row>
    <row r="1867" spans="1:15" x14ac:dyDescent="0.25">
      <c r="A1867" s="397"/>
      <c r="B1867" s="1382" t="s">
        <v>8699</v>
      </c>
      <c r="C1867" s="1382"/>
      <c r="D1867" s="1382"/>
      <c r="E1867" s="1382"/>
      <c r="F1867" s="1382"/>
      <c r="G1867" s="405"/>
      <c r="H1867" s="405"/>
      <c r="I1867" s="428"/>
      <c r="J1867" s="406">
        <f t="shared" ref="J1867:K1869" si="239">J1868</f>
        <v>36331.51</v>
      </c>
      <c r="K1867" s="406">
        <f t="shared" si="239"/>
        <v>10685.2587</v>
      </c>
      <c r="L1867" s="453">
        <f>K1867/K$1923</f>
        <v>1.9644927480257125E-2</v>
      </c>
    </row>
    <row r="1868" spans="1:15" x14ac:dyDescent="0.25">
      <c r="A1868" s="397"/>
      <c r="B1868" s="1383" t="s">
        <v>2290</v>
      </c>
      <c r="C1868" s="1383"/>
      <c r="D1868" s="1383"/>
      <c r="E1868" s="1383"/>
      <c r="F1868" s="1383"/>
      <c r="G1868" s="407"/>
      <c r="H1868" s="407"/>
      <c r="I1868" s="429"/>
      <c r="J1868" s="408">
        <f t="shared" si="239"/>
        <v>36331.51</v>
      </c>
      <c r="K1868" s="408">
        <f t="shared" si="239"/>
        <v>10685.2587</v>
      </c>
      <c r="L1868" s="454">
        <f>K1868/K$1923</f>
        <v>1.9644927480257125E-2</v>
      </c>
    </row>
    <row r="1869" spans="1:15" x14ac:dyDescent="0.25">
      <c r="A1869" s="397"/>
      <c r="B1869" s="1386" t="s">
        <v>8702</v>
      </c>
      <c r="C1869" s="1386"/>
      <c r="D1869" s="1386"/>
      <c r="E1869" s="1386"/>
      <c r="F1869" s="1386"/>
      <c r="G1869" s="403"/>
      <c r="H1869" s="403"/>
      <c r="I1869" s="427"/>
      <c r="J1869" s="404">
        <f t="shared" si="239"/>
        <v>36331.51</v>
      </c>
      <c r="K1869" s="404">
        <f t="shared" si="239"/>
        <v>10685.2587</v>
      </c>
      <c r="L1869" s="452">
        <f>K1869/K$1923</f>
        <v>1.9644927480257125E-2</v>
      </c>
    </row>
    <row r="1870" spans="1:15" x14ac:dyDescent="0.25">
      <c r="A1870" s="397"/>
      <c r="B1870" s="1385" t="s">
        <v>8698</v>
      </c>
      <c r="C1870" s="1385"/>
      <c r="D1870" s="1385"/>
      <c r="E1870" s="1385"/>
      <c r="F1870" s="1385"/>
      <c r="G1870" s="401"/>
      <c r="H1870" s="401"/>
      <c r="I1870" s="426"/>
      <c r="J1870" s="402">
        <f>SUM(J1871:J1875)+0.01</f>
        <v>36331.51</v>
      </c>
      <c r="K1870" s="402">
        <f>SUM(K1871:K1875)+0.01</f>
        <v>10685.2587</v>
      </c>
      <c r="L1870" s="451">
        <f>K1870/K$1923</f>
        <v>1.9644927480257125E-2</v>
      </c>
    </row>
    <row r="1871" spans="1:15" x14ac:dyDescent="0.25">
      <c r="A1871" s="396"/>
      <c r="B1871" s="1396">
        <v>502000</v>
      </c>
      <c r="C1871" s="1396"/>
      <c r="D1871" s="1396"/>
      <c r="E1871" s="854">
        <v>333904700000000</v>
      </c>
      <c r="F1871" s="1017" t="s">
        <v>8721</v>
      </c>
      <c r="G1871" s="468">
        <v>40</v>
      </c>
      <c r="H1871" s="468">
        <v>0</v>
      </c>
      <c r="I1871" s="751"/>
      <c r="J1871" s="789">
        <f>('Parâmetros financeiros Despesa'!E1388)</f>
        <v>0</v>
      </c>
      <c r="K1871" s="789">
        <f>('Parâmetros financeiros Despesa'!F1388)*(1+'Parâmetros financeiros Despesa'!F$4)*(1+'Parâmetros financeiros Despesa'!F$7)</f>
        <v>327.09944999999999</v>
      </c>
      <c r="L1871" s="799">
        <f t="shared" ref="L1871:L1875" si="240">K1871/K$1923</f>
        <v>6.0137476821988322E-4</v>
      </c>
    </row>
    <row r="1872" spans="1:15" s="115" customFormat="1" x14ac:dyDescent="0.25">
      <c r="A1872" s="396"/>
      <c r="B1872" s="1396">
        <v>502100</v>
      </c>
      <c r="C1872" s="1396"/>
      <c r="D1872" s="1396"/>
      <c r="E1872" s="854">
        <v>344903000000000</v>
      </c>
      <c r="F1872" s="855" t="s">
        <v>8722</v>
      </c>
      <c r="G1872" s="468">
        <v>40</v>
      </c>
      <c r="H1872" s="468">
        <v>0</v>
      </c>
      <c r="I1872" s="751"/>
      <c r="J1872" s="789">
        <f>('Parâmetros financeiros Despesa'!E1389)</f>
        <v>0</v>
      </c>
      <c r="K1872" s="789">
        <f>('Parâmetros financeiros Despesa'!F1389)*(1+'Parâmetros financeiros Despesa'!F$4)*(1+'Parâmetros financeiros Despesa'!F$7)</f>
        <v>1635.4972500000001</v>
      </c>
      <c r="L1872" s="799">
        <f t="shared" si="240"/>
        <v>3.0068738410994164E-3</v>
      </c>
      <c r="M1872" s="894"/>
      <c r="O1872" s="733"/>
    </row>
    <row r="1873" spans="1:15" s="457" customFormat="1" x14ac:dyDescent="0.25">
      <c r="A1873" s="396"/>
      <c r="B1873" s="1398" t="s">
        <v>8718</v>
      </c>
      <c r="C1873" s="1398"/>
      <c r="D1873" s="1398"/>
      <c r="E1873" s="854">
        <v>344903600000000</v>
      </c>
      <c r="F1873" s="855" t="s">
        <v>8723</v>
      </c>
      <c r="G1873" s="468">
        <v>40</v>
      </c>
      <c r="H1873" s="468">
        <v>0</v>
      </c>
      <c r="I1873" s="751"/>
      <c r="J1873" s="789">
        <f>('Parâmetros financeiros Despesa'!E1390)</f>
        <v>0</v>
      </c>
      <c r="K1873" s="789">
        <f>('Parâmetros financeiros Despesa'!F1390)*(1+'Parâmetros financeiros Despesa'!F$4)*(1+'Parâmetros financeiros Despesa'!F$7)</f>
        <v>1635.4972500000001</v>
      </c>
      <c r="L1873" s="799">
        <f t="shared" si="240"/>
        <v>3.0068738410994164E-3</v>
      </c>
      <c r="M1873" s="895"/>
      <c r="O1873" s="734"/>
    </row>
    <row r="1874" spans="1:15" s="457" customFormat="1" x14ac:dyDescent="0.25">
      <c r="A1874" s="396"/>
      <c r="B1874" s="1398" t="s">
        <v>8719</v>
      </c>
      <c r="C1874" s="1398"/>
      <c r="D1874" s="1398"/>
      <c r="E1874" s="854">
        <v>344903900000000</v>
      </c>
      <c r="F1874" s="855" t="s">
        <v>8724</v>
      </c>
      <c r="G1874" s="468">
        <v>40</v>
      </c>
      <c r="H1874" s="468">
        <v>0</v>
      </c>
      <c r="I1874" s="751"/>
      <c r="J1874" s="789">
        <f>('Parâmetros financeiros Despesa'!E1391)</f>
        <v>0</v>
      </c>
      <c r="K1874" s="789">
        <f>('Parâmetros financeiros Despesa'!F1391)*(1+'Parâmetros financeiros Despesa'!F$4)*(1+'Parâmetros financeiros Despesa'!F$7)</f>
        <v>1635.4972500000001</v>
      </c>
      <c r="L1874" s="799">
        <f t="shared" si="240"/>
        <v>3.0068738410994164E-3</v>
      </c>
      <c r="M1874" s="895"/>
      <c r="O1874" s="734"/>
    </row>
    <row r="1875" spans="1:15" s="457" customFormat="1" x14ac:dyDescent="0.25">
      <c r="A1875" s="396"/>
      <c r="B1875" s="1398" t="s">
        <v>8720</v>
      </c>
      <c r="C1875" s="1398"/>
      <c r="D1875" s="1398"/>
      <c r="E1875" s="854">
        <v>344905200000000</v>
      </c>
      <c r="F1875" s="855" t="s">
        <v>8725</v>
      </c>
      <c r="G1875" s="468">
        <v>40</v>
      </c>
      <c r="H1875" s="468">
        <v>0</v>
      </c>
      <c r="I1875" s="751"/>
      <c r="J1875" s="789">
        <f>('Parâmetros financeiros Despesa'!E1392)</f>
        <v>36331.5</v>
      </c>
      <c r="K1875" s="789">
        <f>('Parâmetros financeiros Despesa'!F1392)*(1+'Parâmetros financeiros Despesa'!F$4)*(1+'Parâmetros financeiros Despesa'!F$7)</f>
        <v>5451.6575000000003</v>
      </c>
      <c r="L1875" s="799">
        <f t="shared" si="240"/>
        <v>1.0022912803664722E-2</v>
      </c>
      <c r="M1875" s="895"/>
      <c r="O1875" s="734"/>
    </row>
    <row r="1876" spans="1:15" x14ac:dyDescent="0.25">
      <c r="A1876" s="397"/>
      <c r="B1876" s="1382" t="s">
        <v>8699</v>
      </c>
      <c r="C1876" s="1382"/>
      <c r="D1876" s="1382"/>
      <c r="E1876" s="1382"/>
      <c r="F1876" s="1382"/>
      <c r="G1876" s="405"/>
      <c r="H1876" s="405"/>
      <c r="I1876" s="428"/>
      <c r="J1876" s="406">
        <f t="shared" ref="J1876:K1878" si="241">J1877</f>
        <v>1947.01</v>
      </c>
      <c r="K1876" s="406">
        <f t="shared" si="241"/>
        <v>10685.2587</v>
      </c>
      <c r="L1876" s="453">
        <f>K1876/K$1923</f>
        <v>1.9644927480257125E-2</v>
      </c>
    </row>
    <row r="1877" spans="1:15" x14ac:dyDescent="0.25">
      <c r="A1877" s="397"/>
      <c r="B1877" s="1383" t="s">
        <v>2290</v>
      </c>
      <c r="C1877" s="1383"/>
      <c r="D1877" s="1383"/>
      <c r="E1877" s="1383"/>
      <c r="F1877" s="1383"/>
      <c r="G1877" s="407"/>
      <c r="H1877" s="407"/>
      <c r="I1877" s="429"/>
      <c r="J1877" s="408">
        <f t="shared" si="241"/>
        <v>1947.01</v>
      </c>
      <c r="K1877" s="408">
        <f t="shared" si="241"/>
        <v>10685.2587</v>
      </c>
      <c r="L1877" s="454">
        <f>K1877/K$1923</f>
        <v>1.9644927480257125E-2</v>
      </c>
    </row>
    <row r="1878" spans="1:15" x14ac:dyDescent="0.25">
      <c r="A1878" s="397"/>
      <c r="B1878" s="1386" t="s">
        <v>8731</v>
      </c>
      <c r="C1878" s="1386"/>
      <c r="D1878" s="1386"/>
      <c r="E1878" s="1386"/>
      <c r="F1878" s="1386"/>
      <c r="G1878" s="403"/>
      <c r="H1878" s="403"/>
      <c r="I1878" s="427"/>
      <c r="J1878" s="404">
        <f t="shared" si="241"/>
        <v>1947.01</v>
      </c>
      <c r="K1878" s="404">
        <f t="shared" si="241"/>
        <v>10685.2587</v>
      </c>
      <c r="L1878" s="452">
        <f>K1878/K$1923</f>
        <v>1.9644927480257125E-2</v>
      </c>
    </row>
    <row r="1879" spans="1:15" x14ac:dyDescent="0.25">
      <c r="A1879" s="397"/>
      <c r="B1879" s="1385" t="s">
        <v>8698</v>
      </c>
      <c r="C1879" s="1385"/>
      <c r="D1879" s="1385"/>
      <c r="E1879" s="1385"/>
      <c r="F1879" s="1385"/>
      <c r="G1879" s="401"/>
      <c r="H1879" s="401"/>
      <c r="I1879" s="426"/>
      <c r="J1879" s="402">
        <f>SUM(J1880:J1884)+0.01</f>
        <v>1947.01</v>
      </c>
      <c r="K1879" s="402">
        <f>SUM(K1880:K1884)+0.01</f>
        <v>10685.2587</v>
      </c>
      <c r="L1879" s="451">
        <f>K1879/K$1923</f>
        <v>1.9644927480257125E-2</v>
      </c>
    </row>
    <row r="1880" spans="1:15" x14ac:dyDescent="0.25">
      <c r="A1880" s="396"/>
      <c r="B1880" s="1396">
        <v>503000</v>
      </c>
      <c r="C1880" s="1396"/>
      <c r="D1880" s="1396"/>
      <c r="E1880" s="854">
        <v>333904700000000</v>
      </c>
      <c r="F1880" s="1017" t="s">
        <v>8735</v>
      </c>
      <c r="G1880" s="468">
        <v>40</v>
      </c>
      <c r="H1880" s="468">
        <v>0</v>
      </c>
      <c r="I1880" s="751"/>
      <c r="J1880" s="789">
        <f>('Parâmetros financeiros Despesa'!E1394)</f>
        <v>0</v>
      </c>
      <c r="K1880" s="789">
        <f>('Parâmetros financeiros Despesa'!F1394)*(1+'Parâmetros financeiros Despesa'!F$4)*(1+'Parâmetros financeiros Despesa'!F$7)</f>
        <v>327.09944999999999</v>
      </c>
      <c r="L1880" s="799">
        <f t="shared" ref="L1880:L1884" si="242">K1880/K$1923</f>
        <v>6.0137476821988322E-4</v>
      </c>
    </row>
    <row r="1881" spans="1:15" s="115" customFormat="1" x14ac:dyDescent="0.25">
      <c r="A1881" s="396"/>
      <c r="B1881" s="1396">
        <v>503100</v>
      </c>
      <c r="C1881" s="1396"/>
      <c r="D1881" s="1396"/>
      <c r="E1881" s="854">
        <v>344903000000000</v>
      </c>
      <c r="F1881" s="855" t="s">
        <v>8736</v>
      </c>
      <c r="G1881" s="468">
        <v>40</v>
      </c>
      <c r="H1881" s="468">
        <v>0</v>
      </c>
      <c r="I1881" s="751"/>
      <c r="J1881" s="789">
        <f>('Parâmetros financeiros Despesa'!E1395)</f>
        <v>0</v>
      </c>
      <c r="K1881" s="789">
        <f>('Parâmetros financeiros Despesa'!F1395)*(1+'Parâmetros financeiros Despesa'!F$4)*(1+'Parâmetros financeiros Despesa'!F$7)</f>
        <v>1635.4972500000001</v>
      </c>
      <c r="L1881" s="799">
        <f t="shared" si="242"/>
        <v>3.0068738410994164E-3</v>
      </c>
      <c r="M1881" s="894"/>
      <c r="O1881" s="733"/>
    </row>
    <row r="1882" spans="1:15" s="457" customFormat="1" x14ac:dyDescent="0.25">
      <c r="A1882" s="396"/>
      <c r="B1882" s="1398" t="s">
        <v>8732</v>
      </c>
      <c r="C1882" s="1398"/>
      <c r="D1882" s="1398"/>
      <c r="E1882" s="854">
        <v>344903600000000</v>
      </c>
      <c r="F1882" s="855" t="s">
        <v>8737</v>
      </c>
      <c r="G1882" s="468">
        <v>40</v>
      </c>
      <c r="H1882" s="468">
        <v>0</v>
      </c>
      <c r="I1882" s="751"/>
      <c r="J1882" s="789">
        <f>('Parâmetros financeiros Despesa'!E1396)</f>
        <v>0</v>
      </c>
      <c r="K1882" s="789">
        <f>('Parâmetros financeiros Despesa'!F1396)*(1+'Parâmetros financeiros Despesa'!F$4)*(1+'Parâmetros financeiros Despesa'!F$7)</f>
        <v>1635.4972500000001</v>
      </c>
      <c r="L1882" s="799">
        <f t="shared" si="242"/>
        <v>3.0068738410994164E-3</v>
      </c>
      <c r="M1882" s="895"/>
      <c r="O1882" s="734"/>
    </row>
    <row r="1883" spans="1:15" s="457" customFormat="1" x14ac:dyDescent="0.25">
      <c r="A1883" s="396"/>
      <c r="B1883" s="1398" t="s">
        <v>8733</v>
      </c>
      <c r="C1883" s="1398"/>
      <c r="D1883" s="1398"/>
      <c r="E1883" s="854">
        <v>344903900000000</v>
      </c>
      <c r="F1883" s="855" t="s">
        <v>8738</v>
      </c>
      <c r="G1883" s="468">
        <v>40</v>
      </c>
      <c r="H1883" s="468">
        <v>0</v>
      </c>
      <c r="I1883" s="751"/>
      <c r="J1883" s="789">
        <f>('Parâmetros financeiros Despesa'!E1397)</f>
        <v>0</v>
      </c>
      <c r="K1883" s="789">
        <f>('Parâmetros financeiros Despesa'!F1397)*(1+'Parâmetros financeiros Despesa'!F$4)*(1+'Parâmetros financeiros Despesa'!F$7)</f>
        <v>1635.4972500000001</v>
      </c>
      <c r="L1883" s="799">
        <f t="shared" si="242"/>
        <v>3.0068738410994164E-3</v>
      </c>
      <c r="M1883" s="895"/>
      <c r="O1883" s="734"/>
    </row>
    <row r="1884" spans="1:15" s="457" customFormat="1" x14ac:dyDescent="0.25">
      <c r="A1884" s="396"/>
      <c r="B1884" s="1398" t="s">
        <v>8734</v>
      </c>
      <c r="C1884" s="1398"/>
      <c r="D1884" s="1398"/>
      <c r="E1884" s="854">
        <v>344905200000000</v>
      </c>
      <c r="F1884" s="855" t="s">
        <v>8739</v>
      </c>
      <c r="G1884" s="468">
        <v>40</v>
      </c>
      <c r="H1884" s="468">
        <v>0</v>
      </c>
      <c r="I1884" s="751"/>
      <c r="J1884" s="789">
        <f>('Parâmetros financeiros Despesa'!E1398)</f>
        <v>1947</v>
      </c>
      <c r="K1884" s="789">
        <f>('Parâmetros financeiros Despesa'!F1398)*(1+'Parâmetros financeiros Despesa'!F$4)*(1+'Parâmetros financeiros Despesa'!F$7)</f>
        <v>5451.6575000000003</v>
      </c>
      <c r="L1884" s="799">
        <f t="shared" si="242"/>
        <v>1.0022912803664722E-2</v>
      </c>
      <c r="M1884" s="895"/>
      <c r="O1884" s="734"/>
    </row>
    <row r="1885" spans="1:15" x14ac:dyDescent="0.25">
      <c r="A1885" s="397"/>
      <c r="B1885" s="1382" t="s">
        <v>8699</v>
      </c>
      <c r="C1885" s="1382"/>
      <c r="D1885" s="1382"/>
      <c r="E1885" s="1382"/>
      <c r="F1885" s="1382"/>
      <c r="G1885" s="405"/>
      <c r="H1885" s="405"/>
      <c r="I1885" s="428"/>
      <c r="J1885" s="406">
        <f t="shared" ref="J1885:K1887" si="243">J1886</f>
        <v>473090.84389999998</v>
      </c>
      <c r="K1885" s="406">
        <f t="shared" si="243"/>
        <v>483350.38195111707</v>
      </c>
      <c r="L1885" s="453">
        <f>K1885/K$1923</f>
        <v>0.88864326710070918</v>
      </c>
    </row>
    <row r="1886" spans="1:15" x14ac:dyDescent="0.25">
      <c r="A1886" s="397"/>
      <c r="B1886" s="1383" t="s">
        <v>2290</v>
      </c>
      <c r="C1886" s="1383"/>
      <c r="D1886" s="1383"/>
      <c r="E1886" s="1383"/>
      <c r="F1886" s="1383"/>
      <c r="G1886" s="407"/>
      <c r="H1886" s="407"/>
      <c r="I1886" s="429"/>
      <c r="J1886" s="408">
        <f t="shared" si="243"/>
        <v>473090.84389999998</v>
      </c>
      <c r="K1886" s="408">
        <f t="shared" si="243"/>
        <v>483350.38195111707</v>
      </c>
      <c r="L1886" s="454">
        <f>K1886/K$1923</f>
        <v>0.88864326710070918</v>
      </c>
    </row>
    <row r="1887" spans="1:15" x14ac:dyDescent="0.25">
      <c r="A1887" s="397"/>
      <c r="B1887" s="1385" t="s">
        <v>8698</v>
      </c>
      <c r="C1887" s="1385"/>
      <c r="D1887" s="1385"/>
      <c r="E1887" s="1385"/>
      <c r="F1887" s="1385"/>
      <c r="G1887" s="401"/>
      <c r="H1887" s="401"/>
      <c r="I1887" s="426"/>
      <c r="J1887" s="402">
        <f t="shared" si="243"/>
        <v>473090.84389999998</v>
      </c>
      <c r="K1887" s="402">
        <f t="shared" si="243"/>
        <v>483350.38195111707</v>
      </c>
      <c r="L1887" s="451">
        <f>K1887/K$1923</f>
        <v>0.88864326710070918</v>
      </c>
    </row>
    <row r="1888" spans="1:15" x14ac:dyDescent="0.25">
      <c r="A1888" s="397"/>
      <c r="B1888" s="1386" t="s">
        <v>10915</v>
      </c>
      <c r="C1888" s="1386"/>
      <c r="D1888" s="1386"/>
      <c r="E1888" s="1386"/>
      <c r="F1888" s="1386"/>
      <c r="G1888" s="403"/>
      <c r="H1888" s="403"/>
      <c r="I1888" s="427"/>
      <c r="J1888" s="404">
        <f>SUM(J1889:J1904)+0.01</f>
        <v>473090.84389999998</v>
      </c>
      <c r="K1888" s="404">
        <f>SUM(K1889:K1904)+0.01</f>
        <v>483350.38195111707</v>
      </c>
      <c r="L1888" s="452">
        <f>K1888/K$1923</f>
        <v>0.88864326710070918</v>
      </c>
    </row>
    <row r="1889" spans="1:15" s="115" customFormat="1" x14ac:dyDescent="0.25">
      <c r="A1889" s="396"/>
      <c r="B1889" s="1398" t="s">
        <v>8753</v>
      </c>
      <c r="C1889" s="1398"/>
      <c r="D1889" s="1398"/>
      <c r="E1889" s="854">
        <v>331900400000000</v>
      </c>
      <c r="F1889" s="855" t="s">
        <v>8740</v>
      </c>
      <c r="G1889" s="468">
        <v>40</v>
      </c>
      <c r="H1889" s="468">
        <v>0</v>
      </c>
      <c r="I1889" s="751"/>
      <c r="J1889" s="789">
        <f>(('Parâmetros financeiros Despesa'!E1400))</f>
        <v>29881.0612</v>
      </c>
      <c r="K1889" s="789">
        <f>(('Parâmetros financeiros Despesa'!F1400)*2.05+(('Parâmetros financeiros Despesa'!F1400)*11.28)*(1+'Parâmetros financeiros Despesa'!F$4)*(1+'Parâmetros financeiros Despesa'!F$8))*(1+'Parâmetros financeiros Despesa'!F$80)</f>
        <v>38732.468336184247</v>
      </c>
      <c r="L1889" s="799">
        <f t="shared" ref="L1889:L1904" si="244">K1889/K$1923</f>
        <v>7.1209930705345939E-2</v>
      </c>
      <c r="M1889" s="894"/>
      <c r="O1889" s="733"/>
    </row>
    <row r="1890" spans="1:15" s="115" customFormat="1" x14ac:dyDescent="0.25">
      <c r="A1890" s="396"/>
      <c r="B1890" s="1004"/>
      <c r="C1890" s="1004"/>
      <c r="D1890" s="1004" t="s">
        <v>11561</v>
      </c>
      <c r="E1890" s="854">
        <v>331900800000000</v>
      </c>
      <c r="F1890" s="855" t="s">
        <v>11562</v>
      </c>
      <c r="G1890" s="468">
        <v>1</v>
      </c>
      <c r="H1890" s="468">
        <v>0</v>
      </c>
      <c r="I1890" s="751"/>
      <c r="J1890" s="789">
        <f>'Parâmetros financeiros Despesa'!E1401</f>
        <v>10178.788</v>
      </c>
      <c r="K1890" s="789">
        <f>(('Parâmetros financeiros Despesa'!F1401)*2.05+(('Parâmetros financeiros Despesa'!F1401)*11.28)*(1+'Parâmetros financeiros Despesa'!F$4)*(1+'Parâmetros financeiros Despesa'!F$8))</f>
        <v>10656.672215786837</v>
      </c>
      <c r="L1890" s="799">
        <f t="shared" si="244"/>
        <v>1.9592371016717024E-2</v>
      </c>
      <c r="M1890" s="894"/>
      <c r="O1890" s="733"/>
    </row>
    <row r="1891" spans="1:15" s="115" customFormat="1" x14ac:dyDescent="0.25">
      <c r="A1891" s="396"/>
      <c r="B1891" s="1398" t="s">
        <v>8754</v>
      </c>
      <c r="C1891" s="1398"/>
      <c r="D1891" s="1398"/>
      <c r="E1891" s="854">
        <v>331901100000000</v>
      </c>
      <c r="F1891" s="855" t="s">
        <v>8765</v>
      </c>
      <c r="G1891" s="468">
        <v>40</v>
      </c>
      <c r="H1891" s="468">
        <v>0</v>
      </c>
      <c r="I1891" s="751"/>
      <c r="J1891" s="789">
        <f>('Parâmetros financeiros Despesa'!E1402)</f>
        <v>274399.24969999999</v>
      </c>
      <c r="K1891" s="789">
        <f>('Parâmetros financeiros Despesa'!F1402)*2.05+(('Parâmetros financeiros Despesa'!F1402)*11.28)*(1+'Parâmetros financeiros Despesa'!F$4)*(1+'Parâmetros financeiros Despesa'!F$8)</f>
        <v>287282.02810695581</v>
      </c>
      <c r="L1891" s="799">
        <f t="shared" si="244"/>
        <v>0.52817014234220983</v>
      </c>
      <c r="M1891" s="894"/>
      <c r="O1891" s="733"/>
    </row>
    <row r="1892" spans="1:15" s="115" customFormat="1" x14ac:dyDescent="0.25">
      <c r="A1892" s="396"/>
      <c r="B1892" s="1398" t="s">
        <v>8755</v>
      </c>
      <c r="C1892" s="1398"/>
      <c r="D1892" s="1398"/>
      <c r="E1892" s="854">
        <v>331901300000000</v>
      </c>
      <c r="F1892" s="855" t="s">
        <v>8741</v>
      </c>
      <c r="G1892" s="468">
        <v>40</v>
      </c>
      <c r="H1892" s="468">
        <v>0</v>
      </c>
      <c r="I1892" s="751"/>
      <c r="J1892" s="789">
        <f>'Parâmetros financeiros Despesa'!E1403</f>
        <v>60307.604999999996</v>
      </c>
      <c r="K1892" s="789">
        <f>(K1893+K1891)*'Parâmetros financeiros Despesa'!F80</f>
        <v>72277.003541697879</v>
      </c>
      <c r="L1892" s="799">
        <f t="shared" si="244"/>
        <v>0.13288180781874212</v>
      </c>
      <c r="M1892" s="894"/>
      <c r="O1892" s="733"/>
    </row>
    <row r="1893" spans="1:15" s="115" customFormat="1" x14ac:dyDescent="0.25">
      <c r="A1893" s="396"/>
      <c r="B1893" s="1398" t="s">
        <v>8756</v>
      </c>
      <c r="C1893" s="1398"/>
      <c r="D1893" s="1398"/>
      <c r="E1893" s="854">
        <v>331901600000000</v>
      </c>
      <c r="F1893" s="855" t="s">
        <v>8742</v>
      </c>
      <c r="G1893" s="468">
        <v>40</v>
      </c>
      <c r="H1893" s="468">
        <v>0</v>
      </c>
      <c r="I1893" s="751"/>
      <c r="J1893" s="789">
        <f>('Parâmetros financeiros Despesa'!E1404)</f>
        <v>14001</v>
      </c>
      <c r="K1893" s="789">
        <f>('Parâmetros financeiros Despesa'!F1404)*2.05+(('Parâmetros financeiros Despesa'!F1404)*11.28)*(1+'Parâmetros financeiros Despesa'!F$4)*(1+'Parâmetros financeiros Despesa'!F$8)</f>
        <v>16282.965306141034</v>
      </c>
      <c r="L1893" s="799">
        <f t="shared" si="244"/>
        <v>2.9936352650281023E-2</v>
      </c>
      <c r="M1893" s="894"/>
      <c r="O1893" s="733"/>
    </row>
    <row r="1894" spans="1:15" s="115" customFormat="1" x14ac:dyDescent="0.25">
      <c r="A1894" s="396"/>
      <c r="B1894" s="1398" t="s">
        <v>8757</v>
      </c>
      <c r="C1894" s="1398"/>
      <c r="D1894" s="1398"/>
      <c r="E1894" s="854">
        <v>333901400000000</v>
      </c>
      <c r="F1894" s="855" t="s">
        <v>8752</v>
      </c>
      <c r="G1894" s="468">
        <v>40</v>
      </c>
      <c r="H1894" s="468">
        <v>0</v>
      </c>
      <c r="I1894" s="751"/>
      <c r="J1894" s="789">
        <f>('Parâmetros financeiros Despesa'!E1405)</f>
        <v>50601</v>
      </c>
      <c r="K1894" s="789">
        <f>('Parâmetros financeiros Despesa'!F1405)*2+(('Parâmetros financeiros Despesa'!F1405)*10)*(1+'Parâmetros financeiros Despesa'!F$4)*(1+'Parâmetros financeiros Despesa'!F$8)</f>
        <v>15065.777191727371</v>
      </c>
      <c r="L1894" s="799">
        <f t="shared" si="244"/>
        <v>2.7698543261773911E-2</v>
      </c>
      <c r="M1894" s="894"/>
      <c r="O1894" s="733"/>
    </row>
    <row r="1895" spans="1:15" s="115" customFormat="1" x14ac:dyDescent="0.25">
      <c r="A1895" s="396"/>
      <c r="B1895" s="1396">
        <v>510500</v>
      </c>
      <c r="C1895" s="1396"/>
      <c r="D1895" s="1396"/>
      <c r="E1895" s="854">
        <v>333903000000000</v>
      </c>
      <c r="F1895" s="855" t="s">
        <v>8743</v>
      </c>
      <c r="G1895" s="468">
        <v>40</v>
      </c>
      <c r="H1895" s="468">
        <v>0</v>
      </c>
      <c r="I1895" s="751"/>
      <c r="J1895" s="789">
        <f>('Parâmetros financeiros Despesa'!E1406)</f>
        <v>6743.7750000000005</v>
      </c>
      <c r="K1895" s="789">
        <f>('Parâmetros financeiros Despesa'!F1406)*(1+'Parâmetros financeiros Despesa'!F$4)*(1+'Parâmetros financeiros Despesa'!F$7)</f>
        <v>7352.9503114125009</v>
      </c>
      <c r="L1895" s="799">
        <f t="shared" si="244"/>
        <v>1.3518453758506813E-2</v>
      </c>
      <c r="M1895" s="894"/>
      <c r="O1895" s="733"/>
    </row>
    <row r="1896" spans="1:15" s="115" customFormat="1" x14ac:dyDescent="0.25">
      <c r="A1896" s="396"/>
      <c r="B1896" s="1396">
        <v>510600</v>
      </c>
      <c r="C1896" s="1396"/>
      <c r="D1896" s="1396"/>
      <c r="E1896" s="854">
        <v>333903200000000</v>
      </c>
      <c r="F1896" s="855" t="s">
        <v>8746</v>
      </c>
      <c r="G1896" s="468">
        <v>40</v>
      </c>
      <c r="H1896" s="468">
        <v>0</v>
      </c>
      <c r="I1896" s="751"/>
      <c r="J1896" s="789">
        <f>('Parâmetros financeiros Despesa'!E1407)</f>
        <v>0</v>
      </c>
      <c r="K1896" s="789">
        <f>('Parâmetros financeiros Despesa'!F1407)*(1+'Parâmetros financeiros Despesa'!F$4)*(1+'Parâmetros financeiros Despesa'!F$7)</f>
        <v>545.16575</v>
      </c>
      <c r="L1896" s="799">
        <f t="shared" si="244"/>
        <v>1.0022912803664722E-3</v>
      </c>
      <c r="M1896" s="894"/>
      <c r="O1896" s="733"/>
    </row>
    <row r="1897" spans="1:15" s="115" customFormat="1" x14ac:dyDescent="0.25">
      <c r="A1897" s="396"/>
      <c r="B1897" s="1396">
        <v>510700</v>
      </c>
      <c r="C1897" s="1396"/>
      <c r="D1897" s="1396"/>
      <c r="E1897" s="854">
        <v>333903300000000</v>
      </c>
      <c r="F1897" s="855" t="s">
        <v>8744</v>
      </c>
      <c r="G1897" s="468">
        <v>40</v>
      </c>
      <c r="H1897" s="468">
        <v>0</v>
      </c>
      <c r="I1897" s="751"/>
      <c r="J1897" s="789">
        <f>('Parâmetros financeiros Despesa'!E1408)</f>
        <v>42</v>
      </c>
      <c r="K1897" s="789">
        <f>('Parâmetros financeiros Despesa'!F1408)*(1+'Parâmetros financeiros Despesa'!F$4)*(1+'Parâmetros financeiros Despesa'!F$7)</f>
        <v>545.16575</v>
      </c>
      <c r="L1897" s="799">
        <f t="shared" si="244"/>
        <v>1.0022912803664722E-3</v>
      </c>
      <c r="M1897" s="894"/>
      <c r="O1897" s="733"/>
    </row>
    <row r="1898" spans="1:15" s="115" customFormat="1" x14ac:dyDescent="0.25">
      <c r="A1898" s="396"/>
      <c r="B1898" s="1398" t="s">
        <v>8758</v>
      </c>
      <c r="C1898" s="1398"/>
      <c r="D1898" s="1398"/>
      <c r="E1898" s="854">
        <v>333903500000000</v>
      </c>
      <c r="F1898" s="855" t="s">
        <v>8747</v>
      </c>
      <c r="G1898" s="468">
        <v>40</v>
      </c>
      <c r="H1898" s="468">
        <v>0</v>
      </c>
      <c r="I1898" s="751"/>
      <c r="J1898" s="789">
        <f>('Parâmetros financeiros Despesa'!E1409)</f>
        <v>0</v>
      </c>
      <c r="K1898" s="789">
        <f>('Parâmetros financeiros Despesa'!F1409)*(1+'Parâmetros financeiros Despesa'!F$4)*(1+'Parâmetros financeiros Despesa'!F$7)</f>
        <v>1635.4972500000001</v>
      </c>
      <c r="L1898" s="799">
        <f t="shared" si="244"/>
        <v>3.0068738410994164E-3</v>
      </c>
      <c r="M1898" s="894"/>
      <c r="O1898" s="733"/>
    </row>
    <row r="1899" spans="1:15" s="115" customFormat="1" x14ac:dyDescent="0.25">
      <c r="A1899" s="396"/>
      <c r="B1899" s="1398" t="s">
        <v>8759</v>
      </c>
      <c r="C1899" s="1398"/>
      <c r="D1899" s="1398"/>
      <c r="E1899" s="854">
        <v>333903600000000</v>
      </c>
      <c r="F1899" s="855" t="s">
        <v>8748</v>
      </c>
      <c r="G1899" s="468">
        <v>40</v>
      </c>
      <c r="H1899" s="468">
        <v>0</v>
      </c>
      <c r="I1899" s="751"/>
      <c r="J1899" s="789">
        <f>('Parâmetros financeiros Despesa'!E1410)</f>
        <v>1575</v>
      </c>
      <c r="K1899" s="789">
        <f>('Parâmetros financeiros Despesa'!F1410)*(1+'Parâmetros financeiros Despesa'!F$4)*(1+'Parâmetros financeiros Despesa'!F$7)</f>
        <v>1717.2721125</v>
      </c>
      <c r="L1899" s="799">
        <f t="shared" si="244"/>
        <v>3.1572175331543873E-3</v>
      </c>
      <c r="M1899" s="894"/>
      <c r="O1899" s="733"/>
    </row>
    <row r="1900" spans="1:15" s="115" customFormat="1" ht="15" customHeight="1" x14ac:dyDescent="0.25">
      <c r="A1900" s="396"/>
      <c r="B1900" s="1398" t="s">
        <v>8760</v>
      </c>
      <c r="C1900" s="1398"/>
      <c r="D1900" s="1398"/>
      <c r="E1900" s="854">
        <v>333903900000000</v>
      </c>
      <c r="F1900" s="855" t="s">
        <v>8745</v>
      </c>
      <c r="G1900" s="468">
        <v>40</v>
      </c>
      <c r="H1900" s="468">
        <v>0</v>
      </c>
      <c r="I1900" s="751"/>
      <c r="J1900" s="789">
        <f>('Parâmetros financeiros Despesa'!E1411)</f>
        <v>19308.165000000001</v>
      </c>
      <c r="K1900" s="789">
        <f>('Parâmetros financeiros Despesa'!F1411)*(1+'Parâmetros financeiros Despesa'!F$4)*(1+'Parâmetros financeiros Despesa'!F$7)</f>
        <v>21052.300506697502</v>
      </c>
      <c r="L1900" s="799">
        <f t="shared" si="244"/>
        <v>3.8704810838754211E-2</v>
      </c>
      <c r="M1900" s="894"/>
      <c r="O1900" s="733"/>
    </row>
    <row r="1901" spans="1:15" s="115" customFormat="1" ht="15" customHeight="1" x14ac:dyDescent="0.25">
      <c r="A1901" s="396"/>
      <c r="B1901" s="1398" t="s">
        <v>8761</v>
      </c>
      <c r="C1901" s="1398"/>
      <c r="D1901" s="1398"/>
      <c r="E1901" s="854">
        <v>333904700000000</v>
      </c>
      <c r="F1901" s="855" t="s">
        <v>8749</v>
      </c>
      <c r="G1901" s="468">
        <v>40</v>
      </c>
      <c r="H1901" s="468">
        <v>0</v>
      </c>
      <c r="I1901" s="751"/>
      <c r="J1901" s="789">
        <f>('Parâmetros financeiros Despesa'!E1412)</f>
        <v>315</v>
      </c>
      <c r="K1901" s="789">
        <f>('Parâmetros financeiros Despesa'!F1412)*(1+'Parâmetros financeiros Despesa'!F$4)*(1+'Parâmetros financeiros Despesa'!F$7)</f>
        <v>343.45442249999996</v>
      </c>
      <c r="L1901" s="799">
        <f t="shared" si="244"/>
        <v>6.3144350663087742E-4</v>
      </c>
      <c r="M1901" s="894"/>
      <c r="O1901" s="733"/>
    </row>
    <row r="1902" spans="1:15" s="115" customFormat="1" ht="15" customHeight="1" x14ac:dyDescent="0.25">
      <c r="A1902" s="396"/>
      <c r="B1902" s="1398" t="s">
        <v>8762</v>
      </c>
      <c r="C1902" s="1398"/>
      <c r="D1902" s="1398"/>
      <c r="E1902" s="854">
        <v>333904900000000</v>
      </c>
      <c r="F1902" s="855" t="s">
        <v>8766</v>
      </c>
      <c r="G1902" s="468">
        <v>40</v>
      </c>
      <c r="H1902" s="468">
        <v>0</v>
      </c>
      <c r="I1902" s="751"/>
      <c r="J1902" s="789">
        <f>('Parâmetros financeiros Despesa'!E1413)</f>
        <v>4785.78</v>
      </c>
      <c r="K1902" s="789">
        <f>('Parâmetros financeiros Despesa'!F1413)*2+(('Parâmetros financeiros Despesa'!F1413)*10)*(1+'Parâmetros financeiros Despesa'!F$4)*(1+'Parâmetros financeiros Despesa'!F$8)</f>
        <v>5007.0482755989588</v>
      </c>
      <c r="L1902" s="799">
        <f t="shared" si="244"/>
        <v>9.2054954424536338E-3</v>
      </c>
      <c r="M1902" s="894"/>
      <c r="O1902" s="733"/>
    </row>
    <row r="1903" spans="1:15" s="115" customFormat="1" ht="15" customHeight="1" x14ac:dyDescent="0.25">
      <c r="A1903" s="396"/>
      <c r="B1903" s="1398" t="s">
        <v>8763</v>
      </c>
      <c r="C1903" s="1398"/>
      <c r="D1903" s="1398"/>
      <c r="E1903" s="854">
        <v>333909300000000</v>
      </c>
      <c r="F1903" s="855" t="s">
        <v>8750</v>
      </c>
      <c r="G1903" s="468">
        <v>40</v>
      </c>
      <c r="H1903" s="468">
        <v>0</v>
      </c>
      <c r="I1903" s="751"/>
      <c r="J1903" s="789">
        <f>('Parâmetros financeiros Despesa'!E1414)</f>
        <v>952.41000000000008</v>
      </c>
      <c r="K1903" s="789">
        <f>('Parâmetros financeiros Despesa'!F1414)*(1+'Parâmetros financeiros Despesa'!F$4)*(1+'Parâmetros financeiros Despesa'!F$7)</f>
        <v>1038.442623915</v>
      </c>
      <c r="L1903" s="799">
        <f t="shared" si="244"/>
        <v>1.9091844766676634E-3</v>
      </c>
      <c r="M1903" s="894"/>
      <c r="O1903" s="733"/>
    </row>
    <row r="1904" spans="1:15" s="115" customFormat="1" ht="15" customHeight="1" x14ac:dyDescent="0.25">
      <c r="A1904" s="396"/>
      <c r="B1904" s="1398" t="s">
        <v>8764</v>
      </c>
      <c r="C1904" s="1398"/>
      <c r="D1904" s="1398"/>
      <c r="E1904" s="854">
        <v>333933000000000</v>
      </c>
      <c r="F1904" s="855" t="s">
        <v>8751</v>
      </c>
      <c r="G1904" s="468">
        <v>40</v>
      </c>
      <c r="H1904" s="468">
        <v>0</v>
      </c>
      <c r="I1904" s="751"/>
      <c r="J1904" s="789">
        <f>('Parâmetros financeiros Despesa'!E1415)</f>
        <v>0</v>
      </c>
      <c r="K1904" s="789">
        <f>('Parâmetros financeiros Despesa'!F1415)*(1+'Parâmetros financeiros Despesa'!F$4)*(1+'Parâmetros financeiros Despesa'!F$7)</f>
        <v>3816.1602500000004</v>
      </c>
      <c r="L1904" s="799">
        <f t="shared" si="244"/>
        <v>7.0160389625653057E-3</v>
      </c>
      <c r="M1904" s="894"/>
      <c r="O1904" s="733"/>
    </row>
    <row r="1905" spans="1:20" ht="15" customHeight="1" x14ac:dyDescent="0.25">
      <c r="A1905" s="397"/>
      <c r="B1905" s="1382" t="s">
        <v>8699</v>
      </c>
      <c r="C1905" s="1382"/>
      <c r="D1905" s="1382"/>
      <c r="E1905" s="1382"/>
      <c r="F1905" s="1382"/>
      <c r="G1905" s="405"/>
      <c r="H1905" s="405"/>
      <c r="I1905" s="428"/>
      <c r="J1905" s="406">
        <f t="shared" ref="J1905:K1908" si="245">J1906</f>
        <v>0</v>
      </c>
      <c r="K1905" s="406">
        <f t="shared" si="245"/>
        <v>6541.9890000000005</v>
      </c>
      <c r="L1905" s="453">
        <f>K1905/K$1923</f>
        <v>1.2027495364397666E-2</v>
      </c>
    </row>
    <row r="1906" spans="1:20" ht="15" customHeight="1" x14ac:dyDescent="0.25">
      <c r="A1906" s="397"/>
      <c r="B1906" s="1383" t="s">
        <v>2290</v>
      </c>
      <c r="C1906" s="1383"/>
      <c r="D1906" s="1383"/>
      <c r="E1906" s="1383"/>
      <c r="F1906" s="1383"/>
      <c r="G1906" s="407"/>
      <c r="H1906" s="407"/>
      <c r="I1906" s="429"/>
      <c r="J1906" s="408">
        <f t="shared" si="245"/>
        <v>0</v>
      </c>
      <c r="K1906" s="408">
        <f t="shared" si="245"/>
        <v>6541.9890000000005</v>
      </c>
      <c r="L1906" s="454">
        <f>K1906/K$1923</f>
        <v>1.2027495364397666E-2</v>
      </c>
    </row>
    <row r="1907" spans="1:20" ht="15" customHeight="1" x14ac:dyDescent="0.25">
      <c r="A1907" s="397"/>
      <c r="B1907" s="1385" t="s">
        <v>8698</v>
      </c>
      <c r="C1907" s="1385"/>
      <c r="D1907" s="1385"/>
      <c r="E1907" s="1385"/>
      <c r="F1907" s="1385"/>
      <c r="G1907" s="401"/>
      <c r="H1907" s="401"/>
      <c r="I1907" s="426"/>
      <c r="J1907" s="402">
        <f t="shared" si="245"/>
        <v>0</v>
      </c>
      <c r="K1907" s="402">
        <f t="shared" si="245"/>
        <v>6541.9890000000005</v>
      </c>
      <c r="L1907" s="451">
        <f>K1907/K$1923</f>
        <v>1.2027495364397666E-2</v>
      </c>
    </row>
    <row r="1908" spans="1:20" ht="15" customHeight="1" x14ac:dyDescent="0.25">
      <c r="A1908" s="397"/>
      <c r="B1908" s="1386" t="s">
        <v>8704</v>
      </c>
      <c r="C1908" s="1386"/>
      <c r="D1908" s="1386"/>
      <c r="E1908" s="1386"/>
      <c r="F1908" s="1386"/>
      <c r="G1908" s="403"/>
      <c r="H1908" s="403"/>
      <c r="I1908" s="427"/>
      <c r="J1908" s="404">
        <f t="shared" si="245"/>
        <v>0</v>
      </c>
      <c r="K1908" s="404">
        <f t="shared" si="245"/>
        <v>6541.9890000000005</v>
      </c>
      <c r="L1908" s="452">
        <f>K1908/K$1923</f>
        <v>1.2027495364397666E-2</v>
      </c>
    </row>
    <row r="1909" spans="1:20" s="115" customFormat="1" ht="15" customHeight="1" x14ac:dyDescent="0.25">
      <c r="B1909" s="1398" t="s">
        <v>8767</v>
      </c>
      <c r="C1909" s="1398"/>
      <c r="D1909" s="1398"/>
      <c r="E1909" s="854">
        <v>333710000000000</v>
      </c>
      <c r="F1909" s="855" t="s">
        <v>5033</v>
      </c>
      <c r="G1909" s="468">
        <v>40</v>
      </c>
      <c r="H1909" s="468">
        <v>0</v>
      </c>
      <c r="I1909" s="751"/>
      <c r="J1909" s="789">
        <f>('Parâmetros financeiros Despesa'!E1417)</f>
        <v>0</v>
      </c>
      <c r="K1909" s="789">
        <f>('Parâmetros financeiros Despesa'!F1417)*(1+'Parâmetros financeiros Despesa'!F$4)*(1+'Parâmetros financeiros Despesa'!F$7)</f>
        <v>6541.9890000000005</v>
      </c>
      <c r="L1909" s="799">
        <f t="shared" ref="L1909" si="246">K1909/K$1923</f>
        <v>1.2027495364397666E-2</v>
      </c>
      <c r="M1909" s="894"/>
      <c r="N1909" s="396"/>
      <c r="O1909" s="463"/>
      <c r="R1909" s="463"/>
      <c r="S1909" s="463"/>
      <c r="T1909" s="463"/>
    </row>
    <row r="1910" spans="1:20" ht="15" customHeight="1" x14ac:dyDescent="0.25">
      <c r="A1910" s="397"/>
      <c r="B1910" s="1382" t="s">
        <v>8699</v>
      </c>
      <c r="C1910" s="1382"/>
      <c r="D1910" s="1382"/>
      <c r="E1910" s="1382"/>
      <c r="F1910" s="1382"/>
      <c r="G1910" s="405"/>
      <c r="H1910" s="405"/>
      <c r="I1910" s="428"/>
      <c r="J1910" s="406">
        <f t="shared" ref="J1910:K1912" si="247">J1911</f>
        <v>6651.1049999999996</v>
      </c>
      <c r="K1910" s="406">
        <f t="shared" si="247"/>
        <v>15647.461841307502</v>
      </c>
      <c r="L1910" s="453">
        <f>K1910/K$1923</f>
        <v>2.8767974810247364E-2</v>
      </c>
    </row>
    <row r="1911" spans="1:20" ht="15" customHeight="1" x14ac:dyDescent="0.25">
      <c r="A1911" s="397"/>
      <c r="B1911" s="1383" t="s">
        <v>2290</v>
      </c>
      <c r="C1911" s="1383"/>
      <c r="D1911" s="1383"/>
      <c r="E1911" s="1383"/>
      <c r="F1911" s="1383"/>
      <c r="G1911" s="407"/>
      <c r="H1911" s="407"/>
      <c r="I1911" s="429"/>
      <c r="J1911" s="408">
        <f t="shared" si="247"/>
        <v>6651.1049999999996</v>
      </c>
      <c r="K1911" s="408">
        <f t="shared" si="247"/>
        <v>15647.461841307502</v>
      </c>
      <c r="L1911" s="454">
        <f>K1911/K$1923</f>
        <v>2.8767974810247364E-2</v>
      </c>
    </row>
    <row r="1912" spans="1:20" ht="15" customHeight="1" x14ac:dyDescent="0.25">
      <c r="A1912" s="397"/>
      <c r="B1912" s="1385" t="s">
        <v>8698</v>
      </c>
      <c r="C1912" s="1385"/>
      <c r="D1912" s="1385"/>
      <c r="E1912" s="1385"/>
      <c r="F1912" s="1385"/>
      <c r="G1912" s="401"/>
      <c r="H1912" s="401"/>
      <c r="I1912" s="426"/>
      <c r="J1912" s="402">
        <f t="shared" si="247"/>
        <v>6651.1049999999996</v>
      </c>
      <c r="K1912" s="402">
        <f t="shared" si="247"/>
        <v>15647.461841307502</v>
      </c>
      <c r="L1912" s="451">
        <f>K1912/K$1923</f>
        <v>2.8767974810247364E-2</v>
      </c>
    </row>
    <row r="1913" spans="1:20" ht="15" customHeight="1" x14ac:dyDescent="0.25">
      <c r="A1913" s="397"/>
      <c r="B1913" s="1386" t="s">
        <v>8705</v>
      </c>
      <c r="C1913" s="1386"/>
      <c r="D1913" s="1386"/>
      <c r="E1913" s="1386"/>
      <c r="F1913" s="1386"/>
      <c r="G1913" s="403"/>
      <c r="H1913" s="403"/>
      <c r="I1913" s="427"/>
      <c r="J1913" s="404">
        <f>SUM(J1914:J1918)</f>
        <v>6651.1049999999996</v>
      </c>
      <c r="K1913" s="404">
        <f>SUM(K1914:K1918)</f>
        <v>15647.461841307502</v>
      </c>
      <c r="L1913" s="452">
        <f>K1913/K$1923</f>
        <v>2.8767974810247364E-2</v>
      </c>
    </row>
    <row r="1914" spans="1:20" s="115" customFormat="1" ht="15" customHeight="1" x14ac:dyDescent="0.25">
      <c r="A1914" s="396"/>
      <c r="B1914" s="1396">
        <v>513000</v>
      </c>
      <c r="C1914" s="1396"/>
      <c r="D1914" s="1396"/>
      <c r="E1914" s="854">
        <v>333903000000000</v>
      </c>
      <c r="F1914" s="855" t="s">
        <v>8768</v>
      </c>
      <c r="G1914" s="468">
        <v>40</v>
      </c>
      <c r="H1914" s="468">
        <v>0</v>
      </c>
      <c r="I1914" s="751"/>
      <c r="J1914" s="789">
        <f>('Parâmetros financeiros Despesa'!E1419)</f>
        <v>3737.3250000000003</v>
      </c>
      <c r="K1914" s="789">
        <f>('Parâmetros financeiros Despesa'!F1419)*(1+'Parâmetros financeiros Despesa'!F$4)*(1+'Parâmetros financeiros Despesa'!F$7)</f>
        <v>4074.9231732375001</v>
      </c>
      <c r="L1914" s="799">
        <f t="shared" ref="L1914:L1918" si="248">K1914/K$1923</f>
        <v>7.4917765187912507E-3</v>
      </c>
      <c r="M1914" s="894"/>
      <c r="O1914" s="733"/>
    </row>
    <row r="1915" spans="1:20" s="115" customFormat="1" ht="15" customHeight="1" x14ac:dyDescent="0.25">
      <c r="A1915" s="396"/>
      <c r="B1915" s="1398" t="s">
        <v>8772</v>
      </c>
      <c r="C1915" s="1398"/>
      <c r="D1915" s="1398"/>
      <c r="E1915" s="854">
        <v>333903600000000</v>
      </c>
      <c r="F1915" s="855" t="s">
        <v>8769</v>
      </c>
      <c r="G1915" s="468">
        <v>40</v>
      </c>
      <c r="H1915" s="468">
        <v>0</v>
      </c>
      <c r="I1915" s="751"/>
      <c r="J1915" s="789">
        <f>('Parâmetros financeiros Despesa'!E1420)</f>
        <v>0</v>
      </c>
      <c r="K1915" s="789">
        <f>('Parâmetros financeiros Despesa'!F1420)*(1+'Parâmetros financeiros Despesa'!F$4)*(1+'Parâmetros financeiros Despesa'!F$7)</f>
        <v>3816.1602500000004</v>
      </c>
      <c r="L1915" s="799">
        <f t="shared" si="248"/>
        <v>7.0160389625653057E-3</v>
      </c>
      <c r="M1915" s="894"/>
      <c r="O1915" s="733"/>
    </row>
    <row r="1916" spans="1:20" s="115" customFormat="1" x14ac:dyDescent="0.25">
      <c r="A1916" s="396"/>
      <c r="B1916" s="1398" t="s">
        <v>8773</v>
      </c>
      <c r="C1916" s="1398"/>
      <c r="D1916" s="1398"/>
      <c r="E1916" s="854">
        <v>333903900000000</v>
      </c>
      <c r="F1916" s="855" t="s">
        <v>8770</v>
      </c>
      <c r="G1916" s="468">
        <v>40</v>
      </c>
      <c r="H1916" s="468">
        <v>0</v>
      </c>
      <c r="I1916" s="751"/>
      <c r="J1916" s="789">
        <f>('Parâmetros financeiros Despesa'!E1421)</f>
        <v>2913.7799999999997</v>
      </c>
      <c r="K1916" s="789">
        <f>('Parâmetros financeiros Despesa'!F1421)*(1+'Parâmetros financeiros Despesa'!F$4)*(1+'Parâmetros financeiros Despesa'!F$7)</f>
        <v>3176.98611807</v>
      </c>
      <c r="L1916" s="799">
        <f t="shared" si="248"/>
        <v>5.8409125738124379E-3</v>
      </c>
      <c r="M1916" s="894"/>
      <c r="O1916" s="733"/>
    </row>
    <row r="1917" spans="1:20" s="115" customFormat="1" x14ac:dyDescent="0.25">
      <c r="A1917" s="396"/>
      <c r="B1917" s="1398" t="s">
        <v>8774</v>
      </c>
      <c r="C1917" s="1398"/>
      <c r="D1917" s="1398"/>
      <c r="E1917" s="854">
        <v>333904700000000</v>
      </c>
      <c r="F1917" s="855" t="s">
        <v>8776</v>
      </c>
      <c r="G1917" s="468">
        <v>40</v>
      </c>
      <c r="H1917" s="468">
        <v>0</v>
      </c>
      <c r="I1917" s="751"/>
      <c r="J1917" s="789">
        <f>('Parâmetros financeiros Despesa'!E1422)</f>
        <v>0</v>
      </c>
      <c r="K1917" s="789">
        <f>('Parâmetros financeiros Despesa'!F1422)*(1+'Parâmetros financeiros Despesa'!F$4)*(1+'Parâmetros financeiros Despesa'!F$7)</f>
        <v>763.23204999999996</v>
      </c>
      <c r="L1917" s="799">
        <f t="shared" si="248"/>
        <v>1.4032077925130609E-3</v>
      </c>
      <c r="M1917" s="894"/>
      <c r="O1917" s="733"/>
    </row>
    <row r="1918" spans="1:20" s="115" customFormat="1" ht="30" x14ac:dyDescent="0.25">
      <c r="A1918" s="396"/>
      <c r="B1918" s="1398" t="s">
        <v>8775</v>
      </c>
      <c r="C1918" s="1398"/>
      <c r="D1918" s="1398"/>
      <c r="E1918" s="854">
        <v>333933000000000</v>
      </c>
      <c r="F1918" s="855" t="s">
        <v>8771</v>
      </c>
      <c r="G1918" s="468">
        <v>40</v>
      </c>
      <c r="H1918" s="468">
        <v>0</v>
      </c>
      <c r="I1918" s="751"/>
      <c r="J1918" s="789">
        <f>('Parâmetros financeiros Despesa'!E1423)</f>
        <v>0</v>
      </c>
      <c r="K1918" s="789">
        <f>('Parâmetros financeiros Despesa'!F1423)*(1+'Parâmetros financeiros Despesa'!F$4)*(1+'Parâmetros financeiros Despesa'!F$7)</f>
        <v>3816.1602500000004</v>
      </c>
      <c r="L1918" s="799">
        <f t="shared" si="248"/>
        <v>7.0160389625653057E-3</v>
      </c>
      <c r="M1918" s="894"/>
      <c r="O1918" s="733"/>
    </row>
    <row r="1919" spans="1:20" s="115" customFormat="1" x14ac:dyDescent="0.25">
      <c r="A1919" s="396"/>
      <c r="B1919" s="1395" t="s">
        <v>2172</v>
      </c>
      <c r="C1919" s="1395"/>
      <c r="D1919" s="1395"/>
      <c r="E1919" s="1395"/>
      <c r="F1919" s="1395"/>
      <c r="G1919" s="1395"/>
      <c r="H1919" s="1395"/>
      <c r="I1919" s="1395"/>
      <c r="J1919" s="1023">
        <f>J1913+J1908+J1888+J1878+J1869+J1860+J1851</f>
        <v>524420.42889999994</v>
      </c>
      <c r="K1919" s="1023">
        <f>K1913+K1908+K1888+K1878+K1869+K1860+K1851</f>
        <v>543919.47797916457</v>
      </c>
      <c r="L1919" s="452">
        <f>K1919/K$1923</f>
        <v>1</v>
      </c>
      <c r="M1919" s="894"/>
      <c r="O1919" s="733"/>
    </row>
    <row r="1920" spans="1:20" x14ac:dyDescent="0.25">
      <c r="B1920" s="864" t="s">
        <v>11469</v>
      </c>
      <c r="C1920" s="864"/>
      <c r="D1920" s="864"/>
      <c r="E1920" s="864"/>
      <c r="F1920" s="864"/>
      <c r="G1920" s="864"/>
      <c r="H1920" s="864"/>
      <c r="I1920" s="864"/>
      <c r="J1920" s="863"/>
      <c r="K1920" s="863"/>
      <c r="L1920" s="452"/>
    </row>
    <row r="1921" spans="1:15" s="31" customFormat="1" x14ac:dyDescent="0.25">
      <c r="B1921" s="869" t="s">
        <v>11568</v>
      </c>
      <c r="C1921" s="869"/>
      <c r="D1921" s="869"/>
      <c r="E1921" s="869"/>
      <c r="F1921" s="869"/>
      <c r="G1921" s="869"/>
      <c r="H1921" s="869"/>
      <c r="I1921" s="869"/>
      <c r="J1921" s="870">
        <f>J1890</f>
        <v>10178.788</v>
      </c>
      <c r="K1921" s="870">
        <f>K1890</f>
        <v>10656.672215786837</v>
      </c>
      <c r="L1921" s="871">
        <f>K1921/K$1923</f>
        <v>1.9592371016717024E-2</v>
      </c>
      <c r="M1921" s="897"/>
      <c r="O1921" s="736"/>
    </row>
    <row r="1922" spans="1:15" s="31" customFormat="1" x14ac:dyDescent="0.25">
      <c r="B1922" s="869" t="s">
        <v>756</v>
      </c>
      <c r="C1922" s="869"/>
      <c r="D1922" s="869"/>
      <c r="E1922" s="869"/>
      <c r="F1922" s="869"/>
      <c r="G1922" s="869"/>
      <c r="H1922" s="869"/>
      <c r="I1922" s="869"/>
      <c r="J1922" s="870">
        <f>J1919-J1921</f>
        <v>514241.64089999994</v>
      </c>
      <c r="K1922" s="870">
        <f>K1919-K1921</f>
        <v>533262.80576337769</v>
      </c>
      <c r="L1922" s="871">
        <f>K1922/K$1923</f>
        <v>0.98040762898328293</v>
      </c>
      <c r="M1922" s="897"/>
      <c r="O1922" s="736"/>
    </row>
    <row r="1923" spans="1:15" s="115" customFormat="1" x14ac:dyDescent="0.25">
      <c r="B1923" s="864" t="s">
        <v>2172</v>
      </c>
      <c r="C1923" s="864"/>
      <c r="D1923" s="864"/>
      <c r="E1923" s="864"/>
      <c r="F1923" s="864"/>
      <c r="G1923" s="864"/>
      <c r="H1923" s="864"/>
      <c r="I1923" s="864"/>
      <c r="J1923" s="863">
        <f>SUM(J1921:J1922)</f>
        <v>524420.42889999994</v>
      </c>
      <c r="K1923" s="863">
        <f>SUM(K1921:K1922)</f>
        <v>543919.47797916457</v>
      </c>
      <c r="L1923" s="452">
        <f>K1923/K$1923</f>
        <v>1</v>
      </c>
      <c r="M1923" s="894"/>
      <c r="O1923" s="733"/>
    </row>
    <row r="1925" spans="1:15" s="435" customFormat="1" ht="15.75" x14ac:dyDescent="0.25">
      <c r="B1925" s="999" t="s">
        <v>989</v>
      </c>
      <c r="C1925" s="999"/>
      <c r="D1925" s="481"/>
      <c r="E1925" s="1371" t="s">
        <v>9485</v>
      </c>
      <c r="F1925" s="1371"/>
      <c r="G1925" s="1371"/>
      <c r="H1925" s="1371"/>
      <c r="I1925" s="1371"/>
      <c r="J1925" s="940"/>
      <c r="K1925" s="438"/>
      <c r="L1925" s="449"/>
      <c r="M1925" s="892"/>
      <c r="O1925" s="732"/>
    </row>
    <row r="1926" spans="1:15" s="435" customFormat="1" ht="22.5" customHeight="1" x14ac:dyDescent="0.25">
      <c r="B1926" s="999" t="s">
        <v>458</v>
      </c>
      <c r="C1926" s="999"/>
      <c r="D1926" s="481"/>
      <c r="E1926" s="1371" t="s">
        <v>8777</v>
      </c>
      <c r="F1926" s="1371"/>
      <c r="G1926" s="1371"/>
      <c r="H1926" s="1371"/>
      <c r="I1926" s="1371"/>
      <c r="J1926" s="940"/>
      <c r="K1926" s="438"/>
      <c r="L1926" s="449"/>
      <c r="M1926" s="892"/>
      <c r="O1926" s="732"/>
    </row>
    <row r="1927" spans="1:15" s="435" customFormat="1" ht="15.75" x14ac:dyDescent="0.25">
      <c r="B1927" s="1005" t="s">
        <v>5764</v>
      </c>
      <c r="C1927" s="1005"/>
      <c r="D1927" s="1005"/>
      <c r="E1927" s="1371" t="s">
        <v>749</v>
      </c>
      <c r="F1927" s="1371"/>
      <c r="G1927" s="1371"/>
      <c r="H1927" s="1371"/>
      <c r="I1927" s="1371"/>
      <c r="J1927" s="941"/>
      <c r="K1927" s="438"/>
      <c r="L1927" s="449"/>
      <c r="M1927" s="892"/>
      <c r="O1927" s="732"/>
    </row>
    <row r="1928" spans="1:15" ht="88.5" x14ac:dyDescent="0.25">
      <c r="A1928" s="396"/>
      <c r="B1928" s="1400" t="s">
        <v>2296</v>
      </c>
      <c r="C1928" s="1400"/>
      <c r="D1928" s="1400"/>
      <c r="E1928" s="1384" t="s">
        <v>2297</v>
      </c>
      <c r="F1928" s="1384"/>
      <c r="G1928" s="443" t="s">
        <v>444</v>
      </c>
      <c r="H1928" s="443" t="s">
        <v>2245</v>
      </c>
      <c r="I1928" s="444" t="s">
        <v>5725</v>
      </c>
      <c r="J1928" s="893" t="s">
        <v>11644</v>
      </c>
      <c r="K1928" s="1000" t="s">
        <v>11522</v>
      </c>
      <c r="L1928" s="450" t="s">
        <v>235</v>
      </c>
    </row>
    <row r="1929" spans="1:15" x14ac:dyDescent="0.25">
      <c r="A1929" s="397"/>
      <c r="B1929" s="1382" t="s">
        <v>8699</v>
      </c>
      <c r="C1929" s="1382"/>
      <c r="D1929" s="1382"/>
      <c r="E1929" s="1382"/>
      <c r="F1929" s="1382"/>
      <c r="G1929" s="405"/>
      <c r="H1929" s="405"/>
      <c r="I1929" s="428"/>
      <c r="J1929" s="406">
        <f t="shared" ref="J1929:K1931" si="249">J1930</f>
        <v>0</v>
      </c>
      <c r="K1929" s="406">
        <f t="shared" si="249"/>
        <v>8940.7183000000005</v>
      </c>
      <c r="L1929" s="453">
        <f t="shared" ref="L1929:L1960" si="250">K1929/K$2234</f>
        <v>3.4245420623182266E-3</v>
      </c>
    </row>
    <row r="1930" spans="1:15" x14ac:dyDescent="0.25">
      <c r="A1930" s="397"/>
      <c r="B1930" s="1383" t="s">
        <v>8812</v>
      </c>
      <c r="C1930" s="1383"/>
      <c r="D1930" s="1383"/>
      <c r="E1930" s="1383"/>
      <c r="F1930" s="1383"/>
      <c r="G1930" s="407"/>
      <c r="H1930" s="407"/>
      <c r="I1930" s="429"/>
      <c r="J1930" s="408">
        <f t="shared" si="249"/>
        <v>0</v>
      </c>
      <c r="K1930" s="408">
        <f t="shared" si="249"/>
        <v>8940.7183000000005</v>
      </c>
      <c r="L1930" s="454">
        <f t="shared" si="250"/>
        <v>3.4245420623182266E-3</v>
      </c>
    </row>
    <row r="1931" spans="1:15" x14ac:dyDescent="0.25">
      <c r="A1931" s="397"/>
      <c r="B1931" s="1386" t="s">
        <v>8700</v>
      </c>
      <c r="C1931" s="1386"/>
      <c r="D1931" s="1386"/>
      <c r="E1931" s="1386"/>
      <c r="F1931" s="1386"/>
      <c r="G1931" s="403"/>
      <c r="H1931" s="403"/>
      <c r="I1931" s="427"/>
      <c r="J1931" s="404">
        <f t="shared" si="249"/>
        <v>0</v>
      </c>
      <c r="K1931" s="404">
        <f t="shared" si="249"/>
        <v>8940.7183000000005</v>
      </c>
      <c r="L1931" s="452">
        <f t="shared" si="250"/>
        <v>3.4245420623182266E-3</v>
      </c>
    </row>
    <row r="1932" spans="1:15" x14ac:dyDescent="0.25">
      <c r="A1932" s="397"/>
      <c r="B1932" s="1385" t="s">
        <v>8698</v>
      </c>
      <c r="C1932" s="1385"/>
      <c r="D1932" s="1385"/>
      <c r="E1932" s="1385"/>
      <c r="F1932" s="1385"/>
      <c r="G1932" s="401"/>
      <c r="H1932" s="401"/>
      <c r="I1932" s="426"/>
      <c r="J1932" s="402">
        <f>SUM(J1933:J1937)</f>
        <v>0</v>
      </c>
      <c r="K1932" s="402">
        <f>SUM(K1933:K1937)</f>
        <v>8940.7183000000005</v>
      </c>
      <c r="L1932" s="451">
        <f t="shared" si="250"/>
        <v>3.4245420623182266E-3</v>
      </c>
    </row>
    <row r="1933" spans="1:15" x14ac:dyDescent="0.25">
      <c r="A1933" s="396"/>
      <c r="B1933" s="1396">
        <v>600000</v>
      </c>
      <c r="C1933" s="1396"/>
      <c r="D1933" s="1396"/>
      <c r="E1933" s="854">
        <v>333904700000000</v>
      </c>
      <c r="F1933" s="1017" t="s">
        <v>8778</v>
      </c>
      <c r="G1933" s="468">
        <v>40</v>
      </c>
      <c r="H1933" s="468">
        <v>0</v>
      </c>
      <c r="I1933" s="751"/>
      <c r="J1933" s="789">
        <f>('Parâmetros financeiros Despesa'!E1429)</f>
        <v>0</v>
      </c>
      <c r="K1933" s="789">
        <f>('Parâmetros financeiros Despesa'!F1429)*(1+'Parâmetros financeiros Despesa'!F$4)*(1+'Parâmetros financeiros Despesa'!F$7)</f>
        <v>218.06630000000001</v>
      </c>
      <c r="L1933" s="799">
        <f t="shared" si="250"/>
        <v>8.3525416154103091E-5</v>
      </c>
    </row>
    <row r="1934" spans="1:15" s="115" customFormat="1" x14ac:dyDescent="0.25">
      <c r="A1934" s="396"/>
      <c r="B1934" s="1396">
        <v>600100</v>
      </c>
      <c r="C1934" s="1396"/>
      <c r="D1934" s="1396"/>
      <c r="E1934" s="854">
        <v>344903000000000</v>
      </c>
      <c r="F1934" s="855" t="s">
        <v>8779</v>
      </c>
      <c r="G1934" s="468">
        <v>40</v>
      </c>
      <c r="H1934" s="468">
        <v>0</v>
      </c>
      <c r="I1934" s="751"/>
      <c r="J1934" s="789">
        <f>('Parâmetros financeiros Despesa'!E1430)</f>
        <v>0</v>
      </c>
      <c r="K1934" s="789">
        <f>('Parâmetros financeiros Despesa'!F1430)*(1+'Parâmetros financeiros Despesa'!F$4)*(1+'Parâmetros financeiros Despesa'!F$7)</f>
        <v>1090.3315</v>
      </c>
      <c r="L1934" s="799">
        <f t="shared" si="250"/>
        <v>4.1762708077051539E-4</v>
      </c>
      <c r="M1934" s="894"/>
      <c r="O1934" s="733"/>
    </row>
    <row r="1935" spans="1:15" s="457" customFormat="1" x14ac:dyDescent="0.25">
      <c r="A1935" s="396"/>
      <c r="B1935" s="1398" t="s">
        <v>8813</v>
      </c>
      <c r="C1935" s="1398"/>
      <c r="D1935" s="1398"/>
      <c r="E1935" s="854">
        <v>344903600000000</v>
      </c>
      <c r="F1935" s="855" t="s">
        <v>8780</v>
      </c>
      <c r="G1935" s="468">
        <v>40</v>
      </c>
      <c r="H1935" s="468">
        <v>0</v>
      </c>
      <c r="I1935" s="751"/>
      <c r="J1935" s="789">
        <f>('Parâmetros financeiros Despesa'!E1431)</f>
        <v>0</v>
      </c>
      <c r="K1935" s="789">
        <f>('Parâmetros financeiros Despesa'!F1431)*(1+'Parâmetros financeiros Despesa'!F$4)*(1+'Parâmetros financeiros Despesa'!F$7)</f>
        <v>1090.3315</v>
      </c>
      <c r="L1935" s="799">
        <f t="shared" si="250"/>
        <v>4.1762708077051539E-4</v>
      </c>
      <c r="M1935" s="895"/>
      <c r="O1935" s="734"/>
    </row>
    <row r="1936" spans="1:15" s="457" customFormat="1" x14ac:dyDescent="0.25">
      <c r="A1936" s="396"/>
      <c r="B1936" s="1398" t="s">
        <v>8814</v>
      </c>
      <c r="C1936" s="1398"/>
      <c r="D1936" s="1398"/>
      <c r="E1936" s="854">
        <v>344903900000000</v>
      </c>
      <c r="F1936" s="855" t="s">
        <v>8781</v>
      </c>
      <c r="G1936" s="468">
        <v>40</v>
      </c>
      <c r="H1936" s="468">
        <v>0</v>
      </c>
      <c r="I1936" s="751"/>
      <c r="J1936" s="789">
        <f>('Parâmetros financeiros Despesa'!E1432)</f>
        <v>0</v>
      </c>
      <c r="K1936" s="789">
        <f>('Parâmetros financeiros Despesa'!F1432)*(1+'Parâmetros financeiros Despesa'!F$4)*(1+'Parâmetros financeiros Despesa'!F$7)</f>
        <v>1090.3315</v>
      </c>
      <c r="L1936" s="799">
        <f t="shared" si="250"/>
        <v>4.1762708077051539E-4</v>
      </c>
      <c r="M1936" s="895"/>
      <c r="O1936" s="734"/>
    </row>
    <row r="1937" spans="1:15" s="457" customFormat="1" x14ac:dyDescent="0.25">
      <c r="A1937" s="396"/>
      <c r="B1937" s="1398" t="s">
        <v>8815</v>
      </c>
      <c r="C1937" s="1398"/>
      <c r="D1937" s="1398"/>
      <c r="E1937" s="854">
        <v>344905200000000</v>
      </c>
      <c r="F1937" s="855" t="s">
        <v>8782</v>
      </c>
      <c r="G1937" s="468">
        <v>40</v>
      </c>
      <c r="H1937" s="468">
        <v>0</v>
      </c>
      <c r="I1937" s="751"/>
      <c r="J1937" s="789">
        <f>('Parâmetros financeiros Despesa'!E1433)</f>
        <v>0</v>
      </c>
      <c r="K1937" s="789">
        <f>('Parâmetros financeiros Despesa'!F1433)*(1+'Parâmetros financeiros Despesa'!F$4)*(1+'Parâmetros financeiros Despesa'!F$7)</f>
        <v>5451.6575000000003</v>
      </c>
      <c r="L1937" s="799">
        <f t="shared" si="250"/>
        <v>2.0881354038525773E-3</v>
      </c>
      <c r="M1937" s="895"/>
      <c r="O1937" s="734"/>
    </row>
    <row r="1938" spans="1:15" x14ac:dyDescent="0.25">
      <c r="A1938" s="397"/>
      <c r="B1938" s="1382" t="s">
        <v>8699</v>
      </c>
      <c r="C1938" s="1382"/>
      <c r="D1938" s="1382"/>
      <c r="E1938" s="1382"/>
      <c r="F1938" s="1382"/>
      <c r="G1938" s="405"/>
      <c r="H1938" s="405"/>
      <c r="I1938" s="428"/>
      <c r="J1938" s="406">
        <f t="shared" ref="J1938:K1940" si="251">J1939</f>
        <v>0</v>
      </c>
      <c r="K1938" s="406">
        <f t="shared" si="251"/>
        <v>8940.7183000000005</v>
      </c>
      <c r="L1938" s="453">
        <f t="shared" si="250"/>
        <v>3.4245420623182266E-3</v>
      </c>
    </row>
    <row r="1939" spans="1:15" x14ac:dyDescent="0.25">
      <c r="A1939" s="397"/>
      <c r="B1939" s="1383" t="s">
        <v>8812</v>
      </c>
      <c r="C1939" s="1383"/>
      <c r="D1939" s="1383"/>
      <c r="E1939" s="1383"/>
      <c r="F1939" s="1383"/>
      <c r="G1939" s="407"/>
      <c r="H1939" s="407"/>
      <c r="I1939" s="429"/>
      <c r="J1939" s="408">
        <f t="shared" si="251"/>
        <v>0</v>
      </c>
      <c r="K1939" s="408">
        <f t="shared" si="251"/>
        <v>8940.7183000000005</v>
      </c>
      <c r="L1939" s="454">
        <f t="shared" si="250"/>
        <v>3.4245420623182266E-3</v>
      </c>
    </row>
    <row r="1940" spans="1:15" x14ac:dyDescent="0.25">
      <c r="A1940" s="397"/>
      <c r="B1940" s="1386" t="s">
        <v>8701</v>
      </c>
      <c r="C1940" s="1386"/>
      <c r="D1940" s="1386"/>
      <c r="E1940" s="1386"/>
      <c r="F1940" s="1386"/>
      <c r="G1940" s="403"/>
      <c r="H1940" s="403"/>
      <c r="I1940" s="427"/>
      <c r="J1940" s="404">
        <f t="shared" si="251"/>
        <v>0</v>
      </c>
      <c r="K1940" s="404">
        <f t="shared" si="251"/>
        <v>8940.7183000000005</v>
      </c>
      <c r="L1940" s="452">
        <f t="shared" si="250"/>
        <v>3.4245420623182266E-3</v>
      </c>
    </row>
    <row r="1941" spans="1:15" x14ac:dyDescent="0.25">
      <c r="A1941" s="397"/>
      <c r="B1941" s="1385" t="s">
        <v>8698</v>
      </c>
      <c r="C1941" s="1385"/>
      <c r="D1941" s="1385"/>
      <c r="E1941" s="1385"/>
      <c r="F1941" s="1385"/>
      <c r="G1941" s="401"/>
      <c r="H1941" s="401"/>
      <c r="I1941" s="426"/>
      <c r="J1941" s="402">
        <f>SUM(J1942:J1946)</f>
        <v>0</v>
      </c>
      <c r="K1941" s="402">
        <f>SUM(K1942:K1946)</f>
        <v>8940.7183000000005</v>
      </c>
      <c r="L1941" s="451">
        <f t="shared" si="250"/>
        <v>3.4245420623182266E-3</v>
      </c>
    </row>
    <row r="1942" spans="1:15" x14ac:dyDescent="0.25">
      <c r="A1942" s="396"/>
      <c r="B1942" s="1396">
        <v>601000</v>
      </c>
      <c r="C1942" s="1396"/>
      <c r="D1942" s="1396"/>
      <c r="E1942" s="854">
        <v>333904700000000</v>
      </c>
      <c r="F1942" s="1017" t="s">
        <v>8783</v>
      </c>
      <c r="G1942" s="468">
        <v>40</v>
      </c>
      <c r="H1942" s="468">
        <v>0</v>
      </c>
      <c r="I1942" s="751"/>
      <c r="J1942" s="789">
        <f>('Parâmetros financeiros Despesa'!E1435)</f>
        <v>0</v>
      </c>
      <c r="K1942" s="789">
        <f>('Parâmetros financeiros Despesa'!F1435)*(1+'Parâmetros financeiros Despesa'!F$4)*(1+'Parâmetros financeiros Despesa'!F$7)</f>
        <v>218.06630000000001</v>
      </c>
      <c r="L1942" s="799">
        <f t="shared" si="250"/>
        <v>8.3525416154103091E-5</v>
      </c>
    </row>
    <row r="1943" spans="1:15" s="115" customFormat="1" x14ac:dyDescent="0.25">
      <c r="A1943" s="396"/>
      <c r="B1943" s="1396">
        <v>601100</v>
      </c>
      <c r="C1943" s="1396"/>
      <c r="D1943" s="1396"/>
      <c r="E1943" s="854">
        <v>344903000000000</v>
      </c>
      <c r="F1943" s="855" t="s">
        <v>8784</v>
      </c>
      <c r="G1943" s="468">
        <v>40</v>
      </c>
      <c r="H1943" s="468">
        <v>0</v>
      </c>
      <c r="I1943" s="751"/>
      <c r="J1943" s="789">
        <f>('Parâmetros financeiros Despesa'!E1436)</f>
        <v>0</v>
      </c>
      <c r="K1943" s="789">
        <f>('Parâmetros financeiros Despesa'!F1436)*(1+'Parâmetros financeiros Despesa'!F$4)*(1+'Parâmetros financeiros Despesa'!F$7)</f>
        <v>1090.3315</v>
      </c>
      <c r="L1943" s="799">
        <f t="shared" si="250"/>
        <v>4.1762708077051539E-4</v>
      </c>
      <c r="M1943" s="894"/>
      <c r="O1943" s="733"/>
    </row>
    <row r="1944" spans="1:15" s="457" customFormat="1" x14ac:dyDescent="0.25">
      <c r="A1944" s="396"/>
      <c r="B1944" s="1398" t="s">
        <v>8816</v>
      </c>
      <c r="C1944" s="1398"/>
      <c r="D1944" s="1398"/>
      <c r="E1944" s="854">
        <v>344903600000000</v>
      </c>
      <c r="F1944" s="855" t="s">
        <v>8785</v>
      </c>
      <c r="G1944" s="468">
        <v>40</v>
      </c>
      <c r="H1944" s="468">
        <v>0</v>
      </c>
      <c r="I1944" s="751"/>
      <c r="J1944" s="789">
        <f>('Parâmetros financeiros Despesa'!E1437)</f>
        <v>0</v>
      </c>
      <c r="K1944" s="789">
        <f>('Parâmetros financeiros Despesa'!F1437)*(1+'Parâmetros financeiros Despesa'!F$4)*(1+'Parâmetros financeiros Despesa'!F$7)</f>
        <v>1090.3315</v>
      </c>
      <c r="L1944" s="799">
        <f t="shared" si="250"/>
        <v>4.1762708077051539E-4</v>
      </c>
      <c r="M1944" s="895"/>
      <c r="O1944" s="734"/>
    </row>
    <row r="1945" spans="1:15" s="457" customFormat="1" x14ac:dyDescent="0.25">
      <c r="A1945" s="396"/>
      <c r="B1945" s="1398" t="s">
        <v>8817</v>
      </c>
      <c r="C1945" s="1398"/>
      <c r="D1945" s="1398"/>
      <c r="E1945" s="854">
        <v>344903900000000</v>
      </c>
      <c r="F1945" s="855" t="s">
        <v>8786</v>
      </c>
      <c r="G1945" s="468">
        <v>40</v>
      </c>
      <c r="H1945" s="468">
        <v>0</v>
      </c>
      <c r="I1945" s="751"/>
      <c r="J1945" s="789">
        <f>('Parâmetros financeiros Despesa'!E1438)</f>
        <v>0</v>
      </c>
      <c r="K1945" s="789">
        <f>('Parâmetros financeiros Despesa'!F1438)*(1+'Parâmetros financeiros Despesa'!F$4)*(1+'Parâmetros financeiros Despesa'!F$7)</f>
        <v>1090.3315</v>
      </c>
      <c r="L1945" s="799">
        <f t="shared" si="250"/>
        <v>4.1762708077051539E-4</v>
      </c>
      <c r="M1945" s="895"/>
      <c r="O1945" s="734"/>
    </row>
    <row r="1946" spans="1:15" s="457" customFormat="1" x14ac:dyDescent="0.25">
      <c r="A1946" s="396"/>
      <c r="B1946" s="1398" t="s">
        <v>8818</v>
      </c>
      <c r="C1946" s="1398"/>
      <c r="D1946" s="1398"/>
      <c r="E1946" s="854">
        <v>344905100000000</v>
      </c>
      <c r="F1946" s="855" t="s">
        <v>8787</v>
      </c>
      <c r="G1946" s="468">
        <v>40</v>
      </c>
      <c r="H1946" s="468">
        <v>0</v>
      </c>
      <c r="I1946" s="751"/>
      <c r="J1946" s="789">
        <f>('Parâmetros financeiros Despesa'!E1439)</f>
        <v>0</v>
      </c>
      <c r="K1946" s="789">
        <f>('Parâmetros financeiros Despesa'!F1439)*(1+'Parâmetros financeiros Despesa'!F$4)*(1+'Parâmetros financeiros Despesa'!F$7)</f>
        <v>5451.6575000000003</v>
      </c>
      <c r="L1946" s="799">
        <f t="shared" si="250"/>
        <v>2.0881354038525773E-3</v>
      </c>
      <c r="M1946" s="895"/>
      <c r="O1946" s="734"/>
    </row>
    <row r="1947" spans="1:15" x14ac:dyDescent="0.25">
      <c r="A1947" s="397"/>
      <c r="B1947" s="1382" t="s">
        <v>8699</v>
      </c>
      <c r="C1947" s="1382"/>
      <c r="D1947" s="1382"/>
      <c r="E1947" s="1382"/>
      <c r="F1947" s="1382"/>
      <c r="G1947" s="405"/>
      <c r="H1947" s="405"/>
      <c r="I1947" s="428"/>
      <c r="J1947" s="406">
        <f t="shared" ref="J1947:K1949" si="252">J1948</f>
        <v>0</v>
      </c>
      <c r="K1947" s="406">
        <f t="shared" si="252"/>
        <v>173462.9062</v>
      </c>
      <c r="L1947" s="453">
        <f t="shared" si="250"/>
        <v>6.6441084329193226E-2</v>
      </c>
    </row>
    <row r="1948" spans="1:15" x14ac:dyDescent="0.25">
      <c r="A1948" s="397"/>
      <c r="B1948" s="1383" t="s">
        <v>8812</v>
      </c>
      <c r="C1948" s="1383"/>
      <c r="D1948" s="1383"/>
      <c r="E1948" s="1383"/>
      <c r="F1948" s="1383"/>
      <c r="G1948" s="407"/>
      <c r="H1948" s="407"/>
      <c r="I1948" s="429"/>
      <c r="J1948" s="408">
        <f t="shared" si="252"/>
        <v>0</v>
      </c>
      <c r="K1948" s="408">
        <f t="shared" si="252"/>
        <v>173462.9062</v>
      </c>
      <c r="L1948" s="454">
        <f t="shared" si="250"/>
        <v>6.6441084329193226E-2</v>
      </c>
    </row>
    <row r="1949" spans="1:15" x14ac:dyDescent="0.25">
      <c r="A1949" s="397"/>
      <c r="B1949" s="1386" t="s">
        <v>8702</v>
      </c>
      <c r="C1949" s="1386"/>
      <c r="D1949" s="1386"/>
      <c r="E1949" s="1386"/>
      <c r="F1949" s="1386"/>
      <c r="G1949" s="403"/>
      <c r="H1949" s="403"/>
      <c r="I1949" s="427"/>
      <c r="J1949" s="404">
        <f t="shared" si="252"/>
        <v>0</v>
      </c>
      <c r="K1949" s="404">
        <f t="shared" si="252"/>
        <v>173462.9062</v>
      </c>
      <c r="L1949" s="452">
        <f t="shared" si="250"/>
        <v>6.6441084329193226E-2</v>
      </c>
    </row>
    <row r="1950" spans="1:15" x14ac:dyDescent="0.25">
      <c r="A1950" s="397"/>
      <c r="B1950" s="1385" t="s">
        <v>8698</v>
      </c>
      <c r="C1950" s="1385"/>
      <c r="D1950" s="1385"/>
      <c r="E1950" s="1385"/>
      <c r="F1950" s="1385"/>
      <c r="G1950" s="401"/>
      <c r="H1950" s="401"/>
      <c r="I1950" s="426"/>
      <c r="J1950" s="402">
        <f>SUM(J1951:J1955)</f>
        <v>0</v>
      </c>
      <c r="K1950" s="402">
        <f>SUM(K1951:K1955)+0.01</f>
        <v>173462.9062</v>
      </c>
      <c r="L1950" s="451">
        <f t="shared" si="250"/>
        <v>6.6441084329193226E-2</v>
      </c>
    </row>
    <row r="1951" spans="1:15" x14ac:dyDescent="0.25">
      <c r="A1951" s="396"/>
      <c r="B1951" s="1396">
        <v>602000</v>
      </c>
      <c r="C1951" s="1396"/>
      <c r="D1951" s="1396"/>
      <c r="E1951" s="854">
        <v>333904700000000</v>
      </c>
      <c r="F1951" s="1017" t="s">
        <v>8788</v>
      </c>
      <c r="G1951" s="468">
        <v>40</v>
      </c>
      <c r="H1951" s="468">
        <v>0</v>
      </c>
      <c r="I1951" s="751"/>
      <c r="J1951" s="789">
        <f>('Parâmetros financeiros Despesa'!E1441)</f>
        <v>0</v>
      </c>
      <c r="K1951" s="789">
        <f>('Parâmetros financeiros Despesa'!F1441)*(1+'Parâmetros financeiros Despesa'!F$4)*(1+'Parâmetros financeiros Despesa'!F$7)</f>
        <v>327.09944999999999</v>
      </c>
      <c r="L1951" s="799">
        <f t="shared" si="250"/>
        <v>1.2528812423115462E-4</v>
      </c>
    </row>
    <row r="1952" spans="1:15" s="115" customFormat="1" x14ac:dyDescent="0.25">
      <c r="A1952" s="396"/>
      <c r="B1952" s="1396">
        <v>602100</v>
      </c>
      <c r="C1952" s="1396"/>
      <c r="D1952" s="1396"/>
      <c r="E1952" s="854">
        <v>344903000000000</v>
      </c>
      <c r="F1952" s="855" t="s">
        <v>8791</v>
      </c>
      <c r="G1952" s="468">
        <v>40</v>
      </c>
      <c r="H1952" s="468">
        <v>0</v>
      </c>
      <c r="I1952" s="751"/>
      <c r="J1952" s="789">
        <f>('Parâmetros financeiros Despesa'!E1442)</f>
        <v>0</v>
      </c>
      <c r="K1952" s="789">
        <f>('Parâmetros financeiros Despesa'!F1442)*(1+'Parâmetros financeiros Despesa'!F$4)*(1+'Parâmetros financeiros Despesa'!F$7)</f>
        <v>1635.4972500000001</v>
      </c>
      <c r="L1952" s="799">
        <f t="shared" si="250"/>
        <v>6.2644062115577311E-4</v>
      </c>
      <c r="M1952" s="894"/>
      <c r="O1952" s="733"/>
    </row>
    <row r="1953" spans="1:15" s="457" customFormat="1" x14ac:dyDescent="0.25">
      <c r="A1953" s="396"/>
      <c r="B1953" s="1398" t="s">
        <v>8819</v>
      </c>
      <c r="C1953" s="1398"/>
      <c r="D1953" s="1398"/>
      <c r="E1953" s="854">
        <v>344903600000000</v>
      </c>
      <c r="F1953" s="855" t="s">
        <v>8790</v>
      </c>
      <c r="G1953" s="468">
        <v>40</v>
      </c>
      <c r="H1953" s="468">
        <v>0</v>
      </c>
      <c r="I1953" s="751"/>
      <c r="J1953" s="789">
        <f>('Parâmetros financeiros Despesa'!E1443)</f>
        <v>0</v>
      </c>
      <c r="K1953" s="789">
        <f>('Parâmetros financeiros Despesa'!F1443)*(1+'Parâmetros financeiros Despesa'!F$4)*(1+'Parâmetros financeiros Despesa'!F$7)</f>
        <v>1635.4972500000001</v>
      </c>
      <c r="L1953" s="799">
        <f t="shared" si="250"/>
        <v>6.2644062115577311E-4</v>
      </c>
      <c r="M1953" s="895"/>
      <c r="O1953" s="734"/>
    </row>
    <row r="1954" spans="1:15" s="457" customFormat="1" x14ac:dyDescent="0.25">
      <c r="A1954" s="396"/>
      <c r="B1954" s="1398" t="s">
        <v>8820</v>
      </c>
      <c r="C1954" s="1398"/>
      <c r="D1954" s="1398"/>
      <c r="E1954" s="854">
        <v>344903900000000</v>
      </c>
      <c r="F1954" s="855" t="s">
        <v>8789</v>
      </c>
      <c r="G1954" s="468">
        <v>40</v>
      </c>
      <c r="H1954" s="468">
        <v>0</v>
      </c>
      <c r="I1954" s="751"/>
      <c r="J1954" s="789">
        <f>('Parâmetros financeiros Despesa'!E1444)</f>
        <v>0</v>
      </c>
      <c r="K1954" s="789">
        <f>('Parâmetros financeiros Despesa'!F1444)*(1+'Parâmetros financeiros Despesa'!F$4)*(1+'Parâmetros financeiros Despesa'!F$7)</f>
        <v>1635.4972500000001</v>
      </c>
      <c r="L1954" s="799">
        <f t="shared" si="250"/>
        <v>6.2644062115577311E-4</v>
      </c>
      <c r="M1954" s="895"/>
      <c r="O1954" s="734"/>
    </row>
    <row r="1955" spans="1:15" s="457" customFormat="1" x14ac:dyDescent="0.25">
      <c r="A1955" s="396"/>
      <c r="B1955" s="1398" t="s">
        <v>8821</v>
      </c>
      <c r="C1955" s="1398"/>
      <c r="D1955" s="1398"/>
      <c r="E1955" s="854">
        <v>344905200000000</v>
      </c>
      <c r="F1955" s="855" t="s">
        <v>8792</v>
      </c>
      <c r="G1955" s="468">
        <v>40</v>
      </c>
      <c r="H1955" s="468">
        <v>0</v>
      </c>
      <c r="I1955" s="751"/>
      <c r="J1955" s="789">
        <f>('Parâmetros financeiros Despesa'!E1445)</f>
        <v>0</v>
      </c>
      <c r="K1955" s="789">
        <f>('Parâmetros financeiros Despesa'!F1445)*(1+'Parâmetros financeiros Despesa'!F$4)*(1+'Parâmetros financeiros Despesa'!F$7)+'Parâmetros financeiros Despesa'!F1670</f>
        <v>168229.30499999999</v>
      </c>
      <c r="L1955" s="799">
        <f t="shared" si="250"/>
        <v>6.4436470511218535E-2</v>
      </c>
      <c r="M1955" s="895"/>
      <c r="O1955" s="734"/>
    </row>
    <row r="1956" spans="1:15" x14ac:dyDescent="0.25">
      <c r="A1956" s="397"/>
      <c r="B1956" s="1382" t="s">
        <v>8699</v>
      </c>
      <c r="C1956" s="1382"/>
      <c r="D1956" s="1382"/>
      <c r="E1956" s="1382"/>
      <c r="F1956" s="1382"/>
      <c r="G1956" s="405"/>
      <c r="H1956" s="405"/>
      <c r="I1956" s="428"/>
      <c r="J1956" s="406">
        <f t="shared" ref="J1956:K1958" si="253">J1957</f>
        <v>0</v>
      </c>
      <c r="K1956" s="406">
        <f t="shared" si="253"/>
        <v>10685.2587</v>
      </c>
      <c r="L1956" s="453">
        <f t="shared" si="250"/>
        <v>4.0927492218272628E-3</v>
      </c>
    </row>
    <row r="1957" spans="1:15" x14ac:dyDescent="0.25">
      <c r="A1957" s="397"/>
      <c r="B1957" s="1383" t="s">
        <v>8812</v>
      </c>
      <c r="C1957" s="1383"/>
      <c r="D1957" s="1383"/>
      <c r="E1957" s="1383"/>
      <c r="F1957" s="1383"/>
      <c r="G1957" s="407"/>
      <c r="H1957" s="407"/>
      <c r="I1957" s="429"/>
      <c r="J1957" s="408">
        <f t="shared" si="253"/>
        <v>0</v>
      </c>
      <c r="K1957" s="408">
        <f t="shared" si="253"/>
        <v>10685.2587</v>
      </c>
      <c r="L1957" s="454">
        <f t="shared" si="250"/>
        <v>4.0927492218272628E-3</v>
      </c>
    </row>
    <row r="1958" spans="1:15" x14ac:dyDescent="0.25">
      <c r="A1958" s="397"/>
      <c r="B1958" s="1386" t="s">
        <v>8731</v>
      </c>
      <c r="C1958" s="1386"/>
      <c r="D1958" s="1386"/>
      <c r="E1958" s="1386"/>
      <c r="F1958" s="1386"/>
      <c r="G1958" s="403"/>
      <c r="H1958" s="403"/>
      <c r="I1958" s="427"/>
      <c r="J1958" s="404">
        <f t="shared" si="253"/>
        <v>0</v>
      </c>
      <c r="K1958" s="404">
        <f t="shared" si="253"/>
        <v>10685.2587</v>
      </c>
      <c r="L1958" s="452">
        <f t="shared" si="250"/>
        <v>4.0927492218272628E-3</v>
      </c>
    </row>
    <row r="1959" spans="1:15" x14ac:dyDescent="0.25">
      <c r="A1959" s="397"/>
      <c r="B1959" s="1385" t="s">
        <v>8698</v>
      </c>
      <c r="C1959" s="1385"/>
      <c r="D1959" s="1385"/>
      <c r="E1959" s="1385"/>
      <c r="F1959" s="1385"/>
      <c r="G1959" s="401"/>
      <c r="H1959" s="401"/>
      <c r="I1959" s="426"/>
      <c r="J1959" s="402">
        <f>SUM(J1960:J1964)</f>
        <v>0</v>
      </c>
      <c r="K1959" s="402">
        <f>SUM(K1960:K1964)+0.01</f>
        <v>10685.2587</v>
      </c>
      <c r="L1959" s="451">
        <f t="shared" si="250"/>
        <v>4.0927492218272628E-3</v>
      </c>
    </row>
    <row r="1960" spans="1:15" x14ac:dyDescent="0.25">
      <c r="A1960" s="396"/>
      <c r="B1960" s="1396">
        <v>603000</v>
      </c>
      <c r="C1960" s="1396"/>
      <c r="D1960" s="1396"/>
      <c r="E1960" s="854">
        <v>333904700000000</v>
      </c>
      <c r="F1960" s="1017" t="s">
        <v>8793</v>
      </c>
      <c r="G1960" s="468">
        <v>40</v>
      </c>
      <c r="H1960" s="468">
        <v>0</v>
      </c>
      <c r="I1960" s="751"/>
      <c r="J1960" s="789">
        <f>('Parâmetros financeiros Despesa'!E1447)</f>
        <v>0</v>
      </c>
      <c r="K1960" s="789">
        <f>('Parâmetros financeiros Despesa'!F1447)*(1+'Parâmetros financeiros Despesa'!F$4)*(1+'Parâmetros financeiros Despesa'!F$7)</f>
        <v>327.09944999999999</v>
      </c>
      <c r="L1960" s="799">
        <f t="shared" si="250"/>
        <v>1.2528812423115462E-4</v>
      </c>
    </row>
    <row r="1961" spans="1:15" s="115" customFormat="1" x14ac:dyDescent="0.25">
      <c r="A1961" s="396"/>
      <c r="B1961" s="1396">
        <v>603100</v>
      </c>
      <c r="C1961" s="1396"/>
      <c r="D1961" s="1396"/>
      <c r="E1961" s="854">
        <v>344903000000000</v>
      </c>
      <c r="F1961" s="855" t="s">
        <v>8794</v>
      </c>
      <c r="G1961" s="468">
        <v>40</v>
      </c>
      <c r="H1961" s="468">
        <v>0</v>
      </c>
      <c r="I1961" s="751"/>
      <c r="J1961" s="789">
        <f>('Parâmetros financeiros Despesa'!E1448)</f>
        <v>0</v>
      </c>
      <c r="K1961" s="789">
        <f>('Parâmetros financeiros Despesa'!F1448)*(1+'Parâmetros financeiros Despesa'!F$4)*(1+'Parâmetros financeiros Despesa'!F$7)</f>
        <v>1635.4972500000001</v>
      </c>
      <c r="L1961" s="799">
        <f t="shared" ref="L1961:L1992" si="254">K1961/K$2234</f>
        <v>6.2644062115577311E-4</v>
      </c>
      <c r="M1961" s="894"/>
      <c r="O1961" s="733"/>
    </row>
    <row r="1962" spans="1:15" s="457" customFormat="1" x14ac:dyDescent="0.25">
      <c r="A1962" s="396"/>
      <c r="B1962" s="1398" t="s">
        <v>8822</v>
      </c>
      <c r="C1962" s="1398"/>
      <c r="D1962" s="1398"/>
      <c r="E1962" s="854">
        <v>344903600000000</v>
      </c>
      <c r="F1962" s="855" t="s">
        <v>8795</v>
      </c>
      <c r="G1962" s="468">
        <v>40</v>
      </c>
      <c r="H1962" s="468">
        <v>0</v>
      </c>
      <c r="I1962" s="751"/>
      <c r="J1962" s="789">
        <f>('Parâmetros financeiros Despesa'!E1449)</f>
        <v>0</v>
      </c>
      <c r="K1962" s="789">
        <f>('Parâmetros financeiros Despesa'!F1449)*(1+'Parâmetros financeiros Despesa'!F$4)*(1+'Parâmetros financeiros Despesa'!F$7)</f>
        <v>1635.4972500000001</v>
      </c>
      <c r="L1962" s="799">
        <f t="shared" si="254"/>
        <v>6.2644062115577311E-4</v>
      </c>
      <c r="M1962" s="895"/>
      <c r="O1962" s="734"/>
    </row>
    <row r="1963" spans="1:15" s="457" customFormat="1" x14ac:dyDescent="0.25">
      <c r="A1963" s="396"/>
      <c r="B1963" s="1398" t="s">
        <v>8823</v>
      </c>
      <c r="C1963" s="1398"/>
      <c r="D1963" s="1398"/>
      <c r="E1963" s="854">
        <v>344903900000000</v>
      </c>
      <c r="F1963" s="855" t="s">
        <v>8796</v>
      </c>
      <c r="G1963" s="468">
        <v>40</v>
      </c>
      <c r="H1963" s="468">
        <v>0</v>
      </c>
      <c r="I1963" s="751"/>
      <c r="J1963" s="789">
        <f>('Parâmetros financeiros Despesa'!E1450)</f>
        <v>0</v>
      </c>
      <c r="K1963" s="789">
        <f>('Parâmetros financeiros Despesa'!F1450)*(1+'Parâmetros financeiros Despesa'!F$4)*(1+'Parâmetros financeiros Despesa'!F$7)</f>
        <v>1635.4972500000001</v>
      </c>
      <c r="L1963" s="799">
        <f t="shared" si="254"/>
        <v>6.2644062115577311E-4</v>
      </c>
      <c r="M1963" s="895"/>
      <c r="O1963" s="734"/>
    </row>
    <row r="1964" spans="1:15" s="457" customFormat="1" ht="30" x14ac:dyDescent="0.25">
      <c r="A1964" s="396"/>
      <c r="B1964" s="1398" t="s">
        <v>8824</v>
      </c>
      <c r="C1964" s="1398"/>
      <c r="D1964" s="1398"/>
      <c r="E1964" s="854">
        <v>344905200000000</v>
      </c>
      <c r="F1964" s="855" t="s">
        <v>8797</v>
      </c>
      <c r="G1964" s="468">
        <v>40</v>
      </c>
      <c r="H1964" s="468">
        <v>0</v>
      </c>
      <c r="I1964" s="751"/>
      <c r="J1964" s="789">
        <f>('Parâmetros financeiros Despesa'!E1451)</f>
        <v>0</v>
      </c>
      <c r="K1964" s="789">
        <f>('Parâmetros financeiros Despesa'!F1451)*(1+'Parâmetros financeiros Despesa'!F$4)*(1+'Parâmetros financeiros Despesa'!F$7)</f>
        <v>5451.6575000000003</v>
      </c>
      <c r="L1964" s="799">
        <f t="shared" si="254"/>
        <v>2.0881354038525773E-3</v>
      </c>
      <c r="M1964" s="895"/>
      <c r="O1964" s="734"/>
    </row>
    <row r="1965" spans="1:15" x14ac:dyDescent="0.25">
      <c r="A1965" s="397"/>
      <c r="B1965" s="1382" t="s">
        <v>8699</v>
      </c>
      <c r="C1965" s="1382"/>
      <c r="D1965" s="1382"/>
      <c r="E1965" s="1382"/>
      <c r="F1965" s="1382"/>
      <c r="G1965" s="405"/>
      <c r="H1965" s="405"/>
      <c r="I1965" s="428"/>
      <c r="J1965" s="406">
        <f t="shared" ref="J1965:K1967" si="255">J1966</f>
        <v>1844097.1306000003</v>
      </c>
      <c r="K1965" s="406">
        <f t="shared" si="255"/>
        <v>1628279.9749748453</v>
      </c>
      <c r="L1965" s="453">
        <f t="shared" si="254"/>
        <v>0.62367620547130165</v>
      </c>
    </row>
    <row r="1966" spans="1:15" x14ac:dyDescent="0.25">
      <c r="A1966" s="397"/>
      <c r="B1966" s="1383" t="s">
        <v>8812</v>
      </c>
      <c r="C1966" s="1383"/>
      <c r="D1966" s="1383"/>
      <c r="E1966" s="1383"/>
      <c r="F1966" s="1383"/>
      <c r="G1966" s="407"/>
      <c r="H1966" s="407"/>
      <c r="I1966" s="429"/>
      <c r="J1966" s="408">
        <f t="shared" si="255"/>
        <v>1844097.1306000003</v>
      </c>
      <c r="K1966" s="408">
        <f t="shared" si="255"/>
        <v>1628279.9749748453</v>
      </c>
      <c r="L1966" s="454">
        <f t="shared" si="254"/>
        <v>0.62367620547130165</v>
      </c>
    </row>
    <row r="1967" spans="1:15" x14ac:dyDescent="0.25">
      <c r="A1967" s="397"/>
      <c r="B1967" s="1385" t="s">
        <v>8698</v>
      </c>
      <c r="C1967" s="1385"/>
      <c r="D1967" s="1385"/>
      <c r="E1967" s="1385"/>
      <c r="F1967" s="1385"/>
      <c r="G1967" s="401"/>
      <c r="H1967" s="401"/>
      <c r="I1967" s="426"/>
      <c r="J1967" s="402">
        <f t="shared" si="255"/>
        <v>1844097.1306000003</v>
      </c>
      <c r="K1967" s="402">
        <f t="shared" si="255"/>
        <v>1628279.9749748453</v>
      </c>
      <c r="L1967" s="451">
        <f t="shared" si="254"/>
        <v>0.62367620547130165</v>
      </c>
    </row>
    <row r="1968" spans="1:15" x14ac:dyDescent="0.25">
      <c r="A1968" s="397"/>
      <c r="B1968" s="1386" t="s">
        <v>8825</v>
      </c>
      <c r="C1968" s="1386"/>
      <c r="D1968" s="1386"/>
      <c r="E1968" s="1386"/>
      <c r="F1968" s="1386"/>
      <c r="G1968" s="403"/>
      <c r="H1968" s="403"/>
      <c r="I1968" s="427"/>
      <c r="J1968" s="404">
        <f>SUM(J1969:J1984)</f>
        <v>1844097.1306000003</v>
      </c>
      <c r="K1968" s="404">
        <f>SUM(K1969:K1984)+0.01</f>
        <v>1628279.9749748453</v>
      </c>
      <c r="L1968" s="452">
        <f t="shared" si="254"/>
        <v>0.62367620547130165</v>
      </c>
    </row>
    <row r="1969" spans="1:15" s="115" customFormat="1" x14ac:dyDescent="0.25">
      <c r="A1969" s="396"/>
      <c r="B1969" s="1398" t="s">
        <v>8826</v>
      </c>
      <c r="C1969" s="1398"/>
      <c r="D1969" s="1398"/>
      <c r="E1969" s="854">
        <v>331900400000000</v>
      </c>
      <c r="F1969" s="855" t="s">
        <v>8798</v>
      </c>
      <c r="G1969" s="468">
        <v>40</v>
      </c>
      <c r="H1969" s="468">
        <v>0</v>
      </c>
      <c r="I1969" s="751"/>
      <c r="J1969" s="789">
        <f>(('Parâmetros financeiros Despesa'!E1453))</f>
        <v>108982.08</v>
      </c>
      <c r="K1969" s="789">
        <f>(('Parâmetros financeiros Despesa'!F1453)*2.05+(('Parâmetros financeiros Despesa'!F1453)*11.28)*(1+'Parâmetros financeiros Despesa'!F$4)*(1+'Parâmetros financeiros Despesa'!F$8))*(1+'Parâmetros financeiros Despesa'!F$80)</f>
        <v>128445.08548383461</v>
      </c>
      <c r="L1969" s="799">
        <f t="shared" si="254"/>
        <v>4.9198015548420966E-2</v>
      </c>
      <c r="M1969" s="894"/>
      <c r="O1969" s="733"/>
    </row>
    <row r="1970" spans="1:15" s="115" customFormat="1" x14ac:dyDescent="0.25">
      <c r="A1970" s="396"/>
      <c r="B1970" s="1004"/>
      <c r="C1970" s="1004"/>
      <c r="D1970" s="1004" t="s">
        <v>11563</v>
      </c>
      <c r="E1970" s="854">
        <v>331900800000000</v>
      </c>
      <c r="F1970" s="855" t="s">
        <v>11596</v>
      </c>
      <c r="G1970" s="468">
        <v>1</v>
      </c>
      <c r="H1970" s="468">
        <v>0</v>
      </c>
      <c r="I1970" s="751"/>
      <c r="J1970" s="789">
        <f>'Parâmetros financeiros Despesa'!E1454</f>
        <v>63969.336999999992</v>
      </c>
      <c r="K1970" s="789">
        <f>(('Parâmetros financeiros Despesa'!F1454)*2.05+(('Parâmetros financeiros Despesa'!F1454)*11.28)*(1+'Parâmetros financeiros Despesa'!F$4)*(1+'Parâmetros financeiros Despesa'!F$8))</f>
        <v>66972.635275457636</v>
      </c>
      <c r="L1970" s="799">
        <f t="shared" si="254"/>
        <v>2.565236917542767E-2</v>
      </c>
      <c r="M1970" s="894"/>
      <c r="O1970" s="733"/>
    </row>
    <row r="1971" spans="1:15" s="115" customFormat="1" x14ac:dyDescent="0.25">
      <c r="A1971" s="396"/>
      <c r="B1971" s="1398" t="s">
        <v>8828</v>
      </c>
      <c r="C1971" s="1398"/>
      <c r="D1971" s="1398"/>
      <c r="E1971" s="854">
        <v>331901100000000</v>
      </c>
      <c r="F1971" s="855" t="s">
        <v>8838</v>
      </c>
      <c r="G1971" s="468">
        <v>40</v>
      </c>
      <c r="H1971" s="468">
        <v>0</v>
      </c>
      <c r="I1971" s="751"/>
      <c r="J1971" s="789">
        <f>('Parâmetros financeiros Despesa'!E1455)</f>
        <v>807621.64409999992</v>
      </c>
      <c r="K1971" s="789">
        <f>('Parâmetros financeiros Despesa'!F1455)*2.05+(('Parâmetros financeiros Despesa'!F1455)*11.28)*(1+'Parâmetros financeiros Despesa'!F$4)*(1+'Parâmetros financeiros Despesa'!F$8)</f>
        <v>845538.69631124602</v>
      </c>
      <c r="L1971" s="799">
        <f t="shared" si="254"/>
        <v>0.32386467548536663</v>
      </c>
      <c r="M1971" s="894"/>
      <c r="O1971" s="733"/>
    </row>
    <row r="1972" spans="1:15" s="115" customFormat="1" x14ac:dyDescent="0.25">
      <c r="A1972" s="396"/>
      <c r="B1972" s="1398" t="s">
        <v>8827</v>
      </c>
      <c r="C1972" s="1398"/>
      <c r="D1972" s="1398"/>
      <c r="E1972" s="854">
        <v>331901300000000</v>
      </c>
      <c r="F1972" s="855" t="s">
        <v>8799</v>
      </c>
      <c r="G1972" s="468">
        <v>40</v>
      </c>
      <c r="H1972" s="468">
        <v>0</v>
      </c>
      <c r="I1972" s="751"/>
      <c r="J1972" s="789">
        <f>'Parâmetros financeiros Despesa'!E1456</f>
        <v>281634</v>
      </c>
      <c r="K1972" s="789">
        <f>(K1973+K1971)*'Parâmetros financeiros Despesa'!F80</f>
        <v>211286.08892374753</v>
      </c>
      <c r="L1972" s="799">
        <f t="shared" si="254"/>
        <v>8.0928408034294352E-2</v>
      </c>
      <c r="M1972" s="894"/>
      <c r="O1972" s="733"/>
    </row>
    <row r="1973" spans="1:15" s="115" customFormat="1" x14ac:dyDescent="0.25">
      <c r="A1973" s="396"/>
      <c r="B1973" s="1398" t="s">
        <v>8829</v>
      </c>
      <c r="C1973" s="1398"/>
      <c r="D1973" s="1398"/>
      <c r="E1973" s="854">
        <v>331901600000000</v>
      </c>
      <c r="F1973" s="855" t="s">
        <v>8800</v>
      </c>
      <c r="G1973" s="468">
        <v>40</v>
      </c>
      <c r="H1973" s="468">
        <v>0</v>
      </c>
      <c r="I1973" s="751"/>
      <c r="J1973" s="789">
        <f>('Parâmetros financeiros Despesa'!E1457)</f>
        <v>101314.0395</v>
      </c>
      <c r="K1973" s="789">
        <f>('Parâmetros financeiros Despesa'!F1457)*2.05+(('Parâmetros financeiros Despesa'!F1457)*11.28)*(1+'Parâmetros financeiros Despesa'!F$4)*(1+'Parâmetros financeiros Despesa'!F$8)</f>
        <v>41867.491680671184</v>
      </c>
      <c r="L1973" s="799">
        <f t="shared" si="254"/>
        <v>1.6036405744292031E-2</v>
      </c>
      <c r="M1973" s="894"/>
      <c r="O1973" s="733"/>
    </row>
    <row r="1974" spans="1:15" s="115" customFormat="1" x14ac:dyDescent="0.25">
      <c r="A1974" s="396"/>
      <c r="B1974" s="1398" t="s">
        <v>8830</v>
      </c>
      <c r="C1974" s="1398"/>
      <c r="D1974" s="1398"/>
      <c r="E1974" s="854">
        <v>333901400000000</v>
      </c>
      <c r="F1974" s="855" t="s">
        <v>8801</v>
      </c>
      <c r="G1974" s="468">
        <v>40</v>
      </c>
      <c r="H1974" s="468">
        <v>0</v>
      </c>
      <c r="I1974" s="751"/>
      <c r="J1974" s="789">
        <f>('Parâmetros financeiros Despesa'!E1458)</f>
        <v>17424</v>
      </c>
      <c r="K1974" s="789">
        <f>('Parâmetros financeiros Despesa'!F1458)*2+(('Parâmetros financeiros Despesa'!F1458)*10)*(1+'Parâmetros financeiros Despesa'!F$4)*(1+'Parâmetros financeiros Despesa'!F$8)</f>
        <v>18229.590401990121</v>
      </c>
      <c r="L1974" s="799">
        <f t="shared" si="254"/>
        <v>6.9824366472264086E-3</v>
      </c>
      <c r="M1974" s="894"/>
      <c r="O1974" s="733"/>
    </row>
    <row r="1975" spans="1:15" s="115" customFormat="1" x14ac:dyDescent="0.25">
      <c r="A1975" s="396"/>
      <c r="B1975" s="1396">
        <v>610500</v>
      </c>
      <c r="C1975" s="1396"/>
      <c r="D1975" s="1396"/>
      <c r="E1975" s="854">
        <v>333903000000000</v>
      </c>
      <c r="F1975" s="855" t="s">
        <v>8802</v>
      </c>
      <c r="G1975" s="468">
        <v>40</v>
      </c>
      <c r="H1975" s="468">
        <v>0</v>
      </c>
      <c r="I1975" s="751"/>
      <c r="J1975" s="789">
        <f>('Parâmetros financeiros Despesa'!E1459)</f>
        <v>15687.285</v>
      </c>
      <c r="K1975" s="789">
        <f>('Parâmetros financeiros Despesa'!F1459*(1+'Parâmetros financeiros Despesa'!F$4)*(1+'Parâmetros financeiros Despesa'!F$7))</f>
        <v>17104.340984977502</v>
      </c>
      <c r="L1975" s="799">
        <f t="shared" si="254"/>
        <v>6.5514350397650953E-3</v>
      </c>
      <c r="M1975" s="894"/>
      <c r="O1975" s="733"/>
    </row>
    <row r="1976" spans="1:15" s="115" customFormat="1" x14ac:dyDescent="0.25">
      <c r="A1976" s="396"/>
      <c r="B1976" s="1396">
        <v>610600</v>
      </c>
      <c r="C1976" s="1396"/>
      <c r="D1976" s="1396"/>
      <c r="E1976" s="854">
        <v>333903200000000</v>
      </c>
      <c r="F1976" s="855" t="s">
        <v>8803</v>
      </c>
      <c r="G1976" s="468">
        <v>40</v>
      </c>
      <c r="H1976" s="468">
        <v>0</v>
      </c>
      <c r="I1976" s="751"/>
      <c r="J1976" s="789">
        <f>('Parâmetros financeiros Despesa'!E1460)</f>
        <v>59794.035000000003</v>
      </c>
      <c r="K1976" s="789">
        <f>('Parâmetros financeiros Despesa'!F1460*(1+'Parâmetros financeiros Despesa'!F$4)*(1+'Parâmetros financeiros Despesa'!F$7))</f>
        <v>65419.89</v>
      </c>
      <c r="L1976" s="799">
        <f t="shared" si="254"/>
        <v>2.5057624846230926E-2</v>
      </c>
      <c r="M1976" s="894"/>
      <c r="O1976" s="733"/>
    </row>
    <row r="1977" spans="1:15" s="115" customFormat="1" x14ac:dyDescent="0.25">
      <c r="A1977" s="396"/>
      <c r="B1977" s="1396">
        <v>610700</v>
      </c>
      <c r="C1977" s="1396"/>
      <c r="D1977" s="1396"/>
      <c r="E1977" s="854">
        <v>333903300000000</v>
      </c>
      <c r="F1977" s="855" t="s">
        <v>8804</v>
      </c>
      <c r="G1977" s="468">
        <v>40</v>
      </c>
      <c r="H1977" s="468">
        <v>0</v>
      </c>
      <c r="I1977" s="751"/>
      <c r="J1977" s="789">
        <f>('Parâmetros financeiros Despesa'!E1461)</f>
        <v>333.97500000000002</v>
      </c>
      <c r="K1977" s="789">
        <f>('Parâmetros financeiros Despesa'!F1461*(1+'Parâmetros financeiros Despesa'!F$4)*(1+'Parâmetros financeiros Despesa'!F$7))</f>
        <v>364.14346271250002</v>
      </c>
      <c r="L1977" s="799">
        <f t="shared" si="254"/>
        <v>1.394770043003329E-4</v>
      </c>
      <c r="M1977" s="894"/>
      <c r="O1977" s="733"/>
    </row>
    <row r="1978" spans="1:15" s="115" customFormat="1" x14ac:dyDescent="0.25">
      <c r="A1978" s="396"/>
      <c r="B1978" s="1398" t="s">
        <v>8831</v>
      </c>
      <c r="C1978" s="1398"/>
      <c r="D1978" s="1398"/>
      <c r="E1978" s="854">
        <v>333903500000000</v>
      </c>
      <c r="F1978" s="855" t="s">
        <v>8805</v>
      </c>
      <c r="G1978" s="468">
        <v>40</v>
      </c>
      <c r="H1978" s="468">
        <v>0</v>
      </c>
      <c r="I1978" s="751"/>
      <c r="J1978" s="789">
        <f>('Parâmetros financeiros Despesa'!E1462)</f>
        <v>0</v>
      </c>
      <c r="K1978" s="789">
        <f>('Parâmetros financeiros Despesa'!F1462*(1+'Parâmetros financeiros Despesa'!F$4)*(1+'Parâmetros financeiros Despesa'!F$7))</f>
        <v>3270.9945000000002</v>
      </c>
      <c r="L1978" s="799">
        <f t="shared" si="254"/>
        <v>1.2528812423115462E-3</v>
      </c>
      <c r="M1978" s="894"/>
      <c r="O1978" s="733"/>
    </row>
    <row r="1979" spans="1:15" s="115" customFormat="1" x14ac:dyDescent="0.25">
      <c r="A1979" s="396"/>
      <c r="B1979" s="1398" t="s">
        <v>8832</v>
      </c>
      <c r="C1979" s="1398"/>
      <c r="D1979" s="1398"/>
      <c r="E1979" s="854">
        <v>333903600000000</v>
      </c>
      <c r="F1979" s="855" t="s">
        <v>8806</v>
      </c>
      <c r="G1979" s="468">
        <v>40</v>
      </c>
      <c r="H1979" s="468">
        <v>0</v>
      </c>
      <c r="I1979" s="751"/>
      <c r="J1979" s="789">
        <f>('Parâmetros financeiros Despesa'!E1463)</f>
        <v>41113.5</v>
      </c>
      <c r="K1979" s="789">
        <f>('Parâmetros financeiros Despesa'!F1463*(1+'Parâmetros financeiros Despesa'!F$4)*(1+'Parâmetros financeiros Despesa'!F$7))</f>
        <v>43613.26</v>
      </c>
      <c r="L1979" s="799">
        <f t="shared" si="254"/>
        <v>1.6705083230820619E-2</v>
      </c>
      <c r="M1979" s="894"/>
      <c r="O1979" s="733"/>
    </row>
    <row r="1980" spans="1:15" s="115" customFormat="1" ht="15" customHeight="1" x14ac:dyDescent="0.25">
      <c r="A1980" s="396"/>
      <c r="B1980" s="1398" t="s">
        <v>8833</v>
      </c>
      <c r="C1980" s="1398"/>
      <c r="D1980" s="1398"/>
      <c r="E1980" s="854">
        <v>333903900000000</v>
      </c>
      <c r="F1980" s="855" t="s">
        <v>8807</v>
      </c>
      <c r="G1980" s="468">
        <v>40</v>
      </c>
      <c r="H1980" s="468">
        <v>0</v>
      </c>
      <c r="I1980" s="751"/>
      <c r="J1980" s="789">
        <f>('Parâmetros financeiros Despesa'!E1464)</f>
        <v>316689.28500000003</v>
      </c>
      <c r="K1980" s="789">
        <f>('Parâmetros financeiros Despesa'!F1464*(1+'Parâmetros financeiros Despesa'!F$4)*(1+'Parâmetros financeiros Despesa'!F$7))</f>
        <v>152527.74922285503</v>
      </c>
      <c r="L1980" s="799">
        <f t="shared" si="254"/>
        <v>5.842234095267191E-2</v>
      </c>
      <c r="M1980" s="894"/>
      <c r="O1980" s="733"/>
    </row>
    <row r="1981" spans="1:15" s="115" customFormat="1" ht="15" customHeight="1" x14ac:dyDescent="0.25">
      <c r="A1981" s="396"/>
      <c r="B1981" s="1398" t="s">
        <v>8834</v>
      </c>
      <c r="C1981" s="1398"/>
      <c r="D1981" s="1398"/>
      <c r="E1981" s="854">
        <v>333904700000000</v>
      </c>
      <c r="F1981" s="855" t="s">
        <v>8808</v>
      </c>
      <c r="G1981" s="468">
        <v>40</v>
      </c>
      <c r="H1981" s="468">
        <v>0</v>
      </c>
      <c r="I1981" s="751"/>
      <c r="J1981" s="789">
        <f>('Parâmetros financeiros Despesa'!E1465)</f>
        <v>14575.994999999999</v>
      </c>
      <c r="K1981" s="789">
        <f>K1976*('Parâmetros financeiros Despesa'!F$83)</f>
        <v>13083.978000000001</v>
      </c>
      <c r="L1981" s="799">
        <f t="shared" si="254"/>
        <v>5.0115249692461849E-3</v>
      </c>
      <c r="M1981" s="894"/>
      <c r="O1981" s="733"/>
    </row>
    <row r="1982" spans="1:15" s="115" customFormat="1" ht="15" customHeight="1" x14ac:dyDescent="0.25">
      <c r="A1982" s="396"/>
      <c r="B1982" s="1398" t="s">
        <v>8835</v>
      </c>
      <c r="C1982" s="1398"/>
      <c r="D1982" s="1398"/>
      <c r="E1982" s="854">
        <v>333904900000000</v>
      </c>
      <c r="F1982" s="855" t="s">
        <v>8809</v>
      </c>
      <c r="G1982" s="468">
        <v>40</v>
      </c>
      <c r="H1982" s="468">
        <v>0</v>
      </c>
      <c r="I1982" s="751"/>
      <c r="J1982" s="789">
        <f>('Parâmetros financeiros Despesa'!E1466)</f>
        <v>14957.954999999998</v>
      </c>
      <c r="K1982" s="789">
        <f>('Parâmetros financeiros Despesa'!F1466)*2+(('Parâmetros financeiros Despesa'!F1466)*10)*(1+'Parâmetros financeiros Despesa'!F$4)*(1+'Parâmetros financeiros Despesa'!F$8)</f>
        <v>15649.528977353082</v>
      </c>
      <c r="L1982" s="799">
        <f t="shared" si="254"/>
        <v>5.9942018571833948E-3</v>
      </c>
      <c r="M1982" s="894"/>
      <c r="O1982" s="733"/>
    </row>
    <row r="1983" spans="1:15" s="115" customFormat="1" ht="15" customHeight="1" x14ac:dyDescent="0.25">
      <c r="A1983" s="396"/>
      <c r="B1983" s="1398" t="s">
        <v>8836</v>
      </c>
      <c r="C1983" s="1398"/>
      <c r="D1983" s="1398"/>
      <c r="E1983" s="854">
        <v>333909300000000</v>
      </c>
      <c r="F1983" s="855" t="s">
        <v>8810</v>
      </c>
      <c r="G1983" s="468">
        <v>40</v>
      </c>
      <c r="H1983" s="468">
        <v>0</v>
      </c>
      <c r="I1983" s="751"/>
      <c r="J1983" s="789">
        <f>('Parâmetros financeiros Despesa'!E1467)</f>
        <v>0</v>
      </c>
      <c r="K1983" s="789">
        <f>('Parâmetros financeiros Despesa'!F1467)*(1+'Parâmetros financeiros Despesa'!F$4)*(1+'Parâmetros financeiros Despesa'!F$7)</f>
        <v>3270.9945000000002</v>
      </c>
      <c r="L1983" s="799">
        <f t="shared" si="254"/>
        <v>1.2528812423115462E-3</v>
      </c>
      <c r="M1983" s="894"/>
      <c r="O1983" s="733"/>
    </row>
    <row r="1984" spans="1:15" s="115" customFormat="1" ht="15" customHeight="1" x14ac:dyDescent="0.25">
      <c r="A1984" s="396"/>
      <c r="B1984" s="1398" t="s">
        <v>8837</v>
      </c>
      <c r="C1984" s="1398"/>
      <c r="D1984" s="1398"/>
      <c r="E1984" s="854">
        <v>333933000000000</v>
      </c>
      <c r="F1984" s="855" t="s">
        <v>8811</v>
      </c>
      <c r="G1984" s="468">
        <v>40</v>
      </c>
      <c r="H1984" s="468">
        <v>0</v>
      </c>
      <c r="I1984" s="751"/>
      <c r="J1984" s="789">
        <f>('Parâmetros financeiros Despesa'!E1468)</f>
        <v>0</v>
      </c>
      <c r="K1984" s="789">
        <f>('Parâmetros financeiros Despesa'!F1468)*(1+'Parâmetros financeiros Despesa'!F$4)*(1+'Parâmetros financeiros Despesa'!F$7)</f>
        <v>1635.4972500000001</v>
      </c>
      <c r="L1984" s="799">
        <f t="shared" si="254"/>
        <v>6.2644062115577311E-4</v>
      </c>
      <c r="M1984" s="894"/>
      <c r="O1984" s="733"/>
    </row>
    <row r="1985" spans="1:20" ht="15" customHeight="1" x14ac:dyDescent="0.25">
      <c r="A1985" s="397"/>
      <c r="B1985" s="1382" t="s">
        <v>8699</v>
      </c>
      <c r="C1985" s="1382"/>
      <c r="D1985" s="1382"/>
      <c r="E1985" s="1382"/>
      <c r="F1985" s="1382"/>
      <c r="G1985" s="405"/>
      <c r="H1985" s="405"/>
      <c r="I1985" s="428"/>
      <c r="J1985" s="406">
        <f t="shared" ref="J1985:K1987" si="256">J1986</f>
        <v>89400.759300000005</v>
      </c>
      <c r="K1985" s="406">
        <f t="shared" si="256"/>
        <v>109225.62522929133</v>
      </c>
      <c r="L1985" s="453">
        <f t="shared" si="254"/>
        <v>4.1836431406267999E-2</v>
      </c>
    </row>
    <row r="1986" spans="1:20" ht="15" customHeight="1" x14ac:dyDescent="0.25">
      <c r="A1986" s="397"/>
      <c r="B1986" s="1383" t="s">
        <v>8812</v>
      </c>
      <c r="C1986" s="1383"/>
      <c r="D1986" s="1383"/>
      <c r="E1986" s="1383"/>
      <c r="F1986" s="1383"/>
      <c r="G1986" s="407"/>
      <c r="H1986" s="407"/>
      <c r="I1986" s="429"/>
      <c r="J1986" s="408">
        <f t="shared" si="256"/>
        <v>89400.759300000005</v>
      </c>
      <c r="K1986" s="408">
        <f t="shared" si="256"/>
        <v>109225.62522929133</v>
      </c>
      <c r="L1986" s="454">
        <f t="shared" si="254"/>
        <v>4.1836431406267999E-2</v>
      </c>
    </row>
    <row r="1987" spans="1:20" ht="15" customHeight="1" x14ac:dyDescent="0.25">
      <c r="A1987" s="397"/>
      <c r="B1987" s="1385" t="s">
        <v>8698</v>
      </c>
      <c r="C1987" s="1385"/>
      <c r="D1987" s="1385"/>
      <c r="E1987" s="1385"/>
      <c r="F1987" s="1385"/>
      <c r="G1987" s="401"/>
      <c r="H1987" s="401"/>
      <c r="I1987" s="426"/>
      <c r="J1987" s="402">
        <f t="shared" si="256"/>
        <v>89400.759300000005</v>
      </c>
      <c r="K1987" s="402">
        <f t="shared" si="256"/>
        <v>109225.62522929133</v>
      </c>
      <c r="L1987" s="451">
        <f t="shared" si="254"/>
        <v>4.1836431406267999E-2</v>
      </c>
    </row>
    <row r="1988" spans="1:20" ht="15" customHeight="1" x14ac:dyDescent="0.25">
      <c r="A1988" s="397"/>
      <c r="B1988" s="1386" t="s">
        <v>9170</v>
      </c>
      <c r="C1988" s="1386"/>
      <c r="D1988" s="1386"/>
      <c r="E1988" s="1386"/>
      <c r="F1988" s="1386"/>
      <c r="G1988" s="403"/>
      <c r="H1988" s="403"/>
      <c r="I1988" s="427"/>
      <c r="J1988" s="404">
        <f>SUM(J1989:J2004)</f>
        <v>89400.759300000005</v>
      </c>
      <c r="K1988" s="404">
        <f>SUM(K1989:K2004)+0.03</f>
        <v>109225.62522929133</v>
      </c>
      <c r="L1988" s="452">
        <f t="shared" si="254"/>
        <v>4.1836431406267999E-2</v>
      </c>
    </row>
    <row r="1989" spans="1:20" s="115" customFormat="1" ht="15" customHeight="1" x14ac:dyDescent="0.25">
      <c r="A1989" s="396"/>
      <c r="B1989" s="1398" t="s">
        <v>8913</v>
      </c>
      <c r="C1989" s="1398"/>
      <c r="D1989" s="1398"/>
      <c r="E1989" s="854">
        <v>331900400000000</v>
      </c>
      <c r="F1989" s="855" t="s">
        <v>8907</v>
      </c>
      <c r="G1989" s="468">
        <v>40</v>
      </c>
      <c r="H1989" s="468">
        <v>0</v>
      </c>
      <c r="I1989" s="751"/>
      <c r="J1989" s="789">
        <f>(('Parâmetros financeiros Despesa'!E1470))</f>
        <v>0</v>
      </c>
      <c r="K1989" s="789">
        <f>(('Parâmetros financeiros Despesa'!F1470)*2.05+(('Parâmetros financeiros Despesa'!F1470)*11.28)*(1+'Parâmetros financeiros Despesa'!F$4)*(1+'Parâmetros financeiros Despesa'!F$8))*(1+'Parâmetros financeiros Despesa'!F$80)</f>
        <v>17.278630081629636</v>
      </c>
      <c r="L1989" s="799">
        <f t="shared" si="254"/>
        <v>6.6181925778578327E-6</v>
      </c>
      <c r="M1989" s="894"/>
      <c r="O1989" s="733"/>
    </row>
    <row r="1990" spans="1:20" s="115" customFormat="1" ht="15" customHeight="1" x14ac:dyDescent="0.25">
      <c r="A1990" s="396"/>
      <c r="B1990" s="1004"/>
      <c r="C1990" s="1004"/>
      <c r="D1990" s="1004" t="s">
        <v>11564</v>
      </c>
      <c r="E1990" s="854">
        <v>331900800000000</v>
      </c>
      <c r="F1990" s="855" t="s">
        <v>11597</v>
      </c>
      <c r="G1990" s="468">
        <v>1</v>
      </c>
      <c r="H1990" s="468">
        <v>0</v>
      </c>
      <c r="I1990" s="751"/>
      <c r="J1990" s="789">
        <f>(('Parâmetros financeiros Despesa'!E1471))</f>
        <v>840.18989999999997</v>
      </c>
      <c r="K1990" s="789">
        <f>(('Parâmetros financeiros Despesa'!F1471)*2.05+(('Parâmetros financeiros Despesa'!F1471)*11.28)*(1+'Parâmetros financeiros Despesa'!F$4)*(1+'Parâmetros financeiros Despesa'!F$8))</f>
        <v>879.63600021090133</v>
      </c>
      <c r="L1990" s="799">
        <f t="shared" si="254"/>
        <v>3.3692488468757548E-4</v>
      </c>
      <c r="M1990" s="894"/>
      <c r="O1990" s="733"/>
    </row>
    <row r="1991" spans="1:20" s="115" customFormat="1" ht="15" customHeight="1" x14ac:dyDescent="0.25">
      <c r="A1991" s="396"/>
      <c r="B1991" s="1398" t="s">
        <v>8914</v>
      </c>
      <c r="C1991" s="1398"/>
      <c r="D1991" s="1398"/>
      <c r="E1991" s="854">
        <v>331901100000000</v>
      </c>
      <c r="F1991" s="855" t="s">
        <v>8908</v>
      </c>
      <c r="G1991" s="468">
        <v>40</v>
      </c>
      <c r="H1991" s="468">
        <v>0</v>
      </c>
      <c r="I1991" s="751"/>
      <c r="J1991" s="789">
        <f>('Parâmetros financeiros Despesa'!E1472)</f>
        <v>39732.464400000004</v>
      </c>
      <c r="K1991" s="789">
        <f>('Parâmetros financeiros Despesa'!F1472)*2.05+(('Parâmetros financeiros Despesa'!F1472)*11.28)*(1+'Parâmetros financeiros Despesa'!F$4)*(1+'Parâmetros financeiros Despesa'!F$8)</f>
        <v>41597.865034247661</v>
      </c>
      <c r="L1991" s="799">
        <f t="shared" si="254"/>
        <v>1.593313129129879E-2</v>
      </c>
      <c r="M1991" s="894"/>
      <c r="O1991" s="733"/>
    </row>
    <row r="1992" spans="1:20" s="115" customFormat="1" ht="15" customHeight="1" x14ac:dyDescent="0.25">
      <c r="A1992" s="396"/>
      <c r="B1992" s="1398" t="s">
        <v>8915</v>
      </c>
      <c r="C1992" s="1398"/>
      <c r="D1992" s="1398"/>
      <c r="E1992" s="854">
        <v>331901300000000</v>
      </c>
      <c r="F1992" s="855" t="s">
        <v>8909</v>
      </c>
      <c r="G1992" s="468">
        <v>40</v>
      </c>
      <c r="H1992" s="468">
        <v>0</v>
      </c>
      <c r="I1992" s="751"/>
      <c r="J1992" s="789">
        <f>'Parâmetros financeiros Despesa'!E1473</f>
        <v>0</v>
      </c>
      <c r="K1992" s="789">
        <f>(K1993+K1991)*'Parâmetros financeiros Despesa'!F80</f>
        <v>10070.342053534458</v>
      </c>
      <c r="L1992" s="799">
        <f t="shared" si="254"/>
        <v>3.8572191614918518E-3</v>
      </c>
      <c r="M1992" s="894"/>
      <c r="O1992" s="733"/>
    </row>
    <row r="1993" spans="1:20" s="115" customFormat="1" ht="15" customHeight="1" x14ac:dyDescent="0.25">
      <c r="A1993" s="396"/>
      <c r="B1993" s="1398" t="s">
        <v>8916</v>
      </c>
      <c r="C1993" s="1398"/>
      <c r="D1993" s="1398"/>
      <c r="E1993" s="854">
        <v>331901600000000</v>
      </c>
      <c r="F1993" s="855" t="s">
        <v>8910</v>
      </c>
      <c r="G1993" s="468">
        <v>40</v>
      </c>
      <c r="H1993" s="468">
        <v>0</v>
      </c>
      <c r="I1993" s="751"/>
      <c r="J1993" s="789">
        <f>('Parâmetros financeiros Despesa'!E1474)</f>
        <v>0</v>
      </c>
      <c r="K1993" s="789">
        <f>('Parâmetros financeiros Despesa'!F1474)*2.05+(('Parâmetros financeiros Despesa'!F1474)*11.28)*(1+'Parâmetros financeiros Despesa'!F$4)*(1+'Parâmetros financeiros Despesa'!F$8)</f>
        <v>697.7915280111863</v>
      </c>
      <c r="L1993" s="799">
        <f t="shared" ref="L1993:L2024" si="257">K1993/K$2234</f>
        <v>2.6727342907153384E-4</v>
      </c>
      <c r="M1993" s="894"/>
      <c r="O1993" s="733"/>
    </row>
    <row r="1994" spans="1:20" s="115" customFormat="1" ht="15" customHeight="1" x14ac:dyDescent="0.25">
      <c r="A1994" s="396"/>
      <c r="B1994" s="1398" t="s">
        <v>8917</v>
      </c>
      <c r="C1994" s="1398"/>
      <c r="D1994" s="1398"/>
      <c r="E1994" s="854">
        <v>333901400000000</v>
      </c>
      <c r="F1994" s="855" t="s">
        <v>8911</v>
      </c>
      <c r="G1994" s="468">
        <v>40</v>
      </c>
      <c r="H1994" s="468">
        <v>0</v>
      </c>
      <c r="I1994" s="751"/>
      <c r="J1994" s="789">
        <f>('Parâmetros financeiros Despesa'!E1475)</f>
        <v>1933.8000000000002</v>
      </c>
      <c r="K1994" s="789">
        <f>('Parâmetros financeiros Despesa'!F1475)*2+(('Parâmetros financeiros Despesa'!F1475*10)*(1+'Parâmetros financeiros Despesa'!F$4)*(1+'Parâmetros financeiros Despesa'!F$8))</f>
        <v>1205.2621753381895</v>
      </c>
      <c r="L1994" s="799">
        <f t="shared" si="257"/>
        <v>4.6164870394885336E-4</v>
      </c>
      <c r="M1994" s="894"/>
      <c r="O1994" s="733"/>
    </row>
    <row r="1995" spans="1:20" s="115" customFormat="1" ht="15" customHeight="1" x14ac:dyDescent="0.25">
      <c r="B1995" s="879"/>
      <c r="C1995" s="879"/>
      <c r="D1995" s="880">
        <v>612500</v>
      </c>
      <c r="E1995" s="854">
        <v>333903000000000</v>
      </c>
      <c r="F1995" s="855" t="s">
        <v>9166</v>
      </c>
      <c r="G1995" s="468">
        <v>40</v>
      </c>
      <c r="H1995" s="468">
        <v>0</v>
      </c>
      <c r="I1995" s="751"/>
      <c r="J1995" s="789">
        <f>('Parâmetros financeiros Despesa'!E1476)</f>
        <v>254.685</v>
      </c>
      <c r="K1995" s="789">
        <f>('Parâmetros financeiros Despesa'!F1476*(1+'Parâmetros financeiros Despesa'!F$4)*(1+'Parâmetros financeiros Despesa'!F$7))</f>
        <v>545.16575</v>
      </c>
      <c r="L1995" s="799">
        <f t="shared" si="257"/>
        <v>2.0881354038525769E-4</v>
      </c>
      <c r="M1995" s="898"/>
      <c r="N1995" s="396"/>
      <c r="O1995" s="463"/>
      <c r="R1995" s="463"/>
      <c r="S1995" s="463"/>
      <c r="T1995" s="463"/>
    </row>
    <row r="1996" spans="1:20" s="115" customFormat="1" ht="15" customHeight="1" x14ac:dyDescent="0.25">
      <c r="B1996" s="1004"/>
      <c r="C1996" s="1004"/>
      <c r="D1996" s="880">
        <v>612600</v>
      </c>
      <c r="E1996" s="854">
        <v>333903200000000</v>
      </c>
      <c r="F1996" s="855" t="s">
        <v>8912</v>
      </c>
      <c r="G1996" s="468">
        <v>40</v>
      </c>
      <c r="H1996" s="468">
        <v>0</v>
      </c>
      <c r="I1996" s="751"/>
      <c r="J1996" s="789">
        <f>('Parâmetros financeiros Despesa'!E1477)</f>
        <v>46176.54</v>
      </c>
      <c r="K1996" s="789">
        <f>('Parâmetros financeiros Despesa'!F1477*(1+'Parâmetros financeiros Despesa'!F$4)*(1+'Parâmetros financeiros Despesa'!F$7))</f>
        <v>50347.736123010007</v>
      </c>
      <c r="L1996" s="799">
        <f t="shared" si="257"/>
        <v>1.9284573600282937E-2</v>
      </c>
      <c r="M1996" s="898"/>
      <c r="N1996" s="396"/>
      <c r="O1996" s="463"/>
      <c r="R1996" s="463"/>
      <c r="S1996" s="463"/>
      <c r="T1996" s="463"/>
    </row>
    <row r="1997" spans="1:20" s="115" customFormat="1" ht="15" customHeight="1" x14ac:dyDescent="0.25">
      <c r="B1997" s="1004"/>
      <c r="C1997" s="1004"/>
      <c r="D1997" s="880">
        <v>612700</v>
      </c>
      <c r="E1997" s="854">
        <v>333903300000000</v>
      </c>
      <c r="F1997" s="855" t="s">
        <v>9163</v>
      </c>
      <c r="G1997" s="468">
        <v>40</v>
      </c>
      <c r="H1997" s="468">
        <v>0</v>
      </c>
      <c r="I1997" s="751"/>
      <c r="J1997" s="789">
        <f>('Parâmetros financeiros Despesa'!E1478)</f>
        <v>0</v>
      </c>
      <c r="K1997" s="789">
        <f>('Parâmetros financeiros Despesa'!F1478*(1+'Parâmetros financeiros Despesa'!F$4)*(1+'Parâmetros financeiros Despesa'!F$7))</f>
        <v>545.16575</v>
      </c>
      <c r="L1997" s="799">
        <f t="shared" si="257"/>
        <v>2.0881354038525769E-4</v>
      </c>
      <c r="M1997" s="898"/>
      <c r="N1997" s="396"/>
      <c r="O1997" s="463"/>
      <c r="R1997" s="463"/>
      <c r="S1997" s="463"/>
      <c r="T1997" s="463"/>
    </row>
    <row r="1998" spans="1:20" s="115" customFormat="1" ht="15" customHeight="1" x14ac:dyDescent="0.25">
      <c r="B1998" s="1004"/>
      <c r="C1998" s="1004"/>
      <c r="D1998" s="880">
        <v>612800</v>
      </c>
      <c r="E1998" s="854">
        <v>333903600000000</v>
      </c>
      <c r="F1998" s="855" t="s">
        <v>9164</v>
      </c>
      <c r="G1998" s="468">
        <v>40</v>
      </c>
      <c r="H1998" s="468">
        <v>0</v>
      </c>
      <c r="I1998" s="751"/>
      <c r="J1998" s="789">
        <f>('Parâmetros financeiros Despesa'!E1479)</f>
        <v>0</v>
      </c>
      <c r="K1998" s="789">
        <f>('Parâmetros financeiros Despesa'!F1479*(1+'Parâmetros financeiros Despesa'!F$4)*(1+'Parâmetros financeiros Despesa'!F$7))</f>
        <v>545.16575</v>
      </c>
      <c r="L1998" s="799">
        <f t="shared" si="257"/>
        <v>2.0881354038525769E-4</v>
      </c>
      <c r="M1998" s="898"/>
      <c r="N1998" s="396"/>
      <c r="O1998" s="463"/>
      <c r="R1998" s="463"/>
      <c r="S1998" s="463"/>
      <c r="T1998" s="463"/>
    </row>
    <row r="1999" spans="1:20" s="115" customFormat="1" ht="15" customHeight="1" x14ac:dyDescent="0.25">
      <c r="B1999" s="1004"/>
      <c r="C1999" s="1004"/>
      <c r="D1999" s="880">
        <v>612900</v>
      </c>
      <c r="E1999" s="854">
        <v>333903900000000</v>
      </c>
      <c r="F1999" s="855" t="s">
        <v>9165</v>
      </c>
      <c r="G1999" s="468">
        <v>40</v>
      </c>
      <c r="H1999" s="468">
        <v>0</v>
      </c>
      <c r="I1999" s="751"/>
      <c r="J1999" s="789">
        <f>('Parâmetros financeiros Despesa'!E1480)</f>
        <v>0</v>
      </c>
      <c r="K1999" s="789">
        <f>('Parâmetros financeiros Despesa'!F1480*(1+'Parâmetros financeiros Despesa'!F$4)*(1+'Parâmetros financeiros Despesa'!F$7))</f>
        <v>545.16575</v>
      </c>
      <c r="L1999" s="799">
        <f t="shared" si="257"/>
        <v>2.0881354038525769E-4</v>
      </c>
      <c r="M1999" s="898"/>
      <c r="N1999" s="396"/>
      <c r="O1999" s="463"/>
      <c r="R1999" s="463"/>
      <c r="S1999" s="463"/>
      <c r="T1999" s="463"/>
    </row>
    <row r="2000" spans="1:20" s="115" customFormat="1" ht="15" customHeight="1" x14ac:dyDescent="0.25">
      <c r="B2000" s="1004"/>
      <c r="C2000" s="1004"/>
      <c r="D2000" s="880">
        <v>613000</v>
      </c>
      <c r="E2000" s="854">
        <v>333904700000000</v>
      </c>
      <c r="F2000" s="855" t="s">
        <v>9167</v>
      </c>
      <c r="G2000" s="468">
        <v>40</v>
      </c>
      <c r="H2000" s="468">
        <v>0</v>
      </c>
      <c r="I2000" s="751"/>
      <c r="J2000" s="789">
        <f>('Parâmetros financeiros Despesa'!E1481)</f>
        <v>0</v>
      </c>
      <c r="K2000" s="789">
        <f>('Parâmetros financeiros Despesa'!F1481*(1+'Parâmetros financeiros Despesa'!F$4)*(1+'Parâmetros financeiros Despesa'!F$7))</f>
        <v>109.03315000000001</v>
      </c>
      <c r="L2000" s="799">
        <f t="shared" si="257"/>
        <v>4.1762708077051546E-5</v>
      </c>
      <c r="M2000" s="898"/>
      <c r="N2000" s="396"/>
      <c r="O2000" s="463"/>
      <c r="R2000" s="463"/>
      <c r="S2000" s="463"/>
      <c r="T2000" s="463"/>
    </row>
    <row r="2001" spans="1:20" s="115" customFormat="1" ht="15" customHeight="1" x14ac:dyDescent="0.25">
      <c r="A2001" s="396"/>
      <c r="B2001" s="1398" t="s">
        <v>8918</v>
      </c>
      <c r="C2001" s="1398"/>
      <c r="D2001" s="1398"/>
      <c r="E2001" s="854">
        <v>333904900000000</v>
      </c>
      <c r="F2001" s="855" t="s">
        <v>8922</v>
      </c>
      <c r="G2001" s="468">
        <v>40</v>
      </c>
      <c r="H2001" s="468">
        <v>0</v>
      </c>
      <c r="I2001" s="751"/>
      <c r="J2001" s="789">
        <f>('Parâmetros financeiros Despesa'!E1482)</f>
        <v>463.08000000000004</v>
      </c>
      <c r="K2001" s="789">
        <f>('Parâmetros financeiros Despesa'!F1482)*2+(('Parâmetros financeiros Despesa'!F1482)*10)*(1+'Parâmetros financeiros Despesa'!F$4)*(1+'Parâmetros financeiros Despesa'!F$8)</f>
        <v>484.4902848572994</v>
      </c>
      <c r="L2001" s="799">
        <f t="shared" si="257"/>
        <v>1.8557316130610681E-4</v>
      </c>
      <c r="M2001" s="894"/>
      <c r="O2001" s="733"/>
    </row>
    <row r="2002" spans="1:20" s="115" customFormat="1" ht="15" customHeight="1" x14ac:dyDescent="0.25">
      <c r="A2002" s="396"/>
      <c r="B2002" s="1398" t="s">
        <v>8919</v>
      </c>
      <c r="C2002" s="1398"/>
      <c r="D2002" s="1398"/>
      <c r="E2002" s="854">
        <v>333909300000000</v>
      </c>
      <c r="F2002" s="855" t="s">
        <v>9168</v>
      </c>
      <c r="G2002" s="468">
        <v>40</v>
      </c>
      <c r="H2002" s="468">
        <v>0</v>
      </c>
      <c r="I2002" s="751"/>
      <c r="J2002" s="789">
        <f>('Parâmetros financeiros Despesa'!E1483)</f>
        <v>0</v>
      </c>
      <c r="K2002" s="789">
        <f>('Parâmetros financeiros Despesa'!F1483)*(1+'Parâmetros financeiros Despesa'!F$4)*(1+'Parâmetros financeiros Despesa'!F$7)</f>
        <v>545.16575</v>
      </c>
      <c r="L2002" s="799">
        <f t="shared" si="257"/>
        <v>2.0881354038525769E-4</v>
      </c>
      <c r="M2002" s="894"/>
      <c r="O2002" s="733"/>
    </row>
    <row r="2003" spans="1:20" s="115" customFormat="1" ht="15" customHeight="1" x14ac:dyDescent="0.25">
      <c r="A2003" s="396"/>
      <c r="B2003" s="1398" t="s">
        <v>8920</v>
      </c>
      <c r="C2003" s="1398"/>
      <c r="D2003" s="1398"/>
      <c r="E2003" s="854">
        <v>333933000000000</v>
      </c>
      <c r="F2003" s="855" t="s">
        <v>8923</v>
      </c>
      <c r="G2003" s="468">
        <v>40</v>
      </c>
      <c r="H2003" s="468">
        <v>0</v>
      </c>
      <c r="I2003" s="751"/>
      <c r="J2003" s="789">
        <f>('Parâmetros financeiros Despesa'!E1484)</f>
        <v>0</v>
      </c>
      <c r="K2003" s="789">
        <f>('Parâmetros financeiros Despesa'!F1484)*(1+'Parâmetros financeiros Despesa'!F$4)*(1+'Parâmetros financeiros Despesa'!F$7)</f>
        <v>545.16575</v>
      </c>
      <c r="L2003" s="799">
        <f t="shared" si="257"/>
        <v>2.0881354038525769E-4</v>
      </c>
      <c r="M2003" s="894"/>
      <c r="O2003" s="733"/>
    </row>
    <row r="2004" spans="1:20" s="115" customFormat="1" ht="15" customHeight="1" x14ac:dyDescent="0.25">
      <c r="A2004" s="396"/>
      <c r="B2004" s="1398" t="s">
        <v>8921</v>
      </c>
      <c r="C2004" s="1398"/>
      <c r="D2004" s="1398"/>
      <c r="E2004" s="854">
        <v>344905200000000</v>
      </c>
      <c r="F2004" s="855" t="s">
        <v>9169</v>
      </c>
      <c r="G2004" s="468">
        <v>40</v>
      </c>
      <c r="H2004" s="468">
        <v>0</v>
      </c>
      <c r="I2004" s="751"/>
      <c r="J2004" s="789">
        <f>('Parâmetros financeiros Despesa'!E1485)</f>
        <v>0</v>
      </c>
      <c r="K2004" s="789">
        <f>('Parâmetros financeiros Despesa'!F1485)*(1+'Parâmetros financeiros Despesa'!F$4)*(1+'Parâmetros financeiros Despesa'!F$7)</f>
        <v>545.16575</v>
      </c>
      <c r="L2004" s="799">
        <f t="shared" si="257"/>
        <v>2.0881354038525769E-4</v>
      </c>
      <c r="M2004" s="894"/>
      <c r="O2004" s="733"/>
    </row>
    <row r="2005" spans="1:20" ht="15" customHeight="1" x14ac:dyDescent="0.25">
      <c r="A2005" s="397"/>
      <c r="B2005" s="1382" t="s">
        <v>8699</v>
      </c>
      <c r="C2005" s="1382"/>
      <c r="D2005" s="1382"/>
      <c r="E2005" s="1382"/>
      <c r="F2005" s="1382"/>
      <c r="G2005" s="405"/>
      <c r="H2005" s="405"/>
      <c r="I2005" s="428"/>
      <c r="J2005" s="406">
        <f t="shared" ref="J2005:K2007" si="258">J2006</f>
        <v>4995</v>
      </c>
      <c r="K2005" s="406">
        <f t="shared" si="258"/>
        <v>19455.133305089457</v>
      </c>
      <c r="L2005" s="453">
        <f t="shared" si="257"/>
        <v>7.4518534300859317E-3</v>
      </c>
    </row>
    <row r="2006" spans="1:20" ht="15" customHeight="1" x14ac:dyDescent="0.25">
      <c r="A2006" s="397"/>
      <c r="B2006" s="1383" t="s">
        <v>8812</v>
      </c>
      <c r="C2006" s="1383"/>
      <c r="D2006" s="1383"/>
      <c r="E2006" s="1383"/>
      <c r="F2006" s="1383"/>
      <c r="G2006" s="407"/>
      <c r="H2006" s="407"/>
      <c r="I2006" s="429"/>
      <c r="J2006" s="408">
        <f t="shared" si="258"/>
        <v>4995</v>
      </c>
      <c r="K2006" s="408">
        <f t="shared" si="258"/>
        <v>19455.133305089457</v>
      </c>
      <c r="L2006" s="454">
        <f t="shared" si="257"/>
        <v>7.4518534300859317E-3</v>
      </c>
    </row>
    <row r="2007" spans="1:20" ht="15" customHeight="1" x14ac:dyDescent="0.25">
      <c r="A2007" s="397"/>
      <c r="B2007" s="1385" t="s">
        <v>8698</v>
      </c>
      <c r="C2007" s="1385"/>
      <c r="D2007" s="1385"/>
      <c r="E2007" s="1385"/>
      <c r="F2007" s="1385"/>
      <c r="G2007" s="401"/>
      <c r="H2007" s="401"/>
      <c r="I2007" s="426"/>
      <c r="J2007" s="402">
        <f t="shared" si="258"/>
        <v>4995</v>
      </c>
      <c r="K2007" s="402">
        <f t="shared" si="258"/>
        <v>19455.133305089457</v>
      </c>
      <c r="L2007" s="451">
        <f t="shared" si="257"/>
        <v>7.4518534300859317E-3</v>
      </c>
    </row>
    <row r="2008" spans="1:20" ht="15" customHeight="1" x14ac:dyDescent="0.25">
      <c r="A2008" s="397"/>
      <c r="B2008" s="1386" t="s">
        <v>10973</v>
      </c>
      <c r="C2008" s="1386"/>
      <c r="D2008" s="1386"/>
      <c r="E2008" s="1386"/>
      <c r="F2008" s="1386"/>
      <c r="G2008" s="403"/>
      <c r="H2008" s="403"/>
      <c r="I2008" s="427"/>
      <c r="J2008" s="404">
        <f>SUM(J2009:J2025)</f>
        <v>4995</v>
      </c>
      <c r="K2008" s="404">
        <f>SUM(K2009:K2025)+0.04</f>
        <v>19455.133305089457</v>
      </c>
      <c r="L2008" s="452">
        <f t="shared" si="257"/>
        <v>7.4518534300859317E-3</v>
      </c>
    </row>
    <row r="2009" spans="1:20" s="115" customFormat="1" ht="15" customHeight="1" x14ac:dyDescent="0.25">
      <c r="A2009" s="396"/>
      <c r="B2009" s="1398" t="s">
        <v>8934</v>
      </c>
      <c r="C2009" s="1398"/>
      <c r="D2009" s="1398"/>
      <c r="E2009" s="854">
        <v>331900400000000</v>
      </c>
      <c r="F2009" s="855" t="s">
        <v>9152</v>
      </c>
      <c r="G2009" s="468">
        <v>40</v>
      </c>
      <c r="H2009" s="468">
        <v>0</v>
      </c>
      <c r="I2009" s="751"/>
      <c r="J2009" s="789">
        <f>(('Parâmetros financeiros Despesa'!E1487))</f>
        <v>0</v>
      </c>
      <c r="K2009" s="789">
        <f>(('Parâmetros financeiros Despesa'!F1487)*2.05+(('Parâmetros financeiros Despesa'!F1487)*11.28)*(1+'Parâmetros financeiros Despesa'!F$4)*(1+'Parâmetros financeiros Despesa'!F$8))*(1+'Parâmetros financeiros Despesa'!F$80)</f>
        <v>17.278630081629636</v>
      </c>
      <c r="L2009" s="799">
        <f t="shared" si="257"/>
        <v>6.6181925778578327E-6</v>
      </c>
      <c r="M2009" s="894"/>
      <c r="O2009" s="733"/>
    </row>
    <row r="2010" spans="1:20" s="115" customFormat="1" ht="15" customHeight="1" x14ac:dyDescent="0.25">
      <c r="A2010" s="396"/>
      <c r="B2010" s="1004"/>
      <c r="C2010" s="1004"/>
      <c r="D2010" s="1004" t="s">
        <v>11567</v>
      </c>
      <c r="E2010" s="854">
        <v>331900800000000</v>
      </c>
      <c r="F2010" s="855" t="s">
        <v>11598</v>
      </c>
      <c r="G2010" s="468">
        <v>1</v>
      </c>
      <c r="H2010" s="468">
        <v>0</v>
      </c>
      <c r="I2010" s="751"/>
      <c r="J2010" s="789">
        <f>(('Parâmetros financeiros Despesa'!E1527))</f>
        <v>0</v>
      </c>
      <c r="K2010" s="789">
        <f>(('Parâmetros financeiros Despesa'!F1527)*2.05+(('Parâmetros financeiros Despesa'!F1527)*11.28)*(1+'Parâmetros financeiros Despesa'!F$4)*(1+'Parâmetros financeiros Despesa'!F$8))</f>
        <v>6977.9152801118635</v>
      </c>
      <c r="L2010" s="799">
        <f t="shared" si="257"/>
        <v>2.6727342907153385E-3</v>
      </c>
      <c r="M2010" s="894"/>
      <c r="O2010" s="733"/>
    </row>
    <row r="2011" spans="1:20" s="115" customFormat="1" ht="15" customHeight="1" x14ac:dyDescent="0.25">
      <c r="A2011" s="396"/>
      <c r="B2011" s="1398" t="s">
        <v>8935</v>
      </c>
      <c r="C2011" s="1398"/>
      <c r="D2011" s="1398"/>
      <c r="E2011" s="854">
        <v>331901100000000</v>
      </c>
      <c r="F2011" s="855" t="s">
        <v>9153</v>
      </c>
      <c r="G2011" s="468">
        <v>40</v>
      </c>
      <c r="H2011" s="468">
        <v>0</v>
      </c>
      <c r="I2011" s="751"/>
      <c r="J2011" s="789">
        <f>('Parâmetros financeiros Despesa'!E1489)</f>
        <v>0</v>
      </c>
      <c r="K2011" s="789">
        <f>('Parâmetros financeiros Despesa'!F1489)*2.05+(('Parâmetros financeiros Despesa'!F11489)*11.28)*(1+'Parâmetros financeiros Despesa'!F$4)*(1+'Parâmetros financeiros Despesa'!F$8)</f>
        <v>2.0499999999999998</v>
      </c>
      <c r="L2011" s="799">
        <f t="shared" si="257"/>
        <v>7.8520662347144563E-7</v>
      </c>
      <c r="M2011" s="894"/>
      <c r="O2011" s="733"/>
    </row>
    <row r="2012" spans="1:20" s="115" customFormat="1" ht="15" customHeight="1" x14ac:dyDescent="0.25">
      <c r="A2012" s="396"/>
      <c r="B2012" s="1398" t="s">
        <v>8936</v>
      </c>
      <c r="C2012" s="1398"/>
      <c r="D2012" s="1398"/>
      <c r="E2012" s="854">
        <v>331901300000000</v>
      </c>
      <c r="F2012" s="855" t="s">
        <v>9154</v>
      </c>
      <c r="G2012" s="468">
        <v>40</v>
      </c>
      <c r="H2012" s="468">
        <v>0</v>
      </c>
      <c r="I2012" s="751"/>
      <c r="J2012" s="789">
        <f>'Parâmetros financeiros Despesa'!E1490</f>
        <v>0</v>
      </c>
      <c r="K2012" s="789">
        <f>(K2013+K2011)*'Parâmetros financeiros Despesa'!F80</f>
        <v>3.8108922214059082</v>
      </c>
      <c r="L2012" s="799">
        <f t="shared" si="257"/>
        <v>1.4596769822359659E-6</v>
      </c>
      <c r="M2012" s="894"/>
      <c r="O2012" s="733"/>
    </row>
    <row r="2013" spans="1:20" s="115" customFormat="1" ht="15" customHeight="1" x14ac:dyDescent="0.25">
      <c r="A2013" s="396"/>
      <c r="B2013" s="1398" t="s">
        <v>8937</v>
      </c>
      <c r="C2013" s="1398"/>
      <c r="D2013" s="1398"/>
      <c r="E2013" s="854">
        <v>331901600000000</v>
      </c>
      <c r="F2013" s="855" t="s">
        <v>9155</v>
      </c>
      <c r="G2013" s="468">
        <v>40</v>
      </c>
      <c r="H2013" s="468">
        <v>0</v>
      </c>
      <c r="I2013" s="751"/>
      <c r="J2013" s="789">
        <f>('Parâmetros financeiros Despesa'!E1491)</f>
        <v>0</v>
      </c>
      <c r="K2013" s="789">
        <f>('Parâmetros financeiros Despesa'!F1491)*2.05+(('Parâmetros financeiros Despesa'!F1491)*11.28)*(1+'Parâmetros financeiros Despesa'!F$4)*(1+'Parâmetros financeiros Despesa'!F$8)</f>
        <v>13.955830560223728</v>
      </c>
      <c r="L2013" s="799">
        <f t="shared" si="257"/>
        <v>5.3454685814306766E-6</v>
      </c>
      <c r="M2013" s="894"/>
      <c r="O2013" s="733"/>
    </row>
    <row r="2014" spans="1:20" s="115" customFormat="1" ht="15" customHeight="1" x14ac:dyDescent="0.25">
      <c r="A2014" s="396"/>
      <c r="B2014" s="1398" t="s">
        <v>8938</v>
      </c>
      <c r="C2014" s="1398"/>
      <c r="D2014" s="1398"/>
      <c r="E2014" s="854">
        <v>333901400000000</v>
      </c>
      <c r="F2014" s="855" t="s">
        <v>9157</v>
      </c>
      <c r="G2014" s="468">
        <v>40</v>
      </c>
      <c r="H2014" s="468">
        <v>0</v>
      </c>
      <c r="I2014" s="751"/>
      <c r="J2014" s="789">
        <f>('Parâmetros financeiros Despesa'!E1492)</f>
        <v>0</v>
      </c>
      <c r="K2014" s="789">
        <f>('Parâmetros financeiros Despesa'!F1492)*2+(('Parâmetros financeiros Despesa'!F1492)*10)*(1+'Parâmetros financeiros Despesa'!F$4)*(1+'Parâmetros financeiros Despesa'!F$8)</f>
        <v>2510.9628652878946</v>
      </c>
      <c r="L2014" s="799">
        <f t="shared" si="257"/>
        <v>9.617681332267777E-4</v>
      </c>
      <c r="M2014" s="894"/>
      <c r="O2014" s="733"/>
    </row>
    <row r="2015" spans="1:20" s="115" customFormat="1" ht="15" customHeight="1" x14ac:dyDescent="0.25">
      <c r="B2015" s="879"/>
      <c r="C2015" s="879"/>
      <c r="D2015" s="880">
        <v>614500</v>
      </c>
      <c r="E2015" s="854">
        <v>333903000000000</v>
      </c>
      <c r="F2015" s="855" t="s">
        <v>9161</v>
      </c>
      <c r="G2015" s="468">
        <v>40</v>
      </c>
      <c r="H2015" s="468">
        <v>0</v>
      </c>
      <c r="I2015" s="751"/>
      <c r="J2015" s="789">
        <f>('Parâmetros financeiros Despesa'!E1493)</f>
        <v>0</v>
      </c>
      <c r="K2015" s="789">
        <f>('Parâmetros financeiros Despesa'!F1493*(1+'Parâmetros financeiros Despesa'!F$4)*(1+'Parâmetros financeiros Despesa'!F$7))</f>
        <v>545.16575</v>
      </c>
      <c r="L2015" s="799">
        <f t="shared" si="257"/>
        <v>2.0881354038525769E-4</v>
      </c>
      <c r="M2015" s="894"/>
      <c r="N2015" s="396"/>
      <c r="O2015" s="463"/>
      <c r="R2015" s="463"/>
      <c r="S2015" s="463"/>
      <c r="T2015" s="463"/>
    </row>
    <row r="2016" spans="1:20" s="115" customFormat="1" ht="15" customHeight="1" x14ac:dyDescent="0.25">
      <c r="B2016" s="1004"/>
      <c r="C2016" s="1004"/>
      <c r="D2016" s="880">
        <v>614600</v>
      </c>
      <c r="E2016" s="854">
        <v>333903200000000</v>
      </c>
      <c r="F2016" s="855" t="s">
        <v>9158</v>
      </c>
      <c r="G2016" s="468">
        <v>40</v>
      </c>
      <c r="H2016" s="468">
        <v>0</v>
      </c>
      <c r="I2016" s="751"/>
      <c r="J2016" s="789">
        <f>('Parâmetros financeiros Despesa'!E1494)</f>
        <v>0</v>
      </c>
      <c r="K2016" s="789">
        <f>('Parâmetros financeiros Despesa'!F1494*(1+'Parâmetros financeiros Despesa'!F$4)*(1+'Parâmetros financeiros Despesa'!F$7))</f>
        <v>545.16575</v>
      </c>
      <c r="L2016" s="799">
        <f t="shared" si="257"/>
        <v>2.0881354038525769E-4</v>
      </c>
      <c r="M2016" s="894"/>
      <c r="N2016" s="396"/>
      <c r="O2016" s="463"/>
      <c r="R2016" s="463"/>
      <c r="S2016" s="463"/>
      <c r="T2016" s="463"/>
    </row>
    <row r="2017" spans="1:15" s="115" customFormat="1" ht="15" customHeight="1" x14ac:dyDescent="0.25">
      <c r="A2017" s="396"/>
      <c r="B2017" s="1398" t="s">
        <v>8939</v>
      </c>
      <c r="C2017" s="1398"/>
      <c r="D2017" s="1398"/>
      <c r="E2017" s="854">
        <v>333903300000000</v>
      </c>
      <c r="F2017" s="855" t="s">
        <v>9171</v>
      </c>
      <c r="G2017" s="468">
        <v>40</v>
      </c>
      <c r="H2017" s="468">
        <v>0</v>
      </c>
      <c r="I2017" s="751"/>
      <c r="J2017" s="789">
        <f>('Parâmetros financeiros Despesa'!E1495)</f>
        <v>0</v>
      </c>
      <c r="K2017" s="789">
        <f>('Parâmetros financeiros Despesa'!F1495*(1+'Parâmetros financeiros Despesa'!F$4)*(1+'Parâmetros financeiros Despesa'!F$7))</f>
        <v>545.16575</v>
      </c>
      <c r="L2017" s="799">
        <f t="shared" si="257"/>
        <v>2.0881354038525769E-4</v>
      </c>
      <c r="M2017" s="894"/>
      <c r="O2017" s="733"/>
    </row>
    <row r="2018" spans="1:15" s="115" customFormat="1" ht="15" customHeight="1" x14ac:dyDescent="0.25">
      <c r="A2018" s="396"/>
      <c r="B2018" s="1398" t="s">
        <v>8940</v>
      </c>
      <c r="C2018" s="1398"/>
      <c r="D2018" s="1398"/>
      <c r="E2018" s="854">
        <v>333903500000000</v>
      </c>
      <c r="F2018" s="855" t="s">
        <v>9172</v>
      </c>
      <c r="G2018" s="468">
        <v>40</v>
      </c>
      <c r="H2018" s="468">
        <v>0</v>
      </c>
      <c r="I2018" s="751"/>
      <c r="J2018" s="789">
        <f>('Parâmetros financeiros Despesa'!E1496)</f>
        <v>0</v>
      </c>
      <c r="K2018" s="789">
        <f>('Parâmetros financeiros Despesa'!F1496*(1+'Parâmetros financeiros Despesa'!F$4)*(1+'Parâmetros financeiros Despesa'!F$7))</f>
        <v>545.16575</v>
      </c>
      <c r="L2018" s="799">
        <f t="shared" si="257"/>
        <v>2.0881354038525769E-4</v>
      </c>
      <c r="M2018" s="894"/>
      <c r="O2018" s="733"/>
    </row>
    <row r="2019" spans="1:15" s="115" customFormat="1" ht="15" customHeight="1" x14ac:dyDescent="0.25">
      <c r="A2019" s="396"/>
      <c r="B2019" s="1398" t="s">
        <v>8942</v>
      </c>
      <c r="C2019" s="1398"/>
      <c r="D2019" s="1398"/>
      <c r="E2019" s="854">
        <v>333903600000000</v>
      </c>
      <c r="F2019" s="855" t="s">
        <v>9173</v>
      </c>
      <c r="G2019" s="468">
        <v>40</v>
      </c>
      <c r="H2019" s="468">
        <v>0</v>
      </c>
      <c r="I2019" s="751"/>
      <c r="J2019" s="789">
        <f>('Parâmetros financeiros Despesa'!E1497)</f>
        <v>0</v>
      </c>
      <c r="K2019" s="789">
        <f>('Parâmetros financeiros Despesa'!F1497*(1+'Parâmetros financeiros Despesa'!F$4)*(1+'Parâmetros financeiros Despesa'!F$7))</f>
        <v>545.16575</v>
      </c>
      <c r="L2019" s="799">
        <f t="shared" si="257"/>
        <v>2.0881354038525769E-4</v>
      </c>
      <c r="M2019" s="894"/>
      <c r="O2019" s="733"/>
    </row>
    <row r="2020" spans="1:15" s="115" customFormat="1" ht="15" customHeight="1" x14ac:dyDescent="0.25">
      <c r="A2020" s="396"/>
      <c r="B2020" s="1398" t="s">
        <v>8943</v>
      </c>
      <c r="C2020" s="1398"/>
      <c r="D2020" s="1398"/>
      <c r="E2020" s="854">
        <v>333903900000000</v>
      </c>
      <c r="F2020" s="855" t="s">
        <v>9174</v>
      </c>
      <c r="G2020" s="468">
        <v>40</v>
      </c>
      <c r="H2020" s="468">
        <v>0</v>
      </c>
      <c r="I2020" s="751"/>
      <c r="J2020" s="789">
        <f>('Parâmetros financeiros Despesa'!E1498)</f>
        <v>4995</v>
      </c>
      <c r="K2020" s="789">
        <f>('Parâmetros financeiros Despesa'!F1498*(1+'Parâmetros financeiros Despesa'!F$4)*(1+'Parâmetros financeiros Despesa'!F$7))</f>
        <v>5446.2058425000005</v>
      </c>
      <c r="L2020" s="799">
        <f t="shared" si="257"/>
        <v>2.0860472684487248E-3</v>
      </c>
      <c r="M2020" s="894"/>
      <c r="O2020" s="733"/>
    </row>
    <row r="2021" spans="1:15" s="115" customFormat="1" ht="15" customHeight="1" x14ac:dyDescent="0.25">
      <c r="A2021" s="396"/>
      <c r="B2021" s="1004"/>
      <c r="C2021" s="1004"/>
      <c r="D2021" s="1004" t="s">
        <v>9175</v>
      </c>
      <c r="E2021" s="854">
        <v>333904700000000</v>
      </c>
      <c r="F2021" s="855" t="s">
        <v>9179</v>
      </c>
      <c r="G2021" s="468">
        <v>40</v>
      </c>
      <c r="H2021" s="468">
        <v>0</v>
      </c>
      <c r="I2021" s="751"/>
      <c r="J2021" s="789">
        <f>('Parâmetros financeiros Despesa'!E1499)</f>
        <v>0</v>
      </c>
      <c r="K2021" s="789">
        <f>('Parâmetros financeiros Despesa'!F1499*(1+'Parâmetros financeiros Despesa'!F$4)*(1+'Parâmetros financeiros Despesa'!F$7))</f>
        <v>109.03315000000001</v>
      </c>
      <c r="L2021" s="799">
        <f t="shared" si="257"/>
        <v>4.1762708077051546E-5</v>
      </c>
      <c r="M2021" s="894"/>
      <c r="O2021" s="733"/>
    </row>
    <row r="2022" spans="1:15" s="115" customFormat="1" ht="15" customHeight="1" x14ac:dyDescent="0.25">
      <c r="A2022" s="396"/>
      <c r="B2022" s="1398" t="s">
        <v>9176</v>
      </c>
      <c r="C2022" s="1398"/>
      <c r="D2022" s="1398"/>
      <c r="E2022" s="854">
        <v>333904900000000</v>
      </c>
      <c r="F2022" s="855" t="s">
        <v>9156</v>
      </c>
      <c r="G2022" s="468">
        <v>40</v>
      </c>
      <c r="H2022" s="468">
        <v>0</v>
      </c>
      <c r="I2022" s="751"/>
      <c r="J2022" s="789">
        <f>('Parâmetros financeiros Despesa'!E1500)</f>
        <v>0</v>
      </c>
      <c r="K2022" s="789">
        <f>('Parâmetros financeiros Despesa'!F1500)*2+(('Parâmetros financeiros Despesa'!F1500)*10)*(1+'Parâmetros financeiros Despesa'!F$4)*(1+'Parâmetros financeiros Despesa'!F$8)</f>
        <v>12.554814326439475</v>
      </c>
      <c r="L2022" s="799">
        <f t="shared" si="257"/>
        <v>4.8088406661338892E-6</v>
      </c>
      <c r="M2022" s="894"/>
      <c r="O2022" s="733"/>
    </row>
    <row r="2023" spans="1:15" s="115" customFormat="1" ht="15" customHeight="1" x14ac:dyDescent="0.25">
      <c r="A2023" s="396"/>
      <c r="B2023" s="1398" t="s">
        <v>9177</v>
      </c>
      <c r="C2023" s="1398"/>
      <c r="D2023" s="1398"/>
      <c r="E2023" s="854">
        <v>333909300000000</v>
      </c>
      <c r="F2023" s="855" t="s">
        <v>9159</v>
      </c>
      <c r="G2023" s="468">
        <v>40</v>
      </c>
      <c r="H2023" s="468">
        <v>0</v>
      </c>
      <c r="I2023" s="751"/>
      <c r="J2023" s="789">
        <f>('Parâmetros financeiros Despesa'!E1501)</f>
        <v>0</v>
      </c>
      <c r="K2023" s="789">
        <f>('Parâmetros financeiros Despesa'!F1501)*(1+'Parâmetros financeiros Despesa'!F$4)*(1+'Parâmetros financeiros Despesa'!F$7)</f>
        <v>545.16575</v>
      </c>
      <c r="L2023" s="799">
        <f t="shared" si="257"/>
        <v>2.0881354038525769E-4</v>
      </c>
      <c r="M2023" s="894"/>
      <c r="O2023" s="733"/>
    </row>
    <row r="2024" spans="1:15" s="115" customFormat="1" ht="15" customHeight="1" x14ac:dyDescent="0.25">
      <c r="A2024" s="396"/>
      <c r="B2024" s="1398" t="s">
        <v>9178</v>
      </c>
      <c r="C2024" s="1398"/>
      <c r="D2024" s="1398"/>
      <c r="E2024" s="854">
        <v>333933000000000</v>
      </c>
      <c r="F2024" s="855" t="s">
        <v>9162</v>
      </c>
      <c r="G2024" s="468">
        <v>40</v>
      </c>
      <c r="H2024" s="468">
        <v>0</v>
      </c>
      <c r="I2024" s="751"/>
      <c r="J2024" s="789">
        <f>('Parâmetros financeiros Despesa'!E1502)</f>
        <v>0</v>
      </c>
      <c r="K2024" s="789">
        <f>('Parâmetros financeiros Despesa'!F1502)*(1+'Parâmetros financeiros Despesa'!F$4)*(1+'Parâmetros financeiros Despesa'!F$7)</f>
        <v>545.16575</v>
      </c>
      <c r="L2024" s="799">
        <f t="shared" si="257"/>
        <v>2.0881354038525769E-4</v>
      </c>
      <c r="M2024" s="894"/>
      <c r="O2024" s="733"/>
    </row>
    <row r="2025" spans="1:15" s="115" customFormat="1" ht="15" customHeight="1" x14ac:dyDescent="0.25">
      <c r="A2025" s="396"/>
      <c r="B2025" s="1398" t="s">
        <v>9180</v>
      </c>
      <c r="C2025" s="1398"/>
      <c r="D2025" s="1398"/>
      <c r="E2025" s="854">
        <v>344905200000000</v>
      </c>
      <c r="F2025" s="855" t="s">
        <v>9160</v>
      </c>
      <c r="G2025" s="468">
        <v>40</v>
      </c>
      <c r="H2025" s="468">
        <v>0</v>
      </c>
      <c r="I2025" s="751"/>
      <c r="J2025" s="789">
        <f>('Parâmetros financeiros Despesa'!E1503)</f>
        <v>0</v>
      </c>
      <c r="K2025" s="789">
        <f>('Parâmetros financeiros Despesa'!F1503)*(1+'Parâmetros financeiros Despesa'!F$4)*(1+'Parâmetros financeiros Despesa'!F$7)</f>
        <v>545.16575</v>
      </c>
      <c r="L2025" s="799">
        <f t="shared" ref="L2025:L2056" si="259">K2025/K$2234</f>
        <v>2.0881354038525769E-4</v>
      </c>
      <c r="M2025" s="894"/>
      <c r="O2025" s="733"/>
    </row>
    <row r="2026" spans="1:15" ht="15" customHeight="1" x14ac:dyDescent="0.25">
      <c r="A2026" s="397"/>
      <c r="B2026" s="1382" t="s">
        <v>8699</v>
      </c>
      <c r="C2026" s="1382"/>
      <c r="D2026" s="1382"/>
      <c r="E2026" s="1382"/>
      <c r="F2026" s="1382"/>
      <c r="G2026" s="405"/>
      <c r="H2026" s="405"/>
      <c r="I2026" s="428"/>
      <c r="J2026" s="406">
        <f t="shared" ref="J2026:K2028" si="260">J2027</f>
        <v>147387.10500000001</v>
      </c>
      <c r="K2026" s="406">
        <f t="shared" si="260"/>
        <v>207390.48911960711</v>
      </c>
      <c r="L2026" s="453">
        <f t="shared" si="259"/>
        <v>7.943628570814551E-2</v>
      </c>
    </row>
    <row r="2027" spans="1:15" ht="15" customHeight="1" x14ac:dyDescent="0.25">
      <c r="A2027" s="397"/>
      <c r="B2027" s="1383" t="s">
        <v>8812</v>
      </c>
      <c r="C2027" s="1383"/>
      <c r="D2027" s="1383"/>
      <c r="E2027" s="1383"/>
      <c r="F2027" s="1383"/>
      <c r="G2027" s="407"/>
      <c r="H2027" s="407"/>
      <c r="I2027" s="429"/>
      <c r="J2027" s="408">
        <f t="shared" si="260"/>
        <v>147387.10500000001</v>
      </c>
      <c r="K2027" s="408">
        <f t="shared" si="260"/>
        <v>207390.48911960711</v>
      </c>
      <c r="L2027" s="454">
        <f t="shared" si="259"/>
        <v>7.943628570814551E-2</v>
      </c>
    </row>
    <row r="2028" spans="1:15" ht="15" customHeight="1" x14ac:dyDescent="0.25">
      <c r="A2028" s="397"/>
      <c r="B2028" s="1385" t="s">
        <v>8698</v>
      </c>
      <c r="C2028" s="1385"/>
      <c r="D2028" s="1385"/>
      <c r="E2028" s="1385"/>
      <c r="F2028" s="1385"/>
      <c r="G2028" s="401"/>
      <c r="H2028" s="401"/>
      <c r="I2028" s="426"/>
      <c r="J2028" s="402">
        <f t="shared" si="260"/>
        <v>147387.10500000001</v>
      </c>
      <c r="K2028" s="402">
        <f t="shared" si="260"/>
        <v>207390.48911960711</v>
      </c>
      <c r="L2028" s="451">
        <f t="shared" si="259"/>
        <v>7.943628570814551E-2</v>
      </c>
    </row>
    <row r="2029" spans="1:15" ht="15" customHeight="1" x14ac:dyDescent="0.25">
      <c r="A2029" s="397"/>
      <c r="B2029" s="1386" t="s">
        <v>8924</v>
      </c>
      <c r="C2029" s="1386"/>
      <c r="D2029" s="1386"/>
      <c r="E2029" s="1386"/>
      <c r="F2029" s="1386"/>
      <c r="G2029" s="403"/>
      <c r="H2029" s="403"/>
      <c r="I2029" s="427"/>
      <c r="J2029" s="404">
        <f>SUM(J2030:J2047)</f>
        <v>147387.10500000001</v>
      </c>
      <c r="K2029" s="404">
        <f>SUM(K2030:K2047)+0.01</f>
        <v>207390.48911960711</v>
      </c>
      <c r="L2029" s="452">
        <f t="shared" si="259"/>
        <v>7.943628570814551E-2</v>
      </c>
    </row>
    <row r="2030" spans="1:15" s="115" customFormat="1" ht="15" customHeight="1" x14ac:dyDescent="0.25">
      <c r="A2030" s="396"/>
      <c r="B2030" s="1398" t="s">
        <v>8945</v>
      </c>
      <c r="C2030" s="1398"/>
      <c r="D2030" s="1398"/>
      <c r="E2030" s="854">
        <v>331900400000000</v>
      </c>
      <c r="F2030" s="855" t="s">
        <v>8925</v>
      </c>
      <c r="G2030" s="468">
        <v>40</v>
      </c>
      <c r="H2030" s="468">
        <v>0</v>
      </c>
      <c r="I2030" s="751"/>
      <c r="J2030" s="789">
        <f>(('Parâmetros financeiros Despesa'!E1505))</f>
        <v>0</v>
      </c>
      <c r="K2030" s="789">
        <f>(('Parâmetros financeiros Despesa'!F1505)*2.05+(('Parâmetros financeiros Despesa'!F1505)*11.28)*(1+'Parâmetros financeiros Despesa'!F$4)*(1+'Parâmetros financeiros Despesa'!F$8))*(1+'Parâmetros financeiros Despesa'!F$80)</f>
        <v>17.278630081629636</v>
      </c>
      <c r="L2030" s="799">
        <f t="shared" si="259"/>
        <v>6.6181925778578327E-6</v>
      </c>
      <c r="M2030" s="894"/>
      <c r="O2030" s="733"/>
    </row>
    <row r="2031" spans="1:15" s="115" customFormat="1" ht="15" customHeight="1" x14ac:dyDescent="0.25">
      <c r="A2031" s="396"/>
      <c r="B2031" s="1004"/>
      <c r="C2031" s="1004"/>
      <c r="D2031" s="1004" t="s">
        <v>11566</v>
      </c>
      <c r="E2031" s="854">
        <v>331900800000000</v>
      </c>
      <c r="F2031" s="855" t="s">
        <v>11599</v>
      </c>
      <c r="G2031" s="468">
        <v>1</v>
      </c>
      <c r="H2031" s="468">
        <v>0</v>
      </c>
      <c r="I2031" s="751"/>
      <c r="J2031" s="789">
        <f>(('Parâmetros financeiros Despesa'!E1610))</f>
        <v>2673.3450000000003</v>
      </c>
      <c r="K2031" s="789">
        <f>(('Parâmetros financeiros Despesa'!F1506)*2.05+(('Parâmetros financeiros Despesa'!F1506)*11.28)*(1+'Parâmetros financeiros Despesa'!F$4)*(1+'Parâmetros financeiros Despesa'!F$8))</f>
        <v>5226.0398698869785</v>
      </c>
      <c r="L2031" s="799">
        <f t="shared" si="259"/>
        <v>2.0017176196883454E-3</v>
      </c>
      <c r="M2031" s="894"/>
      <c r="O2031" s="733"/>
    </row>
    <row r="2032" spans="1:15" s="115" customFormat="1" ht="15" customHeight="1" x14ac:dyDescent="0.25">
      <c r="A2032" s="396"/>
      <c r="B2032" s="1398" t="s">
        <v>8946</v>
      </c>
      <c r="C2032" s="1398"/>
      <c r="D2032" s="1398"/>
      <c r="E2032" s="854">
        <v>331901100000000</v>
      </c>
      <c r="F2032" s="855" t="s">
        <v>8926</v>
      </c>
      <c r="G2032" s="468">
        <v>40</v>
      </c>
      <c r="H2032" s="468">
        <v>0</v>
      </c>
      <c r="I2032" s="751"/>
      <c r="J2032" s="789">
        <f>('Parâmetros financeiros Despesa'!E1507)</f>
        <v>139565.1</v>
      </c>
      <c r="K2032" s="789">
        <f>('Parâmetros financeiros Despesa'!F1507)*2.05+(('Parâmetros financeiros Despesa'!F1507)*11.28)*(1+'Parâmetros financeiros Despesa'!F$4)*(1+'Parâmetros financeiros Despesa'!F$8)</f>
        <v>146117.54596554241</v>
      </c>
      <c r="L2032" s="799">
        <f t="shared" si="259"/>
        <v>5.5967056047579178E-2</v>
      </c>
      <c r="M2032" s="894"/>
      <c r="O2032" s="733"/>
    </row>
    <row r="2033" spans="1:20" s="115" customFormat="1" ht="15" customHeight="1" x14ac:dyDescent="0.25">
      <c r="A2033" s="396"/>
      <c r="B2033" s="1398" t="s">
        <v>9181</v>
      </c>
      <c r="C2033" s="1398"/>
      <c r="D2033" s="1398"/>
      <c r="E2033" s="854">
        <v>331901300000000</v>
      </c>
      <c r="F2033" s="855" t="s">
        <v>8927</v>
      </c>
      <c r="G2033" s="468">
        <v>40</v>
      </c>
      <c r="H2033" s="468">
        <v>0</v>
      </c>
      <c r="I2033" s="751"/>
      <c r="J2033" s="789">
        <f>('Parâmetros financeiros Despesa'!E1508)</f>
        <v>0</v>
      </c>
      <c r="K2033" s="789">
        <f>(K2034+K2032)*'Parâmetros financeiros Despesa'!F80</f>
        <v>36118.830797682211</v>
      </c>
      <c r="L2033" s="799">
        <f t="shared" si="259"/>
        <v>1.3834509841163177E-2</v>
      </c>
      <c r="M2033" s="894"/>
      <c r="O2033" s="733"/>
    </row>
    <row r="2034" spans="1:20" s="115" customFormat="1" ht="15" customHeight="1" x14ac:dyDescent="0.25">
      <c r="A2034" s="396"/>
      <c r="B2034" s="1398" t="s">
        <v>9182</v>
      </c>
      <c r="C2034" s="1398"/>
      <c r="D2034" s="1398"/>
      <c r="E2034" s="854">
        <v>331901600000000</v>
      </c>
      <c r="F2034" s="855" t="s">
        <v>8928</v>
      </c>
      <c r="G2034" s="468">
        <v>40</v>
      </c>
      <c r="H2034" s="468">
        <v>0</v>
      </c>
      <c r="I2034" s="751"/>
      <c r="J2034" s="789">
        <f>('Parâmetros financeiros Despesa'!E1509)</f>
        <v>0</v>
      </c>
      <c r="K2034" s="789">
        <f>('Parâmetros financeiros Despesa'!F1509)*2.05+(('Parâmetros financeiros Despesa'!F1509)*11.28)*(1+'Parâmetros financeiros Despesa'!F$4)*(1+'Parâmetros financeiros Despesa'!F$8)</f>
        <v>5582.3322240894904</v>
      </c>
      <c r="L2034" s="799">
        <f t="shared" si="259"/>
        <v>2.1381874325722707E-3</v>
      </c>
      <c r="M2034" s="894"/>
      <c r="O2034" s="733"/>
    </row>
    <row r="2035" spans="1:20" s="115" customFormat="1" ht="15" customHeight="1" x14ac:dyDescent="0.25">
      <c r="A2035" s="396"/>
      <c r="B2035" s="1398" t="s">
        <v>9183</v>
      </c>
      <c r="C2035" s="1398"/>
      <c r="D2035" s="1398"/>
      <c r="E2035" s="854">
        <v>333901400000000</v>
      </c>
      <c r="F2035" s="855" t="s">
        <v>8929</v>
      </c>
      <c r="G2035" s="468">
        <v>40</v>
      </c>
      <c r="H2035" s="468">
        <v>0</v>
      </c>
      <c r="I2035" s="751"/>
      <c r="J2035" s="789">
        <f>('Parâmetros financeiros Despesa'!E1510)</f>
        <v>0</v>
      </c>
      <c r="K2035" s="789">
        <f>('Parâmetros financeiros Despesa'!F1510)*2+(('Parâmetros financeiros Despesa'!F1510)*10)*(1+'Parâmetros financeiros Despesa'!F$4)*(1+'Parâmetros financeiros Despesa'!F$8)</f>
        <v>3138.7035816098692</v>
      </c>
      <c r="L2035" s="799">
        <f t="shared" si="259"/>
        <v>1.2022101665334726E-3</v>
      </c>
      <c r="M2035" s="894"/>
      <c r="O2035" s="733"/>
    </row>
    <row r="2036" spans="1:20" s="115" customFormat="1" ht="15" customHeight="1" x14ac:dyDescent="0.25">
      <c r="B2036" s="879"/>
      <c r="C2036" s="879"/>
      <c r="D2036" s="880">
        <v>616500</v>
      </c>
      <c r="E2036" s="854">
        <v>333903000000000</v>
      </c>
      <c r="F2036" s="855" t="s">
        <v>8930</v>
      </c>
      <c r="G2036" s="468">
        <v>40</v>
      </c>
      <c r="H2036" s="468">
        <v>0</v>
      </c>
      <c r="I2036" s="751"/>
      <c r="J2036" s="789">
        <f>('Parâmetros financeiros Despesa'!E1511)</f>
        <v>1048.5</v>
      </c>
      <c r="K2036" s="789">
        <f>('Parâmetros financeiros Despesa'!F1511*(1+'Parâmetros financeiros Despesa'!F$4)*(1+'Parâmetros financeiros Despesa'!F$7))</f>
        <v>1199.36465</v>
      </c>
      <c r="L2036" s="799">
        <f t="shared" si="259"/>
        <v>4.5938978884756696E-4</v>
      </c>
      <c r="M2036" s="894"/>
      <c r="N2036" s="396"/>
      <c r="O2036" s="463"/>
      <c r="R2036" s="463"/>
      <c r="S2036" s="463"/>
      <c r="T2036" s="463"/>
    </row>
    <row r="2037" spans="1:20" s="115" customFormat="1" ht="15" customHeight="1" x14ac:dyDescent="0.25">
      <c r="B2037" s="1004"/>
      <c r="C2037" s="1004"/>
      <c r="D2037" s="880">
        <v>616600</v>
      </c>
      <c r="E2037" s="854">
        <v>333903200000000</v>
      </c>
      <c r="F2037" s="855" t="s">
        <v>8931</v>
      </c>
      <c r="G2037" s="468">
        <v>40</v>
      </c>
      <c r="H2037" s="468">
        <v>0</v>
      </c>
      <c r="I2037" s="751"/>
      <c r="J2037" s="789">
        <f>('Parâmetros financeiros Despesa'!E1512)</f>
        <v>0</v>
      </c>
      <c r="K2037" s="789">
        <f>('Parâmetros financeiros Despesa'!F1512*(1+'Parâmetros financeiros Despesa'!F$4)*(1+'Parâmetros financeiros Despesa'!F$7))</f>
        <v>1090.3315</v>
      </c>
      <c r="L2037" s="799">
        <f t="shared" si="259"/>
        <v>4.1762708077051539E-4</v>
      </c>
      <c r="M2037" s="894"/>
      <c r="N2037" s="396"/>
      <c r="O2037" s="463"/>
      <c r="R2037" s="463"/>
      <c r="S2037" s="463"/>
      <c r="T2037" s="463"/>
    </row>
    <row r="2038" spans="1:20" s="115" customFormat="1" ht="15" customHeight="1" x14ac:dyDescent="0.25">
      <c r="B2038" s="879"/>
      <c r="C2038" s="879"/>
      <c r="D2038" s="880">
        <v>616700</v>
      </c>
      <c r="E2038" s="854">
        <v>333903300000000</v>
      </c>
      <c r="F2038" s="855" t="s">
        <v>9184</v>
      </c>
      <c r="G2038" s="468">
        <v>40</v>
      </c>
      <c r="H2038" s="468">
        <v>0</v>
      </c>
      <c r="I2038" s="751"/>
      <c r="J2038" s="789">
        <f>('Parâmetros financeiros Despesa'!E1513)</f>
        <v>0</v>
      </c>
      <c r="K2038" s="789">
        <f>('Parâmetros financeiros Despesa'!F1513*(1+'Parâmetros financeiros Despesa'!F$4)*(1+'Parâmetros financeiros Despesa'!F$7))</f>
        <v>1090.3315</v>
      </c>
      <c r="L2038" s="799">
        <f t="shared" si="259"/>
        <v>4.1762708077051539E-4</v>
      </c>
      <c r="M2038" s="894"/>
      <c r="N2038" s="396"/>
      <c r="O2038" s="463"/>
      <c r="R2038" s="463"/>
      <c r="S2038" s="463"/>
      <c r="T2038" s="463"/>
    </row>
    <row r="2039" spans="1:20" s="115" customFormat="1" ht="15" customHeight="1" x14ac:dyDescent="0.25">
      <c r="B2039" s="879"/>
      <c r="C2039" s="879"/>
      <c r="D2039" s="880">
        <v>616800</v>
      </c>
      <c r="E2039" s="854">
        <v>333903500000000</v>
      </c>
      <c r="F2039" s="855" t="s">
        <v>9185</v>
      </c>
      <c r="G2039" s="468">
        <v>40</v>
      </c>
      <c r="H2039" s="468">
        <v>0</v>
      </c>
      <c r="I2039" s="751"/>
      <c r="J2039" s="789">
        <f>('Parâmetros financeiros Despesa'!E1514)</f>
        <v>0</v>
      </c>
      <c r="K2039" s="789">
        <f>('Parâmetros financeiros Despesa'!F1514*(1+'Parâmetros financeiros Despesa'!F$4)*(1+'Parâmetros financeiros Despesa'!F$7))</f>
        <v>545.16575</v>
      </c>
      <c r="L2039" s="799">
        <f t="shared" si="259"/>
        <v>2.0881354038525769E-4</v>
      </c>
      <c r="M2039" s="894"/>
      <c r="N2039" s="396"/>
      <c r="O2039" s="463"/>
      <c r="R2039" s="463"/>
      <c r="S2039" s="463"/>
      <c r="T2039" s="463"/>
    </row>
    <row r="2040" spans="1:20" s="115" customFormat="1" ht="15" customHeight="1" x14ac:dyDescent="0.25">
      <c r="B2040" s="879"/>
      <c r="C2040" s="879"/>
      <c r="D2040" s="880">
        <v>616900</v>
      </c>
      <c r="E2040" s="854">
        <v>333903600000000</v>
      </c>
      <c r="F2040" s="855" t="s">
        <v>9186</v>
      </c>
      <c r="G2040" s="468">
        <v>40</v>
      </c>
      <c r="H2040" s="468">
        <v>0</v>
      </c>
      <c r="I2040" s="751"/>
      <c r="J2040" s="789">
        <f>('Parâmetros financeiros Despesa'!E1515)</f>
        <v>0</v>
      </c>
      <c r="K2040" s="789">
        <f>('Parâmetros financeiros Despesa'!F1515*(1+'Parâmetros financeiros Despesa'!F$4)*(1+'Parâmetros financeiros Despesa'!F$7))</f>
        <v>545.16575</v>
      </c>
      <c r="L2040" s="799">
        <f t="shared" si="259"/>
        <v>2.0881354038525769E-4</v>
      </c>
      <c r="M2040" s="894"/>
      <c r="N2040" s="396"/>
      <c r="O2040" s="463"/>
      <c r="R2040" s="463"/>
      <c r="S2040" s="463"/>
      <c r="T2040" s="463"/>
    </row>
    <row r="2041" spans="1:20" s="115" customFormat="1" ht="15" customHeight="1" x14ac:dyDescent="0.25">
      <c r="B2041" s="879"/>
      <c r="C2041" s="879"/>
      <c r="D2041" s="880">
        <v>617000</v>
      </c>
      <c r="E2041" s="854">
        <v>333903900000000</v>
      </c>
      <c r="F2041" s="855" t="s">
        <v>9187</v>
      </c>
      <c r="G2041" s="468">
        <v>40</v>
      </c>
      <c r="H2041" s="468">
        <v>0</v>
      </c>
      <c r="I2041" s="751"/>
      <c r="J2041" s="789">
        <f>('Parâmetros financeiros Despesa'!E1516)</f>
        <v>3174</v>
      </c>
      <c r="K2041" s="789">
        <f>('Parâmetros financeiros Despesa'!F1516*(1+'Parâmetros financeiros Despesa'!F$4)*(1+'Parâmetros financeiros Despesa'!F$7))</f>
        <v>3460.7121809999999</v>
      </c>
      <c r="L2041" s="799">
        <f t="shared" si="259"/>
        <v>1.3255483543656158E-3</v>
      </c>
      <c r="M2041" s="894"/>
      <c r="N2041" s="396"/>
      <c r="O2041" s="463"/>
      <c r="R2041" s="463"/>
      <c r="S2041" s="463"/>
      <c r="T2041" s="463"/>
    </row>
    <row r="2042" spans="1:20" s="115" customFormat="1" ht="15" customHeight="1" x14ac:dyDescent="0.25">
      <c r="B2042" s="1004"/>
      <c r="C2042" s="1004"/>
      <c r="D2042" s="880">
        <v>617100</v>
      </c>
      <c r="E2042" s="854">
        <v>333904700000000</v>
      </c>
      <c r="F2042" s="855" t="s">
        <v>9188</v>
      </c>
      <c r="G2042" s="468">
        <v>40</v>
      </c>
      <c r="H2042" s="468">
        <v>0</v>
      </c>
      <c r="I2042" s="751"/>
      <c r="J2042" s="789">
        <f>('Parâmetros financeiros Despesa'!E1517)</f>
        <v>0</v>
      </c>
      <c r="K2042" s="789">
        <f>('Parâmetros financeiros Despesa'!F1517*(1+'Parâmetros financeiros Despesa'!F$4)*(1+'Parâmetros financeiros Despesa'!F$7))</f>
        <v>109.03315000000001</v>
      </c>
      <c r="L2042" s="799">
        <f t="shared" si="259"/>
        <v>4.1762708077051546E-5</v>
      </c>
      <c r="M2042" s="894"/>
      <c r="N2042" s="396"/>
      <c r="O2042" s="463"/>
      <c r="R2042" s="463"/>
      <c r="S2042" s="463"/>
      <c r="T2042" s="463"/>
    </row>
    <row r="2043" spans="1:20" s="115" customFormat="1" ht="15" customHeight="1" x14ac:dyDescent="0.25">
      <c r="A2043" s="396"/>
      <c r="B2043" s="1398" t="s">
        <v>9190</v>
      </c>
      <c r="C2043" s="1398"/>
      <c r="D2043" s="1398"/>
      <c r="E2043" s="854">
        <v>333904900000000</v>
      </c>
      <c r="F2043" s="855" t="s">
        <v>8932</v>
      </c>
      <c r="G2043" s="468">
        <v>40</v>
      </c>
      <c r="H2043" s="468">
        <v>0</v>
      </c>
      <c r="I2043" s="751"/>
      <c r="J2043" s="789">
        <f>('Parâmetros financeiros Despesa'!E1518)</f>
        <v>926.16000000000008</v>
      </c>
      <c r="K2043" s="789">
        <f>('Parâmetros financeiros Despesa'!F1518)*2+(('Parâmetros financeiros Despesa'!F1518)*10)*(1+'Parâmetros financeiros Despesa'!F$4)*(1+'Parâmetros financeiros Despesa'!F$8)</f>
        <v>968.9805697145988</v>
      </c>
      <c r="L2043" s="799">
        <f t="shared" si="259"/>
        <v>3.7114632261221362E-4</v>
      </c>
      <c r="M2043" s="894"/>
      <c r="O2043" s="733"/>
    </row>
    <row r="2044" spans="1:20" s="115" customFormat="1" x14ac:dyDescent="0.25">
      <c r="A2044" s="396"/>
      <c r="B2044" s="1398" t="s">
        <v>9191</v>
      </c>
      <c r="C2044" s="1398"/>
      <c r="D2044" s="1398"/>
      <c r="E2044" s="854">
        <v>333909300000000</v>
      </c>
      <c r="F2044" s="855" t="s">
        <v>8933</v>
      </c>
      <c r="G2044" s="468">
        <v>40</v>
      </c>
      <c r="H2044" s="468">
        <v>0</v>
      </c>
      <c r="I2044" s="751"/>
      <c r="J2044" s="789">
        <f>('Parâmetros financeiros Despesa'!E1519)</f>
        <v>0</v>
      </c>
      <c r="K2044" s="789">
        <f>('Parâmetros financeiros Despesa'!F1519)*(1+'Parâmetros financeiros Despesa'!F$4)*(1+'Parâmetros financeiros Despesa'!F$7)</f>
        <v>545.16575</v>
      </c>
      <c r="L2044" s="799">
        <f t="shared" si="259"/>
        <v>2.0881354038525769E-4</v>
      </c>
      <c r="M2044" s="894"/>
      <c r="O2044" s="733"/>
    </row>
    <row r="2045" spans="1:20" s="115" customFormat="1" x14ac:dyDescent="0.25">
      <c r="A2045" s="396"/>
      <c r="B2045" s="1004"/>
      <c r="C2045" s="1004"/>
      <c r="D2045" s="1004" t="s">
        <v>9192</v>
      </c>
      <c r="E2045" s="854">
        <v>333933000000000</v>
      </c>
      <c r="F2045" s="855" t="s">
        <v>9189</v>
      </c>
      <c r="G2045" s="468">
        <v>40</v>
      </c>
      <c r="H2045" s="468">
        <v>0</v>
      </c>
      <c r="I2045" s="751"/>
      <c r="J2045" s="789">
        <f>('Parâmetros financeiros Despesa'!E1520)</f>
        <v>0</v>
      </c>
      <c r="K2045" s="789">
        <f>('Parâmetros financeiros Despesa'!F1520)*(1+'Parâmetros financeiros Despesa'!F$4)*(1+'Parâmetros financeiros Despesa'!F$7)</f>
        <v>545.16575</v>
      </c>
      <c r="L2045" s="799">
        <f t="shared" si="259"/>
        <v>2.0881354038525769E-4</v>
      </c>
      <c r="M2045" s="894"/>
      <c r="O2045" s="733"/>
    </row>
    <row r="2046" spans="1:20" s="115" customFormat="1" x14ac:dyDescent="0.25">
      <c r="A2046" s="396"/>
      <c r="B2046" s="1398" t="s">
        <v>9193</v>
      </c>
      <c r="C2046" s="1398"/>
      <c r="D2046" s="1398"/>
      <c r="E2046" s="854">
        <v>344905100000000</v>
      </c>
      <c r="F2046" s="855" t="s">
        <v>8941</v>
      </c>
      <c r="G2046" s="468">
        <v>40</v>
      </c>
      <c r="H2046" s="468">
        <v>0</v>
      </c>
      <c r="I2046" s="751"/>
      <c r="J2046" s="789">
        <f>('Parâmetros financeiros Despesa'!E1521)</f>
        <v>0</v>
      </c>
      <c r="K2046" s="789">
        <f>('Parâmetros financeiros Despesa'!F1521)*(1+'Parâmetros financeiros Despesa'!F$4)*(1+'Parâmetros financeiros Despesa'!F$7)</f>
        <v>545.16575</v>
      </c>
      <c r="L2046" s="799">
        <f t="shared" si="259"/>
        <v>2.0881354038525769E-4</v>
      </c>
      <c r="M2046" s="894"/>
      <c r="O2046" s="733"/>
    </row>
    <row r="2047" spans="1:20" s="115" customFormat="1" x14ac:dyDescent="0.25">
      <c r="A2047" s="396"/>
      <c r="B2047" s="1398" t="s">
        <v>9194</v>
      </c>
      <c r="C2047" s="1398"/>
      <c r="D2047" s="1398"/>
      <c r="E2047" s="854">
        <v>344905200000000</v>
      </c>
      <c r="F2047" s="855" t="s">
        <v>8944</v>
      </c>
      <c r="G2047" s="468">
        <v>40</v>
      </c>
      <c r="H2047" s="468">
        <v>0</v>
      </c>
      <c r="I2047" s="751"/>
      <c r="J2047" s="789">
        <f>('Parâmetros financeiros Despesa'!E1522)</f>
        <v>0</v>
      </c>
      <c r="K2047" s="789">
        <f>('Parâmetros financeiros Despesa'!F1522)*(1+'Parâmetros financeiros Despesa'!F$4)*(1+'Parâmetros financeiros Despesa'!F$7)</f>
        <v>545.16575</v>
      </c>
      <c r="L2047" s="799">
        <f t="shared" si="259"/>
        <v>2.0881354038525769E-4</v>
      </c>
      <c r="M2047" s="894"/>
      <c r="O2047" s="733"/>
    </row>
    <row r="2048" spans="1:20" x14ac:dyDescent="0.25">
      <c r="A2048" s="397"/>
      <c r="B2048" s="1382" t="s">
        <v>8699</v>
      </c>
      <c r="C2048" s="1382"/>
      <c r="D2048" s="1382"/>
      <c r="E2048" s="1382"/>
      <c r="F2048" s="1382"/>
      <c r="G2048" s="405"/>
      <c r="H2048" s="405"/>
      <c r="I2048" s="428"/>
      <c r="J2048" s="406">
        <f>J2049</f>
        <v>34414.47</v>
      </c>
      <c r="K2048" s="406">
        <f>K2049</f>
        <v>37523.180696805</v>
      </c>
      <c r="L2048" s="453">
        <f t="shared" si="259"/>
        <v>1.4372414642364479E-2</v>
      </c>
    </row>
    <row r="2049" spans="1:15" x14ac:dyDescent="0.25">
      <c r="A2049" s="397"/>
      <c r="B2049" s="1383" t="s">
        <v>8812</v>
      </c>
      <c r="C2049" s="1383"/>
      <c r="D2049" s="1383"/>
      <c r="E2049" s="1383"/>
      <c r="F2049" s="1383"/>
      <c r="G2049" s="407"/>
      <c r="H2049" s="407"/>
      <c r="I2049" s="429"/>
      <c r="J2049" s="408">
        <f>J2051</f>
        <v>34414.47</v>
      </c>
      <c r="K2049" s="408">
        <f>K2051</f>
        <v>37523.180696805</v>
      </c>
      <c r="L2049" s="454">
        <f t="shared" si="259"/>
        <v>1.4372414642364479E-2</v>
      </c>
    </row>
    <row r="2050" spans="1:15" x14ac:dyDescent="0.25">
      <c r="A2050" s="397"/>
      <c r="B2050" s="1385" t="s">
        <v>8698</v>
      </c>
      <c r="C2050" s="1385"/>
      <c r="D2050" s="1385"/>
      <c r="E2050" s="1385"/>
      <c r="F2050" s="1385"/>
      <c r="G2050" s="401"/>
      <c r="H2050" s="401"/>
      <c r="I2050" s="426"/>
      <c r="J2050" s="402">
        <f>J2051</f>
        <v>34414.47</v>
      </c>
      <c r="K2050" s="402">
        <f>K2051</f>
        <v>37523.180696805</v>
      </c>
      <c r="L2050" s="451">
        <f t="shared" si="259"/>
        <v>1.4372414642364479E-2</v>
      </c>
    </row>
    <row r="2051" spans="1:15" x14ac:dyDescent="0.25">
      <c r="A2051" s="397"/>
      <c r="B2051" s="1386" t="s">
        <v>8704</v>
      </c>
      <c r="C2051" s="1386"/>
      <c r="D2051" s="1386"/>
      <c r="E2051" s="1386"/>
      <c r="F2051" s="1386"/>
      <c r="G2051" s="403"/>
      <c r="H2051" s="403"/>
      <c r="I2051" s="427"/>
      <c r="J2051" s="404">
        <f>J2052+J2053</f>
        <v>34414.47</v>
      </c>
      <c r="K2051" s="404">
        <f>K2052+K2053</f>
        <v>37523.180696805</v>
      </c>
      <c r="L2051" s="452">
        <f t="shared" si="259"/>
        <v>1.4372414642364479E-2</v>
      </c>
    </row>
    <row r="2052" spans="1:15" s="115" customFormat="1" x14ac:dyDescent="0.25">
      <c r="A2052" s="396"/>
      <c r="B2052" s="1398" t="s">
        <v>9195</v>
      </c>
      <c r="C2052" s="1398"/>
      <c r="D2052" s="1398"/>
      <c r="E2052" s="854">
        <v>333933000000000</v>
      </c>
      <c r="F2052" s="855" t="s">
        <v>8947</v>
      </c>
      <c r="G2052" s="468">
        <v>40</v>
      </c>
      <c r="H2052" s="468">
        <v>0</v>
      </c>
      <c r="I2052" s="751"/>
      <c r="J2052" s="789">
        <f>('Parâmetros financeiros Despesa'!E1524)</f>
        <v>28127.46</v>
      </c>
      <c r="K2052" s="789">
        <f>('Parâmetros financeiros Despesa'!F1524)*(1+'Parâmetros financeiros Despesa'!F$4)*(1+'Parâmetros financeiros Despesa'!F$7)</f>
        <v>30668.255652989999</v>
      </c>
      <c r="L2052" s="799">
        <f t="shared" si="259"/>
        <v>1.1746789009289441E-2</v>
      </c>
      <c r="M2052" s="894"/>
      <c r="O2052" s="733"/>
    </row>
    <row r="2053" spans="1:15" s="115" customFormat="1" ht="30" x14ac:dyDescent="0.25">
      <c r="A2053" s="396"/>
      <c r="B2053" s="1398" t="s">
        <v>9196</v>
      </c>
      <c r="C2053" s="1398"/>
      <c r="D2053" s="1398"/>
      <c r="E2053" s="854">
        <v>333933900000000</v>
      </c>
      <c r="F2053" s="855" t="s">
        <v>8948</v>
      </c>
      <c r="G2053" s="468">
        <v>40</v>
      </c>
      <c r="H2053" s="468">
        <v>0</v>
      </c>
      <c r="I2053" s="751"/>
      <c r="J2053" s="789">
        <f>('Parâmetros financeiros Despesa'!E1525)</f>
        <v>6287.01</v>
      </c>
      <c r="K2053" s="789">
        <f>('Parâmetros financeiros Despesa'!F1525)*(1+'Parâmetros financeiros Despesa'!F$4)*(1+'Parâmetros financeiros Despesa'!F$7)</f>
        <v>6854.9250438150002</v>
      </c>
      <c r="L2053" s="799">
        <f t="shared" si="259"/>
        <v>2.6256256330750381E-3</v>
      </c>
      <c r="M2053" s="894"/>
      <c r="O2053" s="733"/>
    </row>
    <row r="2054" spans="1:15" x14ac:dyDescent="0.25">
      <c r="A2054" s="397"/>
      <c r="B2054" s="1382" t="s">
        <v>8699</v>
      </c>
      <c r="C2054" s="1382"/>
      <c r="D2054" s="1382"/>
      <c r="E2054" s="1382"/>
      <c r="F2054" s="1382"/>
      <c r="G2054" s="405"/>
      <c r="H2054" s="405"/>
      <c r="I2054" s="428"/>
      <c r="J2054" s="406">
        <f>J2055</f>
        <v>0</v>
      </c>
      <c r="K2054" s="406">
        <f>K2055</f>
        <v>6542.0390000000007</v>
      </c>
      <c r="L2054" s="453">
        <f t="shared" si="259"/>
        <v>2.5057816360041529E-3</v>
      </c>
    </row>
    <row r="2055" spans="1:15" x14ac:dyDescent="0.25">
      <c r="A2055" s="397"/>
      <c r="B2055" s="1383" t="s">
        <v>8812</v>
      </c>
      <c r="C2055" s="1383"/>
      <c r="D2055" s="1383"/>
      <c r="E2055" s="1383"/>
      <c r="F2055" s="1383"/>
      <c r="G2055" s="407"/>
      <c r="H2055" s="407"/>
      <c r="I2055" s="429"/>
      <c r="J2055" s="408">
        <f>J2057</f>
        <v>0</v>
      </c>
      <c r="K2055" s="408">
        <f>K2057</f>
        <v>6542.0390000000007</v>
      </c>
      <c r="L2055" s="454">
        <f t="shared" si="259"/>
        <v>2.5057816360041529E-3</v>
      </c>
    </row>
    <row r="2056" spans="1:15" x14ac:dyDescent="0.25">
      <c r="A2056" s="397"/>
      <c r="B2056" s="1385" t="s">
        <v>8698</v>
      </c>
      <c r="C2056" s="1385"/>
      <c r="D2056" s="1385"/>
      <c r="E2056" s="1385"/>
      <c r="F2056" s="1385"/>
      <c r="G2056" s="401"/>
      <c r="H2056" s="401"/>
      <c r="I2056" s="426"/>
      <c r="J2056" s="402">
        <f>J2057</f>
        <v>0</v>
      </c>
      <c r="K2056" s="402">
        <f>K2057</f>
        <v>6542.0390000000007</v>
      </c>
      <c r="L2056" s="451">
        <f t="shared" si="259"/>
        <v>2.5057816360041529E-3</v>
      </c>
    </row>
    <row r="2057" spans="1:15" x14ac:dyDescent="0.25">
      <c r="A2057" s="397"/>
      <c r="B2057" s="1386" t="s">
        <v>9325</v>
      </c>
      <c r="C2057" s="1386"/>
      <c r="D2057" s="1386"/>
      <c r="E2057" s="1386"/>
      <c r="F2057" s="1386"/>
      <c r="G2057" s="403"/>
      <c r="H2057" s="403"/>
      <c r="I2057" s="427"/>
      <c r="J2057" s="404">
        <f>SUM(J2058:J2069)</f>
        <v>0</v>
      </c>
      <c r="K2057" s="404">
        <f>SUM(K2058:K2069)+0.05</f>
        <v>6542.0390000000007</v>
      </c>
      <c r="L2057" s="452">
        <f t="shared" ref="L2057:L2088" si="261">K2057/K$2234</f>
        <v>2.5057816360041529E-3</v>
      </c>
    </row>
    <row r="2058" spans="1:15" s="115" customFormat="1" x14ac:dyDescent="0.25">
      <c r="A2058" s="396"/>
      <c r="B2058" s="1398" t="s">
        <v>9327</v>
      </c>
      <c r="C2058" s="1398"/>
      <c r="D2058" s="1398"/>
      <c r="E2058" s="854">
        <v>333933000000000</v>
      </c>
      <c r="F2058" s="855" t="s">
        <v>9326</v>
      </c>
      <c r="G2058" s="468">
        <v>40</v>
      </c>
      <c r="H2058" s="468">
        <v>0</v>
      </c>
      <c r="I2058" s="751"/>
      <c r="J2058" s="789">
        <f>('Parâmetros financeiros Despesa'!E1527)</f>
        <v>0</v>
      </c>
      <c r="K2058" s="789">
        <f>('Parâmetros financeiros Despesa'!F1527)*(1+'Parâmetros financeiros Despesa'!F$4)*(1+'Parâmetros financeiros Despesa'!F$7)</f>
        <v>545.16575</v>
      </c>
      <c r="L2058" s="799">
        <f t="shared" si="261"/>
        <v>2.0881354038525769E-4</v>
      </c>
      <c r="M2058" s="894"/>
      <c r="O2058" s="733"/>
    </row>
    <row r="2059" spans="1:15" s="115" customFormat="1" x14ac:dyDescent="0.25">
      <c r="A2059" s="396"/>
      <c r="B2059" s="1004"/>
      <c r="C2059" s="1004"/>
      <c r="D2059" s="1004" t="s">
        <v>9334</v>
      </c>
      <c r="E2059" s="854">
        <v>333933000000000</v>
      </c>
      <c r="F2059" s="855" t="s">
        <v>9329</v>
      </c>
      <c r="G2059" s="468">
        <v>40</v>
      </c>
      <c r="H2059" s="468">
        <v>0</v>
      </c>
      <c r="I2059" s="751"/>
      <c r="J2059" s="789">
        <f>('Parâmetros financeiros Despesa'!E1528)</f>
        <v>0</v>
      </c>
      <c r="K2059" s="789">
        <f>('Parâmetros financeiros Despesa'!F1528)*(1+'Parâmetros financeiros Despesa'!F$4)*(1+'Parâmetros financeiros Despesa'!F$7)</f>
        <v>545.16575</v>
      </c>
      <c r="L2059" s="799">
        <f t="shared" si="261"/>
        <v>2.0881354038525769E-4</v>
      </c>
      <c r="M2059" s="894"/>
      <c r="O2059" s="733"/>
    </row>
    <row r="2060" spans="1:15" s="115" customFormat="1" x14ac:dyDescent="0.25">
      <c r="A2060" s="396"/>
      <c r="B2060" s="1398" t="s">
        <v>9335</v>
      </c>
      <c r="C2060" s="1398"/>
      <c r="D2060" s="1398"/>
      <c r="E2060" s="854">
        <v>333903200000000</v>
      </c>
      <c r="F2060" s="855" t="s">
        <v>9331</v>
      </c>
      <c r="G2060" s="468">
        <v>40</v>
      </c>
      <c r="H2060" s="468">
        <v>0</v>
      </c>
      <c r="I2060" s="751"/>
      <c r="J2060" s="789">
        <f>('Parâmetros financeiros Despesa'!E1529)</f>
        <v>0</v>
      </c>
      <c r="K2060" s="789">
        <f>('Parâmetros financeiros Despesa'!F1529)*(1+'Parâmetros financeiros Despesa'!F$4)*(1+'Parâmetros financeiros Despesa'!F$7)</f>
        <v>545.16575</v>
      </c>
      <c r="L2060" s="799">
        <f t="shared" si="261"/>
        <v>2.0881354038525769E-4</v>
      </c>
      <c r="M2060" s="894"/>
      <c r="O2060" s="733"/>
    </row>
    <row r="2061" spans="1:15" s="115" customFormat="1" x14ac:dyDescent="0.25">
      <c r="A2061" s="396"/>
      <c r="B2061" s="1004"/>
      <c r="C2061" s="1004"/>
      <c r="D2061" s="1004" t="s">
        <v>9336</v>
      </c>
      <c r="E2061" s="854">
        <v>333903200000000</v>
      </c>
      <c r="F2061" s="855" t="s">
        <v>9330</v>
      </c>
      <c r="G2061" s="468">
        <v>40</v>
      </c>
      <c r="H2061" s="468">
        <v>0</v>
      </c>
      <c r="I2061" s="751"/>
      <c r="J2061" s="789">
        <f>('Parâmetros financeiros Despesa'!E1530)</f>
        <v>0</v>
      </c>
      <c r="K2061" s="789">
        <f>('Parâmetros financeiros Despesa'!F1530)*(1+'Parâmetros financeiros Despesa'!F$4)*(1+'Parâmetros financeiros Despesa'!F$7)</f>
        <v>545.16575</v>
      </c>
      <c r="L2061" s="799">
        <f t="shared" si="261"/>
        <v>2.0881354038525769E-4</v>
      </c>
      <c r="M2061" s="894"/>
      <c r="O2061" s="733"/>
    </row>
    <row r="2062" spans="1:15" s="115" customFormat="1" x14ac:dyDescent="0.25">
      <c r="A2062" s="396"/>
      <c r="B2062" s="1398" t="s">
        <v>9337</v>
      </c>
      <c r="C2062" s="1398"/>
      <c r="D2062" s="1398"/>
      <c r="E2062" s="854">
        <v>333903600000000</v>
      </c>
      <c r="F2062" s="855" t="s">
        <v>9332</v>
      </c>
      <c r="G2062" s="468">
        <v>40</v>
      </c>
      <c r="H2062" s="468">
        <v>0</v>
      </c>
      <c r="I2062" s="751"/>
      <c r="J2062" s="789">
        <f>('Parâmetros financeiros Despesa'!E1531)</f>
        <v>0</v>
      </c>
      <c r="K2062" s="789">
        <f>('Parâmetros financeiros Despesa'!F1531)*(1+'Parâmetros financeiros Despesa'!F$4)*(1+'Parâmetros financeiros Despesa'!F$7)</f>
        <v>545.16575</v>
      </c>
      <c r="L2062" s="799">
        <f t="shared" si="261"/>
        <v>2.0881354038525769E-4</v>
      </c>
      <c r="M2062" s="894"/>
      <c r="O2062" s="733"/>
    </row>
    <row r="2063" spans="1:15" s="115" customFormat="1" x14ac:dyDescent="0.25">
      <c r="A2063" s="396"/>
      <c r="B2063" s="1398" t="s">
        <v>9338</v>
      </c>
      <c r="C2063" s="1398"/>
      <c r="D2063" s="1398"/>
      <c r="E2063" s="854">
        <v>333903600000000</v>
      </c>
      <c r="F2063" s="855" t="s">
        <v>9333</v>
      </c>
      <c r="G2063" s="468">
        <v>40</v>
      </c>
      <c r="H2063" s="468">
        <v>0</v>
      </c>
      <c r="I2063" s="751"/>
      <c r="J2063" s="789">
        <f>('Parâmetros financeiros Despesa'!E1532)</f>
        <v>0</v>
      </c>
      <c r="K2063" s="789">
        <f>('Parâmetros financeiros Despesa'!F1532)*(1+'Parâmetros financeiros Despesa'!F$4)*(1+'Parâmetros financeiros Despesa'!F$7)</f>
        <v>545.16575</v>
      </c>
      <c r="L2063" s="799">
        <f t="shared" si="261"/>
        <v>2.0881354038525769E-4</v>
      </c>
      <c r="M2063" s="894"/>
      <c r="O2063" s="733"/>
    </row>
    <row r="2064" spans="1:15" s="115" customFormat="1" x14ac:dyDescent="0.25">
      <c r="A2064" s="396"/>
      <c r="B2064" s="1398" t="s">
        <v>9328</v>
      </c>
      <c r="C2064" s="1398"/>
      <c r="D2064" s="1398"/>
      <c r="E2064" s="854">
        <v>333903900000000</v>
      </c>
      <c r="F2064" s="855" t="s">
        <v>9340</v>
      </c>
      <c r="G2064" s="468">
        <v>40</v>
      </c>
      <c r="H2064" s="468">
        <v>0</v>
      </c>
      <c r="I2064" s="751"/>
      <c r="J2064" s="789">
        <f>('Parâmetros financeiros Despesa'!E1533)</f>
        <v>0</v>
      </c>
      <c r="K2064" s="789">
        <f>('Parâmetros financeiros Despesa'!F1533)*(1+'Parâmetros financeiros Despesa'!F$4)*(1+'Parâmetros financeiros Despesa'!F$7)</f>
        <v>545.16575</v>
      </c>
      <c r="L2064" s="799">
        <f t="shared" si="261"/>
        <v>2.0881354038525769E-4</v>
      </c>
      <c r="M2064" s="894"/>
      <c r="O2064" s="733"/>
    </row>
    <row r="2065" spans="1:20" s="115" customFormat="1" x14ac:dyDescent="0.25">
      <c r="A2065" s="396"/>
      <c r="B2065" s="1398" t="s">
        <v>9339</v>
      </c>
      <c r="C2065" s="1398"/>
      <c r="D2065" s="1398"/>
      <c r="E2065" s="854">
        <v>333903900000000</v>
      </c>
      <c r="F2065" s="855" t="s">
        <v>9341</v>
      </c>
      <c r="G2065" s="468">
        <v>40</v>
      </c>
      <c r="H2065" s="468">
        <v>0</v>
      </c>
      <c r="I2065" s="751"/>
      <c r="J2065" s="789">
        <f>('Parâmetros financeiros Despesa'!E1534)</f>
        <v>0</v>
      </c>
      <c r="K2065" s="789">
        <f>('Parâmetros financeiros Despesa'!F1534)*(1+'Parâmetros financeiros Despesa'!F$4)*(1+'Parâmetros financeiros Despesa'!F$7)</f>
        <v>545.16575</v>
      </c>
      <c r="L2065" s="799">
        <f t="shared" si="261"/>
        <v>2.0881354038525769E-4</v>
      </c>
      <c r="M2065" s="894"/>
      <c r="O2065" s="733"/>
    </row>
    <row r="2066" spans="1:20" s="115" customFormat="1" x14ac:dyDescent="0.25">
      <c r="A2066" s="396"/>
      <c r="B2066" s="1398" t="s">
        <v>9346</v>
      </c>
      <c r="C2066" s="1398"/>
      <c r="D2066" s="1398"/>
      <c r="E2066" s="854">
        <v>333904700000000</v>
      </c>
      <c r="F2066" s="855" t="s">
        <v>9342</v>
      </c>
      <c r="G2066" s="468">
        <v>40</v>
      </c>
      <c r="H2066" s="468">
        <v>0</v>
      </c>
      <c r="I2066" s="751"/>
      <c r="J2066" s="789">
        <f>('Parâmetros financeiros Despesa'!E1535)</f>
        <v>0</v>
      </c>
      <c r="K2066" s="789">
        <f>('Parâmetros financeiros Despesa'!F1535)*(1+'Parâmetros financeiros Despesa'!F$4)*(1+'Parâmetros financeiros Despesa'!F$7)</f>
        <v>545.16575</v>
      </c>
      <c r="L2066" s="799">
        <f t="shared" si="261"/>
        <v>2.0881354038525769E-4</v>
      </c>
      <c r="M2066" s="894"/>
      <c r="O2066" s="733"/>
    </row>
    <row r="2067" spans="1:20" s="115" customFormat="1" x14ac:dyDescent="0.25">
      <c r="A2067" s="396"/>
      <c r="B2067" s="1398" t="s">
        <v>9354</v>
      </c>
      <c r="C2067" s="1398"/>
      <c r="D2067" s="1398"/>
      <c r="E2067" s="854">
        <v>333904700000000</v>
      </c>
      <c r="F2067" s="855" t="s">
        <v>9343</v>
      </c>
      <c r="G2067" s="468">
        <v>40</v>
      </c>
      <c r="H2067" s="468">
        <v>0</v>
      </c>
      <c r="I2067" s="751"/>
      <c r="J2067" s="789">
        <f>('Parâmetros financeiros Despesa'!E1536)</f>
        <v>0</v>
      </c>
      <c r="K2067" s="789">
        <f>('Parâmetros financeiros Despesa'!F1536)*(1+'Parâmetros financeiros Despesa'!F$4)*(1+'Parâmetros financeiros Despesa'!F$7)</f>
        <v>545.16575</v>
      </c>
      <c r="L2067" s="799">
        <f t="shared" si="261"/>
        <v>2.0881354038525769E-4</v>
      </c>
      <c r="M2067" s="894"/>
      <c r="O2067" s="733"/>
    </row>
    <row r="2068" spans="1:20" s="115" customFormat="1" x14ac:dyDescent="0.25">
      <c r="A2068" s="396"/>
      <c r="B2068" s="1398" t="s">
        <v>9355</v>
      </c>
      <c r="C2068" s="1398"/>
      <c r="D2068" s="1398"/>
      <c r="E2068" s="854">
        <v>344905200000000</v>
      </c>
      <c r="F2068" s="855" t="s">
        <v>9345</v>
      </c>
      <c r="G2068" s="468">
        <v>40</v>
      </c>
      <c r="H2068" s="468">
        <v>0</v>
      </c>
      <c r="I2068" s="751"/>
      <c r="J2068" s="789">
        <f>('Parâmetros financeiros Despesa'!E1537)</f>
        <v>0</v>
      </c>
      <c r="K2068" s="789">
        <f>('Parâmetros financeiros Despesa'!F1537)*(1+'Parâmetros financeiros Despesa'!F$4)*(1+'Parâmetros financeiros Despesa'!F$7)</f>
        <v>545.16575</v>
      </c>
      <c r="L2068" s="799">
        <f t="shared" si="261"/>
        <v>2.0881354038525769E-4</v>
      </c>
      <c r="M2068" s="894"/>
      <c r="O2068" s="733"/>
    </row>
    <row r="2069" spans="1:20" s="115" customFormat="1" x14ac:dyDescent="0.25">
      <c r="A2069" s="396"/>
      <c r="B2069" s="1398" t="s">
        <v>9356</v>
      </c>
      <c r="C2069" s="1398"/>
      <c r="D2069" s="1398"/>
      <c r="E2069" s="854">
        <v>344905200000000</v>
      </c>
      <c r="F2069" s="855" t="s">
        <v>9344</v>
      </c>
      <c r="G2069" s="468">
        <v>40</v>
      </c>
      <c r="H2069" s="468">
        <v>0</v>
      </c>
      <c r="I2069" s="751"/>
      <c r="J2069" s="789">
        <f>('Parâmetros financeiros Despesa'!E1538)</f>
        <v>0</v>
      </c>
      <c r="K2069" s="789">
        <f>('Parâmetros financeiros Despesa'!F1538)*(1+'Parâmetros financeiros Despesa'!F$4)*(1+'Parâmetros financeiros Despesa'!F$7)</f>
        <v>545.16575</v>
      </c>
      <c r="L2069" s="799">
        <f t="shared" si="261"/>
        <v>2.0881354038525769E-4</v>
      </c>
      <c r="M2069" s="894"/>
      <c r="O2069" s="733"/>
    </row>
    <row r="2070" spans="1:20" x14ac:dyDescent="0.25">
      <c r="A2070" s="397"/>
      <c r="B2070" s="1382" t="s">
        <v>8699</v>
      </c>
      <c r="C2070" s="1382"/>
      <c r="D2070" s="1382"/>
      <c r="E2070" s="1382"/>
      <c r="F2070" s="1382"/>
      <c r="G2070" s="405"/>
      <c r="H2070" s="405"/>
      <c r="I2070" s="428"/>
      <c r="J2070" s="406">
        <f t="shared" ref="J2070:K2072" si="262">J2071</f>
        <v>25929.01</v>
      </c>
      <c r="K2070" s="406">
        <f t="shared" si="262"/>
        <v>44460.990500048705</v>
      </c>
      <c r="L2070" s="453">
        <f t="shared" si="261"/>
        <v>1.7029787427677693E-2</v>
      </c>
    </row>
    <row r="2071" spans="1:20" x14ac:dyDescent="0.25">
      <c r="A2071" s="397"/>
      <c r="B2071" s="1383" t="s">
        <v>8812</v>
      </c>
      <c r="C2071" s="1383"/>
      <c r="D2071" s="1383"/>
      <c r="E2071" s="1383"/>
      <c r="F2071" s="1383"/>
      <c r="G2071" s="407"/>
      <c r="H2071" s="407"/>
      <c r="I2071" s="429"/>
      <c r="J2071" s="408">
        <f t="shared" si="262"/>
        <v>25929.01</v>
      </c>
      <c r="K2071" s="408">
        <f t="shared" si="262"/>
        <v>44460.990500048705</v>
      </c>
      <c r="L2071" s="454">
        <f t="shared" si="261"/>
        <v>1.7029787427677693E-2</v>
      </c>
    </row>
    <row r="2072" spans="1:20" x14ac:dyDescent="0.25">
      <c r="A2072" s="397"/>
      <c r="B2072" s="1385" t="s">
        <v>8698</v>
      </c>
      <c r="C2072" s="1385"/>
      <c r="D2072" s="1385"/>
      <c r="E2072" s="1385"/>
      <c r="F2072" s="1385"/>
      <c r="G2072" s="401"/>
      <c r="H2072" s="401"/>
      <c r="I2072" s="426"/>
      <c r="J2072" s="402">
        <f t="shared" si="262"/>
        <v>25929.01</v>
      </c>
      <c r="K2072" s="402">
        <f t="shared" si="262"/>
        <v>44460.990500048705</v>
      </c>
      <c r="L2072" s="451">
        <f t="shared" si="261"/>
        <v>1.7029787427677693E-2</v>
      </c>
    </row>
    <row r="2073" spans="1:20" x14ac:dyDescent="0.25">
      <c r="A2073" s="397"/>
      <c r="B2073" s="1386" t="s">
        <v>8949</v>
      </c>
      <c r="C2073" s="1386"/>
      <c r="D2073" s="1386"/>
      <c r="E2073" s="1386"/>
      <c r="F2073" s="1386"/>
      <c r="G2073" s="403"/>
      <c r="H2073" s="403"/>
      <c r="I2073" s="427"/>
      <c r="J2073" s="404">
        <f>SUM(J2074:J2091)+0.01</f>
        <v>25929.01</v>
      </c>
      <c r="K2073" s="404">
        <f>SUM(K2074:K2091)+0.04</f>
        <v>44460.990500048705</v>
      </c>
      <c r="L2073" s="452">
        <f t="shared" si="261"/>
        <v>1.7029787427677693E-2</v>
      </c>
    </row>
    <row r="2074" spans="1:20" s="115" customFormat="1" x14ac:dyDescent="0.25">
      <c r="A2074" s="396"/>
      <c r="B2074" s="1398" t="s">
        <v>9197</v>
      </c>
      <c r="C2074" s="1398"/>
      <c r="D2074" s="1398"/>
      <c r="E2074" s="854">
        <v>331900400000000</v>
      </c>
      <c r="F2074" s="855" t="s">
        <v>8951</v>
      </c>
      <c r="G2074" s="468">
        <v>40</v>
      </c>
      <c r="H2074" s="468">
        <v>0</v>
      </c>
      <c r="I2074" s="751"/>
      <c r="J2074" s="789">
        <f>(('Parâmetros financeiros Despesa'!E1540))</f>
        <v>0</v>
      </c>
      <c r="K2074" s="789">
        <f>(('Parâmetros financeiros Despesa'!F1540)*2.05+(('Parâmetros financeiros Despesa'!F1540)*11.28)*(1+'Parâmetros financeiros Despesa'!F$4)*(1+'Parâmetros financeiros Despesa'!F$8))*(1+'Parâmetros financeiros Despesa'!F$80)</f>
        <v>17.278630081629636</v>
      </c>
      <c r="L2074" s="799">
        <f t="shared" si="261"/>
        <v>6.6181925778578327E-6</v>
      </c>
      <c r="M2074" s="894"/>
      <c r="O2074" s="733"/>
    </row>
    <row r="2075" spans="1:20" s="115" customFormat="1" x14ac:dyDescent="0.25">
      <c r="A2075" s="396"/>
      <c r="B2075" s="1004"/>
      <c r="C2075" s="1004"/>
      <c r="D2075" s="1004" t="s">
        <v>11565</v>
      </c>
      <c r="E2075" s="854">
        <v>331900800000000</v>
      </c>
      <c r="F2075" s="855" t="s">
        <v>11600</v>
      </c>
      <c r="G2075" s="468">
        <v>1</v>
      </c>
      <c r="H2075" s="468">
        <v>0</v>
      </c>
      <c r="I2075" s="751"/>
      <c r="J2075" s="789">
        <f>(('Parâmetros financeiros Despesa'!E1541))</f>
        <v>0</v>
      </c>
      <c r="K2075" s="789">
        <f>(('Parâmetros financeiros Despesa'!F1541)*2.05+(('Parâmetros financeiros Despesa'!F1541)*11.28)*(1+'Parâmetros financeiros Despesa'!F$4)*(1+'Parâmetros financeiros Despesa'!F$8))</f>
        <v>13.955830560223728</v>
      </c>
      <c r="L2075" s="799">
        <f t="shared" si="261"/>
        <v>5.3454685814306766E-6</v>
      </c>
      <c r="M2075" s="894"/>
      <c r="O2075" s="733"/>
    </row>
    <row r="2076" spans="1:20" s="115" customFormat="1" ht="15" customHeight="1" x14ac:dyDescent="0.25">
      <c r="A2076" s="396"/>
      <c r="B2076" s="1398" t="s">
        <v>9198</v>
      </c>
      <c r="C2076" s="1398"/>
      <c r="D2076" s="1398"/>
      <c r="E2076" s="854">
        <v>331901100000000</v>
      </c>
      <c r="F2076" s="855" t="s">
        <v>8952</v>
      </c>
      <c r="G2076" s="468">
        <v>40</v>
      </c>
      <c r="H2076" s="468">
        <v>0</v>
      </c>
      <c r="I2076" s="751"/>
      <c r="J2076" s="789">
        <f>(('Parâmetros financeiros Despesa'!E1542))</f>
        <v>0</v>
      </c>
      <c r="K2076" s="789">
        <f>('Parâmetros financeiros Despesa'!F1542)*2.05+(('Parâmetros financeiros Despesa'!F11538)*11.28)*(1+'Parâmetros financeiros Despesa'!F$4)*(1+'Parâmetros financeiros Despesa'!F$8)</f>
        <v>2.0499999999999998</v>
      </c>
      <c r="L2076" s="799">
        <f t="shared" si="261"/>
        <v>7.8520662347144563E-7</v>
      </c>
      <c r="M2076" s="894"/>
      <c r="O2076" s="733"/>
    </row>
    <row r="2077" spans="1:20" s="115" customFormat="1" ht="15" customHeight="1" x14ac:dyDescent="0.25">
      <c r="A2077" s="396"/>
      <c r="B2077" s="1398" t="s">
        <v>9199</v>
      </c>
      <c r="C2077" s="1398"/>
      <c r="D2077" s="1398"/>
      <c r="E2077" s="854">
        <v>331901300000000</v>
      </c>
      <c r="F2077" s="855" t="s">
        <v>8953</v>
      </c>
      <c r="G2077" s="468">
        <v>40</v>
      </c>
      <c r="H2077" s="468">
        <v>0</v>
      </c>
      <c r="I2077" s="751"/>
      <c r="J2077" s="789">
        <f>(('Parâmetros financeiros Despesa'!E1543))</f>
        <v>25929</v>
      </c>
      <c r="K2077" s="789">
        <f>(K2078+K2076)*'Parâmetros financeiros Despesa'!F80</f>
        <v>7180.2271585778153</v>
      </c>
      <c r="L2077" s="799">
        <f t="shared" si="261"/>
        <v>2.750225328265785E-3</v>
      </c>
      <c r="M2077" s="894"/>
      <c r="O2077" s="733"/>
    </row>
    <row r="2078" spans="1:20" s="115" customFormat="1" ht="15" customHeight="1" x14ac:dyDescent="0.25">
      <c r="A2078" s="396"/>
      <c r="B2078" s="1398" t="s">
        <v>9200</v>
      </c>
      <c r="C2078" s="1398"/>
      <c r="D2078" s="1398"/>
      <c r="E2078" s="854">
        <v>331901600000000</v>
      </c>
      <c r="F2078" s="855" t="s">
        <v>8955</v>
      </c>
      <c r="G2078" s="468">
        <v>40</v>
      </c>
      <c r="H2078" s="468">
        <v>0</v>
      </c>
      <c r="I2078" s="751"/>
      <c r="J2078" s="789">
        <f>(('Parâmetros financeiros Despesa'!E1544))</f>
        <v>0</v>
      </c>
      <c r="K2078" s="789">
        <f>('Parâmetros financeiros Despesa'!F1543)*2.05+(('Parâmetros financeiros Despesa'!F1543)*11.28)*(1+'Parâmetros financeiros Despesa'!F$4)*(1+'Parâmetros financeiros Despesa'!F$8)</f>
        <v>30155.060883003418</v>
      </c>
      <c r="L2078" s="799">
        <f t="shared" si="261"/>
        <v>1.1550221237326335E-2</v>
      </c>
      <c r="M2078" s="894"/>
      <c r="O2078" s="733"/>
    </row>
    <row r="2079" spans="1:20" s="115" customFormat="1" ht="15" customHeight="1" x14ac:dyDescent="0.25">
      <c r="A2079" s="396"/>
      <c r="B2079" s="1398" t="s">
        <v>9201</v>
      </c>
      <c r="C2079" s="1398"/>
      <c r="D2079" s="1398"/>
      <c r="E2079" s="854">
        <v>333901400000000</v>
      </c>
      <c r="F2079" s="855" t="s">
        <v>8954</v>
      </c>
      <c r="G2079" s="468">
        <v>40</v>
      </c>
      <c r="H2079" s="468">
        <v>0</v>
      </c>
      <c r="I2079" s="751"/>
      <c r="J2079" s="789">
        <f>(('Parâmetros financeiros Despesa'!E1545))</f>
        <v>0</v>
      </c>
      <c r="K2079" s="789">
        <f>('Parâmetros financeiros Despesa'!F1544)*2+(('Parâmetros financeiros Despesa'!F1544)*10)*(1+'Parâmetros financeiros Despesa'!F$4)*(1+'Parâmetros financeiros Despesa'!F$8)</f>
        <v>1519.1325334991766</v>
      </c>
      <c r="L2079" s="799">
        <f t="shared" si="261"/>
        <v>5.8186972060220068E-4</v>
      </c>
      <c r="M2079" s="894"/>
      <c r="O2079" s="733"/>
    </row>
    <row r="2080" spans="1:20" s="115" customFormat="1" ht="15" customHeight="1" x14ac:dyDescent="0.25">
      <c r="B2080" s="879"/>
      <c r="C2080" s="879"/>
      <c r="D2080" s="880">
        <v>619500</v>
      </c>
      <c r="E2080" s="854">
        <v>333903000000000</v>
      </c>
      <c r="F2080" s="855" t="s">
        <v>8956</v>
      </c>
      <c r="G2080" s="468">
        <v>40</v>
      </c>
      <c r="H2080" s="468">
        <v>0</v>
      </c>
      <c r="I2080" s="751"/>
      <c r="J2080" s="789">
        <f>(('Parâmetros financeiros Despesa'!E1546))</f>
        <v>0</v>
      </c>
      <c r="K2080" s="789">
        <f>('Parâmetros financeiros Despesa'!F1545*(1+'Parâmetros financeiros Despesa'!F$4)*(1+'Parâmetros financeiros Despesa'!F$7))</f>
        <v>545.16575</v>
      </c>
      <c r="L2080" s="799">
        <f t="shared" si="261"/>
        <v>2.0881354038525769E-4</v>
      </c>
      <c r="M2080" s="894"/>
      <c r="N2080" s="396"/>
      <c r="O2080" s="463"/>
      <c r="R2080" s="463"/>
      <c r="S2080" s="463"/>
      <c r="T2080" s="463"/>
    </row>
    <row r="2081" spans="1:20" s="115" customFormat="1" ht="15" customHeight="1" x14ac:dyDescent="0.25">
      <c r="B2081" s="879"/>
      <c r="C2081" s="879"/>
      <c r="D2081" s="880">
        <v>619600</v>
      </c>
      <c r="E2081" s="854">
        <v>333903200000000</v>
      </c>
      <c r="F2081" s="855" t="s">
        <v>9202</v>
      </c>
      <c r="G2081" s="468">
        <v>40</v>
      </c>
      <c r="H2081" s="468">
        <v>0</v>
      </c>
      <c r="I2081" s="751"/>
      <c r="J2081" s="789">
        <f>(('Parâmetros financeiros Despesa'!E1547))</f>
        <v>0</v>
      </c>
      <c r="K2081" s="789">
        <f>('Parâmetros financeiros Despesa'!F1546*(1+'Parâmetros financeiros Despesa'!F$4)*(1+'Parâmetros financeiros Despesa'!F$7))</f>
        <v>545.16575</v>
      </c>
      <c r="L2081" s="799">
        <f t="shared" si="261"/>
        <v>2.0881354038525769E-4</v>
      </c>
      <c r="M2081" s="894"/>
      <c r="N2081" s="396"/>
      <c r="O2081" s="463"/>
      <c r="R2081" s="463"/>
      <c r="S2081" s="463"/>
      <c r="T2081" s="463"/>
    </row>
    <row r="2082" spans="1:20" s="115" customFormat="1" ht="15" customHeight="1" x14ac:dyDescent="0.25">
      <c r="B2082" s="879"/>
      <c r="C2082" s="879"/>
      <c r="D2082" s="880">
        <v>619700</v>
      </c>
      <c r="E2082" s="854">
        <v>333903300000000</v>
      </c>
      <c r="F2082" s="855" t="s">
        <v>9204</v>
      </c>
      <c r="G2082" s="468">
        <v>40</v>
      </c>
      <c r="H2082" s="468">
        <v>0</v>
      </c>
      <c r="I2082" s="751"/>
      <c r="J2082" s="789">
        <f>(('Parâmetros financeiros Despesa'!E1548))</f>
        <v>0</v>
      </c>
      <c r="K2082" s="789">
        <f>('Parâmetros financeiros Despesa'!F1547*(1+'Parâmetros financeiros Despesa'!F$4)*(1+'Parâmetros financeiros Despesa'!F$7))</f>
        <v>545.16575</v>
      </c>
      <c r="L2082" s="799">
        <f t="shared" si="261"/>
        <v>2.0881354038525769E-4</v>
      </c>
      <c r="M2082" s="894"/>
      <c r="N2082" s="396"/>
      <c r="O2082" s="463"/>
      <c r="R2082" s="463"/>
      <c r="S2082" s="463"/>
      <c r="T2082" s="463"/>
    </row>
    <row r="2083" spans="1:20" s="115" customFormat="1" ht="15" customHeight="1" x14ac:dyDescent="0.25">
      <c r="B2083" s="879"/>
      <c r="C2083" s="879"/>
      <c r="D2083" s="880">
        <v>619800</v>
      </c>
      <c r="E2083" s="854">
        <v>333903500000000</v>
      </c>
      <c r="F2083" s="855" t="s">
        <v>9208</v>
      </c>
      <c r="G2083" s="468">
        <v>40</v>
      </c>
      <c r="H2083" s="468">
        <v>0</v>
      </c>
      <c r="I2083" s="751"/>
      <c r="J2083" s="789">
        <f>(('Parâmetros financeiros Despesa'!E1549))</f>
        <v>0</v>
      </c>
      <c r="K2083" s="789">
        <f>('Parâmetros financeiros Despesa'!F1548*(1+'Parâmetros financeiros Despesa'!F$4)*(1+'Parâmetros financeiros Despesa'!F$7))</f>
        <v>545.16575</v>
      </c>
      <c r="L2083" s="799">
        <f t="shared" si="261"/>
        <v>2.0881354038525769E-4</v>
      </c>
      <c r="M2083" s="894"/>
      <c r="N2083" s="396"/>
      <c r="O2083" s="463"/>
      <c r="R2083" s="463"/>
      <c r="S2083" s="463"/>
      <c r="T2083" s="463"/>
    </row>
    <row r="2084" spans="1:20" s="115" customFormat="1" ht="15" customHeight="1" x14ac:dyDescent="0.25">
      <c r="B2084" s="879"/>
      <c r="C2084" s="879"/>
      <c r="D2084" s="880">
        <v>619900</v>
      </c>
      <c r="E2084" s="854">
        <v>333903600000000</v>
      </c>
      <c r="F2084" s="855" t="s">
        <v>9205</v>
      </c>
      <c r="G2084" s="468">
        <v>40</v>
      </c>
      <c r="H2084" s="468">
        <v>0</v>
      </c>
      <c r="I2084" s="751"/>
      <c r="J2084" s="789">
        <f>(('Parâmetros financeiros Despesa'!E1550))</f>
        <v>0</v>
      </c>
      <c r="K2084" s="789">
        <f>('Parâmetros financeiros Despesa'!F1549*(1+'Parâmetros financeiros Despesa'!F$4)*(1+'Parâmetros financeiros Despesa'!F$7))</f>
        <v>545.16575</v>
      </c>
      <c r="L2084" s="799">
        <f t="shared" si="261"/>
        <v>2.0881354038525769E-4</v>
      </c>
      <c r="M2084" s="894"/>
      <c r="N2084" s="396"/>
      <c r="O2084" s="463"/>
      <c r="R2084" s="463"/>
      <c r="S2084" s="463"/>
      <c r="T2084" s="463"/>
    </row>
    <row r="2085" spans="1:20" s="115" customFormat="1" ht="15" customHeight="1" x14ac:dyDescent="0.25">
      <c r="B2085" s="879"/>
      <c r="C2085" s="879"/>
      <c r="D2085" s="880">
        <v>620000</v>
      </c>
      <c r="E2085" s="854">
        <v>333903900000000</v>
      </c>
      <c r="F2085" s="855" t="s">
        <v>9206</v>
      </c>
      <c r="G2085" s="468">
        <v>40</v>
      </c>
      <c r="H2085" s="468">
        <v>0</v>
      </c>
      <c r="I2085" s="751"/>
      <c r="J2085" s="789">
        <f>(('Parâmetros financeiros Despesa'!E1551))</f>
        <v>0</v>
      </c>
      <c r="K2085" s="789">
        <f>('Parâmetros financeiros Despesa'!F1550*(1+'Parâmetros financeiros Despesa'!F$4)*(1+'Parâmetros financeiros Despesa'!F$7))</f>
        <v>545.16575</v>
      </c>
      <c r="L2085" s="799">
        <f t="shared" si="261"/>
        <v>2.0881354038525769E-4</v>
      </c>
      <c r="M2085" s="894"/>
      <c r="N2085" s="396"/>
      <c r="O2085" s="463"/>
      <c r="R2085" s="463"/>
      <c r="S2085" s="463"/>
      <c r="T2085" s="463"/>
    </row>
    <row r="2086" spans="1:20" s="115" customFormat="1" ht="15" customHeight="1" x14ac:dyDescent="0.25">
      <c r="B2086" s="879"/>
      <c r="C2086" s="879"/>
      <c r="D2086" s="880">
        <v>620100</v>
      </c>
      <c r="E2086" s="854">
        <v>333904700000000</v>
      </c>
      <c r="F2086" s="855" t="s">
        <v>9207</v>
      </c>
      <c r="G2086" s="468">
        <v>40</v>
      </c>
      <c r="H2086" s="468">
        <v>0</v>
      </c>
      <c r="I2086" s="751"/>
      <c r="J2086" s="789">
        <f>(('Parâmetros financeiros Despesa'!E1552))</f>
        <v>0</v>
      </c>
      <c r="K2086" s="789">
        <f>('Parâmetros financeiros Despesa'!F1551*(1+'Parâmetros financeiros Despesa'!F$4)*(1+'Parâmetros financeiros Despesa'!F$7))</f>
        <v>109.03315000000001</v>
      </c>
      <c r="L2086" s="799">
        <f t="shared" si="261"/>
        <v>4.1762708077051546E-5</v>
      </c>
      <c r="M2086" s="894"/>
      <c r="N2086" s="396"/>
      <c r="O2086" s="463"/>
      <c r="R2086" s="463"/>
      <c r="S2086" s="463"/>
      <c r="T2086" s="463"/>
    </row>
    <row r="2087" spans="1:20" s="115" customFormat="1" ht="15" customHeight="1" x14ac:dyDescent="0.25">
      <c r="A2087" s="396"/>
      <c r="B2087" s="1398" t="s">
        <v>9209</v>
      </c>
      <c r="C2087" s="1398"/>
      <c r="D2087" s="1398"/>
      <c r="E2087" s="854">
        <v>333904900000000</v>
      </c>
      <c r="F2087" s="855" t="s">
        <v>8975</v>
      </c>
      <c r="G2087" s="468">
        <v>40</v>
      </c>
      <c r="H2087" s="468">
        <v>0</v>
      </c>
      <c r="I2087" s="751"/>
      <c r="J2087" s="789">
        <f>(('Parâmetros financeiros Despesa'!E1553))</f>
        <v>0</v>
      </c>
      <c r="K2087" s="789">
        <f>('Parâmetros financeiros Despesa'!F1552)*2+(('Parâmetros financeiros Despesa'!F1552)*10)*(1+'Parâmetros financeiros Despesa'!F$4)*(1+'Parâmetros financeiros Despesa'!F$8)</f>
        <v>12.554814326439475</v>
      </c>
      <c r="L2087" s="799">
        <f t="shared" si="261"/>
        <v>4.8088406661338892E-6</v>
      </c>
      <c r="M2087" s="894"/>
      <c r="O2087" s="733"/>
    </row>
    <row r="2088" spans="1:20" s="115" customFormat="1" ht="15" customHeight="1" x14ac:dyDescent="0.25">
      <c r="A2088" s="396"/>
      <c r="B2088" s="1398" t="s">
        <v>9210</v>
      </c>
      <c r="C2088" s="1398"/>
      <c r="D2088" s="1398"/>
      <c r="E2088" s="854">
        <v>333909300000000</v>
      </c>
      <c r="F2088" s="855" t="s">
        <v>8957</v>
      </c>
      <c r="G2088" s="468">
        <v>40</v>
      </c>
      <c r="H2088" s="468">
        <v>0</v>
      </c>
      <c r="I2088" s="751"/>
      <c r="J2088" s="789">
        <f>(('Parâmetros financeiros Despesa'!E1554))</f>
        <v>0</v>
      </c>
      <c r="K2088" s="789">
        <f>('Parâmetros financeiros Despesa'!F1553)*(1+'Parâmetros financeiros Despesa'!F$4)*(1+'Parâmetros financeiros Despesa'!F$7)</f>
        <v>545.16575</v>
      </c>
      <c r="L2088" s="799">
        <f t="shared" si="261"/>
        <v>2.0881354038525769E-4</v>
      </c>
      <c r="M2088" s="894"/>
      <c r="O2088" s="733"/>
    </row>
    <row r="2089" spans="1:20" s="115" customFormat="1" ht="15" customHeight="1" x14ac:dyDescent="0.25">
      <c r="A2089" s="396"/>
      <c r="B2089" s="1004"/>
      <c r="C2089" s="1004"/>
      <c r="D2089" s="1004" t="s">
        <v>9211</v>
      </c>
      <c r="E2089" s="854">
        <v>333933000000000</v>
      </c>
      <c r="F2089" s="855" t="s">
        <v>9203</v>
      </c>
      <c r="G2089" s="468">
        <v>40</v>
      </c>
      <c r="H2089" s="468">
        <v>0</v>
      </c>
      <c r="I2089" s="751"/>
      <c r="J2089" s="789">
        <f>(('Parâmetros financeiros Despesa'!E1555))</f>
        <v>0</v>
      </c>
      <c r="K2089" s="789">
        <f>('Parâmetros financeiros Despesa'!F1554)*(1+'Parâmetros financeiros Despesa'!F$4)*(1+'Parâmetros financeiros Despesa'!F$7)</f>
        <v>545.16575</v>
      </c>
      <c r="L2089" s="799">
        <f t="shared" ref="L2089:L2097" si="263">K2089/K$2234</f>
        <v>2.0881354038525769E-4</v>
      </c>
      <c r="M2089" s="894"/>
      <c r="O2089" s="733"/>
    </row>
    <row r="2090" spans="1:20" s="115" customFormat="1" ht="15" customHeight="1" x14ac:dyDescent="0.25">
      <c r="A2090" s="396"/>
      <c r="B2090" s="1004"/>
      <c r="C2090" s="1004"/>
      <c r="D2090" s="1004" t="s">
        <v>9212</v>
      </c>
      <c r="E2090" s="854">
        <v>344905100000000</v>
      </c>
      <c r="F2090" s="855" t="s">
        <v>9213</v>
      </c>
      <c r="G2090" s="468">
        <v>40</v>
      </c>
      <c r="H2090" s="468">
        <v>0</v>
      </c>
      <c r="I2090" s="751"/>
      <c r="J2090" s="789">
        <f>(('Parâmetros financeiros Despesa'!E1556))</f>
        <v>0</v>
      </c>
      <c r="K2090" s="789">
        <f>('Parâmetros financeiros Despesa'!F1555)*(1+'Parâmetros financeiros Despesa'!F$4)*(1+'Parâmetros financeiros Despesa'!F$7)</f>
        <v>545.16575</v>
      </c>
      <c r="L2090" s="799">
        <f t="shared" si="263"/>
        <v>2.0881354038525769E-4</v>
      </c>
      <c r="M2090" s="894"/>
      <c r="O2090" s="733"/>
    </row>
    <row r="2091" spans="1:20" s="115" customFormat="1" ht="15" customHeight="1" x14ac:dyDescent="0.25">
      <c r="A2091" s="396"/>
      <c r="B2091" s="1398" t="s">
        <v>9214</v>
      </c>
      <c r="C2091" s="1398"/>
      <c r="D2091" s="1398"/>
      <c r="E2091" s="854">
        <v>344905200000000</v>
      </c>
      <c r="F2091" s="855" t="s">
        <v>8958</v>
      </c>
      <c r="G2091" s="468">
        <v>40</v>
      </c>
      <c r="H2091" s="468">
        <v>0</v>
      </c>
      <c r="I2091" s="751"/>
      <c r="J2091" s="789">
        <f>(('Parâmetros financeiros Despesa'!E1557))</f>
        <v>0</v>
      </c>
      <c r="K2091" s="789">
        <f>('Parâmetros financeiros Despesa'!F1556)*(1+'Parâmetros financeiros Despesa'!F$4)*(1+'Parâmetros financeiros Despesa'!F$7)</f>
        <v>545.16575</v>
      </c>
      <c r="L2091" s="799">
        <f t="shared" si="263"/>
        <v>2.0881354038525769E-4</v>
      </c>
      <c r="M2091" s="894"/>
      <c r="O2091" s="733"/>
    </row>
    <row r="2092" spans="1:20" x14ac:dyDescent="0.25">
      <c r="A2092" s="397"/>
      <c r="B2092" s="1382" t="s">
        <v>8699</v>
      </c>
      <c r="C2092" s="1382"/>
      <c r="D2092" s="1382"/>
      <c r="E2092" s="1382"/>
      <c r="F2092" s="1382"/>
      <c r="G2092" s="405"/>
      <c r="H2092" s="405"/>
      <c r="I2092" s="428"/>
      <c r="J2092" s="406">
        <f t="shared" ref="J2092:K2094" si="264">J2093</f>
        <v>136082.845</v>
      </c>
      <c r="K2092" s="406">
        <f t="shared" si="264"/>
        <v>165714.01136166704</v>
      </c>
      <c r="L2092" s="453">
        <f t="shared" si="263"/>
        <v>6.347304357229433E-2</v>
      </c>
    </row>
    <row r="2093" spans="1:20" x14ac:dyDescent="0.25">
      <c r="A2093" s="397"/>
      <c r="B2093" s="1383" t="s">
        <v>8812</v>
      </c>
      <c r="C2093" s="1383"/>
      <c r="D2093" s="1383"/>
      <c r="E2093" s="1383"/>
      <c r="F2093" s="1383"/>
      <c r="G2093" s="407"/>
      <c r="H2093" s="407"/>
      <c r="I2093" s="429"/>
      <c r="J2093" s="408">
        <f t="shared" si="264"/>
        <v>136082.845</v>
      </c>
      <c r="K2093" s="408">
        <f t="shared" si="264"/>
        <v>165714.01136166704</v>
      </c>
      <c r="L2093" s="454">
        <f t="shared" si="263"/>
        <v>6.347304357229433E-2</v>
      </c>
    </row>
    <row r="2094" spans="1:20" x14ac:dyDescent="0.25">
      <c r="A2094" s="397"/>
      <c r="B2094" s="1385" t="s">
        <v>8698</v>
      </c>
      <c r="C2094" s="1385"/>
      <c r="D2094" s="1385"/>
      <c r="E2094" s="1385"/>
      <c r="F2094" s="1385"/>
      <c r="G2094" s="401"/>
      <c r="H2094" s="401"/>
      <c r="I2094" s="426"/>
      <c r="J2094" s="402">
        <f t="shared" si="264"/>
        <v>136082.845</v>
      </c>
      <c r="K2094" s="402">
        <f>K2095+0.01</f>
        <v>165714.01136166704</v>
      </c>
      <c r="L2094" s="451">
        <f t="shared" si="263"/>
        <v>6.347304357229433E-2</v>
      </c>
    </row>
    <row r="2095" spans="1:20" x14ac:dyDescent="0.25">
      <c r="A2095" s="397"/>
      <c r="B2095" s="1386" t="s">
        <v>9215</v>
      </c>
      <c r="C2095" s="1386"/>
      <c r="D2095" s="1386"/>
      <c r="E2095" s="1386"/>
      <c r="F2095" s="1386"/>
      <c r="G2095" s="403"/>
      <c r="H2095" s="403"/>
      <c r="I2095" s="427"/>
      <c r="J2095" s="404">
        <f>J2096+J2097+J2098+J2099+J2101+J2102+J2103+J2104+J2105+J2100+0.01</f>
        <v>136082.845</v>
      </c>
      <c r="K2095" s="404">
        <f>K2096+K2097+K2098+K2099+K2101+K2102+K2103+K2104+K2105+K2100+0.01</f>
        <v>165714.00136166703</v>
      </c>
      <c r="L2095" s="452">
        <f t="shared" si="263"/>
        <v>6.3473039742018109E-2</v>
      </c>
    </row>
    <row r="2096" spans="1:20" s="115" customFormat="1" x14ac:dyDescent="0.25">
      <c r="B2096" s="879"/>
      <c r="C2096" s="879"/>
      <c r="D2096" s="880">
        <v>621000</v>
      </c>
      <c r="E2096" s="854">
        <v>333901400000000</v>
      </c>
      <c r="F2096" s="855" t="s">
        <v>9216</v>
      </c>
      <c r="G2096" s="468">
        <v>40</v>
      </c>
      <c r="H2096" s="468">
        <v>0</v>
      </c>
      <c r="I2096" s="751"/>
      <c r="J2096" s="789">
        <f>('Parâmetros financeiros Despesa'!E1558)</f>
        <v>0</v>
      </c>
      <c r="K2096" s="789">
        <f>('Parâmetros financeiros Despesa'!F1558)*2+(('Parâmetros financeiros Despesa'!F1558)*10)*(1+'Parâmetros financeiros Despesa'!F$4)*(1+'Parâmetros financeiros Despesa'!F$8)</f>
        <v>3615.7865260145686</v>
      </c>
      <c r="L2096" s="799">
        <f t="shared" si="263"/>
        <v>1.38494611184656E-3</v>
      </c>
      <c r="M2096" s="894"/>
      <c r="O2096" s="733"/>
    </row>
    <row r="2097" spans="1:15" s="115" customFormat="1" ht="30" x14ac:dyDescent="0.25">
      <c r="B2097" s="879"/>
      <c r="C2097" s="879"/>
      <c r="D2097" s="880">
        <v>621100</v>
      </c>
      <c r="E2097" s="854">
        <v>333903000000000</v>
      </c>
      <c r="F2097" s="855" t="s">
        <v>9217</v>
      </c>
      <c r="G2097" s="468">
        <v>40</v>
      </c>
      <c r="H2097" s="468">
        <v>0</v>
      </c>
      <c r="I2097" s="751"/>
      <c r="J2097" s="789">
        <f>('Parâmetros financeiros Despesa'!E1559)</f>
        <v>104133.495</v>
      </c>
      <c r="K2097" s="789">
        <f>('Parâmetros financeiros Despesa'!F1559)*(1+'Parâmetros financeiros Despesa'!F$4)*(1+'Parâmetros financeiros Despesa'!F$7)</f>
        <v>113540.02980359249</v>
      </c>
      <c r="L2097" s="799">
        <f t="shared" si="263"/>
        <v>4.3488967527281062E-2</v>
      </c>
      <c r="M2097" s="894"/>
      <c r="O2097" s="733"/>
    </row>
    <row r="2098" spans="1:15" s="115" customFormat="1" x14ac:dyDescent="0.25">
      <c r="B2098" s="879"/>
      <c r="C2098" s="879"/>
      <c r="D2098" s="879" t="s">
        <v>9223</v>
      </c>
      <c r="E2098" s="854">
        <v>333903300000000</v>
      </c>
      <c r="F2098" s="855" t="s">
        <v>9222</v>
      </c>
      <c r="G2098" s="468">
        <v>40</v>
      </c>
      <c r="H2098" s="468">
        <v>0</v>
      </c>
      <c r="I2098" s="751"/>
      <c r="J2098" s="789">
        <f>('Parâmetros financeiros Despesa'!E1560)</f>
        <v>0</v>
      </c>
      <c r="K2098" s="789">
        <f>('Parâmetros financeiros Despesa'!F1560)*(1+'Parâmetros financeiros Despesa'!F$4)*(1+'Parâmetros financeiros Despesa'!F$7)</f>
        <v>5451.6575000000003</v>
      </c>
      <c r="L2098" s="477" t="e">
        <f>#REF!/K$2234</f>
        <v>#REF!</v>
      </c>
      <c r="M2098" s="894"/>
      <c r="O2098" s="733"/>
    </row>
    <row r="2099" spans="1:15" s="115" customFormat="1" x14ac:dyDescent="0.25">
      <c r="B2099" s="599"/>
      <c r="C2099" s="879"/>
      <c r="D2099" s="880">
        <v>621300</v>
      </c>
      <c r="E2099" s="854">
        <v>333903600000000</v>
      </c>
      <c r="F2099" s="855" t="s">
        <v>9220</v>
      </c>
      <c r="G2099" s="468">
        <v>40</v>
      </c>
      <c r="H2099" s="468">
        <v>0</v>
      </c>
      <c r="I2099" s="751"/>
      <c r="J2099" s="789">
        <f>('Parâmetros financeiros Despesa'!E1561)</f>
        <v>0</v>
      </c>
      <c r="K2099" s="789">
        <f>('Parâmetros financeiros Despesa'!F1561)*(1+'Parâmetros financeiros Despesa'!F$4)*(1+'Parâmetros financeiros Despesa'!F$7)</f>
        <v>5451.6575000000003</v>
      </c>
      <c r="L2099" s="799">
        <f>K2098/K$2234</f>
        <v>2.0881354038525773E-3</v>
      </c>
      <c r="M2099" s="894"/>
      <c r="O2099" s="733"/>
    </row>
    <row r="2100" spans="1:15" s="115" customFormat="1" x14ac:dyDescent="0.25">
      <c r="B2100" s="879"/>
      <c r="C2100" s="879"/>
      <c r="D2100" s="880">
        <v>621400</v>
      </c>
      <c r="E2100" s="854">
        <v>333903900000000</v>
      </c>
      <c r="F2100" s="855" t="s">
        <v>9221</v>
      </c>
      <c r="G2100" s="468">
        <v>40</v>
      </c>
      <c r="H2100" s="468">
        <v>0</v>
      </c>
      <c r="I2100" s="751"/>
      <c r="J2100" s="789">
        <f>('Parâmetros financeiros Despesa'!E1562)</f>
        <v>31035.239999999998</v>
      </c>
      <c r="K2100" s="789">
        <f>('Parâmetros financeiros Despesa'!F1562)*(1+'Parâmetros financeiros Despesa'!F$4)*(1+'Parâmetros financeiros Despesa'!F$7)</f>
        <v>33838.699782060001</v>
      </c>
      <c r="L2100" s="799">
        <f>K2099/K$2234</f>
        <v>2.0881354038525773E-3</v>
      </c>
      <c r="M2100" s="894"/>
      <c r="O2100" s="733"/>
    </row>
    <row r="2101" spans="1:15" s="115" customFormat="1" x14ac:dyDescent="0.25">
      <c r="B2101" s="879"/>
      <c r="C2101" s="879"/>
      <c r="D2101" s="880">
        <v>621500</v>
      </c>
      <c r="E2101" s="854">
        <v>333904700000000</v>
      </c>
      <c r="F2101" s="855" t="s">
        <v>9225</v>
      </c>
      <c r="G2101" s="468">
        <v>40</v>
      </c>
      <c r="H2101" s="468">
        <v>0</v>
      </c>
      <c r="I2101" s="751"/>
      <c r="J2101" s="789">
        <f>('Parâmetros financeiros Despesa'!E1563)</f>
        <v>578.09999999999991</v>
      </c>
      <c r="K2101" s="789">
        <f>('Parâmetros financeiros Despesa'!F1563)*(1+'Parâmetros financeiros Despesa'!F$4)*(1+'Parâmetros financeiros Despesa'!F$7)</f>
        <v>1090.3315</v>
      </c>
      <c r="L2101" s="799">
        <f t="shared" ref="L2101:L2132" si="265">K2101/K$2234</f>
        <v>4.1762708077051539E-4</v>
      </c>
      <c r="M2101" s="894"/>
      <c r="O2101" s="733"/>
    </row>
    <row r="2102" spans="1:15" s="115" customFormat="1" x14ac:dyDescent="0.25">
      <c r="B2102" s="879"/>
      <c r="C2102" s="879"/>
      <c r="D2102" s="880">
        <v>621600</v>
      </c>
      <c r="E2102" s="854">
        <v>333909300000000</v>
      </c>
      <c r="F2102" s="855" t="s">
        <v>9231</v>
      </c>
      <c r="G2102" s="468">
        <v>40</v>
      </c>
      <c r="H2102" s="468">
        <v>0</v>
      </c>
      <c r="I2102" s="751"/>
      <c r="J2102" s="789">
        <f>('Parâmetros financeiros Despesa'!E1564)</f>
        <v>0</v>
      </c>
      <c r="K2102" s="789">
        <f>('Parâmetros financeiros Despesa'!F1564)*(1+'Parâmetros financeiros Despesa'!F$4)*(1+'Parâmetros financeiros Despesa'!F$7)</f>
        <v>1090.3315</v>
      </c>
      <c r="L2102" s="799">
        <f t="shared" si="265"/>
        <v>4.1762708077051539E-4</v>
      </c>
      <c r="M2102" s="894"/>
      <c r="O2102" s="733"/>
    </row>
    <row r="2103" spans="1:15" s="115" customFormat="1" ht="30" x14ac:dyDescent="0.25">
      <c r="B2103" s="879"/>
      <c r="C2103" s="879"/>
      <c r="D2103" s="880">
        <v>621700</v>
      </c>
      <c r="E2103" s="854">
        <v>333933000000000</v>
      </c>
      <c r="F2103" s="855" t="s">
        <v>9228</v>
      </c>
      <c r="G2103" s="468">
        <v>40</v>
      </c>
      <c r="H2103" s="468">
        <v>0</v>
      </c>
      <c r="I2103" s="751"/>
      <c r="J2103" s="789">
        <f>('Parâmetros financeiros Despesa'!E1565)</f>
        <v>336</v>
      </c>
      <c r="K2103" s="789">
        <f>('Parâmetros financeiros Despesa'!F1565)*(1+'Parâmetros financeiros Despesa'!F$4)*(1+'Parâmetros financeiros Despesa'!F$7)</f>
        <v>545.16575</v>
      </c>
      <c r="L2103" s="799">
        <f t="shared" si="265"/>
        <v>2.0881354038525769E-4</v>
      </c>
      <c r="M2103" s="894"/>
      <c r="O2103" s="733"/>
    </row>
    <row r="2104" spans="1:15" s="115" customFormat="1" x14ac:dyDescent="0.25">
      <c r="B2104" s="879"/>
      <c r="C2104" s="879"/>
      <c r="D2104" s="880">
        <v>621800</v>
      </c>
      <c r="E2104" s="854">
        <v>344905100000000</v>
      </c>
      <c r="F2104" s="855" t="s">
        <v>9229</v>
      </c>
      <c r="G2104" s="468">
        <v>40</v>
      </c>
      <c r="H2104" s="468">
        <v>0</v>
      </c>
      <c r="I2104" s="751"/>
      <c r="J2104" s="789">
        <f>('Parâmetros financeiros Despesa'!E1566)</f>
        <v>0</v>
      </c>
      <c r="K2104" s="789">
        <f>('Parâmetros financeiros Despesa'!F1566)*(1+'Parâmetros financeiros Despesa'!F$4)*(1+'Parâmetros financeiros Despesa'!F$7)</f>
        <v>545.16575</v>
      </c>
      <c r="L2104" s="799">
        <f t="shared" si="265"/>
        <v>2.0881354038525769E-4</v>
      </c>
      <c r="M2104" s="894"/>
      <c r="O2104" s="733"/>
    </row>
    <row r="2105" spans="1:15" s="115" customFormat="1" x14ac:dyDescent="0.25">
      <c r="B2105" s="879"/>
      <c r="C2105" s="879"/>
      <c r="D2105" s="880">
        <v>621850</v>
      </c>
      <c r="E2105" s="854">
        <v>344905200000000</v>
      </c>
      <c r="F2105" s="855" t="s">
        <v>9230</v>
      </c>
      <c r="G2105" s="468">
        <v>40</v>
      </c>
      <c r="H2105" s="468">
        <v>0</v>
      </c>
      <c r="I2105" s="751"/>
      <c r="J2105" s="789">
        <f>('Parâmetros financeiros Despesa'!E1567)</f>
        <v>0</v>
      </c>
      <c r="K2105" s="789">
        <f>('Parâmetros financeiros Despesa'!F1567)*(1+'Parâmetros financeiros Despesa'!F$4)*(1+'Parâmetros financeiros Despesa'!F$7)</f>
        <v>545.16575</v>
      </c>
      <c r="L2105" s="799">
        <f t="shared" si="265"/>
        <v>2.0881354038525769E-4</v>
      </c>
      <c r="M2105" s="894"/>
      <c r="O2105" s="733"/>
    </row>
    <row r="2106" spans="1:15" x14ac:dyDescent="0.25">
      <c r="A2106" s="397"/>
      <c r="B2106" s="1382" t="s">
        <v>8699</v>
      </c>
      <c r="C2106" s="1382"/>
      <c r="D2106" s="1382"/>
      <c r="E2106" s="1382"/>
      <c r="F2106" s="1382"/>
      <c r="G2106" s="405"/>
      <c r="H2106" s="405"/>
      <c r="I2106" s="428"/>
      <c r="J2106" s="406">
        <f t="shared" ref="J2106:K2108" si="266">J2107</f>
        <v>0</v>
      </c>
      <c r="K2106" s="406">
        <f t="shared" si="266"/>
        <v>9789.0943368350017</v>
      </c>
      <c r="L2106" s="453">
        <f t="shared" si="265"/>
        <v>3.7494935175949574E-3</v>
      </c>
    </row>
    <row r="2107" spans="1:15" x14ac:dyDescent="0.25">
      <c r="A2107" s="397"/>
      <c r="B2107" s="1383" t="s">
        <v>8812</v>
      </c>
      <c r="C2107" s="1383"/>
      <c r="D2107" s="1383"/>
      <c r="E2107" s="1383"/>
      <c r="F2107" s="1383"/>
      <c r="G2107" s="407"/>
      <c r="H2107" s="407"/>
      <c r="I2107" s="429"/>
      <c r="J2107" s="408">
        <f t="shared" si="266"/>
        <v>0</v>
      </c>
      <c r="K2107" s="408">
        <f t="shared" si="266"/>
        <v>9789.0943368350017</v>
      </c>
      <c r="L2107" s="454">
        <f t="shared" si="265"/>
        <v>3.7494935175949574E-3</v>
      </c>
    </row>
    <row r="2108" spans="1:15" x14ac:dyDescent="0.25">
      <c r="A2108" s="397"/>
      <c r="B2108" s="1386" t="s">
        <v>9370</v>
      </c>
      <c r="C2108" s="1386"/>
      <c r="D2108" s="1386"/>
      <c r="E2108" s="1386"/>
      <c r="F2108" s="1386"/>
      <c r="G2108" s="403"/>
      <c r="H2108" s="403"/>
      <c r="I2108" s="427"/>
      <c r="J2108" s="404">
        <f t="shared" si="266"/>
        <v>0</v>
      </c>
      <c r="K2108" s="404">
        <f t="shared" si="266"/>
        <v>9789.0943368350017</v>
      </c>
      <c r="L2108" s="452">
        <f t="shared" si="265"/>
        <v>3.7494935175949574E-3</v>
      </c>
    </row>
    <row r="2109" spans="1:15" x14ac:dyDescent="0.25">
      <c r="A2109" s="397"/>
      <c r="B2109" s="1385" t="s">
        <v>8698</v>
      </c>
      <c r="C2109" s="1385"/>
      <c r="D2109" s="1385"/>
      <c r="E2109" s="1385"/>
      <c r="F2109" s="1385"/>
      <c r="G2109" s="401"/>
      <c r="H2109" s="401"/>
      <c r="I2109" s="426"/>
      <c r="J2109" s="402">
        <f>J2110+J2111</f>
        <v>0</v>
      </c>
      <c r="K2109" s="402">
        <f>K2110+K2111</f>
        <v>9789.0943368350017</v>
      </c>
      <c r="L2109" s="451">
        <f t="shared" si="265"/>
        <v>3.7494935175949574E-3</v>
      </c>
    </row>
    <row r="2110" spans="1:15" s="115" customFormat="1" x14ac:dyDescent="0.25">
      <c r="A2110" s="396"/>
      <c r="B2110" s="1002"/>
      <c r="C2110" s="1002"/>
      <c r="D2110" s="1002">
        <v>621900</v>
      </c>
      <c r="E2110" s="854">
        <v>344903000000000</v>
      </c>
      <c r="F2110" s="855" t="s">
        <v>9058</v>
      </c>
      <c r="G2110" s="468">
        <v>40</v>
      </c>
      <c r="H2110" s="468">
        <v>0</v>
      </c>
      <c r="I2110" s="751"/>
      <c r="J2110" s="789">
        <f>('Parâmetros financeiros Despesa'!E1569)</f>
        <v>0</v>
      </c>
      <c r="K2110" s="789">
        <f>('Parâmetros financeiros Despesa'!F1569)*(1+'Parâmetros financeiros Despesa'!F$4)*(1+'Parâmetros financeiros Despesa'!F$7)</f>
        <v>1090.3315</v>
      </c>
      <c r="L2110" s="799">
        <f t="shared" si="265"/>
        <v>4.1762708077051539E-4</v>
      </c>
      <c r="M2110" s="894"/>
      <c r="O2110" s="733"/>
    </row>
    <row r="2111" spans="1:15" s="115" customFormat="1" x14ac:dyDescent="0.25">
      <c r="A2111" s="396"/>
      <c r="B2111" s="1002"/>
      <c r="C2111" s="1002"/>
      <c r="D2111" s="1002">
        <v>621920</v>
      </c>
      <c r="E2111" s="854">
        <v>344903200000000</v>
      </c>
      <c r="F2111" s="855" t="s">
        <v>9060</v>
      </c>
      <c r="G2111" s="468">
        <v>40</v>
      </c>
      <c r="H2111" s="468">
        <v>0</v>
      </c>
      <c r="I2111" s="751"/>
      <c r="J2111" s="789">
        <f>('Parâmetros financeiros Despesa'!E1570)</f>
        <v>0</v>
      </c>
      <c r="K2111" s="789">
        <f>('Parâmetros financeiros Despesa'!F1570)*(1+'Parâmetros financeiros Despesa'!F$4)*(1+'Parâmetros financeiros Despesa'!F$7)</f>
        <v>8698.7628368350015</v>
      </c>
      <c r="L2111" s="799">
        <f t="shared" si="265"/>
        <v>3.3318664368244418E-3</v>
      </c>
      <c r="M2111" s="894"/>
      <c r="O2111" s="733"/>
    </row>
    <row r="2112" spans="1:15" x14ac:dyDescent="0.25">
      <c r="A2112" s="397"/>
      <c r="B2112" s="1382" t="s">
        <v>8699</v>
      </c>
      <c r="C2112" s="1382"/>
      <c r="D2112" s="1382"/>
      <c r="E2112" s="1382"/>
      <c r="F2112" s="1382"/>
      <c r="G2112" s="405"/>
      <c r="H2112" s="405"/>
      <c r="I2112" s="428"/>
      <c r="J2112" s="406">
        <f t="shared" ref="J2112:K2114" si="267">J2113</f>
        <v>0</v>
      </c>
      <c r="K2112" s="406">
        <f t="shared" si="267"/>
        <v>2180.663</v>
      </c>
      <c r="L2112" s="453">
        <f t="shared" si="265"/>
        <v>8.3525416154103078E-4</v>
      </c>
    </row>
    <row r="2113" spans="1:15" x14ac:dyDescent="0.25">
      <c r="A2113" s="397"/>
      <c r="B2113" s="1383" t="s">
        <v>8812</v>
      </c>
      <c r="C2113" s="1383"/>
      <c r="D2113" s="1383"/>
      <c r="E2113" s="1383"/>
      <c r="F2113" s="1383"/>
      <c r="G2113" s="407"/>
      <c r="H2113" s="407"/>
      <c r="I2113" s="429"/>
      <c r="J2113" s="408">
        <f t="shared" si="267"/>
        <v>0</v>
      </c>
      <c r="K2113" s="408">
        <f t="shared" si="267"/>
        <v>2180.663</v>
      </c>
      <c r="L2113" s="454">
        <f t="shared" si="265"/>
        <v>8.3525416154103078E-4</v>
      </c>
    </row>
    <row r="2114" spans="1:15" x14ac:dyDescent="0.25">
      <c r="A2114" s="397"/>
      <c r="B2114" s="1386" t="s">
        <v>9044</v>
      </c>
      <c r="C2114" s="1386"/>
      <c r="D2114" s="1386"/>
      <c r="E2114" s="1386"/>
      <c r="F2114" s="1386"/>
      <c r="G2114" s="403"/>
      <c r="H2114" s="403"/>
      <c r="I2114" s="427"/>
      <c r="J2114" s="404">
        <f t="shared" si="267"/>
        <v>0</v>
      </c>
      <c r="K2114" s="404">
        <f t="shared" si="267"/>
        <v>2180.663</v>
      </c>
      <c r="L2114" s="452">
        <f t="shared" si="265"/>
        <v>8.3525416154103078E-4</v>
      </c>
    </row>
    <row r="2115" spans="1:15" x14ac:dyDescent="0.25">
      <c r="A2115" s="397"/>
      <c r="B2115" s="1385" t="s">
        <v>8698</v>
      </c>
      <c r="C2115" s="1385"/>
      <c r="D2115" s="1385"/>
      <c r="E2115" s="1385"/>
      <c r="F2115" s="1385"/>
      <c r="G2115" s="401"/>
      <c r="H2115" s="401"/>
      <c r="I2115" s="426"/>
      <c r="J2115" s="402">
        <f>J2116+J2117</f>
        <v>0</v>
      </c>
      <c r="K2115" s="402">
        <f>K2116+K2117</f>
        <v>2180.663</v>
      </c>
      <c r="L2115" s="451">
        <f t="shared" si="265"/>
        <v>8.3525416154103078E-4</v>
      </c>
    </row>
    <row r="2116" spans="1:15" s="115" customFormat="1" x14ac:dyDescent="0.25">
      <c r="A2116" s="396"/>
      <c r="B2116" s="1002"/>
      <c r="C2116" s="1002"/>
      <c r="D2116" s="1002">
        <v>621940</v>
      </c>
      <c r="E2116" s="854">
        <v>344903000000000</v>
      </c>
      <c r="F2116" s="855" t="s">
        <v>9061</v>
      </c>
      <c r="G2116" s="468">
        <v>40</v>
      </c>
      <c r="H2116" s="468">
        <v>0</v>
      </c>
      <c r="I2116" s="751"/>
      <c r="J2116" s="789">
        <f>('Parâmetros financeiros Despesa'!E1572)</f>
        <v>0</v>
      </c>
      <c r="K2116" s="789">
        <f>('Parâmetros financeiros Despesa'!F1572)*(1+'Parâmetros financeiros Despesa'!F$4)*(1+'Parâmetros financeiros Despesa'!F$7)</f>
        <v>1090.3315</v>
      </c>
      <c r="L2116" s="799">
        <f t="shared" si="265"/>
        <v>4.1762708077051539E-4</v>
      </c>
      <c r="M2116" s="894"/>
      <c r="O2116" s="733"/>
    </row>
    <row r="2117" spans="1:15" s="115" customFormat="1" x14ac:dyDescent="0.25">
      <c r="A2117" s="396"/>
      <c r="B2117" s="1002"/>
      <c r="C2117" s="1002"/>
      <c r="D2117" s="1002">
        <v>621980</v>
      </c>
      <c r="E2117" s="854">
        <v>344903200000000</v>
      </c>
      <c r="F2117" s="855" t="s">
        <v>9062</v>
      </c>
      <c r="G2117" s="468">
        <v>40</v>
      </c>
      <c r="H2117" s="468">
        <v>0</v>
      </c>
      <c r="I2117" s="751"/>
      <c r="J2117" s="789">
        <f>('Parâmetros financeiros Despesa'!E1573)</f>
        <v>0</v>
      </c>
      <c r="K2117" s="789">
        <f>('Parâmetros financeiros Despesa'!F1573)*(1+'Parâmetros financeiros Despesa'!F$4)*(1+'Parâmetros financeiros Despesa'!F$7)</f>
        <v>1090.3315</v>
      </c>
      <c r="L2117" s="799">
        <f t="shared" si="265"/>
        <v>4.1762708077051539E-4</v>
      </c>
      <c r="M2117" s="894"/>
      <c r="O2117" s="733"/>
    </row>
    <row r="2118" spans="1:15" x14ac:dyDescent="0.25">
      <c r="A2118" s="397"/>
      <c r="B2118" s="1382" t="s">
        <v>8699</v>
      </c>
      <c r="C2118" s="1382"/>
      <c r="D2118" s="1382"/>
      <c r="E2118" s="1382"/>
      <c r="F2118" s="1382"/>
      <c r="G2118" s="405"/>
      <c r="H2118" s="405"/>
      <c r="I2118" s="428"/>
      <c r="J2118" s="406">
        <f t="shared" ref="J2118:K2120" si="268">J2119</f>
        <v>77719.544999999998</v>
      </c>
      <c r="K2118" s="406">
        <f t="shared" si="268"/>
        <v>94942.688642387235</v>
      </c>
      <c r="L2118" s="453">
        <f t="shared" si="265"/>
        <v>3.6365672181555932E-2</v>
      </c>
    </row>
    <row r="2119" spans="1:15" x14ac:dyDescent="0.25">
      <c r="A2119" s="397"/>
      <c r="B2119" s="1383" t="s">
        <v>8959</v>
      </c>
      <c r="C2119" s="1383"/>
      <c r="D2119" s="1383"/>
      <c r="E2119" s="1383"/>
      <c r="F2119" s="1383"/>
      <c r="G2119" s="407"/>
      <c r="H2119" s="407"/>
      <c r="I2119" s="429"/>
      <c r="J2119" s="408">
        <f t="shared" si="268"/>
        <v>77719.544999999998</v>
      </c>
      <c r="K2119" s="408">
        <f t="shared" si="268"/>
        <v>94942.688642387235</v>
      </c>
      <c r="L2119" s="454">
        <f t="shared" si="265"/>
        <v>3.6365672181555932E-2</v>
      </c>
    </row>
    <row r="2120" spans="1:15" x14ac:dyDescent="0.25">
      <c r="A2120" s="397"/>
      <c r="B2120" s="1385" t="s">
        <v>8698</v>
      </c>
      <c r="C2120" s="1385"/>
      <c r="D2120" s="1385"/>
      <c r="E2120" s="1385"/>
      <c r="F2120" s="1385"/>
      <c r="G2120" s="401"/>
      <c r="H2120" s="401"/>
      <c r="I2120" s="426"/>
      <c r="J2120" s="402">
        <f t="shared" si="268"/>
        <v>77719.544999999998</v>
      </c>
      <c r="K2120" s="402">
        <f t="shared" si="268"/>
        <v>94942.688642387235</v>
      </c>
      <c r="L2120" s="451">
        <f t="shared" si="265"/>
        <v>3.6365672181555932E-2</v>
      </c>
    </row>
    <row r="2121" spans="1:15" x14ac:dyDescent="0.25">
      <c r="A2121" s="397"/>
      <c r="B2121" s="1386" t="s">
        <v>9235</v>
      </c>
      <c r="C2121" s="1386"/>
      <c r="D2121" s="1386"/>
      <c r="E2121" s="1386"/>
      <c r="F2121" s="1386"/>
      <c r="G2121" s="403"/>
      <c r="H2121" s="403"/>
      <c r="I2121" s="427"/>
      <c r="J2121" s="404">
        <f>SUM(J2122:J2130)</f>
        <v>77719.544999999998</v>
      </c>
      <c r="K2121" s="404">
        <f>SUM(K2122:K2130)+0.02</f>
        <v>94942.688642387235</v>
      </c>
      <c r="L2121" s="452">
        <f t="shared" si="265"/>
        <v>3.6365672181555932E-2</v>
      </c>
    </row>
    <row r="2122" spans="1:15" s="115" customFormat="1" x14ac:dyDescent="0.25">
      <c r="B2122" s="879"/>
      <c r="C2122" s="879"/>
      <c r="D2122" s="880">
        <v>622000</v>
      </c>
      <c r="E2122" s="854">
        <v>333901400000000</v>
      </c>
      <c r="F2122" s="855" t="s">
        <v>9236</v>
      </c>
      <c r="G2122" s="468">
        <v>40</v>
      </c>
      <c r="H2122" s="468">
        <v>0</v>
      </c>
      <c r="I2122" s="751"/>
      <c r="J2122" s="789">
        <f>('Parâmetros financeiros Despesa'!E1575)</f>
        <v>0</v>
      </c>
      <c r="K2122" s="789">
        <f>('Parâmetros financeiros Despesa'!F1575)*2+(('Parâmetros financeiros Despesa'!F1575)*10)*(1+'Parâmetros financeiros Despesa'!F$4)*(1+'Parâmetros financeiros Despesa'!F$8)</f>
        <v>6277.4071632197383</v>
      </c>
      <c r="L2122" s="799">
        <f t="shared" si="265"/>
        <v>2.4044203330669451E-3</v>
      </c>
      <c r="M2122" s="894"/>
      <c r="O2122" s="733"/>
    </row>
    <row r="2123" spans="1:15" s="115" customFormat="1" x14ac:dyDescent="0.25">
      <c r="B2123" s="879"/>
      <c r="C2123" s="879"/>
      <c r="D2123" s="880">
        <v>622100</v>
      </c>
      <c r="E2123" s="854">
        <v>333903000000000</v>
      </c>
      <c r="F2123" s="855" t="s">
        <v>9237</v>
      </c>
      <c r="G2123" s="468">
        <v>40</v>
      </c>
      <c r="H2123" s="468">
        <v>0</v>
      </c>
      <c r="I2123" s="751"/>
      <c r="J2123" s="789">
        <f>('Parâmetros financeiros Despesa'!E1576)</f>
        <v>0</v>
      </c>
      <c r="K2123" s="789">
        <f>('Parâmetros financeiros Despesa'!F1576)*(1+'Parâmetros financeiros Despesa'!F$4)*(1+'Parâmetros financeiros Despesa'!F$7)</f>
        <v>545.16575</v>
      </c>
      <c r="L2123" s="799">
        <f t="shared" si="265"/>
        <v>2.0881354038525769E-4</v>
      </c>
      <c r="M2123" s="894"/>
      <c r="O2123" s="733"/>
    </row>
    <row r="2124" spans="1:15" s="115" customFormat="1" x14ac:dyDescent="0.25">
      <c r="B2124" s="879"/>
      <c r="C2124" s="879"/>
      <c r="D2124" s="880">
        <v>622200</v>
      </c>
      <c r="E2124" s="854">
        <v>333903200000000</v>
      </c>
      <c r="F2124" s="855" t="s">
        <v>9238</v>
      </c>
      <c r="G2124" s="468">
        <v>40</v>
      </c>
      <c r="H2124" s="468">
        <v>0</v>
      </c>
      <c r="I2124" s="751"/>
      <c r="J2124" s="789">
        <f>('Parâmetros financeiros Despesa'!E1577)</f>
        <v>0</v>
      </c>
      <c r="K2124" s="789">
        <f>('Parâmetros financeiros Despesa'!F1577)*(1+'Parâmetros financeiros Despesa'!F$4)*(1+'Parâmetros financeiros Despesa'!F$7)</f>
        <v>545.16575</v>
      </c>
      <c r="L2124" s="799">
        <f t="shared" si="265"/>
        <v>2.0881354038525769E-4</v>
      </c>
      <c r="M2124" s="894"/>
      <c r="O2124" s="733"/>
    </row>
    <row r="2125" spans="1:15" s="115" customFormat="1" x14ac:dyDescent="0.25">
      <c r="B2125" s="879"/>
      <c r="C2125" s="879"/>
      <c r="D2125" s="880">
        <v>622300</v>
      </c>
      <c r="E2125" s="854">
        <v>333903300000000</v>
      </c>
      <c r="F2125" s="855" t="s">
        <v>9246</v>
      </c>
      <c r="G2125" s="468">
        <v>40</v>
      </c>
      <c r="H2125" s="468">
        <v>0</v>
      </c>
      <c r="I2125" s="751"/>
      <c r="J2125" s="789">
        <f>('Parâmetros financeiros Despesa'!E1578)</f>
        <v>0</v>
      </c>
      <c r="K2125" s="789">
        <f>('Parâmetros financeiros Despesa'!F1578)*(1+'Parâmetros financeiros Despesa'!F$4)*(1+'Parâmetros financeiros Despesa'!F$7)</f>
        <v>545.16575</v>
      </c>
      <c r="L2125" s="799">
        <f t="shared" si="265"/>
        <v>2.0881354038525769E-4</v>
      </c>
      <c r="M2125" s="894"/>
      <c r="O2125" s="733"/>
    </row>
    <row r="2126" spans="1:15" s="115" customFormat="1" x14ac:dyDescent="0.25">
      <c r="B2126" s="879"/>
      <c r="C2126" s="879"/>
      <c r="D2126" s="880">
        <v>622400</v>
      </c>
      <c r="E2126" s="854">
        <v>333903600000000</v>
      </c>
      <c r="F2126" s="855" t="s">
        <v>9239</v>
      </c>
      <c r="G2126" s="468">
        <v>40</v>
      </c>
      <c r="H2126" s="468">
        <v>0</v>
      </c>
      <c r="I2126" s="751"/>
      <c r="J2126" s="789">
        <f>('Parâmetros financeiros Despesa'!E1579)</f>
        <v>0</v>
      </c>
      <c r="K2126" s="789">
        <f>('Parâmetros financeiros Despesa'!F1579)*(1+'Parâmetros financeiros Despesa'!F$4)*(1+'Parâmetros financeiros Despesa'!F$7)</f>
        <v>545.16575</v>
      </c>
      <c r="L2126" s="799">
        <f t="shared" si="265"/>
        <v>2.0881354038525769E-4</v>
      </c>
      <c r="M2126" s="894"/>
      <c r="O2126" s="733"/>
    </row>
    <row r="2127" spans="1:15" s="115" customFormat="1" x14ac:dyDescent="0.25">
      <c r="B2127" s="879"/>
      <c r="C2127" s="879"/>
      <c r="D2127" s="880">
        <v>622500</v>
      </c>
      <c r="E2127" s="854">
        <v>333903900000000</v>
      </c>
      <c r="F2127" s="855" t="s">
        <v>9240</v>
      </c>
      <c r="G2127" s="468">
        <v>40</v>
      </c>
      <c r="H2127" s="468">
        <v>0</v>
      </c>
      <c r="I2127" s="751"/>
      <c r="J2127" s="789">
        <f>('Parâmetros financeiros Despesa'!E1580+'Parâmetros financeiros Despesa'!E1581+'Parâmetros financeiros Despesa'!E1582)</f>
        <v>77719.544999999998</v>
      </c>
      <c r="K2127" s="789">
        <f>('Parâmetros financeiros Despesa'!F1580+'Parâmetros financeiros Despesa'!F1581+'Parâmetros financeiros Despesa'!F1582)*(1+'Parâmetros financeiros Despesa'!F$4)*(1+'Parâmetros financeiros Despesa'!F$7)</f>
        <v>85285.233829167497</v>
      </c>
      <c r="L2127" s="799">
        <f t="shared" si="265"/>
        <v>3.2666600237547964E-2</v>
      </c>
      <c r="M2127" s="894"/>
      <c r="O2127" s="733"/>
    </row>
    <row r="2128" spans="1:15" s="115" customFormat="1" x14ac:dyDescent="0.25">
      <c r="B2128" s="879"/>
      <c r="C2128" s="879"/>
      <c r="D2128" s="880">
        <v>622600</v>
      </c>
      <c r="E2128" s="854">
        <v>333904700000000</v>
      </c>
      <c r="F2128" s="855" t="s">
        <v>9243</v>
      </c>
      <c r="G2128" s="468">
        <v>40</v>
      </c>
      <c r="H2128" s="468">
        <v>0</v>
      </c>
      <c r="I2128" s="751"/>
      <c r="J2128" s="789">
        <f>('Parâmetros financeiros Despesa'!E1583)</f>
        <v>0</v>
      </c>
      <c r="K2128" s="789">
        <f>('Parâmetros financeiros Despesa'!F1583)*(1+'Parâmetros financeiros Despesa'!F$4)*(1+'Parâmetros financeiros Despesa'!F$7)</f>
        <v>109.03315000000001</v>
      </c>
      <c r="L2128" s="799">
        <f t="shared" si="265"/>
        <v>4.1762708077051546E-5</v>
      </c>
      <c r="M2128" s="894"/>
      <c r="O2128" s="733"/>
    </row>
    <row r="2129" spans="1:20" s="115" customFormat="1" x14ac:dyDescent="0.25">
      <c r="B2129" s="879"/>
      <c r="C2129" s="879"/>
      <c r="D2129" s="880">
        <v>622700</v>
      </c>
      <c r="E2129" s="854">
        <v>333909300000000</v>
      </c>
      <c r="F2129" s="855" t="s">
        <v>9245</v>
      </c>
      <c r="G2129" s="468">
        <v>40</v>
      </c>
      <c r="H2129" s="468">
        <v>0</v>
      </c>
      <c r="I2129" s="751"/>
      <c r="J2129" s="789">
        <f>('Parâmetros financeiros Despesa'!E1584)</f>
        <v>0</v>
      </c>
      <c r="K2129" s="789">
        <f>('Parâmetros financeiros Despesa'!F1584)*(1+'Parâmetros financeiros Despesa'!F$4)*(1+'Parâmetros financeiros Despesa'!F$7)</f>
        <v>545.16575</v>
      </c>
      <c r="L2129" s="799">
        <f t="shared" si="265"/>
        <v>2.0881354038525769E-4</v>
      </c>
      <c r="M2129" s="894"/>
      <c r="O2129" s="733"/>
    </row>
    <row r="2130" spans="1:20" s="115" customFormat="1" x14ac:dyDescent="0.25">
      <c r="B2130" s="879"/>
      <c r="C2130" s="879"/>
      <c r="D2130" s="880">
        <v>622800</v>
      </c>
      <c r="E2130" s="854">
        <v>344905200000000</v>
      </c>
      <c r="F2130" s="855" t="s">
        <v>9244</v>
      </c>
      <c r="G2130" s="468">
        <v>40</v>
      </c>
      <c r="H2130" s="468">
        <v>0</v>
      </c>
      <c r="I2130" s="751"/>
      <c r="J2130" s="789">
        <f>('Parâmetros financeiros Despesa'!E1585)</f>
        <v>0</v>
      </c>
      <c r="K2130" s="789">
        <f>('Parâmetros financeiros Despesa'!F1585)*(1+'Parâmetros financeiros Despesa'!F$4)*(1+'Parâmetros financeiros Despesa'!F$7)</f>
        <v>545.16575</v>
      </c>
      <c r="L2130" s="799">
        <f t="shared" si="265"/>
        <v>2.0881354038525769E-4</v>
      </c>
      <c r="M2130" s="894"/>
      <c r="O2130" s="733"/>
    </row>
    <row r="2131" spans="1:20" x14ac:dyDescent="0.25">
      <c r="A2131" s="397"/>
      <c r="B2131" s="1382" t="s">
        <v>8699</v>
      </c>
      <c r="C2131" s="1382"/>
      <c r="D2131" s="1382"/>
      <c r="E2131" s="1382"/>
      <c r="F2131" s="1382"/>
      <c r="G2131" s="405"/>
      <c r="H2131" s="405"/>
      <c r="I2131" s="428"/>
      <c r="J2131" s="406">
        <f>J2132</f>
        <v>0</v>
      </c>
      <c r="K2131" s="406">
        <f>K2132</f>
        <v>7699.9516198592246</v>
      </c>
      <c r="L2131" s="453">
        <f t="shared" si="265"/>
        <v>2.9492941523527562E-3</v>
      </c>
    </row>
    <row r="2132" spans="1:20" x14ac:dyDescent="0.25">
      <c r="A2132" s="397"/>
      <c r="B2132" s="1383" t="s">
        <v>9000</v>
      </c>
      <c r="C2132" s="1383"/>
      <c r="D2132" s="1383"/>
      <c r="E2132" s="1383"/>
      <c r="F2132" s="1383"/>
      <c r="G2132" s="407"/>
      <c r="H2132" s="407"/>
      <c r="I2132" s="429"/>
      <c r="J2132" s="408">
        <f>J2134</f>
        <v>0</v>
      </c>
      <c r="K2132" s="408">
        <f>K2134</f>
        <v>7699.9516198592246</v>
      </c>
      <c r="L2132" s="454">
        <f t="shared" si="265"/>
        <v>2.9492941523527562E-3</v>
      </c>
    </row>
    <row r="2133" spans="1:20" x14ac:dyDescent="0.25">
      <c r="A2133" s="397"/>
      <c r="B2133" s="1385" t="s">
        <v>8698</v>
      </c>
      <c r="C2133" s="1385"/>
      <c r="D2133" s="1385"/>
      <c r="E2133" s="1385"/>
      <c r="F2133" s="1385"/>
      <c r="G2133" s="401"/>
      <c r="H2133" s="401"/>
      <c r="I2133" s="426"/>
      <c r="J2133" s="402">
        <f>J2134</f>
        <v>0</v>
      </c>
      <c r="K2133" s="402">
        <f>K2134</f>
        <v>7699.9516198592246</v>
      </c>
      <c r="L2133" s="451">
        <f t="shared" ref="L2133:L2164" si="269">K2133/K$2234</f>
        <v>2.9492941523527562E-3</v>
      </c>
    </row>
    <row r="2134" spans="1:20" x14ac:dyDescent="0.25">
      <c r="A2134" s="397"/>
      <c r="B2134" s="1386" t="s">
        <v>8999</v>
      </c>
      <c r="C2134" s="1386"/>
      <c r="D2134" s="1386"/>
      <c r="E2134" s="1386"/>
      <c r="F2134" s="1386"/>
      <c r="G2134" s="403"/>
      <c r="H2134" s="403"/>
      <c r="I2134" s="427"/>
      <c r="J2134" s="404">
        <f>SUM(J2135:J2151)</f>
        <v>0</v>
      </c>
      <c r="K2134" s="404">
        <f>SUM(K2135:K2151)+0.04</f>
        <v>7699.9516198592246</v>
      </c>
      <c r="L2134" s="452">
        <f t="shared" si="269"/>
        <v>2.9492941523527562E-3</v>
      </c>
    </row>
    <row r="2135" spans="1:20" s="115" customFormat="1" x14ac:dyDescent="0.25">
      <c r="A2135" s="396"/>
      <c r="B2135" s="1398" t="s">
        <v>9249</v>
      </c>
      <c r="C2135" s="1398"/>
      <c r="D2135" s="1398"/>
      <c r="E2135" s="854">
        <v>331900400000000</v>
      </c>
      <c r="F2135" s="855" t="s">
        <v>9001</v>
      </c>
      <c r="G2135" s="468">
        <v>40</v>
      </c>
      <c r="H2135" s="468">
        <v>0</v>
      </c>
      <c r="I2135" s="751"/>
      <c r="J2135" s="789">
        <f>(('Parâmetros financeiros Despesa'!E1587))</f>
        <v>0</v>
      </c>
      <c r="K2135" s="789">
        <f>(('Parâmetros financeiros Despesa'!F1587)*2.05+(('Parâmetros financeiros Despesa'!F1587)*11.28)*(1+'Parâmetros financeiros Despesa'!F$4)*(1+'Parâmetros financeiros Despesa'!F$8))*(1+'Parâmetros financeiros Despesa'!F$80)</f>
        <v>17.278630081629636</v>
      </c>
      <c r="L2135" s="799">
        <f t="shared" si="269"/>
        <v>6.6181925778578327E-6</v>
      </c>
      <c r="M2135" s="894"/>
      <c r="O2135" s="733"/>
    </row>
    <row r="2136" spans="1:20" s="115" customFormat="1" x14ac:dyDescent="0.25">
      <c r="A2136" s="396"/>
      <c r="B2136" s="1398" t="s">
        <v>9250</v>
      </c>
      <c r="C2136" s="1398"/>
      <c r="D2136" s="1398"/>
      <c r="E2136" s="854">
        <v>331901100000000</v>
      </c>
      <c r="F2136" s="855" t="s">
        <v>9002</v>
      </c>
      <c r="G2136" s="468">
        <v>40</v>
      </c>
      <c r="H2136" s="468">
        <v>0</v>
      </c>
      <c r="I2136" s="751"/>
      <c r="J2136" s="789">
        <f>('Parâmetros financeiros Despesa'!E1588)</f>
        <v>0</v>
      </c>
      <c r="K2136" s="789">
        <f>('Parâmetros financeiros Despesa'!F1588)*2.05+(('Parâmetros financeiros Despesa'!F1588)*11.28)*(1+'Parâmetros financeiros Despesa'!F$4)*(1+'Parâmetros financeiros Despesa'!F$8)</f>
        <v>13.955830560223728</v>
      </c>
      <c r="L2136" s="799">
        <f t="shared" si="269"/>
        <v>5.3454685814306766E-6</v>
      </c>
      <c r="M2136" s="894"/>
      <c r="O2136" s="733"/>
    </row>
    <row r="2137" spans="1:20" s="115" customFormat="1" x14ac:dyDescent="0.25">
      <c r="A2137" s="396"/>
      <c r="B2137" s="1398" t="s">
        <v>9251</v>
      </c>
      <c r="C2137" s="1398"/>
      <c r="D2137" s="1398"/>
      <c r="E2137" s="854">
        <v>331901300000000</v>
      </c>
      <c r="F2137" s="855" t="s">
        <v>9003</v>
      </c>
      <c r="G2137" s="468">
        <v>40</v>
      </c>
      <c r="H2137" s="468">
        <v>0</v>
      </c>
      <c r="I2137" s="751"/>
      <c r="J2137" s="789">
        <f>'Parâmetros financeiros Despesa'!E1589</f>
        <v>0</v>
      </c>
      <c r="K2137" s="789">
        <f>(K2138+K2136)*'Parâmetros financeiros Despesa'!F80</f>
        <v>6.6455990428118161</v>
      </c>
      <c r="L2137" s="799">
        <f t="shared" si="269"/>
        <v>2.5454479928543109E-6</v>
      </c>
      <c r="M2137" s="894"/>
      <c r="O2137" s="733"/>
    </row>
    <row r="2138" spans="1:20" s="115" customFormat="1" ht="15" customHeight="1" x14ac:dyDescent="0.25">
      <c r="A2138" s="396"/>
      <c r="B2138" s="1398" t="s">
        <v>9252</v>
      </c>
      <c r="C2138" s="1398"/>
      <c r="D2138" s="1398"/>
      <c r="E2138" s="854">
        <v>331901600000000</v>
      </c>
      <c r="F2138" s="855" t="s">
        <v>9004</v>
      </c>
      <c r="G2138" s="468">
        <v>40</v>
      </c>
      <c r="H2138" s="468">
        <v>0</v>
      </c>
      <c r="I2138" s="751"/>
      <c r="J2138" s="789">
        <f>('Parâmetros financeiros Despesa'!E1590)</f>
        <v>0</v>
      </c>
      <c r="K2138" s="789">
        <f>('Parâmetros financeiros Despesa'!F1590)*2.05+(('Parâmetros financeiros Despesa'!F1590)*11.28)*(1+'Parâmetros financeiros Despesa'!F$4)*(1+'Parâmetros financeiros Despesa'!F$8)</f>
        <v>13.955830560223728</v>
      </c>
      <c r="L2138" s="799">
        <f t="shared" si="269"/>
        <v>5.3454685814306766E-6</v>
      </c>
      <c r="M2138" s="894"/>
      <c r="O2138" s="733"/>
    </row>
    <row r="2139" spans="1:20" s="115" customFormat="1" ht="15" customHeight="1" x14ac:dyDescent="0.25">
      <c r="A2139" s="396"/>
      <c r="B2139" s="1398" t="s">
        <v>9253</v>
      </c>
      <c r="C2139" s="1398"/>
      <c r="D2139" s="1398"/>
      <c r="E2139" s="854">
        <v>333901400000000</v>
      </c>
      <c r="F2139" s="855" t="s">
        <v>9005</v>
      </c>
      <c r="G2139" s="468">
        <v>40</v>
      </c>
      <c r="H2139" s="468">
        <v>0</v>
      </c>
      <c r="I2139" s="751"/>
      <c r="J2139" s="789">
        <f>('Parâmetros financeiros Despesa'!E1591)</f>
        <v>0</v>
      </c>
      <c r="K2139" s="789">
        <f>('Parâmetros financeiros Despesa'!F1591)*2+(('Parâmetros financeiros Despesa'!F1591)*10)*(1+'Parâmetros financeiros Despesa'!F$4)*(1+'Parâmetros financeiros Despesa'!F$8)</f>
        <v>2510.9628652878946</v>
      </c>
      <c r="L2139" s="799">
        <f t="shared" si="269"/>
        <v>9.617681332267777E-4</v>
      </c>
      <c r="M2139" s="894"/>
      <c r="O2139" s="733"/>
    </row>
    <row r="2140" spans="1:20" s="115" customFormat="1" ht="15" customHeight="1" x14ac:dyDescent="0.25">
      <c r="B2140" s="879"/>
      <c r="C2140" s="879"/>
      <c r="D2140" s="880">
        <v>623500</v>
      </c>
      <c r="E2140" s="854">
        <v>333903000000000</v>
      </c>
      <c r="F2140" s="855" t="s">
        <v>9006</v>
      </c>
      <c r="G2140" s="468">
        <v>40</v>
      </c>
      <c r="H2140" s="468">
        <v>0</v>
      </c>
      <c r="I2140" s="751"/>
      <c r="J2140" s="789">
        <f>('Parâmetros financeiros Despesa'!E1592)</f>
        <v>0</v>
      </c>
      <c r="K2140" s="789">
        <f>('Parâmetros financeiros Despesa'!F1592*(1+'Parâmetros financeiros Despesa'!F$4)*(1+'Parâmetros financeiros Despesa'!F$7))</f>
        <v>545.16575</v>
      </c>
      <c r="L2140" s="799">
        <f t="shared" si="269"/>
        <v>2.0881354038525769E-4</v>
      </c>
      <c r="M2140" s="894"/>
      <c r="N2140" s="396"/>
      <c r="O2140" s="463"/>
      <c r="R2140" s="463"/>
      <c r="S2140" s="463"/>
      <c r="T2140" s="463"/>
    </row>
    <row r="2141" spans="1:20" s="115" customFormat="1" ht="15" customHeight="1" x14ac:dyDescent="0.25">
      <c r="B2141" s="1004"/>
      <c r="C2141" s="1004"/>
      <c r="D2141" s="880">
        <v>623600</v>
      </c>
      <c r="E2141" s="854">
        <v>333903200000000</v>
      </c>
      <c r="F2141" s="855" t="s">
        <v>9011</v>
      </c>
      <c r="G2141" s="468">
        <v>40</v>
      </c>
      <c r="H2141" s="468">
        <v>0</v>
      </c>
      <c r="I2141" s="751"/>
      <c r="J2141" s="789">
        <f>('Parâmetros financeiros Despesa'!E1593)</f>
        <v>0</v>
      </c>
      <c r="K2141" s="789">
        <f>('Parâmetros financeiros Despesa'!F1593*(1+'Parâmetros financeiros Despesa'!F$4)*(1+'Parâmetros financeiros Despesa'!F$7))</f>
        <v>545.16575</v>
      </c>
      <c r="L2141" s="799">
        <f t="shared" si="269"/>
        <v>2.0881354038525769E-4</v>
      </c>
      <c r="M2141" s="894"/>
      <c r="N2141" s="396"/>
      <c r="O2141" s="463"/>
      <c r="R2141" s="463"/>
      <c r="S2141" s="463"/>
      <c r="T2141" s="463"/>
    </row>
    <row r="2142" spans="1:20" s="115" customFormat="1" ht="15" customHeight="1" x14ac:dyDescent="0.25">
      <c r="B2142" s="1004"/>
      <c r="C2142" s="1004"/>
      <c r="D2142" s="880">
        <v>623700</v>
      </c>
      <c r="E2142" s="854">
        <v>333903300000000</v>
      </c>
      <c r="F2142" s="855" t="s">
        <v>9254</v>
      </c>
      <c r="G2142" s="468">
        <v>40</v>
      </c>
      <c r="H2142" s="468">
        <v>0</v>
      </c>
      <c r="I2142" s="751"/>
      <c r="J2142" s="789">
        <f>('Parâmetros financeiros Despesa'!E1594)</f>
        <v>0</v>
      </c>
      <c r="K2142" s="789">
        <f>('Parâmetros financeiros Despesa'!F1594*(1+'Parâmetros financeiros Despesa'!F$4)*(1+'Parâmetros financeiros Despesa'!F$7))</f>
        <v>545.16575</v>
      </c>
      <c r="L2142" s="799">
        <f t="shared" si="269"/>
        <v>2.0881354038525769E-4</v>
      </c>
      <c r="M2142" s="894"/>
      <c r="N2142" s="396"/>
      <c r="O2142" s="463"/>
      <c r="R2142" s="463"/>
      <c r="S2142" s="463"/>
      <c r="T2142" s="463"/>
    </row>
    <row r="2143" spans="1:20" s="115" customFormat="1" ht="15" customHeight="1" x14ac:dyDescent="0.25">
      <c r="B2143" s="1004"/>
      <c r="C2143" s="1004"/>
      <c r="D2143" s="880">
        <v>623800</v>
      </c>
      <c r="E2143" s="854">
        <v>333903500000000</v>
      </c>
      <c r="F2143" s="855" t="s">
        <v>9255</v>
      </c>
      <c r="G2143" s="468">
        <v>40</v>
      </c>
      <c r="H2143" s="468">
        <v>0</v>
      </c>
      <c r="I2143" s="751"/>
      <c r="J2143" s="789">
        <f>('Parâmetros financeiros Despesa'!E1595)</f>
        <v>0</v>
      </c>
      <c r="K2143" s="789">
        <f>('Parâmetros financeiros Despesa'!F1595*(1+'Parâmetros financeiros Despesa'!F$4)*(1+'Parâmetros financeiros Despesa'!F$7))</f>
        <v>545.16575</v>
      </c>
      <c r="L2143" s="799">
        <f t="shared" si="269"/>
        <v>2.0881354038525769E-4</v>
      </c>
      <c r="M2143" s="894"/>
      <c r="N2143" s="396"/>
      <c r="O2143" s="463"/>
      <c r="R2143" s="463"/>
      <c r="S2143" s="463"/>
      <c r="T2143" s="463"/>
    </row>
    <row r="2144" spans="1:20" s="115" customFormat="1" ht="15" customHeight="1" x14ac:dyDescent="0.25">
      <c r="B2144" s="1004"/>
      <c r="C2144" s="1004"/>
      <c r="D2144" s="880">
        <v>623900</v>
      </c>
      <c r="E2144" s="854">
        <v>333903600000000</v>
      </c>
      <c r="F2144" s="855" t="s">
        <v>9087</v>
      </c>
      <c r="G2144" s="468">
        <v>40</v>
      </c>
      <c r="H2144" s="468">
        <v>0</v>
      </c>
      <c r="I2144" s="751"/>
      <c r="J2144" s="789">
        <f>('Parâmetros financeiros Despesa'!E1596)</f>
        <v>0</v>
      </c>
      <c r="K2144" s="789">
        <f>('Parâmetros financeiros Despesa'!F1596*(1+'Parâmetros financeiros Despesa'!F$4)*(1+'Parâmetros financeiros Despesa'!F$7))</f>
        <v>545.16575</v>
      </c>
      <c r="L2144" s="799">
        <f t="shared" si="269"/>
        <v>2.0881354038525769E-4</v>
      </c>
      <c r="M2144" s="894"/>
      <c r="N2144" s="396"/>
      <c r="O2144" s="463"/>
      <c r="R2144" s="463"/>
      <c r="S2144" s="463"/>
      <c r="T2144" s="463"/>
    </row>
    <row r="2145" spans="1:20" s="115" customFormat="1" ht="15" customHeight="1" x14ac:dyDescent="0.25">
      <c r="B2145" s="1004"/>
      <c r="C2145" s="1004"/>
      <c r="D2145" s="880">
        <v>624000</v>
      </c>
      <c r="E2145" s="854">
        <v>333903900000000</v>
      </c>
      <c r="F2145" s="855" t="s">
        <v>9088</v>
      </c>
      <c r="G2145" s="468">
        <v>40</v>
      </c>
      <c r="H2145" s="468">
        <v>0</v>
      </c>
      <c r="I2145" s="751"/>
      <c r="J2145" s="789">
        <f>('Parâmetros financeiros Despesa'!E1597)</f>
        <v>0</v>
      </c>
      <c r="K2145" s="789">
        <f>('Parâmetros financeiros Despesa'!F1597*(1+'Parâmetros financeiros Despesa'!F$4)*(1+'Parâmetros financeiros Despesa'!F$7))</f>
        <v>109.03315000000001</v>
      </c>
      <c r="L2145" s="799">
        <f t="shared" si="269"/>
        <v>4.1762708077051546E-5</v>
      </c>
      <c r="M2145" s="894"/>
      <c r="N2145" s="396"/>
      <c r="O2145" s="463"/>
      <c r="R2145" s="463"/>
      <c r="S2145" s="463"/>
      <c r="T2145" s="463"/>
    </row>
    <row r="2146" spans="1:20" s="115" customFormat="1" ht="15" customHeight="1" x14ac:dyDescent="0.25">
      <c r="B2146" s="1004"/>
      <c r="C2146" s="1004"/>
      <c r="D2146" s="880">
        <v>624100</v>
      </c>
      <c r="E2146" s="854">
        <v>333904700000000</v>
      </c>
      <c r="F2146" s="855" t="s">
        <v>9089</v>
      </c>
      <c r="G2146" s="468">
        <v>40</v>
      </c>
      <c r="H2146" s="468">
        <v>0</v>
      </c>
      <c r="I2146" s="751"/>
      <c r="J2146" s="789">
        <f>('Parâmetros financeiros Despesa'!E1598)</f>
        <v>0</v>
      </c>
      <c r="K2146" s="789">
        <f>('Parâmetros financeiros Despesa'!F1598*(1+'Parâmetros financeiros Despesa'!F$4)*(1+'Parâmetros financeiros Despesa'!F$7))</f>
        <v>109.03315000000001</v>
      </c>
      <c r="L2146" s="799">
        <f t="shared" si="269"/>
        <v>4.1762708077051546E-5</v>
      </c>
      <c r="M2146" s="894"/>
      <c r="N2146" s="396"/>
      <c r="O2146" s="463"/>
      <c r="R2146" s="463"/>
      <c r="S2146" s="463"/>
      <c r="T2146" s="463"/>
    </row>
    <row r="2147" spans="1:20" s="115" customFormat="1" ht="15" customHeight="1" x14ac:dyDescent="0.25">
      <c r="A2147" s="396"/>
      <c r="B2147" s="1398" t="s">
        <v>9256</v>
      </c>
      <c r="C2147" s="1398"/>
      <c r="D2147" s="1398"/>
      <c r="E2147" s="854">
        <v>333904900000000</v>
      </c>
      <c r="F2147" s="855" t="s">
        <v>9010</v>
      </c>
      <c r="G2147" s="468">
        <v>40</v>
      </c>
      <c r="H2147" s="468">
        <v>0</v>
      </c>
      <c r="I2147" s="751"/>
      <c r="J2147" s="789">
        <f>('Parâmetros financeiros Despesa'!E1599)</f>
        <v>0</v>
      </c>
      <c r="K2147" s="789">
        <f>('Parâmetros financeiros Despesa'!F1599)*2+(('Parâmetros financeiros Despesa'!F1599)*10)*(1+'Parâmetros financeiros Despesa'!F$4)*(1+'Parâmetros financeiros Despesa'!F$8)</f>
        <v>12.554814326439475</v>
      </c>
      <c r="L2147" s="799">
        <f t="shared" si="269"/>
        <v>4.8088406661338892E-6</v>
      </c>
      <c r="M2147" s="894"/>
      <c r="O2147" s="733"/>
    </row>
    <row r="2148" spans="1:20" s="115" customFormat="1" ht="15" customHeight="1" x14ac:dyDescent="0.25">
      <c r="A2148" s="396"/>
      <c r="B2148" s="1398" t="s">
        <v>9270</v>
      </c>
      <c r="C2148" s="1398"/>
      <c r="D2148" s="1398"/>
      <c r="E2148" s="854">
        <v>333909300000000</v>
      </c>
      <c r="F2148" s="855" t="s">
        <v>9007</v>
      </c>
      <c r="G2148" s="468">
        <v>40</v>
      </c>
      <c r="H2148" s="468">
        <v>0</v>
      </c>
      <c r="I2148" s="751"/>
      <c r="J2148" s="789">
        <f>('Parâmetros financeiros Despesa'!E1600)</f>
        <v>0</v>
      </c>
      <c r="K2148" s="789">
        <f>('Parâmetros financeiros Despesa'!F1600)*(1+'Parâmetros financeiros Despesa'!F$4)*(1+'Parâmetros financeiros Despesa'!F$7)</f>
        <v>545.16575</v>
      </c>
      <c r="L2148" s="799">
        <f t="shared" si="269"/>
        <v>2.0881354038525769E-4</v>
      </c>
      <c r="M2148" s="894"/>
      <c r="O2148" s="733"/>
    </row>
    <row r="2149" spans="1:20" s="115" customFormat="1" ht="15" customHeight="1" x14ac:dyDescent="0.25">
      <c r="A2149" s="396"/>
      <c r="B2149" s="1398" t="s">
        <v>9271</v>
      </c>
      <c r="C2149" s="1398"/>
      <c r="D2149" s="1398"/>
      <c r="E2149" s="854">
        <v>333933000000000</v>
      </c>
      <c r="F2149" s="855" t="s">
        <v>9008</v>
      </c>
      <c r="G2149" s="468">
        <v>40</v>
      </c>
      <c r="H2149" s="468">
        <v>0</v>
      </c>
      <c r="I2149" s="751"/>
      <c r="J2149" s="789">
        <f>('Parâmetros financeiros Despesa'!E1601)</f>
        <v>0</v>
      </c>
      <c r="K2149" s="789">
        <f>('Parâmetros financeiros Despesa'!F1601)*(1+'Parâmetros financeiros Despesa'!F$4)*(1+'Parâmetros financeiros Despesa'!F$7)</f>
        <v>545.16575</v>
      </c>
      <c r="L2149" s="799">
        <f t="shared" si="269"/>
        <v>2.0881354038525769E-4</v>
      </c>
      <c r="M2149" s="894"/>
      <c r="O2149" s="733"/>
    </row>
    <row r="2150" spans="1:20" s="115" customFormat="1" ht="15" customHeight="1" x14ac:dyDescent="0.25">
      <c r="A2150" s="396"/>
      <c r="B2150" s="1004"/>
      <c r="C2150" s="1004"/>
      <c r="D2150" s="1004" t="s">
        <v>9272</v>
      </c>
      <c r="E2150" s="854">
        <v>333933900000000</v>
      </c>
      <c r="F2150" s="855" t="s">
        <v>9273</v>
      </c>
      <c r="G2150" s="468">
        <v>40</v>
      </c>
      <c r="H2150" s="468">
        <v>0</v>
      </c>
      <c r="I2150" s="751"/>
      <c r="J2150" s="789">
        <f>('Parâmetros financeiros Despesa'!E1602)</f>
        <v>0</v>
      </c>
      <c r="K2150" s="789">
        <f>('Parâmetros financeiros Despesa'!F1602)*(1+'Parâmetros financeiros Despesa'!F$4)*(1+'Parâmetros financeiros Despesa'!F$7)</f>
        <v>545.16575</v>
      </c>
      <c r="L2150" s="799">
        <f t="shared" si="269"/>
        <v>2.0881354038525769E-4</v>
      </c>
      <c r="M2150" s="894"/>
      <c r="O2150" s="733"/>
    </row>
    <row r="2151" spans="1:20" s="115" customFormat="1" ht="15" customHeight="1" x14ac:dyDescent="0.25">
      <c r="A2151" s="396"/>
      <c r="B2151" s="1398" t="s">
        <v>9274</v>
      </c>
      <c r="C2151" s="1398"/>
      <c r="D2151" s="1398"/>
      <c r="E2151" s="854">
        <v>344905200000000</v>
      </c>
      <c r="F2151" s="855" t="s">
        <v>9009</v>
      </c>
      <c r="G2151" s="468">
        <v>40</v>
      </c>
      <c r="H2151" s="468">
        <v>0</v>
      </c>
      <c r="I2151" s="751"/>
      <c r="J2151" s="789">
        <f>('Parâmetros financeiros Despesa'!E1603)</f>
        <v>0</v>
      </c>
      <c r="K2151" s="789">
        <f>('Parâmetros financeiros Despesa'!F1603)*(1+'Parâmetros financeiros Despesa'!F$4)*(1+'Parâmetros financeiros Despesa'!F$7)</f>
        <v>545.16575</v>
      </c>
      <c r="L2151" s="799">
        <f t="shared" si="269"/>
        <v>2.0881354038525769E-4</v>
      </c>
      <c r="M2151" s="894"/>
      <c r="O2151" s="733"/>
    </row>
    <row r="2152" spans="1:20" ht="15" customHeight="1" x14ac:dyDescent="0.25">
      <c r="A2152" s="397"/>
      <c r="B2152" s="1382" t="s">
        <v>8699</v>
      </c>
      <c r="C2152" s="1382"/>
      <c r="D2152" s="1382"/>
      <c r="E2152" s="1382"/>
      <c r="F2152" s="1382"/>
      <c r="G2152" s="405"/>
      <c r="H2152" s="405"/>
      <c r="I2152" s="428"/>
      <c r="J2152" s="406">
        <f t="shared" ref="J2152:K2154" si="270">J2153</f>
        <v>3147.5550000000003</v>
      </c>
      <c r="K2152" s="406">
        <f t="shared" si="270"/>
        <v>11467.333962988723</v>
      </c>
      <c r="L2152" s="453">
        <f t="shared" si="269"/>
        <v>4.3923056494135646E-3</v>
      </c>
    </row>
    <row r="2153" spans="1:20" ht="15" customHeight="1" x14ac:dyDescent="0.25">
      <c r="A2153" s="397"/>
      <c r="B2153" s="1383" t="s">
        <v>8960</v>
      </c>
      <c r="C2153" s="1383"/>
      <c r="D2153" s="1383"/>
      <c r="E2153" s="1383"/>
      <c r="F2153" s="1383"/>
      <c r="G2153" s="407"/>
      <c r="H2153" s="407"/>
      <c r="I2153" s="429"/>
      <c r="J2153" s="408">
        <f t="shared" si="270"/>
        <v>3147.5550000000003</v>
      </c>
      <c r="K2153" s="408">
        <f t="shared" si="270"/>
        <v>11467.333962988723</v>
      </c>
      <c r="L2153" s="454">
        <f t="shared" si="269"/>
        <v>4.3923056494135646E-3</v>
      </c>
    </row>
    <row r="2154" spans="1:20" ht="15" customHeight="1" x14ac:dyDescent="0.25">
      <c r="A2154" s="397"/>
      <c r="B2154" s="1385" t="s">
        <v>8698</v>
      </c>
      <c r="C2154" s="1385"/>
      <c r="D2154" s="1385"/>
      <c r="E2154" s="1385"/>
      <c r="F2154" s="1385"/>
      <c r="G2154" s="401"/>
      <c r="H2154" s="401"/>
      <c r="I2154" s="426"/>
      <c r="J2154" s="402">
        <f t="shared" si="270"/>
        <v>3147.5550000000003</v>
      </c>
      <c r="K2154" s="402">
        <f t="shared" si="270"/>
        <v>11467.333962988723</v>
      </c>
      <c r="L2154" s="451">
        <f t="shared" si="269"/>
        <v>4.3923056494135646E-3</v>
      </c>
    </row>
    <row r="2155" spans="1:20" ht="15" customHeight="1" x14ac:dyDescent="0.25">
      <c r="A2155" s="397"/>
      <c r="B2155" s="1386" t="s">
        <v>8961</v>
      </c>
      <c r="C2155" s="1386"/>
      <c r="D2155" s="1386"/>
      <c r="E2155" s="1386"/>
      <c r="F2155" s="1386"/>
      <c r="G2155" s="403"/>
      <c r="H2155" s="403"/>
      <c r="I2155" s="427"/>
      <c r="J2155" s="404">
        <f>SUM(J2156:J2172)</f>
        <v>3147.5550000000003</v>
      </c>
      <c r="K2155" s="404">
        <f>SUM(K2156:K2172)+0.05</f>
        <v>11467.333962988723</v>
      </c>
      <c r="L2155" s="452">
        <f t="shared" si="269"/>
        <v>4.3923056494135646E-3</v>
      </c>
    </row>
    <row r="2156" spans="1:20" s="115" customFormat="1" ht="15" customHeight="1" x14ac:dyDescent="0.25">
      <c r="A2156" s="396"/>
      <c r="B2156" s="1398" t="s">
        <v>9257</v>
      </c>
      <c r="C2156" s="1398"/>
      <c r="D2156" s="1398"/>
      <c r="E2156" s="854">
        <v>331900400000000</v>
      </c>
      <c r="F2156" s="855" t="s">
        <v>8964</v>
      </c>
      <c r="G2156" s="468">
        <v>40</v>
      </c>
      <c r="H2156" s="468">
        <v>0</v>
      </c>
      <c r="I2156" s="751"/>
      <c r="J2156" s="789">
        <f>(('Parâmetros financeiros Despesa'!E1605))</f>
        <v>0</v>
      </c>
      <c r="K2156" s="789">
        <f>(('Parâmetros financeiros Despesa'!F1605)*2.05+(('Parâmetros financeiros Despesa'!F1605)*11.28)*(1+'Parâmetros financeiros Despesa'!F$4)*(1+'Parâmetros financeiros Despesa'!F$8))*(1+'Parâmetros financeiros Despesa'!F$80)</f>
        <v>17.278630081629636</v>
      </c>
      <c r="L2156" s="799">
        <f t="shared" si="269"/>
        <v>6.6181925778578327E-6</v>
      </c>
      <c r="M2156" s="894"/>
      <c r="O2156" s="733"/>
    </row>
    <row r="2157" spans="1:20" s="115" customFormat="1" ht="15" customHeight="1" x14ac:dyDescent="0.25">
      <c r="A2157" s="396"/>
      <c r="B2157" s="1398" t="s">
        <v>9258</v>
      </c>
      <c r="C2157" s="1398"/>
      <c r="D2157" s="1398"/>
      <c r="E2157" s="854">
        <v>331901100000000</v>
      </c>
      <c r="F2157" s="855" t="s">
        <v>8965</v>
      </c>
      <c r="G2157" s="468">
        <v>40</v>
      </c>
      <c r="H2157" s="468">
        <v>0</v>
      </c>
      <c r="I2157" s="751"/>
      <c r="J2157" s="789">
        <f>(('Parâmetros financeiros Despesa'!E1606))</f>
        <v>0</v>
      </c>
      <c r="K2157" s="789">
        <f>('Parâmetros financeiros Despesa'!F1606)*2.05+(('Parâmetros financeiros Despesa'!F1606)*11.28)*(1+'Parâmetros financeiros Despesa'!F$4)*(1+'Parâmetros financeiros Despesa'!F$8)</f>
        <v>13.955830560223728</v>
      </c>
      <c r="L2157" s="799">
        <f t="shared" si="269"/>
        <v>5.3454685814306766E-6</v>
      </c>
      <c r="M2157" s="894"/>
      <c r="O2157" s="733"/>
    </row>
    <row r="2158" spans="1:20" s="115" customFormat="1" ht="15" customHeight="1" x14ac:dyDescent="0.25">
      <c r="A2158" s="396"/>
      <c r="B2158" s="1398" t="s">
        <v>9259</v>
      </c>
      <c r="C2158" s="1398"/>
      <c r="D2158" s="1398"/>
      <c r="E2158" s="854">
        <v>331901300000000</v>
      </c>
      <c r="F2158" s="855" t="s">
        <v>8966</v>
      </c>
      <c r="G2158" s="468">
        <v>40</v>
      </c>
      <c r="H2158" s="468">
        <v>0</v>
      </c>
      <c r="I2158" s="751"/>
      <c r="J2158" s="789">
        <f>(('Parâmetros financeiros Despesa'!E1607))</f>
        <v>0</v>
      </c>
      <c r="K2158" s="789">
        <f>(K2159+K2157)*'Parâmetros financeiros Despesa'!F80</f>
        <v>6.6455990428118161</v>
      </c>
      <c r="L2158" s="799">
        <f t="shared" si="269"/>
        <v>2.5454479928543109E-6</v>
      </c>
      <c r="M2158" s="894"/>
      <c r="O2158" s="733"/>
    </row>
    <row r="2159" spans="1:20" s="115" customFormat="1" ht="15" customHeight="1" x14ac:dyDescent="0.25">
      <c r="A2159" s="396"/>
      <c r="B2159" s="1398" t="s">
        <v>9260</v>
      </c>
      <c r="C2159" s="1398"/>
      <c r="D2159" s="1398"/>
      <c r="E2159" s="854">
        <v>331901600000000</v>
      </c>
      <c r="F2159" s="855" t="s">
        <v>8967</v>
      </c>
      <c r="G2159" s="468">
        <v>40</v>
      </c>
      <c r="H2159" s="468">
        <v>0</v>
      </c>
      <c r="I2159" s="751"/>
      <c r="J2159" s="789">
        <f>(('Parâmetros financeiros Despesa'!E1608))</f>
        <v>0</v>
      </c>
      <c r="K2159" s="789">
        <f>('Parâmetros financeiros Despesa'!F1608)*2.05+(('Parâmetros financeiros Despesa'!F1608)*11.28)*(1+'Parâmetros financeiros Despesa'!F$4)*(1+'Parâmetros financeiros Despesa'!F$8)</f>
        <v>13.955830560223728</v>
      </c>
      <c r="L2159" s="799">
        <f t="shared" si="269"/>
        <v>5.3454685814306766E-6</v>
      </c>
      <c r="M2159" s="894"/>
      <c r="O2159" s="733"/>
    </row>
    <row r="2160" spans="1:20" s="115" customFormat="1" ht="15" customHeight="1" x14ac:dyDescent="0.25">
      <c r="A2160" s="396"/>
      <c r="B2160" s="1398" t="s">
        <v>9261</v>
      </c>
      <c r="C2160" s="1398"/>
      <c r="D2160" s="1398"/>
      <c r="E2160" s="854">
        <v>333901400000000</v>
      </c>
      <c r="F2160" s="855" t="s">
        <v>8997</v>
      </c>
      <c r="G2160" s="468">
        <v>40</v>
      </c>
      <c r="H2160" s="468">
        <v>0</v>
      </c>
      <c r="I2160" s="751"/>
      <c r="J2160" s="789">
        <f>(('Parâmetros financeiros Despesa'!E1609))</f>
        <v>0</v>
      </c>
      <c r="K2160" s="789">
        <f>('Parâmetros financeiros Despesa'!F1609)*2+(('Parâmetros financeiros Despesa'!F1609)*10)*(1+'Parâmetros financeiros Despesa'!F$4)*(1+'Parâmetros financeiros Despesa'!F$8)</f>
        <v>3000.6006240190345</v>
      </c>
      <c r="L2160" s="799">
        <f t="shared" si="269"/>
        <v>1.1493129192059995E-3</v>
      </c>
      <c r="M2160" s="894"/>
      <c r="O2160" s="733"/>
    </row>
    <row r="2161" spans="1:20" s="115" customFormat="1" ht="15" customHeight="1" x14ac:dyDescent="0.25">
      <c r="B2161" s="879"/>
      <c r="C2161" s="879"/>
      <c r="D2161" s="880">
        <v>625500</v>
      </c>
      <c r="E2161" s="854">
        <v>333903000000000</v>
      </c>
      <c r="F2161" s="855" t="s">
        <v>8968</v>
      </c>
      <c r="G2161" s="468">
        <v>40</v>
      </c>
      <c r="H2161" s="468">
        <v>0</v>
      </c>
      <c r="I2161" s="751"/>
      <c r="J2161" s="789">
        <f>(('Parâmetros financeiros Despesa'!E1610))</f>
        <v>2673.3450000000003</v>
      </c>
      <c r="K2161" s="789">
        <f>('Parâmetros financeiros Despesa'!F1610*(1+'Parâmetros financeiros Despesa'!F$4)*(1+'Parâmetros financeiros Despesa'!F$7))</f>
        <v>2914.8322638675004</v>
      </c>
      <c r="L2161" s="799">
        <f t="shared" si="269"/>
        <v>1.1164612682424537E-3</v>
      </c>
      <c r="M2161" s="894"/>
      <c r="N2161" s="396"/>
      <c r="O2161" s="463"/>
      <c r="R2161" s="463"/>
      <c r="S2161" s="463"/>
      <c r="T2161" s="463"/>
    </row>
    <row r="2162" spans="1:20" s="115" customFormat="1" ht="15" customHeight="1" x14ac:dyDescent="0.25">
      <c r="B2162" s="1004"/>
      <c r="C2162" s="1004"/>
      <c r="D2162" s="880">
        <v>625600</v>
      </c>
      <c r="E2162" s="854">
        <v>333903200000000</v>
      </c>
      <c r="F2162" s="855" t="s">
        <v>8971</v>
      </c>
      <c r="G2162" s="468">
        <v>40</v>
      </c>
      <c r="H2162" s="468">
        <v>0</v>
      </c>
      <c r="I2162" s="751"/>
      <c r="J2162" s="789">
        <f>(('Parâmetros financeiros Despesa'!E1611))</f>
        <v>0</v>
      </c>
      <c r="K2162" s="789">
        <f>('Parâmetros financeiros Despesa'!F1611*(1+'Parâmetros financeiros Despesa'!F$4)*(1+'Parâmetros financeiros Despesa'!F$7))</f>
        <v>545.16575</v>
      </c>
      <c r="L2162" s="799">
        <f t="shared" si="269"/>
        <v>2.0881354038525769E-4</v>
      </c>
      <c r="M2162" s="894"/>
      <c r="N2162" s="396"/>
      <c r="O2162" s="463"/>
      <c r="R2162" s="463"/>
      <c r="S2162" s="463"/>
      <c r="T2162" s="463"/>
    </row>
    <row r="2163" spans="1:20" s="115" customFormat="1" ht="15" customHeight="1" x14ac:dyDescent="0.25">
      <c r="B2163" s="1004"/>
      <c r="C2163" s="1004"/>
      <c r="D2163" s="880">
        <v>625700</v>
      </c>
      <c r="E2163" s="854">
        <v>333903300000000</v>
      </c>
      <c r="F2163" s="855" t="s">
        <v>9264</v>
      </c>
      <c r="G2163" s="468">
        <v>40</v>
      </c>
      <c r="H2163" s="468">
        <v>0</v>
      </c>
      <c r="I2163" s="751"/>
      <c r="J2163" s="789">
        <f>(('Parâmetros financeiros Despesa'!E1612))</f>
        <v>0</v>
      </c>
      <c r="K2163" s="789">
        <f>('Parâmetros financeiros Despesa'!F1612*(1+'Parâmetros financeiros Despesa'!F$4)*(1+'Parâmetros financeiros Despesa'!F$7))</f>
        <v>545.16575</v>
      </c>
      <c r="L2163" s="799">
        <f t="shared" si="269"/>
        <v>2.0881354038525769E-4</v>
      </c>
      <c r="M2163" s="894"/>
      <c r="N2163" s="396"/>
      <c r="O2163" s="463"/>
      <c r="R2163" s="463"/>
      <c r="S2163" s="463"/>
      <c r="T2163" s="463"/>
    </row>
    <row r="2164" spans="1:20" s="115" customFormat="1" ht="15" customHeight="1" x14ac:dyDescent="0.25">
      <c r="B2164" s="1004"/>
      <c r="C2164" s="1004"/>
      <c r="D2164" s="880">
        <v>625800</v>
      </c>
      <c r="E2164" s="854">
        <v>333903500000000</v>
      </c>
      <c r="F2164" s="855" t="s">
        <v>9265</v>
      </c>
      <c r="G2164" s="468">
        <v>40</v>
      </c>
      <c r="H2164" s="468">
        <v>0</v>
      </c>
      <c r="I2164" s="751"/>
      <c r="J2164" s="789">
        <f>(('Parâmetros financeiros Despesa'!E1613))</f>
        <v>0</v>
      </c>
      <c r="K2164" s="789">
        <f>('Parâmetros financeiros Despesa'!F1613*(1+'Parâmetros financeiros Despesa'!F$4)*(1+'Parâmetros financeiros Despesa'!F$7))</f>
        <v>545.16575</v>
      </c>
      <c r="L2164" s="799">
        <f t="shared" si="269"/>
        <v>2.0881354038525769E-4</v>
      </c>
      <c r="M2164" s="894"/>
      <c r="N2164" s="396"/>
      <c r="O2164" s="463"/>
      <c r="R2164" s="463"/>
      <c r="S2164" s="463"/>
      <c r="T2164" s="463"/>
    </row>
    <row r="2165" spans="1:20" s="115" customFormat="1" ht="15" customHeight="1" x14ac:dyDescent="0.25">
      <c r="B2165" s="1004"/>
      <c r="C2165" s="1004"/>
      <c r="D2165" s="880">
        <v>625900</v>
      </c>
      <c r="E2165" s="854">
        <v>333903600000000</v>
      </c>
      <c r="F2165" s="855" t="s">
        <v>9267</v>
      </c>
      <c r="G2165" s="468">
        <v>40</v>
      </c>
      <c r="H2165" s="468">
        <v>0</v>
      </c>
      <c r="I2165" s="751"/>
      <c r="J2165" s="789">
        <f>(('Parâmetros financeiros Despesa'!E1614))</f>
        <v>0</v>
      </c>
      <c r="K2165" s="789">
        <f>('Parâmetros financeiros Despesa'!F1614*(1+'Parâmetros financeiros Despesa'!F$4)*(1+'Parâmetros financeiros Despesa'!F$7))</f>
        <v>545.16575</v>
      </c>
      <c r="L2165" s="799">
        <f t="shared" ref="L2165:L2196" si="271">K2165/K$2234</f>
        <v>2.0881354038525769E-4</v>
      </c>
      <c r="M2165" s="894"/>
      <c r="N2165" s="396"/>
      <c r="O2165" s="463"/>
      <c r="R2165" s="463"/>
      <c r="S2165" s="463"/>
      <c r="T2165" s="463"/>
    </row>
    <row r="2166" spans="1:20" s="115" customFormat="1" ht="15" customHeight="1" x14ac:dyDescent="0.25">
      <c r="B2166" s="1004"/>
      <c r="C2166" s="1004"/>
      <c r="D2166" s="880">
        <v>626000</v>
      </c>
      <c r="E2166" s="854">
        <v>333903900000000</v>
      </c>
      <c r="F2166" s="855" t="s">
        <v>9268</v>
      </c>
      <c r="G2166" s="468">
        <v>40</v>
      </c>
      <c r="H2166" s="468">
        <v>0</v>
      </c>
      <c r="I2166" s="751"/>
      <c r="J2166" s="789">
        <f>(('Parâmetros financeiros Despesa'!E1615))</f>
        <v>474.21</v>
      </c>
      <c r="K2166" s="789">
        <f>('Parâmetros financeiros Despesa'!F1615*(1+'Parâmetros financeiros Despesa'!F$4)*(1+'Parâmetros financeiros Despesa'!F$7))</f>
        <v>545.16575</v>
      </c>
      <c r="L2166" s="799">
        <f t="shared" si="271"/>
        <v>2.0881354038525769E-4</v>
      </c>
      <c r="M2166" s="894"/>
      <c r="N2166" s="396"/>
      <c r="O2166" s="463"/>
      <c r="R2166" s="463"/>
      <c r="S2166" s="463"/>
      <c r="T2166" s="463"/>
    </row>
    <row r="2167" spans="1:20" s="115" customFormat="1" ht="15" customHeight="1" x14ac:dyDescent="0.25">
      <c r="B2167" s="1004"/>
      <c r="C2167" s="1004"/>
      <c r="D2167" s="880">
        <v>626100</v>
      </c>
      <c r="E2167" s="854">
        <v>333904700000000</v>
      </c>
      <c r="F2167" s="855" t="s">
        <v>9269</v>
      </c>
      <c r="G2167" s="468">
        <v>40</v>
      </c>
      <c r="H2167" s="468">
        <v>0</v>
      </c>
      <c r="I2167" s="751"/>
      <c r="J2167" s="789">
        <f>(('Parâmetros financeiros Despesa'!E1616))</f>
        <v>0</v>
      </c>
      <c r="K2167" s="789">
        <f>('Parâmetros financeiros Despesa'!F1616*(1+'Parâmetros financeiros Despesa'!F$4)*(1+'Parâmetros financeiros Despesa'!F$7))</f>
        <v>109.03315000000001</v>
      </c>
      <c r="L2167" s="799">
        <f t="shared" si="271"/>
        <v>4.1762708077051546E-5</v>
      </c>
      <c r="M2167" s="894"/>
      <c r="N2167" s="396"/>
      <c r="O2167" s="463"/>
      <c r="R2167" s="463"/>
      <c r="S2167" s="463"/>
      <c r="T2167" s="463"/>
    </row>
    <row r="2168" spans="1:20" s="115" customFormat="1" ht="15" customHeight="1" x14ac:dyDescent="0.25">
      <c r="A2168" s="396"/>
      <c r="B2168" s="1398" t="s">
        <v>9266</v>
      </c>
      <c r="C2168" s="1398"/>
      <c r="D2168" s="1398"/>
      <c r="E2168" s="854">
        <v>333904900000000</v>
      </c>
      <c r="F2168" s="855" t="s">
        <v>8972</v>
      </c>
      <c r="G2168" s="468">
        <v>40</v>
      </c>
      <c r="H2168" s="468">
        <v>0</v>
      </c>
      <c r="I2168" s="751"/>
      <c r="J2168" s="789">
        <f>(('Parâmetros financeiros Despesa'!E1617))</f>
        <v>0</v>
      </c>
      <c r="K2168" s="789">
        <f>('Parâmetros financeiros Despesa'!F1617)*2+(('Parâmetros financeiros Despesa'!F1617)*10)*(1+'Parâmetros financeiros Despesa'!F$4)*(1+'Parâmetros financeiros Despesa'!F$8)</f>
        <v>484.4902848572994</v>
      </c>
      <c r="L2168" s="799">
        <f t="shared" si="271"/>
        <v>1.8557316130610681E-4</v>
      </c>
      <c r="M2168" s="894"/>
      <c r="O2168" s="733"/>
    </row>
    <row r="2169" spans="1:20" s="115" customFormat="1" ht="15" customHeight="1" x14ac:dyDescent="0.25">
      <c r="A2169" s="396"/>
      <c r="B2169" s="1398" t="s">
        <v>9275</v>
      </c>
      <c r="C2169" s="1398"/>
      <c r="D2169" s="1398"/>
      <c r="E2169" s="854">
        <v>333909300000000</v>
      </c>
      <c r="F2169" s="855" t="s">
        <v>8973</v>
      </c>
      <c r="G2169" s="468">
        <v>40</v>
      </c>
      <c r="H2169" s="468">
        <v>0</v>
      </c>
      <c r="I2169" s="751"/>
      <c r="J2169" s="789">
        <f>(('Parâmetros financeiros Despesa'!E1618))</f>
        <v>0</v>
      </c>
      <c r="K2169" s="789">
        <f>('Parâmetros financeiros Despesa'!F1618*(1+'Parâmetros financeiros Despesa'!F$4)*(1+'Parâmetros financeiros Despesa'!F$7))</f>
        <v>545.16575</v>
      </c>
      <c r="L2169" s="799">
        <f t="shared" si="271"/>
        <v>2.0881354038525769E-4</v>
      </c>
      <c r="M2169" s="894"/>
      <c r="O2169" s="733"/>
    </row>
    <row r="2170" spans="1:20" s="115" customFormat="1" ht="15" customHeight="1" x14ac:dyDescent="0.25">
      <c r="A2170" s="396"/>
      <c r="B2170" s="1398" t="s">
        <v>9276</v>
      </c>
      <c r="C2170" s="1398"/>
      <c r="D2170" s="1398"/>
      <c r="E2170" s="854">
        <v>333933000000000</v>
      </c>
      <c r="F2170" s="855" t="s">
        <v>8987</v>
      </c>
      <c r="G2170" s="468">
        <v>40</v>
      </c>
      <c r="H2170" s="468">
        <v>0</v>
      </c>
      <c r="I2170" s="751"/>
      <c r="J2170" s="789">
        <f>(('Parâmetros financeiros Despesa'!E1619))</f>
        <v>0</v>
      </c>
      <c r="K2170" s="789">
        <f>('Parâmetros financeiros Despesa'!F1619*(1+'Parâmetros financeiros Despesa'!F$4)*(1+'Parâmetros financeiros Despesa'!F$7))</f>
        <v>545.16575</v>
      </c>
      <c r="L2170" s="799">
        <f t="shared" si="271"/>
        <v>2.0881354038525769E-4</v>
      </c>
      <c r="M2170" s="894"/>
      <c r="O2170" s="733"/>
    </row>
    <row r="2171" spans="1:20" s="115" customFormat="1" ht="15" customHeight="1" x14ac:dyDescent="0.25">
      <c r="A2171" s="396"/>
      <c r="B2171" s="1004"/>
      <c r="C2171" s="1004"/>
      <c r="D2171" s="1004" t="s">
        <v>9278</v>
      </c>
      <c r="E2171" s="854">
        <v>333933900000000</v>
      </c>
      <c r="F2171" s="855" t="s">
        <v>9277</v>
      </c>
      <c r="G2171" s="468">
        <v>40</v>
      </c>
      <c r="H2171" s="468">
        <v>0</v>
      </c>
      <c r="I2171" s="751"/>
      <c r="J2171" s="789">
        <f>(('Parâmetros financeiros Despesa'!E1620))</f>
        <v>0</v>
      </c>
      <c r="K2171" s="789">
        <f>('Parâmetros financeiros Despesa'!F1620*(1+'Parâmetros financeiros Despesa'!F$4)*(1+'Parâmetros financeiros Despesa'!F$7))</f>
        <v>545.16575</v>
      </c>
      <c r="L2171" s="799">
        <f t="shared" si="271"/>
        <v>2.0881354038525769E-4</v>
      </c>
      <c r="M2171" s="894"/>
      <c r="O2171" s="733"/>
    </row>
    <row r="2172" spans="1:20" s="115" customFormat="1" ht="15" customHeight="1" x14ac:dyDescent="0.25">
      <c r="A2172" s="396"/>
      <c r="B2172" s="1398" t="s">
        <v>9279</v>
      </c>
      <c r="C2172" s="1398"/>
      <c r="D2172" s="1398"/>
      <c r="E2172" s="854">
        <v>344905200000000</v>
      </c>
      <c r="F2172" s="855" t="s">
        <v>8974</v>
      </c>
      <c r="G2172" s="468">
        <v>40</v>
      </c>
      <c r="H2172" s="468">
        <v>0</v>
      </c>
      <c r="I2172" s="751"/>
      <c r="J2172" s="789">
        <f>(('Parâmetros financeiros Despesa'!E1621))</f>
        <v>0</v>
      </c>
      <c r="K2172" s="789">
        <f>('Parâmetros financeiros Despesa'!F1621*(1+'Parâmetros financeiros Despesa'!F$4)*(1+'Parâmetros financeiros Despesa'!F$7))</f>
        <v>545.16575</v>
      </c>
      <c r="L2172" s="799">
        <f t="shared" si="271"/>
        <v>2.0881354038525769E-4</v>
      </c>
      <c r="M2172" s="894"/>
      <c r="O2172" s="733"/>
    </row>
    <row r="2173" spans="1:20" ht="15" customHeight="1" x14ac:dyDescent="0.25">
      <c r="A2173" s="397"/>
      <c r="B2173" s="1382" t="s">
        <v>8699</v>
      </c>
      <c r="C2173" s="1382"/>
      <c r="D2173" s="1382"/>
      <c r="E2173" s="1382"/>
      <c r="F2173" s="1382"/>
      <c r="G2173" s="405"/>
      <c r="H2173" s="405"/>
      <c r="I2173" s="428"/>
      <c r="J2173" s="406">
        <f t="shared" ref="J2173:K2175" si="272">J2174</f>
        <v>1005.78</v>
      </c>
      <c r="K2173" s="406">
        <f t="shared" si="272"/>
        <v>13268.420637409596</v>
      </c>
      <c r="L2173" s="453">
        <f t="shared" si="271"/>
        <v>5.0821715939020663E-3</v>
      </c>
    </row>
    <row r="2174" spans="1:20" ht="15" customHeight="1" x14ac:dyDescent="0.25">
      <c r="A2174" s="397"/>
      <c r="B2174" s="1383" t="s">
        <v>8988</v>
      </c>
      <c r="C2174" s="1383"/>
      <c r="D2174" s="1383"/>
      <c r="E2174" s="1383"/>
      <c r="F2174" s="1383"/>
      <c r="G2174" s="407"/>
      <c r="H2174" s="407"/>
      <c r="I2174" s="429"/>
      <c r="J2174" s="408">
        <f t="shared" si="272"/>
        <v>1005.78</v>
      </c>
      <c r="K2174" s="408">
        <f t="shared" si="272"/>
        <v>13268.420637409596</v>
      </c>
      <c r="L2174" s="454">
        <f t="shared" si="271"/>
        <v>5.0821715939020663E-3</v>
      </c>
    </row>
    <row r="2175" spans="1:20" ht="15" customHeight="1" x14ac:dyDescent="0.25">
      <c r="A2175" s="397"/>
      <c r="B2175" s="1385" t="s">
        <v>8698</v>
      </c>
      <c r="C2175" s="1385"/>
      <c r="D2175" s="1385"/>
      <c r="E2175" s="1385"/>
      <c r="F2175" s="1385"/>
      <c r="G2175" s="401"/>
      <c r="H2175" s="401"/>
      <c r="I2175" s="426"/>
      <c r="J2175" s="402">
        <f t="shared" si="272"/>
        <v>1005.78</v>
      </c>
      <c r="K2175" s="402">
        <f t="shared" si="272"/>
        <v>13268.420637409596</v>
      </c>
      <c r="L2175" s="451">
        <f t="shared" si="271"/>
        <v>5.0821715939020663E-3</v>
      </c>
    </row>
    <row r="2176" spans="1:20" ht="15" customHeight="1" x14ac:dyDescent="0.25">
      <c r="A2176" s="397"/>
      <c r="B2176" s="1386" t="s">
        <v>8962</v>
      </c>
      <c r="C2176" s="1386"/>
      <c r="D2176" s="1386"/>
      <c r="E2176" s="1386"/>
      <c r="F2176" s="1386"/>
      <c r="G2176" s="403"/>
      <c r="H2176" s="403"/>
      <c r="I2176" s="427"/>
      <c r="J2176" s="404">
        <f>SUM(J2177:J2193)</f>
        <v>1005.78</v>
      </c>
      <c r="K2176" s="404">
        <f>SUM(K2177:K2193)+0.04</f>
        <v>13268.420637409596</v>
      </c>
      <c r="L2176" s="452">
        <f t="shared" si="271"/>
        <v>5.0821715939020663E-3</v>
      </c>
    </row>
    <row r="2177" spans="1:20" s="115" customFormat="1" ht="15" customHeight="1" x14ac:dyDescent="0.25">
      <c r="A2177" s="396"/>
      <c r="B2177" s="1398" t="s">
        <v>9286</v>
      </c>
      <c r="C2177" s="1398"/>
      <c r="D2177" s="1398"/>
      <c r="E2177" s="854">
        <v>331900400000000</v>
      </c>
      <c r="F2177" s="855" t="s">
        <v>8976</v>
      </c>
      <c r="G2177" s="468">
        <v>40</v>
      </c>
      <c r="H2177" s="468">
        <v>0</v>
      </c>
      <c r="I2177" s="751"/>
      <c r="J2177" s="789">
        <f>(('Parâmetros financeiros Despesa'!E1623))</f>
        <v>0</v>
      </c>
      <c r="K2177" s="789">
        <f>(('Parâmetros financeiros Despesa'!F1623)*2.05+(('Parâmetros financeiros Despesa'!F1623)*11.28)*(1+'Parâmetros financeiros Despesa'!F$4)*(1+'Parâmetros financeiros Despesa'!F$8))*(1+'Parâmetros financeiros Despesa'!F$80)</f>
        <v>17.278630081629636</v>
      </c>
      <c r="L2177" s="799">
        <f t="shared" si="271"/>
        <v>6.6181925778578327E-6</v>
      </c>
      <c r="M2177" s="894"/>
      <c r="O2177" s="733"/>
    </row>
    <row r="2178" spans="1:20" s="115" customFormat="1" ht="15" customHeight="1" x14ac:dyDescent="0.25">
      <c r="A2178" s="396"/>
      <c r="B2178" s="1398" t="s">
        <v>9287</v>
      </c>
      <c r="C2178" s="1398"/>
      <c r="D2178" s="1398"/>
      <c r="E2178" s="854">
        <v>331901100000000</v>
      </c>
      <c r="F2178" s="855" t="s">
        <v>8978</v>
      </c>
      <c r="G2178" s="468">
        <v>40</v>
      </c>
      <c r="H2178" s="468">
        <v>0</v>
      </c>
      <c r="I2178" s="751"/>
      <c r="J2178" s="789">
        <f>(('Parâmetros financeiros Despesa'!E1624))</f>
        <v>0</v>
      </c>
      <c r="K2178" s="789">
        <f>('Parâmetros financeiros Despesa'!F1624)*2.05+(('Parâmetros financeiros Despesa'!F1624)*11.28)*(1+'Parâmetros financeiros Despesa'!F$4)*(1+'Parâmetros financeiros Despesa'!F$8)</f>
        <v>3014.4594010083256</v>
      </c>
      <c r="L2178" s="799">
        <f t="shared" si="271"/>
        <v>1.1546212135890264E-3</v>
      </c>
      <c r="M2178" s="894"/>
      <c r="O2178" s="733"/>
    </row>
    <row r="2179" spans="1:20" s="115" customFormat="1" ht="15" customHeight="1" x14ac:dyDescent="0.25">
      <c r="A2179" s="396"/>
      <c r="B2179" s="1398" t="s">
        <v>9288</v>
      </c>
      <c r="C2179" s="1398"/>
      <c r="D2179" s="1398"/>
      <c r="E2179" s="854">
        <v>331901300000000</v>
      </c>
      <c r="F2179" s="855" t="s">
        <v>8977</v>
      </c>
      <c r="G2179" s="468">
        <v>40</v>
      </c>
      <c r="H2179" s="468">
        <v>0</v>
      </c>
      <c r="I2179" s="751"/>
      <c r="J2179" s="789">
        <f>(('Parâmetros financeiros Despesa'!E1625))</f>
        <v>0</v>
      </c>
      <c r="K2179" s="789">
        <f>(K2180+K2178)*'Parâmetros financeiros Despesa'!F80</f>
        <v>721.04749614508216</v>
      </c>
      <c r="L2179" s="799">
        <f t="shared" si="271"/>
        <v>2.7618110722469279E-4</v>
      </c>
      <c r="M2179" s="894"/>
      <c r="O2179" s="733"/>
    </row>
    <row r="2180" spans="1:20" s="115" customFormat="1" ht="15" customHeight="1" x14ac:dyDescent="0.25">
      <c r="A2180" s="396"/>
      <c r="B2180" s="1398" t="s">
        <v>9289</v>
      </c>
      <c r="C2180" s="1398"/>
      <c r="D2180" s="1398"/>
      <c r="E2180" s="854">
        <v>331901600000000</v>
      </c>
      <c r="F2180" s="855" t="s">
        <v>8979</v>
      </c>
      <c r="G2180" s="468">
        <v>40</v>
      </c>
      <c r="H2180" s="468">
        <v>0</v>
      </c>
      <c r="I2180" s="751"/>
      <c r="J2180" s="789">
        <f>(('Parâmetros financeiros Despesa'!E1626))</f>
        <v>0</v>
      </c>
      <c r="K2180" s="789">
        <f>('Parâmetros financeiros Despesa'!F1626)*2.05+(('Parâmetros financeiros Despesa'!F1626)*11.28)*(1+'Parâmetros financeiros Despesa'!F$4)*(1+'Parâmetros financeiros Despesa'!F$8)</f>
        <v>13.955830560223728</v>
      </c>
      <c r="L2180" s="799">
        <f t="shared" si="271"/>
        <v>5.3454685814306766E-6</v>
      </c>
      <c r="M2180" s="894"/>
      <c r="O2180" s="733"/>
    </row>
    <row r="2181" spans="1:20" s="115" customFormat="1" ht="15" customHeight="1" x14ac:dyDescent="0.25">
      <c r="A2181" s="396"/>
      <c r="B2181" s="1398" t="s">
        <v>9290</v>
      </c>
      <c r="C2181" s="1398"/>
      <c r="D2181" s="1398"/>
      <c r="E2181" s="854">
        <v>333901400000000</v>
      </c>
      <c r="F2181" s="855" t="s">
        <v>8994</v>
      </c>
      <c r="G2181" s="468">
        <v>40</v>
      </c>
      <c r="H2181" s="468">
        <v>0</v>
      </c>
      <c r="I2181" s="751"/>
      <c r="J2181" s="789">
        <f>(('Parâmetros financeiros Despesa'!E1627))</f>
        <v>0</v>
      </c>
      <c r="K2181" s="789">
        <f>('Parâmetros financeiros Despesa'!F1627)*2+(('Parâmetros financeiros Despesa'!F1627)*10)*(1+'Parâmetros financeiros Despesa'!F$4)*(1+'Parâmetros financeiros Despesa'!F$8)</f>
        <v>2510.9628652878946</v>
      </c>
      <c r="L2181" s="799">
        <f t="shared" si="271"/>
        <v>9.617681332267777E-4</v>
      </c>
      <c r="M2181" s="894"/>
      <c r="O2181" s="733"/>
    </row>
    <row r="2182" spans="1:20" s="115" customFormat="1" ht="15" customHeight="1" x14ac:dyDescent="0.25">
      <c r="B2182" s="879"/>
      <c r="C2182" s="879"/>
      <c r="D2182" s="880">
        <v>627500</v>
      </c>
      <c r="E2182" s="854">
        <v>333903000000000</v>
      </c>
      <c r="F2182" s="855" t="s">
        <v>8995</v>
      </c>
      <c r="G2182" s="468">
        <v>40</v>
      </c>
      <c r="H2182" s="468">
        <v>0</v>
      </c>
      <c r="I2182" s="751"/>
      <c r="J2182" s="789">
        <f>(('Parâmetros financeiros Despesa'!E1628))</f>
        <v>435.78</v>
      </c>
      <c r="K2182" s="789">
        <f>('Parâmetros financeiros Despesa'!F1628*(1+'Parâmetros financeiros Despesa'!F$4)*(1+'Parâmetros financeiros Despesa'!F$7))</f>
        <v>1635.4972500000001</v>
      </c>
      <c r="L2182" s="799">
        <f t="shared" si="271"/>
        <v>6.2644062115577311E-4</v>
      </c>
      <c r="M2182" s="894"/>
      <c r="N2182" s="396"/>
      <c r="O2182" s="463"/>
      <c r="R2182" s="463"/>
      <c r="S2182" s="463"/>
      <c r="T2182" s="463"/>
    </row>
    <row r="2183" spans="1:20" s="115" customFormat="1" ht="15" customHeight="1" x14ac:dyDescent="0.25">
      <c r="B2183" s="1004"/>
      <c r="C2183" s="1004"/>
      <c r="D2183" s="880">
        <v>627600</v>
      </c>
      <c r="E2183" s="854">
        <v>333903200000000</v>
      </c>
      <c r="F2183" s="855" t="s">
        <v>8982</v>
      </c>
      <c r="G2183" s="468">
        <v>40</v>
      </c>
      <c r="H2183" s="468">
        <v>0</v>
      </c>
      <c r="I2183" s="751"/>
      <c r="J2183" s="789">
        <f>(('Parâmetros financeiros Despesa'!E1629))</f>
        <v>0</v>
      </c>
      <c r="K2183" s="789">
        <f>('Parâmetros financeiros Despesa'!F1629*(1+'Parâmetros financeiros Despesa'!F$4)*(1+'Parâmetros financeiros Despesa'!F$7))</f>
        <v>545.16575</v>
      </c>
      <c r="L2183" s="799">
        <f t="shared" si="271"/>
        <v>2.0881354038525769E-4</v>
      </c>
      <c r="M2183" s="894"/>
      <c r="N2183" s="396"/>
      <c r="O2183" s="463"/>
      <c r="R2183" s="463"/>
      <c r="S2183" s="463"/>
      <c r="T2183" s="463"/>
    </row>
    <row r="2184" spans="1:20" s="115" customFormat="1" ht="15" customHeight="1" x14ac:dyDescent="0.25">
      <c r="B2184" s="1004"/>
      <c r="C2184" s="1004"/>
      <c r="D2184" s="880">
        <v>627700</v>
      </c>
      <c r="E2184" s="854">
        <v>333903300000000</v>
      </c>
      <c r="F2184" s="855" t="s">
        <v>9280</v>
      </c>
      <c r="G2184" s="468">
        <v>40</v>
      </c>
      <c r="H2184" s="468">
        <v>0</v>
      </c>
      <c r="I2184" s="751"/>
      <c r="J2184" s="789">
        <f>(('Parâmetros financeiros Despesa'!E1630))</f>
        <v>0</v>
      </c>
      <c r="K2184" s="789">
        <f>('Parâmetros financeiros Despesa'!F1630*(1+'Parâmetros financeiros Despesa'!F$4)*(1+'Parâmetros financeiros Despesa'!F$7))</f>
        <v>545.16575</v>
      </c>
      <c r="L2184" s="799">
        <f t="shared" si="271"/>
        <v>2.0881354038525769E-4</v>
      </c>
      <c r="M2184" s="894"/>
      <c r="N2184" s="396"/>
      <c r="O2184" s="463"/>
      <c r="R2184" s="463"/>
      <c r="S2184" s="463"/>
      <c r="T2184" s="463"/>
    </row>
    <row r="2185" spans="1:20" s="115" customFormat="1" ht="15" customHeight="1" x14ac:dyDescent="0.25">
      <c r="B2185" s="1004"/>
      <c r="C2185" s="1004"/>
      <c r="D2185" s="880">
        <v>627800</v>
      </c>
      <c r="E2185" s="854">
        <v>333903500000000</v>
      </c>
      <c r="F2185" s="855" t="s">
        <v>9281</v>
      </c>
      <c r="G2185" s="468">
        <v>40</v>
      </c>
      <c r="H2185" s="468">
        <v>0</v>
      </c>
      <c r="I2185" s="751"/>
      <c r="J2185" s="789">
        <f>(('Parâmetros financeiros Despesa'!E1631))</f>
        <v>0</v>
      </c>
      <c r="K2185" s="789">
        <f>('Parâmetros financeiros Despesa'!F1631*(1+'Parâmetros financeiros Despesa'!F$4)*(1+'Parâmetros financeiros Despesa'!F$7))</f>
        <v>545.16575</v>
      </c>
      <c r="L2185" s="799">
        <f t="shared" si="271"/>
        <v>2.0881354038525769E-4</v>
      </c>
      <c r="M2185" s="894"/>
      <c r="N2185" s="396"/>
      <c r="O2185" s="463"/>
      <c r="R2185" s="463"/>
      <c r="S2185" s="463"/>
      <c r="T2185" s="463"/>
    </row>
    <row r="2186" spans="1:20" s="115" customFormat="1" ht="15" customHeight="1" x14ac:dyDescent="0.25">
      <c r="B2186" s="1004"/>
      <c r="C2186" s="1004"/>
      <c r="D2186" s="880">
        <v>627900</v>
      </c>
      <c r="E2186" s="854">
        <v>333903600000000</v>
      </c>
      <c r="F2186" s="855" t="s">
        <v>9282</v>
      </c>
      <c r="G2186" s="468">
        <v>40</v>
      </c>
      <c r="H2186" s="468">
        <v>0</v>
      </c>
      <c r="I2186" s="751"/>
      <c r="J2186" s="789">
        <f>(('Parâmetros financeiros Despesa'!E1632))</f>
        <v>0</v>
      </c>
      <c r="K2186" s="789">
        <f>('Parâmetros financeiros Despesa'!F1632*(1+'Parâmetros financeiros Despesa'!F$4)*(1+'Parâmetros financeiros Despesa'!F$7))</f>
        <v>545.16575</v>
      </c>
      <c r="L2186" s="799">
        <f t="shared" si="271"/>
        <v>2.0881354038525769E-4</v>
      </c>
      <c r="M2186" s="894"/>
      <c r="N2186" s="396"/>
      <c r="O2186" s="463"/>
      <c r="R2186" s="463"/>
      <c r="S2186" s="463"/>
      <c r="T2186" s="463"/>
    </row>
    <row r="2187" spans="1:20" s="115" customFormat="1" ht="15" customHeight="1" x14ac:dyDescent="0.25">
      <c r="B2187" s="1004"/>
      <c r="C2187" s="1004"/>
      <c r="D2187" s="880">
        <v>628000</v>
      </c>
      <c r="E2187" s="854">
        <v>333903900000000</v>
      </c>
      <c r="F2187" s="855" t="s">
        <v>9283</v>
      </c>
      <c r="G2187" s="468">
        <v>40</v>
      </c>
      <c r="H2187" s="468">
        <v>0</v>
      </c>
      <c r="I2187" s="751"/>
      <c r="J2187" s="789">
        <f>(('Parâmetros financeiros Despesa'!E1633))</f>
        <v>570</v>
      </c>
      <c r="K2187" s="789">
        <f>('Parâmetros financeiros Despesa'!F1633*(1+'Parâmetros financeiros Despesa'!F$4)*(1+'Parâmetros financeiros Despesa'!F$7))</f>
        <v>872.26520000000005</v>
      </c>
      <c r="L2187" s="799">
        <f t="shared" si="271"/>
        <v>3.3410166461641237E-4</v>
      </c>
      <c r="M2187" s="894"/>
      <c r="N2187" s="396"/>
      <c r="O2187" s="463"/>
      <c r="R2187" s="463"/>
      <c r="S2187" s="463"/>
      <c r="T2187" s="463"/>
    </row>
    <row r="2188" spans="1:20" s="115" customFormat="1" ht="15" customHeight="1" x14ac:dyDescent="0.25">
      <c r="B2188" s="1004"/>
      <c r="C2188" s="1004"/>
      <c r="D2188" s="880">
        <v>628100</v>
      </c>
      <c r="E2188" s="854">
        <v>333904700000000</v>
      </c>
      <c r="F2188" s="855" t="s">
        <v>9284</v>
      </c>
      <c r="G2188" s="468">
        <v>40</v>
      </c>
      <c r="H2188" s="468">
        <v>0</v>
      </c>
      <c r="I2188" s="751"/>
      <c r="J2188" s="789">
        <f>(('Parâmetros financeiros Despesa'!E1634))</f>
        <v>0</v>
      </c>
      <c r="K2188" s="789">
        <f>('Parâmetros financeiros Despesa'!F1634*(1+'Parâmetros financeiros Despesa'!F$4)*(1+'Parâmetros financeiros Despesa'!F$7))</f>
        <v>109.03315000000001</v>
      </c>
      <c r="L2188" s="799">
        <f t="shared" si="271"/>
        <v>4.1762708077051546E-5</v>
      </c>
      <c r="M2188" s="894"/>
      <c r="N2188" s="396"/>
      <c r="O2188" s="463"/>
      <c r="R2188" s="463"/>
      <c r="S2188" s="463"/>
      <c r="T2188" s="463"/>
    </row>
    <row r="2189" spans="1:20" s="115" customFormat="1" ht="15" customHeight="1" x14ac:dyDescent="0.25">
      <c r="A2189" s="396"/>
      <c r="B2189" s="1398" t="s">
        <v>9293</v>
      </c>
      <c r="C2189" s="1398"/>
      <c r="D2189" s="1398"/>
      <c r="E2189" s="854">
        <v>333904900000000</v>
      </c>
      <c r="F2189" s="855" t="s">
        <v>8983</v>
      </c>
      <c r="G2189" s="468">
        <v>40</v>
      </c>
      <c r="H2189" s="468">
        <v>0</v>
      </c>
      <c r="I2189" s="751"/>
      <c r="J2189" s="789">
        <f>(('Parâmetros financeiros Despesa'!E1635))</f>
        <v>0</v>
      </c>
      <c r="K2189" s="789">
        <f>('Parâmetros financeiros Despesa'!F1635)*2+(('Parâmetros financeiros Despesa'!F1635)*10)*(1+'Parâmetros financeiros Despesa'!F$4)*(1+'Parâmetros financeiros Despesa'!F$8)</f>
        <v>12.554814326439475</v>
      </c>
      <c r="L2189" s="799">
        <f t="shared" si="271"/>
        <v>4.8088406661338892E-6</v>
      </c>
      <c r="M2189" s="894"/>
      <c r="O2189" s="733"/>
    </row>
    <row r="2190" spans="1:20" s="115" customFormat="1" ht="15" customHeight="1" x14ac:dyDescent="0.25">
      <c r="A2190" s="396"/>
      <c r="B2190" s="1398" t="s">
        <v>9294</v>
      </c>
      <c r="C2190" s="1398"/>
      <c r="D2190" s="1398"/>
      <c r="E2190" s="854">
        <v>333909300000000</v>
      </c>
      <c r="F2190" s="855" t="s">
        <v>8984</v>
      </c>
      <c r="G2190" s="468">
        <v>40</v>
      </c>
      <c r="H2190" s="468">
        <v>0</v>
      </c>
      <c r="I2190" s="751"/>
      <c r="J2190" s="789">
        <f>(('Parâmetros financeiros Despesa'!E1636))</f>
        <v>0</v>
      </c>
      <c r="K2190" s="789">
        <f>('Parâmetros financeiros Despesa'!F1636*(1+'Parâmetros financeiros Despesa'!F$4)*(1+'Parâmetros financeiros Despesa'!F$7))</f>
        <v>545.16575</v>
      </c>
      <c r="L2190" s="799">
        <f t="shared" si="271"/>
        <v>2.0881354038525769E-4</v>
      </c>
      <c r="M2190" s="894"/>
      <c r="O2190" s="733"/>
    </row>
    <row r="2191" spans="1:20" s="115" customFormat="1" ht="15" customHeight="1" x14ac:dyDescent="0.25">
      <c r="A2191" s="396"/>
      <c r="B2191" s="1398" t="s">
        <v>9295</v>
      </c>
      <c r="C2191" s="1398"/>
      <c r="D2191" s="1398"/>
      <c r="E2191" s="854">
        <v>333933000000000</v>
      </c>
      <c r="F2191" s="855" t="s">
        <v>8986</v>
      </c>
      <c r="G2191" s="468">
        <v>40</v>
      </c>
      <c r="H2191" s="468">
        <v>0</v>
      </c>
      <c r="I2191" s="751"/>
      <c r="J2191" s="789">
        <f>(('Parâmetros financeiros Despesa'!E1637))</f>
        <v>0</v>
      </c>
      <c r="K2191" s="789">
        <f>('Parâmetros financeiros Despesa'!F1637*(1+'Parâmetros financeiros Despesa'!F$4)*(1+'Parâmetros financeiros Despesa'!F$7))</f>
        <v>545.16575</v>
      </c>
      <c r="L2191" s="799">
        <f t="shared" si="271"/>
        <v>2.0881354038525769E-4</v>
      </c>
      <c r="M2191" s="894"/>
      <c r="O2191" s="733"/>
    </row>
    <row r="2192" spans="1:20" s="115" customFormat="1" ht="15" customHeight="1" x14ac:dyDescent="0.25">
      <c r="A2192" s="396"/>
      <c r="B2192" s="1004"/>
      <c r="C2192" s="1004"/>
      <c r="D2192" s="1004" t="s">
        <v>9296</v>
      </c>
      <c r="E2192" s="854">
        <v>333933900000000</v>
      </c>
      <c r="F2192" s="855" t="s">
        <v>9285</v>
      </c>
      <c r="G2192" s="468">
        <v>40</v>
      </c>
      <c r="H2192" s="468">
        <v>0</v>
      </c>
      <c r="I2192" s="751"/>
      <c r="J2192" s="789">
        <f>(('Parâmetros financeiros Despesa'!E1638))</f>
        <v>0</v>
      </c>
      <c r="K2192" s="789">
        <f>('Parâmetros financeiros Despesa'!F1638*(1+'Parâmetros financeiros Despesa'!F$4)*(1+'Parâmetros financeiros Despesa'!F$7))</f>
        <v>545.16575</v>
      </c>
      <c r="L2192" s="799">
        <f t="shared" si="271"/>
        <v>2.0881354038525769E-4</v>
      </c>
      <c r="M2192" s="894"/>
      <c r="O2192" s="733"/>
    </row>
    <row r="2193" spans="1:20" s="115" customFormat="1" ht="15" customHeight="1" x14ac:dyDescent="0.25">
      <c r="A2193" s="396"/>
      <c r="B2193" s="1398" t="s">
        <v>9297</v>
      </c>
      <c r="C2193" s="1398"/>
      <c r="D2193" s="1398"/>
      <c r="E2193" s="854">
        <v>344905200000000</v>
      </c>
      <c r="F2193" s="855" t="s">
        <v>8985</v>
      </c>
      <c r="G2193" s="468">
        <v>40</v>
      </c>
      <c r="H2193" s="468">
        <v>0</v>
      </c>
      <c r="I2193" s="751"/>
      <c r="J2193" s="789">
        <f>(('Parâmetros financeiros Despesa'!E1639))</f>
        <v>0</v>
      </c>
      <c r="K2193" s="789">
        <f>('Parâmetros financeiros Despesa'!F1639*(1+'Parâmetros financeiros Despesa'!F$4)*(1+'Parâmetros financeiros Despesa'!F$7))</f>
        <v>545.16575</v>
      </c>
      <c r="L2193" s="799">
        <f t="shared" si="271"/>
        <v>2.0881354038525769E-4</v>
      </c>
      <c r="M2193" s="894"/>
      <c r="O2193" s="733"/>
    </row>
    <row r="2194" spans="1:20" ht="15" customHeight="1" x14ac:dyDescent="0.25">
      <c r="A2194" s="397"/>
      <c r="B2194" s="1382" t="s">
        <v>8699</v>
      </c>
      <c r="C2194" s="1382"/>
      <c r="D2194" s="1382"/>
      <c r="E2194" s="1382"/>
      <c r="F2194" s="1382"/>
      <c r="G2194" s="405"/>
      <c r="H2194" s="405"/>
      <c r="I2194" s="428"/>
      <c r="J2194" s="406">
        <f t="shared" ref="J2194:K2196" si="273">J2195</f>
        <v>920.78500000000008</v>
      </c>
      <c r="K2194" s="406">
        <f t="shared" si="273"/>
        <v>5693.5248736277326</v>
      </c>
      <c r="L2194" s="453">
        <f t="shared" si="271"/>
        <v>2.1807772886204497E-3</v>
      </c>
    </row>
    <row r="2195" spans="1:20" ht="15" customHeight="1" x14ac:dyDescent="0.25">
      <c r="A2195" s="397"/>
      <c r="B2195" s="1383" t="s">
        <v>8988</v>
      </c>
      <c r="C2195" s="1383"/>
      <c r="D2195" s="1383"/>
      <c r="E2195" s="1383"/>
      <c r="F2195" s="1383"/>
      <c r="G2195" s="407"/>
      <c r="H2195" s="407"/>
      <c r="I2195" s="429"/>
      <c r="J2195" s="408">
        <f t="shared" si="273"/>
        <v>920.78500000000008</v>
      </c>
      <c r="K2195" s="408">
        <f t="shared" si="273"/>
        <v>5693.5248736277326</v>
      </c>
      <c r="L2195" s="454">
        <f t="shared" si="271"/>
        <v>2.1807772886204497E-3</v>
      </c>
    </row>
    <row r="2196" spans="1:20" ht="15" customHeight="1" x14ac:dyDescent="0.25">
      <c r="A2196" s="397"/>
      <c r="B2196" s="1385" t="s">
        <v>8698</v>
      </c>
      <c r="C2196" s="1385"/>
      <c r="D2196" s="1385"/>
      <c r="E2196" s="1385"/>
      <c r="F2196" s="1385"/>
      <c r="G2196" s="401"/>
      <c r="H2196" s="401"/>
      <c r="I2196" s="426"/>
      <c r="J2196" s="402">
        <f t="shared" si="273"/>
        <v>920.78500000000008</v>
      </c>
      <c r="K2196" s="402">
        <f t="shared" si="273"/>
        <v>5693.5248736277326</v>
      </c>
      <c r="L2196" s="451">
        <f t="shared" si="271"/>
        <v>2.1807772886204497E-3</v>
      </c>
    </row>
    <row r="2197" spans="1:20" ht="15" customHeight="1" x14ac:dyDescent="0.25">
      <c r="A2197" s="397"/>
      <c r="B2197" s="1386" t="s">
        <v>8963</v>
      </c>
      <c r="C2197" s="1386"/>
      <c r="D2197" s="1386"/>
      <c r="E2197" s="1386"/>
      <c r="F2197" s="1386"/>
      <c r="G2197" s="403"/>
      <c r="H2197" s="403"/>
      <c r="I2197" s="427"/>
      <c r="J2197" s="404">
        <f>SUM(J2198:J2208)-0.02</f>
        <v>920.78500000000008</v>
      </c>
      <c r="K2197" s="404">
        <f>SUM(K2198:K2208)+0.04</f>
        <v>5693.5248736277326</v>
      </c>
      <c r="L2197" s="452">
        <f t="shared" ref="L2197:L2198" si="274">K2197/K$2234</f>
        <v>2.1807772886204497E-3</v>
      </c>
    </row>
    <row r="2198" spans="1:20" s="115" customFormat="1" ht="15" customHeight="1" x14ac:dyDescent="0.25">
      <c r="A2198" s="396"/>
      <c r="B2198" s="1398" t="s">
        <v>9304</v>
      </c>
      <c r="C2198" s="1398"/>
      <c r="D2198" s="1398"/>
      <c r="E2198" s="854">
        <v>333901400000000</v>
      </c>
      <c r="F2198" s="855" t="s">
        <v>8989</v>
      </c>
      <c r="G2198" s="468">
        <v>40</v>
      </c>
      <c r="H2198" s="468">
        <v>0</v>
      </c>
      <c r="I2198" s="751"/>
      <c r="J2198" s="789">
        <f>('Parâmetros financeiros Despesa'!E1641)</f>
        <v>648</v>
      </c>
      <c r="K2198" s="789">
        <f>('Parâmetros financeiros Despesa'!F1641)*2+(('Parâmetros financeiros Despesa'!F1641)*10)*(1+'Parâmetros financeiros Despesa'!F$4)*(1+'Parâmetros financeiros Despesa'!F$8)</f>
        <v>677.95997362773164</v>
      </c>
      <c r="L2198" s="799">
        <f t="shared" si="274"/>
        <v>2.5967739597123002E-4</v>
      </c>
      <c r="M2198" s="894"/>
      <c r="O2198" s="733"/>
    </row>
    <row r="2199" spans="1:20" s="115" customFormat="1" ht="15" customHeight="1" x14ac:dyDescent="0.25">
      <c r="B2199" s="879"/>
      <c r="C2199" s="879"/>
      <c r="D2199" s="880">
        <v>629100</v>
      </c>
      <c r="E2199" s="854">
        <v>333903000000000</v>
      </c>
      <c r="F2199" s="855" t="s">
        <v>8990</v>
      </c>
      <c r="G2199" s="468">
        <v>40</v>
      </c>
      <c r="H2199" s="468">
        <v>0</v>
      </c>
      <c r="I2199" s="751"/>
      <c r="J2199" s="789">
        <f>('Parâmetros financeiros Despesa'!E1642)</f>
        <v>272.80500000000001</v>
      </c>
      <c r="K2199" s="789">
        <f>('Parâmetros financeiros Despesa'!F1642*(1+'Parâmetros financeiros Despesa'!F$4)*(1+'Parâmetros financeiros Despesa'!F$7))</f>
        <v>545.16575</v>
      </c>
      <c r="L2199" s="799">
        <f t="shared" ref="L2199:L2208" si="275">K2199/K$2234</f>
        <v>2.0881354038525769E-4</v>
      </c>
      <c r="M2199" s="894"/>
      <c r="N2199" s="396"/>
      <c r="O2199" s="463"/>
      <c r="R2199" s="463"/>
      <c r="S2199" s="463"/>
      <c r="T2199" s="463"/>
    </row>
    <row r="2200" spans="1:20" s="115" customFormat="1" ht="15" customHeight="1" x14ac:dyDescent="0.25">
      <c r="B2200" s="1004"/>
      <c r="C2200" s="1004"/>
      <c r="D2200" s="880">
        <v>629200</v>
      </c>
      <c r="E2200" s="854">
        <v>333903200000000</v>
      </c>
      <c r="F2200" s="855" t="s">
        <v>8991</v>
      </c>
      <c r="G2200" s="468">
        <v>40</v>
      </c>
      <c r="H2200" s="468">
        <v>0</v>
      </c>
      <c r="I2200" s="751"/>
      <c r="J2200" s="789">
        <f>('Parâmetros financeiros Despesa'!E1643)</f>
        <v>0</v>
      </c>
      <c r="K2200" s="789">
        <f>('Parâmetros financeiros Despesa'!F1643*(1+'Parâmetros financeiros Despesa'!F$4)*(1+'Parâmetros financeiros Despesa'!F$7))</f>
        <v>545.16575</v>
      </c>
      <c r="L2200" s="799">
        <f t="shared" si="275"/>
        <v>2.0881354038525769E-4</v>
      </c>
      <c r="M2200" s="894"/>
      <c r="N2200" s="396"/>
      <c r="O2200" s="463"/>
      <c r="R2200" s="463"/>
      <c r="S2200" s="463"/>
      <c r="T2200" s="463"/>
    </row>
    <row r="2201" spans="1:20" s="115" customFormat="1" ht="15" customHeight="1" x14ac:dyDescent="0.25">
      <c r="B2201" s="1004"/>
      <c r="C2201" s="1004"/>
      <c r="D2201" s="880">
        <v>629300</v>
      </c>
      <c r="E2201" s="854">
        <v>333903300000000</v>
      </c>
      <c r="F2201" s="855" t="s">
        <v>9302</v>
      </c>
      <c r="G2201" s="468">
        <v>40</v>
      </c>
      <c r="H2201" s="468">
        <v>0</v>
      </c>
      <c r="I2201" s="751"/>
      <c r="J2201" s="789">
        <f>('Parâmetros financeiros Despesa'!E1644)</f>
        <v>0</v>
      </c>
      <c r="K2201" s="789">
        <f>('Parâmetros financeiros Despesa'!F1644*(1+'Parâmetros financeiros Despesa'!F$4)*(1+'Parâmetros financeiros Despesa'!F$7))</f>
        <v>545.16575</v>
      </c>
      <c r="L2201" s="799">
        <f t="shared" si="275"/>
        <v>2.0881354038525769E-4</v>
      </c>
      <c r="M2201" s="894"/>
      <c r="N2201" s="396"/>
      <c r="O2201" s="463"/>
      <c r="R2201" s="463"/>
      <c r="S2201" s="463"/>
      <c r="T2201" s="463"/>
    </row>
    <row r="2202" spans="1:20" s="115" customFormat="1" ht="15" customHeight="1" x14ac:dyDescent="0.25">
      <c r="B2202" s="1004"/>
      <c r="C2202" s="1004"/>
      <c r="D2202" s="880">
        <v>629400</v>
      </c>
      <c r="E2202" s="854">
        <v>333903600000000</v>
      </c>
      <c r="F2202" s="855" t="s">
        <v>9301</v>
      </c>
      <c r="G2202" s="468">
        <v>40</v>
      </c>
      <c r="H2202" s="468">
        <v>0</v>
      </c>
      <c r="I2202" s="751"/>
      <c r="J2202" s="789">
        <f>('Parâmetros financeiros Despesa'!E1645)</f>
        <v>0</v>
      </c>
      <c r="K2202" s="789">
        <f>('Parâmetros financeiros Despesa'!F1645*(1+'Parâmetros financeiros Despesa'!F$4)*(1+'Parâmetros financeiros Despesa'!F$7))</f>
        <v>545.16575</v>
      </c>
      <c r="L2202" s="799">
        <f t="shared" si="275"/>
        <v>2.0881354038525769E-4</v>
      </c>
      <c r="M2202" s="894"/>
      <c r="N2202" s="396"/>
      <c r="O2202" s="463"/>
      <c r="R2202" s="463"/>
      <c r="S2202" s="463"/>
      <c r="T2202" s="463"/>
    </row>
    <row r="2203" spans="1:20" s="115" customFormat="1" ht="15" customHeight="1" x14ac:dyDescent="0.25">
      <c r="B2203" s="1004"/>
      <c r="C2203" s="1004"/>
      <c r="D2203" s="880">
        <v>629500</v>
      </c>
      <c r="E2203" s="854">
        <v>333903900000000</v>
      </c>
      <c r="F2203" s="855" t="s">
        <v>9300</v>
      </c>
      <c r="G2203" s="468">
        <v>40</v>
      </c>
      <c r="H2203" s="468">
        <v>0</v>
      </c>
      <c r="I2203" s="751"/>
      <c r="J2203" s="789">
        <f>('Parâmetros financeiros Despesa'!E1646)</f>
        <v>0</v>
      </c>
      <c r="K2203" s="789">
        <f>('Parâmetros financeiros Despesa'!F1646*(1+'Parâmetros financeiros Despesa'!F$4)*(1+'Parâmetros financeiros Despesa'!F$7))</f>
        <v>545.16575</v>
      </c>
      <c r="L2203" s="799">
        <f t="shared" si="275"/>
        <v>2.0881354038525769E-4</v>
      </c>
      <c r="M2203" s="894"/>
      <c r="N2203" s="396"/>
      <c r="O2203" s="463"/>
      <c r="R2203" s="463"/>
      <c r="S2203" s="463"/>
      <c r="T2203" s="463"/>
    </row>
    <row r="2204" spans="1:20" s="115" customFormat="1" ht="15" customHeight="1" x14ac:dyDescent="0.25">
      <c r="B2204" s="1004"/>
      <c r="C2204" s="1004"/>
      <c r="D2204" s="880">
        <v>629600</v>
      </c>
      <c r="E2204" s="854">
        <v>333904700000000</v>
      </c>
      <c r="F2204" s="855" t="s">
        <v>9299</v>
      </c>
      <c r="G2204" s="468">
        <v>40</v>
      </c>
      <c r="H2204" s="468">
        <v>0</v>
      </c>
      <c r="I2204" s="751"/>
      <c r="J2204" s="789">
        <f>('Parâmetros financeiros Despesa'!E1647)</f>
        <v>0</v>
      </c>
      <c r="K2204" s="789">
        <f>('Parâmetros financeiros Despesa'!F1647*(1+'Parâmetros financeiros Despesa'!F$4)*(1+'Parâmetros financeiros Despesa'!F$7))</f>
        <v>109.03315000000001</v>
      </c>
      <c r="L2204" s="799">
        <f t="shared" si="275"/>
        <v>4.1762708077051546E-5</v>
      </c>
      <c r="M2204" s="894"/>
      <c r="N2204" s="396"/>
      <c r="O2204" s="463"/>
      <c r="R2204" s="463"/>
      <c r="S2204" s="463"/>
      <c r="T2204" s="463"/>
    </row>
    <row r="2205" spans="1:20" s="115" customFormat="1" ht="15" customHeight="1" x14ac:dyDescent="0.25">
      <c r="A2205" s="396"/>
      <c r="B2205" s="1398" t="s">
        <v>9305</v>
      </c>
      <c r="C2205" s="1398"/>
      <c r="D2205" s="1398"/>
      <c r="E2205" s="854">
        <v>333909300000000</v>
      </c>
      <c r="F2205" s="855" t="s">
        <v>9298</v>
      </c>
      <c r="G2205" s="468">
        <v>40</v>
      </c>
      <c r="H2205" s="468">
        <v>0</v>
      </c>
      <c r="I2205" s="751"/>
      <c r="J2205" s="789">
        <f>('Parâmetros financeiros Despesa'!E1648)</f>
        <v>0</v>
      </c>
      <c r="K2205" s="789">
        <f>('Parâmetros financeiros Despesa'!F1648*(1+'Parâmetros financeiros Despesa'!F$4)*(1+'Parâmetros financeiros Despesa'!F$7))</f>
        <v>545.16575</v>
      </c>
      <c r="L2205" s="799">
        <f t="shared" si="275"/>
        <v>2.0881354038525769E-4</v>
      </c>
      <c r="M2205" s="894"/>
      <c r="O2205" s="733"/>
    </row>
    <row r="2206" spans="1:20" s="115" customFormat="1" ht="15" customHeight="1" x14ac:dyDescent="0.25">
      <c r="A2206" s="396"/>
      <c r="B2206" s="1398" t="s">
        <v>9306</v>
      </c>
      <c r="C2206" s="1398"/>
      <c r="D2206" s="1398"/>
      <c r="E2206" s="854">
        <v>333933000000000</v>
      </c>
      <c r="F2206" s="855" t="s">
        <v>8992</v>
      </c>
      <c r="G2206" s="468">
        <v>40</v>
      </c>
      <c r="H2206" s="468">
        <v>0</v>
      </c>
      <c r="I2206" s="751"/>
      <c r="J2206" s="789">
        <f>('Parâmetros financeiros Despesa'!E1649)</f>
        <v>0</v>
      </c>
      <c r="K2206" s="789">
        <f>('Parâmetros financeiros Despesa'!F1649*(1+'Parâmetros financeiros Despesa'!F$4)*(1+'Parâmetros financeiros Despesa'!F$7))</f>
        <v>545.16575</v>
      </c>
      <c r="L2206" s="799">
        <f t="shared" si="275"/>
        <v>2.0881354038525769E-4</v>
      </c>
      <c r="M2206" s="894"/>
      <c r="O2206" s="733"/>
    </row>
    <row r="2207" spans="1:20" s="115" customFormat="1" ht="15" customHeight="1" x14ac:dyDescent="0.25">
      <c r="A2207" s="396"/>
      <c r="B2207" s="1004"/>
      <c r="C2207" s="1004"/>
      <c r="D2207" s="1004" t="s">
        <v>9307</v>
      </c>
      <c r="E2207" s="854">
        <v>333933900000000</v>
      </c>
      <c r="F2207" s="855" t="s">
        <v>9303</v>
      </c>
      <c r="G2207" s="468">
        <v>40</v>
      </c>
      <c r="H2207" s="468">
        <v>0</v>
      </c>
      <c r="I2207" s="751"/>
      <c r="J2207" s="789">
        <f>('Parâmetros financeiros Despesa'!E1650)</f>
        <v>0</v>
      </c>
      <c r="K2207" s="789">
        <f>('Parâmetros financeiros Despesa'!F1650*(1+'Parâmetros financeiros Despesa'!F$4)*(1+'Parâmetros financeiros Despesa'!F$7))</f>
        <v>545.16575</v>
      </c>
      <c r="L2207" s="799">
        <f t="shared" si="275"/>
        <v>2.0881354038525769E-4</v>
      </c>
      <c r="M2207" s="894"/>
      <c r="O2207" s="733"/>
    </row>
    <row r="2208" spans="1:20" s="115" customFormat="1" ht="15" customHeight="1" x14ac:dyDescent="0.25">
      <c r="A2208" s="396"/>
      <c r="B2208" s="1398" t="s">
        <v>9308</v>
      </c>
      <c r="C2208" s="1398"/>
      <c r="D2208" s="1398"/>
      <c r="E2208" s="854">
        <v>344905200000000</v>
      </c>
      <c r="F2208" s="855" t="s">
        <v>8993</v>
      </c>
      <c r="G2208" s="468">
        <v>40</v>
      </c>
      <c r="H2208" s="468">
        <v>0</v>
      </c>
      <c r="I2208" s="751"/>
      <c r="J2208" s="789">
        <f>('Parâmetros financeiros Despesa'!E1651)</f>
        <v>0</v>
      </c>
      <c r="K2208" s="789">
        <f>('Parâmetros financeiros Despesa'!F1651*(1+'Parâmetros financeiros Despesa'!F$4)*(1+'Parâmetros financeiros Despesa'!F$7))</f>
        <v>545.16575</v>
      </c>
      <c r="L2208" s="799">
        <f t="shared" si="275"/>
        <v>2.0881354038525769E-4</v>
      </c>
      <c r="M2208" s="894"/>
      <c r="O2208" s="733"/>
    </row>
    <row r="2209" spans="1:20" ht="15" customHeight="1" x14ac:dyDescent="0.25">
      <c r="A2209" s="397"/>
      <c r="B2209" s="1382" t="s">
        <v>8699</v>
      </c>
      <c r="C2209" s="1382"/>
      <c r="D2209" s="1382"/>
      <c r="E2209" s="1382"/>
      <c r="F2209" s="1382"/>
      <c r="G2209" s="405"/>
      <c r="H2209" s="405"/>
      <c r="I2209" s="428"/>
      <c r="J2209" s="406">
        <f t="shared" ref="J2209:K2211" si="276">J2210</f>
        <v>24013.057700000001</v>
      </c>
      <c r="K2209" s="406">
        <f t="shared" si="276"/>
        <v>45115.050530378605</v>
      </c>
      <c r="L2209" s="453">
        <f>K2209/K$2234</f>
        <v>1.7280310485220603E-2</v>
      </c>
    </row>
    <row r="2210" spans="1:20" ht="15" customHeight="1" x14ac:dyDescent="0.25">
      <c r="A2210" s="397"/>
      <c r="B2210" s="1383" t="s">
        <v>8199</v>
      </c>
      <c r="C2210" s="1383"/>
      <c r="D2210" s="1383"/>
      <c r="E2210" s="1383"/>
      <c r="F2210" s="1383"/>
      <c r="G2210" s="407"/>
      <c r="H2210" s="407"/>
      <c r="I2210" s="429"/>
      <c r="J2210" s="408">
        <f t="shared" si="276"/>
        <v>24013.057700000001</v>
      </c>
      <c r="K2210" s="408">
        <f t="shared" si="276"/>
        <v>45115.050530378605</v>
      </c>
      <c r="L2210" s="454">
        <f>K2210/K$2234</f>
        <v>1.7280310485220603E-2</v>
      </c>
    </row>
    <row r="2211" spans="1:20" ht="15" customHeight="1" x14ac:dyDescent="0.25">
      <c r="A2211" s="397"/>
      <c r="B2211" s="1385" t="s">
        <v>8698</v>
      </c>
      <c r="C2211" s="1385"/>
      <c r="D2211" s="1385"/>
      <c r="E2211" s="1385"/>
      <c r="F2211" s="1385"/>
      <c r="G2211" s="401"/>
      <c r="H2211" s="401"/>
      <c r="I2211" s="426"/>
      <c r="J2211" s="402">
        <f t="shared" si="276"/>
        <v>24013.057700000001</v>
      </c>
      <c r="K2211" s="402">
        <f t="shared" si="276"/>
        <v>45115.050530378605</v>
      </c>
      <c r="L2211" s="451">
        <f>K2211/K$2234</f>
        <v>1.7280310485220603E-2</v>
      </c>
    </row>
    <row r="2212" spans="1:20" ht="15" customHeight="1" x14ac:dyDescent="0.25">
      <c r="A2212" s="397"/>
      <c r="B2212" s="1386" t="s">
        <v>8998</v>
      </c>
      <c r="C2212" s="1386"/>
      <c r="D2212" s="1386"/>
      <c r="E2212" s="1386"/>
      <c r="F2212" s="1386"/>
      <c r="G2212" s="403"/>
      <c r="H2212" s="403"/>
      <c r="I2212" s="427"/>
      <c r="J2212" s="404">
        <f>SUM(J2213:J2229)</f>
        <v>24013.057700000001</v>
      </c>
      <c r="K2212" s="404">
        <f>SUM(K2213:K2229)+0.05</f>
        <v>45115.050530378605</v>
      </c>
      <c r="L2212" s="452">
        <f>K2212/K$2234</f>
        <v>1.7280310485220603E-2</v>
      </c>
    </row>
    <row r="2213" spans="1:20" s="115" customFormat="1" ht="15" customHeight="1" x14ac:dyDescent="0.25">
      <c r="A2213" s="396"/>
      <c r="B2213" s="1398" t="s">
        <v>9309</v>
      </c>
      <c r="C2213" s="1398"/>
      <c r="D2213" s="1398"/>
      <c r="E2213" s="854">
        <v>331900400000000</v>
      </c>
      <c r="F2213" s="855" t="s">
        <v>9018</v>
      </c>
      <c r="G2213" s="468">
        <v>40</v>
      </c>
      <c r="H2213" s="468">
        <v>0</v>
      </c>
      <c r="I2213" s="751"/>
      <c r="J2213" s="789">
        <f>(('Parâmetros financeiros Despesa'!E1653))</f>
        <v>0</v>
      </c>
      <c r="K2213" s="789">
        <f>(('Parâmetros financeiros Despesa'!F1653)*2.05+(('Parâmetros financeiros Despesa'!F1653)*11.28)*(1+'Parâmetros financeiros Despesa'!F$4)*(1+'Parâmetros financeiros Despesa'!F$8))*(1+'Parâmetros financeiros Despesa'!F$80)</f>
        <v>17.278630081629636</v>
      </c>
      <c r="L2213" s="799">
        <f>K2213/K$2234</f>
        <v>6.6181925778578327E-6</v>
      </c>
      <c r="M2213" s="894"/>
      <c r="O2213" s="733"/>
    </row>
    <row r="2214" spans="1:20" s="115" customFormat="1" ht="15" customHeight="1" x14ac:dyDescent="0.25">
      <c r="A2214" s="396"/>
      <c r="B2214" s="1398" t="s">
        <v>9310</v>
      </c>
      <c r="C2214" s="1398"/>
      <c r="D2214" s="1398"/>
      <c r="E2214" s="854">
        <v>331901100000000</v>
      </c>
      <c r="F2214" s="855" t="s">
        <v>9019</v>
      </c>
      <c r="G2214" s="468">
        <v>40</v>
      </c>
      <c r="H2214" s="468">
        <v>0</v>
      </c>
      <c r="I2214" s="751"/>
      <c r="J2214" s="789">
        <f>(('Parâmetros financeiros Despesa'!E1654))</f>
        <v>23549.977699999999</v>
      </c>
      <c r="K2214" s="789">
        <f>('Parâmetros financeiros Despesa'!F1654)*2.05+(('Parâmetros financeiros Despesa'!F1654)*11.28)*(1+'Parâmetros financeiros Despesa'!F$4)*(1+'Parâmetros financeiros Despesa'!F$8)</f>
        <v>24655.626292441659</v>
      </c>
      <c r="L2214" s="799">
        <f t="shared" ref="L2214:L2229" si="277">K2214/K$2234</f>
        <v>9.4437858881277637E-3</v>
      </c>
      <c r="M2214" s="894"/>
      <c r="O2214" s="733"/>
    </row>
    <row r="2215" spans="1:20" s="115" customFormat="1" ht="15" customHeight="1" x14ac:dyDescent="0.25">
      <c r="A2215" s="396"/>
      <c r="B2215" s="1398" t="s">
        <v>9311</v>
      </c>
      <c r="C2215" s="1398"/>
      <c r="D2215" s="1398"/>
      <c r="E2215" s="854">
        <v>331901300000000</v>
      </c>
      <c r="F2215" s="855" t="s">
        <v>9020</v>
      </c>
      <c r="G2215" s="468">
        <v>40</v>
      </c>
      <c r="H2215" s="468">
        <v>0</v>
      </c>
      <c r="I2215" s="751"/>
      <c r="J2215" s="789">
        <f>(('Parâmetros financeiros Despesa'!E1655))</f>
        <v>0</v>
      </c>
      <c r="K2215" s="789">
        <f>(K2216+K2214)*'Parâmetros financeiros Despesa'!F80</f>
        <v>6202.6366386131949</v>
      </c>
      <c r="L2215" s="799">
        <f t="shared" si="277"/>
        <v>2.3757811568906073E-3</v>
      </c>
      <c r="M2215" s="894"/>
      <c r="O2215" s="733"/>
    </row>
    <row r="2216" spans="1:20" s="115" customFormat="1" ht="15" customHeight="1" x14ac:dyDescent="0.25">
      <c r="A2216" s="396"/>
      <c r="B2216" s="1398" t="s">
        <v>9312</v>
      </c>
      <c r="C2216" s="1398"/>
      <c r="D2216" s="1398"/>
      <c r="E2216" s="854">
        <v>331901600000000</v>
      </c>
      <c r="F2216" s="855" t="s">
        <v>9021</v>
      </c>
      <c r="G2216" s="468">
        <v>40</v>
      </c>
      <c r="H2216" s="468">
        <v>0</v>
      </c>
      <c r="I2216" s="751"/>
      <c r="J2216" s="789">
        <f>(('Parâmetros financeiros Despesa'!E1656))</f>
        <v>0</v>
      </c>
      <c r="K2216" s="789">
        <f>('Parâmetros financeiros Despesa'!F1656)*2.05+(('Parâmetros financeiros Despesa'!F1656)*11.28)*(1+'Parâmetros financeiros Despesa'!F$4)*(1+'Parâmetros financeiros Despesa'!F$8)</f>
        <v>1395.5830560223726</v>
      </c>
      <c r="L2216" s="799">
        <f t="shared" si="277"/>
        <v>5.3454685814306767E-4</v>
      </c>
      <c r="M2216" s="894"/>
      <c r="O2216" s="733"/>
    </row>
    <row r="2217" spans="1:20" s="115" customFormat="1" ht="15" customHeight="1" x14ac:dyDescent="0.25">
      <c r="A2217" s="396"/>
      <c r="B2217" s="1398" t="s">
        <v>9313</v>
      </c>
      <c r="C2217" s="1398"/>
      <c r="D2217" s="1398"/>
      <c r="E2217" s="854">
        <v>333901400000000</v>
      </c>
      <c r="F2217" s="855" t="s">
        <v>9022</v>
      </c>
      <c r="G2217" s="468">
        <v>40</v>
      </c>
      <c r="H2217" s="468">
        <v>0</v>
      </c>
      <c r="I2217" s="751"/>
      <c r="J2217" s="789">
        <f>(('Parâmetros financeiros Despesa'!E1657))</f>
        <v>0</v>
      </c>
      <c r="K2217" s="789">
        <f>('Parâmetros financeiros Despesa'!F1657)*2+(('Parâmetros financeiros Despesa'!F1666)*10)*(1+'Parâmetros financeiros Despesa'!F$4)*(1+'Parâmetros financeiros Despesa'!F$8)</f>
        <v>5755.4071632197383</v>
      </c>
      <c r="L2217" s="799">
        <f t="shared" si="277"/>
        <v>2.2044799147976305E-3</v>
      </c>
      <c r="M2217" s="894"/>
      <c r="O2217" s="733"/>
    </row>
    <row r="2218" spans="1:20" s="115" customFormat="1" ht="15" customHeight="1" x14ac:dyDescent="0.25">
      <c r="B2218" s="879"/>
      <c r="C2218" s="879"/>
      <c r="D2218" s="880">
        <v>631500</v>
      </c>
      <c r="E2218" s="854">
        <v>333903000000000</v>
      </c>
      <c r="F2218" s="855" t="s">
        <v>9023</v>
      </c>
      <c r="G2218" s="468">
        <v>40</v>
      </c>
      <c r="H2218" s="468">
        <v>0</v>
      </c>
      <c r="I2218" s="751"/>
      <c r="J2218" s="789">
        <f>(('Parâmetros financeiros Despesa'!E1658))</f>
        <v>0</v>
      </c>
      <c r="K2218" s="789">
        <f>('Parâmetros financeiros Despesa'!F1658)*(1+'Parâmetros financeiros Despesa'!F$4)*(1+'Parâmetros financeiros Despesa'!F$7)</f>
        <v>545.16575</v>
      </c>
      <c r="L2218" s="799">
        <f t="shared" si="277"/>
        <v>2.0881354038525769E-4</v>
      </c>
      <c r="M2218" s="894"/>
      <c r="N2218" s="396"/>
      <c r="O2218" s="463"/>
      <c r="R2218" s="463"/>
      <c r="S2218" s="463"/>
      <c r="T2218" s="463"/>
    </row>
    <row r="2219" spans="1:20" s="115" customFormat="1" ht="15" customHeight="1" x14ac:dyDescent="0.25">
      <c r="B2219" s="1004"/>
      <c r="C2219" s="1004"/>
      <c r="D2219" s="880">
        <v>631600</v>
      </c>
      <c r="E2219" s="854">
        <v>333903200000000</v>
      </c>
      <c r="F2219" s="855" t="s">
        <v>9024</v>
      </c>
      <c r="G2219" s="468">
        <v>40</v>
      </c>
      <c r="H2219" s="468">
        <v>0</v>
      </c>
      <c r="I2219" s="751"/>
      <c r="J2219" s="789">
        <f>(('Parâmetros financeiros Despesa'!E1659))</f>
        <v>0</v>
      </c>
      <c r="K2219" s="789">
        <f>('Parâmetros financeiros Despesa'!F1659)*(1+'Parâmetros financeiros Despesa'!F$4)*(1+'Parâmetros financeiros Despesa'!F$7)</f>
        <v>545.16575</v>
      </c>
      <c r="L2219" s="799">
        <f t="shared" si="277"/>
        <v>2.0881354038525769E-4</v>
      </c>
      <c r="M2219" s="894"/>
      <c r="N2219" s="396"/>
      <c r="O2219" s="463"/>
      <c r="R2219" s="463"/>
      <c r="S2219" s="463"/>
      <c r="T2219" s="463"/>
    </row>
    <row r="2220" spans="1:20" s="115" customFormat="1" ht="15" customHeight="1" x14ac:dyDescent="0.25">
      <c r="B2220" s="1004"/>
      <c r="C2220" s="1004"/>
      <c r="D2220" s="880">
        <v>631700</v>
      </c>
      <c r="E2220" s="854">
        <v>333903300000000</v>
      </c>
      <c r="F2220" s="855" t="s">
        <v>9314</v>
      </c>
      <c r="G2220" s="468">
        <v>40</v>
      </c>
      <c r="H2220" s="468">
        <v>0</v>
      </c>
      <c r="I2220" s="751"/>
      <c r="J2220" s="789">
        <f>(('Parâmetros financeiros Despesa'!E1660))</f>
        <v>0</v>
      </c>
      <c r="K2220" s="789">
        <f>('Parâmetros financeiros Despesa'!F1660)*(1+'Parâmetros financeiros Despesa'!F$4)*(1+'Parâmetros financeiros Despesa'!F$7)</f>
        <v>545.16575</v>
      </c>
      <c r="L2220" s="799">
        <f t="shared" si="277"/>
        <v>2.0881354038525769E-4</v>
      </c>
      <c r="M2220" s="894"/>
      <c r="N2220" s="396"/>
      <c r="O2220" s="463"/>
      <c r="R2220" s="463"/>
      <c r="S2220" s="463"/>
      <c r="T2220" s="463"/>
    </row>
    <row r="2221" spans="1:20" s="115" customFormat="1" ht="15" customHeight="1" x14ac:dyDescent="0.25">
      <c r="B2221" s="1004"/>
      <c r="C2221" s="1004"/>
      <c r="D2221" s="880">
        <v>631800</v>
      </c>
      <c r="E2221" s="854">
        <v>333903500000000</v>
      </c>
      <c r="F2221" s="855" t="s">
        <v>9318</v>
      </c>
      <c r="G2221" s="468">
        <v>40</v>
      </c>
      <c r="H2221" s="468">
        <v>0</v>
      </c>
      <c r="I2221" s="751"/>
      <c r="J2221" s="789">
        <f>(('Parâmetros financeiros Despesa'!E1661))</f>
        <v>0</v>
      </c>
      <c r="K2221" s="789">
        <f>('Parâmetros financeiros Despesa'!F1661)*(1+'Parâmetros financeiros Despesa'!F$4)*(1+'Parâmetros financeiros Despesa'!F$7)</f>
        <v>545.16575</v>
      </c>
      <c r="L2221" s="799">
        <f t="shared" si="277"/>
        <v>2.0881354038525769E-4</v>
      </c>
      <c r="M2221" s="894"/>
      <c r="N2221" s="396"/>
      <c r="O2221" s="463"/>
      <c r="R2221" s="463"/>
      <c r="S2221" s="463"/>
      <c r="T2221" s="463"/>
    </row>
    <row r="2222" spans="1:20" s="115" customFormat="1" ht="15" customHeight="1" x14ac:dyDescent="0.25">
      <c r="B2222" s="1004"/>
      <c r="C2222" s="1004"/>
      <c r="D2222" s="880">
        <v>631900</v>
      </c>
      <c r="E2222" s="854">
        <v>333903600000000</v>
      </c>
      <c r="F2222" s="855" t="s">
        <v>9315</v>
      </c>
      <c r="G2222" s="468">
        <v>40</v>
      </c>
      <c r="H2222" s="468">
        <v>0</v>
      </c>
      <c r="I2222" s="751"/>
      <c r="J2222" s="789">
        <f>(('Parâmetros financeiros Despesa'!E1662))</f>
        <v>0</v>
      </c>
      <c r="K2222" s="789">
        <f>('Parâmetros financeiros Despesa'!F1662)*(1+'Parâmetros financeiros Despesa'!F$4)*(1+'Parâmetros financeiros Despesa'!F$7)</f>
        <v>545.16575</v>
      </c>
      <c r="L2222" s="799">
        <f t="shared" si="277"/>
        <v>2.0881354038525769E-4</v>
      </c>
      <c r="M2222" s="894"/>
      <c r="N2222" s="396"/>
      <c r="O2222" s="463"/>
      <c r="R2222" s="463"/>
      <c r="S2222" s="463"/>
      <c r="T2222" s="463"/>
    </row>
    <row r="2223" spans="1:20" s="115" customFormat="1" ht="15" customHeight="1" x14ac:dyDescent="0.25">
      <c r="B2223" s="1004"/>
      <c r="C2223" s="1004"/>
      <c r="D2223" s="880">
        <v>632000</v>
      </c>
      <c r="E2223" s="854">
        <v>333903900000000</v>
      </c>
      <c r="F2223" s="855" t="s">
        <v>9316</v>
      </c>
      <c r="G2223" s="468">
        <v>40</v>
      </c>
      <c r="H2223" s="468">
        <v>0</v>
      </c>
      <c r="I2223" s="751"/>
      <c r="J2223" s="789">
        <f>(('Parâmetros financeiros Despesa'!E1663))</f>
        <v>0</v>
      </c>
      <c r="K2223" s="789">
        <f>('Parâmetros financeiros Despesa'!F1663)*(1+'Parâmetros financeiros Despesa'!F$4)*(1+'Parâmetros financeiros Despesa'!F$7)</f>
        <v>545.16575</v>
      </c>
      <c r="L2223" s="799">
        <f t="shared" si="277"/>
        <v>2.0881354038525769E-4</v>
      </c>
      <c r="M2223" s="894"/>
      <c r="N2223" s="396"/>
      <c r="O2223" s="463"/>
      <c r="R2223" s="463"/>
      <c r="S2223" s="463"/>
      <c r="T2223" s="463"/>
    </row>
    <row r="2224" spans="1:20" s="115" customFormat="1" ht="15" customHeight="1" x14ac:dyDescent="0.25">
      <c r="B2224" s="1004"/>
      <c r="C2224" s="1004"/>
      <c r="D2224" s="880">
        <v>632100</v>
      </c>
      <c r="E2224" s="854">
        <v>333904700000000</v>
      </c>
      <c r="F2224" s="855" t="s">
        <v>9317</v>
      </c>
      <c r="G2224" s="468">
        <v>40</v>
      </c>
      <c r="H2224" s="468">
        <v>0</v>
      </c>
      <c r="I2224" s="751"/>
      <c r="J2224" s="789">
        <f>(('Parâmetros financeiros Despesa'!E1664))</f>
        <v>0</v>
      </c>
      <c r="K2224" s="789">
        <f>('Parâmetros financeiros Despesa'!F1664)*(1+'Parâmetros financeiros Despesa'!F$4)*(1+'Parâmetros financeiros Despesa'!F$7)</f>
        <v>109.03315000000001</v>
      </c>
      <c r="L2224" s="799">
        <f t="shared" si="277"/>
        <v>4.1762708077051546E-5</v>
      </c>
      <c r="M2224" s="894"/>
      <c r="N2224" s="396"/>
      <c r="O2224" s="463"/>
      <c r="R2224" s="463"/>
      <c r="S2224" s="463"/>
      <c r="T2224" s="463"/>
    </row>
    <row r="2225" spans="1:15" s="115" customFormat="1" ht="15" customHeight="1" x14ac:dyDescent="0.25">
      <c r="A2225" s="396"/>
      <c r="B2225" s="1398" t="s">
        <v>9320</v>
      </c>
      <c r="C2225" s="1398"/>
      <c r="D2225" s="1398"/>
      <c r="E2225" s="854">
        <v>333904900000000</v>
      </c>
      <c r="F2225" s="855" t="s">
        <v>9025</v>
      </c>
      <c r="G2225" s="468">
        <v>40</v>
      </c>
      <c r="H2225" s="468">
        <v>0</v>
      </c>
      <c r="I2225" s="751"/>
      <c r="J2225" s="789">
        <f>(('Parâmetros financeiros Despesa'!E1665))</f>
        <v>463.08000000000004</v>
      </c>
      <c r="K2225" s="789">
        <f>('Parâmetros financeiros Despesa'!F1665)*((1+'Parâmetros financeiros Despesa'!F1665)*(1+'Parâmetros financeiros Despesa'!F3980)*(1+'Parâmetros financeiros Despesa'!F4048))</f>
        <v>1527.7781000000002</v>
      </c>
      <c r="L2225" s="799">
        <f t="shared" si="277"/>
        <v>5.8518121137298579E-4</v>
      </c>
      <c r="M2225" s="894"/>
      <c r="O2225" s="733"/>
    </row>
    <row r="2226" spans="1:15" s="115" customFormat="1" ht="15" customHeight="1" x14ac:dyDescent="0.25">
      <c r="A2226" s="396"/>
      <c r="B2226" s="1398" t="s">
        <v>9321</v>
      </c>
      <c r="C2226" s="1398"/>
      <c r="D2226" s="1398"/>
      <c r="E2226" s="854">
        <v>333909300000000</v>
      </c>
      <c r="F2226" s="855" t="s">
        <v>9026</v>
      </c>
      <c r="G2226" s="468">
        <v>40</v>
      </c>
      <c r="H2226" s="468">
        <v>0</v>
      </c>
      <c r="I2226" s="751"/>
      <c r="J2226" s="789">
        <f>(('Parâmetros financeiros Despesa'!E1666))</f>
        <v>0</v>
      </c>
      <c r="K2226" s="789">
        <f>('Parâmetros financeiros Despesa'!F1666)*(1+'Parâmetros financeiros Despesa'!F$4)*(1+'Parâmetros financeiros Despesa'!F$7)</f>
        <v>545.16575</v>
      </c>
      <c r="L2226" s="799">
        <f t="shared" si="277"/>
        <v>2.0881354038525769E-4</v>
      </c>
      <c r="M2226" s="894"/>
      <c r="O2226" s="733"/>
    </row>
    <row r="2227" spans="1:15" s="115" customFormat="1" ht="15" customHeight="1" x14ac:dyDescent="0.25">
      <c r="A2227" s="396"/>
      <c r="B2227" s="1398" t="s">
        <v>9322</v>
      </c>
      <c r="C2227" s="1398"/>
      <c r="D2227" s="1398"/>
      <c r="E2227" s="854">
        <v>333933000000000</v>
      </c>
      <c r="F2227" s="855" t="s">
        <v>9027</v>
      </c>
      <c r="G2227" s="468">
        <v>40</v>
      </c>
      <c r="H2227" s="468">
        <v>0</v>
      </c>
      <c r="I2227" s="751"/>
      <c r="J2227" s="789">
        <f>(('Parâmetros financeiros Despesa'!E1667))</f>
        <v>0</v>
      </c>
      <c r="K2227" s="789">
        <f>('Parâmetros financeiros Despesa'!F1667)*(1+'Parâmetros financeiros Despesa'!F$4)*(1+'Parâmetros financeiros Despesa'!F$7)</f>
        <v>545.16575</v>
      </c>
      <c r="L2227" s="799">
        <f t="shared" si="277"/>
        <v>2.0881354038525769E-4</v>
      </c>
      <c r="M2227" s="894"/>
      <c r="O2227" s="733"/>
    </row>
    <row r="2228" spans="1:15" s="115" customFormat="1" ht="15" customHeight="1" x14ac:dyDescent="0.25">
      <c r="A2228" s="396"/>
      <c r="B2228" s="1004"/>
      <c r="C2228" s="1004"/>
      <c r="D2228" s="1004" t="s">
        <v>9323</v>
      </c>
      <c r="E2228" s="854">
        <v>333933900000000</v>
      </c>
      <c r="F2228" s="855" t="s">
        <v>9319</v>
      </c>
      <c r="G2228" s="468">
        <v>40</v>
      </c>
      <c r="H2228" s="468">
        <v>0</v>
      </c>
      <c r="I2228" s="751"/>
      <c r="J2228" s="789">
        <f>(('Parâmetros financeiros Despesa'!E1668))</f>
        <v>0</v>
      </c>
      <c r="K2228" s="789">
        <f>('Parâmetros financeiros Despesa'!F1668)*(1+'Parâmetros financeiros Despesa'!F$4)*(1+'Parâmetros financeiros Despesa'!F$7)</f>
        <v>545.16575</v>
      </c>
      <c r="L2228" s="799">
        <f t="shared" si="277"/>
        <v>2.0881354038525769E-4</v>
      </c>
      <c r="M2228" s="894"/>
      <c r="O2228" s="733"/>
    </row>
    <row r="2229" spans="1:15" s="115" customFormat="1" ht="15" customHeight="1" x14ac:dyDescent="0.25">
      <c r="A2229" s="396"/>
      <c r="B2229" s="1398" t="s">
        <v>9324</v>
      </c>
      <c r="C2229" s="1398"/>
      <c r="D2229" s="1398"/>
      <c r="E2229" s="854">
        <v>344905200000000</v>
      </c>
      <c r="F2229" s="855" t="s">
        <v>9028</v>
      </c>
      <c r="G2229" s="468">
        <v>40</v>
      </c>
      <c r="H2229" s="468">
        <v>0</v>
      </c>
      <c r="I2229" s="751"/>
      <c r="J2229" s="789">
        <f>(('Parâmetros financeiros Despesa'!E1669))</f>
        <v>0</v>
      </c>
      <c r="K2229" s="789">
        <f>('Parâmetros financeiros Despesa'!F1669)*(1+'Parâmetros financeiros Despesa'!F$4)*(1+'Parâmetros financeiros Despesa'!F$7)</f>
        <v>545.16575</v>
      </c>
      <c r="L2229" s="799">
        <f t="shared" si="277"/>
        <v>2.0881354038525769E-4</v>
      </c>
      <c r="M2229" s="894"/>
      <c r="O2229" s="733"/>
    </row>
    <row r="2230" spans="1:15" s="115" customFormat="1" x14ac:dyDescent="0.25">
      <c r="A2230" s="396"/>
      <c r="B2230" s="1395" t="s">
        <v>2172</v>
      </c>
      <c r="C2230" s="1395"/>
      <c r="D2230" s="1395"/>
      <c r="E2230" s="1395"/>
      <c r="F2230" s="1395"/>
      <c r="G2230" s="1395"/>
      <c r="H2230" s="1395"/>
      <c r="I2230" s="1395"/>
      <c r="J2230" s="1023">
        <f>J2212+J2197+J2176+J2155+J2134+J2121+J2114+J2108+J2095+J2073+J2057+J2051+J2029+J2008+J1988+J1968+J1958+J1949+J1940+J1931-0.01</f>
        <v>2389113.0326000005</v>
      </c>
      <c r="K2230" s="1023">
        <f>K2212+K2197+K2176+K2155+K2134+K2121+K2114+K2108+K2095+K2073+K2057+K2051+K2029+K2008+K1988+K1968+K1958+K1949+K1940+K1931+0.01</f>
        <v>2610777.77329084</v>
      </c>
      <c r="L2230" s="452">
        <f>K2230/K$2234</f>
        <v>1</v>
      </c>
      <c r="M2230" s="894"/>
      <c r="O2230" s="733"/>
    </row>
    <row r="2231" spans="1:15" x14ac:dyDescent="0.25">
      <c r="B2231" s="864" t="s">
        <v>11469</v>
      </c>
      <c r="C2231" s="864"/>
      <c r="D2231" s="864"/>
      <c r="E2231" s="864"/>
      <c r="F2231" s="864"/>
      <c r="G2231" s="864"/>
      <c r="H2231" s="864"/>
      <c r="I2231" s="864"/>
      <c r="J2231" s="863"/>
      <c r="K2231" s="863"/>
      <c r="L2231" s="452"/>
    </row>
    <row r="2232" spans="1:15" s="31" customFormat="1" x14ac:dyDescent="0.25">
      <c r="B2232" s="869" t="s">
        <v>11568</v>
      </c>
      <c r="C2232" s="869"/>
      <c r="D2232" s="869"/>
      <c r="E2232" s="869"/>
      <c r="F2232" s="869"/>
      <c r="G2232" s="869"/>
      <c r="H2232" s="869"/>
      <c r="I2232" s="869"/>
      <c r="J2232" s="870">
        <f>J2075+J2031+J2010+J1990+J1970</f>
        <v>67482.871899999998</v>
      </c>
      <c r="K2232" s="870">
        <f>K2075+K2031+K2010+K1990+K1970+0.02</f>
        <v>80070.202256227611</v>
      </c>
      <c r="L2232" s="871">
        <f>K2232/K$2234</f>
        <v>3.0669099099652788E-2</v>
      </c>
      <c r="M2232" s="897"/>
      <c r="O2232" s="736"/>
    </row>
    <row r="2233" spans="1:15" s="31" customFormat="1" x14ac:dyDescent="0.25">
      <c r="B2233" s="869" t="s">
        <v>756</v>
      </c>
      <c r="C2233" s="869"/>
      <c r="D2233" s="869"/>
      <c r="E2233" s="869"/>
      <c r="F2233" s="869"/>
      <c r="G2233" s="869"/>
      <c r="H2233" s="869"/>
      <c r="I2233" s="869"/>
      <c r="J2233" s="870">
        <f>J2230-J2232</f>
        <v>2321630.1607000004</v>
      </c>
      <c r="K2233" s="870">
        <f>K2230-K2232</f>
        <v>2530707.5710346121</v>
      </c>
      <c r="L2233" s="871">
        <f>K2233/K$2234</f>
        <v>0.96933090090034713</v>
      </c>
      <c r="M2233" s="897"/>
      <c r="O2233" s="736"/>
    </row>
    <row r="2234" spans="1:15" s="115" customFormat="1" x14ac:dyDescent="0.25">
      <c r="B2234" s="864" t="s">
        <v>2172</v>
      </c>
      <c r="C2234" s="864"/>
      <c r="D2234" s="864"/>
      <c r="E2234" s="864"/>
      <c r="F2234" s="864"/>
      <c r="G2234" s="864"/>
      <c r="H2234" s="864"/>
      <c r="I2234" s="864"/>
      <c r="J2234" s="863">
        <f>SUM(J2232:J2233)</f>
        <v>2389113.0326000005</v>
      </c>
      <c r="K2234" s="863">
        <f>SUM(K2232:K2233)</f>
        <v>2610777.77329084</v>
      </c>
      <c r="L2234" s="452">
        <f>K2234/K$2234</f>
        <v>1</v>
      </c>
      <c r="M2234" s="894"/>
      <c r="O2234" s="733"/>
    </row>
    <row r="2235" spans="1:15" x14ac:dyDescent="0.25">
      <c r="F2235" s="399"/>
      <c r="G2235" s="399"/>
      <c r="H2235" s="399"/>
    </row>
    <row r="2236" spans="1:15" ht="15.75" x14ac:dyDescent="0.25">
      <c r="K2236" s="807"/>
    </row>
    <row r="2237" spans="1:15" s="435" customFormat="1" ht="15.75" x14ac:dyDescent="0.25">
      <c r="B2237" s="999" t="s">
        <v>989</v>
      </c>
      <c r="C2237" s="999"/>
      <c r="D2237" s="481"/>
      <c r="E2237" s="1371" t="s">
        <v>9485</v>
      </c>
      <c r="F2237" s="1371"/>
      <c r="G2237" s="1371"/>
      <c r="H2237" s="1371"/>
      <c r="I2237" s="1371"/>
      <c r="J2237" s="940"/>
      <c r="K2237" s="438"/>
      <c r="L2237" s="449"/>
      <c r="M2237" s="892"/>
      <c r="O2237" s="732"/>
    </row>
    <row r="2238" spans="1:15" s="435" customFormat="1" ht="18" customHeight="1" x14ac:dyDescent="0.25">
      <c r="B2238" s="999" t="s">
        <v>458</v>
      </c>
      <c r="C2238" s="999"/>
      <c r="D2238" s="481"/>
      <c r="E2238" s="1371" t="s">
        <v>9029</v>
      </c>
      <c r="F2238" s="1371"/>
      <c r="G2238" s="1371"/>
      <c r="H2238" s="1371"/>
      <c r="I2238" s="1371"/>
      <c r="J2238" s="940"/>
      <c r="K2238" s="807"/>
      <c r="L2238" s="449"/>
      <c r="M2238" s="892"/>
      <c r="O2238" s="732"/>
    </row>
    <row r="2239" spans="1:15" s="435" customFormat="1" ht="15.75" x14ac:dyDescent="0.25">
      <c r="B2239" s="1005" t="s">
        <v>5764</v>
      </c>
      <c r="C2239" s="1005"/>
      <c r="D2239" s="1005"/>
      <c r="E2239" s="1371" t="s">
        <v>749</v>
      </c>
      <c r="F2239" s="1371"/>
      <c r="G2239" s="1371"/>
      <c r="H2239" s="1371"/>
      <c r="I2239" s="1371"/>
      <c r="J2239" s="941"/>
      <c r="K2239" s="438"/>
      <c r="L2239" s="449"/>
      <c r="M2239" s="892"/>
      <c r="O2239" s="732"/>
    </row>
    <row r="2240" spans="1:15" ht="88.5" x14ac:dyDescent="0.25">
      <c r="A2240" s="396"/>
      <c r="B2240" s="1400" t="s">
        <v>2296</v>
      </c>
      <c r="C2240" s="1400"/>
      <c r="D2240" s="1400"/>
      <c r="E2240" s="1384" t="s">
        <v>2297</v>
      </c>
      <c r="F2240" s="1384"/>
      <c r="G2240" s="443" t="s">
        <v>444</v>
      </c>
      <c r="H2240" s="443" t="s">
        <v>2245</v>
      </c>
      <c r="I2240" s="444" t="s">
        <v>5725</v>
      </c>
      <c r="J2240" s="893" t="s">
        <v>11644</v>
      </c>
      <c r="K2240" s="1000" t="s">
        <v>11522</v>
      </c>
      <c r="L2240" s="450" t="s">
        <v>235</v>
      </c>
    </row>
    <row r="2241" spans="1:20" x14ac:dyDescent="0.25">
      <c r="A2241" s="397"/>
      <c r="B2241" s="1382" t="s">
        <v>8699</v>
      </c>
      <c r="C2241" s="1382"/>
      <c r="D2241" s="1382"/>
      <c r="E2241" s="1382"/>
      <c r="F2241" s="1382"/>
      <c r="G2241" s="405"/>
      <c r="H2241" s="405"/>
      <c r="I2241" s="428"/>
      <c r="J2241" s="406">
        <f t="shared" ref="J2241:K2243" si="278">J2242</f>
        <v>0</v>
      </c>
      <c r="K2241" s="406">
        <f t="shared" si="278"/>
        <v>35408.605958009881</v>
      </c>
      <c r="L2241" s="453">
        <f>K2241/K$2399</f>
        <v>5.452826811126614E-2</v>
      </c>
    </row>
    <row r="2242" spans="1:20" x14ac:dyDescent="0.25">
      <c r="A2242" s="397"/>
      <c r="B2242" s="1383" t="s">
        <v>8812</v>
      </c>
      <c r="C2242" s="1383"/>
      <c r="D2242" s="1383"/>
      <c r="E2242" s="1383"/>
      <c r="F2242" s="1383"/>
      <c r="G2242" s="407"/>
      <c r="H2242" s="407"/>
      <c r="I2242" s="429"/>
      <c r="J2242" s="408">
        <f t="shared" si="278"/>
        <v>0</v>
      </c>
      <c r="K2242" s="408">
        <f t="shared" si="278"/>
        <v>35408.605958009881</v>
      </c>
      <c r="L2242" s="454">
        <f>K2242/K$2399</f>
        <v>5.452826811126614E-2</v>
      </c>
    </row>
    <row r="2243" spans="1:20" x14ac:dyDescent="0.25">
      <c r="A2243" s="397"/>
      <c r="B2243" s="1386" t="s">
        <v>9151</v>
      </c>
      <c r="C2243" s="1386"/>
      <c r="D2243" s="1386"/>
      <c r="E2243" s="1386"/>
      <c r="F2243" s="1386"/>
      <c r="G2243" s="403"/>
      <c r="H2243" s="403"/>
      <c r="I2243" s="427"/>
      <c r="J2243" s="404">
        <f t="shared" si="278"/>
        <v>0</v>
      </c>
      <c r="K2243" s="404">
        <f t="shared" si="278"/>
        <v>35408.605958009881</v>
      </c>
      <c r="L2243" s="452">
        <f>K2243/K$2399</f>
        <v>5.452826811126614E-2</v>
      </c>
    </row>
    <row r="2244" spans="1:20" x14ac:dyDescent="0.25">
      <c r="A2244" s="397"/>
      <c r="B2244" s="1385" t="s">
        <v>8698</v>
      </c>
      <c r="C2244" s="1385"/>
      <c r="D2244" s="1385"/>
      <c r="E2244" s="1385"/>
      <c r="F2244" s="1385"/>
      <c r="G2244" s="401"/>
      <c r="H2244" s="401"/>
      <c r="I2244" s="426"/>
      <c r="J2244" s="402">
        <f>SUM(J2245:J2260)</f>
        <v>0</v>
      </c>
      <c r="K2244" s="402">
        <f>SUM(K2245:K2260)+0.03</f>
        <v>35408.605958009881</v>
      </c>
      <c r="L2244" s="451">
        <f>K2244/K$2399</f>
        <v>5.452826811126614E-2</v>
      </c>
    </row>
    <row r="2245" spans="1:20" s="115" customFormat="1" x14ac:dyDescent="0.25">
      <c r="A2245" s="396"/>
      <c r="B2245" s="876"/>
      <c r="C2245" s="876"/>
      <c r="D2245" s="1004" t="s">
        <v>9372</v>
      </c>
      <c r="E2245" s="854">
        <v>331900400000000</v>
      </c>
      <c r="F2245" s="855" t="s">
        <v>9064</v>
      </c>
      <c r="G2245" s="468">
        <v>4090</v>
      </c>
      <c r="H2245" s="468">
        <v>0</v>
      </c>
      <c r="I2245" s="751"/>
      <c r="J2245" s="789">
        <f>(('Parâmetros financeiros Despesa'!E1676))</f>
        <v>0</v>
      </c>
      <c r="K2245" s="789">
        <f>(('Parâmetros financeiros Despesa'!F1676)*2.05+(('Parâmetros financeiros Despesa'!F1676)*11.28)*(1+'Parâmetros financeiros Despesa'!F$4)*(1+'Parâmetros financeiros Despesa'!F$8))*(1+'Parâmetros financeiros Despesa'!F$80)</f>
        <v>17.278630081629636</v>
      </c>
      <c r="L2245" s="799">
        <f>K2245/K$2399</f>
        <v>2.6608609635854849E-5</v>
      </c>
      <c r="M2245" s="894"/>
      <c r="O2245" s="733"/>
    </row>
    <row r="2246" spans="1:20" s="115" customFormat="1" ht="15" customHeight="1" x14ac:dyDescent="0.25">
      <c r="A2246" s="396"/>
      <c r="B2246" s="876"/>
      <c r="C2246" s="876"/>
      <c r="D2246" s="1004" t="s">
        <v>9373</v>
      </c>
      <c r="E2246" s="854">
        <v>331901100000000</v>
      </c>
      <c r="F2246" s="855" t="s">
        <v>9065</v>
      </c>
      <c r="G2246" s="468">
        <v>4090</v>
      </c>
      <c r="H2246" s="468">
        <v>0</v>
      </c>
      <c r="I2246" s="751"/>
      <c r="J2246" s="789">
        <f>(('Parâmetros financeiros Despesa'!E1677))</f>
        <v>0</v>
      </c>
      <c r="K2246" s="789">
        <f>(('Parâmetros financeiros Despesa'!F1677)*2.05+(('Parâmetros financeiros Despesa'!F1677)*11.28)*(1+'Parâmetros financeiros Despesa'!F$4)*(1+'Parâmetros financeiros Despesa'!F$8))*(1+'Parâmetros financeiros Despesa'!F$80)</f>
        <v>17.278630081629636</v>
      </c>
      <c r="L2246" s="799">
        <f t="shared" ref="L2246:L2260" si="279">K2246/K$2399</f>
        <v>2.6608609635854849E-5</v>
      </c>
      <c r="M2246" s="894"/>
      <c r="O2246" s="733"/>
    </row>
    <row r="2247" spans="1:20" s="115" customFormat="1" ht="15" customHeight="1" x14ac:dyDescent="0.25">
      <c r="A2247" s="396"/>
      <c r="B2247" s="876"/>
      <c r="C2247" s="876"/>
      <c r="D2247" s="1004" t="s">
        <v>9374</v>
      </c>
      <c r="E2247" s="854">
        <v>331901300000000</v>
      </c>
      <c r="F2247" s="855" t="s">
        <v>9066</v>
      </c>
      <c r="G2247" s="468">
        <v>4090</v>
      </c>
      <c r="H2247" s="468">
        <v>0</v>
      </c>
      <c r="I2247" s="751"/>
      <c r="J2247" s="789">
        <v>0</v>
      </c>
      <c r="K2247" s="789">
        <f>(K2248+K2246)*'Parâmetros financeiros Despesa'!F80</f>
        <v>7.4367376720614349</v>
      </c>
      <c r="L2247" s="799">
        <f t="shared" si="279"/>
        <v>1.1452369125635883E-5</v>
      </c>
      <c r="M2247" s="894"/>
      <c r="O2247" s="733"/>
    </row>
    <row r="2248" spans="1:20" s="115" customFormat="1" ht="15" customHeight="1" x14ac:dyDescent="0.25">
      <c r="A2248" s="396"/>
      <c r="B2248" s="876"/>
      <c r="C2248" s="876"/>
      <c r="D2248" s="1004" t="s">
        <v>9375</v>
      </c>
      <c r="E2248" s="854">
        <v>331901600000000</v>
      </c>
      <c r="F2248" s="855" t="s">
        <v>9069</v>
      </c>
      <c r="G2248" s="468">
        <v>4090</v>
      </c>
      <c r="H2248" s="468">
        <v>0</v>
      </c>
      <c r="I2248" s="751"/>
      <c r="J2248" s="789">
        <v>0</v>
      </c>
      <c r="K2248" s="789">
        <f>('Parâmetros financeiros Despesa'!F1678)*2.05+(('Parâmetros financeiros Despesa'!F1678)*11.28)*(1+'Parâmetros financeiros Despesa'!F$4)*(1+'Parâmetros financeiros Despesa'!F$8)</f>
        <v>13.955830560223728</v>
      </c>
      <c r="L2248" s="799">
        <f t="shared" si="279"/>
        <v>2.1491590812858192E-5</v>
      </c>
      <c r="M2248" s="894"/>
      <c r="O2248" s="733"/>
    </row>
    <row r="2249" spans="1:20" s="115" customFormat="1" ht="15" customHeight="1" x14ac:dyDescent="0.25">
      <c r="A2249" s="396"/>
      <c r="B2249" s="876"/>
      <c r="C2249" s="876"/>
      <c r="D2249" s="1004" t="s">
        <v>9376</v>
      </c>
      <c r="E2249" s="854">
        <v>333901400000000</v>
      </c>
      <c r="F2249" s="855" t="s">
        <v>9068</v>
      </c>
      <c r="G2249" s="468">
        <v>4090</v>
      </c>
      <c r="H2249" s="468">
        <v>0</v>
      </c>
      <c r="I2249" s="751"/>
      <c r="J2249" s="789">
        <v>0</v>
      </c>
      <c r="K2249" s="789">
        <f>('Parâmetros financeiros Despesa'!F1679)*2+(('Parâmetros financeiros Despesa'!F1679)*10)*(1+'Parâmetros financeiros Despesa'!F$4)*(1+'Parâmetros financeiros Despesa'!F$8)</f>
        <v>2510.9628652878946</v>
      </c>
      <c r="L2249" s="799">
        <f t="shared" si="279"/>
        <v>3.866812957793913E-3</v>
      </c>
      <c r="M2249" s="894"/>
      <c r="O2249" s="733"/>
    </row>
    <row r="2250" spans="1:20" s="115" customFormat="1" ht="15" customHeight="1" x14ac:dyDescent="0.25">
      <c r="B2250" s="879"/>
      <c r="C2250" s="879"/>
      <c r="D2250" s="880">
        <v>636500</v>
      </c>
      <c r="E2250" s="854">
        <v>333903000000000</v>
      </c>
      <c r="F2250" s="855" t="s">
        <v>9067</v>
      </c>
      <c r="G2250" s="468">
        <v>4090</v>
      </c>
      <c r="H2250" s="468">
        <v>0</v>
      </c>
      <c r="I2250" s="751"/>
      <c r="J2250" s="789">
        <v>0</v>
      </c>
      <c r="K2250" s="789">
        <f>('Parâmetros financeiros Despesa'!F1680*(1+'Parâmetros financeiros Despesa'!F$4)*(1+'Parâmetros financeiros Despesa'!F$7))+'Parâmetros financeiros Despesa'!F1691</f>
        <v>7424.3845000000001</v>
      </c>
      <c r="L2250" s="799">
        <f t="shared" si="279"/>
        <v>1.1433345584325353E-2</v>
      </c>
      <c r="M2250" s="894"/>
      <c r="N2250" s="396"/>
      <c r="O2250" s="463"/>
      <c r="R2250" s="463"/>
      <c r="S2250" s="463"/>
      <c r="T2250" s="463"/>
    </row>
    <row r="2251" spans="1:20" s="115" customFormat="1" ht="15" customHeight="1" x14ac:dyDescent="0.25">
      <c r="B2251" s="1004"/>
      <c r="C2251" s="1004"/>
      <c r="D2251" s="880">
        <v>636600</v>
      </c>
      <c r="E2251" s="854">
        <v>333903200000000</v>
      </c>
      <c r="F2251" s="855" t="s">
        <v>9070</v>
      </c>
      <c r="G2251" s="468">
        <v>4090</v>
      </c>
      <c r="H2251" s="468">
        <v>0</v>
      </c>
      <c r="I2251" s="751"/>
      <c r="J2251" s="789">
        <v>0</v>
      </c>
      <c r="K2251" s="789">
        <f>('Parâmetros financeiros Despesa'!F1681*(1+'Parâmetros financeiros Despesa'!F$4)*(1+'Parâmetros financeiros Despesa'!F$7))</f>
        <v>1635.4972500000001</v>
      </c>
      <c r="L2251" s="799">
        <f t="shared" si="279"/>
        <v>2.5186202656211783E-3</v>
      </c>
      <c r="M2251" s="894"/>
      <c r="N2251" s="396"/>
      <c r="O2251" s="463"/>
      <c r="R2251" s="463"/>
      <c r="S2251" s="463"/>
      <c r="T2251" s="463"/>
    </row>
    <row r="2252" spans="1:20" s="115" customFormat="1" ht="15" customHeight="1" x14ac:dyDescent="0.25">
      <c r="B2252" s="1004"/>
      <c r="C2252" s="1004"/>
      <c r="D2252" s="880">
        <v>636700</v>
      </c>
      <c r="E2252" s="854">
        <v>333903300000000</v>
      </c>
      <c r="F2252" s="855" t="s">
        <v>9380</v>
      </c>
      <c r="G2252" s="468">
        <v>4090</v>
      </c>
      <c r="H2252" s="468">
        <v>0</v>
      </c>
      <c r="I2252" s="751"/>
      <c r="J2252" s="789">
        <v>0</v>
      </c>
      <c r="K2252" s="789">
        <f>('Parâmetros financeiros Despesa'!F1682*(1+'Parâmetros financeiros Despesa'!F$4)*(1+'Parâmetros financeiros Despesa'!F$7))</f>
        <v>545.16575</v>
      </c>
      <c r="L2252" s="799">
        <f t="shared" si="279"/>
        <v>8.3954008854039263E-4</v>
      </c>
      <c r="M2252" s="894"/>
      <c r="N2252" s="396"/>
      <c r="O2252" s="463"/>
      <c r="R2252" s="463"/>
      <c r="S2252" s="463"/>
      <c r="T2252" s="463"/>
    </row>
    <row r="2253" spans="1:20" s="115" customFormat="1" ht="15" customHeight="1" x14ac:dyDescent="0.25">
      <c r="B2253" s="1004"/>
      <c r="C2253" s="1004"/>
      <c r="D2253" s="880">
        <v>636800</v>
      </c>
      <c r="E2253" s="854">
        <v>333903600000000</v>
      </c>
      <c r="F2253" s="855" t="s">
        <v>9083</v>
      </c>
      <c r="G2253" s="468">
        <v>4090</v>
      </c>
      <c r="H2253" s="468">
        <v>0</v>
      </c>
      <c r="I2253" s="751"/>
      <c r="J2253" s="789">
        <v>0</v>
      </c>
      <c r="K2253" s="789">
        <f>('Parâmetros financeiros Despesa'!F1683*(1+'Parâmetros financeiros Despesa'!F$4)*(1+'Parâmetros financeiros Despesa'!F$7))</f>
        <v>4361.326</v>
      </c>
      <c r="L2253" s="799">
        <f t="shared" si="279"/>
        <v>6.716320708323141E-3</v>
      </c>
      <c r="M2253" s="894"/>
      <c r="N2253" s="396"/>
      <c r="O2253" s="463"/>
      <c r="R2253" s="463"/>
      <c r="S2253" s="463"/>
      <c r="T2253" s="463"/>
    </row>
    <row r="2254" spans="1:20" s="115" customFormat="1" ht="15" customHeight="1" x14ac:dyDescent="0.25">
      <c r="B2254" s="1004"/>
      <c r="C2254" s="1004"/>
      <c r="D2254" s="880">
        <v>636900</v>
      </c>
      <c r="E2254" s="854">
        <v>333903900000000</v>
      </c>
      <c r="F2254" s="855" t="s">
        <v>9084</v>
      </c>
      <c r="G2254" s="468">
        <v>4090</v>
      </c>
      <c r="H2254" s="468">
        <v>0</v>
      </c>
      <c r="I2254" s="751"/>
      <c r="J2254" s="789">
        <v>0</v>
      </c>
      <c r="K2254" s="789">
        <f>('Parâmetros financeiros Despesa'!F1684*(1+'Parâmetros financeiros Despesa'!F$4)*(1+'Parâmetros financeiros Despesa'!F$7))</f>
        <v>4361.326</v>
      </c>
      <c r="L2254" s="799">
        <f t="shared" si="279"/>
        <v>6.716320708323141E-3</v>
      </c>
      <c r="M2254" s="894"/>
      <c r="N2254" s="396"/>
      <c r="O2254" s="463"/>
      <c r="R2254" s="463"/>
      <c r="S2254" s="463"/>
      <c r="T2254" s="463"/>
    </row>
    <row r="2255" spans="1:20" s="115" customFormat="1" ht="15" customHeight="1" x14ac:dyDescent="0.25">
      <c r="B2255" s="1004"/>
      <c r="C2255" s="1004"/>
      <c r="D2255" s="880">
        <v>637000</v>
      </c>
      <c r="E2255" s="854">
        <v>333904700000000</v>
      </c>
      <c r="F2255" s="855" t="s">
        <v>9085</v>
      </c>
      <c r="G2255" s="468">
        <v>4090</v>
      </c>
      <c r="H2255" s="468">
        <v>0</v>
      </c>
      <c r="I2255" s="751"/>
      <c r="J2255" s="789">
        <v>0</v>
      </c>
      <c r="K2255" s="789">
        <f>('Parâmetros financeiros Despesa'!F1685*(1+'Parâmetros financeiros Despesa'!F$4)*(1+'Parâmetros financeiros Despesa'!F$7))</f>
        <v>872.26520000000005</v>
      </c>
      <c r="L2255" s="799">
        <f t="shared" si="279"/>
        <v>1.3432641416646282E-3</v>
      </c>
      <c r="M2255" s="894"/>
      <c r="N2255" s="396"/>
      <c r="O2255" s="463"/>
      <c r="R2255" s="463"/>
      <c r="S2255" s="463"/>
      <c r="T2255" s="463"/>
    </row>
    <row r="2256" spans="1:20" s="115" customFormat="1" ht="15" customHeight="1" x14ac:dyDescent="0.25">
      <c r="A2256" s="396"/>
      <c r="B2256" s="876"/>
      <c r="C2256" s="876"/>
      <c r="D2256" s="1004" t="s">
        <v>9377</v>
      </c>
      <c r="E2256" s="854">
        <v>333904900000000</v>
      </c>
      <c r="F2256" s="855" t="s">
        <v>9071</v>
      </c>
      <c r="G2256" s="468">
        <v>4090</v>
      </c>
      <c r="H2256" s="468">
        <v>0</v>
      </c>
      <c r="I2256" s="751"/>
      <c r="J2256" s="789">
        <v>0</v>
      </c>
      <c r="K2256" s="789">
        <f>('Parâmetros financeiros Despesa'!F1686)*2+(('Parâmetros financeiros Despesa'!F1686)*10)*(1+'Parâmetros financeiros Despesa'!F$4)*(1+'Parâmetros financeiros Despesa'!F$8)</f>
        <v>12.554814326439475</v>
      </c>
      <c r="L2256" s="799">
        <f t="shared" si="279"/>
        <v>1.9334064788969571E-5</v>
      </c>
      <c r="M2256" s="894"/>
      <c r="O2256" s="733"/>
    </row>
    <row r="2257" spans="1:15" s="115" customFormat="1" ht="15" customHeight="1" x14ac:dyDescent="0.25">
      <c r="A2257" s="396"/>
      <c r="B2257" s="876"/>
      <c r="C2257" s="876"/>
      <c r="D2257" s="1004" t="s">
        <v>9378</v>
      </c>
      <c r="E2257" s="854">
        <v>333909300000000</v>
      </c>
      <c r="F2257" s="855" t="s">
        <v>9072</v>
      </c>
      <c r="G2257" s="468">
        <v>4090</v>
      </c>
      <c r="H2257" s="468">
        <v>0</v>
      </c>
      <c r="I2257" s="751"/>
      <c r="J2257" s="789">
        <v>0</v>
      </c>
      <c r="K2257" s="789">
        <f>('Parâmetros financeiros Despesa'!F1687*(1+'Parâmetros financeiros Despesa'!F$4)*(1+'Parâmetros financeiros Despesa'!F$7))</f>
        <v>545.16575</v>
      </c>
      <c r="L2257" s="799">
        <f t="shared" si="279"/>
        <v>8.3954008854039263E-4</v>
      </c>
      <c r="M2257" s="894"/>
      <c r="O2257" s="733"/>
    </row>
    <row r="2258" spans="1:15" s="115" customFormat="1" ht="15" customHeight="1" x14ac:dyDescent="0.25">
      <c r="A2258" s="396"/>
      <c r="B2258" s="1004"/>
      <c r="C2258" s="1004"/>
      <c r="D2258" s="1004" t="s">
        <v>9379</v>
      </c>
      <c r="E2258" s="854">
        <v>333933000000000</v>
      </c>
      <c r="F2258" s="855" t="s">
        <v>9086</v>
      </c>
      <c r="G2258" s="468">
        <v>4090</v>
      </c>
      <c r="H2258" s="468">
        <v>0</v>
      </c>
      <c r="I2258" s="751"/>
      <c r="J2258" s="789">
        <v>0</v>
      </c>
      <c r="K2258" s="789">
        <f>('Parâmetros financeiros Despesa'!F1688*(1+'Parâmetros financeiros Despesa'!F$4)*(1+'Parâmetros financeiros Despesa'!F$7))</f>
        <v>4361.326</v>
      </c>
      <c r="L2258" s="799">
        <f t="shared" si="279"/>
        <v>6.716320708323141E-3</v>
      </c>
      <c r="M2258" s="894"/>
      <c r="O2258" s="733"/>
    </row>
    <row r="2259" spans="1:15" s="115" customFormat="1" ht="15" customHeight="1" x14ac:dyDescent="0.25">
      <c r="A2259" s="396"/>
      <c r="B2259" s="1004"/>
      <c r="C2259" s="1004"/>
      <c r="D2259" s="1004" t="s">
        <v>9382</v>
      </c>
      <c r="E2259" s="854">
        <v>333933900000000</v>
      </c>
      <c r="F2259" s="855" t="s">
        <v>9381</v>
      </c>
      <c r="G2259" s="468">
        <v>4090</v>
      </c>
      <c r="H2259" s="468">
        <v>0</v>
      </c>
      <c r="I2259" s="751"/>
      <c r="J2259" s="789">
        <v>0</v>
      </c>
      <c r="K2259" s="789">
        <f>('Parâmetros financeiros Despesa'!F1689*(1+'Parâmetros financeiros Despesa'!F$4)*(1+'Parâmetros financeiros Despesa'!F$7))</f>
        <v>4361.326</v>
      </c>
      <c r="L2259" s="799">
        <f t="shared" si="279"/>
        <v>6.716320708323141E-3</v>
      </c>
      <c r="M2259" s="894"/>
      <c r="O2259" s="733"/>
    </row>
    <row r="2260" spans="1:15" s="115" customFormat="1" ht="15" customHeight="1" x14ac:dyDescent="0.25">
      <c r="A2260" s="396"/>
      <c r="B2260" s="876"/>
      <c r="C2260" s="876"/>
      <c r="D2260" s="1004" t="s">
        <v>9408</v>
      </c>
      <c r="E2260" s="854">
        <v>344905200000000</v>
      </c>
      <c r="F2260" s="855" t="s">
        <v>9073</v>
      </c>
      <c r="G2260" s="468">
        <v>4090</v>
      </c>
      <c r="H2260" s="468">
        <v>0</v>
      </c>
      <c r="I2260" s="751"/>
      <c r="J2260" s="789">
        <v>0</v>
      </c>
      <c r="K2260" s="789">
        <f>('Parâmetros financeiros Despesa'!F1690*(1+'Parâmetros financeiros Despesa'!F$4)*(1+'Parâmetros financeiros Despesa'!F$7))</f>
        <v>4361.326</v>
      </c>
      <c r="L2260" s="799">
        <f t="shared" si="279"/>
        <v>6.716320708323141E-3</v>
      </c>
      <c r="M2260" s="894"/>
      <c r="O2260" s="733"/>
    </row>
    <row r="2261" spans="1:15" ht="15" customHeight="1" x14ac:dyDescent="0.25">
      <c r="A2261" s="397"/>
      <c r="B2261" s="1382" t="s">
        <v>8699</v>
      </c>
      <c r="C2261" s="1382"/>
      <c r="D2261" s="1382"/>
      <c r="E2261" s="1382"/>
      <c r="F2261" s="1382"/>
      <c r="G2261" s="405"/>
      <c r="H2261" s="405"/>
      <c r="I2261" s="428"/>
      <c r="J2261" s="406">
        <f t="shared" ref="J2261:K2263" si="280">J2262</f>
        <v>0</v>
      </c>
      <c r="K2261" s="406">
        <f t="shared" si="280"/>
        <v>90902</v>
      </c>
      <c r="L2261" s="453">
        <f>K2261/K$2399</f>
        <v>0.13998655111495681</v>
      </c>
    </row>
    <row r="2262" spans="1:15" x14ac:dyDescent="0.25">
      <c r="A2262" s="397"/>
      <c r="B2262" s="1383" t="s">
        <v>8812</v>
      </c>
      <c r="C2262" s="1383"/>
      <c r="D2262" s="1383"/>
      <c r="E2262" s="1383"/>
      <c r="F2262" s="1383"/>
      <c r="G2262" s="407"/>
      <c r="H2262" s="407"/>
      <c r="I2262" s="429"/>
      <c r="J2262" s="408">
        <f t="shared" si="280"/>
        <v>0</v>
      </c>
      <c r="K2262" s="408">
        <f t="shared" si="280"/>
        <v>90902</v>
      </c>
      <c r="L2262" s="454">
        <f>K2262/K$2399</f>
        <v>0.13998655111495681</v>
      </c>
    </row>
    <row r="2263" spans="1:15" x14ac:dyDescent="0.25">
      <c r="A2263" s="397"/>
      <c r="B2263" s="1386" t="s">
        <v>9042</v>
      </c>
      <c r="C2263" s="1386"/>
      <c r="D2263" s="1386"/>
      <c r="E2263" s="1386"/>
      <c r="F2263" s="1386"/>
      <c r="G2263" s="403"/>
      <c r="H2263" s="403"/>
      <c r="I2263" s="427"/>
      <c r="J2263" s="404">
        <f t="shared" si="280"/>
        <v>0</v>
      </c>
      <c r="K2263" s="404">
        <f t="shared" si="280"/>
        <v>90902</v>
      </c>
      <c r="L2263" s="452">
        <f>K2263/K$2399</f>
        <v>0.13998655111495681</v>
      </c>
    </row>
    <row r="2264" spans="1:15" x14ac:dyDescent="0.25">
      <c r="A2264" s="397"/>
      <c r="B2264" s="1385" t="s">
        <v>8698</v>
      </c>
      <c r="C2264" s="1385"/>
      <c r="D2264" s="1385"/>
      <c r="E2264" s="1385"/>
      <c r="F2264" s="1385"/>
      <c r="G2264" s="401"/>
      <c r="H2264" s="401"/>
      <c r="I2264" s="426"/>
      <c r="J2264" s="402">
        <f>SUM(J2265:J2278)</f>
        <v>0</v>
      </c>
      <c r="K2264" s="402">
        <f>SUM(K2265:K2278)</f>
        <v>90902</v>
      </c>
      <c r="L2264" s="451">
        <f>K2264/K$2399</f>
        <v>0.13998655111495681</v>
      </c>
    </row>
    <row r="2265" spans="1:15" s="115" customFormat="1" x14ac:dyDescent="0.25">
      <c r="A2265" s="396"/>
      <c r="B2265" s="1004"/>
      <c r="C2265" s="1004"/>
      <c r="D2265" s="1004" t="s">
        <v>9347</v>
      </c>
      <c r="E2265" s="854">
        <v>333904700000000</v>
      </c>
      <c r="F2265" s="855" t="s">
        <v>9038</v>
      </c>
      <c r="G2265" s="468">
        <v>1144</v>
      </c>
      <c r="H2265" s="468">
        <v>0</v>
      </c>
      <c r="I2265" s="751"/>
      <c r="J2265" s="789">
        <f>'Parâmetros financeiros Despesa'!E1693</f>
        <v>0</v>
      </c>
      <c r="K2265" s="789">
        <f>'Parâmetros financeiros Despesa'!F1693</f>
        <v>0.2</v>
      </c>
      <c r="L2265" s="799">
        <f>K2265/K$2399</f>
        <v>3.079944360189145E-7</v>
      </c>
      <c r="M2265" s="894"/>
      <c r="O2265" s="733"/>
    </row>
    <row r="2266" spans="1:15" s="115" customFormat="1" x14ac:dyDescent="0.25">
      <c r="A2266" s="396"/>
      <c r="B2266" s="1004"/>
      <c r="C2266" s="1004"/>
      <c r="D2266" s="1004" t="s">
        <v>9348</v>
      </c>
      <c r="E2266" s="854">
        <v>333904700000000</v>
      </c>
      <c r="F2266" s="855" t="s">
        <v>9039</v>
      </c>
      <c r="G2266" s="468">
        <v>4293</v>
      </c>
      <c r="H2266" s="468">
        <v>0</v>
      </c>
      <c r="I2266" s="751"/>
      <c r="J2266" s="789">
        <f>'Parâmetros financeiros Despesa'!E1701</f>
        <v>0</v>
      </c>
      <c r="K2266" s="789">
        <f>'Parâmetros financeiros Despesa'!F1701</f>
        <v>0.2</v>
      </c>
      <c r="L2266" s="799">
        <f t="shared" ref="L2266:L2278" si="281">K2266/K$2399</f>
        <v>3.079944360189145E-7</v>
      </c>
      <c r="M2266" s="894"/>
      <c r="O2266" s="733"/>
    </row>
    <row r="2267" spans="1:15" s="115" customFormat="1" x14ac:dyDescent="0.25">
      <c r="A2267" s="396"/>
      <c r="B2267" s="1002"/>
      <c r="C2267" s="1002"/>
      <c r="D2267" s="1002">
        <v>640200</v>
      </c>
      <c r="E2267" s="854">
        <v>344309300000000</v>
      </c>
      <c r="F2267" s="855" t="s">
        <v>9030</v>
      </c>
      <c r="G2267" s="468">
        <v>1144</v>
      </c>
      <c r="H2267" s="468">
        <v>0</v>
      </c>
      <c r="I2267" s="751"/>
      <c r="J2267" s="789">
        <f>'Parâmetros financeiros Despesa'!E1694</f>
        <v>0</v>
      </c>
      <c r="K2267" s="789">
        <f>'Parâmetros financeiros Despesa'!F1694</f>
        <v>1</v>
      </c>
      <c r="L2267" s="799">
        <f t="shared" si="281"/>
        <v>1.5399721800945725E-6</v>
      </c>
      <c r="M2267" s="894"/>
      <c r="O2267" s="733"/>
    </row>
    <row r="2268" spans="1:15" s="115" customFormat="1" x14ac:dyDescent="0.25">
      <c r="A2268" s="396"/>
      <c r="B2268" s="1002"/>
      <c r="C2268" s="1002"/>
      <c r="D2268" s="1002">
        <v>640300</v>
      </c>
      <c r="E2268" s="854">
        <v>344309300000000</v>
      </c>
      <c r="F2268" s="855" t="s">
        <v>9031</v>
      </c>
      <c r="G2268" s="468">
        <v>4293</v>
      </c>
      <c r="H2268" s="468">
        <v>0</v>
      </c>
      <c r="I2268" s="751"/>
      <c r="J2268" s="789">
        <f>'Parâmetros financeiros Despesa'!E1702</f>
        <v>0</v>
      </c>
      <c r="K2268" s="789">
        <f>'Parâmetros financeiros Despesa'!F1702</f>
        <v>1</v>
      </c>
      <c r="L2268" s="799">
        <f t="shared" si="281"/>
        <v>1.5399721800945725E-6</v>
      </c>
      <c r="M2268" s="894"/>
      <c r="O2268" s="733"/>
    </row>
    <row r="2269" spans="1:15" s="115" customFormat="1" x14ac:dyDescent="0.25">
      <c r="A2269" s="396"/>
      <c r="B2269" s="1002"/>
      <c r="C2269" s="1002"/>
      <c r="D2269" s="1002">
        <v>640400</v>
      </c>
      <c r="E2269" s="854">
        <v>344903000000000</v>
      </c>
      <c r="F2269" s="855" t="s">
        <v>9032</v>
      </c>
      <c r="G2269" s="468">
        <v>1144</v>
      </c>
      <c r="H2269" s="468">
        <v>0</v>
      </c>
      <c r="I2269" s="751"/>
      <c r="J2269" s="789">
        <f>'Parâmetros financeiros Despesa'!E1695</f>
        <v>0</v>
      </c>
      <c r="K2269" s="789">
        <f>'Parâmetros financeiros Despesa'!F1695</f>
        <v>1</v>
      </c>
      <c r="L2269" s="799">
        <f t="shared" si="281"/>
        <v>1.5399721800945725E-6</v>
      </c>
      <c r="M2269" s="894"/>
      <c r="O2269" s="733"/>
    </row>
    <row r="2270" spans="1:15" s="115" customFormat="1" x14ac:dyDescent="0.25">
      <c r="A2270" s="396"/>
      <c r="B2270" s="1002"/>
      <c r="C2270" s="1002"/>
      <c r="D2270" s="1002">
        <v>640500</v>
      </c>
      <c r="E2270" s="854">
        <v>344903000000000</v>
      </c>
      <c r="F2270" s="855" t="s">
        <v>9033</v>
      </c>
      <c r="G2270" s="468">
        <v>4293</v>
      </c>
      <c r="H2270" s="468">
        <v>0</v>
      </c>
      <c r="I2270" s="751"/>
      <c r="J2270" s="789">
        <f>'Parâmetros financeiros Despesa'!E1703</f>
        <v>0</v>
      </c>
      <c r="K2270" s="789">
        <f>'Parâmetros financeiros Despesa'!F1703</f>
        <v>1</v>
      </c>
      <c r="L2270" s="799">
        <f t="shared" si="281"/>
        <v>1.5399721800945725E-6</v>
      </c>
      <c r="M2270" s="894"/>
      <c r="O2270" s="733"/>
    </row>
    <row r="2271" spans="1:15" s="115" customFormat="1" x14ac:dyDescent="0.25">
      <c r="A2271" s="396"/>
      <c r="B2271" s="1004"/>
      <c r="C2271" s="1004"/>
      <c r="D2271" s="1004" t="s">
        <v>11190</v>
      </c>
      <c r="E2271" s="854">
        <v>344903600000000</v>
      </c>
      <c r="F2271" s="855" t="s">
        <v>9034</v>
      </c>
      <c r="G2271" s="468">
        <v>1144</v>
      </c>
      <c r="H2271" s="468">
        <v>0</v>
      </c>
      <c r="I2271" s="751"/>
      <c r="J2271" s="789">
        <f>'Parâmetros financeiros Despesa'!E1696</f>
        <v>0</v>
      </c>
      <c r="K2271" s="789">
        <f>'Parâmetros financeiros Despesa'!F1696</f>
        <v>1</v>
      </c>
      <c r="L2271" s="799">
        <f t="shared" si="281"/>
        <v>1.5399721800945725E-6</v>
      </c>
      <c r="M2271" s="894"/>
      <c r="O2271" s="733"/>
    </row>
    <row r="2272" spans="1:15" s="115" customFormat="1" x14ac:dyDescent="0.25">
      <c r="A2272" s="396"/>
      <c r="B2272" s="1004"/>
      <c r="C2272" s="1004"/>
      <c r="D2272" s="1004" t="s">
        <v>11191</v>
      </c>
      <c r="E2272" s="854">
        <v>344903600000000</v>
      </c>
      <c r="F2272" s="855" t="s">
        <v>9035</v>
      </c>
      <c r="G2272" s="468">
        <v>4293</v>
      </c>
      <c r="H2272" s="468">
        <v>0</v>
      </c>
      <c r="I2272" s="751"/>
      <c r="J2272" s="789">
        <f>'Parâmetros financeiros Despesa'!E1704</f>
        <v>0</v>
      </c>
      <c r="K2272" s="789">
        <f>'Parâmetros financeiros Despesa'!F1704</f>
        <v>1</v>
      </c>
      <c r="L2272" s="799">
        <f t="shared" si="281"/>
        <v>1.5399721800945725E-6</v>
      </c>
      <c r="M2272" s="894"/>
      <c r="O2272" s="733"/>
    </row>
    <row r="2273" spans="1:15" s="115" customFormat="1" x14ac:dyDescent="0.25">
      <c r="A2273" s="396"/>
      <c r="B2273" s="1004"/>
      <c r="C2273" s="1004"/>
      <c r="D2273" s="1004" t="s">
        <v>11192</v>
      </c>
      <c r="E2273" s="854">
        <v>344903900000000</v>
      </c>
      <c r="F2273" s="855" t="s">
        <v>9036</v>
      </c>
      <c r="G2273" s="468">
        <v>40</v>
      </c>
      <c r="H2273" s="468">
        <v>0</v>
      </c>
      <c r="I2273" s="751"/>
      <c r="J2273" s="789">
        <f>'Parâmetros financeiros Despesa'!E1697</f>
        <v>0</v>
      </c>
      <c r="K2273" s="789">
        <f>'Parâmetros financeiros Despesa'!F1697</f>
        <v>1</v>
      </c>
      <c r="L2273" s="799">
        <f t="shared" si="281"/>
        <v>1.5399721800945725E-6</v>
      </c>
      <c r="M2273" s="894"/>
      <c r="O2273" s="733"/>
    </row>
    <row r="2274" spans="1:15" s="115" customFormat="1" x14ac:dyDescent="0.25">
      <c r="A2274" s="396"/>
      <c r="B2274" s="1004"/>
      <c r="C2274" s="1004"/>
      <c r="D2274" s="1004" t="s">
        <v>9349</v>
      </c>
      <c r="E2274" s="854">
        <v>344903900000000</v>
      </c>
      <c r="F2274" s="855" t="s">
        <v>9037</v>
      </c>
      <c r="G2274" s="468">
        <v>40</v>
      </c>
      <c r="H2274" s="468">
        <v>0</v>
      </c>
      <c r="I2274" s="751"/>
      <c r="J2274" s="789">
        <f>'Parâmetros financeiros Despesa'!E1705</f>
        <v>0</v>
      </c>
      <c r="K2274" s="789">
        <f>'Parâmetros financeiros Despesa'!F1705</f>
        <v>1</v>
      </c>
      <c r="L2274" s="799">
        <f t="shared" si="281"/>
        <v>1.5399721800945725E-6</v>
      </c>
      <c r="M2274" s="894"/>
      <c r="O2274" s="733"/>
    </row>
    <row r="2275" spans="1:15" s="115" customFormat="1" x14ac:dyDescent="0.25">
      <c r="A2275" s="396"/>
      <c r="B2275" s="1004"/>
      <c r="C2275" s="1004"/>
      <c r="D2275" s="1004" t="s">
        <v>9350</v>
      </c>
      <c r="E2275" s="854">
        <v>344903900000000</v>
      </c>
      <c r="F2275" s="855" t="s">
        <v>9036</v>
      </c>
      <c r="G2275" s="468">
        <v>1144</v>
      </c>
      <c r="H2275" s="468">
        <v>0</v>
      </c>
      <c r="I2275" s="751"/>
      <c r="J2275" s="789">
        <f>'Parâmetros financeiros Despesa'!E1698</f>
        <v>0</v>
      </c>
      <c r="K2275" s="789">
        <f>'Parâmetros financeiros Despesa'!F1698</f>
        <v>1</v>
      </c>
      <c r="L2275" s="799">
        <f t="shared" si="281"/>
        <v>1.5399721800945725E-6</v>
      </c>
      <c r="M2275" s="894"/>
      <c r="O2275" s="733"/>
    </row>
    <row r="2276" spans="1:15" s="115" customFormat="1" x14ac:dyDescent="0.25">
      <c r="A2276" s="396"/>
      <c r="B2276" s="1004"/>
      <c r="C2276" s="1004"/>
      <c r="D2276" s="1004" t="s">
        <v>9351</v>
      </c>
      <c r="E2276" s="854">
        <v>344903900000000</v>
      </c>
      <c r="F2276" s="855" t="s">
        <v>9037</v>
      </c>
      <c r="G2276" s="468">
        <v>4293</v>
      </c>
      <c r="H2276" s="468">
        <v>0</v>
      </c>
      <c r="I2276" s="751"/>
      <c r="J2276" s="789">
        <f>'Parâmetros financeiros Despesa'!E1706</f>
        <v>0</v>
      </c>
      <c r="K2276" s="789">
        <f>'Parâmetros financeiros Despesa'!F1706</f>
        <v>50</v>
      </c>
      <c r="L2276" s="799">
        <f t="shared" si="281"/>
        <v>7.6998609004728615E-5</v>
      </c>
      <c r="M2276" s="894"/>
      <c r="O2276" s="733"/>
    </row>
    <row r="2277" spans="1:15" s="115" customFormat="1" x14ac:dyDescent="0.25">
      <c r="A2277" s="396"/>
      <c r="B2277" s="1004"/>
      <c r="C2277" s="1004"/>
      <c r="D2277" s="1004" t="s">
        <v>9352</v>
      </c>
      <c r="E2277" s="854">
        <v>344905200000000</v>
      </c>
      <c r="F2277" s="855" t="s">
        <v>9040</v>
      </c>
      <c r="G2277" s="468">
        <v>1144</v>
      </c>
      <c r="H2277" s="468">
        <v>0</v>
      </c>
      <c r="I2277" s="751"/>
      <c r="J2277" s="789">
        <f>'Parâmetros financeiros Despesa'!E1699</f>
        <v>0</v>
      </c>
      <c r="K2277" s="789">
        <f>'Parâmetros financeiros Despesa'!F1699</f>
        <v>495.8</v>
      </c>
      <c r="L2277" s="799">
        <f t="shared" si="281"/>
        <v>7.63518206890889E-4</v>
      </c>
      <c r="M2277" s="894"/>
      <c r="O2277" s="733"/>
    </row>
    <row r="2278" spans="1:15" s="115" customFormat="1" x14ac:dyDescent="0.25">
      <c r="A2278" s="396"/>
      <c r="B2278" s="1004"/>
      <c r="C2278" s="1004"/>
      <c r="D2278" s="1004" t="s">
        <v>9353</v>
      </c>
      <c r="E2278" s="854">
        <v>344905200000000</v>
      </c>
      <c r="F2278" s="855" t="s">
        <v>9041</v>
      </c>
      <c r="G2278" s="468">
        <v>4293</v>
      </c>
      <c r="H2278" s="468">
        <v>0</v>
      </c>
      <c r="I2278" s="751"/>
      <c r="J2278" s="789">
        <f>'Parâmetros financeiros Despesa'!E1707</f>
        <v>0</v>
      </c>
      <c r="K2278" s="789">
        <f>'Parâmetros financeiros Despesa'!F1707</f>
        <v>90346.8</v>
      </c>
      <c r="L2278" s="799">
        <f t="shared" si="281"/>
        <v>0.13913155856056833</v>
      </c>
      <c r="M2278" s="894"/>
      <c r="O2278" s="733"/>
    </row>
    <row r="2279" spans="1:15" x14ac:dyDescent="0.25">
      <c r="A2279" s="397"/>
      <c r="B2279" s="1382" t="s">
        <v>8699</v>
      </c>
      <c r="C2279" s="1382"/>
      <c r="D2279" s="1382"/>
      <c r="E2279" s="1382"/>
      <c r="F2279" s="1382"/>
      <c r="G2279" s="405"/>
      <c r="H2279" s="405"/>
      <c r="I2279" s="428"/>
      <c r="J2279" s="406">
        <f t="shared" ref="J2279:K2281" si="282">J2280</f>
        <v>0</v>
      </c>
      <c r="K2279" s="406">
        <f t="shared" si="282"/>
        <v>70302</v>
      </c>
      <c r="L2279" s="453">
        <f>K2279/K$2399</f>
        <v>0.10826312420500862</v>
      </c>
    </row>
    <row r="2280" spans="1:15" x14ac:dyDescent="0.25">
      <c r="A2280" s="397"/>
      <c r="B2280" s="1383" t="s">
        <v>8812</v>
      </c>
      <c r="C2280" s="1383"/>
      <c r="D2280" s="1383"/>
      <c r="E2280" s="1383"/>
      <c r="F2280" s="1383"/>
      <c r="G2280" s="407"/>
      <c r="H2280" s="407"/>
      <c r="I2280" s="429"/>
      <c r="J2280" s="408">
        <f t="shared" si="282"/>
        <v>0</v>
      </c>
      <c r="K2280" s="408">
        <f t="shared" si="282"/>
        <v>70302</v>
      </c>
      <c r="L2280" s="454">
        <f>K2280/K$2399</f>
        <v>0.10826312420500862</v>
      </c>
    </row>
    <row r="2281" spans="1:15" x14ac:dyDescent="0.25">
      <c r="A2281" s="397"/>
      <c r="B2281" s="1386" t="s">
        <v>9043</v>
      </c>
      <c r="C2281" s="1386"/>
      <c r="D2281" s="1386"/>
      <c r="E2281" s="1386"/>
      <c r="F2281" s="1386"/>
      <c r="G2281" s="403"/>
      <c r="H2281" s="403"/>
      <c r="I2281" s="427"/>
      <c r="J2281" s="404">
        <f t="shared" si="282"/>
        <v>0</v>
      </c>
      <c r="K2281" s="404">
        <f t="shared" si="282"/>
        <v>70302</v>
      </c>
      <c r="L2281" s="452">
        <f>K2281/K$2399</f>
        <v>0.10826312420500862</v>
      </c>
    </row>
    <row r="2282" spans="1:15" x14ac:dyDescent="0.25">
      <c r="A2282" s="397"/>
      <c r="B2282" s="1385" t="s">
        <v>8698</v>
      </c>
      <c r="C2282" s="1385"/>
      <c r="D2282" s="1385"/>
      <c r="E2282" s="1385"/>
      <c r="F2282" s="1385"/>
      <c r="G2282" s="401"/>
      <c r="H2282" s="401"/>
      <c r="I2282" s="426"/>
      <c r="J2282" s="402">
        <f>SUM(J2283:J2296)</f>
        <v>0</v>
      </c>
      <c r="K2282" s="402">
        <f>SUM(K2283:K2296)</f>
        <v>70302</v>
      </c>
      <c r="L2282" s="451">
        <f>K2282/K$2399</f>
        <v>0.10826312420500862</v>
      </c>
    </row>
    <row r="2283" spans="1:15" s="115" customFormat="1" x14ac:dyDescent="0.25">
      <c r="A2283" s="396"/>
      <c r="B2283" s="1004"/>
      <c r="C2283" s="1004"/>
      <c r="D2283" s="1004" t="s">
        <v>9357</v>
      </c>
      <c r="E2283" s="854">
        <v>333904700000000</v>
      </c>
      <c r="F2283" s="855" t="s">
        <v>9049</v>
      </c>
      <c r="G2283" s="468">
        <v>4241</v>
      </c>
      <c r="H2283" s="468">
        <v>0</v>
      </c>
      <c r="I2283" s="751"/>
      <c r="J2283" s="789">
        <f>'Parâmetros financeiros Despesa'!E1709</f>
        <v>0</v>
      </c>
      <c r="K2283" s="789">
        <f>'Parâmetros financeiros Despesa'!F1709</f>
        <v>0.2</v>
      </c>
      <c r="L2283" s="799">
        <f>K2283/K$2399</f>
        <v>3.079944360189145E-7</v>
      </c>
      <c r="M2283" s="894"/>
      <c r="O2283" s="733"/>
    </row>
    <row r="2284" spans="1:15" s="115" customFormat="1" x14ac:dyDescent="0.25">
      <c r="A2284" s="396"/>
      <c r="B2284" s="1004"/>
      <c r="C2284" s="1004"/>
      <c r="D2284" s="1004" t="s">
        <v>9358</v>
      </c>
      <c r="E2284" s="854">
        <v>333904700000000</v>
      </c>
      <c r="F2284" s="855" t="s">
        <v>9050</v>
      </c>
      <c r="G2284" s="468">
        <v>4295</v>
      </c>
      <c r="H2284" s="468">
        <v>0</v>
      </c>
      <c r="I2284" s="751"/>
      <c r="J2284" s="789">
        <f>'Parâmetros financeiros Despesa'!E1717</f>
        <v>0</v>
      </c>
      <c r="K2284" s="789">
        <f>'Parâmetros financeiros Despesa'!F1717</f>
        <v>0.2</v>
      </c>
      <c r="L2284" s="799">
        <f t="shared" ref="L2284:L2296" si="283">K2284/K$2399</f>
        <v>3.079944360189145E-7</v>
      </c>
      <c r="M2284" s="894"/>
      <c r="O2284" s="733"/>
    </row>
    <row r="2285" spans="1:15" s="115" customFormat="1" x14ac:dyDescent="0.25">
      <c r="A2285" s="396"/>
      <c r="B2285" s="1002"/>
      <c r="C2285" s="1002"/>
      <c r="D2285" s="1002">
        <v>643200</v>
      </c>
      <c r="E2285" s="854">
        <v>344309300000000</v>
      </c>
      <c r="F2285" s="855" t="s">
        <v>9051</v>
      </c>
      <c r="G2285" s="468">
        <v>4241</v>
      </c>
      <c r="H2285" s="468">
        <v>0</v>
      </c>
      <c r="I2285" s="751"/>
      <c r="J2285" s="789">
        <f>'Parâmetros financeiros Despesa'!E1710</f>
        <v>0</v>
      </c>
      <c r="K2285" s="789">
        <f>'Parâmetros financeiros Despesa'!F1710</f>
        <v>1</v>
      </c>
      <c r="L2285" s="799">
        <f t="shared" si="283"/>
        <v>1.5399721800945725E-6</v>
      </c>
      <c r="M2285" s="894"/>
      <c r="O2285" s="733"/>
    </row>
    <row r="2286" spans="1:15" s="115" customFormat="1" x14ac:dyDescent="0.25">
      <c r="A2286" s="396"/>
      <c r="B2286" s="1002"/>
      <c r="C2286" s="1002"/>
      <c r="D2286" s="1002">
        <v>643300</v>
      </c>
      <c r="E2286" s="854">
        <v>344309300000000</v>
      </c>
      <c r="F2286" s="855" t="s">
        <v>9048</v>
      </c>
      <c r="G2286" s="468">
        <v>4295</v>
      </c>
      <c r="H2286" s="468">
        <v>0</v>
      </c>
      <c r="I2286" s="751"/>
      <c r="J2286" s="789">
        <f>'Parâmetros financeiros Despesa'!E1718</f>
        <v>0</v>
      </c>
      <c r="K2286" s="789">
        <f>'Parâmetros financeiros Despesa'!F1718</f>
        <v>1</v>
      </c>
      <c r="L2286" s="799">
        <f t="shared" si="283"/>
        <v>1.5399721800945725E-6</v>
      </c>
      <c r="M2286" s="894"/>
      <c r="O2286" s="733"/>
    </row>
    <row r="2287" spans="1:15" s="115" customFormat="1" x14ac:dyDescent="0.25">
      <c r="A2287" s="396"/>
      <c r="B2287" s="1002"/>
      <c r="C2287" s="1002"/>
      <c r="D2287" s="1002">
        <v>643400</v>
      </c>
      <c r="E2287" s="854">
        <v>344903000000000</v>
      </c>
      <c r="F2287" s="855" t="s">
        <v>9052</v>
      </c>
      <c r="G2287" s="468">
        <v>4241</v>
      </c>
      <c r="H2287" s="468">
        <v>0</v>
      </c>
      <c r="I2287" s="751"/>
      <c r="J2287" s="789">
        <f>'Parâmetros financeiros Despesa'!E1711</f>
        <v>0</v>
      </c>
      <c r="K2287" s="789">
        <f>'Parâmetros financeiros Despesa'!F1711</f>
        <v>1</v>
      </c>
      <c r="L2287" s="799">
        <f t="shared" si="283"/>
        <v>1.5399721800945725E-6</v>
      </c>
      <c r="M2287" s="894"/>
      <c r="O2287" s="733"/>
    </row>
    <row r="2288" spans="1:15" s="115" customFormat="1" x14ac:dyDescent="0.25">
      <c r="A2288" s="396"/>
      <c r="B2288" s="1002"/>
      <c r="C2288" s="1002"/>
      <c r="D2288" s="1002">
        <v>643500</v>
      </c>
      <c r="E2288" s="854">
        <v>344903000000000</v>
      </c>
      <c r="F2288" s="855" t="s">
        <v>9055</v>
      </c>
      <c r="G2288" s="468">
        <v>4295</v>
      </c>
      <c r="H2288" s="468">
        <v>0</v>
      </c>
      <c r="I2288" s="751"/>
      <c r="J2288" s="789">
        <f>'Parâmetros financeiros Despesa'!E1719</f>
        <v>0</v>
      </c>
      <c r="K2288" s="789">
        <f>'Parâmetros financeiros Despesa'!F1719</f>
        <v>1</v>
      </c>
      <c r="L2288" s="799">
        <f t="shared" si="283"/>
        <v>1.5399721800945725E-6</v>
      </c>
      <c r="M2288" s="894"/>
      <c r="O2288" s="733"/>
    </row>
    <row r="2289" spans="1:15" s="115" customFormat="1" x14ac:dyDescent="0.25">
      <c r="A2289" s="396"/>
      <c r="B2289" s="1004"/>
      <c r="C2289" s="1004"/>
      <c r="D2289" s="1004" t="s">
        <v>9359</v>
      </c>
      <c r="E2289" s="854">
        <v>344903600000000</v>
      </c>
      <c r="F2289" s="855" t="s">
        <v>9053</v>
      </c>
      <c r="G2289" s="468">
        <v>4241</v>
      </c>
      <c r="H2289" s="468">
        <v>0</v>
      </c>
      <c r="I2289" s="751"/>
      <c r="J2289" s="789">
        <f>'Parâmetros financeiros Despesa'!E1712</f>
        <v>0</v>
      </c>
      <c r="K2289" s="789">
        <f>'Parâmetros financeiros Despesa'!F1712</f>
        <v>1</v>
      </c>
      <c r="L2289" s="799">
        <f t="shared" si="283"/>
        <v>1.5399721800945725E-6</v>
      </c>
      <c r="M2289" s="894"/>
      <c r="O2289" s="733"/>
    </row>
    <row r="2290" spans="1:15" s="115" customFormat="1" x14ac:dyDescent="0.25">
      <c r="A2290" s="396"/>
      <c r="B2290" s="1004"/>
      <c r="C2290" s="1004"/>
      <c r="D2290" s="1004" t="s">
        <v>9360</v>
      </c>
      <c r="E2290" s="854">
        <v>344903600000000</v>
      </c>
      <c r="F2290" s="855" t="s">
        <v>9056</v>
      </c>
      <c r="G2290" s="468">
        <v>4295</v>
      </c>
      <c r="H2290" s="468">
        <v>0</v>
      </c>
      <c r="I2290" s="751"/>
      <c r="J2290" s="789">
        <f>'Parâmetros financeiros Despesa'!E1720</f>
        <v>0</v>
      </c>
      <c r="K2290" s="789">
        <f>'Parâmetros financeiros Despesa'!F1720</f>
        <v>1</v>
      </c>
      <c r="L2290" s="799">
        <f t="shared" si="283"/>
        <v>1.5399721800945725E-6</v>
      </c>
      <c r="M2290" s="894"/>
      <c r="O2290" s="733"/>
    </row>
    <row r="2291" spans="1:15" s="115" customFormat="1" x14ac:dyDescent="0.25">
      <c r="A2291" s="396"/>
      <c r="B2291" s="1004"/>
      <c r="C2291" s="1004"/>
      <c r="D2291" s="1004" t="s">
        <v>9361</v>
      </c>
      <c r="E2291" s="854">
        <v>344903900000000</v>
      </c>
      <c r="F2291" s="855" t="s">
        <v>9054</v>
      </c>
      <c r="G2291" s="468">
        <v>40</v>
      </c>
      <c r="H2291" s="468">
        <v>0</v>
      </c>
      <c r="I2291" s="751"/>
      <c r="J2291" s="789">
        <f>'Parâmetros financeiros Despesa'!E1713</f>
        <v>0</v>
      </c>
      <c r="K2291" s="789">
        <f>'Parâmetros financeiros Despesa'!F1713</f>
        <v>1</v>
      </c>
      <c r="L2291" s="799">
        <f t="shared" si="283"/>
        <v>1.5399721800945725E-6</v>
      </c>
      <c r="M2291" s="894"/>
      <c r="O2291" s="733"/>
    </row>
    <row r="2292" spans="1:15" s="115" customFormat="1" x14ac:dyDescent="0.25">
      <c r="A2292" s="396"/>
      <c r="B2292" s="1004"/>
      <c r="C2292" s="1004"/>
      <c r="D2292" s="1004" t="s">
        <v>9362</v>
      </c>
      <c r="E2292" s="854">
        <v>344903900000000</v>
      </c>
      <c r="F2292" s="855" t="s">
        <v>9057</v>
      </c>
      <c r="G2292" s="468">
        <v>40</v>
      </c>
      <c r="H2292" s="468">
        <v>0</v>
      </c>
      <c r="I2292" s="751"/>
      <c r="J2292" s="789">
        <f>'Parâmetros financeiros Despesa'!E1721</f>
        <v>0</v>
      </c>
      <c r="K2292" s="789">
        <f>'Parâmetros financeiros Despesa'!F1721</f>
        <v>1</v>
      </c>
      <c r="L2292" s="799">
        <f t="shared" si="283"/>
        <v>1.5399721800945725E-6</v>
      </c>
      <c r="M2292" s="894"/>
      <c r="O2292" s="733"/>
    </row>
    <row r="2293" spans="1:15" s="115" customFormat="1" x14ac:dyDescent="0.25">
      <c r="A2293" s="396"/>
      <c r="B2293" s="1004"/>
      <c r="C2293" s="1004"/>
      <c r="D2293" s="1004" t="s">
        <v>9363</v>
      </c>
      <c r="E2293" s="854">
        <v>344903900000000</v>
      </c>
      <c r="F2293" s="855" t="s">
        <v>9054</v>
      </c>
      <c r="G2293" s="468">
        <v>4241</v>
      </c>
      <c r="H2293" s="468">
        <v>0</v>
      </c>
      <c r="I2293" s="751"/>
      <c r="J2293" s="789">
        <f>'Parâmetros financeiros Despesa'!E1714</f>
        <v>0</v>
      </c>
      <c r="K2293" s="789">
        <f>'Parâmetros financeiros Despesa'!F1714</f>
        <v>1</v>
      </c>
      <c r="L2293" s="799">
        <f t="shared" si="283"/>
        <v>1.5399721800945725E-6</v>
      </c>
      <c r="M2293" s="894"/>
      <c r="O2293" s="733"/>
    </row>
    <row r="2294" spans="1:15" s="115" customFormat="1" x14ac:dyDescent="0.25">
      <c r="A2294" s="396"/>
      <c r="B2294" s="1004"/>
      <c r="C2294" s="1004"/>
      <c r="D2294" s="1004" t="s">
        <v>9364</v>
      </c>
      <c r="E2294" s="854">
        <v>344903900000000</v>
      </c>
      <c r="F2294" s="855" t="s">
        <v>9057</v>
      </c>
      <c r="G2294" s="468">
        <v>4295</v>
      </c>
      <c r="H2294" s="468">
        <v>0</v>
      </c>
      <c r="I2294" s="751"/>
      <c r="J2294" s="789">
        <f>'Parâmetros financeiros Despesa'!E1722</f>
        <v>0</v>
      </c>
      <c r="K2294" s="789">
        <f>'Parâmetros financeiros Despesa'!F1722</f>
        <v>50</v>
      </c>
      <c r="L2294" s="799">
        <f t="shared" si="283"/>
        <v>7.6998609004728615E-5</v>
      </c>
      <c r="M2294" s="894"/>
      <c r="O2294" s="733"/>
    </row>
    <row r="2295" spans="1:15" s="115" customFormat="1" x14ac:dyDescent="0.25">
      <c r="A2295" s="396"/>
      <c r="B2295" s="1004"/>
      <c r="C2295" s="1004"/>
      <c r="D2295" s="1004" t="s">
        <v>9365</v>
      </c>
      <c r="E2295" s="854">
        <v>344905100000000</v>
      </c>
      <c r="F2295" s="855" t="s">
        <v>9367</v>
      </c>
      <c r="G2295" s="468">
        <v>4241</v>
      </c>
      <c r="H2295" s="468">
        <v>0</v>
      </c>
      <c r="I2295" s="751"/>
      <c r="J2295" s="789">
        <f>'Parâmetros financeiros Despesa'!E1715</f>
        <v>0</v>
      </c>
      <c r="K2295" s="789">
        <f>'Parâmetros financeiros Despesa'!F1715</f>
        <v>35195.800000000003</v>
      </c>
      <c r="L2295" s="799">
        <f t="shared" si="283"/>
        <v>5.4200552856172556E-2</v>
      </c>
      <c r="M2295" s="894"/>
      <c r="O2295" s="733"/>
    </row>
    <row r="2296" spans="1:15" s="115" customFormat="1" x14ac:dyDescent="0.25">
      <c r="A2296" s="396"/>
      <c r="B2296" s="1004"/>
      <c r="C2296" s="1004"/>
      <c r="D2296" s="1004" t="s">
        <v>9366</v>
      </c>
      <c r="E2296" s="854">
        <v>344905100000000</v>
      </c>
      <c r="F2296" s="855" t="s">
        <v>9368</v>
      </c>
      <c r="G2296" s="468">
        <v>4295</v>
      </c>
      <c r="H2296" s="468">
        <v>0</v>
      </c>
      <c r="I2296" s="751"/>
      <c r="J2296" s="789">
        <f>'Parâmetros financeiros Despesa'!E1723</f>
        <v>0</v>
      </c>
      <c r="K2296" s="789">
        <f>'Parâmetros financeiros Despesa'!F1723</f>
        <v>35046.800000000003</v>
      </c>
      <c r="L2296" s="799">
        <f t="shared" si="283"/>
        <v>5.3971097001338467E-2</v>
      </c>
      <c r="M2296" s="894"/>
      <c r="O2296" s="733"/>
    </row>
    <row r="2297" spans="1:15" x14ac:dyDescent="0.25">
      <c r="A2297" s="397"/>
      <c r="B2297" s="1382" t="s">
        <v>8699</v>
      </c>
      <c r="C2297" s="1382"/>
      <c r="D2297" s="1382"/>
      <c r="E2297" s="1382"/>
      <c r="F2297" s="1382"/>
      <c r="G2297" s="405"/>
      <c r="H2297" s="405"/>
      <c r="I2297" s="428"/>
      <c r="J2297" s="406">
        <f t="shared" ref="J2297:K2299" si="284">J2298</f>
        <v>0</v>
      </c>
      <c r="K2297" s="406">
        <f t="shared" si="284"/>
        <v>10794.64</v>
      </c>
      <c r="L2297" s="453">
        <f>K2297/K$2399</f>
        <v>1.6623445294136074E-2</v>
      </c>
    </row>
    <row r="2298" spans="1:15" x14ac:dyDescent="0.25">
      <c r="A2298" s="397"/>
      <c r="B2298" s="1383" t="s">
        <v>8812</v>
      </c>
      <c r="C2298" s="1383"/>
      <c r="D2298" s="1383"/>
      <c r="E2298" s="1383"/>
      <c r="F2298" s="1383"/>
      <c r="G2298" s="407"/>
      <c r="H2298" s="407"/>
      <c r="I2298" s="429"/>
      <c r="J2298" s="408">
        <f t="shared" si="284"/>
        <v>0</v>
      </c>
      <c r="K2298" s="408">
        <f t="shared" si="284"/>
        <v>10794.64</v>
      </c>
      <c r="L2298" s="454">
        <f>K2298/K$2399</f>
        <v>1.6623445294136074E-2</v>
      </c>
    </row>
    <row r="2299" spans="1:15" x14ac:dyDescent="0.25">
      <c r="A2299" s="397"/>
      <c r="B2299" s="1386" t="s">
        <v>9370</v>
      </c>
      <c r="C2299" s="1386"/>
      <c r="D2299" s="1386"/>
      <c r="E2299" s="1386"/>
      <c r="F2299" s="1386"/>
      <c r="G2299" s="403"/>
      <c r="H2299" s="403"/>
      <c r="I2299" s="427"/>
      <c r="J2299" s="404">
        <f t="shared" si="284"/>
        <v>0</v>
      </c>
      <c r="K2299" s="404">
        <f t="shared" si="284"/>
        <v>10794.64</v>
      </c>
      <c r="L2299" s="452">
        <f>K2299/K$2399</f>
        <v>1.6623445294136074E-2</v>
      </c>
    </row>
    <row r="2300" spans="1:15" x14ac:dyDescent="0.25">
      <c r="A2300" s="397"/>
      <c r="B2300" s="1385" t="s">
        <v>8698</v>
      </c>
      <c r="C2300" s="1385"/>
      <c r="D2300" s="1385"/>
      <c r="E2300" s="1385"/>
      <c r="F2300" s="1385"/>
      <c r="G2300" s="401"/>
      <c r="H2300" s="401"/>
      <c r="I2300" s="426"/>
      <c r="J2300" s="402">
        <f>SUM(J2301:J2303)</f>
        <v>0</v>
      </c>
      <c r="K2300" s="402">
        <f>SUM(K2301:K2303)</f>
        <v>10794.64</v>
      </c>
      <c r="L2300" s="451">
        <f>K2300/K$2399</f>
        <v>1.6623445294136074E-2</v>
      </c>
    </row>
    <row r="2301" spans="1:15" s="115" customFormat="1" x14ac:dyDescent="0.25">
      <c r="A2301" s="396"/>
      <c r="B2301" s="1002"/>
      <c r="C2301" s="1002"/>
      <c r="D2301" s="1002">
        <v>645000</v>
      </c>
      <c r="E2301" s="854">
        <v>344903000000000</v>
      </c>
      <c r="F2301" s="855" t="s">
        <v>9058</v>
      </c>
      <c r="G2301" s="468">
        <v>4050</v>
      </c>
      <c r="H2301" s="468">
        <v>0</v>
      </c>
      <c r="I2301" s="751"/>
      <c r="J2301" s="789">
        <f>'Parâmetros financeiros Despesa'!E1725</f>
        <v>0</v>
      </c>
      <c r="K2301" s="789">
        <f>'Parâmetros financeiros Despesa'!F1725</f>
        <v>1</v>
      </c>
      <c r="L2301" s="799">
        <f>K2301/K$2399</f>
        <v>1.5399721800945725E-6</v>
      </c>
      <c r="M2301" s="894"/>
      <c r="O2301" s="733"/>
    </row>
    <row r="2302" spans="1:15" s="115" customFormat="1" x14ac:dyDescent="0.25">
      <c r="A2302" s="396"/>
      <c r="B2302" s="1002"/>
      <c r="C2302" s="1002"/>
      <c r="D2302" s="1002">
        <v>645100</v>
      </c>
      <c r="E2302" s="854">
        <v>344903200000000</v>
      </c>
      <c r="F2302" s="855" t="s">
        <v>9060</v>
      </c>
      <c r="G2302" s="468">
        <v>4050</v>
      </c>
      <c r="H2302" s="468">
        <v>0</v>
      </c>
      <c r="I2302" s="751"/>
      <c r="J2302" s="789">
        <f>'Parâmetros financeiros Despesa'!E1726</f>
        <v>0</v>
      </c>
      <c r="K2302" s="789">
        <f>'Parâmetros financeiros Despesa'!F1726</f>
        <v>10792.64</v>
      </c>
      <c r="L2302" s="799">
        <f t="shared" ref="L2302:L2303" si="285">K2302/K$2399</f>
        <v>1.6620365349775887E-2</v>
      </c>
      <c r="M2302" s="894"/>
      <c r="O2302" s="733"/>
    </row>
    <row r="2303" spans="1:15" s="115" customFormat="1" x14ac:dyDescent="0.25">
      <c r="A2303" s="396"/>
      <c r="B2303" s="1004"/>
      <c r="C2303" s="1004"/>
      <c r="D2303" s="1004" t="s">
        <v>9369</v>
      </c>
      <c r="E2303" s="854">
        <v>344903900000000</v>
      </c>
      <c r="F2303" s="855" t="s">
        <v>9059</v>
      </c>
      <c r="G2303" s="468">
        <v>4050</v>
      </c>
      <c r="H2303" s="468">
        <v>0</v>
      </c>
      <c r="I2303" s="751"/>
      <c r="J2303" s="789">
        <f>'Parâmetros financeiros Despesa'!E1727</f>
        <v>0</v>
      </c>
      <c r="K2303" s="789">
        <f>'Parâmetros financeiros Despesa'!F1727</f>
        <v>1</v>
      </c>
      <c r="L2303" s="799">
        <f t="shared" si="285"/>
        <v>1.5399721800945725E-6</v>
      </c>
      <c r="M2303" s="894"/>
      <c r="O2303" s="733"/>
    </row>
    <row r="2304" spans="1:15" x14ac:dyDescent="0.25">
      <c r="A2304" s="397"/>
      <c r="B2304" s="1382" t="s">
        <v>8699</v>
      </c>
      <c r="C2304" s="1382"/>
      <c r="D2304" s="1382"/>
      <c r="E2304" s="1382"/>
      <c r="F2304" s="1382"/>
      <c r="G2304" s="405"/>
      <c r="H2304" s="405"/>
      <c r="I2304" s="428"/>
      <c r="J2304" s="406">
        <f t="shared" ref="J2304:K2306" si="286">J2305</f>
        <v>0</v>
      </c>
      <c r="K2304" s="406">
        <f t="shared" si="286"/>
        <v>9912.2900000000009</v>
      </c>
      <c r="L2304" s="453">
        <f>K2304/K$2399</f>
        <v>1.5264650841029631E-2</v>
      </c>
    </row>
    <row r="2305" spans="1:15" x14ac:dyDescent="0.25">
      <c r="A2305" s="397"/>
      <c r="B2305" s="1383" t="s">
        <v>8812</v>
      </c>
      <c r="C2305" s="1383"/>
      <c r="D2305" s="1383"/>
      <c r="E2305" s="1383"/>
      <c r="F2305" s="1383"/>
      <c r="G2305" s="407"/>
      <c r="H2305" s="407"/>
      <c r="I2305" s="429"/>
      <c r="J2305" s="408">
        <f t="shared" si="286"/>
        <v>0</v>
      </c>
      <c r="K2305" s="408">
        <f t="shared" si="286"/>
        <v>9912.2900000000009</v>
      </c>
      <c r="L2305" s="454">
        <f>K2305/K$2399</f>
        <v>1.5264650841029631E-2</v>
      </c>
    </row>
    <row r="2306" spans="1:15" x14ac:dyDescent="0.25">
      <c r="A2306" s="397"/>
      <c r="B2306" s="1386" t="s">
        <v>9044</v>
      </c>
      <c r="C2306" s="1386"/>
      <c r="D2306" s="1386"/>
      <c r="E2306" s="1386"/>
      <c r="F2306" s="1386"/>
      <c r="G2306" s="403"/>
      <c r="H2306" s="403"/>
      <c r="I2306" s="427"/>
      <c r="J2306" s="404">
        <f t="shared" si="286"/>
        <v>0</v>
      </c>
      <c r="K2306" s="404">
        <f t="shared" si="286"/>
        <v>9912.2900000000009</v>
      </c>
      <c r="L2306" s="452">
        <f>K2306/K$2399</f>
        <v>1.5264650841029631E-2</v>
      </c>
    </row>
    <row r="2307" spans="1:15" x14ac:dyDescent="0.25">
      <c r="A2307" s="397"/>
      <c r="B2307" s="1385" t="s">
        <v>8698</v>
      </c>
      <c r="C2307" s="1385"/>
      <c r="D2307" s="1385"/>
      <c r="E2307" s="1385"/>
      <c r="F2307" s="1385"/>
      <c r="G2307" s="401"/>
      <c r="H2307" s="401"/>
      <c r="I2307" s="426"/>
      <c r="J2307" s="402">
        <f>SUM(J2308:J2310)</f>
        <v>0</v>
      </c>
      <c r="K2307" s="402">
        <f>SUM(K2308:K2310)</f>
        <v>9912.2900000000009</v>
      </c>
      <c r="L2307" s="451">
        <f>K2307/K$2399</f>
        <v>1.5264650841029631E-2</v>
      </c>
    </row>
    <row r="2308" spans="1:15" s="115" customFormat="1" x14ac:dyDescent="0.25">
      <c r="A2308" s="396"/>
      <c r="B2308" s="1002"/>
      <c r="C2308" s="1002"/>
      <c r="D2308" s="1002">
        <v>646000</v>
      </c>
      <c r="E2308" s="854">
        <v>344903000000000</v>
      </c>
      <c r="F2308" s="855" t="s">
        <v>9061</v>
      </c>
      <c r="G2308" s="468">
        <v>4051</v>
      </c>
      <c r="H2308" s="468">
        <v>0</v>
      </c>
      <c r="I2308" s="751"/>
      <c r="J2308" s="789">
        <f>'Parâmetros financeiros Despesa'!E1729</f>
        <v>0</v>
      </c>
      <c r="K2308" s="789">
        <f>'Parâmetros financeiros Despesa'!F1729</f>
        <v>1801</v>
      </c>
      <c r="L2308" s="799">
        <f>K2308/K$2399</f>
        <v>2.7734898963503248E-3</v>
      </c>
      <c r="M2308" s="894"/>
      <c r="O2308" s="733"/>
    </row>
    <row r="2309" spans="1:15" s="115" customFormat="1" x14ac:dyDescent="0.25">
      <c r="A2309" s="396"/>
      <c r="B2309" s="1002"/>
      <c r="C2309" s="1002"/>
      <c r="D2309" s="1002">
        <v>646100</v>
      </c>
      <c r="E2309" s="854">
        <v>344903200000000</v>
      </c>
      <c r="F2309" s="855" t="s">
        <v>9062</v>
      </c>
      <c r="G2309" s="468">
        <v>4051</v>
      </c>
      <c r="H2309" s="468">
        <v>0</v>
      </c>
      <c r="I2309" s="751"/>
      <c r="J2309" s="789">
        <f>'Parâmetros financeiros Despesa'!E1730</f>
        <v>0</v>
      </c>
      <c r="K2309" s="789">
        <f>'Parâmetros financeiros Despesa'!F1730</f>
        <v>8110.2900000000009</v>
      </c>
      <c r="L2309" s="799">
        <f t="shared" ref="L2309:L2310" si="287">K2309/K$2399</f>
        <v>1.2489620972499211E-2</v>
      </c>
      <c r="M2309" s="894"/>
      <c r="O2309" s="733"/>
    </row>
    <row r="2310" spans="1:15" s="115" customFormat="1" x14ac:dyDescent="0.25">
      <c r="A2310" s="396"/>
      <c r="B2310" s="1004"/>
      <c r="C2310" s="1004"/>
      <c r="D2310" s="1004" t="s">
        <v>9371</v>
      </c>
      <c r="E2310" s="854">
        <v>344903900000000</v>
      </c>
      <c r="F2310" s="855" t="s">
        <v>9063</v>
      </c>
      <c r="G2310" s="468">
        <v>4051</v>
      </c>
      <c r="H2310" s="468">
        <v>0</v>
      </c>
      <c r="I2310" s="751"/>
      <c r="J2310" s="789">
        <f>'Parâmetros financeiros Despesa'!E1731</f>
        <v>0</v>
      </c>
      <c r="K2310" s="789">
        <f>'Parâmetros financeiros Despesa'!F1731</f>
        <v>1</v>
      </c>
      <c r="L2310" s="799">
        <f t="shared" si="287"/>
        <v>1.5399721800945725E-6</v>
      </c>
      <c r="M2310" s="894"/>
      <c r="O2310" s="733"/>
    </row>
    <row r="2311" spans="1:15" x14ac:dyDescent="0.25">
      <c r="A2311" s="397"/>
      <c r="B2311" s="1382" t="s">
        <v>8699</v>
      </c>
      <c r="C2311" s="1382"/>
      <c r="D2311" s="1382"/>
      <c r="E2311" s="1382"/>
      <c r="F2311" s="1382"/>
      <c r="G2311" s="405"/>
      <c r="H2311" s="405"/>
      <c r="I2311" s="428"/>
      <c r="J2311" s="406">
        <f t="shared" ref="J2311:K2313" si="288">J2312</f>
        <v>0</v>
      </c>
      <c r="K2311" s="406">
        <f t="shared" si="288"/>
        <v>115202</v>
      </c>
      <c r="L2311" s="453">
        <f>K2311/K$2399</f>
        <v>0.17740787509125494</v>
      </c>
    </row>
    <row r="2312" spans="1:15" x14ac:dyDescent="0.25">
      <c r="A2312" s="397"/>
      <c r="B2312" s="1383" t="s">
        <v>8812</v>
      </c>
      <c r="C2312" s="1383"/>
      <c r="D2312" s="1383"/>
      <c r="E2312" s="1383"/>
      <c r="F2312" s="1383"/>
      <c r="G2312" s="407"/>
      <c r="H2312" s="407"/>
      <c r="I2312" s="429"/>
      <c r="J2312" s="408">
        <f t="shared" si="288"/>
        <v>0</v>
      </c>
      <c r="K2312" s="408">
        <f t="shared" si="288"/>
        <v>115202</v>
      </c>
      <c r="L2312" s="454">
        <f>K2312/K$2399</f>
        <v>0.17740787509125494</v>
      </c>
    </row>
    <row r="2313" spans="1:15" x14ac:dyDescent="0.25">
      <c r="A2313" s="397"/>
      <c r="B2313" s="1386" t="s">
        <v>9393</v>
      </c>
      <c r="C2313" s="1386"/>
      <c r="D2313" s="1386"/>
      <c r="E2313" s="1386"/>
      <c r="F2313" s="1386"/>
      <c r="G2313" s="403"/>
      <c r="H2313" s="403"/>
      <c r="I2313" s="427"/>
      <c r="J2313" s="404">
        <f t="shared" si="288"/>
        <v>0</v>
      </c>
      <c r="K2313" s="404">
        <f t="shared" si="288"/>
        <v>115202</v>
      </c>
      <c r="L2313" s="452">
        <f>K2313/K$2399</f>
        <v>0.17740787509125494</v>
      </c>
    </row>
    <row r="2314" spans="1:15" x14ac:dyDescent="0.25">
      <c r="A2314" s="397"/>
      <c r="B2314" s="1385" t="s">
        <v>8698</v>
      </c>
      <c r="C2314" s="1385"/>
      <c r="D2314" s="1385"/>
      <c r="E2314" s="1385"/>
      <c r="F2314" s="1385"/>
      <c r="G2314" s="401"/>
      <c r="H2314" s="401"/>
      <c r="I2314" s="426"/>
      <c r="J2314" s="402">
        <f>SUM(J2315:J2328)</f>
        <v>0</v>
      </c>
      <c r="K2314" s="402">
        <f>SUM(K2315:K2328)</f>
        <v>115202</v>
      </c>
      <c r="L2314" s="451">
        <f>K2314/K$2399</f>
        <v>0.17740787509125494</v>
      </c>
    </row>
    <row r="2315" spans="1:15" s="115" customFormat="1" x14ac:dyDescent="0.25">
      <c r="A2315" s="396"/>
      <c r="B2315" s="1004"/>
      <c r="C2315" s="1004"/>
      <c r="D2315" s="1004" t="s">
        <v>9383</v>
      </c>
      <c r="E2315" s="854">
        <v>333904700000000</v>
      </c>
      <c r="F2315" s="855" t="s">
        <v>9101</v>
      </c>
      <c r="G2315" s="468">
        <v>1143</v>
      </c>
      <c r="H2315" s="468">
        <v>0</v>
      </c>
      <c r="I2315" s="751"/>
      <c r="J2315" s="789">
        <f>'Parâmetros financeiros Despesa'!E1733</f>
        <v>0</v>
      </c>
      <c r="K2315" s="789">
        <f>'Parâmetros financeiros Despesa'!F1733</f>
        <v>0.2</v>
      </c>
      <c r="L2315" s="799">
        <f>K2315/K$2399</f>
        <v>3.079944360189145E-7</v>
      </c>
      <c r="M2315" s="894"/>
      <c r="O2315" s="733"/>
    </row>
    <row r="2316" spans="1:15" s="115" customFormat="1" x14ac:dyDescent="0.25">
      <c r="A2316" s="396"/>
      <c r="B2316" s="1004"/>
      <c r="C2316" s="1004"/>
      <c r="D2316" s="1004" t="s">
        <v>9384</v>
      </c>
      <c r="E2316" s="854">
        <v>333904700000000</v>
      </c>
      <c r="F2316" s="855" t="s">
        <v>9094</v>
      </c>
      <c r="G2316" s="468">
        <v>4292</v>
      </c>
      <c r="H2316" s="468">
        <v>0</v>
      </c>
      <c r="I2316" s="751"/>
      <c r="J2316" s="789">
        <f>'Parâmetros financeiros Despesa'!E1741</f>
        <v>0</v>
      </c>
      <c r="K2316" s="789">
        <f>'Parâmetros financeiros Despesa'!F1741</f>
        <v>0.2</v>
      </c>
      <c r="L2316" s="799">
        <f t="shared" ref="L2316:L2328" si="289">K2316/K$2399</f>
        <v>3.079944360189145E-7</v>
      </c>
      <c r="M2316" s="894"/>
      <c r="O2316" s="733"/>
    </row>
    <row r="2317" spans="1:15" s="115" customFormat="1" x14ac:dyDescent="0.25">
      <c r="A2317" s="396"/>
      <c r="B2317" s="1002"/>
      <c r="C2317" s="1002"/>
      <c r="D2317" s="1002">
        <v>647200</v>
      </c>
      <c r="E2317" s="854">
        <v>344309300000000</v>
      </c>
      <c r="F2317" s="855" t="s">
        <v>9102</v>
      </c>
      <c r="G2317" s="468">
        <v>1143</v>
      </c>
      <c r="H2317" s="468">
        <v>0</v>
      </c>
      <c r="I2317" s="751"/>
      <c r="J2317" s="789">
        <f>'Parâmetros financeiros Despesa'!E1734</f>
        <v>0</v>
      </c>
      <c r="K2317" s="789">
        <f>'Parâmetros financeiros Despesa'!F1734</f>
        <v>1</v>
      </c>
      <c r="L2317" s="799">
        <f t="shared" si="289"/>
        <v>1.5399721800945725E-6</v>
      </c>
      <c r="M2317" s="894"/>
      <c r="O2317" s="733"/>
    </row>
    <row r="2318" spans="1:15" s="115" customFormat="1" x14ac:dyDescent="0.25">
      <c r="A2318" s="396"/>
      <c r="B2318" s="1002"/>
      <c r="C2318" s="1002"/>
      <c r="D2318" s="1002">
        <v>647300</v>
      </c>
      <c r="E2318" s="854">
        <v>344309300000000</v>
      </c>
      <c r="F2318" s="855" t="s">
        <v>9095</v>
      </c>
      <c r="G2318" s="468">
        <v>4292</v>
      </c>
      <c r="H2318" s="468">
        <v>0</v>
      </c>
      <c r="I2318" s="751"/>
      <c r="J2318" s="789">
        <f>'Parâmetros financeiros Despesa'!E1742</f>
        <v>0</v>
      </c>
      <c r="K2318" s="789">
        <f>'Parâmetros financeiros Despesa'!F1742</f>
        <v>1</v>
      </c>
      <c r="L2318" s="799">
        <f t="shared" si="289"/>
        <v>1.5399721800945725E-6</v>
      </c>
      <c r="M2318" s="894"/>
      <c r="O2318" s="733"/>
    </row>
    <row r="2319" spans="1:15" s="115" customFormat="1" x14ac:dyDescent="0.25">
      <c r="A2319" s="396"/>
      <c r="B2319" s="1002"/>
      <c r="C2319" s="1002"/>
      <c r="D2319" s="1002">
        <v>647400</v>
      </c>
      <c r="E2319" s="854">
        <v>344903000000000</v>
      </c>
      <c r="F2319" s="855" t="s">
        <v>9103</v>
      </c>
      <c r="G2319" s="468">
        <v>1143</v>
      </c>
      <c r="H2319" s="468">
        <v>0</v>
      </c>
      <c r="I2319" s="751"/>
      <c r="J2319" s="789">
        <f>'Parâmetros financeiros Despesa'!E1735</f>
        <v>0</v>
      </c>
      <c r="K2319" s="789">
        <f>'Parâmetros financeiros Despesa'!F1735</f>
        <v>1</v>
      </c>
      <c r="L2319" s="799">
        <f t="shared" si="289"/>
        <v>1.5399721800945725E-6</v>
      </c>
      <c r="M2319" s="894"/>
      <c r="O2319" s="733"/>
    </row>
    <row r="2320" spans="1:15" s="115" customFormat="1" x14ac:dyDescent="0.25">
      <c r="A2320" s="396"/>
      <c r="B2320" s="1002"/>
      <c r="C2320" s="1002"/>
      <c r="D2320" s="1002">
        <v>647500</v>
      </c>
      <c r="E2320" s="854">
        <v>344903000000000</v>
      </c>
      <c r="F2320" s="855" t="s">
        <v>9096</v>
      </c>
      <c r="G2320" s="468">
        <v>4292</v>
      </c>
      <c r="H2320" s="468">
        <v>0</v>
      </c>
      <c r="I2320" s="751"/>
      <c r="J2320" s="789">
        <f>'Parâmetros financeiros Despesa'!E1743</f>
        <v>0</v>
      </c>
      <c r="K2320" s="789">
        <f>'Parâmetros financeiros Despesa'!F1743</f>
        <v>1</v>
      </c>
      <c r="L2320" s="799">
        <f t="shared" si="289"/>
        <v>1.5399721800945725E-6</v>
      </c>
      <c r="M2320" s="894"/>
      <c r="O2320" s="733"/>
    </row>
    <row r="2321" spans="1:20" s="115" customFormat="1" x14ac:dyDescent="0.25">
      <c r="A2321" s="396"/>
      <c r="B2321" s="1004"/>
      <c r="C2321" s="1004"/>
      <c r="D2321" s="1004" t="s">
        <v>9385</v>
      </c>
      <c r="E2321" s="854">
        <v>344903600000000</v>
      </c>
      <c r="F2321" s="855" t="s">
        <v>9104</v>
      </c>
      <c r="G2321" s="468">
        <v>1143</v>
      </c>
      <c r="H2321" s="468">
        <v>0</v>
      </c>
      <c r="I2321" s="751"/>
      <c r="J2321" s="789">
        <f>'Parâmetros financeiros Despesa'!E1736</f>
        <v>0</v>
      </c>
      <c r="K2321" s="789">
        <f>'Parâmetros financeiros Despesa'!F1736</f>
        <v>1</v>
      </c>
      <c r="L2321" s="799">
        <f t="shared" si="289"/>
        <v>1.5399721800945725E-6</v>
      </c>
      <c r="M2321" s="894"/>
      <c r="O2321" s="733"/>
    </row>
    <row r="2322" spans="1:20" s="115" customFormat="1" x14ac:dyDescent="0.25">
      <c r="A2322" s="396"/>
      <c r="B2322" s="1004"/>
      <c r="C2322" s="1004"/>
      <c r="D2322" s="1004" t="s">
        <v>9386</v>
      </c>
      <c r="E2322" s="854">
        <v>344903600000000</v>
      </c>
      <c r="F2322" s="855" t="s">
        <v>9097</v>
      </c>
      <c r="G2322" s="468">
        <v>4292</v>
      </c>
      <c r="H2322" s="468">
        <v>0</v>
      </c>
      <c r="I2322" s="751"/>
      <c r="J2322" s="789">
        <f>'Parâmetros financeiros Despesa'!E1744</f>
        <v>0</v>
      </c>
      <c r="K2322" s="789">
        <f>'Parâmetros financeiros Despesa'!F1744</f>
        <v>1</v>
      </c>
      <c r="L2322" s="799">
        <f t="shared" si="289"/>
        <v>1.5399721800945725E-6</v>
      </c>
      <c r="M2322" s="894"/>
      <c r="O2322" s="733"/>
    </row>
    <row r="2323" spans="1:20" s="115" customFormat="1" x14ac:dyDescent="0.25">
      <c r="A2323" s="396"/>
      <c r="B2323" s="1004"/>
      <c r="C2323" s="1004"/>
      <c r="D2323" s="1004" t="s">
        <v>9387</v>
      </c>
      <c r="E2323" s="854">
        <v>344903900000000</v>
      </c>
      <c r="F2323" s="855" t="s">
        <v>9098</v>
      </c>
      <c r="G2323" s="468">
        <v>40</v>
      </c>
      <c r="H2323" s="468">
        <v>0</v>
      </c>
      <c r="I2323" s="751"/>
      <c r="J2323" s="789">
        <f>'Parâmetros financeiros Despesa'!E1745</f>
        <v>0</v>
      </c>
      <c r="K2323" s="789">
        <f>'Parâmetros financeiros Despesa'!F1745</f>
        <v>1</v>
      </c>
      <c r="L2323" s="799">
        <f t="shared" si="289"/>
        <v>1.5399721800945725E-6</v>
      </c>
      <c r="M2323" s="894"/>
      <c r="O2323" s="733"/>
    </row>
    <row r="2324" spans="1:20" s="115" customFormat="1" x14ac:dyDescent="0.25">
      <c r="A2324" s="396"/>
      <c r="B2324" s="1004"/>
      <c r="C2324" s="1004"/>
      <c r="D2324" s="1004" t="s">
        <v>9388</v>
      </c>
      <c r="E2324" s="854">
        <v>344903900000000</v>
      </c>
      <c r="F2324" s="855" t="s">
        <v>9105</v>
      </c>
      <c r="G2324" s="468">
        <v>40</v>
      </c>
      <c r="H2324" s="468">
        <v>0</v>
      </c>
      <c r="I2324" s="751"/>
      <c r="J2324" s="789">
        <f>'Parâmetros financeiros Despesa'!E1737</f>
        <v>0</v>
      </c>
      <c r="K2324" s="789">
        <f>'Parâmetros financeiros Despesa'!F1737</f>
        <v>1</v>
      </c>
      <c r="L2324" s="799">
        <f t="shared" si="289"/>
        <v>1.5399721800945725E-6</v>
      </c>
      <c r="M2324" s="894"/>
      <c r="O2324" s="733"/>
    </row>
    <row r="2325" spans="1:20" s="115" customFormat="1" x14ac:dyDescent="0.25">
      <c r="A2325" s="396"/>
      <c r="B2325" s="1004"/>
      <c r="C2325" s="1004"/>
      <c r="D2325" s="1004" t="s">
        <v>9389</v>
      </c>
      <c r="E2325" s="854">
        <v>344903900000000</v>
      </c>
      <c r="F2325" s="855" t="s">
        <v>9105</v>
      </c>
      <c r="G2325" s="468">
        <v>1143</v>
      </c>
      <c r="H2325" s="468">
        <v>0</v>
      </c>
      <c r="I2325" s="751"/>
      <c r="J2325" s="789">
        <f>'Parâmetros financeiros Despesa'!E1738</f>
        <v>0</v>
      </c>
      <c r="K2325" s="789">
        <f>'Parâmetros financeiros Despesa'!F1738</f>
        <v>1</v>
      </c>
      <c r="L2325" s="799">
        <f t="shared" si="289"/>
        <v>1.5399721800945725E-6</v>
      </c>
      <c r="M2325" s="894"/>
      <c r="O2325" s="733"/>
    </row>
    <row r="2326" spans="1:20" s="115" customFormat="1" ht="15" customHeight="1" x14ac:dyDescent="0.25">
      <c r="A2326" s="396"/>
      <c r="B2326" s="1004"/>
      <c r="C2326" s="1004"/>
      <c r="D2326" s="1004" t="s">
        <v>9390</v>
      </c>
      <c r="E2326" s="854">
        <v>344903900000000</v>
      </c>
      <c r="F2326" s="855" t="s">
        <v>9099</v>
      </c>
      <c r="G2326" s="468">
        <v>4292</v>
      </c>
      <c r="H2326" s="468">
        <v>0</v>
      </c>
      <c r="I2326" s="751"/>
      <c r="J2326" s="789">
        <f>'Parâmetros financeiros Despesa'!E1745</f>
        <v>0</v>
      </c>
      <c r="K2326" s="789">
        <f>'Parâmetros financeiros Despesa'!F1745</f>
        <v>1</v>
      </c>
      <c r="L2326" s="799">
        <f t="shared" si="289"/>
        <v>1.5399721800945725E-6</v>
      </c>
      <c r="M2326" s="894"/>
      <c r="O2326" s="733"/>
    </row>
    <row r="2327" spans="1:20" s="115" customFormat="1" ht="15" customHeight="1" x14ac:dyDescent="0.25">
      <c r="A2327" s="396"/>
      <c r="B2327" s="1004"/>
      <c r="C2327" s="1004"/>
      <c r="D2327" s="1004" t="s">
        <v>9391</v>
      </c>
      <c r="E2327" s="854">
        <v>344905200000000</v>
      </c>
      <c r="F2327" s="855" t="s">
        <v>9106</v>
      </c>
      <c r="G2327" s="468">
        <v>1143</v>
      </c>
      <c r="H2327" s="468">
        <v>0</v>
      </c>
      <c r="I2327" s="751"/>
      <c r="J2327" s="789">
        <f>'Parâmetros financeiros Despesa'!E1739</f>
        <v>0</v>
      </c>
      <c r="K2327" s="789">
        <f>'Parâmetros financeiros Despesa'!F1739</f>
        <v>95.8</v>
      </c>
      <c r="L2327" s="799">
        <f t="shared" si="289"/>
        <v>1.4752933485306002E-4</v>
      </c>
      <c r="M2327" s="894"/>
      <c r="O2327" s="733"/>
    </row>
    <row r="2328" spans="1:20" s="115" customFormat="1" ht="15" customHeight="1" x14ac:dyDescent="0.25">
      <c r="A2328" s="396"/>
      <c r="B2328" s="1004"/>
      <c r="C2328" s="1004"/>
      <c r="D2328" s="1004" t="s">
        <v>9392</v>
      </c>
      <c r="E2328" s="854">
        <v>344905200000000</v>
      </c>
      <c r="F2328" s="855" t="s">
        <v>9100</v>
      </c>
      <c r="G2328" s="468">
        <v>4292</v>
      </c>
      <c r="H2328" s="468">
        <v>0</v>
      </c>
      <c r="I2328" s="751"/>
      <c r="J2328" s="789">
        <f>'Parâmetros financeiros Despesa'!E1747</f>
        <v>0</v>
      </c>
      <c r="K2328" s="789">
        <f>'Parâmetros financeiros Despesa'!F1747</f>
        <v>115095.8</v>
      </c>
      <c r="L2328" s="799">
        <f t="shared" si="289"/>
        <v>0.1772443300457289</v>
      </c>
      <c r="M2328" s="894"/>
      <c r="O2328" s="733"/>
    </row>
    <row r="2329" spans="1:20" ht="15" customHeight="1" x14ac:dyDescent="0.25">
      <c r="A2329" s="397"/>
      <c r="B2329" s="1382" t="s">
        <v>8699</v>
      </c>
      <c r="C2329" s="1382"/>
      <c r="D2329" s="1382"/>
      <c r="E2329" s="1382"/>
      <c r="F2329" s="1382"/>
      <c r="G2329" s="405"/>
      <c r="H2329" s="405"/>
      <c r="I2329" s="428"/>
      <c r="J2329" s="406">
        <f t="shared" ref="J2329:K2331" si="290">J2330</f>
        <v>35297.265000000007</v>
      </c>
      <c r="K2329" s="406">
        <f t="shared" si="290"/>
        <v>155111.04999999999</v>
      </c>
      <c r="L2329" s="453">
        <f>K2329/K$2399</f>
        <v>0.23886670182525821</v>
      </c>
    </row>
    <row r="2330" spans="1:20" ht="15" customHeight="1" x14ac:dyDescent="0.25">
      <c r="A2330" s="397"/>
      <c r="B2330" s="1383" t="s">
        <v>8812</v>
      </c>
      <c r="C2330" s="1383"/>
      <c r="D2330" s="1383"/>
      <c r="E2330" s="1383"/>
      <c r="F2330" s="1383"/>
      <c r="G2330" s="407"/>
      <c r="H2330" s="407"/>
      <c r="I2330" s="429"/>
      <c r="J2330" s="408">
        <f t="shared" si="290"/>
        <v>35297.265000000007</v>
      </c>
      <c r="K2330" s="408">
        <f t="shared" si="290"/>
        <v>155111.04999999999</v>
      </c>
      <c r="L2330" s="454">
        <f>K2330/K$2399</f>
        <v>0.23886670182525821</v>
      </c>
    </row>
    <row r="2331" spans="1:20" ht="15" customHeight="1" x14ac:dyDescent="0.25">
      <c r="A2331" s="397"/>
      <c r="B2331" s="1386" t="s">
        <v>9398</v>
      </c>
      <c r="C2331" s="1386"/>
      <c r="D2331" s="1386"/>
      <c r="E2331" s="1386"/>
      <c r="F2331" s="1386"/>
      <c r="G2331" s="403"/>
      <c r="H2331" s="403"/>
      <c r="I2331" s="427"/>
      <c r="J2331" s="404">
        <f t="shared" si="290"/>
        <v>35297.265000000007</v>
      </c>
      <c r="K2331" s="404">
        <f t="shared" si="290"/>
        <v>155111.04999999999</v>
      </c>
      <c r="L2331" s="452">
        <f>K2331/K$2399</f>
        <v>0.23886670182525821</v>
      </c>
    </row>
    <row r="2332" spans="1:20" ht="15" customHeight="1" x14ac:dyDescent="0.25">
      <c r="A2332" s="397"/>
      <c r="B2332" s="1385" t="s">
        <v>8698</v>
      </c>
      <c r="C2332" s="1385"/>
      <c r="D2332" s="1385"/>
      <c r="E2332" s="1385"/>
      <c r="F2332" s="1385"/>
      <c r="G2332" s="401"/>
      <c r="H2332" s="401"/>
      <c r="I2332" s="426"/>
      <c r="J2332" s="402">
        <f>SUM(J2333:J2343)</f>
        <v>35297.265000000007</v>
      </c>
      <c r="K2332" s="402">
        <f>SUM(K2333:K2343)</f>
        <v>155111.04999999999</v>
      </c>
      <c r="L2332" s="451">
        <f>K2332/K$2399</f>
        <v>0.23886670182525821</v>
      </c>
    </row>
    <row r="2333" spans="1:20" s="115" customFormat="1" ht="15" customHeight="1" x14ac:dyDescent="0.25">
      <c r="A2333" s="396"/>
      <c r="B2333" s="1398" t="s">
        <v>9401</v>
      </c>
      <c r="C2333" s="1398"/>
      <c r="D2333" s="1398"/>
      <c r="E2333" s="854">
        <v>333901400000000</v>
      </c>
      <c r="F2333" s="855" t="s">
        <v>9074</v>
      </c>
      <c r="G2333" s="468">
        <v>4011</v>
      </c>
      <c r="H2333" s="468">
        <v>0</v>
      </c>
      <c r="I2333" s="751"/>
      <c r="J2333" s="789">
        <f>'Parâmetros financeiros Despesa'!E1749</f>
        <v>0</v>
      </c>
      <c r="K2333" s="789">
        <f>'Parâmetros financeiros Despesa'!F1749</f>
        <v>5000</v>
      </c>
      <c r="L2333" s="799">
        <f>K2333/K$2399</f>
        <v>7.6998609004728623E-3</v>
      </c>
      <c r="M2333" s="894"/>
      <c r="O2333" s="733"/>
    </row>
    <row r="2334" spans="1:20" s="115" customFormat="1" ht="15" customHeight="1" x14ac:dyDescent="0.25">
      <c r="B2334" s="879"/>
      <c r="C2334" s="879"/>
      <c r="D2334" s="880">
        <v>649100</v>
      </c>
      <c r="E2334" s="854">
        <v>333903000000000</v>
      </c>
      <c r="F2334" s="855" t="s">
        <v>9075</v>
      </c>
      <c r="G2334" s="468">
        <v>4011</v>
      </c>
      <c r="H2334" s="468">
        <v>0</v>
      </c>
      <c r="I2334" s="751"/>
      <c r="J2334" s="789">
        <f>'Parâmetros financeiros Despesa'!E1750</f>
        <v>3774.3150000000001</v>
      </c>
      <c r="K2334" s="789">
        <f>'Parâmetros financeiros Despesa'!F1750</f>
        <v>10000</v>
      </c>
      <c r="L2334" s="799">
        <f t="shared" ref="L2334:L2343" si="291">K2334/K$2399</f>
        <v>1.5399721800945725E-2</v>
      </c>
      <c r="M2334" s="894"/>
      <c r="N2334" s="396"/>
      <c r="O2334" s="463"/>
      <c r="R2334" s="463"/>
      <c r="S2334" s="463"/>
      <c r="T2334" s="463"/>
    </row>
    <row r="2335" spans="1:20" s="115" customFormat="1" ht="15" customHeight="1" x14ac:dyDescent="0.25">
      <c r="B2335" s="1004"/>
      <c r="C2335" s="1004"/>
      <c r="D2335" s="880">
        <v>649200</v>
      </c>
      <c r="E2335" s="854">
        <v>333903200000000</v>
      </c>
      <c r="F2335" s="855" t="s">
        <v>9076</v>
      </c>
      <c r="G2335" s="468">
        <v>4011</v>
      </c>
      <c r="H2335" s="468">
        <v>0</v>
      </c>
      <c r="I2335" s="751"/>
      <c r="J2335" s="789">
        <f>'Parâmetros financeiros Despesa'!E1751</f>
        <v>12780.99</v>
      </c>
      <c r="K2335" s="789">
        <f>'Parâmetros financeiros Despesa'!F1751</f>
        <v>13000</v>
      </c>
      <c r="L2335" s="799">
        <f t="shared" si="291"/>
        <v>2.001963834122944E-2</v>
      </c>
      <c r="M2335" s="894"/>
      <c r="N2335" s="396"/>
      <c r="O2335" s="463"/>
      <c r="R2335" s="463"/>
      <c r="S2335" s="463"/>
      <c r="T2335" s="463"/>
    </row>
    <row r="2336" spans="1:20" s="115" customFormat="1" ht="15" customHeight="1" x14ac:dyDescent="0.25">
      <c r="B2336" s="1004"/>
      <c r="C2336" s="1004"/>
      <c r="D2336" s="880">
        <v>649300</v>
      </c>
      <c r="E2336" s="854">
        <v>333903600000000</v>
      </c>
      <c r="F2336" s="855" t="s">
        <v>9082</v>
      </c>
      <c r="G2336" s="468">
        <v>4011</v>
      </c>
      <c r="H2336" s="468">
        <v>0</v>
      </c>
      <c r="I2336" s="751"/>
      <c r="J2336" s="789">
        <f>'Parâmetros financeiros Despesa'!E1752</f>
        <v>1948.9499999999998</v>
      </c>
      <c r="K2336" s="789">
        <f>'Parâmetros financeiros Despesa'!F1752</f>
        <v>30000</v>
      </c>
      <c r="L2336" s="799">
        <f t="shared" si="291"/>
        <v>4.6199165402837174E-2</v>
      </c>
      <c r="M2336" s="894"/>
      <c r="N2336" s="396"/>
      <c r="O2336" s="463"/>
      <c r="R2336" s="463"/>
      <c r="S2336" s="463"/>
      <c r="T2336" s="463"/>
    </row>
    <row r="2337" spans="1:20" s="115" customFormat="1" ht="15" customHeight="1" x14ac:dyDescent="0.25">
      <c r="B2337" s="1004"/>
      <c r="C2337" s="1004"/>
      <c r="D2337" s="880">
        <v>649400</v>
      </c>
      <c r="E2337" s="854">
        <v>333903900000000</v>
      </c>
      <c r="F2337" s="855" t="s">
        <v>9081</v>
      </c>
      <c r="G2337" s="468">
        <v>4011</v>
      </c>
      <c r="H2337" s="468">
        <v>0</v>
      </c>
      <c r="I2337" s="751"/>
      <c r="J2337" s="789">
        <f>'Parâmetros financeiros Despesa'!E1753</f>
        <v>14535</v>
      </c>
      <c r="K2337" s="789">
        <f>'Parâmetros financeiros Despesa'!F1753</f>
        <v>70111.05</v>
      </c>
      <c r="L2337" s="799">
        <f t="shared" si="291"/>
        <v>0.10796906651721958</v>
      </c>
      <c r="M2337" s="894"/>
      <c r="N2337" s="396"/>
      <c r="O2337" s="463"/>
      <c r="R2337" s="463"/>
      <c r="S2337" s="463"/>
      <c r="T2337" s="463"/>
    </row>
    <row r="2338" spans="1:20" s="115" customFormat="1" ht="15" customHeight="1" x14ac:dyDescent="0.25">
      <c r="B2338" s="1004"/>
      <c r="C2338" s="1004"/>
      <c r="D2338" s="880">
        <v>649500</v>
      </c>
      <c r="E2338" s="854">
        <v>33390470000000</v>
      </c>
      <c r="F2338" s="855" t="s">
        <v>9080</v>
      </c>
      <c r="G2338" s="468">
        <v>4011</v>
      </c>
      <c r="H2338" s="468">
        <v>0</v>
      </c>
      <c r="I2338" s="751"/>
      <c r="J2338" s="789">
        <f>'Parâmetros financeiros Despesa'!E1754</f>
        <v>1631.79</v>
      </c>
      <c r="K2338" s="789">
        <f>'Parâmetros financeiros Despesa'!F1754</f>
        <v>6000</v>
      </c>
      <c r="L2338" s="799">
        <f t="shared" si="291"/>
        <v>9.239833080567434E-3</v>
      </c>
      <c r="M2338" s="894"/>
      <c r="N2338" s="396"/>
      <c r="O2338" s="463"/>
      <c r="R2338" s="463"/>
      <c r="S2338" s="463"/>
      <c r="T2338" s="463"/>
    </row>
    <row r="2339" spans="1:20" s="115" customFormat="1" ht="15" customHeight="1" x14ac:dyDescent="0.25">
      <c r="A2339" s="396"/>
      <c r="B2339" s="1398" t="s">
        <v>9402</v>
      </c>
      <c r="C2339" s="1398"/>
      <c r="D2339" s="1398"/>
      <c r="E2339" s="854">
        <v>333909300000000</v>
      </c>
      <c r="F2339" s="855" t="s">
        <v>9077</v>
      </c>
      <c r="G2339" s="468">
        <v>4011</v>
      </c>
      <c r="H2339" s="468">
        <v>0</v>
      </c>
      <c r="I2339" s="751"/>
      <c r="J2339" s="789">
        <f>'Parâmetros financeiros Despesa'!E1755</f>
        <v>0</v>
      </c>
      <c r="K2339" s="789">
        <f>'Parâmetros financeiros Despesa'!F1755</f>
        <v>1000</v>
      </c>
      <c r="L2339" s="799">
        <f t="shared" si="291"/>
        <v>1.5399721800945724E-3</v>
      </c>
      <c r="M2339" s="894"/>
      <c r="O2339" s="733"/>
    </row>
    <row r="2340" spans="1:20" s="115" customFormat="1" ht="15" customHeight="1" x14ac:dyDescent="0.25">
      <c r="A2340" s="396"/>
      <c r="B2340" s="1398" t="s">
        <v>9403</v>
      </c>
      <c r="C2340" s="1398"/>
      <c r="D2340" s="1398"/>
      <c r="E2340" s="854">
        <v>333933000000000</v>
      </c>
      <c r="F2340" s="855" t="s">
        <v>9079</v>
      </c>
      <c r="G2340" s="468">
        <v>4011</v>
      </c>
      <c r="H2340" s="468">
        <v>0</v>
      </c>
      <c r="I2340" s="751"/>
      <c r="J2340" s="789">
        <f>'Parâmetros financeiros Despesa'!E1756</f>
        <v>0</v>
      </c>
      <c r="K2340" s="789">
        <f>'Parâmetros financeiros Despesa'!F1756</f>
        <v>5000</v>
      </c>
      <c r="L2340" s="799">
        <f t="shared" si="291"/>
        <v>7.6998609004728623E-3</v>
      </c>
      <c r="M2340" s="894"/>
      <c r="O2340" s="733"/>
    </row>
    <row r="2341" spans="1:20" s="115" customFormat="1" ht="15" customHeight="1" x14ac:dyDescent="0.25">
      <c r="A2341" s="396"/>
      <c r="B2341" s="1398" t="s">
        <v>9404</v>
      </c>
      <c r="C2341" s="1398"/>
      <c r="D2341" s="1398"/>
      <c r="E2341" s="854">
        <v>333933900000000</v>
      </c>
      <c r="F2341" s="855" t="s">
        <v>9400</v>
      </c>
      <c r="G2341" s="468">
        <v>4011</v>
      </c>
      <c r="H2341" s="468">
        <v>0</v>
      </c>
      <c r="I2341" s="751"/>
      <c r="J2341" s="789">
        <f>'Parâmetros financeiros Despesa'!E1757</f>
        <v>0</v>
      </c>
      <c r="K2341" s="789">
        <f>'Parâmetros financeiros Despesa'!F1757</f>
        <v>5000</v>
      </c>
      <c r="L2341" s="799">
        <f t="shared" si="291"/>
        <v>7.6998609004728623E-3</v>
      </c>
      <c r="M2341" s="894"/>
      <c r="O2341" s="733"/>
    </row>
    <row r="2342" spans="1:20" s="115" customFormat="1" ht="15" customHeight="1" x14ac:dyDescent="0.25">
      <c r="A2342" s="396"/>
      <c r="B2342" s="1398" t="s">
        <v>9405</v>
      </c>
      <c r="C2342" s="1398"/>
      <c r="D2342" s="1398"/>
      <c r="E2342" s="854">
        <v>344905100000000</v>
      </c>
      <c r="F2342" s="855" t="s">
        <v>9078</v>
      </c>
      <c r="G2342" s="468">
        <v>4011</v>
      </c>
      <c r="H2342" s="468">
        <v>0</v>
      </c>
      <c r="I2342" s="751"/>
      <c r="J2342" s="789">
        <f>'Parâmetros financeiros Despesa'!E1758</f>
        <v>0</v>
      </c>
      <c r="K2342" s="789">
        <f>'Parâmetros financeiros Despesa'!F1758</f>
        <v>5000</v>
      </c>
      <c r="L2342" s="799">
        <f t="shared" si="291"/>
        <v>7.6998609004728623E-3</v>
      </c>
      <c r="M2342" s="894"/>
      <c r="O2342" s="733"/>
    </row>
    <row r="2343" spans="1:20" s="115" customFormat="1" ht="15" customHeight="1" x14ac:dyDescent="0.25">
      <c r="A2343" s="396"/>
      <c r="B2343" s="1398" t="s">
        <v>9406</v>
      </c>
      <c r="C2343" s="1398"/>
      <c r="D2343" s="1398"/>
      <c r="E2343" s="854">
        <v>344905200000000</v>
      </c>
      <c r="F2343" s="855" t="s">
        <v>9407</v>
      </c>
      <c r="G2343" s="468">
        <v>4011</v>
      </c>
      <c r="H2343" s="468">
        <v>0</v>
      </c>
      <c r="I2343" s="751"/>
      <c r="J2343" s="789">
        <f>'Parâmetros financeiros Despesa'!E1759</f>
        <v>626.22</v>
      </c>
      <c r="K2343" s="789">
        <f>'Parâmetros financeiros Despesa'!F1759</f>
        <v>5000</v>
      </c>
      <c r="L2343" s="799">
        <f t="shared" si="291"/>
        <v>7.6998609004728623E-3</v>
      </c>
      <c r="M2343" s="894"/>
      <c r="O2343" s="733"/>
    </row>
    <row r="2344" spans="1:20" ht="15" customHeight="1" x14ac:dyDescent="0.25">
      <c r="A2344" s="397"/>
      <c r="B2344" s="1382" t="s">
        <v>8699</v>
      </c>
      <c r="C2344" s="1382"/>
      <c r="D2344" s="1382"/>
      <c r="E2344" s="1382"/>
      <c r="F2344" s="1382"/>
      <c r="G2344" s="405"/>
      <c r="H2344" s="405"/>
      <c r="I2344" s="428"/>
      <c r="J2344" s="406">
        <f t="shared" ref="J2344:K2346" si="292">J2345</f>
        <v>178933.44481250001</v>
      </c>
      <c r="K2344" s="406">
        <f t="shared" si="292"/>
        <v>158221.2573317567</v>
      </c>
      <c r="L2344" s="453">
        <f>K2344/K$2399</f>
        <v>0.24365633459048971</v>
      </c>
    </row>
    <row r="2345" spans="1:20" ht="15" customHeight="1" x14ac:dyDescent="0.25">
      <c r="A2345" s="397"/>
      <c r="B2345" s="1383" t="s">
        <v>9000</v>
      </c>
      <c r="C2345" s="1383"/>
      <c r="D2345" s="1383"/>
      <c r="E2345" s="1383"/>
      <c r="F2345" s="1383"/>
      <c r="G2345" s="407"/>
      <c r="H2345" s="407"/>
      <c r="I2345" s="429"/>
      <c r="J2345" s="408">
        <f t="shared" si="292"/>
        <v>178933.44481250001</v>
      </c>
      <c r="K2345" s="408">
        <f t="shared" si="292"/>
        <v>158221.2573317567</v>
      </c>
      <c r="L2345" s="454">
        <f>K2345/K$2399</f>
        <v>0.24365633459048971</v>
      </c>
    </row>
    <row r="2346" spans="1:20" ht="15" customHeight="1" x14ac:dyDescent="0.25">
      <c r="A2346" s="397"/>
      <c r="B2346" s="1385" t="s">
        <v>8698</v>
      </c>
      <c r="C2346" s="1385"/>
      <c r="D2346" s="1385"/>
      <c r="E2346" s="1385"/>
      <c r="F2346" s="1385"/>
      <c r="G2346" s="401"/>
      <c r="H2346" s="401"/>
      <c r="I2346" s="426"/>
      <c r="J2346" s="402">
        <f t="shared" si="292"/>
        <v>178933.44481250001</v>
      </c>
      <c r="K2346" s="402">
        <f t="shared" si="292"/>
        <v>158221.2573317567</v>
      </c>
      <c r="L2346" s="451">
        <f>K2346/K$2399</f>
        <v>0.24365633459048971</v>
      </c>
    </row>
    <row r="2347" spans="1:20" ht="15" customHeight="1" x14ac:dyDescent="0.25">
      <c r="A2347" s="397"/>
      <c r="B2347" s="1386" t="s">
        <v>8999</v>
      </c>
      <c r="C2347" s="1386"/>
      <c r="D2347" s="1386"/>
      <c r="E2347" s="1386"/>
      <c r="F2347" s="1386"/>
      <c r="G2347" s="403"/>
      <c r="H2347" s="403"/>
      <c r="I2347" s="427"/>
      <c r="J2347" s="404">
        <f>SUM(J2348:J2363)+0.01</f>
        <v>178933.44481250001</v>
      </c>
      <c r="K2347" s="404">
        <f>SUM(K2348:K2363)+0.01</f>
        <v>158221.2573317567</v>
      </c>
      <c r="L2347" s="452">
        <f>K2347/K$2399</f>
        <v>0.24365633459048971</v>
      </c>
    </row>
    <row r="2348" spans="1:20" s="115" customFormat="1" ht="15" customHeight="1" x14ac:dyDescent="0.25">
      <c r="A2348" s="396"/>
      <c r="B2348" s="1398" t="s">
        <v>9410</v>
      </c>
      <c r="C2348" s="1398"/>
      <c r="D2348" s="1398"/>
      <c r="E2348" s="854">
        <v>331900400000000</v>
      </c>
      <c r="F2348" s="855" t="s">
        <v>9001</v>
      </c>
      <c r="G2348" s="468">
        <v>4070</v>
      </c>
      <c r="H2348" s="468">
        <v>0</v>
      </c>
      <c r="I2348" s="751"/>
      <c r="J2348" s="789">
        <f>'Parâmetros financeiros Despesa'!E1761</f>
        <v>116466.14285</v>
      </c>
      <c r="K2348" s="789">
        <f>'Parâmetros financeiros Despesa'!F1761</f>
        <v>124615.55358432273</v>
      </c>
      <c r="L2348" s="799">
        <f>K2348/K$2399</f>
        <v>0.19190448572694147</v>
      </c>
      <c r="M2348" s="894"/>
      <c r="O2348" s="733"/>
    </row>
    <row r="2349" spans="1:20" s="115" customFormat="1" ht="15" customHeight="1" x14ac:dyDescent="0.25">
      <c r="A2349" s="396"/>
      <c r="B2349" s="1398" t="s">
        <v>9411</v>
      </c>
      <c r="C2349" s="1398"/>
      <c r="D2349" s="1398"/>
      <c r="E2349" s="854">
        <v>331901100000000</v>
      </c>
      <c r="F2349" s="855" t="s">
        <v>9002</v>
      </c>
      <c r="G2349" s="468">
        <v>4070</v>
      </c>
      <c r="H2349" s="468">
        <v>0</v>
      </c>
      <c r="I2349" s="751"/>
      <c r="J2349" s="789">
        <f>'Parâmetros financeiros Despesa'!E1762</f>
        <v>26005.3803625</v>
      </c>
      <c r="K2349" s="789">
        <f>'Parâmetros financeiros Despesa'!F1762</f>
        <v>20193.109912504518</v>
      </c>
      <c r="L2349" s="799">
        <f t="shared" ref="L2349:L2363" si="293">K2349/K$2399</f>
        <v>3.1096827494848905E-2</v>
      </c>
      <c r="M2349" s="894"/>
      <c r="O2349" s="733"/>
    </row>
    <row r="2350" spans="1:20" s="115" customFormat="1" ht="15" customHeight="1" x14ac:dyDescent="0.25">
      <c r="A2350" s="396"/>
      <c r="B2350" s="1398" t="s">
        <v>9412</v>
      </c>
      <c r="C2350" s="1398"/>
      <c r="D2350" s="1398"/>
      <c r="E2350" s="854">
        <v>331901300000000</v>
      </c>
      <c r="F2350" s="855" t="s">
        <v>9003</v>
      </c>
      <c r="G2350" s="468">
        <v>4070</v>
      </c>
      <c r="H2350" s="468">
        <v>0</v>
      </c>
      <c r="I2350" s="751"/>
      <c r="J2350" s="789">
        <f>'Parâmetros financeiros Despesa'!E1763</f>
        <v>5565.5415999999996</v>
      </c>
      <c r="K2350" s="789">
        <f>'Parâmetros financeiros Despesa'!F1763</f>
        <v>5073.4308406375103</v>
      </c>
      <c r="L2350" s="799">
        <f t="shared" si="293"/>
        <v>7.8129423522155864E-3</v>
      </c>
      <c r="M2350" s="894"/>
      <c r="O2350" s="733"/>
    </row>
    <row r="2351" spans="1:20" s="115" customFormat="1" ht="15" customHeight="1" x14ac:dyDescent="0.25">
      <c r="A2351" s="396"/>
      <c r="B2351" s="1398" t="s">
        <v>9413</v>
      </c>
      <c r="C2351" s="1398"/>
      <c r="D2351" s="1398"/>
      <c r="E2351" s="854">
        <v>331901600000000</v>
      </c>
      <c r="F2351" s="855" t="s">
        <v>9004</v>
      </c>
      <c r="G2351" s="468">
        <v>4070</v>
      </c>
      <c r="H2351" s="468">
        <v>0</v>
      </c>
      <c r="I2351" s="751"/>
      <c r="J2351" s="789">
        <f>'Parâmetros financeiros Despesa'!E1764</f>
        <v>984.81</v>
      </c>
      <c r="K2351" s="789">
        <f>'Parâmetros financeiros Despesa'!F1764</f>
        <v>1115.4104224787652</v>
      </c>
      <c r="L2351" s="799">
        <f t="shared" si="293"/>
        <v>1.7177010200048321E-3</v>
      </c>
      <c r="M2351" s="894"/>
      <c r="O2351" s="733"/>
    </row>
    <row r="2352" spans="1:20" s="115" customFormat="1" ht="15" customHeight="1" x14ac:dyDescent="0.25">
      <c r="A2352" s="396"/>
      <c r="B2352" s="1398" t="s">
        <v>9414</v>
      </c>
      <c r="C2352" s="1398"/>
      <c r="D2352" s="1398"/>
      <c r="E2352" s="854">
        <v>333901400000000</v>
      </c>
      <c r="F2352" s="855" t="s">
        <v>9005</v>
      </c>
      <c r="G2352" s="468">
        <v>4070</v>
      </c>
      <c r="H2352" s="468">
        <v>0</v>
      </c>
      <c r="I2352" s="751"/>
      <c r="J2352" s="789">
        <f>'Parâmetros financeiros Despesa'!E1765</f>
        <v>72</v>
      </c>
      <c r="K2352" s="789">
        <f>'Parâmetros financeiros Despesa'!F1765</f>
        <v>300</v>
      </c>
      <c r="L2352" s="799">
        <f t="shared" si="293"/>
        <v>4.6199165402837175E-4</v>
      </c>
      <c r="M2352" s="894"/>
      <c r="O2352" s="733"/>
    </row>
    <row r="2353" spans="1:20" s="115" customFormat="1" ht="15" customHeight="1" x14ac:dyDescent="0.25">
      <c r="B2353" s="879"/>
      <c r="C2353" s="879"/>
      <c r="D2353" s="880">
        <v>651500</v>
      </c>
      <c r="E2353" s="854">
        <v>333903000000000</v>
      </c>
      <c r="F2353" s="855" t="s">
        <v>9006</v>
      </c>
      <c r="G2353" s="468">
        <v>4070</v>
      </c>
      <c r="H2353" s="468">
        <v>0</v>
      </c>
      <c r="I2353" s="751"/>
      <c r="J2353" s="789">
        <f>'Parâmetros financeiros Despesa'!E1766</f>
        <v>935.47499999999991</v>
      </c>
      <c r="K2353" s="789">
        <f>'Parâmetros financeiros Despesa'!F1766</f>
        <v>300</v>
      </c>
      <c r="L2353" s="799">
        <f t="shared" si="293"/>
        <v>4.6199165402837175E-4</v>
      </c>
      <c r="M2353" s="894"/>
      <c r="N2353" s="396"/>
      <c r="O2353" s="463"/>
      <c r="R2353" s="463"/>
      <c r="S2353" s="463"/>
      <c r="T2353" s="463"/>
    </row>
    <row r="2354" spans="1:20" s="115" customFormat="1" ht="15" customHeight="1" x14ac:dyDescent="0.25">
      <c r="B2354" s="1004"/>
      <c r="C2354" s="1004"/>
      <c r="D2354" s="880">
        <v>651600</v>
      </c>
      <c r="E2354" s="854">
        <v>333903200000000</v>
      </c>
      <c r="F2354" s="855" t="s">
        <v>9011</v>
      </c>
      <c r="G2354" s="468">
        <v>4070</v>
      </c>
      <c r="H2354" s="468">
        <v>0</v>
      </c>
      <c r="I2354" s="751"/>
      <c r="J2354" s="789">
        <f>'Parâmetros financeiros Despesa'!E1767</f>
        <v>43.724999999999994</v>
      </c>
      <c r="K2354" s="789">
        <f>'Parâmetros financeiros Despesa'!F1767</f>
        <v>300</v>
      </c>
      <c r="L2354" s="799">
        <f t="shared" si="293"/>
        <v>4.6199165402837175E-4</v>
      </c>
      <c r="M2354" s="894"/>
      <c r="N2354" s="396"/>
      <c r="O2354" s="463"/>
      <c r="R2354" s="463"/>
      <c r="S2354" s="463"/>
      <c r="T2354" s="463"/>
    </row>
    <row r="2355" spans="1:20" s="115" customFormat="1" ht="15" customHeight="1" x14ac:dyDescent="0.25">
      <c r="B2355" s="1004"/>
      <c r="C2355" s="1004"/>
      <c r="D2355" s="880">
        <v>651700</v>
      </c>
      <c r="E2355" s="854">
        <v>333903300000000</v>
      </c>
      <c r="F2355" s="855" t="s">
        <v>9409</v>
      </c>
      <c r="G2355" s="468">
        <v>4070</v>
      </c>
      <c r="H2355" s="468">
        <v>0</v>
      </c>
      <c r="I2355" s="751"/>
      <c r="J2355" s="789">
        <f>'Parâmetros financeiros Despesa'!E1768</f>
        <v>0</v>
      </c>
      <c r="K2355" s="789">
        <f>'Parâmetros financeiros Despesa'!F1768</f>
        <v>100</v>
      </c>
      <c r="L2355" s="799">
        <f t="shared" si="293"/>
        <v>1.5399721800945723E-4</v>
      </c>
      <c r="M2355" s="894"/>
      <c r="N2355" s="396"/>
      <c r="O2355" s="463"/>
      <c r="R2355" s="463"/>
      <c r="S2355" s="463"/>
      <c r="T2355" s="463"/>
    </row>
    <row r="2356" spans="1:20" s="115" customFormat="1" ht="15" customHeight="1" x14ac:dyDescent="0.25">
      <c r="B2356" s="1004"/>
      <c r="C2356" s="1004"/>
      <c r="D2356" s="880">
        <v>651800</v>
      </c>
      <c r="E2356" s="854">
        <v>333903600000000</v>
      </c>
      <c r="F2356" s="855" t="s">
        <v>9087</v>
      </c>
      <c r="G2356" s="468">
        <v>4070</v>
      </c>
      <c r="H2356" s="468">
        <v>0</v>
      </c>
      <c r="I2356" s="751"/>
      <c r="J2356" s="789">
        <f>'Parâmetros financeiros Despesa'!E1769</f>
        <v>21735</v>
      </c>
      <c r="K2356" s="789">
        <f>'Parâmetros financeiros Despesa'!F1769</f>
        <v>500</v>
      </c>
      <c r="L2356" s="799">
        <f t="shared" si="293"/>
        <v>7.6998609004728621E-4</v>
      </c>
      <c r="M2356" s="894"/>
      <c r="N2356" s="396"/>
      <c r="O2356" s="463"/>
      <c r="R2356" s="463"/>
      <c r="S2356" s="463"/>
      <c r="T2356" s="463"/>
    </row>
    <row r="2357" spans="1:20" s="115" customFormat="1" ht="15" customHeight="1" x14ac:dyDescent="0.25">
      <c r="B2357" s="1004"/>
      <c r="C2357" s="1004"/>
      <c r="D2357" s="880">
        <v>651900</v>
      </c>
      <c r="E2357" s="854">
        <v>333903900000000</v>
      </c>
      <c r="F2357" s="855" t="s">
        <v>9088</v>
      </c>
      <c r="G2357" s="468">
        <v>4070</v>
      </c>
      <c r="H2357" s="468">
        <v>0</v>
      </c>
      <c r="I2357" s="751"/>
      <c r="J2357" s="789">
        <f>'Parâmetros financeiros Despesa'!E1770</f>
        <v>0</v>
      </c>
      <c r="K2357" s="789">
        <f>'Parâmetros financeiros Despesa'!F1770</f>
        <v>1794.89</v>
      </c>
      <c r="L2357" s="799">
        <f t="shared" si="293"/>
        <v>2.7640806663299473E-3</v>
      </c>
      <c r="M2357" s="894"/>
      <c r="N2357" s="396"/>
      <c r="O2357" s="463"/>
      <c r="R2357" s="463"/>
      <c r="S2357" s="463"/>
      <c r="T2357" s="463"/>
    </row>
    <row r="2358" spans="1:20" s="115" customFormat="1" ht="15" customHeight="1" x14ac:dyDescent="0.25">
      <c r="B2358" s="1004"/>
      <c r="C2358" s="1004"/>
      <c r="D2358" s="880">
        <v>652000</v>
      </c>
      <c r="E2358" s="854">
        <v>333904700000000</v>
      </c>
      <c r="F2358" s="855" t="s">
        <v>9089</v>
      </c>
      <c r="G2358" s="468">
        <v>4070</v>
      </c>
      <c r="H2358" s="468">
        <v>0</v>
      </c>
      <c r="I2358" s="751"/>
      <c r="J2358" s="789">
        <f>'Parâmetros financeiros Despesa'!E1771</f>
        <v>4347</v>
      </c>
      <c r="K2358" s="789">
        <f>'Parâmetros financeiros Despesa'!F1771</f>
        <v>100</v>
      </c>
      <c r="L2358" s="799">
        <f t="shared" si="293"/>
        <v>1.5399721800945723E-4</v>
      </c>
      <c r="M2358" s="894"/>
      <c r="N2358" s="396"/>
      <c r="O2358" s="463"/>
      <c r="R2358" s="463"/>
      <c r="S2358" s="463"/>
      <c r="T2358" s="463"/>
    </row>
    <row r="2359" spans="1:20" s="115" customFormat="1" ht="15" customHeight="1" x14ac:dyDescent="0.25">
      <c r="A2359" s="396"/>
      <c r="B2359" s="1398" t="s">
        <v>9415</v>
      </c>
      <c r="C2359" s="1398"/>
      <c r="D2359" s="1398"/>
      <c r="E2359" s="854">
        <v>333904900000000</v>
      </c>
      <c r="F2359" s="855" t="s">
        <v>9010</v>
      </c>
      <c r="G2359" s="468">
        <v>4070</v>
      </c>
      <c r="H2359" s="468">
        <v>0</v>
      </c>
      <c r="I2359" s="751"/>
      <c r="J2359" s="789">
        <f>'Parâmetros financeiros Despesa'!E1772</f>
        <v>2778.36</v>
      </c>
      <c r="K2359" s="789">
        <f>'Parâmetros financeiros Despesa'!F1772</f>
        <v>2628.8525718131614</v>
      </c>
      <c r="L2359" s="799">
        <f t="shared" si="293"/>
        <v>4.0483598261623378E-3</v>
      </c>
      <c r="M2359" s="894"/>
      <c r="O2359" s="733"/>
    </row>
    <row r="2360" spans="1:20" s="115" customFormat="1" ht="15" customHeight="1" x14ac:dyDescent="0.25">
      <c r="A2360" s="396"/>
      <c r="B2360" s="1398" t="s">
        <v>9416</v>
      </c>
      <c r="C2360" s="1398"/>
      <c r="D2360" s="1398"/>
      <c r="E2360" s="854">
        <v>333909300000000</v>
      </c>
      <c r="F2360" s="855" t="s">
        <v>9007</v>
      </c>
      <c r="G2360" s="468">
        <v>4070</v>
      </c>
      <c r="H2360" s="468">
        <v>0</v>
      </c>
      <c r="I2360" s="751"/>
      <c r="J2360" s="789">
        <f>'Parâmetros financeiros Despesa'!E1773</f>
        <v>0</v>
      </c>
      <c r="K2360" s="789">
        <f>'Parâmetros financeiros Despesa'!F1773</f>
        <v>300</v>
      </c>
      <c r="L2360" s="799">
        <f t="shared" si="293"/>
        <v>4.6199165402837175E-4</v>
      </c>
      <c r="M2360" s="894"/>
      <c r="O2360" s="733"/>
    </row>
    <row r="2361" spans="1:20" s="115" customFormat="1" ht="15" customHeight="1" x14ac:dyDescent="0.25">
      <c r="A2361" s="396"/>
      <c r="B2361" s="1398" t="s">
        <v>9417</v>
      </c>
      <c r="C2361" s="1398"/>
      <c r="D2361" s="1398"/>
      <c r="E2361" s="854">
        <v>333933000000000</v>
      </c>
      <c r="F2361" s="855" t="s">
        <v>9008</v>
      </c>
      <c r="G2361" s="468">
        <v>4070</v>
      </c>
      <c r="H2361" s="468">
        <v>0</v>
      </c>
      <c r="I2361" s="751"/>
      <c r="J2361" s="789">
        <f>'Parâmetros financeiros Despesa'!E1774</f>
        <v>0</v>
      </c>
      <c r="K2361" s="789">
        <f>'Parâmetros financeiros Despesa'!F1774</f>
        <v>300</v>
      </c>
      <c r="L2361" s="799">
        <f t="shared" si="293"/>
        <v>4.6199165402837175E-4</v>
      </c>
      <c r="M2361" s="894"/>
      <c r="O2361" s="733"/>
    </row>
    <row r="2362" spans="1:20" s="115" customFormat="1" ht="15" customHeight="1" x14ac:dyDescent="0.25">
      <c r="A2362" s="396"/>
      <c r="B2362" s="1398" t="s">
        <v>9418</v>
      </c>
      <c r="C2362" s="1398"/>
      <c r="D2362" s="1398"/>
      <c r="E2362" s="854">
        <v>333933900000000</v>
      </c>
      <c r="F2362" s="855" t="s">
        <v>9420</v>
      </c>
      <c r="G2362" s="468">
        <v>4070</v>
      </c>
      <c r="H2362" s="468">
        <v>0</v>
      </c>
      <c r="I2362" s="751"/>
      <c r="J2362" s="789">
        <f>'Parâmetros financeiros Despesa'!E1775</f>
        <v>0</v>
      </c>
      <c r="K2362" s="789">
        <f>'Parâmetros financeiros Despesa'!F1775</f>
        <v>300</v>
      </c>
      <c r="L2362" s="799">
        <f t="shared" si="293"/>
        <v>4.6199165402837175E-4</v>
      </c>
      <c r="M2362" s="894"/>
      <c r="O2362" s="733"/>
    </row>
    <row r="2363" spans="1:20" s="115" customFormat="1" ht="15" customHeight="1" x14ac:dyDescent="0.25">
      <c r="A2363" s="396"/>
      <c r="B2363" s="1398" t="s">
        <v>9419</v>
      </c>
      <c r="C2363" s="1398"/>
      <c r="D2363" s="1398"/>
      <c r="E2363" s="854">
        <v>344905200000000</v>
      </c>
      <c r="F2363" s="855" t="s">
        <v>9009</v>
      </c>
      <c r="G2363" s="468">
        <v>4070</v>
      </c>
      <c r="H2363" s="468">
        <v>0</v>
      </c>
      <c r="I2363" s="751"/>
      <c r="J2363" s="789">
        <f>'Parâmetros financeiros Despesa'!E1776</f>
        <v>0</v>
      </c>
      <c r="K2363" s="789">
        <f>'Parâmetros financeiros Despesa'!F1776</f>
        <v>300</v>
      </c>
      <c r="L2363" s="799">
        <f t="shared" si="293"/>
        <v>4.6199165402837175E-4</v>
      </c>
      <c r="M2363" s="894"/>
      <c r="O2363" s="733"/>
    </row>
    <row r="2364" spans="1:20" ht="15" customHeight="1" x14ac:dyDescent="0.25">
      <c r="A2364" s="397"/>
      <c r="B2364" s="1382" t="s">
        <v>8699</v>
      </c>
      <c r="C2364" s="1382"/>
      <c r="D2364" s="1382"/>
      <c r="E2364" s="1382"/>
      <c r="F2364" s="1382"/>
      <c r="G2364" s="405"/>
      <c r="H2364" s="405"/>
      <c r="I2364" s="428"/>
      <c r="J2364" s="406">
        <f t="shared" ref="J2364:K2366" si="294">J2365</f>
        <v>6984.4650000000001</v>
      </c>
      <c r="K2364" s="406">
        <f t="shared" si="294"/>
        <v>3508.54</v>
      </c>
      <c r="L2364" s="453">
        <f>K2364/K$2399</f>
        <v>5.4030539927490111E-3</v>
      </c>
    </row>
    <row r="2365" spans="1:20" ht="15" customHeight="1" x14ac:dyDescent="0.25">
      <c r="A2365" s="397"/>
      <c r="B2365" s="1383" t="s">
        <v>8988</v>
      </c>
      <c r="C2365" s="1383"/>
      <c r="D2365" s="1383"/>
      <c r="E2365" s="1383"/>
      <c r="F2365" s="1383"/>
      <c r="G2365" s="407"/>
      <c r="H2365" s="407"/>
      <c r="I2365" s="429"/>
      <c r="J2365" s="408">
        <f t="shared" si="294"/>
        <v>6984.4650000000001</v>
      </c>
      <c r="K2365" s="408">
        <f t="shared" si="294"/>
        <v>3508.54</v>
      </c>
      <c r="L2365" s="454">
        <f>K2365/K$2399</f>
        <v>5.4030539927490111E-3</v>
      </c>
    </row>
    <row r="2366" spans="1:20" ht="15" customHeight="1" x14ac:dyDescent="0.25">
      <c r="A2366" s="397"/>
      <c r="B2366" s="1385" t="s">
        <v>8698</v>
      </c>
      <c r="C2366" s="1385"/>
      <c r="D2366" s="1385"/>
      <c r="E2366" s="1385"/>
      <c r="F2366" s="1385"/>
      <c r="G2366" s="401"/>
      <c r="H2366" s="401"/>
      <c r="I2366" s="426"/>
      <c r="J2366" s="402">
        <f t="shared" si="294"/>
        <v>6984.4650000000001</v>
      </c>
      <c r="K2366" s="402">
        <f t="shared" si="294"/>
        <v>3508.54</v>
      </c>
      <c r="L2366" s="451">
        <f>K2366/K$2399</f>
        <v>5.4030539927490111E-3</v>
      </c>
    </row>
    <row r="2367" spans="1:20" ht="15" customHeight="1" x14ac:dyDescent="0.25">
      <c r="A2367" s="397"/>
      <c r="B2367" s="1386" t="s">
        <v>8962</v>
      </c>
      <c r="C2367" s="1386"/>
      <c r="D2367" s="1386"/>
      <c r="E2367" s="1386"/>
      <c r="F2367" s="1386"/>
      <c r="G2367" s="403"/>
      <c r="H2367" s="403"/>
      <c r="I2367" s="427"/>
      <c r="J2367" s="404">
        <f>SUM(J2368:J2383)</f>
        <v>6984.4650000000001</v>
      </c>
      <c r="K2367" s="404">
        <f>SUM(K2368:K2383)</f>
        <v>3508.54</v>
      </c>
      <c r="L2367" s="452">
        <f>K2367/K$2399</f>
        <v>5.4030539927490111E-3</v>
      </c>
    </row>
    <row r="2368" spans="1:20" s="115" customFormat="1" ht="15" customHeight="1" x14ac:dyDescent="0.25">
      <c r="A2368" s="396"/>
      <c r="B2368" s="1398" t="s">
        <v>9423</v>
      </c>
      <c r="C2368" s="1398"/>
      <c r="D2368" s="1398"/>
      <c r="E2368" s="854">
        <v>331900400000000</v>
      </c>
      <c r="F2368" s="855" t="s">
        <v>8976</v>
      </c>
      <c r="G2368" s="468">
        <v>4190</v>
      </c>
      <c r="H2368" s="468">
        <v>0</v>
      </c>
      <c r="I2368" s="751"/>
      <c r="J2368" s="789">
        <f>'Parâmetros financeiros Despesa'!E1778</f>
        <v>0</v>
      </c>
      <c r="K2368" s="789">
        <f>'Parâmetros financeiros Despesa'!F1778</f>
        <v>1</v>
      </c>
      <c r="L2368" s="799">
        <f>K2368/K$2399</f>
        <v>1.5399721800945725E-6</v>
      </c>
      <c r="M2368" s="894"/>
      <c r="O2368" s="733"/>
    </row>
    <row r="2369" spans="1:20" s="115" customFormat="1" ht="15" customHeight="1" x14ac:dyDescent="0.25">
      <c r="A2369" s="396"/>
      <c r="B2369" s="1398" t="s">
        <v>9424</v>
      </c>
      <c r="C2369" s="1398"/>
      <c r="D2369" s="1398"/>
      <c r="E2369" s="854">
        <v>331901100000000</v>
      </c>
      <c r="F2369" s="855" t="s">
        <v>8978</v>
      </c>
      <c r="G2369" s="468">
        <v>4190</v>
      </c>
      <c r="H2369" s="468">
        <v>0</v>
      </c>
      <c r="I2369" s="751"/>
      <c r="J2369" s="789">
        <f>'Parâmetros financeiros Despesa'!E1779</f>
        <v>0</v>
      </c>
      <c r="K2369" s="789">
        <f>'Parâmetros financeiros Despesa'!F1779</f>
        <v>1</v>
      </c>
      <c r="L2369" s="799">
        <f t="shared" ref="L2369:L2381" si="295">K2369/K$2399</f>
        <v>1.5399721800945725E-6</v>
      </c>
      <c r="M2369" s="894"/>
      <c r="O2369" s="733"/>
    </row>
    <row r="2370" spans="1:20" s="115" customFormat="1" ht="15" customHeight="1" x14ac:dyDescent="0.25">
      <c r="A2370" s="396"/>
      <c r="B2370" s="1398" t="s">
        <v>9425</v>
      </c>
      <c r="C2370" s="1398"/>
      <c r="D2370" s="1398"/>
      <c r="E2370" s="854">
        <v>331901300000000</v>
      </c>
      <c r="F2370" s="855" t="s">
        <v>8977</v>
      </c>
      <c r="G2370" s="468">
        <v>4190</v>
      </c>
      <c r="H2370" s="468">
        <v>0</v>
      </c>
      <c r="I2370" s="751"/>
      <c r="J2370" s="789">
        <f>'Parâmetros financeiros Despesa'!E1780</f>
        <v>0</v>
      </c>
      <c r="K2370" s="789">
        <f>'Parâmetros financeiros Despesa'!F1780</f>
        <v>1</v>
      </c>
      <c r="L2370" s="799">
        <f t="shared" si="295"/>
        <v>1.5399721800945725E-6</v>
      </c>
      <c r="M2370" s="894"/>
      <c r="O2370" s="733"/>
    </row>
    <row r="2371" spans="1:20" s="115" customFormat="1" ht="15" customHeight="1" x14ac:dyDescent="0.25">
      <c r="A2371" s="396"/>
      <c r="B2371" s="1398" t="s">
        <v>9426</v>
      </c>
      <c r="C2371" s="1398"/>
      <c r="D2371" s="1398"/>
      <c r="E2371" s="854">
        <v>331901600000000</v>
      </c>
      <c r="F2371" s="855" t="s">
        <v>8979</v>
      </c>
      <c r="G2371" s="468">
        <v>4190</v>
      </c>
      <c r="H2371" s="468">
        <v>0</v>
      </c>
      <c r="I2371" s="751"/>
      <c r="J2371" s="789">
        <f>'Parâmetros financeiros Despesa'!E1781</f>
        <v>0</v>
      </c>
      <c r="K2371" s="789">
        <f>'Parâmetros financeiros Despesa'!F1781</f>
        <v>1</v>
      </c>
      <c r="L2371" s="799">
        <f t="shared" si="295"/>
        <v>1.5399721800945725E-6</v>
      </c>
      <c r="M2371" s="894"/>
      <c r="O2371" s="733"/>
    </row>
    <row r="2372" spans="1:20" s="115" customFormat="1" ht="15" customHeight="1" x14ac:dyDescent="0.25">
      <c r="A2372" s="396"/>
      <c r="B2372" s="1398" t="s">
        <v>9427</v>
      </c>
      <c r="C2372" s="1398"/>
      <c r="D2372" s="1398"/>
      <c r="E2372" s="854">
        <v>333901400000000</v>
      </c>
      <c r="F2372" s="855" t="s">
        <v>8994</v>
      </c>
      <c r="G2372" s="468">
        <v>4190</v>
      </c>
      <c r="H2372" s="468">
        <v>0</v>
      </c>
      <c r="I2372" s="751"/>
      <c r="J2372" s="789">
        <f>'Parâmetros financeiros Despesa'!E1782</f>
        <v>0</v>
      </c>
      <c r="K2372" s="789">
        <f>'Parâmetros financeiros Despesa'!F1782</f>
        <v>1000</v>
      </c>
      <c r="L2372" s="799">
        <f t="shared" si="295"/>
        <v>1.5399721800945724E-3</v>
      </c>
      <c r="M2372" s="894"/>
      <c r="O2372" s="733"/>
    </row>
    <row r="2373" spans="1:20" s="115" customFormat="1" ht="15" customHeight="1" x14ac:dyDescent="0.25">
      <c r="B2373" s="879"/>
      <c r="C2373" s="879"/>
      <c r="D2373" s="880">
        <v>653500</v>
      </c>
      <c r="E2373" s="854">
        <v>333903000000000</v>
      </c>
      <c r="F2373" s="855" t="s">
        <v>8995</v>
      </c>
      <c r="G2373" s="468">
        <v>4190</v>
      </c>
      <c r="H2373" s="468">
        <v>0</v>
      </c>
      <c r="I2373" s="751"/>
      <c r="J2373" s="789">
        <f>'Parâmetros financeiros Despesa'!E1783</f>
        <v>2579.04</v>
      </c>
      <c r="K2373" s="789">
        <f>'Parâmetros financeiros Despesa'!F1783</f>
        <v>1495.34</v>
      </c>
      <c r="L2373" s="799">
        <f t="shared" si="295"/>
        <v>2.3027819997826176E-3</v>
      </c>
      <c r="M2373" s="894"/>
      <c r="N2373" s="396"/>
      <c r="O2373" s="463"/>
      <c r="R2373" s="463"/>
      <c r="S2373" s="463"/>
      <c r="T2373" s="463"/>
    </row>
    <row r="2374" spans="1:20" s="115" customFormat="1" ht="15" customHeight="1" x14ac:dyDescent="0.25">
      <c r="B2374" s="1004"/>
      <c r="C2374" s="1004"/>
      <c r="D2374" s="880">
        <v>653600</v>
      </c>
      <c r="E2374" s="854">
        <v>333903200000000</v>
      </c>
      <c r="F2374" s="855" t="s">
        <v>8982</v>
      </c>
      <c r="G2374" s="468">
        <v>4190</v>
      </c>
      <c r="H2374" s="468">
        <v>0</v>
      </c>
      <c r="I2374" s="751"/>
      <c r="J2374" s="789">
        <f>'Parâmetros financeiros Despesa'!E1784</f>
        <v>0</v>
      </c>
      <c r="K2374" s="789">
        <f>'Parâmetros financeiros Despesa'!F1784</f>
        <v>1</v>
      </c>
      <c r="L2374" s="799">
        <f t="shared" si="295"/>
        <v>1.5399721800945725E-6</v>
      </c>
      <c r="M2374" s="894"/>
      <c r="N2374" s="396"/>
      <c r="O2374" s="463"/>
      <c r="R2374" s="463"/>
      <c r="S2374" s="463"/>
      <c r="T2374" s="463"/>
    </row>
    <row r="2375" spans="1:20" s="115" customFormat="1" ht="15" customHeight="1" x14ac:dyDescent="0.25">
      <c r="B2375" s="1004"/>
      <c r="C2375" s="1004"/>
      <c r="D2375" s="880">
        <v>653700</v>
      </c>
      <c r="E2375" s="854">
        <v>333903300000000</v>
      </c>
      <c r="F2375" s="855" t="s">
        <v>9421</v>
      </c>
      <c r="G2375" s="468">
        <v>4190</v>
      </c>
      <c r="H2375" s="468">
        <v>0</v>
      </c>
      <c r="I2375" s="751"/>
      <c r="J2375" s="789">
        <f>'Parâmetros financeiros Despesa'!E1785</f>
        <v>0</v>
      </c>
      <c r="K2375" s="789">
        <f>'Parâmetros financeiros Despesa'!F1785</f>
        <v>1</v>
      </c>
      <c r="L2375" s="799">
        <f t="shared" si="295"/>
        <v>1.5399721800945725E-6</v>
      </c>
      <c r="M2375" s="894"/>
      <c r="N2375" s="396"/>
      <c r="O2375" s="463"/>
      <c r="R2375" s="463"/>
      <c r="S2375" s="463"/>
      <c r="T2375" s="463"/>
    </row>
    <row r="2376" spans="1:20" s="115" customFormat="1" ht="15" customHeight="1" x14ac:dyDescent="0.25">
      <c r="B2376" s="1004"/>
      <c r="C2376" s="1004"/>
      <c r="D2376" s="880">
        <v>653800</v>
      </c>
      <c r="E2376" s="854">
        <v>333903600000000</v>
      </c>
      <c r="F2376" s="855" t="s">
        <v>9090</v>
      </c>
      <c r="G2376" s="468">
        <v>4190</v>
      </c>
      <c r="H2376" s="468">
        <v>0</v>
      </c>
      <c r="I2376" s="751"/>
      <c r="J2376" s="789">
        <f>'Parâmetros financeiros Despesa'!E1786</f>
        <v>0</v>
      </c>
      <c r="K2376" s="789">
        <f>'Parâmetros financeiros Despesa'!F1786</f>
        <v>1</v>
      </c>
      <c r="L2376" s="799">
        <f t="shared" si="295"/>
        <v>1.5399721800945725E-6</v>
      </c>
      <c r="M2376" s="894"/>
      <c r="N2376" s="396"/>
      <c r="O2376" s="463"/>
      <c r="R2376" s="463"/>
      <c r="S2376" s="463"/>
      <c r="T2376" s="463"/>
    </row>
    <row r="2377" spans="1:20" s="115" customFormat="1" ht="15" customHeight="1" x14ac:dyDescent="0.25">
      <c r="B2377" s="1004"/>
      <c r="C2377" s="1004"/>
      <c r="D2377" s="880">
        <v>653900</v>
      </c>
      <c r="E2377" s="854">
        <v>333903900000000</v>
      </c>
      <c r="F2377" s="855" t="s">
        <v>9091</v>
      </c>
      <c r="G2377" s="468">
        <v>4190</v>
      </c>
      <c r="H2377" s="468">
        <v>0</v>
      </c>
      <c r="I2377" s="751"/>
      <c r="J2377" s="789">
        <f>'Parâmetros financeiros Despesa'!E1787</f>
        <v>1631.9250000000002</v>
      </c>
      <c r="K2377" s="789">
        <f>'Parâmetros financeiros Despesa'!F1787</f>
        <v>1001</v>
      </c>
      <c r="L2377" s="799">
        <f t="shared" si="295"/>
        <v>1.5415121522746669E-3</v>
      </c>
      <c r="M2377" s="894"/>
      <c r="N2377" s="396"/>
      <c r="O2377" s="463"/>
      <c r="R2377" s="463"/>
      <c r="S2377" s="463"/>
      <c r="T2377" s="463"/>
    </row>
    <row r="2378" spans="1:20" s="115" customFormat="1" ht="15" customHeight="1" x14ac:dyDescent="0.25">
      <c r="B2378" s="1004"/>
      <c r="C2378" s="1004"/>
      <c r="D2378" s="880">
        <v>654000</v>
      </c>
      <c r="E2378" s="854">
        <v>333904700000000</v>
      </c>
      <c r="F2378" s="855" t="s">
        <v>9092</v>
      </c>
      <c r="G2378" s="468">
        <v>4190</v>
      </c>
      <c r="H2378" s="468">
        <v>0</v>
      </c>
      <c r="I2378" s="751"/>
      <c r="J2378" s="789">
        <f>'Parâmetros financeiros Despesa'!E1788</f>
        <v>0</v>
      </c>
      <c r="K2378" s="789">
        <f>'Parâmetros financeiros Despesa'!F1788</f>
        <v>0.2</v>
      </c>
      <c r="L2378" s="799">
        <f t="shared" si="295"/>
        <v>3.079944360189145E-7</v>
      </c>
      <c r="M2378" s="894"/>
      <c r="N2378" s="396"/>
      <c r="O2378" s="463"/>
      <c r="R2378" s="463"/>
      <c r="S2378" s="463"/>
      <c r="T2378" s="463"/>
    </row>
    <row r="2379" spans="1:20" s="115" customFormat="1" ht="15" customHeight="1" x14ac:dyDescent="0.25">
      <c r="A2379" s="396"/>
      <c r="B2379" s="1398" t="s">
        <v>9428</v>
      </c>
      <c r="C2379" s="1398"/>
      <c r="D2379" s="1398"/>
      <c r="E2379" s="854">
        <v>333904900000000</v>
      </c>
      <c r="F2379" s="855" t="s">
        <v>8983</v>
      </c>
      <c r="G2379" s="468">
        <v>4190</v>
      </c>
      <c r="H2379" s="468">
        <v>0</v>
      </c>
      <c r="I2379" s="751"/>
      <c r="J2379" s="789">
        <f>'Parâmetros financeiros Despesa'!E1789</f>
        <v>0</v>
      </c>
      <c r="K2379" s="789">
        <f>'Parâmetros financeiros Despesa'!F1789</f>
        <v>1</v>
      </c>
      <c r="L2379" s="799">
        <f t="shared" si="295"/>
        <v>1.5399721800945725E-6</v>
      </c>
      <c r="M2379" s="894"/>
      <c r="O2379" s="733"/>
    </row>
    <row r="2380" spans="1:20" s="115" customFormat="1" ht="15" customHeight="1" x14ac:dyDescent="0.25">
      <c r="A2380" s="396"/>
      <c r="B2380" s="1398" t="s">
        <v>9429</v>
      </c>
      <c r="C2380" s="1398"/>
      <c r="D2380" s="1398"/>
      <c r="E2380" s="854">
        <v>333909300000000</v>
      </c>
      <c r="F2380" s="855" t="s">
        <v>9093</v>
      </c>
      <c r="G2380" s="468">
        <v>4190</v>
      </c>
      <c r="H2380" s="468">
        <v>0</v>
      </c>
      <c r="I2380" s="751"/>
      <c r="J2380" s="789">
        <f>'Parâmetros financeiros Despesa'!E1790</f>
        <v>0</v>
      </c>
      <c r="K2380" s="789">
        <f>'Parâmetros financeiros Despesa'!F1790</f>
        <v>1</v>
      </c>
      <c r="L2380" s="799">
        <f t="shared" si="295"/>
        <v>1.5399721800945725E-6</v>
      </c>
      <c r="M2380" s="894"/>
      <c r="O2380" s="733"/>
    </row>
    <row r="2381" spans="1:20" s="115" customFormat="1" ht="15" customHeight="1" x14ac:dyDescent="0.25">
      <c r="A2381" s="396"/>
      <c r="B2381" s="1398" t="s">
        <v>9430</v>
      </c>
      <c r="C2381" s="1398"/>
      <c r="D2381" s="1398"/>
      <c r="E2381" s="854">
        <v>333933000000000</v>
      </c>
      <c r="F2381" s="855" t="s">
        <v>8986</v>
      </c>
      <c r="G2381" s="468">
        <v>4190</v>
      </c>
      <c r="H2381" s="468">
        <v>0</v>
      </c>
      <c r="I2381" s="751"/>
      <c r="J2381" s="789">
        <f>'Parâmetros financeiros Despesa'!E1791</f>
        <v>0</v>
      </c>
      <c r="K2381" s="789">
        <f>'Parâmetros financeiros Despesa'!F1791</f>
        <v>1</v>
      </c>
      <c r="L2381" s="799">
        <f t="shared" si="295"/>
        <v>1.5399721800945725E-6</v>
      </c>
      <c r="M2381" s="894"/>
      <c r="O2381" s="733"/>
    </row>
    <row r="2382" spans="1:20" s="115" customFormat="1" ht="15" customHeight="1" x14ac:dyDescent="0.25">
      <c r="A2382" s="396"/>
      <c r="B2382" s="1004"/>
      <c r="C2382" s="1004"/>
      <c r="D2382" s="1004" t="s">
        <v>9431</v>
      </c>
      <c r="E2382" s="854">
        <v>333933900000000</v>
      </c>
      <c r="F2382" s="855" t="s">
        <v>9422</v>
      </c>
      <c r="G2382" s="468">
        <v>4190</v>
      </c>
      <c r="H2382" s="468">
        <v>0</v>
      </c>
      <c r="I2382" s="751"/>
      <c r="J2382" s="789">
        <f>'Parâmetros financeiros Despesa'!E1792</f>
        <v>0</v>
      </c>
      <c r="K2382" s="789">
        <f>'Parâmetros financeiros Despesa'!F1792</f>
        <v>1</v>
      </c>
      <c r="L2382" s="799">
        <f>K2382/K$2399</f>
        <v>1.5399721800945725E-6</v>
      </c>
      <c r="M2382" s="894"/>
      <c r="O2382" s="733"/>
    </row>
    <row r="2383" spans="1:20" s="115" customFormat="1" ht="15" customHeight="1" x14ac:dyDescent="0.25">
      <c r="A2383" s="396"/>
      <c r="B2383" s="1398" t="s">
        <v>9432</v>
      </c>
      <c r="C2383" s="1398"/>
      <c r="D2383" s="1398"/>
      <c r="E2383" s="854">
        <v>344905200000000</v>
      </c>
      <c r="F2383" s="855" t="s">
        <v>8985</v>
      </c>
      <c r="G2383" s="468">
        <v>4190</v>
      </c>
      <c r="H2383" s="468">
        <v>0</v>
      </c>
      <c r="I2383" s="751"/>
      <c r="J2383" s="789">
        <f>'Parâmetros financeiros Despesa'!E1793</f>
        <v>2773.5</v>
      </c>
      <c r="K2383" s="789">
        <f>'Parâmetros financeiros Despesa'!F1793</f>
        <v>1</v>
      </c>
      <c r="L2383" s="799">
        <f>K2383/K$2399</f>
        <v>1.5399721800945725E-6</v>
      </c>
      <c r="M2383" s="894"/>
      <c r="O2383" s="733"/>
    </row>
    <row r="2384" spans="1:20" s="115" customFormat="1" ht="16.5" customHeight="1" x14ac:dyDescent="0.25">
      <c r="A2384" s="396"/>
      <c r="B2384" s="1397" t="s">
        <v>2172</v>
      </c>
      <c r="C2384" s="1397"/>
      <c r="D2384" s="1397"/>
      <c r="E2384" s="1397"/>
      <c r="F2384" s="1397"/>
      <c r="G2384" s="1397"/>
      <c r="H2384" s="1397"/>
      <c r="I2384" s="1397"/>
      <c r="J2384" s="1024">
        <f>J2367+J2347+J2331+J2313+J2306+J2299+J2281+J2263+J2243</f>
        <v>221215.17481250002</v>
      </c>
      <c r="K2384" s="1024">
        <f>K2367+K2347+K2331+K2313+K2306+K2299+K2281+K2263+K2243</f>
        <v>649362.3832897665</v>
      </c>
      <c r="L2384" s="1025">
        <f>K2384/K$2399</f>
        <v>1.0000000050661491</v>
      </c>
      <c r="M2384" s="894"/>
      <c r="O2384" s="733"/>
    </row>
    <row r="2385" spans="2:15" ht="15" customHeight="1" x14ac:dyDescent="0.25">
      <c r="B2385" s="1026" t="s">
        <v>11469</v>
      </c>
      <c r="C2385" s="1026"/>
      <c r="D2385" s="1026"/>
      <c r="E2385" s="1026"/>
      <c r="F2385" s="1026"/>
      <c r="G2385" s="1026"/>
      <c r="H2385" s="1026"/>
      <c r="I2385" s="1026"/>
      <c r="J2385" s="1027"/>
      <c r="K2385" s="1027"/>
      <c r="L2385" s="1025"/>
    </row>
    <row r="2386" spans="2:15" s="31" customFormat="1" ht="15" customHeight="1" x14ac:dyDescent="0.25">
      <c r="B2386" s="1028" t="s">
        <v>756</v>
      </c>
      <c r="C2386" s="1028"/>
      <c r="D2386" s="1028"/>
      <c r="E2386" s="1028"/>
      <c r="F2386" s="1028"/>
      <c r="G2386" s="1028"/>
      <c r="H2386" s="1028"/>
      <c r="I2386" s="1028"/>
      <c r="J2386" s="1029">
        <v>0</v>
      </c>
      <c r="K2386" s="1029">
        <v>6</v>
      </c>
      <c r="L2386" s="1030">
        <f t="shared" ref="L2386:L2397" si="296">K2386/K$2399</f>
        <v>9.2398330805674339E-6</v>
      </c>
      <c r="M2386" s="897"/>
      <c r="O2386" s="736"/>
    </row>
    <row r="2387" spans="2:15" s="31" customFormat="1" ht="15" customHeight="1" x14ac:dyDescent="0.25">
      <c r="B2387" s="1028" t="s">
        <v>11498</v>
      </c>
      <c r="C2387" s="1028"/>
      <c r="D2387" s="1028"/>
      <c r="E2387" s="1028"/>
      <c r="F2387" s="1028"/>
      <c r="G2387" s="1028"/>
      <c r="H2387" s="1028"/>
      <c r="I2387" s="1028"/>
      <c r="J2387" s="1029">
        <v>0</v>
      </c>
      <c r="K2387" s="1029">
        <v>100</v>
      </c>
      <c r="L2387" s="1030">
        <f t="shared" si="296"/>
        <v>1.5399721800945723E-4</v>
      </c>
      <c r="M2387" s="897"/>
      <c r="O2387" s="736"/>
    </row>
    <row r="2388" spans="2:15" s="31" customFormat="1" ht="15" customHeight="1" x14ac:dyDescent="0.25">
      <c r="B2388" s="1028" t="s">
        <v>11499</v>
      </c>
      <c r="C2388" s="1028"/>
      <c r="D2388" s="1028"/>
      <c r="E2388" s="1028"/>
      <c r="F2388" s="1028"/>
      <c r="G2388" s="1028"/>
      <c r="H2388" s="1028"/>
      <c r="I2388" s="1028"/>
      <c r="J2388" s="1029">
        <v>0</v>
      </c>
      <c r="K2388" s="1029">
        <v>500</v>
      </c>
      <c r="L2388" s="1030">
        <f t="shared" si="296"/>
        <v>7.6998609004728621E-4</v>
      </c>
      <c r="M2388" s="897"/>
      <c r="O2388" s="736"/>
    </row>
    <row r="2389" spans="2:15" s="31" customFormat="1" ht="15" customHeight="1" x14ac:dyDescent="0.25">
      <c r="B2389" s="1028" t="s">
        <v>11500</v>
      </c>
      <c r="C2389" s="1028"/>
      <c r="D2389" s="1028"/>
      <c r="E2389" s="1028"/>
      <c r="F2389" s="1028"/>
      <c r="G2389" s="1028"/>
      <c r="H2389" s="1028"/>
      <c r="I2389" s="1028"/>
      <c r="J2389" s="1029">
        <f>J2331</f>
        <v>35297.265000000007</v>
      </c>
      <c r="K2389" s="1029">
        <v>155111.04999999999</v>
      </c>
      <c r="L2389" s="1030">
        <f t="shared" si="296"/>
        <v>0.23886670182525821</v>
      </c>
      <c r="M2389" s="897"/>
      <c r="O2389" s="736"/>
    </row>
    <row r="2390" spans="2:15" s="31" customFormat="1" x14ac:dyDescent="0.25">
      <c r="B2390" s="1028" t="s">
        <v>11501</v>
      </c>
      <c r="C2390" s="1028"/>
      <c r="D2390" s="1028"/>
      <c r="E2390" s="1028"/>
      <c r="F2390" s="1028"/>
      <c r="G2390" s="1028"/>
      <c r="H2390" s="1028"/>
      <c r="I2390" s="1028"/>
      <c r="J2390" s="1029">
        <v>0</v>
      </c>
      <c r="K2390" s="1029">
        <v>10794.64</v>
      </c>
      <c r="L2390" s="1030">
        <f t="shared" si="296"/>
        <v>1.6623445294136074E-2</v>
      </c>
      <c r="M2390" s="897"/>
      <c r="O2390" s="736"/>
    </row>
    <row r="2391" spans="2:15" s="31" customFormat="1" x14ac:dyDescent="0.25">
      <c r="B2391" s="1028" t="s">
        <v>11502</v>
      </c>
      <c r="C2391" s="1028"/>
      <c r="D2391" s="1028"/>
      <c r="E2391" s="1028"/>
      <c r="F2391" s="1028"/>
      <c r="G2391" s="1028"/>
      <c r="H2391" s="1028"/>
      <c r="I2391" s="1028"/>
      <c r="J2391" s="1029">
        <v>0</v>
      </c>
      <c r="K2391" s="1029">
        <v>9912.2900000000009</v>
      </c>
      <c r="L2391" s="1030">
        <f t="shared" si="296"/>
        <v>1.5264650841029631E-2</v>
      </c>
      <c r="M2391" s="897"/>
      <c r="O2391" s="736"/>
    </row>
    <row r="2392" spans="2:15" s="31" customFormat="1" x14ac:dyDescent="0.25">
      <c r="B2392" s="1028" t="s">
        <v>11503</v>
      </c>
      <c r="C2392" s="1028"/>
      <c r="D2392" s="1028"/>
      <c r="E2392" s="1028"/>
      <c r="F2392" s="1028"/>
      <c r="G2392" s="1028"/>
      <c r="H2392" s="1028"/>
      <c r="I2392" s="1028"/>
      <c r="J2392" s="1029">
        <f>J2347</f>
        <v>178933.44481250001</v>
      </c>
      <c r="K2392" s="1029">
        <v>158221.25</v>
      </c>
      <c r="L2392" s="1030">
        <f t="shared" si="296"/>
        <v>0.24365632329978837</v>
      </c>
      <c r="M2392" s="897"/>
      <c r="O2392" s="736"/>
    </row>
    <row r="2393" spans="2:15" s="31" customFormat="1" x14ac:dyDescent="0.25">
      <c r="B2393" s="1028" t="s">
        <v>11504</v>
      </c>
      <c r="C2393" s="1028"/>
      <c r="D2393" s="1028"/>
      <c r="E2393" s="1028"/>
      <c r="F2393" s="1028"/>
      <c r="G2393" s="1028"/>
      <c r="H2393" s="1028"/>
      <c r="I2393" s="1028"/>
      <c r="J2393" s="1029">
        <v>0</v>
      </c>
      <c r="K2393" s="1029">
        <v>35408.61</v>
      </c>
      <c r="L2393" s="1030">
        <f t="shared" si="296"/>
        <v>5.4528274335818479E-2</v>
      </c>
      <c r="M2393" s="897"/>
      <c r="O2393" s="736"/>
    </row>
    <row r="2394" spans="2:15" s="31" customFormat="1" x14ac:dyDescent="0.25">
      <c r="B2394" s="1028" t="s">
        <v>873</v>
      </c>
      <c r="C2394" s="1028"/>
      <c r="D2394" s="1028"/>
      <c r="E2394" s="1028"/>
      <c r="F2394" s="1028"/>
      <c r="G2394" s="1028"/>
      <c r="H2394" s="1028"/>
      <c r="I2394" s="1028"/>
      <c r="J2394" s="1029">
        <f>J2367</f>
        <v>6984.4650000000001</v>
      </c>
      <c r="K2394" s="1029">
        <v>3508.54</v>
      </c>
      <c r="L2394" s="1030">
        <f t="shared" si="296"/>
        <v>5.4030539927490111E-3</v>
      </c>
      <c r="M2394" s="897"/>
      <c r="O2394" s="736"/>
    </row>
    <row r="2395" spans="2:15" s="31" customFormat="1" x14ac:dyDescent="0.25">
      <c r="B2395" s="1028" t="s">
        <v>11505</v>
      </c>
      <c r="C2395" s="1028"/>
      <c r="D2395" s="1028"/>
      <c r="E2395" s="1028"/>
      <c r="F2395" s="1028"/>
      <c r="G2395" s="1028"/>
      <c r="H2395" s="1028"/>
      <c r="I2395" s="1028"/>
      <c r="J2395" s="1029">
        <v>0</v>
      </c>
      <c r="K2395" s="1029">
        <v>35200</v>
      </c>
      <c r="L2395" s="1030">
        <f t="shared" si="296"/>
        <v>5.4207020739328947E-2</v>
      </c>
      <c r="M2395" s="897"/>
      <c r="O2395" s="736"/>
    </row>
    <row r="2396" spans="2:15" s="31" customFormat="1" x14ac:dyDescent="0.25">
      <c r="B2396" s="1028" t="s">
        <v>878</v>
      </c>
      <c r="C2396" s="1028"/>
      <c r="D2396" s="1028"/>
      <c r="E2396" s="1028"/>
      <c r="F2396" s="1028"/>
      <c r="G2396" s="1028"/>
      <c r="H2396" s="1028"/>
      <c r="I2396" s="1028"/>
      <c r="J2396" s="1029">
        <v>0</v>
      </c>
      <c r="K2396" s="1029">
        <v>115100</v>
      </c>
      <c r="L2396" s="1030">
        <f t="shared" si="296"/>
        <v>0.17725079792888529</v>
      </c>
      <c r="M2396" s="897"/>
      <c r="O2396" s="736"/>
    </row>
    <row r="2397" spans="2:15" s="31" customFormat="1" x14ac:dyDescent="0.25">
      <c r="B2397" s="1028" t="s">
        <v>879</v>
      </c>
      <c r="C2397" s="1028"/>
      <c r="D2397" s="1028"/>
      <c r="E2397" s="1028"/>
      <c r="F2397" s="1028"/>
      <c r="G2397" s="1028"/>
      <c r="H2397" s="1028"/>
      <c r="I2397" s="1028"/>
      <c r="J2397" s="1029">
        <v>0</v>
      </c>
      <c r="K2397" s="1029">
        <v>90400</v>
      </c>
      <c r="L2397" s="1030">
        <f t="shared" si="296"/>
        <v>0.13921348508054934</v>
      </c>
      <c r="M2397" s="897"/>
      <c r="O2397" s="736"/>
    </row>
    <row r="2398" spans="2:15" s="31" customFormat="1" x14ac:dyDescent="0.25">
      <c r="B2398" s="1028" t="s">
        <v>11506</v>
      </c>
      <c r="C2398" s="1028"/>
      <c r="D2398" s="1028"/>
      <c r="E2398" s="1028"/>
      <c r="F2398" s="1028"/>
      <c r="G2398" s="1028"/>
      <c r="H2398" s="1028"/>
      <c r="I2398" s="1028"/>
      <c r="J2398" s="1029">
        <v>0</v>
      </c>
      <c r="K2398" s="1029">
        <v>35100</v>
      </c>
      <c r="L2398" s="1030">
        <f>K2398/K$2399</f>
        <v>5.4053023521319493E-2</v>
      </c>
      <c r="M2398" s="897"/>
      <c r="O2398" s="736"/>
    </row>
    <row r="2399" spans="2:15" s="115" customFormat="1" x14ac:dyDescent="0.25">
      <c r="B2399" s="1026" t="s">
        <v>2172</v>
      </c>
      <c r="C2399" s="1026"/>
      <c r="D2399" s="1026"/>
      <c r="E2399" s="1026"/>
      <c r="F2399" s="1026"/>
      <c r="G2399" s="1026"/>
      <c r="H2399" s="1026"/>
      <c r="I2399" s="1026"/>
      <c r="J2399" s="1027">
        <f>SUM(J2386:J2398)</f>
        <v>221215.17481250002</v>
      </c>
      <c r="K2399" s="1027">
        <f>SUM(K2386:K2398)</f>
        <v>649362.37999999989</v>
      </c>
      <c r="L2399" s="1025">
        <f>K2399/K$2399</f>
        <v>1</v>
      </c>
      <c r="M2399" s="894"/>
      <c r="O2399" s="733"/>
    </row>
    <row r="2401" spans="1:20" s="435" customFormat="1" ht="15.75" x14ac:dyDescent="0.25">
      <c r="B2401" s="999" t="s">
        <v>989</v>
      </c>
      <c r="C2401" s="999"/>
      <c r="D2401" s="481"/>
      <c r="E2401" s="1371" t="s">
        <v>9485</v>
      </c>
      <c r="F2401" s="1371"/>
      <c r="G2401" s="1371"/>
      <c r="H2401" s="1371"/>
      <c r="I2401" s="1371"/>
      <c r="J2401" s="940"/>
      <c r="K2401" s="438"/>
      <c r="L2401" s="449"/>
      <c r="M2401" s="892"/>
      <c r="O2401" s="732"/>
    </row>
    <row r="2402" spans="1:20" s="435" customFormat="1" ht="18" customHeight="1" x14ac:dyDescent="0.25">
      <c r="B2402" s="999" t="s">
        <v>458</v>
      </c>
      <c r="C2402" s="999"/>
      <c r="D2402" s="481"/>
      <c r="E2402" s="1371" t="s">
        <v>9107</v>
      </c>
      <c r="F2402" s="1371"/>
      <c r="G2402" s="1371"/>
      <c r="H2402" s="1371"/>
      <c r="I2402" s="1371"/>
      <c r="J2402" s="940"/>
      <c r="K2402" s="438"/>
      <c r="L2402" s="449"/>
      <c r="M2402" s="892"/>
      <c r="O2402" s="732"/>
    </row>
    <row r="2403" spans="1:20" s="435" customFormat="1" ht="15.75" x14ac:dyDescent="0.25">
      <c r="B2403" s="1005" t="s">
        <v>5764</v>
      </c>
      <c r="C2403" s="1005"/>
      <c r="D2403" s="1005"/>
      <c r="E2403" s="1371" t="s">
        <v>749</v>
      </c>
      <c r="F2403" s="1371"/>
      <c r="G2403" s="1371"/>
      <c r="H2403" s="1371"/>
      <c r="I2403" s="1371"/>
      <c r="J2403" s="941"/>
      <c r="K2403" s="438"/>
      <c r="L2403" s="449"/>
      <c r="M2403" s="892"/>
      <c r="O2403" s="732"/>
    </row>
    <row r="2404" spans="1:20" ht="88.5" x14ac:dyDescent="0.25">
      <c r="A2404" s="396"/>
      <c r="B2404" s="1400" t="s">
        <v>2296</v>
      </c>
      <c r="C2404" s="1400"/>
      <c r="D2404" s="1400"/>
      <c r="E2404" s="1384" t="s">
        <v>2297</v>
      </c>
      <c r="F2404" s="1384"/>
      <c r="G2404" s="443" t="s">
        <v>444</v>
      </c>
      <c r="H2404" s="443" t="s">
        <v>2245</v>
      </c>
      <c r="I2404" s="444" t="s">
        <v>5725</v>
      </c>
      <c r="J2404" s="893" t="s">
        <v>11644</v>
      </c>
      <c r="K2404" s="1000" t="s">
        <v>11522</v>
      </c>
      <c r="L2404" s="450" t="s">
        <v>235</v>
      </c>
    </row>
    <row r="2405" spans="1:20" x14ac:dyDescent="0.25">
      <c r="A2405" s="397"/>
      <c r="B2405" s="1382" t="s">
        <v>8699</v>
      </c>
      <c r="C2405" s="1382"/>
      <c r="D2405" s="1382"/>
      <c r="E2405" s="1382"/>
      <c r="F2405" s="1382"/>
      <c r="G2405" s="405"/>
      <c r="H2405" s="405"/>
      <c r="I2405" s="428"/>
      <c r="J2405" s="406">
        <f t="shared" ref="J2405:K2407" si="297">J2406</f>
        <v>178087.215</v>
      </c>
      <c r="K2405" s="406">
        <f t="shared" si="297"/>
        <v>130037.27</v>
      </c>
      <c r="L2405" s="453">
        <f>K2405/K$2497</f>
        <v>0.3958942288336228</v>
      </c>
    </row>
    <row r="2406" spans="1:20" ht="15" customHeight="1" x14ac:dyDescent="0.25">
      <c r="A2406" s="397"/>
      <c r="B2406" s="1383" t="s">
        <v>8812</v>
      </c>
      <c r="C2406" s="1383"/>
      <c r="D2406" s="1383"/>
      <c r="E2406" s="1383"/>
      <c r="F2406" s="1383"/>
      <c r="G2406" s="407"/>
      <c r="H2406" s="407"/>
      <c r="I2406" s="429"/>
      <c r="J2406" s="408">
        <f t="shared" si="297"/>
        <v>178087.215</v>
      </c>
      <c r="K2406" s="408">
        <f t="shared" si="297"/>
        <v>130037.27</v>
      </c>
      <c r="L2406" s="454">
        <f>K2406/K$2497</f>
        <v>0.3958942288336228</v>
      </c>
    </row>
    <row r="2407" spans="1:20" ht="15" customHeight="1" x14ac:dyDescent="0.25">
      <c r="A2407" s="397"/>
      <c r="B2407" s="1386" t="s">
        <v>9045</v>
      </c>
      <c r="C2407" s="1386"/>
      <c r="D2407" s="1386"/>
      <c r="E2407" s="1386"/>
      <c r="F2407" s="1386"/>
      <c r="G2407" s="403"/>
      <c r="H2407" s="403"/>
      <c r="I2407" s="427"/>
      <c r="J2407" s="404">
        <f t="shared" si="297"/>
        <v>178087.215</v>
      </c>
      <c r="K2407" s="404">
        <f t="shared" si="297"/>
        <v>130037.27</v>
      </c>
      <c r="L2407" s="452">
        <f>K2407/K$2497</f>
        <v>0.3958942288336228</v>
      </c>
    </row>
    <row r="2408" spans="1:20" ht="15" customHeight="1" x14ac:dyDescent="0.25">
      <c r="A2408" s="397"/>
      <c r="B2408" s="1385" t="s">
        <v>8698</v>
      </c>
      <c r="C2408" s="1385"/>
      <c r="D2408" s="1385"/>
      <c r="E2408" s="1385"/>
      <c r="F2408" s="1385"/>
      <c r="G2408" s="401"/>
      <c r="H2408" s="401"/>
      <c r="I2408" s="426"/>
      <c r="J2408" s="402">
        <f>SUM(J2409:J2420)</f>
        <v>178087.215</v>
      </c>
      <c r="K2408" s="402">
        <f>SUM(K2409:K2420)</f>
        <v>130037.27</v>
      </c>
      <c r="L2408" s="451">
        <f>K2408/K$2497</f>
        <v>0.3958942288336228</v>
      </c>
    </row>
    <row r="2409" spans="1:20" s="115" customFormat="1" ht="15" customHeight="1" x14ac:dyDescent="0.25">
      <c r="A2409" s="396"/>
      <c r="B2409" s="1398" t="s">
        <v>9437</v>
      </c>
      <c r="C2409" s="1398"/>
      <c r="D2409" s="1398"/>
      <c r="E2409" s="854">
        <v>333901400000000</v>
      </c>
      <c r="F2409" s="855" t="s">
        <v>9110</v>
      </c>
      <c r="G2409" s="468">
        <v>4510</v>
      </c>
      <c r="H2409" s="468">
        <v>0</v>
      </c>
      <c r="I2409" s="751"/>
      <c r="J2409" s="789">
        <f>'Parâmetros financeiros Despesa'!E1795</f>
        <v>0</v>
      </c>
      <c r="K2409" s="789">
        <f>'Parâmetros financeiros Despesa'!F1795</f>
        <v>1000</v>
      </c>
      <c r="L2409" s="799">
        <f t="shared" ref="L2409:L2420" si="298">K2409/K$2497</f>
        <v>3.0444673964135265E-3</v>
      </c>
      <c r="M2409" s="894"/>
      <c r="O2409" s="733"/>
    </row>
    <row r="2410" spans="1:20" s="115" customFormat="1" ht="15" customHeight="1" x14ac:dyDescent="0.25">
      <c r="B2410" s="879"/>
      <c r="C2410" s="879"/>
      <c r="D2410" s="880">
        <v>660100</v>
      </c>
      <c r="E2410" s="854">
        <v>333903000000000</v>
      </c>
      <c r="F2410" s="855" t="s">
        <v>9111</v>
      </c>
      <c r="G2410" s="468">
        <v>4510</v>
      </c>
      <c r="H2410" s="468">
        <v>0</v>
      </c>
      <c r="I2410" s="751"/>
      <c r="J2410" s="789">
        <f>'Parâmetros financeiros Despesa'!E1796</f>
        <v>25102.02</v>
      </c>
      <c r="K2410" s="789">
        <f>'Parâmetros financeiros Despesa'!F1796</f>
        <v>25200</v>
      </c>
      <c r="L2410" s="799">
        <f t="shared" si="298"/>
        <v>7.6720578389620861E-2</v>
      </c>
      <c r="M2410" s="894"/>
      <c r="N2410" s="396"/>
      <c r="O2410" s="463"/>
      <c r="R2410" s="463"/>
      <c r="S2410" s="463"/>
      <c r="T2410" s="463"/>
    </row>
    <row r="2411" spans="1:20" s="115" customFormat="1" ht="15" customHeight="1" x14ac:dyDescent="0.25">
      <c r="B2411" s="1004"/>
      <c r="C2411" s="1004"/>
      <c r="D2411" s="880">
        <v>660200</v>
      </c>
      <c r="E2411" s="854">
        <v>333903200000000</v>
      </c>
      <c r="F2411" s="855" t="s">
        <v>9112</v>
      </c>
      <c r="G2411" s="468">
        <v>4510</v>
      </c>
      <c r="H2411" s="468">
        <v>0</v>
      </c>
      <c r="I2411" s="751"/>
      <c r="J2411" s="789">
        <f>'Parâmetros financeiros Despesa'!E1797</f>
        <v>4028.7749999999996</v>
      </c>
      <c r="K2411" s="789">
        <f>'Parâmetros financeiros Despesa'!F1797</f>
        <v>4100</v>
      </c>
      <c r="L2411" s="799">
        <f t="shared" si="298"/>
        <v>1.2482316325295459E-2</v>
      </c>
      <c r="M2411" s="894"/>
      <c r="N2411" s="396"/>
      <c r="O2411" s="463"/>
      <c r="R2411" s="463"/>
      <c r="S2411" s="463"/>
      <c r="T2411" s="463"/>
    </row>
    <row r="2412" spans="1:20" s="115" customFormat="1" ht="15" customHeight="1" x14ac:dyDescent="0.25">
      <c r="B2412" s="1004"/>
      <c r="C2412" s="1004"/>
      <c r="D2412" s="880">
        <v>660300</v>
      </c>
      <c r="E2412" s="854">
        <v>333903300000000</v>
      </c>
      <c r="F2412" s="855" t="s">
        <v>9433</v>
      </c>
      <c r="G2412" s="468">
        <v>4510</v>
      </c>
      <c r="H2412" s="468">
        <v>0</v>
      </c>
      <c r="I2412" s="751"/>
      <c r="J2412" s="789">
        <f>'Parâmetros financeiros Despesa'!E1798</f>
        <v>0</v>
      </c>
      <c r="K2412" s="789">
        <f>'Parâmetros financeiros Despesa'!F1798</f>
        <v>500</v>
      </c>
      <c r="L2412" s="799">
        <f t="shared" si="298"/>
        <v>1.5222336982067632E-3</v>
      </c>
      <c r="M2412" s="894"/>
      <c r="N2412" s="396"/>
      <c r="O2412" s="463"/>
      <c r="R2412" s="463"/>
      <c r="S2412" s="463"/>
      <c r="T2412" s="463"/>
    </row>
    <row r="2413" spans="1:20" s="115" customFormat="1" ht="15" customHeight="1" x14ac:dyDescent="0.25">
      <c r="B2413" s="1004"/>
      <c r="C2413" s="1004"/>
      <c r="D2413" s="880">
        <v>660400</v>
      </c>
      <c r="E2413" s="854">
        <v>333903600000000</v>
      </c>
      <c r="F2413" s="855" t="s">
        <v>9113</v>
      </c>
      <c r="G2413" s="468">
        <v>4510</v>
      </c>
      <c r="H2413" s="468">
        <v>0</v>
      </c>
      <c r="I2413" s="751"/>
      <c r="J2413" s="789">
        <f>'Parâmetros financeiros Despesa'!E1799</f>
        <v>56866.41</v>
      </c>
      <c r="K2413" s="789">
        <f>'Parâmetros financeiros Despesa'!F1799</f>
        <v>30000</v>
      </c>
      <c r="L2413" s="799">
        <f t="shared" si="298"/>
        <v>9.133402189240579E-2</v>
      </c>
      <c r="M2413" s="894"/>
      <c r="N2413" s="396"/>
      <c r="O2413" s="463"/>
      <c r="R2413" s="463"/>
      <c r="S2413" s="463"/>
      <c r="T2413" s="463"/>
    </row>
    <row r="2414" spans="1:20" s="115" customFormat="1" ht="15" customHeight="1" x14ac:dyDescent="0.25">
      <c r="B2414" s="1004"/>
      <c r="C2414" s="1004"/>
      <c r="D2414" s="880">
        <v>660500</v>
      </c>
      <c r="E2414" s="854">
        <v>333903900000000</v>
      </c>
      <c r="F2414" s="855" t="s">
        <v>9114</v>
      </c>
      <c r="G2414" s="468">
        <v>4510</v>
      </c>
      <c r="H2414" s="468">
        <v>0</v>
      </c>
      <c r="I2414" s="751"/>
      <c r="J2414" s="789">
        <f>'Parâmetros financeiros Despesa'!E1800</f>
        <v>63815.97</v>
      </c>
      <c r="K2414" s="789">
        <f>'Parâmetros financeiros Despesa'!F1800</f>
        <v>37737.270000000004</v>
      </c>
      <c r="L2414" s="799">
        <f t="shared" si="298"/>
        <v>0.1148898881446543</v>
      </c>
      <c r="M2414" s="894"/>
      <c r="N2414" s="396"/>
      <c r="O2414" s="463"/>
      <c r="R2414" s="463"/>
      <c r="S2414" s="463"/>
      <c r="T2414" s="463"/>
    </row>
    <row r="2415" spans="1:20" s="115" customFormat="1" ht="15" customHeight="1" x14ac:dyDescent="0.25">
      <c r="B2415" s="1004"/>
      <c r="C2415" s="1004"/>
      <c r="D2415" s="880">
        <v>660600</v>
      </c>
      <c r="E2415" s="854">
        <v>333904700000000</v>
      </c>
      <c r="F2415" s="855" t="s">
        <v>9115</v>
      </c>
      <c r="G2415" s="468">
        <v>4510</v>
      </c>
      <c r="H2415" s="468">
        <v>0</v>
      </c>
      <c r="I2415" s="751"/>
      <c r="J2415" s="789">
        <f>'Parâmetros financeiros Despesa'!E1801</f>
        <v>13794.54</v>
      </c>
      <c r="K2415" s="789">
        <f>'Parâmetros financeiros Despesa'!F1801</f>
        <v>14000</v>
      </c>
      <c r="L2415" s="799">
        <f t="shared" si="298"/>
        <v>4.2622543549789373E-2</v>
      </c>
      <c r="M2415" s="894"/>
      <c r="N2415" s="396"/>
      <c r="O2415" s="463"/>
      <c r="R2415" s="463"/>
      <c r="S2415" s="463"/>
      <c r="T2415" s="463"/>
    </row>
    <row r="2416" spans="1:20" s="115" customFormat="1" ht="15" customHeight="1" x14ac:dyDescent="0.25">
      <c r="A2416" s="396"/>
      <c r="B2416" s="1398" t="s">
        <v>9438</v>
      </c>
      <c r="C2416" s="1398"/>
      <c r="D2416" s="1398"/>
      <c r="E2416" s="854">
        <v>333909300000000</v>
      </c>
      <c r="F2416" s="855" t="s">
        <v>9116</v>
      </c>
      <c r="G2416" s="468">
        <v>4510</v>
      </c>
      <c r="H2416" s="468">
        <v>0</v>
      </c>
      <c r="I2416" s="751"/>
      <c r="J2416" s="789">
        <f>'Parâmetros financeiros Despesa'!E1802</f>
        <v>0</v>
      </c>
      <c r="K2416" s="789">
        <f>'Parâmetros financeiros Despesa'!F1802</f>
        <v>1500</v>
      </c>
      <c r="L2416" s="799">
        <f t="shared" si="298"/>
        <v>4.5667010946202893E-3</v>
      </c>
      <c r="M2416" s="894"/>
      <c r="O2416" s="733"/>
    </row>
    <row r="2417" spans="1:15" s="115" customFormat="1" ht="15" customHeight="1" x14ac:dyDescent="0.25">
      <c r="A2417" s="396"/>
      <c r="B2417" s="1398" t="s">
        <v>9439</v>
      </c>
      <c r="C2417" s="1398"/>
      <c r="D2417" s="1398"/>
      <c r="E2417" s="854">
        <v>333933000000000</v>
      </c>
      <c r="F2417" s="855" t="s">
        <v>9117</v>
      </c>
      <c r="G2417" s="468">
        <v>4510</v>
      </c>
      <c r="H2417" s="468">
        <v>0</v>
      </c>
      <c r="I2417" s="751"/>
      <c r="J2417" s="789">
        <f>'Parâmetros financeiros Despesa'!E1803</f>
        <v>0</v>
      </c>
      <c r="K2417" s="789">
        <f>'Parâmetros financeiros Despesa'!F1803</f>
        <v>3000</v>
      </c>
      <c r="L2417" s="799">
        <f t="shared" si="298"/>
        <v>9.1334021892405786E-3</v>
      </c>
      <c r="M2417" s="894"/>
      <c r="O2417" s="733"/>
    </row>
    <row r="2418" spans="1:15" s="115" customFormat="1" ht="15" customHeight="1" x14ac:dyDescent="0.25">
      <c r="A2418" s="396"/>
      <c r="B2418" s="1004"/>
      <c r="C2418" s="1004"/>
      <c r="D2418" s="1004" t="s">
        <v>9440</v>
      </c>
      <c r="E2418" s="854">
        <v>333933900000000</v>
      </c>
      <c r="F2418" s="855" t="s">
        <v>9434</v>
      </c>
      <c r="G2418" s="468">
        <v>4510</v>
      </c>
      <c r="H2418" s="468">
        <v>0</v>
      </c>
      <c r="I2418" s="751"/>
      <c r="J2418" s="789">
        <f>'Parâmetros financeiros Despesa'!E1804</f>
        <v>0</v>
      </c>
      <c r="K2418" s="789">
        <f>'Parâmetros financeiros Despesa'!F1804</f>
        <v>3000</v>
      </c>
      <c r="L2418" s="799">
        <f t="shared" si="298"/>
        <v>9.1334021892405786E-3</v>
      </c>
      <c r="M2418" s="894"/>
      <c r="O2418" s="733"/>
    </row>
    <row r="2419" spans="1:15" s="115" customFormat="1" ht="15" customHeight="1" x14ac:dyDescent="0.25">
      <c r="A2419" s="396"/>
      <c r="B2419" s="1398" t="s">
        <v>9441</v>
      </c>
      <c r="C2419" s="1398"/>
      <c r="D2419" s="1398"/>
      <c r="E2419" s="854">
        <v>344905100000000</v>
      </c>
      <c r="F2419" s="855" t="s">
        <v>9435</v>
      </c>
      <c r="G2419" s="468">
        <v>4510</v>
      </c>
      <c r="H2419" s="468">
        <v>0</v>
      </c>
      <c r="I2419" s="751"/>
      <c r="J2419" s="789">
        <f>'Parâmetros financeiros Despesa'!E1805</f>
        <v>0</v>
      </c>
      <c r="K2419" s="789">
        <f>'Parâmetros financeiros Despesa'!F1805</f>
        <v>5000</v>
      </c>
      <c r="L2419" s="799">
        <f t="shared" si="298"/>
        <v>1.5222336982067632E-2</v>
      </c>
      <c r="M2419" s="894"/>
      <c r="O2419" s="733"/>
    </row>
    <row r="2420" spans="1:15" s="115" customFormat="1" ht="15" customHeight="1" x14ac:dyDescent="0.25">
      <c r="A2420" s="396"/>
      <c r="B2420" s="1398" t="s">
        <v>9442</v>
      </c>
      <c r="C2420" s="1398"/>
      <c r="D2420" s="1398"/>
      <c r="E2420" s="854">
        <v>344905200000000</v>
      </c>
      <c r="F2420" s="855" t="s">
        <v>9436</v>
      </c>
      <c r="G2420" s="468">
        <v>4510</v>
      </c>
      <c r="H2420" s="468">
        <v>0</v>
      </c>
      <c r="I2420" s="751"/>
      <c r="J2420" s="789">
        <f>'Parâmetros financeiros Despesa'!E1806</f>
        <v>14479.5</v>
      </c>
      <c r="K2420" s="789">
        <f>'Parâmetros financeiros Despesa'!F1806</f>
        <v>5000</v>
      </c>
      <c r="L2420" s="799">
        <f t="shared" si="298"/>
        <v>1.5222336982067632E-2</v>
      </c>
      <c r="M2420" s="894"/>
      <c r="O2420" s="733"/>
    </row>
    <row r="2421" spans="1:15" ht="15" customHeight="1" x14ac:dyDescent="0.25">
      <c r="A2421" s="397"/>
      <c r="B2421" s="1382" t="s">
        <v>8699</v>
      </c>
      <c r="C2421" s="1382"/>
      <c r="D2421" s="1382"/>
      <c r="E2421" s="1382"/>
      <c r="F2421" s="1382"/>
      <c r="G2421" s="405"/>
      <c r="H2421" s="405"/>
      <c r="I2421" s="428"/>
      <c r="J2421" s="406">
        <f t="shared" ref="J2421:K2423" si="299">J2422</f>
        <v>0</v>
      </c>
      <c r="K2421" s="406">
        <f t="shared" si="299"/>
        <v>1001</v>
      </c>
      <c r="L2421" s="453">
        <f>K2421/K$2497</f>
        <v>3.04751186380994E-3</v>
      </c>
    </row>
    <row r="2422" spans="1:15" x14ac:dyDescent="0.25">
      <c r="A2422" s="397"/>
      <c r="B2422" s="1383" t="s">
        <v>8812</v>
      </c>
      <c r="C2422" s="1383"/>
      <c r="D2422" s="1383"/>
      <c r="E2422" s="1383"/>
      <c r="F2422" s="1383"/>
      <c r="G2422" s="407"/>
      <c r="H2422" s="407"/>
      <c r="I2422" s="429"/>
      <c r="J2422" s="408">
        <f t="shared" si="299"/>
        <v>0</v>
      </c>
      <c r="K2422" s="408">
        <f t="shared" si="299"/>
        <v>1001</v>
      </c>
      <c r="L2422" s="454">
        <f>K2422/K$2497</f>
        <v>3.04751186380994E-3</v>
      </c>
    </row>
    <row r="2423" spans="1:15" x14ac:dyDescent="0.25">
      <c r="A2423" s="397"/>
      <c r="B2423" s="1386" t="s">
        <v>9046</v>
      </c>
      <c r="C2423" s="1386"/>
      <c r="D2423" s="1386"/>
      <c r="E2423" s="1386"/>
      <c r="F2423" s="1386"/>
      <c r="G2423" s="403"/>
      <c r="H2423" s="403"/>
      <c r="I2423" s="427"/>
      <c r="J2423" s="404">
        <f t="shared" si="299"/>
        <v>0</v>
      </c>
      <c r="K2423" s="404">
        <f t="shared" si="299"/>
        <v>1001</v>
      </c>
      <c r="L2423" s="452">
        <f>K2423/K$2497</f>
        <v>3.04751186380994E-3</v>
      </c>
    </row>
    <row r="2424" spans="1:15" x14ac:dyDescent="0.25">
      <c r="A2424" s="397"/>
      <c r="B2424" s="1385" t="s">
        <v>8698</v>
      </c>
      <c r="C2424" s="1385"/>
      <c r="D2424" s="1385"/>
      <c r="E2424" s="1385"/>
      <c r="F2424" s="1385"/>
      <c r="G2424" s="401"/>
      <c r="H2424" s="401"/>
      <c r="I2424" s="426"/>
      <c r="J2424" s="402">
        <f>SUM(J2425:J2431)</f>
        <v>0</v>
      </c>
      <c r="K2424" s="402">
        <f>SUM(K2425:K2431)</f>
        <v>1001</v>
      </c>
      <c r="L2424" s="451">
        <f>K2424/K$2497</f>
        <v>3.04751186380994E-3</v>
      </c>
    </row>
    <row r="2425" spans="1:15" s="115" customFormat="1" x14ac:dyDescent="0.25">
      <c r="A2425" s="396"/>
      <c r="B2425" s="1004"/>
      <c r="C2425" s="1004"/>
      <c r="D2425" s="1004" t="s">
        <v>9443</v>
      </c>
      <c r="E2425" s="854">
        <v>333904700000000</v>
      </c>
      <c r="F2425" s="855" t="s">
        <v>9118</v>
      </c>
      <c r="G2425" s="468">
        <v>4931</v>
      </c>
      <c r="H2425" s="468">
        <v>0</v>
      </c>
      <c r="I2425" s="751"/>
      <c r="J2425" s="789">
        <f>'Parâmetros financeiros Despesa'!E1808</f>
        <v>0</v>
      </c>
      <c r="K2425" s="789">
        <f>'Parâmetros financeiros Despesa'!F1808</f>
        <v>0.2</v>
      </c>
      <c r="L2425" s="799">
        <f t="shared" ref="L2425:L2431" si="300">K2425/K$2497</f>
        <v>6.0889347928270536E-7</v>
      </c>
      <c r="M2425" s="894"/>
      <c r="O2425" s="733"/>
    </row>
    <row r="2426" spans="1:15" s="115" customFormat="1" x14ac:dyDescent="0.25">
      <c r="A2426" s="396"/>
      <c r="B2426" s="1002"/>
      <c r="C2426" s="1002"/>
      <c r="D2426" s="1002">
        <v>662100</v>
      </c>
      <c r="E2426" s="854">
        <v>344209300000000</v>
      </c>
      <c r="F2426" s="855" t="s">
        <v>9119</v>
      </c>
      <c r="G2426" s="468">
        <v>4931</v>
      </c>
      <c r="H2426" s="468">
        <v>0</v>
      </c>
      <c r="I2426" s="751"/>
      <c r="J2426" s="789">
        <f>'Parâmetros financeiros Despesa'!E1809</f>
        <v>0</v>
      </c>
      <c r="K2426" s="789">
        <f>'Parâmetros financeiros Despesa'!F1809</f>
        <v>1</v>
      </c>
      <c r="L2426" s="799">
        <f t="shared" si="300"/>
        <v>3.0444673964135263E-6</v>
      </c>
      <c r="M2426" s="894"/>
      <c r="O2426" s="733"/>
    </row>
    <row r="2427" spans="1:15" s="115" customFormat="1" x14ac:dyDescent="0.25">
      <c r="A2427" s="396"/>
      <c r="B2427" s="1002"/>
      <c r="C2427" s="1002"/>
      <c r="D2427" s="1002">
        <v>662200</v>
      </c>
      <c r="E2427" s="854">
        <v>344903000000000</v>
      </c>
      <c r="F2427" s="855" t="s">
        <v>9120</v>
      </c>
      <c r="G2427" s="468">
        <v>4931</v>
      </c>
      <c r="H2427" s="468">
        <v>0</v>
      </c>
      <c r="I2427" s="751"/>
      <c r="J2427" s="789">
        <f>'Parâmetros financeiros Despesa'!E1810</f>
        <v>0</v>
      </c>
      <c r="K2427" s="789">
        <f>'Parâmetros financeiros Despesa'!F1810</f>
        <v>1</v>
      </c>
      <c r="L2427" s="799">
        <f t="shared" si="300"/>
        <v>3.0444673964135263E-6</v>
      </c>
      <c r="M2427" s="894"/>
      <c r="O2427" s="733"/>
    </row>
    <row r="2428" spans="1:15" s="115" customFormat="1" x14ac:dyDescent="0.25">
      <c r="A2428" s="396"/>
      <c r="B2428" s="1004"/>
      <c r="C2428" s="1004"/>
      <c r="D2428" s="1004" t="s">
        <v>9444</v>
      </c>
      <c r="E2428" s="854">
        <v>344903600000000</v>
      </c>
      <c r="F2428" s="855" t="s">
        <v>9121</v>
      </c>
      <c r="G2428" s="468">
        <v>4931</v>
      </c>
      <c r="H2428" s="468">
        <v>0</v>
      </c>
      <c r="I2428" s="751"/>
      <c r="J2428" s="789">
        <f>'Parâmetros financeiros Despesa'!E1811</f>
        <v>0</v>
      </c>
      <c r="K2428" s="789">
        <f>'Parâmetros financeiros Despesa'!F1811</f>
        <v>1</v>
      </c>
      <c r="L2428" s="799">
        <f t="shared" si="300"/>
        <v>3.0444673964135263E-6</v>
      </c>
      <c r="M2428" s="894"/>
      <c r="O2428" s="733"/>
    </row>
    <row r="2429" spans="1:15" s="115" customFormat="1" x14ac:dyDescent="0.25">
      <c r="A2429" s="396"/>
      <c r="B2429" s="1004"/>
      <c r="C2429" s="1004"/>
      <c r="D2429" s="1004" t="s">
        <v>9445</v>
      </c>
      <c r="E2429" s="854">
        <v>344903900000000</v>
      </c>
      <c r="F2429" s="855" t="s">
        <v>9123</v>
      </c>
      <c r="G2429" s="468">
        <v>4931</v>
      </c>
      <c r="H2429" s="468">
        <v>0</v>
      </c>
      <c r="I2429" s="751"/>
      <c r="J2429" s="789">
        <f>'Parâmetros financeiros Despesa'!E1812</f>
        <v>0</v>
      </c>
      <c r="K2429" s="789">
        <f>'Parâmetros financeiros Despesa'!F1812</f>
        <v>1</v>
      </c>
      <c r="L2429" s="799">
        <f t="shared" si="300"/>
        <v>3.0444673964135263E-6</v>
      </c>
      <c r="M2429" s="894"/>
      <c r="O2429" s="733"/>
    </row>
    <row r="2430" spans="1:15" s="115" customFormat="1" x14ac:dyDescent="0.25">
      <c r="A2430" s="396"/>
      <c r="B2430" s="1004"/>
      <c r="C2430" s="1004"/>
      <c r="D2430" s="1004" t="s">
        <v>9446</v>
      </c>
      <c r="E2430" s="854">
        <v>344905200000000</v>
      </c>
      <c r="F2430" s="855" t="s">
        <v>9122</v>
      </c>
      <c r="G2430" s="468">
        <v>40</v>
      </c>
      <c r="H2430" s="468">
        <v>0</v>
      </c>
      <c r="I2430" s="751"/>
      <c r="J2430" s="789">
        <f>'Parâmetros financeiros Despesa'!E1813</f>
        <v>0</v>
      </c>
      <c r="K2430" s="789">
        <f>'Parâmetros financeiros Despesa'!F1813</f>
        <v>1</v>
      </c>
      <c r="L2430" s="799">
        <f t="shared" si="300"/>
        <v>3.0444673964135263E-6</v>
      </c>
      <c r="M2430" s="894"/>
      <c r="O2430" s="733"/>
    </row>
    <row r="2431" spans="1:15" s="115" customFormat="1" x14ac:dyDescent="0.25">
      <c r="A2431" s="396"/>
      <c r="B2431" s="1004"/>
      <c r="C2431" s="1004"/>
      <c r="D2431" s="1004" t="s">
        <v>9447</v>
      </c>
      <c r="E2431" s="854">
        <v>344905200000000</v>
      </c>
      <c r="F2431" s="855" t="s">
        <v>9122</v>
      </c>
      <c r="G2431" s="468">
        <v>4931</v>
      </c>
      <c r="H2431" s="468">
        <v>0</v>
      </c>
      <c r="I2431" s="751"/>
      <c r="J2431" s="789">
        <f>'Parâmetros financeiros Despesa'!E1814</f>
        <v>0</v>
      </c>
      <c r="K2431" s="789">
        <f>'Parâmetros financeiros Despesa'!F1814</f>
        <v>995.8</v>
      </c>
      <c r="L2431" s="799">
        <f t="shared" si="300"/>
        <v>3.0316806333485894E-3</v>
      </c>
      <c r="M2431" s="894"/>
      <c r="O2431" s="733"/>
    </row>
    <row r="2432" spans="1:15" x14ac:dyDescent="0.25">
      <c r="A2432" s="397"/>
      <c r="B2432" s="1382" t="s">
        <v>8699</v>
      </c>
      <c r="C2432" s="1382"/>
      <c r="D2432" s="1382"/>
      <c r="E2432" s="1382"/>
      <c r="F2432" s="1382"/>
      <c r="G2432" s="405"/>
      <c r="H2432" s="405"/>
      <c r="I2432" s="428"/>
      <c r="J2432" s="406">
        <f t="shared" ref="J2432:K2434" si="301">J2433</f>
        <v>0</v>
      </c>
      <c r="K2432" s="406">
        <f t="shared" si="301"/>
        <v>77353</v>
      </c>
      <c r="L2432" s="453">
        <f>K2432/K$2497</f>
        <v>0.23549868651477551</v>
      </c>
    </row>
    <row r="2433" spans="1:15" x14ac:dyDescent="0.25">
      <c r="A2433" s="397"/>
      <c r="B2433" s="1383" t="s">
        <v>8812</v>
      </c>
      <c r="C2433" s="1383"/>
      <c r="D2433" s="1383"/>
      <c r="E2433" s="1383"/>
      <c r="F2433" s="1383"/>
      <c r="G2433" s="407"/>
      <c r="H2433" s="407"/>
      <c r="I2433" s="429"/>
      <c r="J2433" s="408">
        <f t="shared" si="301"/>
        <v>0</v>
      </c>
      <c r="K2433" s="408">
        <f t="shared" si="301"/>
        <v>77353</v>
      </c>
      <c r="L2433" s="454">
        <f>K2433/K$2497</f>
        <v>0.23549868651477551</v>
      </c>
    </row>
    <row r="2434" spans="1:15" x14ac:dyDescent="0.25">
      <c r="A2434" s="397"/>
      <c r="B2434" s="1386" t="s">
        <v>9047</v>
      </c>
      <c r="C2434" s="1386"/>
      <c r="D2434" s="1386"/>
      <c r="E2434" s="1386"/>
      <c r="F2434" s="1386"/>
      <c r="G2434" s="403"/>
      <c r="H2434" s="403"/>
      <c r="I2434" s="427"/>
      <c r="J2434" s="404">
        <f t="shared" si="301"/>
        <v>0</v>
      </c>
      <c r="K2434" s="404">
        <f t="shared" si="301"/>
        <v>77353</v>
      </c>
      <c r="L2434" s="452">
        <f>K2434/K$2497</f>
        <v>0.23549868651477551</v>
      </c>
    </row>
    <row r="2435" spans="1:15" x14ac:dyDescent="0.25">
      <c r="A2435" s="397"/>
      <c r="B2435" s="1385" t="s">
        <v>8698</v>
      </c>
      <c r="C2435" s="1385"/>
      <c r="D2435" s="1385"/>
      <c r="E2435" s="1385"/>
      <c r="F2435" s="1385"/>
      <c r="G2435" s="401"/>
      <c r="H2435" s="401"/>
      <c r="I2435" s="426"/>
      <c r="J2435" s="402">
        <f>SUM(J2436:J2442)</f>
        <v>0</v>
      </c>
      <c r="K2435" s="402">
        <f>SUM(K2436:K2442)</f>
        <v>77353</v>
      </c>
      <c r="L2435" s="451">
        <f>K2435/K$2497</f>
        <v>0.23549868651477551</v>
      </c>
    </row>
    <row r="2436" spans="1:15" s="115" customFormat="1" x14ac:dyDescent="0.25">
      <c r="A2436" s="396"/>
      <c r="B2436" s="1004"/>
      <c r="C2436" s="1004"/>
      <c r="D2436" s="1004" t="s">
        <v>9448</v>
      </c>
      <c r="E2436" s="854">
        <v>333904700000000</v>
      </c>
      <c r="F2436" s="855" t="s">
        <v>9124</v>
      </c>
      <c r="G2436" s="468">
        <v>4935</v>
      </c>
      <c r="H2436" s="468">
        <v>0</v>
      </c>
      <c r="I2436" s="751"/>
      <c r="J2436" s="789">
        <f>'Parâmetros financeiros Despesa'!E1816</f>
        <v>0</v>
      </c>
      <c r="K2436" s="789">
        <f>'Parâmetros financeiros Despesa'!F1816</f>
        <v>0.2</v>
      </c>
      <c r="L2436" s="799">
        <f t="shared" ref="L2436:L2442" si="302">K2436/K$2497</f>
        <v>6.0889347928270536E-7</v>
      </c>
      <c r="M2436" s="894"/>
      <c r="O2436" s="733"/>
    </row>
    <row r="2437" spans="1:15" s="115" customFormat="1" x14ac:dyDescent="0.25">
      <c r="A2437" s="396"/>
      <c r="B2437" s="1002"/>
      <c r="C2437" s="1002"/>
      <c r="D2437" s="1002">
        <v>663100</v>
      </c>
      <c r="E2437" s="854">
        <v>344209300000000</v>
      </c>
      <c r="F2437" s="855" t="s">
        <v>9125</v>
      </c>
      <c r="G2437" s="468">
        <v>4935</v>
      </c>
      <c r="H2437" s="468">
        <v>0</v>
      </c>
      <c r="I2437" s="751"/>
      <c r="J2437" s="789">
        <f>'Parâmetros financeiros Despesa'!E1817</f>
        <v>0</v>
      </c>
      <c r="K2437" s="789">
        <f>'Parâmetros financeiros Despesa'!F1817</f>
        <v>1</v>
      </c>
      <c r="L2437" s="799">
        <f t="shared" si="302"/>
        <v>3.0444673964135263E-6</v>
      </c>
      <c r="M2437" s="894"/>
      <c r="O2437" s="733"/>
    </row>
    <row r="2438" spans="1:15" s="115" customFormat="1" x14ac:dyDescent="0.25">
      <c r="A2438" s="396"/>
      <c r="B2438" s="1002"/>
      <c r="C2438" s="1002"/>
      <c r="D2438" s="1002">
        <v>663200</v>
      </c>
      <c r="E2438" s="854">
        <v>344903000000000</v>
      </c>
      <c r="F2438" s="855" t="s">
        <v>9126</v>
      </c>
      <c r="G2438" s="468">
        <v>4935</v>
      </c>
      <c r="H2438" s="468">
        <v>0</v>
      </c>
      <c r="I2438" s="751"/>
      <c r="J2438" s="789">
        <f>'Parâmetros financeiros Despesa'!E1818</f>
        <v>0</v>
      </c>
      <c r="K2438" s="789">
        <f>'Parâmetros financeiros Despesa'!F1818</f>
        <v>1</v>
      </c>
      <c r="L2438" s="799">
        <f t="shared" si="302"/>
        <v>3.0444673964135263E-6</v>
      </c>
      <c r="M2438" s="894"/>
      <c r="O2438" s="733"/>
    </row>
    <row r="2439" spans="1:15" s="115" customFormat="1" x14ac:dyDescent="0.25">
      <c r="A2439" s="396"/>
      <c r="B2439" s="1004"/>
      <c r="C2439" s="1004"/>
      <c r="D2439" s="1004" t="s">
        <v>9449</v>
      </c>
      <c r="E2439" s="854">
        <v>344903600000000</v>
      </c>
      <c r="F2439" s="855" t="s">
        <v>9127</v>
      </c>
      <c r="G2439" s="468">
        <v>4935</v>
      </c>
      <c r="H2439" s="468">
        <v>0</v>
      </c>
      <c r="I2439" s="751"/>
      <c r="J2439" s="789">
        <f>'Parâmetros financeiros Despesa'!E1819</f>
        <v>0</v>
      </c>
      <c r="K2439" s="789">
        <f>'Parâmetros financeiros Despesa'!F1819</f>
        <v>1</v>
      </c>
      <c r="L2439" s="799">
        <f t="shared" si="302"/>
        <v>3.0444673964135263E-6</v>
      </c>
      <c r="M2439" s="894"/>
      <c r="O2439" s="733"/>
    </row>
    <row r="2440" spans="1:15" s="115" customFormat="1" x14ac:dyDescent="0.25">
      <c r="A2440" s="396"/>
      <c r="B2440" s="1004"/>
      <c r="C2440" s="1004"/>
      <c r="D2440" s="1004" t="s">
        <v>9450</v>
      </c>
      <c r="E2440" s="854">
        <v>344903900000000</v>
      </c>
      <c r="F2440" s="855" t="s">
        <v>9128</v>
      </c>
      <c r="G2440" s="468">
        <v>4935</v>
      </c>
      <c r="H2440" s="468">
        <v>0</v>
      </c>
      <c r="I2440" s="751"/>
      <c r="J2440" s="789">
        <f>'Parâmetros financeiros Despesa'!E1820</f>
        <v>0</v>
      </c>
      <c r="K2440" s="789">
        <f>'Parâmetros financeiros Despesa'!F1820</f>
        <v>1</v>
      </c>
      <c r="L2440" s="799">
        <f t="shared" si="302"/>
        <v>3.0444673964135263E-6</v>
      </c>
      <c r="M2440" s="894"/>
      <c r="O2440" s="733"/>
    </row>
    <row r="2441" spans="1:15" s="115" customFormat="1" x14ac:dyDescent="0.25">
      <c r="A2441" s="396"/>
      <c r="B2441" s="1004"/>
      <c r="C2441" s="1004"/>
      <c r="D2441" s="1004" t="s">
        <v>9451</v>
      </c>
      <c r="E2441" s="854">
        <v>344905100000000</v>
      </c>
      <c r="F2441" s="855" t="s">
        <v>9129</v>
      </c>
      <c r="G2441" s="468">
        <v>40</v>
      </c>
      <c r="H2441" s="468">
        <v>0</v>
      </c>
      <c r="I2441" s="751"/>
      <c r="J2441" s="789">
        <f>'Parâmetros financeiros Despesa'!E1821</f>
        <v>0</v>
      </c>
      <c r="K2441" s="789">
        <f>'Parâmetros financeiros Despesa'!F1821</f>
        <v>2253</v>
      </c>
      <c r="L2441" s="799">
        <f t="shared" si="302"/>
        <v>6.8591850441196752E-3</v>
      </c>
      <c r="M2441" s="894"/>
      <c r="O2441" s="733"/>
    </row>
    <row r="2442" spans="1:15" s="115" customFormat="1" x14ac:dyDescent="0.25">
      <c r="A2442" s="396"/>
      <c r="B2442" s="1004"/>
      <c r="C2442" s="1004"/>
      <c r="D2442" s="1004" t="s">
        <v>9452</v>
      </c>
      <c r="E2442" s="854">
        <v>344905100000000</v>
      </c>
      <c r="F2442" s="855" t="s">
        <v>9129</v>
      </c>
      <c r="G2442" s="468">
        <v>4935</v>
      </c>
      <c r="H2442" s="468">
        <v>0</v>
      </c>
      <c r="I2442" s="751"/>
      <c r="J2442" s="789">
        <f>'Parâmetros financeiros Despesa'!E1822</f>
        <v>0</v>
      </c>
      <c r="K2442" s="789">
        <f>'Parâmetros financeiros Despesa'!F1822</f>
        <v>75095.8</v>
      </c>
      <c r="L2442" s="799">
        <f t="shared" si="302"/>
        <v>0.22862671470759091</v>
      </c>
      <c r="M2442" s="894"/>
      <c r="O2442" s="733"/>
    </row>
    <row r="2443" spans="1:15" x14ac:dyDescent="0.25">
      <c r="A2443" s="397"/>
      <c r="B2443" s="1382" t="s">
        <v>8699</v>
      </c>
      <c r="C2443" s="1382"/>
      <c r="D2443" s="1382"/>
      <c r="E2443" s="1382"/>
      <c r="F2443" s="1382"/>
      <c r="G2443" s="405"/>
      <c r="H2443" s="405"/>
      <c r="I2443" s="428"/>
      <c r="J2443" s="406">
        <f t="shared" ref="J2443:K2445" si="303">J2444</f>
        <v>0</v>
      </c>
      <c r="K2443" s="406">
        <f t="shared" si="303"/>
        <v>51603</v>
      </c>
      <c r="L2443" s="453">
        <f>K2443/K$2497</f>
        <v>0.1571036510571272</v>
      </c>
    </row>
    <row r="2444" spans="1:15" x14ac:dyDescent="0.25">
      <c r="A2444" s="397"/>
      <c r="B2444" s="1383" t="s">
        <v>8812</v>
      </c>
      <c r="C2444" s="1383"/>
      <c r="D2444" s="1383"/>
      <c r="E2444" s="1383"/>
      <c r="F2444" s="1383"/>
      <c r="G2444" s="407"/>
      <c r="H2444" s="407"/>
      <c r="I2444" s="429"/>
      <c r="J2444" s="408">
        <f t="shared" si="303"/>
        <v>0</v>
      </c>
      <c r="K2444" s="408">
        <f t="shared" si="303"/>
        <v>51603</v>
      </c>
      <c r="L2444" s="454">
        <f>K2444/K$2497</f>
        <v>0.1571036510571272</v>
      </c>
    </row>
    <row r="2445" spans="1:15" x14ac:dyDescent="0.25">
      <c r="A2445" s="397"/>
      <c r="B2445" s="1386" t="s">
        <v>9453</v>
      </c>
      <c r="C2445" s="1386"/>
      <c r="D2445" s="1386"/>
      <c r="E2445" s="1386"/>
      <c r="F2445" s="1386"/>
      <c r="G2445" s="403"/>
      <c r="H2445" s="403"/>
      <c r="I2445" s="427"/>
      <c r="J2445" s="404">
        <f t="shared" si="303"/>
        <v>0</v>
      </c>
      <c r="K2445" s="404">
        <f t="shared" si="303"/>
        <v>51603</v>
      </c>
      <c r="L2445" s="452">
        <f>K2445/K$2497</f>
        <v>0.1571036510571272</v>
      </c>
    </row>
    <row r="2446" spans="1:15" x14ac:dyDescent="0.25">
      <c r="A2446" s="397"/>
      <c r="B2446" s="1385" t="s">
        <v>8698</v>
      </c>
      <c r="C2446" s="1385"/>
      <c r="D2446" s="1385"/>
      <c r="E2446" s="1385"/>
      <c r="F2446" s="1385"/>
      <c r="G2446" s="401"/>
      <c r="H2446" s="401"/>
      <c r="I2446" s="426"/>
      <c r="J2446" s="402">
        <f>SUM(J2447:J2453)</f>
        <v>0</v>
      </c>
      <c r="K2446" s="402">
        <f>SUM(K2447:K2453)</f>
        <v>51603</v>
      </c>
      <c r="L2446" s="451">
        <f>K2446/K$2497</f>
        <v>0.1571036510571272</v>
      </c>
    </row>
    <row r="2447" spans="1:15" s="115" customFormat="1" x14ac:dyDescent="0.25">
      <c r="A2447" s="396"/>
      <c r="B2447" s="1004"/>
      <c r="C2447" s="1004"/>
      <c r="D2447" s="1004" t="s">
        <v>9454</v>
      </c>
      <c r="E2447" s="854">
        <v>333904700000000</v>
      </c>
      <c r="F2447" s="855" t="s">
        <v>9130</v>
      </c>
      <c r="G2447" s="468">
        <v>4940</v>
      </c>
      <c r="H2447" s="468">
        <v>0</v>
      </c>
      <c r="I2447" s="751"/>
      <c r="J2447" s="789">
        <f>'Parâmetros financeiros Despesa'!E1824</f>
        <v>0</v>
      </c>
      <c r="K2447" s="789">
        <f>'Parâmetros financeiros Despesa'!F1824</f>
        <v>0.2</v>
      </c>
      <c r="L2447" s="799">
        <f t="shared" ref="L2447:L2453" si="304">K2447/K$2497</f>
        <v>6.0889347928270536E-7</v>
      </c>
      <c r="M2447" s="894"/>
      <c r="O2447" s="733"/>
    </row>
    <row r="2448" spans="1:15" s="115" customFormat="1" x14ac:dyDescent="0.25">
      <c r="A2448" s="396"/>
      <c r="B2448" s="1002"/>
      <c r="C2448" s="1002"/>
      <c r="D2448" s="1002">
        <v>664100</v>
      </c>
      <c r="E2448" s="854">
        <v>344209300000000</v>
      </c>
      <c r="F2448" s="855" t="s">
        <v>9131</v>
      </c>
      <c r="G2448" s="468">
        <v>4940</v>
      </c>
      <c r="H2448" s="468">
        <v>0</v>
      </c>
      <c r="I2448" s="751"/>
      <c r="J2448" s="789">
        <f>'Parâmetros financeiros Despesa'!E1825</f>
        <v>0</v>
      </c>
      <c r="K2448" s="789">
        <f>'Parâmetros financeiros Despesa'!F1825</f>
        <v>1</v>
      </c>
      <c r="L2448" s="799">
        <f t="shared" si="304"/>
        <v>3.0444673964135263E-6</v>
      </c>
      <c r="M2448" s="894"/>
      <c r="O2448" s="733"/>
    </row>
    <row r="2449" spans="1:15" s="115" customFormat="1" x14ac:dyDescent="0.25">
      <c r="A2449" s="396"/>
      <c r="B2449" s="1002"/>
      <c r="C2449" s="1002"/>
      <c r="D2449" s="1002">
        <v>664200</v>
      </c>
      <c r="E2449" s="854">
        <v>344903000000000</v>
      </c>
      <c r="F2449" s="855" t="s">
        <v>9132</v>
      </c>
      <c r="G2449" s="468">
        <v>4940</v>
      </c>
      <c r="H2449" s="468">
        <v>0</v>
      </c>
      <c r="I2449" s="751"/>
      <c r="J2449" s="789">
        <f>'Parâmetros financeiros Despesa'!E1826</f>
        <v>0</v>
      </c>
      <c r="K2449" s="789">
        <f>'Parâmetros financeiros Despesa'!F1826</f>
        <v>1</v>
      </c>
      <c r="L2449" s="799">
        <f t="shared" si="304"/>
        <v>3.0444673964135263E-6</v>
      </c>
      <c r="M2449" s="894"/>
      <c r="O2449" s="733"/>
    </row>
    <row r="2450" spans="1:15" s="115" customFormat="1" x14ac:dyDescent="0.25">
      <c r="A2450" s="396"/>
      <c r="B2450" s="1004"/>
      <c r="C2450" s="1004"/>
      <c r="D2450" s="1004" t="s">
        <v>9455</v>
      </c>
      <c r="E2450" s="854">
        <v>344903600000000</v>
      </c>
      <c r="F2450" s="855" t="s">
        <v>9133</v>
      </c>
      <c r="G2450" s="468">
        <v>4940</v>
      </c>
      <c r="H2450" s="468">
        <v>0</v>
      </c>
      <c r="I2450" s="751"/>
      <c r="J2450" s="789">
        <f>'Parâmetros financeiros Despesa'!E1827</f>
        <v>0</v>
      </c>
      <c r="K2450" s="789">
        <f>'Parâmetros financeiros Despesa'!F1827</f>
        <v>1</v>
      </c>
      <c r="L2450" s="799">
        <f t="shared" si="304"/>
        <v>3.0444673964135263E-6</v>
      </c>
      <c r="M2450" s="894"/>
      <c r="O2450" s="733"/>
    </row>
    <row r="2451" spans="1:15" s="115" customFormat="1" x14ac:dyDescent="0.25">
      <c r="A2451" s="396"/>
      <c r="B2451" s="1004"/>
      <c r="C2451" s="1004"/>
      <c r="D2451" s="1004" t="s">
        <v>9456</v>
      </c>
      <c r="E2451" s="854">
        <v>344903900000000</v>
      </c>
      <c r="F2451" s="855" t="s">
        <v>9134</v>
      </c>
      <c r="G2451" s="468">
        <v>4940</v>
      </c>
      <c r="H2451" s="468">
        <v>0</v>
      </c>
      <c r="I2451" s="751"/>
      <c r="J2451" s="789">
        <f>'Parâmetros financeiros Despesa'!E1828</f>
        <v>0</v>
      </c>
      <c r="K2451" s="789">
        <f>'Parâmetros financeiros Despesa'!F1828</f>
        <v>1</v>
      </c>
      <c r="L2451" s="799">
        <f t="shared" si="304"/>
        <v>3.0444673964135263E-6</v>
      </c>
      <c r="M2451" s="894"/>
      <c r="O2451" s="733"/>
    </row>
    <row r="2452" spans="1:15" s="115" customFormat="1" x14ac:dyDescent="0.25">
      <c r="A2452" s="396"/>
      <c r="B2452" s="1004"/>
      <c r="C2452" s="1004"/>
      <c r="D2452" s="1004" t="s">
        <v>9457</v>
      </c>
      <c r="E2452" s="854">
        <v>344905200000000</v>
      </c>
      <c r="F2452" s="855" t="s">
        <v>9135</v>
      </c>
      <c r="G2452" s="468">
        <v>40</v>
      </c>
      <c r="H2452" s="468">
        <v>0</v>
      </c>
      <c r="I2452" s="751"/>
      <c r="J2452" s="789">
        <f>'Parâmetros financeiros Despesa'!E1829</f>
        <v>0</v>
      </c>
      <c r="K2452" s="789">
        <f>'Parâmetros financeiros Despesa'!F1829</f>
        <v>1503</v>
      </c>
      <c r="L2452" s="799">
        <f t="shared" si="304"/>
        <v>4.5758344968095301E-3</v>
      </c>
      <c r="M2452" s="894"/>
      <c r="O2452" s="733"/>
    </row>
    <row r="2453" spans="1:15" s="115" customFormat="1" x14ac:dyDescent="0.25">
      <c r="A2453" s="396"/>
      <c r="B2453" s="1004"/>
      <c r="C2453" s="1004"/>
      <c r="D2453" s="1004" t="s">
        <v>9458</v>
      </c>
      <c r="E2453" s="854">
        <v>344905200000000</v>
      </c>
      <c r="F2453" s="855" t="s">
        <v>9135</v>
      </c>
      <c r="G2453" s="468">
        <v>4940</v>
      </c>
      <c r="H2453" s="468">
        <v>0</v>
      </c>
      <c r="I2453" s="751"/>
      <c r="J2453" s="789">
        <f>'Parâmetros financeiros Despesa'!E1830</f>
        <v>0</v>
      </c>
      <c r="K2453" s="789">
        <f>'Parâmetros financeiros Despesa'!F1830</f>
        <v>50095.8</v>
      </c>
      <c r="L2453" s="799">
        <f t="shared" si="304"/>
        <v>0.15251502979725276</v>
      </c>
      <c r="M2453" s="894"/>
      <c r="O2453" s="733"/>
    </row>
    <row r="2454" spans="1:15" x14ac:dyDescent="0.25">
      <c r="A2454" s="397"/>
      <c r="B2454" s="1382" t="s">
        <v>8699</v>
      </c>
      <c r="C2454" s="1382"/>
      <c r="D2454" s="1382"/>
      <c r="E2454" s="1382"/>
      <c r="F2454" s="1382"/>
      <c r="G2454" s="405"/>
      <c r="H2454" s="405"/>
      <c r="I2454" s="428"/>
      <c r="J2454" s="406">
        <f t="shared" ref="J2454:K2457" si="305">J2455</f>
        <v>0</v>
      </c>
      <c r="K2454" s="406">
        <f t="shared" si="305"/>
        <v>300</v>
      </c>
      <c r="L2454" s="453">
        <f>K2454/K$2497</f>
        <v>9.1334021892405793E-4</v>
      </c>
    </row>
    <row r="2455" spans="1:15" x14ac:dyDescent="0.25">
      <c r="A2455" s="397"/>
      <c r="B2455" s="1383" t="s">
        <v>8812</v>
      </c>
      <c r="C2455" s="1383"/>
      <c r="D2455" s="1383"/>
      <c r="E2455" s="1383"/>
      <c r="F2455" s="1383"/>
      <c r="G2455" s="407"/>
      <c r="H2455" s="407"/>
      <c r="I2455" s="429"/>
      <c r="J2455" s="408">
        <f t="shared" si="305"/>
        <v>0</v>
      </c>
      <c r="K2455" s="408">
        <f t="shared" si="305"/>
        <v>300</v>
      </c>
      <c r="L2455" s="454">
        <f>K2455/K$2497</f>
        <v>9.1334021892405793E-4</v>
      </c>
    </row>
    <row r="2456" spans="1:15" x14ac:dyDescent="0.25">
      <c r="A2456" s="397"/>
      <c r="B2456" s="1386" t="s">
        <v>9108</v>
      </c>
      <c r="C2456" s="1386"/>
      <c r="D2456" s="1386"/>
      <c r="E2456" s="1386"/>
      <c r="F2456" s="1386"/>
      <c r="G2456" s="403"/>
      <c r="H2456" s="403"/>
      <c r="I2456" s="427"/>
      <c r="J2456" s="404">
        <f t="shared" si="305"/>
        <v>0</v>
      </c>
      <c r="K2456" s="404">
        <f t="shared" si="305"/>
        <v>300</v>
      </c>
      <c r="L2456" s="452">
        <f>K2456/K$2497</f>
        <v>9.1334021892405793E-4</v>
      </c>
    </row>
    <row r="2457" spans="1:15" x14ac:dyDescent="0.25">
      <c r="A2457" s="397"/>
      <c r="B2457" s="1385" t="s">
        <v>8698</v>
      </c>
      <c r="C2457" s="1385"/>
      <c r="D2457" s="1385"/>
      <c r="E2457" s="1385"/>
      <c r="F2457" s="1385"/>
      <c r="G2457" s="401"/>
      <c r="H2457" s="401"/>
      <c r="I2457" s="426"/>
      <c r="J2457" s="402">
        <f t="shared" si="305"/>
        <v>0</v>
      </c>
      <c r="K2457" s="402">
        <f t="shared" si="305"/>
        <v>300</v>
      </c>
      <c r="L2457" s="451">
        <f>K2457/K$2497</f>
        <v>9.1334021892405793E-4</v>
      </c>
    </row>
    <row r="2458" spans="1:15" s="115" customFormat="1" x14ac:dyDescent="0.25">
      <c r="A2458" s="396"/>
      <c r="B2458" s="1002"/>
      <c r="C2458" s="1002"/>
      <c r="D2458" s="1002">
        <v>665000</v>
      </c>
      <c r="E2458" s="854">
        <v>333903000000000</v>
      </c>
      <c r="F2458" s="855" t="s">
        <v>9136</v>
      </c>
      <c r="G2458" s="468">
        <v>4911</v>
      </c>
      <c r="H2458" s="468">
        <v>0</v>
      </c>
      <c r="I2458" s="751"/>
      <c r="J2458" s="789">
        <f>'Parâmetros financeiros Despesa'!E1832</f>
        <v>0</v>
      </c>
      <c r="K2458" s="789">
        <f>'Parâmetros financeiros Despesa'!F1832</f>
        <v>300</v>
      </c>
      <c r="L2458" s="799">
        <f t="shared" ref="L2458" si="306">K2458/K$2497</f>
        <v>9.1334021892405793E-4</v>
      </c>
      <c r="M2458" s="894"/>
      <c r="O2458" s="733"/>
    </row>
    <row r="2459" spans="1:15" x14ac:dyDescent="0.25">
      <c r="A2459" s="397"/>
      <c r="B2459" s="1382" t="s">
        <v>8699</v>
      </c>
      <c r="C2459" s="1382"/>
      <c r="D2459" s="1382"/>
      <c r="E2459" s="1382"/>
      <c r="F2459" s="1382"/>
      <c r="G2459" s="405"/>
      <c r="H2459" s="405"/>
      <c r="I2459" s="428"/>
      <c r="J2459" s="406">
        <f t="shared" ref="J2459:K2461" si="307">J2460</f>
        <v>15549.314999999999</v>
      </c>
      <c r="K2459" s="406">
        <f t="shared" si="307"/>
        <v>43721.83</v>
      </c>
      <c r="L2459" s="453">
        <f>K2459/K$2497</f>
        <v>0.13310968594653483</v>
      </c>
    </row>
    <row r="2460" spans="1:15" x14ac:dyDescent="0.25">
      <c r="A2460" s="397"/>
      <c r="B2460" s="1383" t="s">
        <v>8812</v>
      </c>
      <c r="C2460" s="1383"/>
      <c r="D2460" s="1383"/>
      <c r="E2460" s="1383"/>
      <c r="F2460" s="1383"/>
      <c r="G2460" s="407"/>
      <c r="H2460" s="407"/>
      <c r="I2460" s="429"/>
      <c r="J2460" s="408">
        <f t="shared" si="307"/>
        <v>15549.314999999999</v>
      </c>
      <c r="K2460" s="408">
        <f t="shared" si="307"/>
        <v>43721.83</v>
      </c>
      <c r="L2460" s="454">
        <f>K2460/K$2497</f>
        <v>0.13310968594653483</v>
      </c>
    </row>
    <row r="2461" spans="1:15" x14ac:dyDescent="0.25">
      <c r="A2461" s="397"/>
      <c r="B2461" s="1386" t="s">
        <v>9109</v>
      </c>
      <c r="C2461" s="1386"/>
      <c r="D2461" s="1386"/>
      <c r="E2461" s="1386"/>
      <c r="F2461" s="1386"/>
      <c r="G2461" s="403"/>
      <c r="H2461" s="403"/>
      <c r="I2461" s="427"/>
      <c r="J2461" s="404">
        <f t="shared" si="307"/>
        <v>15549.314999999999</v>
      </c>
      <c r="K2461" s="404">
        <f t="shared" si="307"/>
        <v>43721.83</v>
      </c>
      <c r="L2461" s="452">
        <f>K2461/K$2497</f>
        <v>0.13310968594653483</v>
      </c>
    </row>
    <row r="2462" spans="1:15" x14ac:dyDescent="0.25">
      <c r="A2462" s="397"/>
      <c r="B2462" s="1385" t="s">
        <v>8698</v>
      </c>
      <c r="C2462" s="1385"/>
      <c r="D2462" s="1385"/>
      <c r="E2462" s="1385"/>
      <c r="F2462" s="1385"/>
      <c r="G2462" s="401"/>
      <c r="H2462" s="401"/>
      <c r="I2462" s="426"/>
      <c r="J2462" s="402">
        <f>SUM(J2463:J2466)</f>
        <v>15549.314999999999</v>
      </c>
      <c r="K2462" s="402">
        <f>SUM(K2463:K2466)</f>
        <v>43721.83</v>
      </c>
      <c r="L2462" s="451">
        <f>K2462/K$2497</f>
        <v>0.13310968594653483</v>
      </c>
    </row>
    <row r="2463" spans="1:15" s="115" customFormat="1" x14ac:dyDescent="0.25">
      <c r="A2463" s="396"/>
      <c r="B2463" s="1002"/>
      <c r="C2463" s="1002"/>
      <c r="D2463" s="1002">
        <v>666000</v>
      </c>
      <c r="E2463" s="854">
        <v>333903000000000</v>
      </c>
      <c r="F2463" s="855" t="s">
        <v>9460</v>
      </c>
      <c r="G2463" s="468">
        <v>40</v>
      </c>
      <c r="H2463" s="468">
        <v>0</v>
      </c>
      <c r="I2463" s="751"/>
      <c r="J2463" s="789">
        <f>'Parâmetros financeiros Despesa'!E1834</f>
        <v>0</v>
      </c>
      <c r="K2463" s="789">
        <f>'Parâmetros financeiros Despesa'!F1834</f>
        <v>20000</v>
      </c>
      <c r="L2463" s="799">
        <f t="shared" ref="L2463:L2466" si="308">K2463/K$2497</f>
        <v>6.0889347928270526E-2</v>
      </c>
      <c r="M2463" s="894"/>
      <c r="O2463" s="733"/>
    </row>
    <row r="2464" spans="1:15" s="115" customFormat="1" x14ac:dyDescent="0.25">
      <c r="A2464" s="396"/>
      <c r="B2464" s="1002"/>
      <c r="C2464" s="1002"/>
      <c r="D2464" s="1002">
        <v>666100</v>
      </c>
      <c r="E2464" s="854">
        <v>333903000000000</v>
      </c>
      <c r="F2464" s="855" t="s">
        <v>9138</v>
      </c>
      <c r="G2464" s="468">
        <v>4770</v>
      </c>
      <c r="H2464" s="468"/>
      <c r="I2464" s="751"/>
      <c r="J2464" s="789">
        <f>'Parâmetros financeiros Despesa'!E1835</f>
        <v>15549.314999999999</v>
      </c>
      <c r="K2464" s="789">
        <f>'Parâmetros financeiros Despesa'!F1835</f>
        <v>16000</v>
      </c>
      <c r="L2464" s="799">
        <f t="shared" si="308"/>
        <v>4.8711478342616424E-2</v>
      </c>
      <c r="M2464" s="894"/>
      <c r="O2464" s="733"/>
    </row>
    <row r="2465" spans="1:20" s="115" customFormat="1" x14ac:dyDescent="0.25">
      <c r="A2465" s="396"/>
      <c r="B2465" s="1004"/>
      <c r="C2465" s="1004"/>
      <c r="D2465" s="1004" t="s">
        <v>9459</v>
      </c>
      <c r="E2465" s="854">
        <v>333903200000000</v>
      </c>
      <c r="F2465" s="855" t="s">
        <v>9139</v>
      </c>
      <c r="G2465" s="468">
        <v>4770</v>
      </c>
      <c r="H2465" s="468">
        <v>0</v>
      </c>
      <c r="I2465" s="751"/>
      <c r="J2465" s="789">
        <f>'Parâmetros financeiros Despesa'!E1836</f>
        <v>0</v>
      </c>
      <c r="K2465" s="789">
        <f>'Parâmetros financeiros Despesa'!F1836</f>
        <v>7720.83</v>
      </c>
      <c r="L2465" s="799">
        <f t="shared" si="308"/>
        <v>2.3505815208251447E-2</v>
      </c>
      <c r="M2465" s="894"/>
      <c r="O2465" s="733"/>
    </row>
    <row r="2466" spans="1:20" s="115" customFormat="1" x14ac:dyDescent="0.25">
      <c r="A2466" s="396"/>
      <c r="B2466" s="1004"/>
      <c r="C2466" s="1004"/>
      <c r="D2466" s="1004" t="s">
        <v>11494</v>
      </c>
      <c r="E2466" s="854">
        <v>333903900000000</v>
      </c>
      <c r="F2466" s="855" t="s">
        <v>9137</v>
      </c>
      <c r="G2466" s="468">
        <v>4770</v>
      </c>
      <c r="H2466" s="468">
        <v>0</v>
      </c>
      <c r="I2466" s="751"/>
      <c r="J2466" s="789">
        <f>'Parâmetros financeiros Despesa'!E1837</f>
        <v>0</v>
      </c>
      <c r="K2466" s="789">
        <f>'Parâmetros financeiros Despesa'!F1837</f>
        <v>1</v>
      </c>
      <c r="L2466" s="799">
        <f t="shared" si="308"/>
        <v>3.0444673964135263E-6</v>
      </c>
      <c r="M2466" s="894"/>
      <c r="O2466" s="733"/>
    </row>
    <row r="2467" spans="1:20" x14ac:dyDescent="0.25">
      <c r="A2467" s="397"/>
      <c r="B2467" s="1382" t="s">
        <v>8699</v>
      </c>
      <c r="C2467" s="1382"/>
      <c r="D2467" s="1382"/>
      <c r="E2467" s="1382"/>
      <c r="F2467" s="1382"/>
      <c r="G2467" s="405"/>
      <c r="H2467" s="405"/>
      <c r="I2467" s="428"/>
      <c r="J2467" s="406">
        <f t="shared" ref="J2467:K2469" si="309">J2468</f>
        <v>7858.5</v>
      </c>
      <c r="K2467" s="406">
        <f t="shared" si="309"/>
        <v>24448.576999999997</v>
      </c>
      <c r="L2467" s="453">
        <f>K2467/K$2497</f>
        <v>7.4432895565205617E-2</v>
      </c>
    </row>
    <row r="2468" spans="1:20" x14ac:dyDescent="0.25">
      <c r="A2468" s="397"/>
      <c r="B2468" s="1383" t="s">
        <v>8960</v>
      </c>
      <c r="C2468" s="1383"/>
      <c r="D2468" s="1383"/>
      <c r="E2468" s="1383"/>
      <c r="F2468" s="1383"/>
      <c r="G2468" s="407"/>
      <c r="H2468" s="407"/>
      <c r="I2468" s="429"/>
      <c r="J2468" s="408">
        <f t="shared" si="309"/>
        <v>7858.5</v>
      </c>
      <c r="K2468" s="408">
        <f t="shared" si="309"/>
        <v>24448.576999999997</v>
      </c>
      <c r="L2468" s="454">
        <f>K2468/K$2497</f>
        <v>7.4432895565205617E-2</v>
      </c>
    </row>
    <row r="2469" spans="1:20" x14ac:dyDescent="0.25">
      <c r="A2469" s="397"/>
      <c r="B2469" s="1386" t="s">
        <v>8961</v>
      </c>
      <c r="C2469" s="1386"/>
      <c r="D2469" s="1386"/>
      <c r="E2469" s="1386"/>
      <c r="F2469" s="1386"/>
      <c r="G2469" s="403"/>
      <c r="H2469" s="403"/>
      <c r="I2469" s="427"/>
      <c r="J2469" s="404">
        <f t="shared" si="309"/>
        <v>7858.5</v>
      </c>
      <c r="K2469" s="404">
        <f t="shared" si="309"/>
        <v>24448.576999999997</v>
      </c>
      <c r="L2469" s="452">
        <f>K2469/K$2497</f>
        <v>7.4432895565205617E-2</v>
      </c>
    </row>
    <row r="2470" spans="1:20" ht="15" customHeight="1" x14ac:dyDescent="0.25">
      <c r="A2470" s="397"/>
      <c r="B2470" s="1385" t="s">
        <v>8698</v>
      </c>
      <c r="C2470" s="1385"/>
      <c r="D2470" s="1385"/>
      <c r="E2470" s="1385"/>
      <c r="F2470" s="1385"/>
      <c r="G2470" s="401"/>
      <c r="H2470" s="401"/>
      <c r="I2470" s="426"/>
      <c r="J2470" s="402">
        <f>SUM(J2471:J2486)</f>
        <v>7858.5</v>
      </c>
      <c r="K2470" s="402">
        <f>SUM(K2471:K2486)</f>
        <v>24448.576999999997</v>
      </c>
      <c r="L2470" s="451">
        <f>K2470/K$2497</f>
        <v>7.4432895565205617E-2</v>
      </c>
    </row>
    <row r="2471" spans="1:20" s="115" customFormat="1" ht="15" customHeight="1" x14ac:dyDescent="0.25">
      <c r="A2471" s="396"/>
      <c r="B2471" s="1398" t="s">
        <v>9463</v>
      </c>
      <c r="C2471" s="1398"/>
      <c r="D2471" s="1398"/>
      <c r="E2471" s="854">
        <v>331900400000000</v>
      </c>
      <c r="F2471" s="855" t="s">
        <v>8964</v>
      </c>
      <c r="G2471" s="468">
        <v>4580</v>
      </c>
      <c r="H2471" s="468">
        <v>0</v>
      </c>
      <c r="I2471" s="751"/>
      <c r="J2471" s="789">
        <f>'Parâmetros financeiros Despesa'!E1839</f>
        <v>0</v>
      </c>
      <c r="K2471" s="789">
        <f>'Parâmetros financeiros Despesa'!F1839</f>
        <v>1</v>
      </c>
      <c r="L2471" s="799">
        <f t="shared" ref="L2471:L2485" si="310">K2471/K$2497</f>
        <v>3.0444673964135263E-6</v>
      </c>
      <c r="M2471" s="894"/>
      <c r="O2471" s="733"/>
    </row>
    <row r="2472" spans="1:20" s="115" customFormat="1" ht="15" customHeight="1" x14ac:dyDescent="0.25">
      <c r="A2472" s="396"/>
      <c r="B2472" s="1398" t="s">
        <v>9464</v>
      </c>
      <c r="C2472" s="1398"/>
      <c r="D2472" s="1398"/>
      <c r="E2472" s="854">
        <v>331901100000000</v>
      </c>
      <c r="F2472" s="855" t="s">
        <v>8965</v>
      </c>
      <c r="G2472" s="468">
        <v>4580</v>
      </c>
      <c r="H2472" s="468">
        <v>0</v>
      </c>
      <c r="I2472" s="751"/>
      <c r="J2472" s="789">
        <f>'Parâmetros financeiros Despesa'!E1840</f>
        <v>0</v>
      </c>
      <c r="K2472" s="789">
        <f>'Parâmetros financeiros Despesa'!F1840</f>
        <v>3982.4799999999996</v>
      </c>
      <c r="L2472" s="799">
        <f t="shared" si="310"/>
        <v>1.212453051686894E-2</v>
      </c>
      <c r="M2472" s="894"/>
      <c r="O2472" s="733"/>
    </row>
    <row r="2473" spans="1:20" s="115" customFormat="1" ht="15" customHeight="1" x14ac:dyDescent="0.25">
      <c r="A2473" s="396"/>
      <c r="B2473" s="1398" t="s">
        <v>9465</v>
      </c>
      <c r="C2473" s="1398"/>
      <c r="D2473" s="1398"/>
      <c r="E2473" s="854">
        <v>331901300000000</v>
      </c>
      <c r="F2473" s="855" t="s">
        <v>9140</v>
      </c>
      <c r="G2473" s="468">
        <v>4580</v>
      </c>
      <c r="H2473" s="468">
        <v>0</v>
      </c>
      <c r="I2473" s="751"/>
      <c r="J2473" s="789">
        <f>'Parâmetros financeiros Despesa'!E1841</f>
        <v>0</v>
      </c>
      <c r="K2473" s="789">
        <f>'Parâmetros financeiros Despesa'!F1841</f>
        <v>1</v>
      </c>
      <c r="L2473" s="799">
        <f t="shared" si="310"/>
        <v>3.0444673964135263E-6</v>
      </c>
      <c r="M2473" s="894"/>
      <c r="O2473" s="733"/>
    </row>
    <row r="2474" spans="1:20" s="115" customFormat="1" ht="15" customHeight="1" x14ac:dyDescent="0.25">
      <c r="A2474" s="396"/>
      <c r="B2474" s="1398" t="s">
        <v>9466</v>
      </c>
      <c r="C2474" s="1398"/>
      <c r="D2474" s="1398"/>
      <c r="E2474" s="854">
        <v>331901600000000</v>
      </c>
      <c r="F2474" s="855" t="s">
        <v>8967</v>
      </c>
      <c r="G2474" s="468">
        <v>4580</v>
      </c>
      <c r="H2474" s="468">
        <v>0</v>
      </c>
      <c r="I2474" s="751"/>
      <c r="J2474" s="789">
        <f>'Parâmetros financeiros Despesa'!E1842</f>
        <v>0</v>
      </c>
      <c r="K2474" s="789">
        <f>'Parâmetros financeiros Despesa'!F1842</f>
        <v>1</v>
      </c>
      <c r="L2474" s="799">
        <f t="shared" si="310"/>
        <v>3.0444673964135263E-6</v>
      </c>
      <c r="M2474" s="894"/>
      <c r="O2474" s="733"/>
    </row>
    <row r="2475" spans="1:20" s="115" customFormat="1" ht="15" customHeight="1" x14ac:dyDescent="0.25">
      <c r="A2475" s="396"/>
      <c r="B2475" s="1398" t="s">
        <v>9467</v>
      </c>
      <c r="C2475" s="1398"/>
      <c r="D2475" s="1398"/>
      <c r="E2475" s="854">
        <v>333901400000000</v>
      </c>
      <c r="F2475" s="855" t="s">
        <v>8996</v>
      </c>
      <c r="G2475" s="468">
        <v>4580</v>
      </c>
      <c r="H2475" s="468">
        <v>0</v>
      </c>
      <c r="I2475" s="751"/>
      <c r="J2475" s="789">
        <f>'Parâmetros financeiros Despesa'!E1843</f>
        <v>358.5</v>
      </c>
      <c r="K2475" s="789">
        <f>'Parâmetros financeiros Despesa'!F1843</f>
        <v>1000</v>
      </c>
      <c r="L2475" s="799">
        <f t="shared" si="310"/>
        <v>3.0444673964135265E-3</v>
      </c>
      <c r="M2475" s="894"/>
      <c r="O2475" s="733"/>
    </row>
    <row r="2476" spans="1:20" s="115" customFormat="1" ht="15" customHeight="1" x14ac:dyDescent="0.25">
      <c r="B2476" s="879"/>
      <c r="C2476" s="879"/>
      <c r="D2476" s="880">
        <v>667500</v>
      </c>
      <c r="E2476" s="854">
        <v>333903000000000</v>
      </c>
      <c r="F2476" s="855" t="s">
        <v>9141</v>
      </c>
      <c r="G2476" s="468">
        <v>4580</v>
      </c>
      <c r="H2476" s="468">
        <v>0</v>
      </c>
      <c r="I2476" s="751"/>
      <c r="J2476" s="789">
        <f>'Parâmetros financeiros Despesa'!E1844</f>
        <v>7500</v>
      </c>
      <c r="K2476" s="789">
        <f>'Parâmetros financeiros Despesa'!F1844</f>
        <v>11305.46</v>
      </c>
      <c r="L2476" s="799">
        <f t="shared" si="310"/>
        <v>3.4419104371457267E-2</v>
      </c>
      <c r="M2476" s="894"/>
      <c r="N2476" s="396"/>
      <c r="O2476" s="463"/>
      <c r="R2476" s="463"/>
      <c r="S2476" s="463"/>
      <c r="T2476" s="463"/>
    </row>
    <row r="2477" spans="1:20" s="115" customFormat="1" ht="15" customHeight="1" x14ac:dyDescent="0.25">
      <c r="B2477" s="1004"/>
      <c r="C2477" s="1004"/>
      <c r="D2477" s="880">
        <v>667600</v>
      </c>
      <c r="E2477" s="854">
        <v>333903200000000</v>
      </c>
      <c r="F2477" s="855" t="s">
        <v>9142</v>
      </c>
      <c r="G2477" s="468">
        <v>4580</v>
      </c>
      <c r="H2477" s="468">
        <v>0</v>
      </c>
      <c r="I2477" s="751"/>
      <c r="J2477" s="789">
        <f>'Parâmetros financeiros Despesa'!E1845</f>
        <v>0</v>
      </c>
      <c r="K2477" s="789">
        <f>'Parâmetros financeiros Despesa'!F1845</f>
        <v>1000</v>
      </c>
      <c r="L2477" s="799">
        <f t="shared" si="310"/>
        <v>3.0444673964135265E-3</v>
      </c>
      <c r="M2477" s="894"/>
      <c r="N2477" s="396"/>
      <c r="O2477" s="463"/>
      <c r="R2477" s="463"/>
      <c r="S2477" s="463"/>
      <c r="T2477" s="463"/>
    </row>
    <row r="2478" spans="1:20" s="115" customFormat="1" ht="15" customHeight="1" x14ac:dyDescent="0.25">
      <c r="B2478" s="1004"/>
      <c r="C2478" s="1004"/>
      <c r="D2478" s="880">
        <v>667700</v>
      </c>
      <c r="E2478" s="854">
        <v>333903300000000</v>
      </c>
      <c r="F2478" s="855" t="s">
        <v>9461</v>
      </c>
      <c r="G2478" s="468">
        <v>4580</v>
      </c>
      <c r="H2478" s="468">
        <v>0</v>
      </c>
      <c r="I2478" s="751"/>
      <c r="J2478" s="789">
        <f>'Parâmetros financeiros Despesa'!E1846</f>
        <v>0</v>
      </c>
      <c r="K2478" s="789">
        <f>'Parâmetros financeiros Despesa'!F1846</f>
        <v>500</v>
      </c>
      <c r="L2478" s="799">
        <f t="shared" si="310"/>
        <v>1.5222336982067632E-3</v>
      </c>
      <c r="M2478" s="894"/>
      <c r="N2478" s="396"/>
      <c r="O2478" s="463"/>
      <c r="R2478" s="463"/>
      <c r="S2478" s="463"/>
      <c r="T2478" s="463"/>
    </row>
    <row r="2479" spans="1:20" s="115" customFormat="1" ht="15" customHeight="1" x14ac:dyDescent="0.25">
      <c r="B2479" s="1004"/>
      <c r="C2479" s="1004"/>
      <c r="D2479" s="880">
        <v>667800</v>
      </c>
      <c r="E2479" s="854">
        <v>333903600000000</v>
      </c>
      <c r="F2479" s="855" t="s">
        <v>9143</v>
      </c>
      <c r="G2479" s="468">
        <v>4580</v>
      </c>
      <c r="H2479" s="468">
        <v>0</v>
      </c>
      <c r="I2479" s="751"/>
      <c r="J2479" s="789">
        <f>'Parâmetros financeiros Despesa'!E1847</f>
        <v>0</v>
      </c>
      <c r="K2479" s="789">
        <f>'Parâmetros financeiros Despesa'!F1847</f>
        <v>500</v>
      </c>
      <c r="L2479" s="799">
        <f t="shared" si="310"/>
        <v>1.5222336982067632E-3</v>
      </c>
      <c r="M2479" s="894"/>
      <c r="N2479" s="396"/>
      <c r="O2479" s="463"/>
      <c r="R2479" s="463"/>
      <c r="S2479" s="463"/>
      <c r="T2479" s="463"/>
    </row>
    <row r="2480" spans="1:20" s="115" customFormat="1" ht="15" customHeight="1" x14ac:dyDescent="0.25">
      <c r="B2480" s="1004"/>
      <c r="C2480" s="1004"/>
      <c r="D2480" s="880">
        <v>667900</v>
      </c>
      <c r="E2480" s="854">
        <v>333903900000000</v>
      </c>
      <c r="F2480" s="855" t="s">
        <v>9144</v>
      </c>
      <c r="G2480" s="468">
        <v>4580</v>
      </c>
      <c r="H2480" s="468">
        <v>0</v>
      </c>
      <c r="I2480" s="751"/>
      <c r="J2480" s="789">
        <f>'Parâmetros financeiros Despesa'!E1848</f>
        <v>0</v>
      </c>
      <c r="K2480" s="789">
        <f>'Parâmetros financeiros Despesa'!F1848</f>
        <v>1500</v>
      </c>
      <c r="L2480" s="799">
        <f t="shared" si="310"/>
        <v>4.5667010946202893E-3</v>
      </c>
      <c r="M2480" s="894"/>
      <c r="N2480" s="396"/>
      <c r="O2480" s="463"/>
      <c r="R2480" s="463"/>
      <c r="S2480" s="463"/>
      <c r="T2480" s="463"/>
    </row>
    <row r="2481" spans="1:20" s="115" customFormat="1" ht="15" customHeight="1" x14ac:dyDescent="0.25">
      <c r="B2481" s="1004"/>
      <c r="C2481" s="1004"/>
      <c r="D2481" s="880">
        <v>668000</v>
      </c>
      <c r="E2481" s="854">
        <v>333904700000000</v>
      </c>
      <c r="F2481" s="855" t="s">
        <v>9145</v>
      </c>
      <c r="G2481" s="468">
        <v>4580</v>
      </c>
      <c r="H2481" s="468">
        <v>0</v>
      </c>
      <c r="I2481" s="751"/>
      <c r="J2481" s="789">
        <f>'Parâmetros financeiros Despesa'!E1849</f>
        <v>0</v>
      </c>
      <c r="K2481" s="789">
        <f>'Parâmetros financeiros Despesa'!F1849</f>
        <v>119.047</v>
      </c>
      <c r="L2481" s="799">
        <f t="shared" si="310"/>
        <v>3.6243471014084106E-4</v>
      </c>
      <c r="M2481" s="894"/>
      <c r="N2481" s="396"/>
      <c r="O2481" s="463"/>
      <c r="R2481" s="463"/>
      <c r="S2481" s="463"/>
      <c r="T2481" s="463"/>
    </row>
    <row r="2482" spans="1:20" s="115" customFormat="1" ht="15" customHeight="1" x14ac:dyDescent="0.25">
      <c r="A2482" s="396"/>
      <c r="B2482" s="1398" t="s">
        <v>9468</v>
      </c>
      <c r="C2482" s="1398"/>
      <c r="D2482" s="1398"/>
      <c r="E2482" s="854">
        <v>333904900000000</v>
      </c>
      <c r="F2482" s="855" t="s">
        <v>9146</v>
      </c>
      <c r="G2482" s="468">
        <v>4580</v>
      </c>
      <c r="H2482" s="468">
        <v>0</v>
      </c>
      <c r="I2482" s="751"/>
      <c r="J2482" s="789">
        <f>'Parâmetros financeiros Despesa'!E1850</f>
        <v>0</v>
      </c>
      <c r="K2482" s="789">
        <f>'Parâmetros financeiros Despesa'!F1850</f>
        <v>38.590000000000003</v>
      </c>
      <c r="L2482" s="799">
        <f t="shared" si="310"/>
        <v>1.17485996827598E-4</v>
      </c>
      <c r="M2482" s="894"/>
      <c r="O2482" s="733"/>
    </row>
    <row r="2483" spans="1:20" s="115" customFormat="1" ht="15" customHeight="1" x14ac:dyDescent="0.25">
      <c r="A2483" s="396"/>
      <c r="B2483" s="1398" t="s">
        <v>9469</v>
      </c>
      <c r="C2483" s="1398"/>
      <c r="D2483" s="1398"/>
      <c r="E2483" s="854">
        <v>333909300000000</v>
      </c>
      <c r="F2483" s="855" t="s">
        <v>9147</v>
      </c>
      <c r="G2483" s="468">
        <v>4580</v>
      </c>
      <c r="H2483" s="468">
        <v>0</v>
      </c>
      <c r="I2483" s="751"/>
      <c r="J2483" s="789">
        <f>'Parâmetros financeiros Despesa'!E1851</f>
        <v>0</v>
      </c>
      <c r="K2483" s="789">
        <f>'Parâmetros financeiros Despesa'!F1851</f>
        <v>500</v>
      </c>
      <c r="L2483" s="799">
        <f t="shared" si="310"/>
        <v>1.5222336982067632E-3</v>
      </c>
      <c r="M2483" s="894"/>
      <c r="O2483" s="733"/>
    </row>
    <row r="2484" spans="1:20" s="115" customFormat="1" ht="15" customHeight="1" x14ac:dyDescent="0.25">
      <c r="A2484" s="396"/>
      <c r="B2484" s="1004"/>
      <c r="C2484" s="1004"/>
      <c r="D2484" s="1004" t="s">
        <v>9470</v>
      </c>
      <c r="E2484" s="854">
        <v>333933000000000</v>
      </c>
      <c r="F2484" s="855" t="s">
        <v>9148</v>
      </c>
      <c r="G2484" s="468">
        <v>4580</v>
      </c>
      <c r="H2484" s="468">
        <v>0</v>
      </c>
      <c r="I2484" s="751"/>
      <c r="J2484" s="789">
        <f>'Parâmetros financeiros Despesa'!E1852</f>
        <v>0</v>
      </c>
      <c r="K2484" s="789">
        <f>'Parâmetros financeiros Despesa'!F1852</f>
        <v>500</v>
      </c>
      <c r="L2484" s="799">
        <f t="shared" si="310"/>
        <v>1.5222336982067632E-3</v>
      </c>
      <c r="M2484" s="894"/>
      <c r="O2484" s="733"/>
    </row>
    <row r="2485" spans="1:20" s="115" customFormat="1" ht="15" customHeight="1" x14ac:dyDescent="0.25">
      <c r="A2485" s="396"/>
      <c r="B2485" s="1398" t="s">
        <v>9471</v>
      </c>
      <c r="C2485" s="1398"/>
      <c r="D2485" s="1398"/>
      <c r="E2485" s="854">
        <v>333933900000000</v>
      </c>
      <c r="F2485" s="855" t="s">
        <v>9462</v>
      </c>
      <c r="G2485" s="468">
        <v>4580</v>
      </c>
      <c r="H2485" s="468">
        <v>0</v>
      </c>
      <c r="I2485" s="751"/>
      <c r="J2485" s="789">
        <f>'Parâmetros financeiros Despesa'!E1853</f>
        <v>0</v>
      </c>
      <c r="K2485" s="789">
        <f>'Parâmetros financeiros Despesa'!F1853</f>
        <v>500</v>
      </c>
      <c r="L2485" s="799">
        <f t="shared" si="310"/>
        <v>1.5222336982067632E-3</v>
      </c>
      <c r="M2485" s="894"/>
      <c r="O2485" s="733"/>
    </row>
    <row r="2486" spans="1:20" s="115" customFormat="1" x14ac:dyDescent="0.25">
      <c r="A2486" s="396"/>
      <c r="B2486" s="1398" t="s">
        <v>9472</v>
      </c>
      <c r="C2486" s="1398"/>
      <c r="D2486" s="1398"/>
      <c r="E2486" s="854">
        <v>344905200000000</v>
      </c>
      <c r="F2486" s="855" t="s">
        <v>9149</v>
      </c>
      <c r="G2486" s="468">
        <v>4580</v>
      </c>
      <c r="H2486" s="468">
        <v>0</v>
      </c>
      <c r="I2486" s="751"/>
      <c r="J2486" s="789">
        <f>'Parâmetros financeiros Despesa'!E1854</f>
        <v>0</v>
      </c>
      <c r="K2486" s="789">
        <f>'Parâmetros financeiros Despesa'!F1854</f>
        <v>3000</v>
      </c>
      <c r="L2486" s="799">
        <f>K2486/K$2497</f>
        <v>9.1334021892405786E-3</v>
      </c>
      <c r="M2486" s="894"/>
      <c r="O2486" s="733"/>
    </row>
    <row r="2487" spans="1:20" s="115" customFormat="1" x14ac:dyDescent="0.25">
      <c r="A2487" s="396"/>
      <c r="B2487" s="1395" t="s">
        <v>2172</v>
      </c>
      <c r="C2487" s="1395"/>
      <c r="D2487" s="1395"/>
      <c r="E2487" s="1395"/>
      <c r="F2487" s="1395"/>
      <c r="G2487" s="1395"/>
      <c r="H2487" s="1395"/>
      <c r="I2487" s="1395"/>
      <c r="J2487" s="1023">
        <f>J2469+J2461+J2456+J2445+J2434+J2423+J2407</f>
        <v>201495.03</v>
      </c>
      <c r="K2487" s="1023">
        <f>K2469+K2461+K2456+K2445+K2434+K2423+K2407</f>
        <v>328464.67700000003</v>
      </c>
      <c r="L2487" s="452">
        <f>K2487/K$2497</f>
        <v>1</v>
      </c>
      <c r="M2487" s="894"/>
      <c r="O2487" s="733"/>
    </row>
    <row r="2488" spans="1:20" x14ac:dyDescent="0.25">
      <c r="B2488" s="864" t="s">
        <v>11469</v>
      </c>
      <c r="C2488" s="864"/>
      <c r="D2488" s="864"/>
      <c r="E2488" s="864"/>
      <c r="F2488" s="864"/>
      <c r="G2488" s="864"/>
      <c r="H2488" s="864"/>
      <c r="I2488" s="864"/>
      <c r="J2488" s="863"/>
      <c r="K2488" s="863"/>
      <c r="L2488" s="452"/>
    </row>
    <row r="2489" spans="1:20" s="31" customFormat="1" x14ac:dyDescent="0.25">
      <c r="B2489" s="869" t="s">
        <v>756</v>
      </c>
      <c r="C2489" s="869"/>
      <c r="D2489" s="869"/>
      <c r="E2489" s="869"/>
      <c r="F2489" s="869"/>
      <c r="G2489" s="869"/>
      <c r="H2489" s="869"/>
      <c r="I2489" s="869"/>
      <c r="J2489" s="870">
        <v>0</v>
      </c>
      <c r="K2489" s="870">
        <v>23757</v>
      </c>
      <c r="L2489" s="871">
        <f t="shared" ref="L2489:L2495" si="311">K2489/K$2497</f>
        <v>7.2327411936596142E-2</v>
      </c>
      <c r="M2489" s="897"/>
      <c r="O2489" s="736"/>
    </row>
    <row r="2490" spans="1:20" s="31" customFormat="1" x14ac:dyDescent="0.25">
      <c r="B2490" s="869" t="s">
        <v>881</v>
      </c>
      <c r="C2490" s="869"/>
      <c r="D2490" s="869"/>
      <c r="E2490" s="869"/>
      <c r="F2490" s="869"/>
      <c r="G2490" s="869"/>
      <c r="H2490" s="869"/>
      <c r="I2490" s="869"/>
      <c r="J2490" s="870">
        <f>J2407</f>
        <v>178087.215</v>
      </c>
      <c r="K2490" s="870">
        <f>K2407</f>
        <v>130037.27</v>
      </c>
      <c r="L2490" s="871">
        <f t="shared" si="311"/>
        <v>0.3958942288336228</v>
      </c>
      <c r="M2490" s="897"/>
      <c r="O2490" s="736"/>
    </row>
    <row r="2491" spans="1:20" s="31" customFormat="1" x14ac:dyDescent="0.25">
      <c r="B2491" s="869" t="s">
        <v>884</v>
      </c>
      <c r="C2491" s="869"/>
      <c r="D2491" s="869"/>
      <c r="E2491" s="869"/>
      <c r="F2491" s="869"/>
      <c r="G2491" s="869"/>
      <c r="H2491" s="869"/>
      <c r="I2491" s="869"/>
      <c r="J2491" s="870">
        <f>J2469</f>
        <v>7858.5</v>
      </c>
      <c r="K2491" s="870">
        <f>K2469</f>
        <v>24448.576999999997</v>
      </c>
      <c r="L2491" s="871">
        <f t="shared" si="311"/>
        <v>7.4432895565205617E-2</v>
      </c>
      <c r="M2491" s="897"/>
      <c r="O2491" s="736"/>
    </row>
    <row r="2492" spans="1:20" s="31" customFormat="1" x14ac:dyDescent="0.25">
      <c r="B2492" s="869" t="s">
        <v>886</v>
      </c>
      <c r="C2492" s="869"/>
      <c r="D2492" s="869"/>
      <c r="E2492" s="869"/>
      <c r="F2492" s="869"/>
      <c r="G2492" s="869"/>
      <c r="H2492" s="869"/>
      <c r="I2492" s="869"/>
      <c r="J2492" s="870">
        <f>J2464</f>
        <v>15549.314999999999</v>
      </c>
      <c r="K2492" s="870">
        <f>K2464+K2465+K2466</f>
        <v>23721.83</v>
      </c>
      <c r="L2492" s="871">
        <f t="shared" si="311"/>
        <v>7.2220338018264288E-2</v>
      </c>
      <c r="M2492" s="897"/>
      <c r="O2492" s="736"/>
    </row>
    <row r="2493" spans="1:20" s="31" customFormat="1" x14ac:dyDescent="0.25">
      <c r="B2493" s="869" t="s">
        <v>888</v>
      </c>
      <c r="C2493" s="869"/>
      <c r="D2493" s="869"/>
      <c r="E2493" s="869"/>
      <c r="F2493" s="869"/>
      <c r="G2493" s="869"/>
      <c r="H2493" s="869"/>
      <c r="I2493" s="869"/>
      <c r="J2493" s="870">
        <v>0</v>
      </c>
      <c r="K2493" s="870">
        <v>300</v>
      </c>
      <c r="L2493" s="871">
        <f t="shared" si="311"/>
        <v>9.1334021892405793E-4</v>
      </c>
      <c r="M2493" s="897"/>
      <c r="O2493" s="736"/>
    </row>
    <row r="2494" spans="1:20" s="31" customFormat="1" x14ac:dyDescent="0.25">
      <c r="B2494" s="869" t="s">
        <v>11495</v>
      </c>
      <c r="C2494" s="869"/>
      <c r="D2494" s="869"/>
      <c r="E2494" s="869"/>
      <c r="F2494" s="869"/>
      <c r="G2494" s="869"/>
      <c r="H2494" s="869"/>
      <c r="I2494" s="869"/>
      <c r="J2494" s="870">
        <v>0</v>
      </c>
      <c r="K2494" s="870">
        <v>1000</v>
      </c>
      <c r="L2494" s="871">
        <f t="shared" si="311"/>
        <v>3.0444673964135265E-3</v>
      </c>
      <c r="M2494" s="897"/>
      <c r="O2494" s="736"/>
    </row>
    <row r="2495" spans="1:20" s="31" customFormat="1" x14ac:dyDescent="0.25">
      <c r="B2495" s="869" t="s">
        <v>11496</v>
      </c>
      <c r="C2495" s="869"/>
      <c r="D2495" s="869"/>
      <c r="E2495" s="869"/>
      <c r="F2495" s="869"/>
      <c r="G2495" s="869"/>
      <c r="H2495" s="869"/>
      <c r="I2495" s="869"/>
      <c r="J2495" s="870">
        <v>0</v>
      </c>
      <c r="K2495" s="870">
        <v>75100</v>
      </c>
      <c r="L2495" s="871">
        <f t="shared" si="311"/>
        <v>0.22863950147065584</v>
      </c>
      <c r="M2495" s="897"/>
      <c r="O2495" s="736"/>
    </row>
    <row r="2496" spans="1:20" s="31" customFormat="1" x14ac:dyDescent="0.25">
      <c r="B2496" s="869" t="s">
        <v>11497</v>
      </c>
      <c r="C2496" s="869"/>
      <c r="D2496" s="869"/>
      <c r="E2496" s="869"/>
      <c r="F2496" s="869"/>
      <c r="G2496" s="869"/>
      <c r="H2496" s="869"/>
      <c r="I2496" s="869"/>
      <c r="J2496" s="870">
        <v>0</v>
      </c>
      <c r="K2496" s="870">
        <v>50100</v>
      </c>
      <c r="L2496" s="871">
        <f>K2496/K$2497</f>
        <v>0.15252781656031766</v>
      </c>
      <c r="M2496" s="897"/>
      <c r="O2496" s="736"/>
    </row>
    <row r="2497" spans="1:15" s="115" customFormat="1" x14ac:dyDescent="0.25">
      <c r="B2497" s="864" t="s">
        <v>2172</v>
      </c>
      <c r="C2497" s="864"/>
      <c r="D2497" s="864"/>
      <c r="E2497" s="864"/>
      <c r="F2497" s="864"/>
      <c r="G2497" s="864"/>
      <c r="H2497" s="864"/>
      <c r="I2497" s="864"/>
      <c r="J2497" s="863">
        <f>SUM(J2489:J2496)</f>
        <v>201495.03</v>
      </c>
      <c r="K2497" s="863">
        <f>SUM(K2489:K2496)</f>
        <v>328464.67700000003</v>
      </c>
      <c r="L2497" s="452">
        <f t="shared" ref="L2497" si="312">K2497/K$2487</f>
        <v>1</v>
      </c>
      <c r="M2497" s="894"/>
      <c r="O2497" s="733"/>
    </row>
    <row r="2498" spans="1:15" x14ac:dyDescent="0.25">
      <c r="F2498" s="399"/>
      <c r="G2498" s="399"/>
      <c r="H2498" s="399"/>
    </row>
    <row r="2499" spans="1:15" x14ac:dyDescent="0.25">
      <c r="F2499" s="399"/>
      <c r="G2499" s="399"/>
      <c r="H2499" s="399"/>
    </row>
    <row r="2500" spans="1:15" x14ac:dyDescent="0.25">
      <c r="F2500" s="399"/>
      <c r="G2500" s="399"/>
      <c r="H2500" s="399"/>
    </row>
    <row r="2501" spans="1:15" x14ac:dyDescent="0.25">
      <c r="F2501" s="399"/>
      <c r="G2501" s="399"/>
      <c r="H2501" s="399"/>
    </row>
    <row r="2502" spans="1:15" x14ac:dyDescent="0.25">
      <c r="F2502" s="399"/>
      <c r="G2502" s="399"/>
      <c r="H2502" s="399"/>
    </row>
    <row r="2503" spans="1:15" x14ac:dyDescent="0.25">
      <c r="F2503" s="399"/>
      <c r="G2503" s="399"/>
      <c r="H2503" s="399"/>
    </row>
    <row r="2504" spans="1:15" x14ac:dyDescent="0.25">
      <c r="F2504" s="399"/>
      <c r="G2504" s="399"/>
      <c r="H2504" s="399"/>
    </row>
    <row r="2505" spans="1:15" x14ac:dyDescent="0.25">
      <c r="F2505" s="399"/>
      <c r="G2505" s="399"/>
      <c r="H2505" s="399"/>
    </row>
    <row r="2506" spans="1:15" x14ac:dyDescent="0.25">
      <c r="F2506" s="399"/>
      <c r="G2506" s="399"/>
      <c r="H2506" s="399"/>
    </row>
    <row r="2507" spans="1:15" x14ac:dyDescent="0.25">
      <c r="F2507" s="399"/>
      <c r="G2507" s="399"/>
      <c r="H2507" s="399"/>
    </row>
    <row r="2508" spans="1:15" x14ac:dyDescent="0.25">
      <c r="F2508" s="399"/>
      <c r="G2508" s="399"/>
      <c r="H2508" s="399"/>
    </row>
    <row r="2509" spans="1:15" s="435" customFormat="1" ht="15.75" x14ac:dyDescent="0.25">
      <c r="B2509" s="999" t="s">
        <v>989</v>
      </c>
      <c r="C2509" s="999"/>
      <c r="D2509" s="481"/>
      <c r="E2509" s="1371" t="s">
        <v>9485</v>
      </c>
      <c r="F2509" s="1371"/>
      <c r="G2509" s="1371"/>
      <c r="H2509" s="1371"/>
      <c r="I2509" s="1371"/>
      <c r="J2509" s="940"/>
      <c r="K2509" s="438"/>
      <c r="L2509" s="449"/>
      <c r="M2509" s="892"/>
      <c r="O2509" s="732"/>
    </row>
    <row r="2510" spans="1:15" s="435" customFormat="1" ht="21.75" customHeight="1" x14ac:dyDescent="0.25">
      <c r="B2510" s="999" t="s">
        <v>458</v>
      </c>
      <c r="C2510" s="999"/>
      <c r="D2510" s="481"/>
      <c r="E2510" s="1371" t="s">
        <v>9234</v>
      </c>
      <c r="F2510" s="1371"/>
      <c r="G2510" s="1371"/>
      <c r="H2510" s="1371"/>
      <c r="I2510" s="1371"/>
      <c r="J2510" s="940"/>
      <c r="K2510" s="438"/>
      <c r="L2510" s="449"/>
      <c r="M2510" s="892"/>
      <c r="O2510" s="732"/>
    </row>
    <row r="2511" spans="1:15" s="435" customFormat="1" ht="15.75" x14ac:dyDescent="0.25">
      <c r="B2511" s="1005" t="s">
        <v>5764</v>
      </c>
      <c r="C2511" s="1005"/>
      <c r="D2511" s="1005"/>
      <c r="E2511" s="1371" t="s">
        <v>749</v>
      </c>
      <c r="F2511" s="1371"/>
      <c r="G2511" s="1371"/>
      <c r="H2511" s="1371"/>
      <c r="I2511" s="1371"/>
      <c r="J2511" s="941"/>
      <c r="K2511" s="438"/>
      <c r="L2511" s="449"/>
      <c r="M2511" s="892"/>
      <c r="O2511" s="732"/>
    </row>
    <row r="2512" spans="1:15" ht="88.5" x14ac:dyDescent="0.25">
      <c r="A2512" s="396"/>
      <c r="B2512" s="1400" t="s">
        <v>2296</v>
      </c>
      <c r="C2512" s="1400"/>
      <c r="D2512" s="1400"/>
      <c r="E2512" s="1384" t="s">
        <v>2297</v>
      </c>
      <c r="F2512" s="1384"/>
      <c r="G2512" s="443" t="s">
        <v>444</v>
      </c>
      <c r="H2512" s="443" t="s">
        <v>2245</v>
      </c>
      <c r="I2512" s="444" t="s">
        <v>5725</v>
      </c>
      <c r="J2512" s="893" t="s">
        <v>11644</v>
      </c>
      <c r="K2512" s="1000" t="s">
        <v>11522</v>
      </c>
      <c r="L2512" s="450" t="s">
        <v>235</v>
      </c>
    </row>
    <row r="2513" spans="1:20" x14ac:dyDescent="0.25">
      <c r="A2513" s="397"/>
      <c r="B2513" s="1382" t="s">
        <v>8699</v>
      </c>
      <c r="C2513" s="1382"/>
      <c r="D2513" s="1382"/>
      <c r="E2513" s="1382"/>
      <c r="F2513" s="1382"/>
      <c r="G2513" s="405"/>
      <c r="H2513" s="405"/>
      <c r="I2513" s="428"/>
      <c r="J2513" s="406">
        <f t="shared" ref="J2513:K2515" si="313">J2514</f>
        <v>0</v>
      </c>
      <c r="K2513" s="406">
        <f t="shared" si="313"/>
        <v>5560.7306500000004</v>
      </c>
      <c r="L2513" s="453">
        <f>K2513/K$2532</f>
        <v>1</v>
      </c>
    </row>
    <row r="2514" spans="1:20" x14ac:dyDescent="0.25">
      <c r="A2514" s="397"/>
      <c r="B2514" s="1383" t="s">
        <v>8812</v>
      </c>
      <c r="C2514" s="1383"/>
      <c r="D2514" s="1383"/>
      <c r="E2514" s="1383"/>
      <c r="F2514" s="1383"/>
      <c r="G2514" s="407"/>
      <c r="H2514" s="407"/>
      <c r="I2514" s="429"/>
      <c r="J2514" s="408">
        <f t="shared" si="313"/>
        <v>0</v>
      </c>
      <c r="K2514" s="408">
        <f t="shared" si="313"/>
        <v>5560.7306500000004</v>
      </c>
      <c r="L2514" s="454">
        <f t="shared" ref="L2514:L2527" si="314">K2514/K$2532</f>
        <v>1</v>
      </c>
    </row>
    <row r="2515" spans="1:20" ht="15" customHeight="1" x14ac:dyDescent="0.25">
      <c r="A2515" s="397"/>
      <c r="B2515" s="1385" t="s">
        <v>8698</v>
      </c>
      <c r="C2515" s="1385"/>
      <c r="D2515" s="1385"/>
      <c r="E2515" s="1385"/>
      <c r="F2515" s="1385"/>
      <c r="G2515" s="401"/>
      <c r="H2515" s="401"/>
      <c r="I2515" s="426"/>
      <c r="J2515" s="402">
        <f t="shared" si="313"/>
        <v>0</v>
      </c>
      <c r="K2515" s="402">
        <f t="shared" si="313"/>
        <v>5560.7306500000004</v>
      </c>
      <c r="L2515" s="451">
        <f t="shared" si="314"/>
        <v>1</v>
      </c>
    </row>
    <row r="2516" spans="1:20" ht="15" customHeight="1" x14ac:dyDescent="0.25">
      <c r="A2516" s="397"/>
      <c r="B2516" s="1386" t="s">
        <v>8706</v>
      </c>
      <c r="C2516" s="1386"/>
      <c r="D2516" s="1386"/>
      <c r="E2516" s="1386"/>
      <c r="F2516" s="1386"/>
      <c r="G2516" s="403"/>
      <c r="H2516" s="403"/>
      <c r="I2516" s="427"/>
      <c r="J2516" s="404">
        <f>SUM(J2517:J2527)</f>
        <v>0</v>
      </c>
      <c r="K2516" s="404">
        <f>SUM(K2517:K2527)+0.04</f>
        <v>5560.7306500000004</v>
      </c>
      <c r="L2516" s="871">
        <f t="shared" si="314"/>
        <v>1</v>
      </c>
    </row>
    <row r="2517" spans="1:20" s="115" customFormat="1" ht="15" customHeight="1" x14ac:dyDescent="0.25">
      <c r="A2517" s="396"/>
      <c r="B2517" s="1398" t="s">
        <v>9473</v>
      </c>
      <c r="C2517" s="1398"/>
      <c r="D2517" s="1398"/>
      <c r="E2517" s="854">
        <v>333901400000000</v>
      </c>
      <c r="F2517" s="855" t="s">
        <v>9012</v>
      </c>
      <c r="G2517" s="468">
        <v>40</v>
      </c>
      <c r="H2517" s="468">
        <v>0</v>
      </c>
      <c r="I2517" s="751"/>
      <c r="J2517" s="789">
        <f>('Parâmetros financeiros Despesa'!E1860)</f>
        <v>0</v>
      </c>
      <c r="K2517" s="789">
        <f>('Parâmetros financeiros Despesa'!F1860*(1+'Parâmetros financeiros Despesa'!F$4)*(1+'Parâmetros financeiros Despesa'!F$7))</f>
        <v>545.16575</v>
      </c>
      <c r="L2517" s="799">
        <f t="shared" si="314"/>
        <v>9.8038510460851033E-2</v>
      </c>
      <c r="M2517" s="894"/>
      <c r="O2517" s="733"/>
    </row>
    <row r="2518" spans="1:20" s="115" customFormat="1" ht="15" customHeight="1" x14ac:dyDescent="0.25">
      <c r="B2518" s="879"/>
      <c r="C2518" s="879"/>
      <c r="D2518" s="880">
        <v>669100</v>
      </c>
      <c r="E2518" s="854">
        <v>333903000000000</v>
      </c>
      <c r="F2518" s="855" t="s">
        <v>9013</v>
      </c>
      <c r="G2518" s="468">
        <v>40</v>
      </c>
      <c r="H2518" s="468">
        <v>0</v>
      </c>
      <c r="I2518" s="751"/>
      <c r="J2518" s="789">
        <f>('Parâmetros financeiros Despesa'!E1861)</f>
        <v>0</v>
      </c>
      <c r="K2518" s="789">
        <f>('Parâmetros financeiros Despesa'!F1861*(1+'Parâmetros financeiros Despesa'!F$4)*(1+'Parâmetros financeiros Despesa'!F$7))</f>
        <v>545.16575</v>
      </c>
      <c r="L2518" s="799">
        <f t="shared" si="314"/>
        <v>9.8038510460851033E-2</v>
      </c>
      <c r="M2518" s="894"/>
      <c r="N2518" s="396"/>
      <c r="O2518" s="463"/>
      <c r="R2518" s="463"/>
      <c r="S2518" s="463"/>
      <c r="T2518" s="463"/>
    </row>
    <row r="2519" spans="1:20" s="115" customFormat="1" ht="15" customHeight="1" x14ac:dyDescent="0.25">
      <c r="B2519" s="1004"/>
      <c r="C2519" s="1004"/>
      <c r="D2519" s="880">
        <v>669200</v>
      </c>
      <c r="E2519" s="854">
        <v>333903200000000</v>
      </c>
      <c r="F2519" s="855" t="s">
        <v>9014</v>
      </c>
      <c r="G2519" s="468">
        <v>40</v>
      </c>
      <c r="H2519" s="468">
        <v>0</v>
      </c>
      <c r="I2519" s="751"/>
      <c r="J2519" s="789">
        <f>('Parâmetros financeiros Despesa'!E1862)</f>
        <v>0</v>
      </c>
      <c r="K2519" s="789">
        <f>('Parâmetros financeiros Despesa'!F1862*(1+'Parâmetros financeiros Despesa'!F$4)*(1+'Parâmetros financeiros Despesa'!F$7))</f>
        <v>545.16575</v>
      </c>
      <c r="L2519" s="799">
        <f t="shared" si="314"/>
        <v>9.8038510460851033E-2</v>
      </c>
      <c r="M2519" s="894"/>
      <c r="N2519" s="396"/>
      <c r="O2519" s="463"/>
      <c r="R2519" s="463"/>
      <c r="S2519" s="463"/>
      <c r="T2519" s="463"/>
    </row>
    <row r="2520" spans="1:20" s="115" customFormat="1" ht="15" customHeight="1" x14ac:dyDescent="0.25">
      <c r="A2520" s="396"/>
      <c r="B2520" s="1398" t="s">
        <v>9474</v>
      </c>
      <c r="C2520" s="1398"/>
      <c r="D2520" s="1398"/>
      <c r="E2520" s="854">
        <v>333903300000000</v>
      </c>
      <c r="F2520" s="855" t="s">
        <v>9478</v>
      </c>
      <c r="G2520" s="468">
        <v>40</v>
      </c>
      <c r="H2520" s="468">
        <v>0</v>
      </c>
      <c r="I2520" s="751"/>
      <c r="J2520" s="789">
        <f>('Parâmetros financeiros Despesa'!E1863)</f>
        <v>0</v>
      </c>
      <c r="K2520" s="789">
        <f>('Parâmetros financeiros Despesa'!F1863*(1+'Parâmetros financeiros Despesa'!F$4)*(1+'Parâmetros financeiros Despesa'!F$7))</f>
        <v>545.16575</v>
      </c>
      <c r="L2520" s="799">
        <f t="shared" si="314"/>
        <v>9.8038510460851033E-2</v>
      </c>
      <c r="M2520" s="894"/>
      <c r="O2520" s="733"/>
    </row>
    <row r="2521" spans="1:20" s="115" customFormat="1" ht="15" customHeight="1" x14ac:dyDescent="0.25">
      <c r="A2521" s="396"/>
      <c r="B2521" s="1004"/>
      <c r="C2521" s="1004"/>
      <c r="D2521" s="1004" t="s">
        <v>9475</v>
      </c>
      <c r="E2521" s="854">
        <v>333903500000000</v>
      </c>
      <c r="F2521" s="855" t="s">
        <v>9479</v>
      </c>
      <c r="G2521" s="468">
        <v>40</v>
      </c>
      <c r="H2521" s="468">
        <v>0</v>
      </c>
      <c r="I2521" s="751"/>
      <c r="J2521" s="789">
        <f>('Parâmetros financeiros Despesa'!E1864)</f>
        <v>0</v>
      </c>
      <c r="K2521" s="789">
        <f>('Parâmetros financeiros Despesa'!F1864*(1+'Parâmetros financeiros Despesa'!F$4)*(1+'Parâmetros financeiros Despesa'!F$7))</f>
        <v>545.16575</v>
      </c>
      <c r="L2521" s="799">
        <f t="shared" si="314"/>
        <v>9.8038510460851033E-2</v>
      </c>
      <c r="M2521" s="894"/>
      <c r="O2521" s="733"/>
    </row>
    <row r="2522" spans="1:20" s="115" customFormat="1" ht="15" customHeight="1" x14ac:dyDescent="0.25">
      <c r="A2522" s="396"/>
      <c r="B2522" s="1004"/>
      <c r="C2522" s="1004"/>
      <c r="D2522" s="1004" t="s">
        <v>9476</v>
      </c>
      <c r="E2522" s="854">
        <v>333903600000000</v>
      </c>
      <c r="F2522" s="855" t="s">
        <v>9480</v>
      </c>
      <c r="G2522" s="468">
        <v>40</v>
      </c>
      <c r="H2522" s="468">
        <v>0</v>
      </c>
      <c r="I2522" s="751"/>
      <c r="J2522" s="789">
        <f>('Parâmetros financeiros Despesa'!E1865)</f>
        <v>0</v>
      </c>
      <c r="K2522" s="789">
        <f>('Parâmetros financeiros Despesa'!F1865*(1+'Parâmetros financeiros Despesa'!F$4)*(1+'Parâmetros financeiros Despesa'!F$7))</f>
        <v>545.16575</v>
      </c>
      <c r="L2522" s="799">
        <f t="shared" si="314"/>
        <v>9.8038510460851033E-2</v>
      </c>
      <c r="M2522" s="894"/>
      <c r="O2522" s="733"/>
    </row>
    <row r="2523" spans="1:20" s="115" customFormat="1" ht="15" customHeight="1" x14ac:dyDescent="0.25">
      <c r="A2523" s="396"/>
      <c r="B2523" s="1004"/>
      <c r="C2523" s="1004"/>
      <c r="D2523" s="1004" t="s">
        <v>9477</v>
      </c>
      <c r="E2523" s="854">
        <v>333903900000000</v>
      </c>
      <c r="F2523" s="855" t="s">
        <v>9481</v>
      </c>
      <c r="G2523" s="468">
        <v>40</v>
      </c>
      <c r="H2523" s="468">
        <v>0</v>
      </c>
      <c r="I2523" s="751"/>
      <c r="J2523" s="789">
        <f>('Parâmetros financeiros Despesa'!E1866)</f>
        <v>0</v>
      </c>
      <c r="K2523" s="789">
        <f>('Parâmetros financeiros Despesa'!F1866*(1+'Parâmetros financeiros Despesa'!F$4)*(1+'Parâmetros financeiros Despesa'!F$7))</f>
        <v>545.16575</v>
      </c>
      <c r="L2523" s="799">
        <f t="shared" si="314"/>
        <v>9.8038510460851033E-2</v>
      </c>
      <c r="M2523" s="894"/>
      <c r="O2523" s="733"/>
    </row>
    <row r="2524" spans="1:20" s="115" customFormat="1" ht="15" customHeight="1" x14ac:dyDescent="0.25">
      <c r="A2524" s="396"/>
      <c r="B2524" s="1004"/>
      <c r="C2524" s="1004"/>
      <c r="D2524" s="1004" t="s">
        <v>9482</v>
      </c>
      <c r="E2524" s="854">
        <v>333904700000000</v>
      </c>
      <c r="F2524" s="855" t="s">
        <v>9483</v>
      </c>
      <c r="G2524" s="468">
        <v>40</v>
      </c>
      <c r="H2524" s="468">
        <v>0</v>
      </c>
      <c r="I2524" s="751"/>
      <c r="J2524" s="789">
        <f>('Parâmetros financeiros Despesa'!E1867)</f>
        <v>0</v>
      </c>
      <c r="K2524" s="789">
        <f>('Parâmetros financeiros Despesa'!F1867*(1+'Parâmetros financeiros Despesa'!F$4)*(1+'Parâmetros financeiros Despesa'!F$7))</f>
        <v>109.03315000000001</v>
      </c>
      <c r="L2524" s="799">
        <f t="shared" si="314"/>
        <v>1.9607702092170207E-2</v>
      </c>
      <c r="M2524" s="894"/>
      <c r="O2524" s="733"/>
    </row>
    <row r="2525" spans="1:20" s="115" customFormat="1" ht="15" customHeight="1" x14ac:dyDescent="0.25">
      <c r="A2525" s="396"/>
      <c r="B2525" s="1398" t="s">
        <v>11492</v>
      </c>
      <c r="C2525" s="1398"/>
      <c r="D2525" s="1398"/>
      <c r="E2525" s="854">
        <v>333909300000000</v>
      </c>
      <c r="F2525" s="855" t="s">
        <v>9015</v>
      </c>
      <c r="G2525" s="468">
        <v>40</v>
      </c>
      <c r="H2525" s="468">
        <v>0</v>
      </c>
      <c r="I2525" s="751"/>
      <c r="J2525" s="789">
        <f>('Parâmetros financeiros Despesa'!E1868)</f>
        <v>0</v>
      </c>
      <c r="K2525" s="789">
        <f>('Parâmetros financeiros Despesa'!F1868*(1+'Parâmetros financeiros Despesa'!F$4)*(1+'Parâmetros financeiros Despesa'!F$7))</f>
        <v>545.16575</v>
      </c>
      <c r="L2525" s="799">
        <f t="shared" si="314"/>
        <v>9.8038510460851033E-2</v>
      </c>
      <c r="M2525" s="894"/>
      <c r="O2525" s="733"/>
    </row>
    <row r="2526" spans="1:20" s="115" customFormat="1" ht="15" customHeight="1" x14ac:dyDescent="0.25">
      <c r="A2526" s="396"/>
      <c r="B2526" s="1398" t="s">
        <v>11493</v>
      </c>
      <c r="C2526" s="1398"/>
      <c r="D2526" s="1398"/>
      <c r="E2526" s="854">
        <v>333933000000000</v>
      </c>
      <c r="F2526" s="855" t="s">
        <v>9016</v>
      </c>
      <c r="G2526" s="468">
        <v>40</v>
      </c>
      <c r="H2526" s="468">
        <v>0</v>
      </c>
      <c r="I2526" s="751"/>
      <c r="J2526" s="789">
        <f>('Parâmetros financeiros Despesa'!E1869)</f>
        <v>0</v>
      </c>
      <c r="K2526" s="789">
        <f>('Parâmetros financeiros Despesa'!F1869*(1+'Parâmetros financeiros Despesa'!F$4)*(1+'Parâmetros financeiros Despesa'!F$7))</f>
        <v>545.16575</v>
      </c>
      <c r="L2526" s="799">
        <f t="shared" si="314"/>
        <v>9.8038510460851033E-2</v>
      </c>
      <c r="M2526" s="894"/>
      <c r="O2526" s="733"/>
    </row>
    <row r="2527" spans="1:20" s="115" customFormat="1" ht="15" customHeight="1" x14ac:dyDescent="0.25">
      <c r="A2527" s="396"/>
      <c r="B2527" s="1398" t="s">
        <v>9484</v>
      </c>
      <c r="C2527" s="1398"/>
      <c r="D2527" s="1398"/>
      <c r="E2527" s="854">
        <v>344905200000000</v>
      </c>
      <c r="F2527" s="855" t="s">
        <v>9017</v>
      </c>
      <c r="G2527" s="468">
        <v>40</v>
      </c>
      <c r="H2527" s="468">
        <v>0</v>
      </c>
      <c r="I2527" s="751"/>
      <c r="J2527" s="789">
        <f>('Parâmetros financeiros Despesa'!E1870)</f>
        <v>0</v>
      </c>
      <c r="K2527" s="789">
        <f>('Parâmetros financeiros Despesa'!F1870*(1+'Parâmetros financeiros Despesa'!F$4)*(1+'Parâmetros financeiros Despesa'!F$7))</f>
        <v>545.16575</v>
      </c>
      <c r="L2527" s="799">
        <f t="shared" si="314"/>
        <v>9.8038510460851033E-2</v>
      </c>
      <c r="M2527" s="894"/>
      <c r="O2527" s="733"/>
    </row>
    <row r="2528" spans="1:20" s="115" customFormat="1" ht="15" customHeight="1" x14ac:dyDescent="0.25">
      <c r="A2528" s="396"/>
      <c r="B2528" s="1004"/>
      <c r="C2528" s="1004"/>
      <c r="D2528" s="1004"/>
      <c r="E2528" s="854"/>
      <c r="F2528" s="855"/>
      <c r="G2528" s="468"/>
      <c r="H2528" s="468"/>
      <c r="I2528" s="751"/>
      <c r="J2528" s="789"/>
      <c r="K2528" s="789"/>
      <c r="L2528" s="799"/>
      <c r="M2528" s="894"/>
      <c r="O2528" s="733"/>
    </row>
    <row r="2529" spans="1:15" s="115" customFormat="1" ht="16.5" customHeight="1" x14ac:dyDescent="0.25">
      <c r="A2529" s="396"/>
      <c r="B2529" s="1395" t="s">
        <v>2172</v>
      </c>
      <c r="C2529" s="1395"/>
      <c r="D2529" s="1395"/>
      <c r="E2529" s="1395"/>
      <c r="F2529" s="1395"/>
      <c r="G2529" s="1395"/>
      <c r="H2529" s="1395"/>
      <c r="I2529" s="1395"/>
      <c r="J2529" s="1023">
        <f>J2516</f>
        <v>0</v>
      </c>
      <c r="K2529" s="1023">
        <f>K2516</f>
        <v>5560.7306500000004</v>
      </c>
      <c r="L2529" s="452">
        <f>K2529/K$2532</f>
        <v>1</v>
      </c>
      <c r="M2529" s="894"/>
      <c r="O2529" s="733"/>
    </row>
    <row r="2530" spans="1:15" ht="15" customHeight="1" x14ac:dyDescent="0.25">
      <c r="B2530" s="864" t="s">
        <v>11469</v>
      </c>
      <c r="C2530" s="864"/>
      <c r="D2530" s="864"/>
      <c r="E2530" s="864"/>
      <c r="F2530" s="864"/>
      <c r="G2530" s="864"/>
      <c r="H2530" s="864"/>
      <c r="I2530" s="864"/>
      <c r="J2530" s="863"/>
      <c r="K2530" s="863"/>
      <c r="L2530" s="452"/>
    </row>
    <row r="2531" spans="1:15" x14ac:dyDescent="0.25">
      <c r="B2531" s="869" t="s">
        <v>745</v>
      </c>
      <c r="C2531" s="869"/>
      <c r="D2531" s="869"/>
      <c r="E2531" s="869"/>
      <c r="F2531" s="869"/>
      <c r="G2531" s="869"/>
      <c r="H2531" s="869"/>
      <c r="I2531" s="869"/>
      <c r="J2531" s="870">
        <f>J2529</f>
        <v>0</v>
      </c>
      <c r="K2531" s="870">
        <f>K2529</f>
        <v>5560.7306500000004</v>
      </c>
      <c r="L2531" s="871">
        <f>K2531/K$2532</f>
        <v>1</v>
      </c>
    </row>
    <row r="2532" spans="1:15" s="115" customFormat="1" x14ac:dyDescent="0.25">
      <c r="B2532" s="864" t="s">
        <v>2172</v>
      </c>
      <c r="C2532" s="864"/>
      <c r="D2532" s="864"/>
      <c r="E2532" s="864"/>
      <c r="F2532" s="864"/>
      <c r="G2532" s="864"/>
      <c r="H2532" s="864"/>
      <c r="I2532" s="864"/>
      <c r="J2532" s="863">
        <f>SUM(J2531:J2531)</f>
        <v>0</v>
      </c>
      <c r="K2532" s="863">
        <f>SUM(K2531:K2531)</f>
        <v>5560.7306500000004</v>
      </c>
      <c r="L2532" s="452">
        <f>K2532/K$2532</f>
        <v>1</v>
      </c>
      <c r="M2532" s="894"/>
      <c r="O2532" s="733"/>
    </row>
    <row r="2534" spans="1:15" s="435" customFormat="1" ht="15.75" x14ac:dyDescent="0.25">
      <c r="B2534" s="999" t="s">
        <v>989</v>
      </c>
      <c r="C2534" s="999"/>
      <c r="D2534" s="481"/>
      <c r="E2534" s="1371" t="s">
        <v>9486</v>
      </c>
      <c r="F2534" s="1371"/>
      <c r="G2534" s="1371"/>
      <c r="H2534" s="1371"/>
      <c r="I2534" s="1371"/>
      <c r="J2534" s="940"/>
      <c r="L2534" s="449"/>
      <c r="M2534" s="892"/>
      <c r="O2534" s="732"/>
    </row>
    <row r="2535" spans="1:15" s="435" customFormat="1" ht="18.75" customHeight="1" x14ac:dyDescent="0.25">
      <c r="B2535" s="999" t="s">
        <v>458</v>
      </c>
      <c r="C2535" s="999"/>
      <c r="D2535" s="481"/>
      <c r="E2535" s="1371" t="s">
        <v>8697</v>
      </c>
      <c r="F2535" s="1371"/>
      <c r="G2535" s="1371"/>
      <c r="H2535" s="1371"/>
      <c r="I2535" s="1371"/>
      <c r="J2535" s="940"/>
      <c r="L2535" s="449"/>
      <c r="M2535" s="892"/>
      <c r="O2535" s="732"/>
    </row>
    <row r="2536" spans="1:15" s="435" customFormat="1" ht="15.75" x14ac:dyDescent="0.25">
      <c r="B2536" s="1005" t="s">
        <v>5764</v>
      </c>
      <c r="C2536" s="1005"/>
      <c r="D2536" s="1005"/>
      <c r="E2536" s="1371" t="s">
        <v>749</v>
      </c>
      <c r="F2536" s="1371"/>
      <c r="G2536" s="1371"/>
      <c r="H2536" s="1371"/>
      <c r="I2536" s="1371"/>
      <c r="J2536" s="941"/>
      <c r="L2536" s="449"/>
      <c r="M2536" s="892"/>
      <c r="O2536" s="732"/>
    </row>
    <row r="2537" spans="1:15" ht="88.5" x14ac:dyDescent="0.25">
      <c r="A2537" s="396"/>
      <c r="B2537" s="1400" t="s">
        <v>2296</v>
      </c>
      <c r="C2537" s="1400"/>
      <c r="D2537" s="1400"/>
      <c r="E2537" s="1384" t="s">
        <v>2297</v>
      </c>
      <c r="F2537" s="1384"/>
      <c r="G2537" s="443" t="s">
        <v>444</v>
      </c>
      <c r="H2537" s="443" t="s">
        <v>2245</v>
      </c>
      <c r="I2537" s="444" t="s">
        <v>5725</v>
      </c>
      <c r="J2537" s="893" t="s">
        <v>11644</v>
      </c>
      <c r="K2537" s="1000" t="s">
        <v>11522</v>
      </c>
      <c r="L2537" s="450" t="s">
        <v>235</v>
      </c>
    </row>
    <row r="2538" spans="1:15" x14ac:dyDescent="0.25">
      <c r="A2538" s="397"/>
      <c r="B2538" s="1382" t="s">
        <v>7831</v>
      </c>
      <c r="C2538" s="1382"/>
      <c r="D2538" s="1382"/>
      <c r="E2538" s="1382"/>
      <c r="F2538" s="1382"/>
      <c r="G2538" s="405"/>
      <c r="H2538" s="405"/>
      <c r="I2538" s="428"/>
      <c r="J2538" s="406">
        <f t="shared" ref="J2538:K2540" si="315">J2539</f>
        <v>962.99</v>
      </c>
      <c r="K2538" s="406">
        <f t="shared" si="315"/>
        <v>4470.3691500000004</v>
      </c>
      <c r="L2538" s="453">
        <f>K2538/K$2583</f>
        <v>8.3801835048116485E-3</v>
      </c>
    </row>
    <row r="2539" spans="1:15" x14ac:dyDescent="0.25">
      <c r="A2539" s="397"/>
      <c r="B2539" s="1383" t="s">
        <v>2290</v>
      </c>
      <c r="C2539" s="1383"/>
      <c r="D2539" s="1383"/>
      <c r="E2539" s="1383"/>
      <c r="F2539" s="1383"/>
      <c r="G2539" s="407"/>
      <c r="H2539" s="407"/>
      <c r="I2539" s="429"/>
      <c r="J2539" s="408">
        <f t="shared" si="315"/>
        <v>962.99</v>
      </c>
      <c r="K2539" s="408">
        <f t="shared" si="315"/>
        <v>4470.3691500000004</v>
      </c>
      <c r="L2539" s="454">
        <f>K2539/K$2583</f>
        <v>8.3801835048116485E-3</v>
      </c>
    </row>
    <row r="2540" spans="1:15" x14ac:dyDescent="0.25">
      <c r="A2540" s="397"/>
      <c r="B2540" s="1385" t="s">
        <v>9489</v>
      </c>
      <c r="C2540" s="1385"/>
      <c r="D2540" s="1385"/>
      <c r="E2540" s="1385"/>
      <c r="F2540" s="1385"/>
      <c r="G2540" s="401"/>
      <c r="H2540" s="401"/>
      <c r="I2540" s="426"/>
      <c r="J2540" s="402">
        <f t="shared" si="315"/>
        <v>962.99</v>
      </c>
      <c r="K2540" s="402">
        <f t="shared" si="315"/>
        <v>4470.3691500000004</v>
      </c>
      <c r="L2540" s="451">
        <f>K2540/K$2583</f>
        <v>8.3801835048116485E-3</v>
      </c>
    </row>
    <row r="2541" spans="1:15" x14ac:dyDescent="0.25">
      <c r="A2541" s="397"/>
      <c r="B2541" s="1386" t="s">
        <v>9487</v>
      </c>
      <c r="C2541" s="1386"/>
      <c r="D2541" s="1386"/>
      <c r="E2541" s="1386"/>
      <c r="F2541" s="1386"/>
      <c r="G2541" s="403"/>
      <c r="H2541" s="403"/>
      <c r="I2541" s="427"/>
      <c r="J2541" s="404">
        <f>SUM(J2542:J2546)-0.01</f>
        <v>962.99</v>
      </c>
      <c r="K2541" s="404">
        <f>SUM(K2542:K2546)+0.01</f>
        <v>4470.3691500000004</v>
      </c>
      <c r="L2541" s="452">
        <f>K2541/K$2583</f>
        <v>8.3801835048116485E-3</v>
      </c>
    </row>
    <row r="2542" spans="1:15" ht="30" x14ac:dyDescent="0.25">
      <c r="A2542" s="396"/>
      <c r="B2542" s="1396">
        <v>700000</v>
      </c>
      <c r="C2542" s="1396"/>
      <c r="D2542" s="1396"/>
      <c r="E2542" s="854">
        <v>333904700000000</v>
      </c>
      <c r="F2542" s="1017" t="s">
        <v>9528</v>
      </c>
      <c r="G2542" s="468">
        <v>1</v>
      </c>
      <c r="H2542" s="468">
        <v>0</v>
      </c>
      <c r="I2542" s="751"/>
      <c r="J2542" s="789">
        <f>('Parâmetros financeiros Despesa'!E1876)</f>
        <v>0</v>
      </c>
      <c r="K2542" s="789">
        <f>('Parâmetros financeiros Despesa'!F1876*(1+'Parâmetros financeiros Despesa'!F$4)*(1+'Parâmetros financeiros Despesa'!F$7))</f>
        <v>109.03315000000001</v>
      </c>
      <c r="L2542" s="799">
        <f>K2542/K$2583</f>
        <v>2.0439426240843089E-4</v>
      </c>
      <c r="M2542" s="894"/>
      <c r="N2542" s="796"/>
    </row>
    <row r="2543" spans="1:15" s="115" customFormat="1" ht="30" x14ac:dyDescent="0.25">
      <c r="A2543" s="396"/>
      <c r="B2543" s="1396">
        <v>700100</v>
      </c>
      <c r="C2543" s="1396"/>
      <c r="D2543" s="1396"/>
      <c r="E2543" s="854">
        <v>344903000000000</v>
      </c>
      <c r="F2543" s="855" t="s">
        <v>9529</v>
      </c>
      <c r="G2543" s="468">
        <v>1</v>
      </c>
      <c r="H2543" s="468">
        <v>0</v>
      </c>
      <c r="I2543" s="751"/>
      <c r="J2543" s="789">
        <f>('Parâmetros financeiros Despesa'!E1877)</f>
        <v>0</v>
      </c>
      <c r="K2543" s="789">
        <f>('Parâmetros financeiros Despesa'!F1877*(1+'Parâmetros financeiros Despesa'!F$4)*(1+'Parâmetros financeiros Despesa'!F$7))</f>
        <v>545.16575</v>
      </c>
      <c r="L2543" s="799">
        <f t="shared" ref="L2543:L2546" si="316">K2543/K$2583</f>
        <v>1.0219713120421545E-3</v>
      </c>
      <c r="M2543" s="894"/>
      <c r="N2543" s="796"/>
      <c r="O2543" s="733"/>
    </row>
    <row r="2544" spans="1:15" s="457" customFormat="1" ht="30" x14ac:dyDescent="0.25">
      <c r="A2544" s="396"/>
      <c r="B2544" s="1398" t="s">
        <v>9490</v>
      </c>
      <c r="C2544" s="1398"/>
      <c r="D2544" s="1398"/>
      <c r="E2544" s="854">
        <v>344903600000000</v>
      </c>
      <c r="F2544" s="855" t="s">
        <v>9530</v>
      </c>
      <c r="G2544" s="468">
        <v>1</v>
      </c>
      <c r="H2544" s="468">
        <v>0</v>
      </c>
      <c r="I2544" s="751"/>
      <c r="J2544" s="789">
        <f>('Parâmetros financeiros Despesa'!E1878)</f>
        <v>0</v>
      </c>
      <c r="K2544" s="789">
        <f>('Parâmetros financeiros Despesa'!F1878*(1+'Parâmetros financeiros Despesa'!F$4)*(1+'Parâmetros financeiros Despesa'!F$7))</f>
        <v>545.16575</v>
      </c>
      <c r="L2544" s="799">
        <f t="shared" si="316"/>
        <v>1.0219713120421545E-3</v>
      </c>
      <c r="M2544" s="894"/>
      <c r="N2544" s="796"/>
      <c r="O2544" s="734"/>
    </row>
    <row r="2545" spans="1:15" s="457" customFormat="1" ht="30" x14ac:dyDescent="0.25">
      <c r="A2545" s="396"/>
      <c r="B2545" s="1398" t="s">
        <v>9491</v>
      </c>
      <c r="C2545" s="1398"/>
      <c r="D2545" s="1398"/>
      <c r="E2545" s="854">
        <v>344903900000000</v>
      </c>
      <c r="F2545" s="855" t="s">
        <v>9531</v>
      </c>
      <c r="G2545" s="468">
        <v>1</v>
      </c>
      <c r="H2545" s="468">
        <v>0</v>
      </c>
      <c r="I2545" s="751"/>
      <c r="J2545" s="789">
        <f>('Parâmetros financeiros Despesa'!E1879)</f>
        <v>0</v>
      </c>
      <c r="K2545" s="789">
        <f>('Parâmetros financeiros Despesa'!F1879*(1+'Parâmetros financeiros Despesa'!F$4)*(1+'Parâmetros financeiros Despesa'!F$7))</f>
        <v>545.16575</v>
      </c>
      <c r="L2545" s="799">
        <f t="shared" si="316"/>
        <v>1.0219713120421545E-3</v>
      </c>
      <c r="M2545" s="894"/>
      <c r="N2545" s="796"/>
      <c r="O2545" s="734"/>
    </row>
    <row r="2546" spans="1:15" s="457" customFormat="1" ht="30" x14ac:dyDescent="0.25">
      <c r="A2546" s="396"/>
      <c r="B2546" s="1398" t="s">
        <v>9492</v>
      </c>
      <c r="C2546" s="1398"/>
      <c r="D2546" s="1398"/>
      <c r="E2546" s="854">
        <v>344905200000000</v>
      </c>
      <c r="F2546" s="855" t="s">
        <v>9532</v>
      </c>
      <c r="G2546" s="468">
        <v>1</v>
      </c>
      <c r="H2546" s="468">
        <v>0</v>
      </c>
      <c r="I2546" s="751"/>
      <c r="J2546" s="789">
        <f>('Parâmetros financeiros Despesa'!E1880)</f>
        <v>963</v>
      </c>
      <c r="K2546" s="789">
        <f>('Parâmetros financeiros Despesa'!F1880*(1+'Parâmetros financeiros Despesa'!F$4)*(1+'Parâmetros financeiros Despesa'!F$7))</f>
        <v>2725.8287500000001</v>
      </c>
      <c r="L2546" s="799">
        <f t="shared" si="316"/>
        <v>5.1098565602107722E-3</v>
      </c>
      <c r="M2546" s="894"/>
      <c r="N2546" s="796"/>
      <c r="O2546" s="734"/>
    </row>
    <row r="2547" spans="1:15" x14ac:dyDescent="0.25">
      <c r="A2547" s="397"/>
      <c r="B2547" s="1382" t="s">
        <v>7831</v>
      </c>
      <c r="C2547" s="1382"/>
      <c r="D2547" s="1382"/>
      <c r="E2547" s="1382"/>
      <c r="F2547" s="1382"/>
      <c r="G2547" s="405"/>
      <c r="H2547" s="405"/>
      <c r="I2547" s="428"/>
      <c r="J2547" s="406">
        <f t="shared" ref="J2547:K2548" si="317">J2548</f>
        <v>411937.17496249999</v>
      </c>
      <c r="K2547" s="406">
        <f t="shared" si="317"/>
        <v>497791.39773382404</v>
      </c>
      <c r="L2547" s="453">
        <f>K2547/K$2583</f>
        <v>0.93316303870031103</v>
      </c>
    </row>
    <row r="2548" spans="1:15" x14ac:dyDescent="0.25">
      <c r="A2548" s="397"/>
      <c r="B2548" s="1383" t="s">
        <v>2290</v>
      </c>
      <c r="C2548" s="1383"/>
      <c r="D2548" s="1383"/>
      <c r="E2548" s="1383"/>
      <c r="F2548" s="1383"/>
      <c r="G2548" s="407"/>
      <c r="H2548" s="407"/>
      <c r="I2548" s="429"/>
      <c r="J2548" s="408">
        <f t="shared" si="317"/>
        <v>411937.17496249999</v>
      </c>
      <c r="K2548" s="408">
        <f t="shared" si="317"/>
        <v>497791.39773382404</v>
      </c>
      <c r="L2548" s="454">
        <f>K2548/K$2583</f>
        <v>0.93316303870031103</v>
      </c>
    </row>
    <row r="2549" spans="1:15" x14ac:dyDescent="0.25">
      <c r="A2549" s="397"/>
      <c r="B2549" s="1386" t="s">
        <v>9494</v>
      </c>
      <c r="C2549" s="1386"/>
      <c r="D2549" s="1386"/>
      <c r="E2549" s="1386"/>
      <c r="F2549" s="1386"/>
      <c r="G2549" s="403"/>
      <c r="H2549" s="403"/>
      <c r="I2549" s="427"/>
      <c r="J2549" s="404">
        <f>J2550-0.01</f>
        <v>411937.17496249999</v>
      </c>
      <c r="K2549" s="404">
        <f>K2550-0.01</f>
        <v>497791.39773382404</v>
      </c>
      <c r="L2549" s="452">
        <f>K2549/K$2583</f>
        <v>0.93316303870031103</v>
      </c>
    </row>
    <row r="2550" spans="1:15" x14ac:dyDescent="0.25">
      <c r="A2550" s="397"/>
      <c r="B2550" s="1385" t="s">
        <v>9489</v>
      </c>
      <c r="C2550" s="1385"/>
      <c r="D2550" s="1385"/>
      <c r="E2550" s="1385"/>
      <c r="F2550" s="1385"/>
      <c r="G2550" s="401"/>
      <c r="H2550" s="401"/>
      <c r="I2550" s="426"/>
      <c r="J2550" s="402">
        <f>SUM(J2551:J2566)</f>
        <v>411937.1849625</v>
      </c>
      <c r="K2550" s="402">
        <f>SUM(K2551:K2566)+0.02</f>
        <v>497791.40773382405</v>
      </c>
      <c r="L2550" s="451">
        <f>K2550/K$2583</f>
        <v>0.93316305744637695</v>
      </c>
    </row>
    <row r="2551" spans="1:15" s="115" customFormat="1" x14ac:dyDescent="0.25">
      <c r="A2551" s="396"/>
      <c r="B2551" s="1398" t="s">
        <v>9495</v>
      </c>
      <c r="C2551" s="1398"/>
      <c r="D2551" s="1398"/>
      <c r="E2551" s="854">
        <v>331900400000000</v>
      </c>
      <c r="F2551" s="855" t="s">
        <v>9507</v>
      </c>
      <c r="G2551" s="468">
        <v>1</v>
      </c>
      <c r="H2551" s="468">
        <v>0</v>
      </c>
      <c r="I2551" s="751"/>
      <c r="J2551" s="789">
        <f>(('Parâmetros financeiros Despesa'!E1882))</f>
        <v>29722.850762499998</v>
      </c>
      <c r="K2551" s="789">
        <f>(('Parâmetros financeiros Despesa'!F1882)*2.05+(('Parâmetros financeiros Despesa'!F1882)*11.28)*(1+'Parâmetros financeiros Despesa'!F$4)*(1+'Parâmetros financeiros Despesa'!F$8))*(1+'Parâmetros financeiros Despesa'!F$80)</f>
        <v>38527.392595402911</v>
      </c>
      <c r="L2551" s="799">
        <f t="shared" ref="L2551:L2566" si="318">K2551/K$2583</f>
        <v>7.2223704369335562E-2</v>
      </c>
      <c r="M2551" s="894"/>
      <c r="O2551" s="733"/>
    </row>
    <row r="2552" spans="1:15" s="115" customFormat="1" x14ac:dyDescent="0.25">
      <c r="A2552" s="396"/>
      <c r="B2552" s="1004"/>
      <c r="C2552" s="1004"/>
      <c r="D2552" s="1004" t="s">
        <v>11601</v>
      </c>
      <c r="E2552" s="854">
        <v>331900800000000</v>
      </c>
      <c r="F2552" s="855" t="s">
        <v>11602</v>
      </c>
      <c r="G2552" s="468">
        <v>1</v>
      </c>
      <c r="H2552" s="468">
        <v>0</v>
      </c>
      <c r="I2552" s="751"/>
      <c r="J2552" s="789">
        <f>(('Parâmetros financeiros Despesa'!E1883))</f>
        <v>8775</v>
      </c>
      <c r="K2552" s="789">
        <f>(('Parâmetros financeiros Despesa'!F1883)*2.05+(('Parâmetros financeiros Despesa'!F1883)*11.28)*(1+'Parâmetros financeiros Despesa'!F$4)*(1+'Parâmetros financeiros Despesa'!F$8))*(1+'Parâmetros financeiros Despesa'!F$80)</f>
        <v>11374.342007974499</v>
      </c>
      <c r="L2552" s="799">
        <f t="shared" si="318"/>
        <v>2.132241657790478E-2</v>
      </c>
      <c r="M2552" s="894"/>
      <c r="O2552" s="733"/>
    </row>
    <row r="2553" spans="1:15" s="115" customFormat="1" ht="30" x14ac:dyDescent="0.25">
      <c r="A2553" s="396"/>
      <c r="B2553" s="1398" t="s">
        <v>9496</v>
      </c>
      <c r="C2553" s="1398"/>
      <c r="D2553" s="1398"/>
      <c r="E2553" s="854">
        <v>331901100000000</v>
      </c>
      <c r="F2553" s="855" t="s">
        <v>9508</v>
      </c>
      <c r="G2553" s="468">
        <v>1</v>
      </c>
      <c r="H2553" s="468">
        <v>0</v>
      </c>
      <c r="I2553" s="751"/>
      <c r="J2553" s="789">
        <f>(('Parâmetros financeiros Despesa'!E1884))</f>
        <v>196180.80919999999</v>
      </c>
      <c r="K2553" s="789">
        <f>(('Parâmetros financeiros Despesa'!F1884)*2.05+(('Parâmetros financeiros Despesa'!F1884)*11.28)*(1+'Parâmetros financeiros Despesa'!F$4)*(1+'Parâmetros financeiros Despesa'!F$8))</f>
        <v>205391.30775414704</v>
      </c>
      <c r="L2553" s="799">
        <f t="shared" si="318"/>
        <v>0.38502790072112852</v>
      </c>
      <c r="M2553" s="894"/>
      <c r="O2553" s="733"/>
    </row>
    <row r="2554" spans="1:15" s="115" customFormat="1" x14ac:dyDescent="0.25">
      <c r="A2554" s="396"/>
      <c r="B2554" s="1398" t="s">
        <v>9497</v>
      </c>
      <c r="C2554" s="1398"/>
      <c r="D2554" s="1398"/>
      <c r="E2554" s="854">
        <v>331901300000000</v>
      </c>
      <c r="F2554" s="855" t="s">
        <v>9509</v>
      </c>
      <c r="G2554" s="468">
        <v>1</v>
      </c>
      <c r="H2554" s="468">
        <v>0</v>
      </c>
      <c r="I2554" s="751"/>
      <c r="J2554" s="789">
        <f>(('Parâmetros financeiros Despesa'!E1885))</f>
        <v>37250.94</v>
      </c>
      <c r="K2554" s="789">
        <f>(K2555+K2553)*'Parâmetros financeiros Despesa'!F80</f>
        <v>59217.221828742564</v>
      </c>
      <c r="L2554" s="799">
        <f t="shared" si="318"/>
        <v>0.11100899476500742</v>
      </c>
      <c r="M2554" s="894"/>
      <c r="O2554" s="733"/>
    </row>
    <row r="2555" spans="1:15" s="115" customFormat="1" x14ac:dyDescent="0.25">
      <c r="A2555" s="396"/>
      <c r="B2555" s="1398" t="s">
        <v>9498</v>
      </c>
      <c r="C2555" s="1398"/>
      <c r="D2555" s="1398"/>
      <c r="E2555" s="854">
        <v>331901600000000</v>
      </c>
      <c r="F2555" s="855" t="s">
        <v>9510</v>
      </c>
      <c r="G2555" s="468">
        <v>1</v>
      </c>
      <c r="H2555" s="468">
        <v>0</v>
      </c>
      <c r="I2555" s="751"/>
      <c r="J2555" s="789">
        <f>(('Parâmetros financeiros Despesa'!E1885))</f>
        <v>37250.94</v>
      </c>
      <c r="K2555" s="789">
        <f>(('Parâmetros financeiros Despesa'!F1885)*2.05+(('Parâmetros financeiros Despesa'!F1885)*11.28)*(1+'Parâmetros financeiros Despesa'!F$4)*(1+'Parâmetros financeiros Despesa'!F$8))</f>
        <v>43322.317237421703</v>
      </c>
      <c r="L2555" s="799">
        <f t="shared" si="318"/>
        <v>8.1212301740955478E-2</v>
      </c>
      <c r="M2555" s="894"/>
      <c r="O2555" s="733"/>
    </row>
    <row r="2556" spans="1:15" s="115" customFormat="1" x14ac:dyDescent="0.25">
      <c r="A2556" s="396"/>
      <c r="B2556" s="1398" t="s">
        <v>9499</v>
      </c>
      <c r="C2556" s="1398"/>
      <c r="D2556" s="1398"/>
      <c r="E2556" s="854">
        <v>333901400000000</v>
      </c>
      <c r="F2556" s="855" t="s">
        <v>9511</v>
      </c>
      <c r="G2556" s="468">
        <v>1</v>
      </c>
      <c r="H2556" s="468">
        <v>0</v>
      </c>
      <c r="I2556" s="751"/>
      <c r="J2556" s="789">
        <f>(('Parâmetros financeiros Despesa'!E1886))</f>
        <v>2937</v>
      </c>
      <c r="K2556" s="789">
        <f>(('Parâmetros financeiros Despesa'!F1886)*2+(('Parâmetros financeiros Despesa'!F1886)*10)*(1+'Parâmetros financeiros Despesa'!F$4)*(1+'Parâmetros financeiros Despesa'!F$8))</f>
        <v>3072.7908063960617</v>
      </c>
      <c r="L2556" s="799">
        <f t="shared" si="318"/>
        <v>5.760273920442825E-3</v>
      </c>
      <c r="M2556" s="894"/>
      <c r="N2556" s="796"/>
      <c r="O2556" s="733"/>
    </row>
    <row r="2557" spans="1:15" s="115" customFormat="1" x14ac:dyDescent="0.25">
      <c r="A2557" s="396"/>
      <c r="B2557" s="1396">
        <v>702500</v>
      </c>
      <c r="C2557" s="1396"/>
      <c r="D2557" s="1396"/>
      <c r="E2557" s="854">
        <v>333903000000000</v>
      </c>
      <c r="F2557" s="855" t="s">
        <v>9512</v>
      </c>
      <c r="G2557" s="468">
        <v>1</v>
      </c>
      <c r="H2557" s="468">
        <v>0</v>
      </c>
      <c r="I2557" s="751"/>
      <c r="J2557" s="789">
        <f>(('Parâmetros financeiros Despesa'!E1888))</f>
        <v>0</v>
      </c>
      <c r="K2557" s="789">
        <f>('Parâmetros financeiros Despesa'!F1887*(1+'Parâmetros financeiros Despesa'!F$4)*(1+'Parâmetros financeiros Despesa'!F$7))</f>
        <v>19817.598212782501</v>
      </c>
      <c r="L2557" s="799">
        <f t="shared" si="318"/>
        <v>3.7150200369413494E-2</v>
      </c>
      <c r="M2557" s="894"/>
      <c r="N2557" s="796"/>
      <c r="O2557" s="733"/>
    </row>
    <row r="2558" spans="1:15" s="115" customFormat="1" x14ac:dyDescent="0.25">
      <c r="A2558" s="396"/>
      <c r="B2558" s="1396">
        <v>702600</v>
      </c>
      <c r="C2558" s="1396"/>
      <c r="D2558" s="1396"/>
      <c r="E2558" s="854">
        <v>333903200000000</v>
      </c>
      <c r="F2558" s="855" t="s">
        <v>9513</v>
      </c>
      <c r="G2558" s="468">
        <v>1</v>
      </c>
      <c r="H2558" s="468">
        <v>0</v>
      </c>
      <c r="I2558" s="751"/>
      <c r="J2558" s="789">
        <f>(('Parâmetros financeiros Despesa'!E1889))</f>
        <v>0</v>
      </c>
      <c r="K2558" s="789">
        <f>('Parâmetros financeiros Despesa'!F1888*(1+'Parâmetros financeiros Despesa'!F$4)*(1+'Parâmetros financeiros Despesa'!F$7))</f>
        <v>1635.4972500000001</v>
      </c>
      <c r="L2558" s="799">
        <f t="shared" si="318"/>
        <v>3.0659139361264632E-3</v>
      </c>
      <c r="M2558" s="894"/>
      <c r="N2558" s="796"/>
      <c r="O2558" s="733"/>
    </row>
    <row r="2559" spans="1:15" s="115" customFormat="1" x14ac:dyDescent="0.25">
      <c r="A2559" s="396"/>
      <c r="B2559" s="1396">
        <v>702700</v>
      </c>
      <c r="C2559" s="1396"/>
      <c r="D2559" s="1396"/>
      <c r="E2559" s="854">
        <v>333903300000000</v>
      </c>
      <c r="F2559" s="855" t="s">
        <v>9514</v>
      </c>
      <c r="G2559" s="468">
        <v>1</v>
      </c>
      <c r="H2559" s="468">
        <v>0</v>
      </c>
      <c r="I2559" s="751"/>
      <c r="J2559" s="789">
        <f>(('Parâmetros financeiros Despesa'!E1890))</f>
        <v>0</v>
      </c>
      <c r="K2559" s="789">
        <f>('Parâmetros financeiros Despesa'!F1889*(1+'Parâmetros financeiros Despesa'!F$4)*(1+'Parâmetros financeiros Despesa'!F$7))</f>
        <v>545.16575</v>
      </c>
      <c r="L2559" s="799">
        <f t="shared" si="318"/>
        <v>1.0219713120421545E-3</v>
      </c>
      <c r="M2559" s="894"/>
      <c r="N2559" s="796"/>
      <c r="O2559" s="733"/>
    </row>
    <row r="2560" spans="1:15" s="115" customFormat="1" x14ac:dyDescent="0.25">
      <c r="A2560" s="396"/>
      <c r="B2560" s="1398" t="s">
        <v>9500</v>
      </c>
      <c r="C2560" s="1398"/>
      <c r="D2560" s="1398"/>
      <c r="E2560" s="854">
        <v>333903500000000</v>
      </c>
      <c r="F2560" s="855" t="s">
        <v>9515</v>
      </c>
      <c r="G2560" s="468">
        <v>1</v>
      </c>
      <c r="H2560" s="468">
        <v>0</v>
      </c>
      <c r="I2560" s="751"/>
      <c r="J2560" s="789">
        <f>(('Parâmetros financeiros Despesa'!E1891))</f>
        <v>11235</v>
      </c>
      <c r="K2560" s="789">
        <f>('Parâmetros financeiros Despesa'!F1890*(1+'Parâmetros financeiros Despesa'!F$4)*(1+'Parâmetros financeiros Despesa'!F$7))</f>
        <v>1635.4972500000001</v>
      </c>
      <c r="L2560" s="799">
        <f t="shared" si="318"/>
        <v>3.0659139361264632E-3</v>
      </c>
      <c r="M2560" s="894"/>
      <c r="N2560" s="796"/>
      <c r="O2560" s="733"/>
    </row>
    <row r="2561" spans="1:15" s="115" customFormat="1" x14ac:dyDescent="0.25">
      <c r="A2561" s="396"/>
      <c r="B2561" s="1398" t="s">
        <v>9501</v>
      </c>
      <c r="C2561" s="1398"/>
      <c r="D2561" s="1398"/>
      <c r="E2561" s="854">
        <v>333903600000000</v>
      </c>
      <c r="F2561" s="855" t="s">
        <v>9516</v>
      </c>
      <c r="G2561" s="468">
        <v>1</v>
      </c>
      <c r="H2561" s="468">
        <v>0</v>
      </c>
      <c r="I2561" s="751"/>
      <c r="J2561" s="789">
        <f>(('Parâmetros financeiros Despesa'!E1892))</f>
        <v>85177.274999999994</v>
      </c>
      <c r="K2561" s="789">
        <f>('Parâmetros financeiros Despesa'!F1891*(1+'Parâmetros financeiros Despesa'!F$4)*(1+'Parâmetros financeiros Despesa'!F$7))</f>
        <v>13083.978000000001</v>
      </c>
      <c r="L2561" s="799">
        <f t="shared" si="318"/>
        <v>2.4527311489011706E-2</v>
      </c>
      <c r="M2561" s="894"/>
      <c r="N2561" s="796"/>
      <c r="O2561" s="733"/>
    </row>
    <row r="2562" spans="1:15" s="115" customFormat="1" x14ac:dyDescent="0.25">
      <c r="A2562" s="396"/>
      <c r="B2562" s="1398" t="s">
        <v>9502</v>
      </c>
      <c r="C2562" s="1398"/>
      <c r="D2562" s="1398"/>
      <c r="E2562" s="854">
        <v>333903900000000</v>
      </c>
      <c r="F2562" s="855" t="s">
        <v>9517</v>
      </c>
      <c r="G2562" s="468">
        <v>1</v>
      </c>
      <c r="H2562" s="468">
        <v>0</v>
      </c>
      <c r="I2562" s="751"/>
      <c r="J2562" s="789">
        <f>(('Parâmetros financeiros Despesa'!E1893))</f>
        <v>0</v>
      </c>
      <c r="K2562" s="789">
        <f>('Parâmetros financeiros Despesa'!F1892*(1+'Parâmetros financeiros Despesa'!F$4)*(1+'Parâmetros financeiros Despesa'!F$7))</f>
        <v>93768.509000000005</v>
      </c>
      <c r="L2562" s="799">
        <f t="shared" si="318"/>
        <v>0.17577906567125057</v>
      </c>
      <c r="M2562" s="894"/>
      <c r="N2562" s="796"/>
      <c r="O2562" s="733"/>
    </row>
    <row r="2563" spans="1:15" s="115" customFormat="1" x14ac:dyDescent="0.25">
      <c r="A2563" s="396"/>
      <c r="B2563" s="1398" t="s">
        <v>9503</v>
      </c>
      <c r="C2563" s="1398"/>
      <c r="D2563" s="1398"/>
      <c r="E2563" s="854">
        <v>333904700000000</v>
      </c>
      <c r="F2563" s="855" t="s">
        <v>9518</v>
      </c>
      <c r="G2563" s="468">
        <v>1</v>
      </c>
      <c r="H2563" s="468">
        <v>0</v>
      </c>
      <c r="I2563" s="751"/>
      <c r="J2563" s="789">
        <f>(('Parâmetros financeiros Despesa'!E1894))</f>
        <v>3407.37</v>
      </c>
      <c r="K2563" s="789">
        <f>('Parâmetros financeiros Despesa'!F1893*(1+'Parâmetros financeiros Despesa'!F$4)*(1+'Parâmetros financeiros Despesa'!F$7))</f>
        <v>654.19889999999998</v>
      </c>
      <c r="L2563" s="799">
        <f t="shared" si="318"/>
        <v>1.2263655744505853E-3</v>
      </c>
      <c r="M2563" s="894"/>
      <c r="N2563" s="796"/>
      <c r="O2563" s="733"/>
    </row>
    <row r="2564" spans="1:15" s="115" customFormat="1" x14ac:dyDescent="0.25">
      <c r="A2564" s="396"/>
      <c r="B2564" s="1398" t="s">
        <v>9504</v>
      </c>
      <c r="C2564" s="1398"/>
      <c r="D2564" s="1398"/>
      <c r="E2564" s="854">
        <v>333904900000000</v>
      </c>
      <c r="F2564" s="855" t="s">
        <v>9519</v>
      </c>
      <c r="G2564" s="468">
        <v>1</v>
      </c>
      <c r="H2564" s="468">
        <v>0</v>
      </c>
      <c r="I2564" s="751"/>
      <c r="J2564" s="789">
        <f>(('Parâmetros financeiros Despesa'!E1895))</f>
        <v>0</v>
      </c>
      <c r="K2564" s="789">
        <f>(('Parâmetros financeiros Despesa'!F1894)*2+(('Parâmetros financeiros Despesa'!F1894)*10)*(1+'Parâmetros financeiros Despesa'!F$4)*(1+'Parâmetros financeiros Despesa'!F$8))</f>
        <v>3564.9081409566725</v>
      </c>
      <c r="L2564" s="799">
        <f t="shared" si="318"/>
        <v>6.6828003228802399E-3</v>
      </c>
      <c r="M2564" s="894"/>
      <c r="N2564" s="796"/>
      <c r="O2564" s="733"/>
    </row>
    <row r="2565" spans="1:15" s="115" customFormat="1" x14ac:dyDescent="0.25">
      <c r="A2565" s="396"/>
      <c r="B2565" s="1398" t="s">
        <v>9505</v>
      </c>
      <c r="C2565" s="1398"/>
      <c r="D2565" s="1398"/>
      <c r="E2565" s="854">
        <v>333909300000000</v>
      </c>
      <c r="F2565" s="855" t="s">
        <v>9520</v>
      </c>
      <c r="G2565" s="468">
        <v>1</v>
      </c>
      <c r="H2565" s="468">
        <v>0</v>
      </c>
      <c r="I2565" s="751"/>
      <c r="J2565" s="789">
        <f>(('Parâmetros financeiros Despesa'!E1896))</f>
        <v>0</v>
      </c>
      <c r="K2565" s="789">
        <f>('Parâmetros financeiros Despesa'!F1895*(1+'Parâmetros financeiros Despesa'!F$4)*(1+'Parâmetros financeiros Despesa'!F$7))</f>
        <v>545.16575</v>
      </c>
      <c r="L2565" s="799">
        <f t="shared" si="318"/>
        <v>1.0219713120421545E-3</v>
      </c>
      <c r="M2565" s="894"/>
      <c r="N2565" s="796"/>
      <c r="O2565" s="733"/>
    </row>
    <row r="2566" spans="1:15" s="115" customFormat="1" x14ac:dyDescent="0.25">
      <c r="A2566" s="396"/>
      <c r="B2566" s="1398" t="s">
        <v>9506</v>
      </c>
      <c r="C2566" s="1398"/>
      <c r="D2566" s="1398"/>
      <c r="E2566" s="854">
        <v>333933000000000</v>
      </c>
      <c r="F2566" s="855" t="s">
        <v>9521</v>
      </c>
      <c r="G2566" s="468">
        <v>1</v>
      </c>
      <c r="H2566" s="468">
        <v>0</v>
      </c>
      <c r="I2566" s="751"/>
      <c r="J2566" s="789">
        <f>(('Parâmetros financeiros Despesa'!E1897))</f>
        <v>0</v>
      </c>
      <c r="K2566" s="789">
        <f>('Parâmetros financeiros Despesa'!F1896*(1+'Parâmetros financeiros Despesa'!F$4)*(1+'Parâmetros financeiros Despesa'!F$7))</f>
        <v>1635.4972500000001</v>
      </c>
      <c r="L2566" s="799">
        <f t="shared" si="318"/>
        <v>3.0659139361264632E-3</v>
      </c>
      <c r="M2566" s="894"/>
      <c r="N2566" s="796"/>
      <c r="O2566" s="733"/>
    </row>
    <row r="2567" spans="1:15" x14ac:dyDescent="0.25">
      <c r="A2567" s="397"/>
      <c r="B2567" s="1382" t="s">
        <v>7831</v>
      </c>
      <c r="C2567" s="1382"/>
      <c r="D2567" s="1382"/>
      <c r="E2567" s="1382"/>
      <c r="F2567" s="1382"/>
      <c r="G2567" s="405"/>
      <c r="H2567" s="405"/>
      <c r="I2567" s="428"/>
      <c r="J2567" s="406">
        <f t="shared" ref="J2567:K2569" si="319">J2568</f>
        <v>16008.535</v>
      </c>
      <c r="K2567" s="406">
        <f t="shared" si="319"/>
        <v>31183.480900000002</v>
      </c>
      <c r="L2567" s="453">
        <f>K2567/K$2583</f>
        <v>5.8456759048811237E-2</v>
      </c>
    </row>
    <row r="2568" spans="1:15" x14ac:dyDescent="0.25">
      <c r="A2568" s="397"/>
      <c r="B2568" s="1383" t="s">
        <v>2290</v>
      </c>
      <c r="C2568" s="1383"/>
      <c r="D2568" s="1383"/>
      <c r="E2568" s="1383"/>
      <c r="F2568" s="1383"/>
      <c r="G2568" s="407"/>
      <c r="H2568" s="407"/>
      <c r="I2568" s="429"/>
      <c r="J2568" s="408">
        <f t="shared" si="319"/>
        <v>16008.535</v>
      </c>
      <c r="K2568" s="408">
        <f t="shared" si="319"/>
        <v>31183.480900000002</v>
      </c>
      <c r="L2568" s="454">
        <f>K2568/K$2583</f>
        <v>5.8456759048811237E-2</v>
      </c>
    </row>
    <row r="2569" spans="1:15" x14ac:dyDescent="0.25">
      <c r="A2569" s="397"/>
      <c r="B2569" s="1385" t="s">
        <v>9489</v>
      </c>
      <c r="C2569" s="1385"/>
      <c r="D2569" s="1385"/>
      <c r="E2569" s="1385"/>
      <c r="F2569" s="1385"/>
      <c r="G2569" s="401"/>
      <c r="H2569" s="401"/>
      <c r="I2569" s="426"/>
      <c r="J2569" s="402">
        <f t="shared" si="319"/>
        <v>16008.535</v>
      </c>
      <c r="K2569" s="402">
        <f t="shared" si="319"/>
        <v>31183.480900000002</v>
      </c>
      <c r="L2569" s="451">
        <f>K2569/K$2583</f>
        <v>5.8456759048811237E-2</v>
      </c>
    </row>
    <row r="2570" spans="1:15" x14ac:dyDescent="0.25">
      <c r="A2570" s="397"/>
      <c r="B2570" s="1386" t="s">
        <v>9493</v>
      </c>
      <c r="C2570" s="1386"/>
      <c r="D2570" s="1386"/>
      <c r="E2570" s="1386"/>
      <c r="F2570" s="1386"/>
      <c r="G2570" s="403"/>
      <c r="H2570" s="403"/>
      <c r="I2570" s="427"/>
      <c r="J2570" s="404">
        <f>SUM(J2571:J2579)-0.02</f>
        <v>16008.535</v>
      </c>
      <c r="K2570" s="404">
        <f>SUM(K2571:K2579)</f>
        <v>31183.480900000002</v>
      </c>
      <c r="L2570" s="452">
        <f>K2570/K$2583</f>
        <v>5.8456759048811237E-2</v>
      </c>
    </row>
    <row r="2571" spans="1:15" s="115" customFormat="1" x14ac:dyDescent="0.25">
      <c r="A2571" s="396"/>
      <c r="B2571" s="1398" t="s">
        <v>9526</v>
      </c>
      <c r="C2571" s="1398"/>
      <c r="D2571" s="1398"/>
      <c r="E2571" s="854">
        <v>333901400000000</v>
      </c>
      <c r="F2571" s="855" t="s">
        <v>9534</v>
      </c>
      <c r="G2571" s="468">
        <v>1</v>
      </c>
      <c r="H2571" s="468">
        <v>0</v>
      </c>
      <c r="I2571" s="751"/>
      <c r="J2571" s="789">
        <f>('Parâmetros financeiros Despesa'!E1898)</f>
        <v>0</v>
      </c>
      <c r="K2571" s="789">
        <f>('Parâmetros financeiros Despesa'!F1898*(1+'Parâmetros financeiros Despesa'!F$4)*(1+'Parâmetros financeiros Despesa'!F$7))</f>
        <v>1090.3315</v>
      </c>
      <c r="L2571" s="799">
        <f t="shared" ref="L2571:L2578" si="320">K2571/K$2583</f>
        <v>2.043942624084309E-3</v>
      </c>
      <c r="M2571" s="894"/>
      <c r="N2571" s="796"/>
      <c r="O2571" s="733"/>
    </row>
    <row r="2572" spans="1:15" s="115" customFormat="1" x14ac:dyDescent="0.25">
      <c r="A2572" s="396"/>
      <c r="B2572" s="1396">
        <v>704100</v>
      </c>
      <c r="C2572" s="1396"/>
      <c r="D2572" s="1396"/>
      <c r="E2572" s="854">
        <v>333903000000000</v>
      </c>
      <c r="F2572" s="855" t="s">
        <v>9533</v>
      </c>
      <c r="G2572" s="468">
        <v>1</v>
      </c>
      <c r="H2572" s="468">
        <v>0</v>
      </c>
      <c r="I2572" s="751"/>
      <c r="J2572" s="789">
        <f>('Parâmetros financeiros Despesa'!E1899)</f>
        <v>12303.03</v>
      </c>
      <c r="K2572" s="789">
        <f>('Parâmetros financeiros Despesa'!F1899*(1+'Parâmetros financeiros Despesa'!F$4)*(1+'Parâmetros financeiros Despesa'!F$7))</f>
        <v>14174.309500000001</v>
      </c>
      <c r="L2572" s="799">
        <f t="shared" si="320"/>
        <v>2.6571254113096018E-2</v>
      </c>
      <c r="M2572" s="894"/>
      <c r="N2572" s="796"/>
      <c r="O2572" s="733"/>
    </row>
    <row r="2573" spans="1:15" s="115" customFormat="1" x14ac:dyDescent="0.25">
      <c r="A2573" s="396"/>
      <c r="B2573" s="1002"/>
      <c r="C2573" s="1002"/>
      <c r="D2573" s="1002">
        <v>704200</v>
      </c>
      <c r="E2573" s="854">
        <v>333903300000000</v>
      </c>
      <c r="F2573" s="855" t="s">
        <v>9540</v>
      </c>
      <c r="G2573" s="468">
        <v>1</v>
      </c>
      <c r="H2573" s="468">
        <v>0</v>
      </c>
      <c r="I2573" s="751"/>
      <c r="J2573" s="789">
        <f>('Parâmetros financeiros Despesa'!E1900)</f>
        <v>0</v>
      </c>
      <c r="K2573" s="789">
        <f>('Parâmetros financeiros Despesa'!F1900*(1+'Parâmetros financeiros Despesa'!F$4)*(1+'Parâmetros financeiros Despesa'!F$7))</f>
        <v>1090.3315</v>
      </c>
      <c r="L2573" s="799">
        <f t="shared" si="320"/>
        <v>2.043942624084309E-3</v>
      </c>
      <c r="M2573" s="894"/>
      <c r="N2573" s="796"/>
      <c r="O2573" s="733"/>
    </row>
    <row r="2574" spans="1:15" s="115" customFormat="1" x14ac:dyDescent="0.25">
      <c r="A2574" s="396"/>
      <c r="B2574" s="1398" t="s">
        <v>9522</v>
      </c>
      <c r="C2574" s="1398"/>
      <c r="D2574" s="1398"/>
      <c r="E2574" s="854">
        <v>333903600000000</v>
      </c>
      <c r="F2574" s="855" t="s">
        <v>9535</v>
      </c>
      <c r="G2574" s="468">
        <v>1</v>
      </c>
      <c r="H2574" s="468">
        <v>0</v>
      </c>
      <c r="I2574" s="751"/>
      <c r="J2574" s="789">
        <f>('Parâmetros financeiros Despesa'!E1901)</f>
        <v>0</v>
      </c>
      <c r="K2574" s="789">
        <f>('Parâmetros financeiros Despesa'!F1901*(1+'Parâmetros financeiros Despesa'!F$4)*(1+'Parâmetros financeiros Despesa'!F$7))</f>
        <v>3270.9945000000002</v>
      </c>
      <c r="L2574" s="799">
        <f t="shared" si="320"/>
        <v>6.1318278722529264E-3</v>
      </c>
      <c r="M2574" s="894"/>
      <c r="N2574" s="796"/>
      <c r="O2574" s="733"/>
    </row>
    <row r="2575" spans="1:15" s="115" customFormat="1" x14ac:dyDescent="0.25">
      <c r="A2575" s="396"/>
      <c r="B2575" s="1398" t="s">
        <v>9524</v>
      </c>
      <c r="C2575" s="1398"/>
      <c r="D2575" s="1398"/>
      <c r="E2575" s="854">
        <v>333903900000000</v>
      </c>
      <c r="F2575" s="855" t="s">
        <v>9536</v>
      </c>
      <c r="G2575" s="468">
        <v>1</v>
      </c>
      <c r="H2575" s="468">
        <v>0</v>
      </c>
      <c r="I2575" s="751"/>
      <c r="J2575" s="789">
        <f>('Parâmetros financeiros Despesa'!E1902)</f>
        <v>3705.5250000000005</v>
      </c>
      <c r="K2575" s="789">
        <f>('Parâmetros financeiros Despesa'!F1902*(1+'Parâmetros financeiros Despesa'!F$4)*(1+'Parâmetros financeiros Despesa'!F$7))</f>
        <v>5451.6575000000003</v>
      </c>
      <c r="L2575" s="799">
        <f t="shared" si="320"/>
        <v>1.0219713120421544E-2</v>
      </c>
      <c r="M2575" s="894"/>
      <c r="N2575" s="796"/>
      <c r="O2575" s="733"/>
    </row>
    <row r="2576" spans="1:15" s="115" customFormat="1" x14ac:dyDescent="0.25">
      <c r="A2576" s="396"/>
      <c r="B2576" s="1398" t="s">
        <v>9523</v>
      </c>
      <c r="C2576" s="1398"/>
      <c r="D2576" s="1398"/>
      <c r="E2576" s="854">
        <v>333904700000000</v>
      </c>
      <c r="F2576" s="855" t="s">
        <v>9537</v>
      </c>
      <c r="G2576" s="468">
        <v>1</v>
      </c>
      <c r="H2576" s="468">
        <v>0</v>
      </c>
      <c r="I2576" s="751"/>
      <c r="J2576" s="789">
        <f>('Parâmetros financeiros Despesa'!E1903)</f>
        <v>0</v>
      </c>
      <c r="K2576" s="789">
        <f>('Parâmetros financeiros Despesa'!F1903*(1+'Parâmetros financeiros Despesa'!F$4)*(1+'Parâmetros financeiros Despesa'!F$7))</f>
        <v>654.19889999999998</v>
      </c>
      <c r="L2576" s="799">
        <f t="shared" si="320"/>
        <v>1.2263655744505853E-3</v>
      </c>
      <c r="M2576" s="894"/>
      <c r="N2576" s="796"/>
      <c r="O2576" s="733"/>
    </row>
    <row r="2577" spans="1:15" s="115" customFormat="1" x14ac:dyDescent="0.25">
      <c r="A2577" s="396"/>
      <c r="B2577" s="1004"/>
      <c r="C2577" s="1004"/>
      <c r="D2577" s="1004" t="s">
        <v>9525</v>
      </c>
      <c r="E2577" s="854">
        <v>333909300000000</v>
      </c>
      <c r="F2577" s="855" t="s">
        <v>9538</v>
      </c>
      <c r="G2577" s="468">
        <v>1</v>
      </c>
      <c r="H2577" s="468">
        <v>0</v>
      </c>
      <c r="I2577" s="751"/>
      <c r="J2577" s="789">
        <f>('Parâmetros financeiros Despesa'!E1904)</f>
        <v>0</v>
      </c>
      <c r="K2577" s="789">
        <f>('Parâmetros financeiros Despesa'!F1904*(1+'Parâmetros financeiros Despesa'!F$4)*(1+'Parâmetros financeiros Despesa'!F$7))</f>
        <v>1635.4972500000001</v>
      </c>
      <c r="L2577" s="799">
        <f t="shared" si="320"/>
        <v>3.0659139361264632E-3</v>
      </c>
      <c r="M2577" s="894"/>
      <c r="N2577" s="796"/>
      <c r="O2577" s="733"/>
    </row>
    <row r="2578" spans="1:15" s="115" customFormat="1" x14ac:dyDescent="0.25">
      <c r="A2578" s="396"/>
      <c r="B2578" s="1398" t="s">
        <v>9527</v>
      </c>
      <c r="C2578" s="1398"/>
      <c r="D2578" s="1398"/>
      <c r="E2578" s="854">
        <v>333933000000000</v>
      </c>
      <c r="F2578" s="855" t="s">
        <v>9539</v>
      </c>
      <c r="G2578" s="468">
        <v>1</v>
      </c>
      <c r="H2578" s="468">
        <v>0</v>
      </c>
      <c r="I2578" s="751"/>
      <c r="J2578" s="789">
        <f>('Parâmetros financeiros Despesa'!E1905)</f>
        <v>0</v>
      </c>
      <c r="K2578" s="789">
        <f>('Parâmetros financeiros Despesa'!F1905*(1+'Parâmetros financeiros Despesa'!F$4)*(1+'Parâmetros financeiros Despesa'!F$7))</f>
        <v>2180.663</v>
      </c>
      <c r="L2578" s="799">
        <f t="shared" si="320"/>
        <v>4.0878852481686179E-3</v>
      </c>
      <c r="M2578" s="894"/>
      <c r="N2578" s="796"/>
      <c r="O2578" s="733"/>
    </row>
    <row r="2579" spans="1:15" s="115" customFormat="1" x14ac:dyDescent="0.25">
      <c r="A2579" s="396"/>
      <c r="B2579" s="1398" t="s">
        <v>9542</v>
      </c>
      <c r="C2579" s="1398"/>
      <c r="D2579" s="1398"/>
      <c r="E2579" s="854">
        <v>344905200000000</v>
      </c>
      <c r="F2579" s="855" t="s">
        <v>9541</v>
      </c>
      <c r="G2579" s="468">
        <v>1</v>
      </c>
      <c r="H2579" s="468">
        <v>0</v>
      </c>
      <c r="I2579" s="751"/>
      <c r="J2579" s="789">
        <f>('Parâmetros financeiros Despesa'!E1906)</f>
        <v>0</v>
      </c>
      <c r="K2579" s="789">
        <f>('Parâmetros financeiros Despesa'!F1906*(1+'Parâmetros financeiros Despesa'!F$4)*(1+'Parâmetros financeiros Despesa'!F$7))</f>
        <v>1635.4972500000001</v>
      </c>
      <c r="L2579" s="799">
        <f>K2579/K$2583</f>
        <v>3.0659139361264632E-3</v>
      </c>
      <c r="M2579" s="894"/>
      <c r="N2579" s="796"/>
      <c r="O2579" s="733"/>
    </row>
    <row r="2580" spans="1:15" s="115" customFormat="1" x14ac:dyDescent="0.25">
      <c r="A2580" s="396"/>
      <c r="B2580" s="1395" t="s">
        <v>2172</v>
      </c>
      <c r="C2580" s="1395"/>
      <c r="D2580" s="1395"/>
      <c r="E2580" s="1395"/>
      <c r="F2580" s="1395"/>
      <c r="G2580" s="1395"/>
      <c r="H2580" s="1395"/>
      <c r="I2580" s="1395"/>
      <c r="J2580" s="1023">
        <f>J2570+J2549+J2541+0.01</f>
        <v>428908.70996249997</v>
      </c>
      <c r="K2580" s="1023">
        <f>K2570+K2549+K2541+0.01</f>
        <v>533445.25778382411</v>
      </c>
      <c r="L2580" s="452">
        <f>K2580/K$2583</f>
        <v>1</v>
      </c>
      <c r="M2580" s="894"/>
      <c r="O2580" s="733"/>
    </row>
    <row r="2581" spans="1:15" x14ac:dyDescent="0.25">
      <c r="B2581" s="864" t="s">
        <v>11469</v>
      </c>
      <c r="C2581" s="864"/>
      <c r="D2581" s="864"/>
      <c r="E2581" s="864"/>
      <c r="F2581" s="864"/>
      <c r="G2581" s="864"/>
      <c r="H2581" s="864"/>
      <c r="I2581" s="864"/>
      <c r="J2581" s="863"/>
      <c r="K2581" s="863"/>
      <c r="L2581" s="452"/>
    </row>
    <row r="2582" spans="1:15" x14ac:dyDescent="0.25">
      <c r="B2582" s="869" t="s">
        <v>745</v>
      </c>
      <c r="C2582" s="869"/>
      <c r="D2582" s="869"/>
      <c r="E2582" s="869"/>
      <c r="F2582" s="869"/>
      <c r="G2582" s="869"/>
      <c r="H2582" s="869"/>
      <c r="I2582" s="869"/>
      <c r="J2582" s="870">
        <f>J2580</f>
        <v>428908.70996249997</v>
      </c>
      <c r="K2582" s="870">
        <f>K2580</f>
        <v>533445.25778382411</v>
      </c>
      <c r="L2582" s="871">
        <f>K2582/K$2583</f>
        <v>1</v>
      </c>
    </row>
    <row r="2583" spans="1:15" s="115" customFormat="1" x14ac:dyDescent="0.25">
      <c r="B2583" s="864" t="s">
        <v>2172</v>
      </c>
      <c r="C2583" s="864"/>
      <c r="D2583" s="864"/>
      <c r="E2583" s="864"/>
      <c r="F2583" s="864"/>
      <c r="G2583" s="864"/>
      <c r="H2583" s="864"/>
      <c r="I2583" s="864"/>
      <c r="J2583" s="863">
        <f>SUM(J2582:J2582)</f>
        <v>428908.70996249997</v>
      </c>
      <c r="K2583" s="863">
        <f>SUM(K2582:K2582)</f>
        <v>533445.25778382411</v>
      </c>
      <c r="L2583" s="452">
        <f>K2583/K$2583</f>
        <v>1</v>
      </c>
      <c r="N2583" s="796"/>
      <c r="O2583" s="733"/>
    </row>
    <row r="2589" spans="1:15" s="435" customFormat="1" ht="15.75" x14ac:dyDescent="0.25">
      <c r="B2589" s="999" t="s">
        <v>989</v>
      </c>
      <c r="C2589" s="999"/>
      <c r="D2589" s="481"/>
      <c r="E2589" s="1371" t="s">
        <v>9486</v>
      </c>
      <c r="F2589" s="1371"/>
      <c r="G2589" s="1371"/>
      <c r="H2589" s="1371"/>
      <c r="I2589" s="1371"/>
      <c r="J2589" s="940"/>
      <c r="K2589" s="438"/>
      <c r="L2589" s="449"/>
      <c r="M2589" s="892"/>
      <c r="O2589" s="732"/>
    </row>
    <row r="2590" spans="1:15" s="435" customFormat="1" ht="18" customHeight="1" x14ac:dyDescent="0.25">
      <c r="B2590" s="999" t="s">
        <v>458</v>
      </c>
      <c r="C2590" s="999"/>
      <c r="D2590" s="481"/>
      <c r="E2590" s="1371" t="s">
        <v>8777</v>
      </c>
      <c r="F2590" s="1371"/>
      <c r="G2590" s="1371"/>
      <c r="H2590" s="1371"/>
      <c r="I2590" s="1371"/>
      <c r="J2590" s="940"/>
      <c r="K2590" s="438"/>
      <c r="L2590" s="449"/>
      <c r="M2590" s="892"/>
      <c r="O2590" s="732"/>
    </row>
    <row r="2591" spans="1:15" s="435" customFormat="1" ht="15.75" x14ac:dyDescent="0.25">
      <c r="B2591" s="1005" t="s">
        <v>5764</v>
      </c>
      <c r="C2591" s="1005"/>
      <c r="D2591" s="1005"/>
      <c r="E2591" s="1371" t="s">
        <v>749</v>
      </c>
      <c r="F2591" s="1371"/>
      <c r="G2591" s="1371"/>
      <c r="H2591" s="1371"/>
      <c r="I2591" s="1371"/>
      <c r="J2591" s="941"/>
      <c r="K2591" s="438"/>
      <c r="L2591" s="449"/>
      <c r="M2591" s="892"/>
      <c r="O2591" s="732"/>
    </row>
    <row r="2592" spans="1:15" ht="88.5" x14ac:dyDescent="0.25">
      <c r="A2592" s="396"/>
      <c r="B2592" s="1400" t="s">
        <v>2296</v>
      </c>
      <c r="C2592" s="1400"/>
      <c r="D2592" s="1400"/>
      <c r="E2592" s="1384" t="s">
        <v>2297</v>
      </c>
      <c r="F2592" s="1384"/>
      <c r="G2592" s="443" t="s">
        <v>444</v>
      </c>
      <c r="H2592" s="443" t="s">
        <v>2245</v>
      </c>
      <c r="I2592" s="444" t="s">
        <v>5725</v>
      </c>
      <c r="J2592" s="893" t="s">
        <v>11644</v>
      </c>
      <c r="K2592" s="1000" t="s">
        <v>11522</v>
      </c>
      <c r="L2592" s="450" t="s">
        <v>235</v>
      </c>
    </row>
    <row r="2593" spans="1:15" x14ac:dyDescent="0.25">
      <c r="A2593" s="397"/>
      <c r="B2593" s="1382" t="s">
        <v>7831</v>
      </c>
      <c r="C2593" s="1382"/>
      <c r="D2593" s="1382"/>
      <c r="E2593" s="1382"/>
      <c r="F2593" s="1382"/>
      <c r="G2593" s="405"/>
      <c r="H2593" s="405"/>
      <c r="I2593" s="428"/>
      <c r="J2593" s="406">
        <f t="shared" ref="J2593:K2595" si="321">J2594</f>
        <v>0</v>
      </c>
      <c r="K2593" s="406">
        <f t="shared" si="321"/>
        <v>1090.3415</v>
      </c>
      <c r="L2593" s="453">
        <f t="shared" ref="L2593:L2620" si="322">K2593/K$2722</f>
        <v>7.4601902424225423E-3</v>
      </c>
    </row>
    <row r="2594" spans="1:15" x14ac:dyDescent="0.25">
      <c r="A2594" s="397"/>
      <c r="B2594" s="1383" t="s">
        <v>2290</v>
      </c>
      <c r="C2594" s="1383"/>
      <c r="D2594" s="1383"/>
      <c r="E2594" s="1383"/>
      <c r="F2594" s="1383"/>
      <c r="G2594" s="407"/>
      <c r="H2594" s="407"/>
      <c r="I2594" s="429"/>
      <c r="J2594" s="408">
        <f t="shared" si="321"/>
        <v>0</v>
      </c>
      <c r="K2594" s="408">
        <f t="shared" si="321"/>
        <v>1090.3415</v>
      </c>
      <c r="L2594" s="454">
        <f t="shared" si="322"/>
        <v>7.4601902424225423E-3</v>
      </c>
    </row>
    <row r="2595" spans="1:15" x14ac:dyDescent="0.25">
      <c r="A2595" s="397"/>
      <c r="B2595" s="1385" t="s">
        <v>9489</v>
      </c>
      <c r="C2595" s="1385"/>
      <c r="D2595" s="1385"/>
      <c r="E2595" s="1385"/>
      <c r="F2595" s="1385"/>
      <c r="G2595" s="401"/>
      <c r="H2595" s="401"/>
      <c r="I2595" s="426"/>
      <c r="J2595" s="402">
        <f t="shared" si="321"/>
        <v>0</v>
      </c>
      <c r="K2595" s="402">
        <f t="shared" si="321"/>
        <v>1090.3415</v>
      </c>
      <c r="L2595" s="451">
        <f t="shared" si="322"/>
        <v>7.4601902424225423E-3</v>
      </c>
    </row>
    <row r="2596" spans="1:15" x14ac:dyDescent="0.25">
      <c r="A2596" s="397"/>
      <c r="B2596" s="1386" t="s">
        <v>9548</v>
      </c>
      <c r="C2596" s="1386"/>
      <c r="D2596" s="1386"/>
      <c r="E2596" s="1386"/>
      <c r="F2596" s="1386"/>
      <c r="G2596" s="403"/>
      <c r="H2596" s="403"/>
      <c r="I2596" s="427"/>
      <c r="J2596" s="404">
        <f>J2597+J2598</f>
        <v>0</v>
      </c>
      <c r="K2596" s="404">
        <f>K2597+K2598+0.01</f>
        <v>1090.3415</v>
      </c>
      <c r="L2596" s="452">
        <f t="shared" si="322"/>
        <v>7.4601902424225423E-3</v>
      </c>
    </row>
    <row r="2597" spans="1:15" s="115" customFormat="1" x14ac:dyDescent="0.25">
      <c r="B2597" s="1031"/>
      <c r="C2597" s="1031"/>
      <c r="D2597" s="853" t="s">
        <v>9544</v>
      </c>
      <c r="E2597" s="854">
        <v>333900800000000</v>
      </c>
      <c r="F2597" s="855" t="s">
        <v>9580</v>
      </c>
      <c r="G2597" s="1032">
        <v>1</v>
      </c>
      <c r="H2597" s="1032">
        <v>0</v>
      </c>
      <c r="I2597" s="990"/>
      <c r="J2597" s="1033">
        <f>('Parâmetros financeiros Despesa'!E1912)</f>
        <v>0</v>
      </c>
      <c r="K2597" s="1033">
        <f>('Parâmetros financeiros Despesa'!F1912*(1+'Parâmetros financeiros Despesa'!F$4)*(1+'Parâmetros financeiros Despesa'!F$7))</f>
        <v>545.16575</v>
      </c>
      <c r="L2597" s="799">
        <f t="shared" si="322"/>
        <v>3.7300609108733064E-3</v>
      </c>
      <c r="M2597" s="894"/>
      <c r="N2597" s="796"/>
      <c r="O2597" s="733"/>
    </row>
    <row r="2598" spans="1:15" s="115" customFormat="1" x14ac:dyDescent="0.25">
      <c r="B2598" s="1031"/>
      <c r="C2598" s="1031"/>
      <c r="D2598" s="853" t="s">
        <v>9545</v>
      </c>
      <c r="E2598" s="854">
        <v>333903200000000</v>
      </c>
      <c r="F2598" s="855" t="s">
        <v>9581</v>
      </c>
      <c r="G2598" s="1032">
        <v>1</v>
      </c>
      <c r="H2598" s="1032">
        <v>0</v>
      </c>
      <c r="I2598" s="990"/>
      <c r="J2598" s="1033">
        <f>('Parâmetros financeiros Despesa'!E1913)</f>
        <v>0</v>
      </c>
      <c r="K2598" s="1033">
        <f>('Parâmetros financeiros Despesa'!F1913*(1+'Parâmetros financeiros Despesa'!F$4)*(1+'Parâmetros financeiros Despesa'!F$7))</f>
        <v>545.16575</v>
      </c>
      <c r="L2598" s="799">
        <f t="shared" si="322"/>
        <v>3.7300609108733064E-3</v>
      </c>
      <c r="M2598" s="894"/>
      <c r="N2598" s="796"/>
      <c r="O2598" s="733"/>
    </row>
    <row r="2599" spans="1:15" x14ac:dyDescent="0.25">
      <c r="A2599" s="397"/>
      <c r="B2599" s="1382" t="s">
        <v>7831</v>
      </c>
      <c r="C2599" s="1382"/>
      <c r="D2599" s="1382"/>
      <c r="E2599" s="1382"/>
      <c r="F2599" s="1382"/>
      <c r="G2599" s="405"/>
      <c r="H2599" s="405"/>
      <c r="I2599" s="428"/>
      <c r="J2599" s="406">
        <f t="shared" ref="J2599:K2601" si="323">J2600</f>
        <v>0</v>
      </c>
      <c r="K2599" s="406">
        <f t="shared" si="323"/>
        <v>2725.8287500000001</v>
      </c>
      <c r="L2599" s="453">
        <f t="shared" si="322"/>
        <v>1.8650304554366531E-2</v>
      </c>
    </row>
    <row r="2600" spans="1:15" x14ac:dyDescent="0.25">
      <c r="A2600" s="397"/>
      <c r="B2600" s="1383" t="s">
        <v>9559</v>
      </c>
      <c r="C2600" s="1383"/>
      <c r="D2600" s="1383"/>
      <c r="E2600" s="1383"/>
      <c r="F2600" s="1383"/>
      <c r="G2600" s="407"/>
      <c r="H2600" s="407"/>
      <c r="I2600" s="429"/>
      <c r="J2600" s="408">
        <f t="shared" si="323"/>
        <v>0</v>
      </c>
      <c r="K2600" s="408">
        <f t="shared" si="323"/>
        <v>2725.8287500000001</v>
      </c>
      <c r="L2600" s="454">
        <f t="shared" si="322"/>
        <v>1.8650304554366531E-2</v>
      </c>
    </row>
    <row r="2601" spans="1:15" x14ac:dyDescent="0.25">
      <c r="A2601" s="397"/>
      <c r="B2601" s="1385" t="s">
        <v>9489</v>
      </c>
      <c r="C2601" s="1385"/>
      <c r="D2601" s="1385"/>
      <c r="E2601" s="1385"/>
      <c r="F2601" s="1385"/>
      <c r="G2601" s="401"/>
      <c r="H2601" s="401"/>
      <c r="I2601" s="426"/>
      <c r="J2601" s="402">
        <f t="shared" si="323"/>
        <v>0</v>
      </c>
      <c r="K2601" s="402">
        <f t="shared" si="323"/>
        <v>2725.8287500000001</v>
      </c>
      <c r="L2601" s="451">
        <f t="shared" si="322"/>
        <v>1.8650304554366531E-2</v>
      </c>
    </row>
    <row r="2602" spans="1:15" x14ac:dyDescent="0.25">
      <c r="A2602" s="397"/>
      <c r="B2602" s="1386" t="s">
        <v>9553</v>
      </c>
      <c r="C2602" s="1386"/>
      <c r="D2602" s="1386"/>
      <c r="E2602" s="1386"/>
      <c r="F2602" s="1386"/>
      <c r="G2602" s="403"/>
      <c r="H2602" s="403"/>
      <c r="I2602" s="427"/>
      <c r="J2602" s="404">
        <f>J2603+J2604</f>
        <v>0</v>
      </c>
      <c r="K2602" s="404">
        <f>K2603+K2604</f>
        <v>2725.8287500000001</v>
      </c>
      <c r="L2602" s="452">
        <f t="shared" si="322"/>
        <v>1.8650304554366531E-2</v>
      </c>
    </row>
    <row r="2603" spans="1:15" s="115" customFormat="1" x14ac:dyDescent="0.25">
      <c r="B2603" s="1031"/>
      <c r="C2603" s="1031"/>
      <c r="D2603" s="853" t="s">
        <v>11603</v>
      </c>
      <c r="E2603" s="854">
        <v>333900800000000</v>
      </c>
      <c r="F2603" s="855" t="s">
        <v>9582</v>
      </c>
      <c r="G2603" s="1032">
        <v>1</v>
      </c>
      <c r="H2603" s="1032">
        <v>0</v>
      </c>
      <c r="I2603" s="990"/>
      <c r="J2603" s="1033">
        <f>('Parâmetros financeiros Despesa'!E1915)</f>
        <v>0</v>
      </c>
      <c r="K2603" s="1033">
        <f>('Parâmetros financeiros Despesa'!F1915*(1+'Parâmetros financeiros Despesa'!F$4)*(1+'Parâmetros financeiros Despesa'!F$7))</f>
        <v>1635.4972500000001</v>
      </c>
      <c r="L2603" s="799">
        <f t="shared" si="322"/>
        <v>1.1190182732619919E-2</v>
      </c>
      <c r="M2603" s="894"/>
      <c r="N2603" s="796"/>
      <c r="O2603" s="733"/>
    </row>
    <row r="2604" spans="1:15" s="115" customFormat="1" x14ac:dyDescent="0.25">
      <c r="B2604" s="1031"/>
      <c r="C2604" s="1031"/>
      <c r="D2604" s="853" t="s">
        <v>11604</v>
      </c>
      <c r="E2604" s="854">
        <v>333903200000000</v>
      </c>
      <c r="F2604" s="855" t="s">
        <v>9583</v>
      </c>
      <c r="G2604" s="1032">
        <v>1</v>
      </c>
      <c r="H2604" s="1032">
        <v>0</v>
      </c>
      <c r="I2604" s="990"/>
      <c r="J2604" s="1033">
        <f>('Parâmetros financeiros Despesa'!E1916)</f>
        <v>0</v>
      </c>
      <c r="K2604" s="1033">
        <f>('Parâmetros financeiros Despesa'!F1916*(1+'Parâmetros financeiros Despesa'!F$4)*(1+'Parâmetros financeiros Despesa'!F$7))</f>
        <v>1090.3315</v>
      </c>
      <c r="L2604" s="799">
        <f t="shared" si="322"/>
        <v>7.4601218217466127E-3</v>
      </c>
      <c r="M2604" s="894"/>
      <c r="N2604" s="796"/>
      <c r="O2604" s="733"/>
    </row>
    <row r="2605" spans="1:15" x14ac:dyDescent="0.25">
      <c r="A2605" s="397"/>
      <c r="B2605" s="1382" t="s">
        <v>7831</v>
      </c>
      <c r="C2605" s="1382"/>
      <c r="D2605" s="1382"/>
      <c r="E2605" s="1382"/>
      <c r="F2605" s="1382"/>
      <c r="G2605" s="405"/>
      <c r="H2605" s="405"/>
      <c r="I2605" s="428"/>
      <c r="J2605" s="406">
        <f t="shared" ref="J2605:K2606" si="324">J2606</f>
        <v>59038.740000000005</v>
      </c>
      <c r="K2605" s="406">
        <f t="shared" si="324"/>
        <v>64371.797942309997</v>
      </c>
      <c r="L2605" s="453">
        <f t="shared" si="322"/>
        <v>0.44043619260242461</v>
      </c>
    </row>
    <row r="2606" spans="1:15" x14ac:dyDescent="0.25">
      <c r="A2606" s="397"/>
      <c r="B2606" s="1383" t="s">
        <v>9560</v>
      </c>
      <c r="C2606" s="1383"/>
      <c r="D2606" s="1383"/>
      <c r="E2606" s="1383"/>
      <c r="F2606" s="1383"/>
      <c r="G2606" s="407"/>
      <c r="H2606" s="407"/>
      <c r="I2606" s="429"/>
      <c r="J2606" s="408">
        <f t="shared" si="324"/>
        <v>59038.740000000005</v>
      </c>
      <c r="K2606" s="408">
        <f t="shared" si="324"/>
        <v>64371.797942309997</v>
      </c>
      <c r="L2606" s="454">
        <f t="shared" si="322"/>
        <v>0.44043619260242461</v>
      </c>
    </row>
    <row r="2607" spans="1:15" x14ac:dyDescent="0.25">
      <c r="A2607" s="397"/>
      <c r="B2607" s="1385" t="s">
        <v>9489</v>
      </c>
      <c r="C2607" s="1385"/>
      <c r="D2607" s="1385"/>
      <c r="E2607" s="1385"/>
      <c r="F2607" s="1385"/>
      <c r="G2607" s="401"/>
      <c r="H2607" s="401"/>
      <c r="I2607" s="426"/>
      <c r="J2607" s="402">
        <f>J2609</f>
        <v>59038.740000000005</v>
      </c>
      <c r="K2607" s="402">
        <f>K2609</f>
        <v>64371.797942309997</v>
      </c>
      <c r="L2607" s="451">
        <f t="shared" si="322"/>
        <v>0.44043619260242461</v>
      </c>
    </row>
    <row r="2608" spans="1:15" x14ac:dyDescent="0.25">
      <c r="A2608" s="397"/>
      <c r="B2608" s="1401" t="s">
        <v>9547</v>
      </c>
      <c r="C2608" s="1401"/>
      <c r="D2608" s="1401"/>
      <c r="E2608" s="1401"/>
      <c r="F2608" s="1401"/>
      <c r="G2608" s="816"/>
      <c r="H2608" s="816"/>
      <c r="I2608" s="817"/>
      <c r="J2608" s="819">
        <f>SUM(J2609:J2615)</f>
        <v>59038.740000000005</v>
      </c>
      <c r="K2608" s="819">
        <f>SUM(K2609:K2615)+0.01</f>
        <v>67206.669842309988</v>
      </c>
      <c r="L2608" s="790">
        <f t="shared" si="322"/>
        <v>0.45983257775964165</v>
      </c>
    </row>
    <row r="2609" spans="1:15" x14ac:dyDescent="0.25">
      <c r="A2609" s="397"/>
      <c r="B2609" s="1017"/>
      <c r="C2609" s="1017"/>
      <c r="D2609" s="1017" t="s">
        <v>9695</v>
      </c>
      <c r="E2609" s="854">
        <v>333504300000000</v>
      </c>
      <c r="F2609" s="855" t="s">
        <v>9561</v>
      </c>
      <c r="G2609" s="1032">
        <v>1</v>
      </c>
      <c r="H2609" s="1032">
        <v>0</v>
      </c>
      <c r="I2609" s="751"/>
      <c r="J2609" s="1033">
        <f>('Parâmetros financeiros Despesa'!E1918)</f>
        <v>59038.740000000005</v>
      </c>
      <c r="K2609" s="1033">
        <f>('Parâmetros financeiros Despesa'!F1918*(1+'Parâmetros financeiros Despesa'!F$4)*(1+'Parâmetros financeiros Despesa'!F$7))</f>
        <v>64371.797942309997</v>
      </c>
      <c r="L2609" s="799">
        <f t="shared" si="322"/>
        <v>0.44043619260242461</v>
      </c>
      <c r="M2609" s="894"/>
      <c r="N2609" s="796"/>
    </row>
    <row r="2610" spans="1:15" s="115" customFormat="1" x14ac:dyDescent="0.25">
      <c r="B2610" s="1031"/>
      <c r="C2610" s="1031"/>
      <c r="D2610" s="1017" t="s">
        <v>9701</v>
      </c>
      <c r="E2610" s="854">
        <v>333903000000000</v>
      </c>
      <c r="F2610" s="855" t="s">
        <v>9564</v>
      </c>
      <c r="G2610" s="1032">
        <v>1</v>
      </c>
      <c r="H2610" s="1032">
        <v>0</v>
      </c>
      <c r="I2610" s="990"/>
      <c r="J2610" s="1033">
        <f>('Parâmetros financeiros Despesa'!E1919)</f>
        <v>0</v>
      </c>
      <c r="K2610" s="1033">
        <f>('Parâmetros financeiros Despesa'!F1919*(1+'Parâmetros financeiros Despesa'!F$4)*(1+'Parâmetros financeiros Despesa'!F$7))</f>
        <v>545.16575</v>
      </c>
      <c r="L2610" s="799">
        <f t="shared" si="322"/>
        <v>3.7300609108733064E-3</v>
      </c>
      <c r="M2610" s="894"/>
      <c r="N2610" s="796"/>
      <c r="O2610" s="733"/>
    </row>
    <row r="2611" spans="1:15" s="115" customFormat="1" x14ac:dyDescent="0.25">
      <c r="B2611" s="1031"/>
      <c r="C2611" s="1031"/>
      <c r="D2611" s="1017" t="s">
        <v>9702</v>
      </c>
      <c r="E2611" s="854">
        <v>333903200000000</v>
      </c>
      <c r="F2611" s="855" t="s">
        <v>9565</v>
      </c>
      <c r="G2611" s="1032">
        <v>1</v>
      </c>
      <c r="H2611" s="1032">
        <v>0</v>
      </c>
      <c r="I2611" s="990"/>
      <c r="J2611" s="1033">
        <f>('Parâmetros financeiros Despesa'!E1920)</f>
        <v>0</v>
      </c>
      <c r="K2611" s="1033">
        <f>('Parâmetros financeiros Despesa'!F1920*(1+'Parâmetros financeiros Despesa'!F$4)*(1+'Parâmetros financeiros Despesa'!F$7))</f>
        <v>545.16575</v>
      </c>
      <c r="L2611" s="799">
        <f t="shared" si="322"/>
        <v>3.7300609108733064E-3</v>
      </c>
      <c r="M2611" s="894"/>
      <c r="N2611" s="796"/>
      <c r="O2611" s="733"/>
    </row>
    <row r="2612" spans="1:15" s="115" customFormat="1" x14ac:dyDescent="0.25">
      <c r="B2612" s="1031"/>
      <c r="C2612" s="1031"/>
      <c r="D2612" s="1017" t="s">
        <v>9703</v>
      </c>
      <c r="E2612" s="854">
        <v>333903600000000</v>
      </c>
      <c r="F2612" s="855" t="s">
        <v>9566</v>
      </c>
      <c r="G2612" s="1032">
        <v>1</v>
      </c>
      <c r="H2612" s="1032">
        <v>0</v>
      </c>
      <c r="I2612" s="990"/>
      <c r="J2612" s="1033">
        <f>('Parâmetros financeiros Despesa'!E1921)</f>
        <v>0</v>
      </c>
      <c r="K2612" s="1033">
        <f>('Parâmetros financeiros Despesa'!F1921*(1+'Parâmetros financeiros Despesa'!F$4)*(1+'Parâmetros financeiros Despesa'!F$7))</f>
        <v>545.16575</v>
      </c>
      <c r="L2612" s="799">
        <f t="shared" si="322"/>
        <v>3.7300609108733064E-3</v>
      </c>
      <c r="M2612" s="894"/>
      <c r="N2612" s="796"/>
      <c r="O2612" s="733"/>
    </row>
    <row r="2613" spans="1:15" s="115" customFormat="1" x14ac:dyDescent="0.25">
      <c r="B2613" s="1031"/>
      <c r="C2613" s="1031"/>
      <c r="D2613" s="1017" t="s">
        <v>9704</v>
      </c>
      <c r="E2613" s="854">
        <v>333903900000000</v>
      </c>
      <c r="F2613" s="855" t="s">
        <v>9567</v>
      </c>
      <c r="G2613" s="1032">
        <v>1</v>
      </c>
      <c r="H2613" s="1032">
        <v>0</v>
      </c>
      <c r="I2613" s="990"/>
      <c r="J2613" s="1033">
        <f>('Parâmetros financeiros Despesa'!E1922)</f>
        <v>0</v>
      </c>
      <c r="K2613" s="1033">
        <f>('Parâmetros financeiros Despesa'!F1922*(1+'Parâmetros financeiros Despesa'!F$4)*(1+'Parâmetros financeiros Despesa'!F$7))</f>
        <v>545.16575</v>
      </c>
      <c r="L2613" s="799">
        <f t="shared" si="322"/>
        <v>3.7300609108733064E-3</v>
      </c>
      <c r="M2613" s="894"/>
      <c r="N2613" s="796"/>
      <c r="O2613" s="733"/>
    </row>
    <row r="2614" spans="1:15" s="115" customFormat="1" x14ac:dyDescent="0.25">
      <c r="B2614" s="1031"/>
      <c r="C2614" s="1031"/>
      <c r="D2614" s="1017" t="s">
        <v>9705</v>
      </c>
      <c r="E2614" s="854">
        <v>333904700000000</v>
      </c>
      <c r="F2614" s="855" t="s">
        <v>9568</v>
      </c>
      <c r="G2614" s="1032">
        <v>1</v>
      </c>
      <c r="H2614" s="1032">
        <v>0</v>
      </c>
      <c r="I2614" s="990"/>
      <c r="J2614" s="1033">
        <f>('Parâmetros financeiros Despesa'!E1923)</f>
        <v>0</v>
      </c>
      <c r="K2614" s="1033">
        <f>('Parâmetros financeiros Despesa'!F1923*(1+'Parâmetros financeiros Despesa'!F$4)*(1+'Parâmetros financeiros Despesa'!F$7))</f>
        <v>109.03315000000001</v>
      </c>
      <c r="L2614" s="799">
        <f t="shared" si="322"/>
        <v>7.4601218217466131E-4</v>
      </c>
      <c r="M2614" s="894"/>
      <c r="N2614" s="796"/>
      <c r="O2614" s="733"/>
    </row>
    <row r="2615" spans="1:15" s="115" customFormat="1" x14ac:dyDescent="0.25">
      <c r="B2615" s="1031"/>
      <c r="C2615" s="1031"/>
      <c r="D2615" s="1017" t="s">
        <v>9706</v>
      </c>
      <c r="E2615" s="854">
        <v>344905200000000</v>
      </c>
      <c r="F2615" s="855" t="s">
        <v>9569</v>
      </c>
      <c r="G2615" s="1032">
        <v>1</v>
      </c>
      <c r="H2615" s="1032">
        <v>0</v>
      </c>
      <c r="I2615" s="990"/>
      <c r="J2615" s="1033">
        <f>('Parâmetros financeiros Despesa'!E1924)</f>
        <v>0</v>
      </c>
      <c r="K2615" s="1033">
        <f>('Parâmetros financeiros Despesa'!F1924*(1+'Parâmetros financeiros Despesa'!F$4)*(1+'Parâmetros financeiros Despesa'!F$7))</f>
        <v>545.16575</v>
      </c>
      <c r="L2615" s="799">
        <f t="shared" si="322"/>
        <v>3.7300609108733064E-3</v>
      </c>
      <c r="M2615" s="894"/>
      <c r="N2615" s="796"/>
      <c r="O2615" s="733"/>
    </row>
    <row r="2616" spans="1:15" x14ac:dyDescent="0.25">
      <c r="A2616" s="397"/>
      <c r="B2616" s="1382" t="s">
        <v>7831</v>
      </c>
      <c r="C2616" s="1382"/>
      <c r="D2616" s="1382"/>
      <c r="E2616" s="1382"/>
      <c r="F2616" s="1382"/>
      <c r="G2616" s="405"/>
      <c r="H2616" s="405"/>
      <c r="I2616" s="428"/>
      <c r="J2616" s="406">
        <f t="shared" ref="J2616:K2618" si="325">J2617</f>
        <v>0</v>
      </c>
      <c r="K2616" s="406">
        <f t="shared" si="325"/>
        <v>3380.0476500000004</v>
      </c>
      <c r="L2616" s="453">
        <f t="shared" si="322"/>
        <v>2.3126514488766362E-2</v>
      </c>
    </row>
    <row r="2617" spans="1:15" x14ac:dyDescent="0.25">
      <c r="A2617" s="397"/>
      <c r="B2617" s="1383" t="s">
        <v>6044</v>
      </c>
      <c r="C2617" s="1383"/>
      <c r="D2617" s="1383"/>
      <c r="E2617" s="1383"/>
      <c r="F2617" s="1383"/>
      <c r="G2617" s="407"/>
      <c r="H2617" s="407"/>
      <c r="I2617" s="429"/>
      <c r="J2617" s="408">
        <f t="shared" si="325"/>
        <v>0</v>
      </c>
      <c r="K2617" s="408">
        <f t="shared" si="325"/>
        <v>3380.0476500000004</v>
      </c>
      <c r="L2617" s="454">
        <f t="shared" si="322"/>
        <v>2.3126514488766362E-2</v>
      </c>
    </row>
    <row r="2618" spans="1:15" x14ac:dyDescent="0.25">
      <c r="A2618" s="397"/>
      <c r="B2618" s="1385" t="s">
        <v>9489</v>
      </c>
      <c r="C2618" s="1385"/>
      <c r="D2618" s="1385"/>
      <c r="E2618" s="1385"/>
      <c r="F2618" s="1385"/>
      <c r="G2618" s="401"/>
      <c r="H2618" s="401"/>
      <c r="I2618" s="426"/>
      <c r="J2618" s="402">
        <f t="shared" si="325"/>
        <v>0</v>
      </c>
      <c r="K2618" s="402">
        <f t="shared" si="325"/>
        <v>3380.0476500000004</v>
      </c>
      <c r="L2618" s="451">
        <f t="shared" si="322"/>
        <v>2.3126514488766362E-2</v>
      </c>
    </row>
    <row r="2619" spans="1:15" x14ac:dyDescent="0.25">
      <c r="A2619" s="397"/>
      <c r="B2619" s="1401" t="s">
        <v>9551</v>
      </c>
      <c r="C2619" s="1401"/>
      <c r="D2619" s="1401"/>
      <c r="E2619" s="1401"/>
      <c r="F2619" s="1401"/>
      <c r="G2619" s="816"/>
      <c r="H2619" s="816"/>
      <c r="I2619" s="817"/>
      <c r="J2619" s="819">
        <f>SUM(J2620:J2626)</f>
        <v>0</v>
      </c>
      <c r="K2619" s="819">
        <f>SUM(K2620:K2626)+0.02</f>
        <v>3380.0476500000004</v>
      </c>
      <c r="L2619" s="790">
        <f t="shared" si="322"/>
        <v>2.3126514488766362E-2</v>
      </c>
    </row>
    <row r="2620" spans="1:15" x14ac:dyDescent="0.25">
      <c r="B2620" s="1031"/>
      <c r="C2620" s="1031"/>
      <c r="D2620" s="853" t="s">
        <v>9698</v>
      </c>
      <c r="E2620" s="854">
        <v>333903000000000</v>
      </c>
      <c r="F2620" s="855" t="s">
        <v>9570</v>
      </c>
      <c r="G2620" s="468">
        <v>1</v>
      </c>
      <c r="H2620" s="468">
        <v>0</v>
      </c>
      <c r="I2620" s="856"/>
      <c r="J2620" s="1033">
        <f>('Parâmetros financeiros Despesa'!E1926)</f>
        <v>0</v>
      </c>
      <c r="K2620" s="1033">
        <f>('Parâmetros financeiros Despesa'!F1926*(1+'Parâmetros financeiros Despesa'!F$4)*(1+'Parâmetros financeiros Despesa'!F$7))</f>
        <v>545.16575</v>
      </c>
      <c r="L2620" s="799">
        <f t="shared" si="322"/>
        <v>3.7300609108733064E-3</v>
      </c>
      <c r="M2620" s="894"/>
      <c r="N2620" s="796"/>
    </row>
    <row r="2621" spans="1:15" x14ac:dyDescent="0.25">
      <c r="B2621" s="852"/>
      <c r="C2621" s="1031"/>
      <c r="D2621" s="853" t="s">
        <v>9707</v>
      </c>
      <c r="E2621" s="854">
        <v>333903200000000</v>
      </c>
      <c r="F2621" s="855" t="s">
        <v>9571</v>
      </c>
      <c r="G2621" s="468">
        <v>1</v>
      </c>
      <c r="H2621" s="468">
        <v>0</v>
      </c>
      <c r="I2621" s="856"/>
      <c r="J2621" s="1033">
        <f>('Parâmetros financeiros Despesa'!E1927)</f>
        <v>0</v>
      </c>
      <c r="K2621" s="1033">
        <f>('Parâmetros financeiros Despesa'!F1927*(1+'Parâmetros financeiros Despesa'!F$4)*(1+'Parâmetros financeiros Despesa'!F$7))</f>
        <v>545.16575</v>
      </c>
      <c r="L2621" s="799">
        <f t="shared" ref="L2621:L2626" si="326">K2621/K$2722</f>
        <v>3.7300609108733064E-3</v>
      </c>
      <c r="M2621" s="894"/>
      <c r="N2621" s="796"/>
    </row>
    <row r="2622" spans="1:15" x14ac:dyDescent="0.25">
      <c r="B2622" s="1031"/>
      <c r="C2622" s="1031"/>
      <c r="D2622" s="853" t="s">
        <v>9708</v>
      </c>
      <c r="E2622" s="854">
        <v>333903600000000</v>
      </c>
      <c r="F2622" s="855" t="s">
        <v>9572</v>
      </c>
      <c r="G2622" s="468">
        <v>1</v>
      </c>
      <c r="H2622" s="468">
        <v>0</v>
      </c>
      <c r="I2622" s="856"/>
      <c r="J2622" s="1033">
        <f>('Parâmetros financeiros Despesa'!E1928)</f>
        <v>0</v>
      </c>
      <c r="K2622" s="1033">
        <f>('Parâmetros financeiros Despesa'!F1928*(1+'Parâmetros financeiros Despesa'!F$4)*(1+'Parâmetros financeiros Despesa'!F$7))</f>
        <v>545.16575</v>
      </c>
      <c r="L2622" s="799">
        <f t="shared" si="326"/>
        <v>3.7300609108733064E-3</v>
      </c>
      <c r="M2622" s="894"/>
      <c r="N2622" s="796"/>
    </row>
    <row r="2623" spans="1:15" x14ac:dyDescent="0.25">
      <c r="B2623" s="852"/>
      <c r="C2623" s="1031"/>
      <c r="D2623" s="853" t="s">
        <v>9709</v>
      </c>
      <c r="E2623" s="854">
        <v>333903900000000</v>
      </c>
      <c r="F2623" s="855" t="s">
        <v>9573</v>
      </c>
      <c r="G2623" s="468">
        <v>1</v>
      </c>
      <c r="H2623" s="468">
        <v>0</v>
      </c>
      <c r="I2623" s="856"/>
      <c r="J2623" s="1033">
        <f>('Parâmetros financeiros Despesa'!E1929)</f>
        <v>0</v>
      </c>
      <c r="K2623" s="1033">
        <f>('Parâmetros financeiros Despesa'!F1929*(1+'Parâmetros financeiros Despesa'!F$4)*(1+'Parâmetros financeiros Despesa'!F$7))</f>
        <v>545.16575</v>
      </c>
      <c r="L2623" s="799">
        <f t="shared" si="326"/>
        <v>3.7300609108733064E-3</v>
      </c>
      <c r="M2623" s="894"/>
      <c r="N2623" s="796"/>
    </row>
    <row r="2624" spans="1:15" x14ac:dyDescent="0.25">
      <c r="B2624" s="852"/>
      <c r="C2624" s="852"/>
      <c r="D2624" s="853" t="s">
        <v>9710</v>
      </c>
      <c r="E2624" s="854">
        <v>333904700000000</v>
      </c>
      <c r="F2624" s="855" t="s">
        <v>9574</v>
      </c>
      <c r="G2624" s="468">
        <v>1</v>
      </c>
      <c r="H2624" s="468">
        <v>0</v>
      </c>
      <c r="I2624" s="856"/>
      <c r="J2624" s="1033">
        <f>('Parâmetros financeiros Despesa'!E1930)</f>
        <v>0</v>
      </c>
      <c r="K2624" s="1033">
        <f>('Parâmetros financeiros Despesa'!F1930*(1+'Parâmetros financeiros Despesa'!F$4)*(1+'Parâmetros financeiros Despesa'!F$7))</f>
        <v>545.16575</v>
      </c>
      <c r="L2624" s="799">
        <f t="shared" si="326"/>
        <v>3.7300609108733064E-3</v>
      </c>
      <c r="M2624" s="894"/>
      <c r="N2624" s="796"/>
    </row>
    <row r="2625" spans="1:14" x14ac:dyDescent="0.25">
      <c r="B2625" s="852"/>
      <c r="C2625" s="852"/>
      <c r="D2625" s="853" t="s">
        <v>9716</v>
      </c>
      <c r="E2625" s="854">
        <v>344905200000000</v>
      </c>
      <c r="F2625" s="855" t="s">
        <v>9719</v>
      </c>
      <c r="G2625" s="468">
        <v>1</v>
      </c>
      <c r="H2625" s="468">
        <v>0</v>
      </c>
      <c r="I2625" s="856"/>
      <c r="J2625" s="1033">
        <f>('Parâmetros financeiros Despesa'!E1931)</f>
        <v>0</v>
      </c>
      <c r="K2625" s="1033">
        <f>('Parâmetros financeiros Despesa'!F1931*(1+'Parâmetros financeiros Despesa'!F$4)*(1+'Parâmetros financeiros Despesa'!F$7))</f>
        <v>109.03315000000001</v>
      </c>
      <c r="L2625" s="799">
        <f t="shared" si="326"/>
        <v>7.4601218217466131E-4</v>
      </c>
      <c r="M2625" s="894"/>
      <c r="N2625" s="796"/>
    </row>
    <row r="2626" spans="1:14" x14ac:dyDescent="0.25">
      <c r="B2626" s="852"/>
      <c r="C2626" s="852"/>
      <c r="D2626" s="853" t="s">
        <v>9720</v>
      </c>
      <c r="E2626" s="854">
        <v>344905200000000</v>
      </c>
      <c r="F2626" s="855" t="s">
        <v>9718</v>
      </c>
      <c r="G2626" s="468">
        <v>1</v>
      </c>
      <c r="H2626" s="468">
        <v>0</v>
      </c>
      <c r="I2626" s="856"/>
      <c r="J2626" s="1033">
        <f>('Parâmetros financeiros Despesa'!E1932)</f>
        <v>0</v>
      </c>
      <c r="K2626" s="1033">
        <f>('Parâmetros financeiros Despesa'!F1932*(1+'Parâmetros financeiros Despesa'!F$4)*(1+'Parâmetros financeiros Despesa'!F$7))</f>
        <v>545.16575</v>
      </c>
      <c r="L2626" s="799">
        <f t="shared" si="326"/>
        <v>3.7300609108733064E-3</v>
      </c>
      <c r="M2626" s="894"/>
      <c r="N2626" s="796"/>
    </row>
    <row r="2627" spans="1:14" x14ac:dyDescent="0.25">
      <c r="A2627" s="397"/>
      <c r="B2627" s="1382" t="s">
        <v>7831</v>
      </c>
      <c r="C2627" s="1382"/>
      <c r="D2627" s="1382"/>
      <c r="E2627" s="1382"/>
      <c r="F2627" s="1382"/>
      <c r="G2627" s="405"/>
      <c r="H2627" s="405"/>
      <c r="I2627" s="428"/>
      <c r="J2627" s="406">
        <f t="shared" ref="J2627:K2629" si="327">J2628</f>
        <v>0</v>
      </c>
      <c r="K2627" s="406">
        <f t="shared" si="327"/>
        <v>2834.8819000000003</v>
      </c>
      <c r="L2627" s="453">
        <f>K2627/K$2722</f>
        <v>1.9396453577893054E-2</v>
      </c>
    </row>
    <row r="2628" spans="1:14" x14ac:dyDescent="0.25">
      <c r="A2628" s="397"/>
      <c r="B2628" s="1383" t="s">
        <v>6044</v>
      </c>
      <c r="C2628" s="1383"/>
      <c r="D2628" s="1383"/>
      <c r="E2628" s="1383"/>
      <c r="F2628" s="1383"/>
      <c r="G2628" s="407"/>
      <c r="H2628" s="407"/>
      <c r="I2628" s="429"/>
      <c r="J2628" s="408">
        <f t="shared" si="327"/>
        <v>0</v>
      </c>
      <c r="K2628" s="408">
        <f t="shared" si="327"/>
        <v>2834.8819000000003</v>
      </c>
      <c r="L2628" s="454">
        <f>K2628/K$2722</f>
        <v>1.9396453577893054E-2</v>
      </c>
    </row>
    <row r="2629" spans="1:14" x14ac:dyDescent="0.25">
      <c r="A2629" s="397"/>
      <c r="B2629" s="1385" t="s">
        <v>9489</v>
      </c>
      <c r="C2629" s="1385"/>
      <c r="D2629" s="1385"/>
      <c r="E2629" s="1385"/>
      <c r="F2629" s="1385"/>
      <c r="G2629" s="401"/>
      <c r="H2629" s="401"/>
      <c r="I2629" s="426"/>
      <c r="J2629" s="402">
        <f t="shared" si="327"/>
        <v>0</v>
      </c>
      <c r="K2629" s="402">
        <f t="shared" si="327"/>
        <v>2834.8819000000003</v>
      </c>
      <c r="L2629" s="451">
        <f>K2629/K$2722</f>
        <v>1.9396453577893054E-2</v>
      </c>
    </row>
    <row r="2630" spans="1:14" x14ac:dyDescent="0.25">
      <c r="A2630" s="397"/>
      <c r="B2630" s="1401" t="s">
        <v>9549</v>
      </c>
      <c r="C2630" s="1401"/>
      <c r="D2630" s="1401"/>
      <c r="E2630" s="1401"/>
      <c r="F2630" s="1401"/>
      <c r="G2630" s="816"/>
      <c r="H2630" s="816"/>
      <c r="I2630" s="817"/>
      <c r="J2630" s="819">
        <f>SUM(J2631:J2636)</f>
        <v>0</v>
      </c>
      <c r="K2630" s="819">
        <f>SUM(K2631:K2636)+0.02</f>
        <v>2834.8819000000003</v>
      </c>
      <c r="L2630" s="790">
        <f>K2630/K$2722</f>
        <v>1.9396453577893054E-2</v>
      </c>
    </row>
    <row r="2631" spans="1:14" x14ac:dyDescent="0.25">
      <c r="B2631" s="1031"/>
      <c r="C2631" s="1031"/>
      <c r="D2631" s="853" t="s">
        <v>9699</v>
      </c>
      <c r="E2631" s="854">
        <v>333903000000000</v>
      </c>
      <c r="F2631" s="855" t="s">
        <v>9575</v>
      </c>
      <c r="G2631" s="468">
        <v>1</v>
      </c>
      <c r="H2631" s="468">
        <v>0</v>
      </c>
      <c r="I2631" s="856"/>
      <c r="J2631" s="1033">
        <f>('Parâmetros financeiros Despesa'!E1934)</f>
        <v>0</v>
      </c>
      <c r="K2631" s="1033">
        <f>('Parâmetros financeiros Despesa'!F1934*(1+'Parâmetros financeiros Despesa'!F$4)*(1+'Parâmetros financeiros Despesa'!F$7))</f>
        <v>545.16575</v>
      </c>
      <c r="L2631" s="799">
        <f>K2631/K$2722</f>
        <v>3.7300609108733064E-3</v>
      </c>
      <c r="M2631" s="894"/>
      <c r="N2631" s="796"/>
    </row>
    <row r="2632" spans="1:14" x14ac:dyDescent="0.25">
      <c r="B2632" s="852"/>
      <c r="C2632" s="1031"/>
      <c r="D2632" s="853" t="s">
        <v>9711</v>
      </c>
      <c r="E2632" s="854">
        <v>333903200000000</v>
      </c>
      <c r="F2632" s="855" t="s">
        <v>9576</v>
      </c>
      <c r="G2632" s="468">
        <v>1</v>
      </c>
      <c r="H2632" s="468">
        <v>0</v>
      </c>
      <c r="I2632" s="856"/>
      <c r="J2632" s="1033">
        <f>('Parâmetros financeiros Despesa'!E1935)</f>
        <v>0</v>
      </c>
      <c r="K2632" s="1033">
        <f>('Parâmetros financeiros Despesa'!F1935*(1+'Parâmetros financeiros Despesa'!F$4)*(1+'Parâmetros financeiros Despesa'!F$7))</f>
        <v>545.16575</v>
      </c>
      <c r="L2632" s="799">
        <f t="shared" ref="L2632:L2636" si="328">K2632/K$2722</f>
        <v>3.7300609108733064E-3</v>
      </c>
      <c r="M2632" s="894"/>
      <c r="N2632" s="796"/>
    </row>
    <row r="2633" spans="1:14" x14ac:dyDescent="0.25">
      <c r="B2633" s="1031"/>
      <c r="C2633" s="1031"/>
      <c r="D2633" s="853" t="s">
        <v>9712</v>
      </c>
      <c r="E2633" s="854">
        <v>333903600000000</v>
      </c>
      <c r="F2633" s="855" t="s">
        <v>9577</v>
      </c>
      <c r="G2633" s="468">
        <v>1</v>
      </c>
      <c r="H2633" s="468">
        <v>0</v>
      </c>
      <c r="I2633" s="856"/>
      <c r="J2633" s="1033">
        <f>('Parâmetros financeiros Despesa'!E1936)</f>
        <v>0</v>
      </c>
      <c r="K2633" s="1033">
        <f>('Parâmetros financeiros Despesa'!F1936*(1+'Parâmetros financeiros Despesa'!F$4)*(1+'Parâmetros financeiros Despesa'!F$7))</f>
        <v>545.16575</v>
      </c>
      <c r="L2633" s="799">
        <f t="shared" si="328"/>
        <v>3.7300609108733064E-3</v>
      </c>
      <c r="M2633" s="894"/>
      <c r="N2633" s="796"/>
    </row>
    <row r="2634" spans="1:14" x14ac:dyDescent="0.25">
      <c r="B2634" s="852"/>
      <c r="C2634" s="1031"/>
      <c r="D2634" s="853" t="s">
        <v>9713</v>
      </c>
      <c r="E2634" s="854">
        <v>333903900000000</v>
      </c>
      <c r="F2634" s="855" t="s">
        <v>9578</v>
      </c>
      <c r="G2634" s="468">
        <v>1</v>
      </c>
      <c r="H2634" s="468">
        <v>0</v>
      </c>
      <c r="I2634" s="856"/>
      <c r="J2634" s="1033">
        <f>('Parâmetros financeiros Despesa'!E1937)</f>
        <v>0</v>
      </c>
      <c r="K2634" s="1033">
        <f>('Parâmetros financeiros Despesa'!F1937*(1+'Parâmetros financeiros Despesa'!F$4)*(1+'Parâmetros financeiros Despesa'!F$7))</f>
        <v>545.16575</v>
      </c>
      <c r="L2634" s="799">
        <f t="shared" si="328"/>
        <v>3.7300609108733064E-3</v>
      </c>
      <c r="M2634" s="894"/>
      <c r="N2634" s="796"/>
    </row>
    <row r="2635" spans="1:14" x14ac:dyDescent="0.25">
      <c r="B2635" s="852"/>
      <c r="C2635" s="852"/>
      <c r="D2635" s="853" t="s">
        <v>9714</v>
      </c>
      <c r="E2635" s="854">
        <v>333904700000000</v>
      </c>
      <c r="F2635" s="855" t="s">
        <v>9579</v>
      </c>
      <c r="G2635" s="468">
        <v>1</v>
      </c>
      <c r="H2635" s="468">
        <v>0</v>
      </c>
      <c r="I2635" s="856"/>
      <c r="J2635" s="1033">
        <f>('Parâmetros financeiros Despesa'!E1938)</f>
        <v>0</v>
      </c>
      <c r="K2635" s="1033">
        <f>('Parâmetros financeiros Despesa'!F1938*(1+'Parâmetros financeiros Despesa'!F$4)*(1+'Parâmetros financeiros Despesa'!F$7))</f>
        <v>109.03315000000001</v>
      </c>
      <c r="L2635" s="799">
        <f t="shared" si="328"/>
        <v>7.4601218217466131E-4</v>
      </c>
      <c r="M2635" s="894"/>
      <c r="N2635" s="796"/>
    </row>
    <row r="2636" spans="1:14" x14ac:dyDescent="0.25">
      <c r="B2636" s="852"/>
      <c r="C2636" s="852"/>
      <c r="D2636" s="853" t="s">
        <v>9717</v>
      </c>
      <c r="E2636" s="854">
        <v>344905200000000</v>
      </c>
      <c r="F2636" s="855" t="s">
        <v>9715</v>
      </c>
      <c r="G2636" s="468">
        <v>1</v>
      </c>
      <c r="H2636" s="468">
        <v>0</v>
      </c>
      <c r="I2636" s="856"/>
      <c r="J2636" s="1033">
        <f>('Parâmetros financeiros Despesa'!E1939)</f>
        <v>0</v>
      </c>
      <c r="K2636" s="1033">
        <f>('Parâmetros financeiros Despesa'!F1939*(1+'Parâmetros financeiros Despesa'!F$4)*(1+'Parâmetros financeiros Despesa'!F$7))</f>
        <v>545.16575</v>
      </c>
      <c r="L2636" s="799">
        <f t="shared" si="328"/>
        <v>3.7300609108733064E-3</v>
      </c>
      <c r="M2636" s="894"/>
      <c r="N2636" s="796"/>
    </row>
    <row r="2637" spans="1:14" x14ac:dyDescent="0.25">
      <c r="A2637" s="397"/>
      <c r="B2637" s="1382" t="s">
        <v>7831</v>
      </c>
      <c r="C2637" s="1382"/>
      <c r="D2637" s="1382"/>
      <c r="E2637" s="1382"/>
      <c r="F2637" s="1382"/>
      <c r="G2637" s="405"/>
      <c r="H2637" s="405"/>
      <c r="I2637" s="428"/>
      <c r="J2637" s="406">
        <f t="shared" ref="J2637:K2639" si="329">J2638</f>
        <v>0</v>
      </c>
      <c r="K2637" s="406">
        <f t="shared" si="329"/>
        <v>27258.287499999999</v>
      </c>
      <c r="L2637" s="453">
        <f>K2637/K$2722</f>
        <v>0.18650304554366531</v>
      </c>
    </row>
    <row r="2638" spans="1:14" x14ac:dyDescent="0.25">
      <c r="A2638" s="397"/>
      <c r="B2638" s="1383" t="s">
        <v>9584</v>
      </c>
      <c r="C2638" s="1383"/>
      <c r="D2638" s="1383"/>
      <c r="E2638" s="1383"/>
      <c r="F2638" s="1383"/>
      <c r="G2638" s="407"/>
      <c r="H2638" s="407"/>
      <c r="I2638" s="429"/>
      <c r="J2638" s="408">
        <f t="shared" si="329"/>
        <v>0</v>
      </c>
      <c r="K2638" s="408">
        <f t="shared" si="329"/>
        <v>27258.287499999999</v>
      </c>
      <c r="L2638" s="454">
        <f>K2638/K$2722</f>
        <v>0.18650304554366531</v>
      </c>
    </row>
    <row r="2639" spans="1:14" x14ac:dyDescent="0.25">
      <c r="A2639" s="397"/>
      <c r="B2639" s="1385" t="s">
        <v>9489</v>
      </c>
      <c r="C2639" s="1385"/>
      <c r="D2639" s="1385"/>
      <c r="E2639" s="1385"/>
      <c r="F2639" s="1385"/>
      <c r="G2639" s="401"/>
      <c r="H2639" s="401"/>
      <c r="I2639" s="426"/>
      <c r="J2639" s="402">
        <f t="shared" si="329"/>
        <v>0</v>
      </c>
      <c r="K2639" s="402">
        <f t="shared" si="329"/>
        <v>27258.287499999999</v>
      </c>
      <c r="L2639" s="451">
        <f>K2639/K$2722</f>
        <v>0.18650304554366531</v>
      </c>
    </row>
    <row r="2640" spans="1:14" x14ac:dyDescent="0.25">
      <c r="A2640" s="397"/>
      <c r="B2640" s="1386" t="s">
        <v>9543</v>
      </c>
      <c r="C2640" s="1386"/>
      <c r="D2640" s="1386"/>
      <c r="E2640" s="1386"/>
      <c r="F2640" s="1386"/>
      <c r="G2640" s="403"/>
      <c r="H2640" s="403"/>
      <c r="I2640" s="427"/>
      <c r="J2640" s="404">
        <f>SUM(J2641:J2643)</f>
        <v>0</v>
      </c>
      <c r="K2640" s="404">
        <f>SUM(K2641:K2643)</f>
        <v>27258.287499999999</v>
      </c>
      <c r="L2640" s="452">
        <f>K2640/K$2722</f>
        <v>0.18650304554366531</v>
      </c>
    </row>
    <row r="2641" spans="1:14" x14ac:dyDescent="0.25">
      <c r="B2641" s="1035"/>
      <c r="C2641" s="1031"/>
      <c r="D2641" s="853" t="s">
        <v>9700</v>
      </c>
      <c r="E2641" s="854">
        <v>333900800000000</v>
      </c>
      <c r="F2641" s="855" t="s">
        <v>9724</v>
      </c>
      <c r="G2641" s="468">
        <v>1</v>
      </c>
      <c r="H2641" s="468">
        <v>0</v>
      </c>
      <c r="I2641" s="856"/>
      <c r="J2641" s="1033">
        <f>('Parâmetros financeiros Despesa'!E1941)</f>
        <v>0</v>
      </c>
      <c r="K2641" s="1033">
        <f>('Parâmetros financeiros Despesa'!F1941*(1+'Parâmetros financeiros Despesa'!F$4)*(1+'Parâmetros financeiros Despesa'!F$7))</f>
        <v>16354.9725</v>
      </c>
      <c r="L2641" s="799">
        <f t="shared" ref="L2641:L2643" si="330">K2641/K$2722</f>
        <v>0.11190182732619919</v>
      </c>
      <c r="M2641" s="894"/>
      <c r="N2641" s="796"/>
    </row>
    <row r="2642" spans="1:14" x14ac:dyDescent="0.25">
      <c r="B2642" s="1035" t="s">
        <v>9722</v>
      </c>
      <c r="C2642" s="1031" t="s">
        <v>6062</v>
      </c>
      <c r="D2642" s="853" t="s">
        <v>9700</v>
      </c>
      <c r="E2642" s="417">
        <v>333900854000000</v>
      </c>
      <c r="F2642" s="418" t="s">
        <v>9723</v>
      </c>
      <c r="G2642" s="873">
        <v>1</v>
      </c>
      <c r="H2642" s="873">
        <v>0</v>
      </c>
      <c r="I2642" s="856"/>
      <c r="J2642" s="423">
        <v>0</v>
      </c>
      <c r="K2642" s="423">
        <v>0</v>
      </c>
      <c r="L2642" s="799">
        <f t="shared" si="330"/>
        <v>0</v>
      </c>
    </row>
    <row r="2643" spans="1:14" x14ac:dyDescent="0.25">
      <c r="B2643" s="1035"/>
      <c r="C2643" s="1031"/>
      <c r="D2643" s="853" t="s">
        <v>9721</v>
      </c>
      <c r="E2643" s="854">
        <v>333903200000000</v>
      </c>
      <c r="F2643" s="855" t="s">
        <v>9725</v>
      </c>
      <c r="G2643" s="468">
        <v>1</v>
      </c>
      <c r="H2643" s="468">
        <v>0</v>
      </c>
      <c r="I2643" s="856"/>
      <c r="J2643" s="1033">
        <f>('Parâmetros financeiros Despesa'!E1942)</f>
        <v>0</v>
      </c>
      <c r="K2643" s="1033">
        <f>('Parâmetros financeiros Despesa'!F1942*(1+'Parâmetros financeiros Despesa'!F$4)*(1+'Parâmetros financeiros Despesa'!F$7))</f>
        <v>10903.315000000001</v>
      </c>
      <c r="L2643" s="799">
        <f t="shared" si="330"/>
        <v>7.4601218217466125E-2</v>
      </c>
      <c r="M2643" s="894"/>
      <c r="N2643" s="796"/>
    </row>
    <row r="2644" spans="1:14" x14ac:dyDescent="0.25">
      <c r="A2644" s="397"/>
      <c r="B2644" s="1382" t="s">
        <v>7831</v>
      </c>
      <c r="C2644" s="1382"/>
      <c r="D2644" s="1382"/>
      <c r="E2644" s="1382"/>
      <c r="F2644" s="1382"/>
      <c r="G2644" s="405"/>
      <c r="H2644" s="405"/>
      <c r="I2644" s="428"/>
      <c r="J2644" s="406">
        <f t="shared" ref="J2644:K2646" si="331">J2645</f>
        <v>0</v>
      </c>
      <c r="K2644" s="406">
        <f t="shared" si="331"/>
        <v>6760.0453000000007</v>
      </c>
      <c r="L2644" s="453">
        <f>K2644/K$2722</f>
        <v>4.6252686874153078E-2</v>
      </c>
    </row>
    <row r="2645" spans="1:14" x14ac:dyDescent="0.25">
      <c r="A2645" s="397"/>
      <c r="B2645" s="1383" t="s">
        <v>9584</v>
      </c>
      <c r="C2645" s="1383"/>
      <c r="D2645" s="1383"/>
      <c r="E2645" s="1383"/>
      <c r="F2645" s="1383"/>
      <c r="G2645" s="407"/>
      <c r="H2645" s="407"/>
      <c r="I2645" s="429"/>
      <c r="J2645" s="408">
        <f t="shared" si="331"/>
        <v>0</v>
      </c>
      <c r="K2645" s="408">
        <f t="shared" si="331"/>
        <v>6760.0453000000007</v>
      </c>
      <c r="L2645" s="454">
        <f>K2645/K$2722</f>
        <v>4.6252686874153078E-2</v>
      </c>
    </row>
    <row r="2646" spans="1:14" x14ac:dyDescent="0.25">
      <c r="A2646" s="397"/>
      <c r="B2646" s="1385" t="s">
        <v>9489</v>
      </c>
      <c r="C2646" s="1385"/>
      <c r="D2646" s="1385"/>
      <c r="E2646" s="1385"/>
      <c r="F2646" s="1385"/>
      <c r="G2646" s="401"/>
      <c r="H2646" s="401"/>
      <c r="I2646" s="426"/>
      <c r="J2646" s="402">
        <f t="shared" si="331"/>
        <v>0</v>
      </c>
      <c r="K2646" s="402">
        <f t="shared" si="331"/>
        <v>6760.0453000000007</v>
      </c>
      <c r="L2646" s="451">
        <f>K2646/K$2722</f>
        <v>4.6252686874153078E-2</v>
      </c>
    </row>
    <row r="2647" spans="1:14" x14ac:dyDescent="0.25">
      <c r="A2647" s="397"/>
      <c r="B2647" s="1386" t="s">
        <v>9555</v>
      </c>
      <c r="C2647" s="1386"/>
      <c r="D2647" s="1386"/>
      <c r="E2647" s="1386"/>
      <c r="F2647" s="1386"/>
      <c r="G2647" s="403"/>
      <c r="H2647" s="403"/>
      <c r="I2647" s="427"/>
      <c r="J2647" s="404">
        <f>SUM(J2648:J2654)</f>
        <v>0</v>
      </c>
      <c r="K2647" s="404">
        <f>SUM(K2648:K2654)-0.01</f>
        <v>6760.0453000000007</v>
      </c>
      <c r="L2647" s="452">
        <f>K2647/K$2722</f>
        <v>4.6252686874153078E-2</v>
      </c>
    </row>
    <row r="2648" spans="1:14" x14ac:dyDescent="0.25">
      <c r="B2648" s="1031"/>
      <c r="C2648" s="1031"/>
      <c r="D2648" s="853" t="s">
        <v>9726</v>
      </c>
      <c r="E2648" s="854">
        <v>333903000000000</v>
      </c>
      <c r="F2648" s="855" t="s">
        <v>9585</v>
      </c>
      <c r="G2648" s="468">
        <v>1</v>
      </c>
      <c r="H2648" s="468">
        <v>0</v>
      </c>
      <c r="I2648" s="856"/>
      <c r="J2648" s="1033">
        <f>('Parâmetros financeiros Despesa'!E1944)</f>
        <v>0</v>
      </c>
      <c r="K2648" s="1033">
        <f>('Parâmetros financeiros Despesa'!F1944*(1+'Parâmetros financeiros Despesa'!F$4)*(1+'Parâmetros financeiros Despesa'!F$7))</f>
        <v>1090.3315</v>
      </c>
      <c r="L2648" s="799">
        <f t="shared" ref="L2648:L2654" si="332">K2648/K$2722</f>
        <v>7.4601218217466127E-3</v>
      </c>
      <c r="M2648" s="894"/>
      <c r="N2648" s="796"/>
    </row>
    <row r="2649" spans="1:14" x14ac:dyDescent="0.25">
      <c r="B2649" s="852"/>
      <c r="C2649" s="1031"/>
      <c r="D2649" s="853" t="s">
        <v>9727</v>
      </c>
      <c r="E2649" s="854">
        <v>333903200000000</v>
      </c>
      <c r="F2649" s="855" t="s">
        <v>9586</v>
      </c>
      <c r="G2649" s="468">
        <v>1</v>
      </c>
      <c r="H2649" s="468">
        <v>0</v>
      </c>
      <c r="I2649" s="856"/>
      <c r="J2649" s="1033">
        <f>('Parâmetros financeiros Despesa'!E1945)</f>
        <v>0</v>
      </c>
      <c r="K2649" s="1033">
        <f>('Parâmetros financeiros Despesa'!F1945*(1+'Parâmetros financeiros Despesa'!F$4)*(1+'Parâmetros financeiros Despesa'!F$7))</f>
        <v>1090.3315</v>
      </c>
      <c r="L2649" s="799">
        <f t="shared" si="332"/>
        <v>7.4601218217466127E-3</v>
      </c>
      <c r="M2649" s="894"/>
      <c r="N2649" s="796"/>
    </row>
    <row r="2650" spans="1:14" x14ac:dyDescent="0.25">
      <c r="B2650" s="1031"/>
      <c r="C2650" s="1031"/>
      <c r="D2650" s="853" t="s">
        <v>9728</v>
      </c>
      <c r="E2650" s="854">
        <v>333903600000000</v>
      </c>
      <c r="F2650" s="855" t="s">
        <v>9587</v>
      </c>
      <c r="G2650" s="468">
        <v>1</v>
      </c>
      <c r="H2650" s="468">
        <v>0</v>
      </c>
      <c r="I2650" s="856"/>
      <c r="J2650" s="1033">
        <f>('Parâmetros financeiros Despesa'!E1946)</f>
        <v>0</v>
      </c>
      <c r="K2650" s="1033">
        <f>('Parâmetros financeiros Despesa'!F1946*(1+'Parâmetros financeiros Despesa'!F$4)*(1+'Parâmetros financeiros Despesa'!F$7))</f>
        <v>1090.3315</v>
      </c>
      <c r="L2650" s="799">
        <f t="shared" si="332"/>
        <v>7.4601218217466127E-3</v>
      </c>
      <c r="M2650" s="894"/>
      <c r="N2650" s="796"/>
    </row>
    <row r="2651" spans="1:14" x14ac:dyDescent="0.25">
      <c r="B2651" s="852"/>
      <c r="C2651" s="1031"/>
      <c r="D2651" s="853" t="s">
        <v>9729</v>
      </c>
      <c r="E2651" s="854">
        <v>333903900000000</v>
      </c>
      <c r="F2651" s="855" t="s">
        <v>9588</v>
      </c>
      <c r="G2651" s="468">
        <v>1</v>
      </c>
      <c r="H2651" s="468">
        <v>0</v>
      </c>
      <c r="I2651" s="856"/>
      <c r="J2651" s="1033">
        <f>('Parâmetros financeiros Despesa'!E1947)</f>
        <v>0</v>
      </c>
      <c r="K2651" s="1033">
        <f>('Parâmetros financeiros Despesa'!F1947*(1+'Parâmetros financeiros Despesa'!F$4)*(1+'Parâmetros financeiros Despesa'!F$7))</f>
        <v>1090.3315</v>
      </c>
      <c r="L2651" s="799">
        <f t="shared" si="332"/>
        <v>7.4601218217466127E-3</v>
      </c>
      <c r="M2651" s="894"/>
      <c r="N2651" s="796"/>
    </row>
    <row r="2652" spans="1:14" x14ac:dyDescent="0.25">
      <c r="B2652" s="852"/>
      <c r="C2652" s="852"/>
      <c r="D2652" s="853" t="s">
        <v>9730</v>
      </c>
      <c r="E2652" s="854">
        <v>333904700000000</v>
      </c>
      <c r="F2652" s="855" t="s">
        <v>9589</v>
      </c>
      <c r="G2652" s="468">
        <v>1</v>
      </c>
      <c r="H2652" s="468">
        <v>0</v>
      </c>
      <c r="I2652" s="856"/>
      <c r="J2652" s="1033">
        <f>('Parâmetros financeiros Despesa'!E1948)</f>
        <v>0</v>
      </c>
      <c r="K2652" s="1033">
        <f>('Parâmetros financeiros Despesa'!F1948*(1+'Parâmetros financeiros Despesa'!F$4)*(1+'Parâmetros financeiros Despesa'!F$7))</f>
        <v>218.06630000000001</v>
      </c>
      <c r="L2652" s="799">
        <f t="shared" si="332"/>
        <v>1.4920243643493226E-3</v>
      </c>
      <c r="M2652" s="894"/>
      <c r="N2652" s="796"/>
    </row>
    <row r="2653" spans="1:14" x14ac:dyDescent="0.25">
      <c r="B2653" s="852"/>
      <c r="C2653" s="852"/>
      <c r="D2653" s="853" t="s">
        <v>9731</v>
      </c>
      <c r="E2653" s="854">
        <v>344905100000000</v>
      </c>
      <c r="F2653" s="855" t="s">
        <v>9733</v>
      </c>
      <c r="G2653" s="468">
        <v>1</v>
      </c>
      <c r="H2653" s="468">
        <v>0</v>
      </c>
      <c r="I2653" s="856"/>
      <c r="J2653" s="1033">
        <f>('Parâmetros financeiros Despesa'!E1949)</f>
        <v>0</v>
      </c>
      <c r="K2653" s="1033">
        <f>('Parâmetros financeiros Despesa'!F1949*(1+'Parâmetros financeiros Despesa'!F$4)*(1+'Parâmetros financeiros Despesa'!F$7))</f>
        <v>1090.3315</v>
      </c>
      <c r="L2653" s="799">
        <f t="shared" si="332"/>
        <v>7.4601218217466127E-3</v>
      </c>
      <c r="M2653" s="894"/>
      <c r="N2653" s="796"/>
    </row>
    <row r="2654" spans="1:14" x14ac:dyDescent="0.25">
      <c r="B2654" s="852"/>
      <c r="C2654" s="852"/>
      <c r="D2654" s="853" t="s">
        <v>9732</v>
      </c>
      <c r="E2654" s="854">
        <v>344905200000000</v>
      </c>
      <c r="F2654" s="855" t="s">
        <v>9590</v>
      </c>
      <c r="G2654" s="468">
        <v>1</v>
      </c>
      <c r="H2654" s="468">
        <v>0</v>
      </c>
      <c r="I2654" s="856"/>
      <c r="J2654" s="1033">
        <f>('Parâmetros financeiros Despesa'!E1950)</f>
        <v>0</v>
      </c>
      <c r="K2654" s="1033">
        <f>('Parâmetros financeiros Despesa'!F1950*(1+'Parâmetros financeiros Despesa'!F$4)*(1+'Parâmetros financeiros Despesa'!F$7))</f>
        <v>1090.3315</v>
      </c>
      <c r="L2654" s="799">
        <f t="shared" si="332"/>
        <v>7.4601218217466127E-3</v>
      </c>
      <c r="M2654" s="894"/>
      <c r="N2654" s="796"/>
    </row>
    <row r="2655" spans="1:14" x14ac:dyDescent="0.25">
      <c r="A2655" s="397"/>
      <c r="B2655" s="1382" t="s">
        <v>7831</v>
      </c>
      <c r="C2655" s="1382"/>
      <c r="D2655" s="1382"/>
      <c r="E2655" s="1382"/>
      <c r="F2655" s="1382"/>
      <c r="G2655" s="405"/>
      <c r="H2655" s="405"/>
      <c r="I2655" s="428"/>
      <c r="J2655" s="406">
        <f t="shared" ref="J2655:K2657" si="333">J2656</f>
        <v>0</v>
      </c>
      <c r="K2655" s="406">
        <f t="shared" si="333"/>
        <v>7850.3768000000009</v>
      </c>
      <c r="L2655" s="453">
        <f>K2655/K$2722</f>
        <v>5.3712808695899686E-2</v>
      </c>
    </row>
    <row r="2656" spans="1:14" x14ac:dyDescent="0.25">
      <c r="A2656" s="397"/>
      <c r="B2656" s="1383" t="s">
        <v>9584</v>
      </c>
      <c r="C2656" s="1383"/>
      <c r="D2656" s="1383"/>
      <c r="E2656" s="1383"/>
      <c r="F2656" s="1383"/>
      <c r="G2656" s="407"/>
      <c r="H2656" s="407"/>
      <c r="I2656" s="429"/>
      <c r="J2656" s="408">
        <f t="shared" si="333"/>
        <v>0</v>
      </c>
      <c r="K2656" s="408">
        <f t="shared" si="333"/>
        <v>7850.3768000000009</v>
      </c>
      <c r="L2656" s="454">
        <f>K2656/K$2722</f>
        <v>5.3712808695899686E-2</v>
      </c>
    </row>
    <row r="2657" spans="1:14" x14ac:dyDescent="0.25">
      <c r="A2657" s="397"/>
      <c r="B2657" s="1385" t="s">
        <v>9489</v>
      </c>
      <c r="C2657" s="1385"/>
      <c r="D2657" s="1385"/>
      <c r="E2657" s="1385"/>
      <c r="F2657" s="1385"/>
      <c r="G2657" s="401"/>
      <c r="H2657" s="401"/>
      <c r="I2657" s="426"/>
      <c r="J2657" s="402">
        <f t="shared" si="333"/>
        <v>0</v>
      </c>
      <c r="K2657" s="402">
        <f t="shared" si="333"/>
        <v>7850.3768000000009</v>
      </c>
      <c r="L2657" s="451">
        <f>K2657/K$2722</f>
        <v>5.3712808695899686E-2</v>
      </c>
    </row>
    <row r="2658" spans="1:14" x14ac:dyDescent="0.25">
      <c r="A2658" s="397"/>
      <c r="B2658" s="1386" t="s">
        <v>9556</v>
      </c>
      <c r="C2658" s="1386"/>
      <c r="D2658" s="1386"/>
      <c r="E2658" s="1386"/>
      <c r="F2658" s="1386"/>
      <c r="G2658" s="403"/>
      <c r="H2658" s="403"/>
      <c r="I2658" s="427"/>
      <c r="J2658" s="404">
        <f>SUM(J2659:J2666)</f>
        <v>0</v>
      </c>
      <c r="K2658" s="404">
        <f>SUM(K2659:K2666)-0.01</f>
        <v>7850.3768000000009</v>
      </c>
      <c r="L2658" s="452">
        <f>K2658/K$2722</f>
        <v>5.3712808695899686E-2</v>
      </c>
    </row>
    <row r="2659" spans="1:14" x14ac:dyDescent="0.25">
      <c r="B2659" s="1031"/>
      <c r="C2659" s="1031"/>
      <c r="D2659" s="853" t="s">
        <v>9734</v>
      </c>
      <c r="E2659" s="854">
        <v>333903000000000</v>
      </c>
      <c r="F2659" s="855" t="s">
        <v>9591</v>
      </c>
      <c r="G2659" s="468">
        <v>1</v>
      </c>
      <c r="H2659" s="468">
        <v>0</v>
      </c>
      <c r="I2659" s="856"/>
      <c r="J2659" s="1033">
        <f>('Parâmetros financeiros Despesa'!E1952)</f>
        <v>0</v>
      </c>
      <c r="K2659" s="1033">
        <f>('Parâmetros financeiros Despesa'!F1952*(1+'Parâmetros financeiros Despesa'!F$4)*(1+'Parâmetros financeiros Despesa'!F$7))</f>
        <v>1090.3315</v>
      </c>
      <c r="L2659" s="799">
        <f t="shared" ref="L2659:L2666" si="334">K2659/K$2722</f>
        <v>7.4601218217466127E-3</v>
      </c>
      <c r="M2659" s="894"/>
      <c r="N2659" s="796"/>
    </row>
    <row r="2660" spans="1:14" x14ac:dyDescent="0.25">
      <c r="B2660" s="852"/>
      <c r="C2660" s="1031"/>
      <c r="D2660" s="853" t="s">
        <v>9735</v>
      </c>
      <c r="E2660" s="854">
        <v>333903200000000</v>
      </c>
      <c r="F2660" s="855" t="s">
        <v>9592</v>
      </c>
      <c r="G2660" s="468">
        <v>1</v>
      </c>
      <c r="H2660" s="468">
        <v>0</v>
      </c>
      <c r="I2660" s="856"/>
      <c r="J2660" s="1033">
        <f>('Parâmetros financeiros Despesa'!E1953)</f>
        <v>0</v>
      </c>
      <c r="K2660" s="1033">
        <f>('Parâmetros financeiros Despesa'!F1953*(1+'Parâmetros financeiros Despesa'!F$4)*(1+'Parâmetros financeiros Despesa'!F$7))</f>
        <v>1090.3315</v>
      </c>
      <c r="L2660" s="799">
        <f t="shared" si="334"/>
        <v>7.4601218217466127E-3</v>
      </c>
      <c r="M2660" s="894"/>
      <c r="N2660" s="796"/>
    </row>
    <row r="2661" spans="1:14" x14ac:dyDescent="0.25">
      <c r="B2661" s="1031"/>
      <c r="C2661" s="1031"/>
      <c r="D2661" s="853" t="s">
        <v>9736</v>
      </c>
      <c r="E2661" s="854">
        <v>333903600000000</v>
      </c>
      <c r="F2661" s="855" t="s">
        <v>9593</v>
      </c>
      <c r="G2661" s="468">
        <v>1</v>
      </c>
      <c r="H2661" s="468">
        <v>0</v>
      </c>
      <c r="I2661" s="856"/>
      <c r="J2661" s="1033">
        <f>('Parâmetros financeiros Despesa'!E1954)</f>
        <v>0</v>
      </c>
      <c r="K2661" s="1033">
        <f>('Parâmetros financeiros Despesa'!F1954*(1+'Parâmetros financeiros Despesa'!F$4)*(1+'Parâmetros financeiros Despesa'!F$7))</f>
        <v>1090.3315</v>
      </c>
      <c r="L2661" s="799">
        <f t="shared" si="334"/>
        <v>7.4601218217466127E-3</v>
      </c>
      <c r="M2661" s="894"/>
      <c r="N2661" s="796"/>
    </row>
    <row r="2662" spans="1:14" x14ac:dyDescent="0.25">
      <c r="B2662" s="852"/>
      <c r="C2662" s="1031"/>
      <c r="D2662" s="853" t="s">
        <v>9737</v>
      </c>
      <c r="E2662" s="854">
        <v>333903900000000</v>
      </c>
      <c r="F2662" s="855" t="s">
        <v>9594</v>
      </c>
      <c r="G2662" s="468">
        <v>1</v>
      </c>
      <c r="H2662" s="468">
        <v>0</v>
      </c>
      <c r="I2662" s="856"/>
      <c r="J2662" s="1033">
        <f>('Parâmetros financeiros Despesa'!E1955)</f>
        <v>0</v>
      </c>
      <c r="K2662" s="1033">
        <f>('Parâmetros financeiros Despesa'!F1955*(1+'Parâmetros financeiros Despesa'!F$4)*(1+'Parâmetros financeiros Despesa'!F$7))</f>
        <v>1090.3315</v>
      </c>
      <c r="L2662" s="799">
        <f t="shared" si="334"/>
        <v>7.4601218217466127E-3</v>
      </c>
      <c r="M2662" s="894"/>
      <c r="N2662" s="796"/>
    </row>
    <row r="2663" spans="1:14" x14ac:dyDescent="0.25">
      <c r="B2663" s="852"/>
      <c r="C2663" s="852"/>
      <c r="D2663" s="853" t="s">
        <v>9738</v>
      </c>
      <c r="E2663" s="854">
        <v>333904700000000</v>
      </c>
      <c r="F2663" s="855" t="s">
        <v>9595</v>
      </c>
      <c r="G2663" s="468">
        <v>1</v>
      </c>
      <c r="H2663" s="468">
        <v>0</v>
      </c>
      <c r="I2663" s="856"/>
      <c r="J2663" s="1033">
        <f>('Parâmetros financeiros Despesa'!E1956)</f>
        <v>0</v>
      </c>
      <c r="K2663" s="1033">
        <f>('Parâmetros financeiros Despesa'!F1956*(1+'Parâmetros financeiros Despesa'!F$4)*(1+'Parâmetros financeiros Despesa'!F$7))</f>
        <v>218.06630000000001</v>
      </c>
      <c r="L2663" s="799">
        <f t="shared" si="334"/>
        <v>1.4920243643493226E-3</v>
      </c>
      <c r="M2663" s="894"/>
      <c r="N2663" s="796"/>
    </row>
    <row r="2664" spans="1:14" x14ac:dyDescent="0.25">
      <c r="B2664" s="852"/>
      <c r="C2664" s="852"/>
      <c r="D2664" s="853" t="s">
        <v>9739</v>
      </c>
      <c r="E2664" s="854">
        <v>333933000000000</v>
      </c>
      <c r="F2664" s="855" t="s">
        <v>9597</v>
      </c>
      <c r="G2664" s="468">
        <v>1</v>
      </c>
      <c r="H2664" s="468">
        <v>0</v>
      </c>
      <c r="I2664" s="856"/>
      <c r="J2664" s="1033">
        <f>('Parâmetros financeiros Despesa'!E1957)</f>
        <v>0</v>
      </c>
      <c r="K2664" s="1033">
        <f>('Parâmetros financeiros Despesa'!F1957*(1+'Parâmetros financeiros Despesa'!F$4)*(1+'Parâmetros financeiros Despesa'!F$7))</f>
        <v>1090.3315</v>
      </c>
      <c r="L2664" s="799">
        <f t="shared" si="334"/>
        <v>7.4601218217466127E-3</v>
      </c>
      <c r="M2664" s="894"/>
      <c r="N2664" s="796"/>
    </row>
    <row r="2665" spans="1:14" x14ac:dyDescent="0.25">
      <c r="B2665" s="852"/>
      <c r="C2665" s="852"/>
      <c r="D2665" s="853" t="s">
        <v>9740</v>
      </c>
      <c r="E2665" s="854">
        <v>333933900000000</v>
      </c>
      <c r="F2665" s="855" t="s">
        <v>9598</v>
      </c>
      <c r="G2665" s="468">
        <v>1</v>
      </c>
      <c r="H2665" s="468">
        <v>0</v>
      </c>
      <c r="I2665" s="856"/>
      <c r="J2665" s="1033">
        <f>('Parâmetros financeiros Despesa'!E1958)</f>
        <v>0</v>
      </c>
      <c r="K2665" s="1033">
        <f>('Parâmetros financeiros Despesa'!F1958*(1+'Parâmetros financeiros Despesa'!F$4)*(1+'Parâmetros financeiros Despesa'!F$7))</f>
        <v>1090.3315</v>
      </c>
      <c r="L2665" s="799">
        <f t="shared" si="334"/>
        <v>7.4601218217466127E-3</v>
      </c>
      <c r="M2665" s="894"/>
      <c r="N2665" s="796"/>
    </row>
    <row r="2666" spans="1:14" x14ac:dyDescent="0.25">
      <c r="B2666" s="852"/>
      <c r="C2666" s="852"/>
      <c r="D2666" s="853" t="s">
        <v>9741</v>
      </c>
      <c r="E2666" s="854">
        <v>344905200000000</v>
      </c>
      <c r="F2666" s="855" t="s">
        <v>9596</v>
      </c>
      <c r="G2666" s="468">
        <v>1</v>
      </c>
      <c r="H2666" s="468">
        <v>0</v>
      </c>
      <c r="I2666" s="856"/>
      <c r="J2666" s="1033">
        <f>('Parâmetros financeiros Despesa'!E1959)</f>
        <v>0</v>
      </c>
      <c r="K2666" s="1033">
        <f>('Parâmetros financeiros Despesa'!F1959*(1+'Parâmetros financeiros Despesa'!F$4)*(1+'Parâmetros financeiros Despesa'!F$7))</f>
        <v>1090.3315</v>
      </c>
      <c r="L2666" s="799">
        <f t="shared" si="334"/>
        <v>7.4601218217466127E-3</v>
      </c>
      <c r="M2666" s="894"/>
      <c r="N2666" s="796"/>
    </row>
    <row r="2667" spans="1:14" x14ac:dyDescent="0.25">
      <c r="A2667" s="397"/>
      <c r="B2667" s="1382" t="s">
        <v>7831</v>
      </c>
      <c r="C2667" s="1382"/>
      <c r="D2667" s="1382"/>
      <c r="E2667" s="1382"/>
      <c r="F2667" s="1382"/>
      <c r="G2667" s="405"/>
      <c r="H2667" s="405"/>
      <c r="I2667" s="428"/>
      <c r="J2667" s="406">
        <f t="shared" ref="J2667:K2669" si="335">J2668</f>
        <v>0</v>
      </c>
      <c r="K2667" s="406">
        <f t="shared" si="335"/>
        <v>16354.9825</v>
      </c>
      <c r="L2667" s="453">
        <f>K2667/K$2722</f>
        <v>0.11190189574687512</v>
      </c>
    </row>
    <row r="2668" spans="1:14" x14ac:dyDescent="0.25">
      <c r="A2668" s="397"/>
      <c r="B2668" s="1383" t="s">
        <v>9584</v>
      </c>
      <c r="C2668" s="1383"/>
      <c r="D2668" s="1383"/>
      <c r="E2668" s="1383"/>
      <c r="F2668" s="1383"/>
      <c r="G2668" s="407"/>
      <c r="H2668" s="407"/>
      <c r="I2668" s="429"/>
      <c r="J2668" s="408">
        <f t="shared" si="335"/>
        <v>0</v>
      </c>
      <c r="K2668" s="408">
        <f t="shared" si="335"/>
        <v>16354.9825</v>
      </c>
      <c r="L2668" s="454">
        <f>K2668/K$2722</f>
        <v>0.11190189574687512</v>
      </c>
    </row>
    <row r="2669" spans="1:14" x14ac:dyDescent="0.25">
      <c r="A2669" s="397"/>
      <c r="B2669" s="1385" t="s">
        <v>9489</v>
      </c>
      <c r="C2669" s="1385"/>
      <c r="D2669" s="1385"/>
      <c r="E2669" s="1385"/>
      <c r="F2669" s="1385"/>
      <c r="G2669" s="401"/>
      <c r="H2669" s="401"/>
      <c r="I2669" s="426"/>
      <c r="J2669" s="402">
        <f t="shared" si="335"/>
        <v>0</v>
      </c>
      <c r="K2669" s="402">
        <f t="shared" si="335"/>
        <v>16354.9825</v>
      </c>
      <c r="L2669" s="451">
        <f>K2669/K$2722</f>
        <v>0.11190189574687512</v>
      </c>
    </row>
    <row r="2670" spans="1:14" x14ac:dyDescent="0.25">
      <c r="A2670" s="397"/>
      <c r="B2670" s="1386" t="s">
        <v>9552</v>
      </c>
      <c r="C2670" s="1386"/>
      <c r="D2670" s="1386"/>
      <c r="E2670" s="1386"/>
      <c r="F2670" s="1386"/>
      <c r="G2670" s="403"/>
      <c r="H2670" s="403"/>
      <c r="I2670" s="427"/>
      <c r="J2670" s="404">
        <f>SUM(J2671:J2672)</f>
        <v>0</v>
      </c>
      <c r="K2670" s="404">
        <f>SUM(K2671:K2672)+0.01</f>
        <v>16354.9825</v>
      </c>
      <c r="L2670" s="452">
        <f>K2670/K$2722</f>
        <v>0.11190189574687512</v>
      </c>
    </row>
    <row r="2671" spans="1:14" x14ac:dyDescent="0.25">
      <c r="B2671" s="1035"/>
      <c r="C2671" s="1031"/>
      <c r="D2671" s="853" t="s">
        <v>9742</v>
      </c>
      <c r="E2671" s="854">
        <v>333900800000000</v>
      </c>
      <c r="F2671" s="855" t="s">
        <v>9599</v>
      </c>
      <c r="G2671" s="468">
        <v>1</v>
      </c>
      <c r="H2671" s="468">
        <v>0</v>
      </c>
      <c r="I2671" s="856"/>
      <c r="J2671" s="1033">
        <f>('Parâmetros financeiros Despesa'!E1961)</f>
        <v>0</v>
      </c>
      <c r="K2671" s="1033">
        <f>('Parâmetros financeiros Despesa'!F1961*(1+'Parâmetros financeiros Despesa'!F$4)*(1+'Parâmetros financeiros Despesa'!F$7))</f>
        <v>5451.6575000000003</v>
      </c>
      <c r="L2671" s="799">
        <f t="shared" ref="L2671:L2672" si="336">K2671/K$2722</f>
        <v>3.7300609108733063E-2</v>
      </c>
      <c r="M2671" s="894"/>
      <c r="N2671" s="796"/>
    </row>
    <row r="2672" spans="1:14" x14ac:dyDescent="0.25">
      <c r="B2672" s="852"/>
      <c r="C2672" s="1031"/>
      <c r="D2672" s="853" t="s">
        <v>9743</v>
      </c>
      <c r="E2672" s="854">
        <v>333903200000000</v>
      </c>
      <c r="F2672" s="855" t="s">
        <v>9600</v>
      </c>
      <c r="G2672" s="468">
        <v>1</v>
      </c>
      <c r="H2672" s="468">
        <v>0</v>
      </c>
      <c r="I2672" s="856"/>
      <c r="J2672" s="1033">
        <f>('Parâmetros financeiros Despesa'!E1962)</f>
        <v>0</v>
      </c>
      <c r="K2672" s="1033">
        <f>('Parâmetros financeiros Despesa'!F1962*(1+'Parâmetros financeiros Despesa'!F$4)*(1+'Parâmetros financeiros Despesa'!F$7))</f>
        <v>10903.315000000001</v>
      </c>
      <c r="L2672" s="799">
        <f t="shared" si="336"/>
        <v>7.4601218217466125E-2</v>
      </c>
      <c r="M2672" s="894"/>
      <c r="N2672" s="796"/>
    </row>
    <row r="2673" spans="1:14" x14ac:dyDescent="0.25">
      <c r="A2673" s="397"/>
      <c r="B2673" s="1382" t="s">
        <v>7831</v>
      </c>
      <c r="C2673" s="1382"/>
      <c r="D2673" s="1382"/>
      <c r="E2673" s="1382"/>
      <c r="F2673" s="1382"/>
      <c r="G2673" s="405"/>
      <c r="H2673" s="405"/>
      <c r="I2673" s="428"/>
      <c r="J2673" s="406">
        <f t="shared" ref="J2673:K2675" si="337">J2674</f>
        <v>0</v>
      </c>
      <c r="K2673" s="406">
        <f t="shared" si="337"/>
        <v>2834.8819000000003</v>
      </c>
      <c r="L2673" s="453">
        <f>K2673/K$2722</f>
        <v>1.9396453577893054E-2</v>
      </c>
    </row>
    <row r="2674" spans="1:14" x14ac:dyDescent="0.25">
      <c r="A2674" s="397"/>
      <c r="B2674" s="1383" t="s">
        <v>9584</v>
      </c>
      <c r="C2674" s="1383"/>
      <c r="D2674" s="1383"/>
      <c r="E2674" s="1383"/>
      <c r="F2674" s="1383"/>
      <c r="G2674" s="407"/>
      <c r="H2674" s="407"/>
      <c r="I2674" s="429"/>
      <c r="J2674" s="408">
        <f t="shared" si="337"/>
        <v>0</v>
      </c>
      <c r="K2674" s="408">
        <f t="shared" si="337"/>
        <v>2834.8819000000003</v>
      </c>
      <c r="L2674" s="454">
        <f>K2674/K$2722</f>
        <v>1.9396453577893054E-2</v>
      </c>
    </row>
    <row r="2675" spans="1:14" x14ac:dyDescent="0.25">
      <c r="A2675" s="397"/>
      <c r="B2675" s="1385" t="s">
        <v>9489</v>
      </c>
      <c r="C2675" s="1385"/>
      <c r="D2675" s="1385"/>
      <c r="E2675" s="1385"/>
      <c r="F2675" s="1385"/>
      <c r="G2675" s="401"/>
      <c r="H2675" s="401"/>
      <c r="I2675" s="426"/>
      <c r="J2675" s="402">
        <f t="shared" si="337"/>
        <v>0</v>
      </c>
      <c r="K2675" s="402">
        <f t="shared" si="337"/>
        <v>2834.8819000000003</v>
      </c>
      <c r="L2675" s="451">
        <f>K2675/K$2722</f>
        <v>1.9396453577893054E-2</v>
      </c>
    </row>
    <row r="2676" spans="1:14" x14ac:dyDescent="0.25">
      <c r="A2676" s="397"/>
      <c r="B2676" s="1386" t="s">
        <v>11369</v>
      </c>
      <c r="C2676" s="1386"/>
      <c r="D2676" s="1386"/>
      <c r="E2676" s="1386"/>
      <c r="F2676" s="1386"/>
      <c r="G2676" s="403"/>
      <c r="H2676" s="403"/>
      <c r="I2676" s="427"/>
      <c r="J2676" s="404">
        <f>SUM(J2677:J2682)</f>
        <v>0</v>
      </c>
      <c r="K2676" s="404">
        <f>SUM(K2677:K2682)+0.02</f>
        <v>2834.8819000000003</v>
      </c>
      <c r="L2676" s="452">
        <f>K2676/K$2722</f>
        <v>1.9396453577893054E-2</v>
      </c>
    </row>
    <row r="2677" spans="1:14" x14ac:dyDescent="0.25">
      <c r="B2677" s="1035"/>
      <c r="C2677" s="1031"/>
      <c r="D2677" s="853" t="s">
        <v>9744</v>
      </c>
      <c r="E2677" s="854">
        <v>333900800000000</v>
      </c>
      <c r="F2677" s="855" t="s">
        <v>9624</v>
      </c>
      <c r="G2677" s="468">
        <v>1</v>
      </c>
      <c r="H2677" s="468">
        <v>0</v>
      </c>
      <c r="I2677" s="856"/>
      <c r="J2677" s="1033">
        <f>('Parâmetros financeiros Despesa'!E1964)</f>
        <v>0</v>
      </c>
      <c r="K2677" s="1033">
        <f>('Parâmetros financeiros Despesa'!F1964*(1+'Parâmetros financeiros Despesa'!F$4)*(1+'Parâmetros financeiros Despesa'!F$7))</f>
        <v>545.16575</v>
      </c>
      <c r="L2677" s="799">
        <f t="shared" ref="L2677:L2682" si="338">K2677/K$2722</f>
        <v>3.7300609108733064E-3</v>
      </c>
      <c r="M2677" s="894"/>
      <c r="N2677" s="796"/>
    </row>
    <row r="2678" spans="1:14" x14ac:dyDescent="0.25">
      <c r="B2678" s="852"/>
      <c r="C2678" s="1031"/>
      <c r="D2678" s="853" t="s">
        <v>9745</v>
      </c>
      <c r="E2678" s="854">
        <v>333903200000000</v>
      </c>
      <c r="F2678" s="855" t="s">
        <v>9625</v>
      </c>
      <c r="G2678" s="468">
        <v>1</v>
      </c>
      <c r="H2678" s="468">
        <v>0</v>
      </c>
      <c r="I2678" s="856"/>
      <c r="J2678" s="1033">
        <f>('Parâmetros financeiros Despesa'!E1965)</f>
        <v>0</v>
      </c>
      <c r="K2678" s="1033">
        <f>('Parâmetros financeiros Despesa'!F1965*(1+'Parâmetros financeiros Despesa'!F$4)*(1+'Parâmetros financeiros Despesa'!F$7))</f>
        <v>545.16575</v>
      </c>
      <c r="L2678" s="799">
        <f t="shared" si="338"/>
        <v>3.7300609108733064E-3</v>
      </c>
      <c r="M2678" s="894"/>
      <c r="N2678" s="796"/>
    </row>
    <row r="2679" spans="1:14" x14ac:dyDescent="0.25">
      <c r="B2679" s="1031"/>
      <c r="C2679" s="1031"/>
      <c r="D2679" s="853" t="s">
        <v>9746</v>
      </c>
      <c r="E2679" s="854">
        <v>333903600000000</v>
      </c>
      <c r="F2679" s="855" t="s">
        <v>9626</v>
      </c>
      <c r="G2679" s="468">
        <v>1</v>
      </c>
      <c r="H2679" s="468">
        <v>0</v>
      </c>
      <c r="I2679" s="856"/>
      <c r="J2679" s="1033">
        <f>('Parâmetros financeiros Despesa'!E1966)</f>
        <v>0</v>
      </c>
      <c r="K2679" s="1033">
        <f>('Parâmetros financeiros Despesa'!F1966*(1+'Parâmetros financeiros Despesa'!F$4)*(1+'Parâmetros financeiros Despesa'!F$7))</f>
        <v>545.16575</v>
      </c>
      <c r="L2679" s="799">
        <f t="shared" si="338"/>
        <v>3.7300609108733064E-3</v>
      </c>
      <c r="M2679" s="894"/>
      <c r="N2679" s="796"/>
    </row>
    <row r="2680" spans="1:14" x14ac:dyDescent="0.25">
      <c r="B2680" s="852"/>
      <c r="C2680" s="1031"/>
      <c r="D2680" s="853" t="s">
        <v>9747</v>
      </c>
      <c r="E2680" s="854">
        <v>333903900000000</v>
      </c>
      <c r="F2680" s="855" t="s">
        <v>9627</v>
      </c>
      <c r="G2680" s="468">
        <v>1</v>
      </c>
      <c r="H2680" s="468">
        <v>0</v>
      </c>
      <c r="I2680" s="856"/>
      <c r="J2680" s="1033">
        <f>('Parâmetros financeiros Despesa'!E1967)</f>
        <v>0</v>
      </c>
      <c r="K2680" s="1033">
        <f>('Parâmetros financeiros Despesa'!F1967*(1+'Parâmetros financeiros Despesa'!F$4)*(1+'Parâmetros financeiros Despesa'!F$7))</f>
        <v>545.16575</v>
      </c>
      <c r="L2680" s="799">
        <f t="shared" si="338"/>
        <v>3.7300609108733064E-3</v>
      </c>
      <c r="M2680" s="894"/>
      <c r="N2680" s="796"/>
    </row>
    <row r="2681" spans="1:14" x14ac:dyDescent="0.25">
      <c r="B2681" s="852"/>
      <c r="C2681" s="852"/>
      <c r="D2681" s="853" t="s">
        <v>9748</v>
      </c>
      <c r="E2681" s="854">
        <v>333904700000000</v>
      </c>
      <c r="F2681" s="855" t="s">
        <v>9628</v>
      </c>
      <c r="G2681" s="468">
        <v>1</v>
      </c>
      <c r="H2681" s="468">
        <v>0</v>
      </c>
      <c r="I2681" s="856"/>
      <c r="J2681" s="1033">
        <f>('Parâmetros financeiros Despesa'!E1968)</f>
        <v>0</v>
      </c>
      <c r="K2681" s="1033">
        <f>('Parâmetros financeiros Despesa'!F1968*(1+'Parâmetros financeiros Despesa'!F$4)*(1+'Parâmetros financeiros Despesa'!F$7))</f>
        <v>109.03315000000001</v>
      </c>
      <c r="L2681" s="799">
        <f t="shared" si="338"/>
        <v>7.4601218217466131E-4</v>
      </c>
      <c r="M2681" s="894"/>
      <c r="N2681" s="796"/>
    </row>
    <row r="2682" spans="1:14" x14ac:dyDescent="0.25">
      <c r="B2682" s="852"/>
      <c r="C2682" s="852"/>
      <c r="D2682" s="853" t="s">
        <v>9749</v>
      </c>
      <c r="E2682" s="854">
        <v>333933900000000</v>
      </c>
      <c r="F2682" s="855" t="s">
        <v>9629</v>
      </c>
      <c r="G2682" s="468">
        <v>1</v>
      </c>
      <c r="H2682" s="468">
        <v>0</v>
      </c>
      <c r="I2682" s="856"/>
      <c r="J2682" s="1033">
        <f>('Parâmetros financeiros Despesa'!E1969)</f>
        <v>0</v>
      </c>
      <c r="K2682" s="1033">
        <f>('Parâmetros financeiros Despesa'!F1969*(1+'Parâmetros financeiros Despesa'!F$4)*(1+'Parâmetros financeiros Despesa'!F$7))</f>
        <v>545.16575</v>
      </c>
      <c r="L2682" s="799">
        <f t="shared" si="338"/>
        <v>3.7300609108733064E-3</v>
      </c>
      <c r="M2682" s="894"/>
      <c r="N2682" s="796"/>
    </row>
    <row r="2683" spans="1:14" x14ac:dyDescent="0.25">
      <c r="A2683" s="397"/>
      <c r="B2683" s="1382" t="s">
        <v>7831</v>
      </c>
      <c r="C2683" s="1382"/>
      <c r="D2683" s="1382"/>
      <c r="E2683" s="1382"/>
      <c r="F2683" s="1382"/>
      <c r="G2683" s="405"/>
      <c r="H2683" s="405"/>
      <c r="I2683" s="428"/>
      <c r="J2683" s="406">
        <f t="shared" ref="J2683:K2685" si="339">J2684</f>
        <v>0</v>
      </c>
      <c r="K2683" s="406">
        <f t="shared" si="339"/>
        <v>7.850386799999999</v>
      </c>
      <c r="L2683" s="453">
        <f>K2683/K$2722</f>
        <v>5.3712877116575609E-5</v>
      </c>
    </row>
    <row r="2684" spans="1:14" x14ac:dyDescent="0.25">
      <c r="A2684" s="397"/>
      <c r="B2684" s="1383" t="s">
        <v>9584</v>
      </c>
      <c r="C2684" s="1383"/>
      <c r="D2684" s="1383"/>
      <c r="E2684" s="1383"/>
      <c r="F2684" s="1383"/>
      <c r="G2684" s="407"/>
      <c r="H2684" s="407"/>
      <c r="I2684" s="429"/>
      <c r="J2684" s="408">
        <f t="shared" si="339"/>
        <v>0</v>
      </c>
      <c r="K2684" s="408">
        <f t="shared" si="339"/>
        <v>7.850386799999999</v>
      </c>
      <c r="L2684" s="454">
        <f>K2684/K$2722</f>
        <v>5.3712877116575609E-5</v>
      </c>
    </row>
    <row r="2685" spans="1:14" x14ac:dyDescent="0.25">
      <c r="A2685" s="397"/>
      <c r="B2685" s="1385" t="s">
        <v>9489</v>
      </c>
      <c r="C2685" s="1385"/>
      <c r="D2685" s="1385"/>
      <c r="E2685" s="1385"/>
      <c r="F2685" s="1385"/>
      <c r="G2685" s="401"/>
      <c r="H2685" s="401"/>
      <c r="I2685" s="426"/>
      <c r="J2685" s="402">
        <f t="shared" si="339"/>
        <v>0</v>
      </c>
      <c r="K2685" s="402">
        <f t="shared" si="339"/>
        <v>7.850386799999999</v>
      </c>
      <c r="L2685" s="451">
        <f>K2685/K$2722</f>
        <v>5.3712877116575609E-5</v>
      </c>
    </row>
    <row r="2686" spans="1:14" x14ac:dyDescent="0.25">
      <c r="A2686" s="397"/>
      <c r="B2686" s="1386" t="s">
        <v>9601</v>
      </c>
      <c r="C2686" s="1386"/>
      <c r="D2686" s="1386"/>
      <c r="E2686" s="1386"/>
      <c r="F2686" s="1386"/>
      <c r="G2686" s="403"/>
      <c r="H2686" s="403"/>
      <c r="I2686" s="427"/>
      <c r="J2686" s="404">
        <f>SUM(J2687:J2694)</f>
        <v>0</v>
      </c>
      <c r="K2686" s="404">
        <f>SUM(K2687:K2694)</f>
        <v>7.850386799999999</v>
      </c>
      <c r="L2686" s="452">
        <f>K2686/K$2722</f>
        <v>5.3712877116575609E-5</v>
      </c>
    </row>
    <row r="2687" spans="1:14" x14ac:dyDescent="0.25">
      <c r="B2687" s="1035"/>
      <c r="C2687" s="1031"/>
      <c r="D2687" s="853" t="s">
        <v>9750</v>
      </c>
      <c r="E2687" s="854">
        <v>333900800000000</v>
      </c>
      <c r="F2687" s="855" t="s">
        <v>9616</v>
      </c>
      <c r="G2687" s="468">
        <v>1</v>
      </c>
      <c r="H2687" s="468">
        <v>0</v>
      </c>
      <c r="I2687" s="856"/>
      <c r="J2687" s="1033">
        <f>('Parâmetros financeiros Despesa'!E1971)</f>
        <v>0</v>
      </c>
      <c r="K2687" s="1033">
        <f>('Parâmetros financeiros Despesa'!F1971*(1+'Parâmetros financeiros Despesa'!F$4)*(1+'Parâmetros financeiros Despesa'!F$7))</f>
        <v>1.0903315</v>
      </c>
      <c r="L2687" s="799">
        <f t="shared" ref="L2687:L2694" si="340">K2687/K$2722</f>
        <v>7.4601218217466132E-6</v>
      </c>
    </row>
    <row r="2688" spans="1:14" x14ac:dyDescent="0.25">
      <c r="B2688" s="1031"/>
      <c r="C2688" s="1031"/>
      <c r="D2688" s="853" t="s">
        <v>9751</v>
      </c>
      <c r="E2688" s="854">
        <v>333903000000000</v>
      </c>
      <c r="F2688" s="855" t="s">
        <v>9617</v>
      </c>
      <c r="G2688" s="468">
        <v>1</v>
      </c>
      <c r="H2688" s="468">
        <v>0</v>
      </c>
      <c r="I2688" s="856"/>
      <c r="J2688" s="1033">
        <f>('Parâmetros financeiros Despesa'!E1972)</f>
        <v>0</v>
      </c>
      <c r="K2688" s="1033">
        <f>('Parâmetros financeiros Despesa'!F1972*(1+'Parâmetros financeiros Despesa'!F$4)*(1+'Parâmetros financeiros Despesa'!F$7))</f>
        <v>1.0903315</v>
      </c>
      <c r="L2688" s="799">
        <f t="shared" si="340"/>
        <v>7.4601218217466132E-6</v>
      </c>
    </row>
    <row r="2689" spans="1:14" x14ac:dyDescent="0.25">
      <c r="B2689" s="852"/>
      <c r="C2689" s="1031"/>
      <c r="D2689" s="853" t="s">
        <v>9752</v>
      </c>
      <c r="E2689" s="854">
        <v>333903200000000</v>
      </c>
      <c r="F2689" s="855" t="s">
        <v>9618</v>
      </c>
      <c r="G2689" s="468">
        <v>1</v>
      </c>
      <c r="H2689" s="468">
        <v>0</v>
      </c>
      <c r="I2689" s="856"/>
      <c r="J2689" s="1033">
        <f>('Parâmetros financeiros Despesa'!E1973)</f>
        <v>0</v>
      </c>
      <c r="K2689" s="1033">
        <f>('Parâmetros financeiros Despesa'!F1973*(1+'Parâmetros financeiros Despesa'!F$4)*(1+'Parâmetros financeiros Despesa'!F$7))</f>
        <v>1.0903315</v>
      </c>
      <c r="L2689" s="799">
        <f t="shared" si="340"/>
        <v>7.4601218217466132E-6</v>
      </c>
    </row>
    <row r="2690" spans="1:14" x14ac:dyDescent="0.25">
      <c r="B2690" s="1031"/>
      <c r="C2690" s="1031"/>
      <c r="D2690" s="853" t="s">
        <v>9753</v>
      </c>
      <c r="E2690" s="854">
        <v>333903600000000</v>
      </c>
      <c r="F2690" s="855" t="s">
        <v>9619</v>
      </c>
      <c r="G2690" s="468">
        <v>1</v>
      </c>
      <c r="H2690" s="468">
        <v>0</v>
      </c>
      <c r="I2690" s="856"/>
      <c r="J2690" s="1033">
        <f>('Parâmetros financeiros Despesa'!E1974)</f>
        <v>0</v>
      </c>
      <c r="K2690" s="1033">
        <f>('Parâmetros financeiros Despesa'!F1974*(1+'Parâmetros financeiros Despesa'!F$4)*(1+'Parâmetros financeiros Despesa'!F$7))</f>
        <v>1.0903315</v>
      </c>
      <c r="L2690" s="799">
        <f t="shared" si="340"/>
        <v>7.4601218217466132E-6</v>
      </c>
    </row>
    <row r="2691" spans="1:14" x14ac:dyDescent="0.25">
      <c r="B2691" s="852"/>
      <c r="C2691" s="1031"/>
      <c r="D2691" s="853" t="s">
        <v>9754</v>
      </c>
      <c r="E2691" s="854">
        <v>333903900000000</v>
      </c>
      <c r="F2691" s="855" t="s">
        <v>9620</v>
      </c>
      <c r="G2691" s="468">
        <v>1</v>
      </c>
      <c r="H2691" s="468">
        <v>0</v>
      </c>
      <c r="I2691" s="856"/>
      <c r="J2691" s="1033">
        <f>('Parâmetros financeiros Despesa'!E1975)</f>
        <v>0</v>
      </c>
      <c r="K2691" s="1033">
        <f>('Parâmetros financeiros Despesa'!F1975*(1+'Parâmetros financeiros Despesa'!F$4)*(1+'Parâmetros financeiros Despesa'!F$7))</f>
        <v>1.0903315</v>
      </c>
      <c r="L2691" s="799">
        <f t="shared" si="340"/>
        <v>7.4601218217466132E-6</v>
      </c>
    </row>
    <row r="2692" spans="1:14" x14ac:dyDescent="0.25">
      <c r="B2692" s="852"/>
      <c r="C2692" s="852"/>
      <c r="D2692" s="853" t="s">
        <v>9755</v>
      </c>
      <c r="E2692" s="854">
        <v>333904700000000</v>
      </c>
      <c r="F2692" s="855" t="s">
        <v>9621</v>
      </c>
      <c r="G2692" s="468">
        <v>1</v>
      </c>
      <c r="H2692" s="468">
        <v>0</v>
      </c>
      <c r="I2692" s="856"/>
      <c r="J2692" s="1033">
        <f>('Parâmetros financeiros Despesa'!E1976)</f>
        <v>0</v>
      </c>
      <c r="K2692" s="1033">
        <f>('Parâmetros financeiros Despesa'!F1976*(1+'Parâmetros financeiros Despesa'!F$4)*(1+'Parâmetros financeiros Despesa'!F$7))</f>
        <v>0.21806630000000002</v>
      </c>
      <c r="L2692" s="799">
        <f t="shared" si="340"/>
        <v>1.4920243643493227E-6</v>
      </c>
    </row>
    <row r="2693" spans="1:14" x14ac:dyDescent="0.25">
      <c r="B2693" s="852"/>
      <c r="C2693" s="852"/>
      <c r="D2693" s="853" t="s">
        <v>9756</v>
      </c>
      <c r="E2693" s="854">
        <v>333933000000000</v>
      </c>
      <c r="F2693" s="855" t="s">
        <v>9623</v>
      </c>
      <c r="G2693" s="468">
        <v>1</v>
      </c>
      <c r="H2693" s="468">
        <v>0</v>
      </c>
      <c r="I2693" s="856"/>
      <c r="J2693" s="1033">
        <f>('Parâmetros financeiros Despesa'!E1977)</f>
        <v>0</v>
      </c>
      <c r="K2693" s="1033">
        <f>('Parâmetros financeiros Despesa'!F1977*(1+'Parâmetros financeiros Despesa'!F$4)*(1+'Parâmetros financeiros Despesa'!F$7))</f>
        <v>1.0903315</v>
      </c>
      <c r="L2693" s="799">
        <f t="shared" si="340"/>
        <v>7.4601218217466132E-6</v>
      </c>
    </row>
    <row r="2694" spans="1:14" x14ac:dyDescent="0.25">
      <c r="B2694" s="852"/>
      <c r="C2694" s="852"/>
      <c r="D2694" s="853" t="s">
        <v>9757</v>
      </c>
      <c r="E2694" s="854">
        <v>333933900000000</v>
      </c>
      <c r="F2694" s="855" t="s">
        <v>9622</v>
      </c>
      <c r="G2694" s="468">
        <v>1</v>
      </c>
      <c r="H2694" s="468">
        <v>0</v>
      </c>
      <c r="I2694" s="856"/>
      <c r="J2694" s="1033">
        <f>('Parâmetros financeiros Despesa'!E1978)</f>
        <v>0</v>
      </c>
      <c r="K2694" s="1033">
        <f>('Parâmetros financeiros Despesa'!F1978*(1+'Parâmetros financeiros Despesa'!F$4)*(1+'Parâmetros financeiros Despesa'!F$7))</f>
        <v>1.0903315</v>
      </c>
      <c r="L2694" s="799">
        <f t="shared" si="340"/>
        <v>7.4601218217466132E-6</v>
      </c>
    </row>
    <row r="2695" spans="1:14" x14ac:dyDescent="0.25">
      <c r="A2695" s="397"/>
      <c r="B2695" s="1382" t="s">
        <v>7831</v>
      </c>
      <c r="C2695" s="1382"/>
      <c r="D2695" s="1382"/>
      <c r="E2695" s="1382"/>
      <c r="F2695" s="1382"/>
      <c r="G2695" s="405"/>
      <c r="H2695" s="405"/>
      <c r="I2695" s="428"/>
      <c r="J2695" s="406">
        <f t="shared" ref="J2695:K2697" si="341">J2696</f>
        <v>0</v>
      </c>
      <c r="K2695" s="406">
        <f t="shared" si="341"/>
        <v>3925.2234000000008</v>
      </c>
      <c r="L2695" s="453">
        <f>K2695/K$2722</f>
        <v>2.68566438203156E-2</v>
      </c>
    </row>
    <row r="2696" spans="1:14" x14ac:dyDescent="0.25">
      <c r="A2696" s="397"/>
      <c r="B2696" s="1383" t="s">
        <v>9584</v>
      </c>
      <c r="C2696" s="1383"/>
      <c r="D2696" s="1383"/>
      <c r="E2696" s="1383"/>
      <c r="F2696" s="1383"/>
      <c r="G2696" s="407"/>
      <c r="H2696" s="407"/>
      <c r="I2696" s="429"/>
      <c r="J2696" s="408">
        <f t="shared" si="341"/>
        <v>0</v>
      </c>
      <c r="K2696" s="408">
        <f t="shared" si="341"/>
        <v>3925.2234000000008</v>
      </c>
      <c r="L2696" s="454">
        <f>K2696/K$2722</f>
        <v>2.68566438203156E-2</v>
      </c>
    </row>
    <row r="2697" spans="1:14" x14ac:dyDescent="0.25">
      <c r="A2697" s="397"/>
      <c r="B2697" s="1385" t="s">
        <v>9489</v>
      </c>
      <c r="C2697" s="1385"/>
      <c r="D2697" s="1385"/>
      <c r="E2697" s="1385"/>
      <c r="F2697" s="1385"/>
      <c r="G2697" s="401"/>
      <c r="H2697" s="401"/>
      <c r="I2697" s="426"/>
      <c r="J2697" s="402">
        <f t="shared" si="341"/>
        <v>0</v>
      </c>
      <c r="K2697" s="402">
        <f t="shared" si="341"/>
        <v>3925.2234000000008</v>
      </c>
      <c r="L2697" s="451">
        <f>K2697/K$2722</f>
        <v>2.68566438203156E-2</v>
      </c>
    </row>
    <row r="2698" spans="1:14" x14ac:dyDescent="0.25">
      <c r="A2698" s="397"/>
      <c r="B2698" s="1386" t="s">
        <v>9557</v>
      </c>
      <c r="C2698" s="1386"/>
      <c r="D2698" s="1386"/>
      <c r="E2698" s="1386"/>
      <c r="F2698" s="1386"/>
      <c r="G2698" s="403"/>
      <c r="H2698" s="403"/>
      <c r="I2698" s="427"/>
      <c r="J2698" s="404">
        <f>SUM(J2699:J2706)</f>
        <v>0</v>
      </c>
      <c r="K2698" s="404">
        <f>SUM(K2699:K2706)+0.03</f>
        <v>3925.2234000000008</v>
      </c>
      <c r="L2698" s="452">
        <f>K2698/K$2722</f>
        <v>2.68566438203156E-2</v>
      </c>
    </row>
    <row r="2699" spans="1:14" x14ac:dyDescent="0.25">
      <c r="B2699" s="1035"/>
      <c r="C2699" s="1031"/>
      <c r="D2699" s="853" t="s">
        <v>9758</v>
      </c>
      <c r="E2699" s="854">
        <v>333900800000000</v>
      </c>
      <c r="F2699" s="855" t="s">
        <v>9610</v>
      </c>
      <c r="G2699" s="468">
        <v>1</v>
      </c>
      <c r="H2699" s="468">
        <v>0</v>
      </c>
      <c r="I2699" s="856"/>
      <c r="J2699" s="1033">
        <f>('Parâmetros financeiros Despesa'!E1980)</f>
        <v>0</v>
      </c>
      <c r="K2699" s="1033">
        <f>('Parâmetros financeiros Despesa'!F1980*(1+'Parâmetros financeiros Despesa'!F$4)*(1+'Parâmetros financeiros Despesa'!F$7))</f>
        <v>545.16575</v>
      </c>
      <c r="L2699" s="799">
        <f t="shared" ref="L2699:L2706" si="342">K2699/K$2722</f>
        <v>3.7300609108733064E-3</v>
      </c>
      <c r="M2699" s="894"/>
      <c r="N2699" s="796"/>
    </row>
    <row r="2700" spans="1:14" x14ac:dyDescent="0.25">
      <c r="B2700" s="1031"/>
      <c r="C2700" s="1031"/>
      <c r="D2700" s="853" t="s">
        <v>9759</v>
      </c>
      <c r="E2700" s="854">
        <v>333903000000000</v>
      </c>
      <c r="F2700" s="855" t="s">
        <v>9766</v>
      </c>
      <c r="G2700" s="468">
        <v>1</v>
      </c>
      <c r="H2700" s="468">
        <v>0</v>
      </c>
      <c r="I2700" s="856"/>
      <c r="J2700" s="1033">
        <f>('Parâmetros financeiros Despesa'!E1981)</f>
        <v>0</v>
      </c>
      <c r="K2700" s="1033">
        <f>('Parâmetros financeiros Despesa'!F1981*(1+'Parâmetros financeiros Despesa'!F$4)*(1+'Parâmetros financeiros Despesa'!F$7))</f>
        <v>545.16575</v>
      </c>
      <c r="L2700" s="799">
        <f t="shared" si="342"/>
        <v>3.7300609108733064E-3</v>
      </c>
      <c r="M2700" s="894"/>
      <c r="N2700" s="796"/>
    </row>
    <row r="2701" spans="1:14" x14ac:dyDescent="0.25">
      <c r="B2701" s="852"/>
      <c r="C2701" s="1031"/>
      <c r="D2701" s="853" t="s">
        <v>9760</v>
      </c>
      <c r="E2701" s="854">
        <v>333903200000000</v>
      </c>
      <c r="F2701" s="855" t="s">
        <v>9611</v>
      </c>
      <c r="G2701" s="468">
        <v>1</v>
      </c>
      <c r="H2701" s="468">
        <v>0</v>
      </c>
      <c r="I2701" s="856"/>
      <c r="J2701" s="1033">
        <f>('Parâmetros financeiros Despesa'!E1982)</f>
        <v>0</v>
      </c>
      <c r="K2701" s="1033">
        <f>('Parâmetros financeiros Despesa'!F1982*(1+'Parâmetros financeiros Despesa'!F$4)*(1+'Parâmetros financeiros Despesa'!F$7))</f>
        <v>545.16575</v>
      </c>
      <c r="L2701" s="799">
        <f t="shared" si="342"/>
        <v>3.7300609108733064E-3</v>
      </c>
      <c r="M2701" s="894"/>
      <c r="N2701" s="796"/>
    </row>
    <row r="2702" spans="1:14" x14ac:dyDescent="0.25">
      <c r="B2702" s="1031"/>
      <c r="C2702" s="1031"/>
      <c r="D2702" s="853" t="s">
        <v>9761</v>
      </c>
      <c r="E2702" s="854">
        <v>333903600000000</v>
      </c>
      <c r="F2702" s="855" t="s">
        <v>9767</v>
      </c>
      <c r="G2702" s="468">
        <v>1</v>
      </c>
      <c r="H2702" s="468">
        <v>0</v>
      </c>
      <c r="I2702" s="856"/>
      <c r="J2702" s="1033">
        <f>('Parâmetros financeiros Despesa'!E1983)</f>
        <v>0</v>
      </c>
      <c r="K2702" s="1033">
        <f>('Parâmetros financeiros Despesa'!F1983*(1+'Parâmetros financeiros Despesa'!F$4)*(1+'Parâmetros financeiros Despesa'!F$7))</f>
        <v>545.16575</v>
      </c>
      <c r="L2702" s="799">
        <f t="shared" si="342"/>
        <v>3.7300609108733064E-3</v>
      </c>
      <c r="M2702" s="894"/>
      <c r="N2702" s="796"/>
    </row>
    <row r="2703" spans="1:14" x14ac:dyDescent="0.25">
      <c r="B2703" s="852"/>
      <c r="C2703" s="1031"/>
      <c r="D2703" s="853" t="s">
        <v>9762</v>
      </c>
      <c r="E2703" s="854">
        <v>333903900000000</v>
      </c>
      <c r="F2703" s="855" t="s">
        <v>9612</v>
      </c>
      <c r="G2703" s="468">
        <v>1</v>
      </c>
      <c r="H2703" s="468">
        <v>0</v>
      </c>
      <c r="I2703" s="856"/>
      <c r="J2703" s="1033">
        <f>('Parâmetros financeiros Despesa'!E1984)</f>
        <v>0</v>
      </c>
      <c r="K2703" s="1033">
        <f>('Parâmetros financeiros Despesa'!F1985*(1+'Parâmetros financeiros Despesa'!F$4)*(1+'Parâmetros financeiros Despesa'!F$7))</f>
        <v>545.16575</v>
      </c>
      <c r="L2703" s="799">
        <f t="shared" si="342"/>
        <v>3.7300609108733064E-3</v>
      </c>
      <c r="M2703" s="894"/>
      <c r="N2703" s="796"/>
    </row>
    <row r="2704" spans="1:14" x14ac:dyDescent="0.25">
      <c r="B2704" s="852"/>
      <c r="C2704" s="852"/>
      <c r="D2704" s="853" t="s">
        <v>9763</v>
      </c>
      <c r="E2704" s="854">
        <v>333904700000000</v>
      </c>
      <c r="F2704" s="855" t="s">
        <v>9613</v>
      </c>
      <c r="G2704" s="468">
        <v>1</v>
      </c>
      <c r="H2704" s="468">
        <v>0</v>
      </c>
      <c r="I2704" s="856"/>
      <c r="J2704" s="1033">
        <f>('Parâmetros financeiros Despesa'!E1985)</f>
        <v>0</v>
      </c>
      <c r="K2704" s="1033">
        <f>('Parâmetros financeiros Despesa'!F1984*(1+'Parâmetros financeiros Despesa'!F$4)*(1+'Parâmetros financeiros Despesa'!F$7))</f>
        <v>109.03315000000001</v>
      </c>
      <c r="L2704" s="799">
        <f t="shared" si="342"/>
        <v>7.4601218217466131E-4</v>
      </c>
      <c r="M2704" s="894"/>
      <c r="N2704" s="796"/>
    </row>
    <row r="2705" spans="1:15" x14ac:dyDescent="0.25">
      <c r="B2705" s="852"/>
      <c r="C2705" s="852"/>
      <c r="D2705" s="853" t="s">
        <v>9764</v>
      </c>
      <c r="E2705" s="854">
        <v>333933000000000</v>
      </c>
      <c r="F2705" s="855" t="s">
        <v>9614</v>
      </c>
      <c r="G2705" s="468">
        <v>1</v>
      </c>
      <c r="H2705" s="468">
        <v>0</v>
      </c>
      <c r="I2705" s="856"/>
      <c r="J2705" s="1033">
        <f>('Parâmetros financeiros Despesa'!E1986)</f>
        <v>0</v>
      </c>
      <c r="K2705" s="1033">
        <f>('Parâmetros financeiros Despesa'!F1986*(1+'Parâmetros financeiros Despesa'!F$4)*(1+'Parâmetros financeiros Despesa'!F$7))</f>
        <v>545.16575</v>
      </c>
      <c r="L2705" s="799">
        <f t="shared" si="342"/>
        <v>3.7300609108733064E-3</v>
      </c>
      <c r="M2705" s="894"/>
      <c r="N2705" s="796"/>
    </row>
    <row r="2706" spans="1:15" x14ac:dyDescent="0.25">
      <c r="B2706" s="852"/>
      <c r="C2706" s="852"/>
      <c r="D2706" s="853" t="s">
        <v>9765</v>
      </c>
      <c r="E2706" s="854">
        <v>333933900000000</v>
      </c>
      <c r="F2706" s="855" t="s">
        <v>9615</v>
      </c>
      <c r="G2706" s="468">
        <v>1</v>
      </c>
      <c r="H2706" s="468">
        <v>0</v>
      </c>
      <c r="I2706" s="856"/>
      <c r="J2706" s="1033">
        <f>('Parâmetros financeiros Despesa'!E1987)</f>
        <v>0</v>
      </c>
      <c r="K2706" s="1033">
        <f>('Parâmetros financeiros Despesa'!F1987*(1+'Parâmetros financeiros Despesa'!F$4)*(1+'Parâmetros financeiros Despesa'!F$7))</f>
        <v>545.16575</v>
      </c>
      <c r="L2706" s="799">
        <f t="shared" si="342"/>
        <v>3.7300609108733064E-3</v>
      </c>
      <c r="M2706" s="894"/>
      <c r="N2706" s="796"/>
    </row>
    <row r="2707" spans="1:15" x14ac:dyDescent="0.25">
      <c r="A2707" s="397"/>
      <c r="B2707" s="1382" t="s">
        <v>7831</v>
      </c>
      <c r="C2707" s="1382"/>
      <c r="D2707" s="1382"/>
      <c r="E2707" s="1382"/>
      <c r="F2707" s="1382"/>
      <c r="G2707" s="405"/>
      <c r="H2707" s="405"/>
      <c r="I2707" s="428"/>
      <c r="J2707" s="406">
        <f t="shared" ref="J2707:K2709" si="343">J2708</f>
        <v>0</v>
      </c>
      <c r="K2707" s="406">
        <f t="shared" si="343"/>
        <v>3925.2234000000008</v>
      </c>
      <c r="L2707" s="453">
        <f>K2707/K$2722</f>
        <v>2.68566438203156E-2</v>
      </c>
    </row>
    <row r="2708" spans="1:15" x14ac:dyDescent="0.25">
      <c r="A2708" s="397"/>
      <c r="B2708" s="1383" t="s">
        <v>9584</v>
      </c>
      <c r="C2708" s="1383"/>
      <c r="D2708" s="1383"/>
      <c r="E2708" s="1383"/>
      <c r="F2708" s="1383"/>
      <c r="G2708" s="407"/>
      <c r="H2708" s="407"/>
      <c r="I2708" s="429"/>
      <c r="J2708" s="408">
        <f t="shared" si="343"/>
        <v>0</v>
      </c>
      <c r="K2708" s="408">
        <f t="shared" si="343"/>
        <v>3925.2234000000008</v>
      </c>
      <c r="L2708" s="454">
        <f>K2708/K$2722</f>
        <v>2.68566438203156E-2</v>
      </c>
    </row>
    <row r="2709" spans="1:15" x14ac:dyDescent="0.25">
      <c r="A2709" s="397"/>
      <c r="B2709" s="1385" t="s">
        <v>9489</v>
      </c>
      <c r="C2709" s="1385"/>
      <c r="D2709" s="1385"/>
      <c r="E2709" s="1385"/>
      <c r="F2709" s="1385"/>
      <c r="G2709" s="401"/>
      <c r="H2709" s="401"/>
      <c r="I2709" s="426"/>
      <c r="J2709" s="402">
        <f t="shared" si="343"/>
        <v>0</v>
      </c>
      <c r="K2709" s="402">
        <f>K2710</f>
        <v>3925.2234000000008</v>
      </c>
      <c r="L2709" s="451">
        <f>K2709/K$2722</f>
        <v>2.68566438203156E-2</v>
      </c>
    </row>
    <row r="2710" spans="1:15" x14ac:dyDescent="0.25">
      <c r="A2710" s="397"/>
      <c r="B2710" s="1386" t="s">
        <v>9558</v>
      </c>
      <c r="C2710" s="1386"/>
      <c r="D2710" s="1386"/>
      <c r="E2710" s="1386"/>
      <c r="F2710" s="1386"/>
      <c r="G2710" s="403"/>
      <c r="H2710" s="403"/>
      <c r="I2710" s="427"/>
      <c r="J2710" s="404">
        <f>SUM(J2711:J2718)</f>
        <v>0</v>
      </c>
      <c r="K2710" s="404">
        <f>SUM(K2711:K2718)+0.03</f>
        <v>3925.2234000000008</v>
      </c>
      <c r="L2710" s="452">
        <f>K2710/K$2722</f>
        <v>2.68566438203156E-2</v>
      </c>
    </row>
    <row r="2711" spans="1:15" x14ac:dyDescent="0.25">
      <c r="B2711" s="1031"/>
      <c r="C2711" s="1031"/>
      <c r="D2711" s="853" t="s">
        <v>9768</v>
      </c>
      <c r="E2711" s="854">
        <v>333903000000000</v>
      </c>
      <c r="F2711" s="855" t="s">
        <v>9602</v>
      </c>
      <c r="G2711" s="468">
        <v>1</v>
      </c>
      <c r="H2711" s="468">
        <v>0</v>
      </c>
      <c r="I2711" s="856"/>
      <c r="J2711" s="1033">
        <f>('Parâmetros financeiros Despesa'!E1989)</f>
        <v>0</v>
      </c>
      <c r="K2711" s="1033">
        <f>('Parâmetros financeiros Despesa'!F1989*(1+'Parâmetros financeiros Despesa'!F$4)*(1+'Parâmetros financeiros Despesa'!F$7))</f>
        <v>545.16575</v>
      </c>
      <c r="L2711" s="799">
        <f t="shared" ref="L2711:L2718" si="344">K2711/K$2722</f>
        <v>3.7300609108733064E-3</v>
      </c>
      <c r="M2711" s="894"/>
      <c r="N2711" s="796"/>
    </row>
    <row r="2712" spans="1:15" x14ac:dyDescent="0.25">
      <c r="B2712" s="852"/>
      <c r="C2712" s="1031"/>
      <c r="D2712" s="853" t="s">
        <v>9769</v>
      </c>
      <c r="E2712" s="854">
        <v>333903200000000</v>
      </c>
      <c r="F2712" s="855" t="s">
        <v>9603</v>
      </c>
      <c r="G2712" s="468">
        <v>1</v>
      </c>
      <c r="H2712" s="468">
        <v>0</v>
      </c>
      <c r="I2712" s="856"/>
      <c r="J2712" s="1033">
        <f>('Parâmetros financeiros Despesa'!E1990)</f>
        <v>0</v>
      </c>
      <c r="K2712" s="1033">
        <f>('Parâmetros financeiros Despesa'!F1990*(1+'Parâmetros financeiros Despesa'!F$4)*(1+'Parâmetros financeiros Despesa'!F$7))</f>
        <v>545.16575</v>
      </c>
      <c r="L2712" s="799">
        <f t="shared" si="344"/>
        <v>3.7300609108733064E-3</v>
      </c>
      <c r="M2712" s="894"/>
      <c r="N2712" s="796"/>
    </row>
    <row r="2713" spans="1:15" x14ac:dyDescent="0.25">
      <c r="B2713" s="1031"/>
      <c r="C2713" s="1031"/>
      <c r="D2713" s="853" t="s">
        <v>9770</v>
      </c>
      <c r="E2713" s="854">
        <v>333903600000000</v>
      </c>
      <c r="F2713" s="855" t="s">
        <v>9604</v>
      </c>
      <c r="G2713" s="468">
        <v>1</v>
      </c>
      <c r="H2713" s="468">
        <v>0</v>
      </c>
      <c r="I2713" s="856"/>
      <c r="J2713" s="1033">
        <f>('Parâmetros financeiros Despesa'!E1991)</f>
        <v>0</v>
      </c>
      <c r="K2713" s="1033">
        <f>('Parâmetros financeiros Despesa'!F1991*(1+'Parâmetros financeiros Despesa'!F$4)*(1+'Parâmetros financeiros Despesa'!F$7))</f>
        <v>545.16575</v>
      </c>
      <c r="L2713" s="799">
        <f t="shared" si="344"/>
        <v>3.7300609108733064E-3</v>
      </c>
      <c r="M2713" s="894"/>
      <c r="N2713" s="796"/>
    </row>
    <row r="2714" spans="1:15" x14ac:dyDescent="0.25">
      <c r="B2714" s="852"/>
      <c r="C2714" s="1031"/>
      <c r="D2714" s="853" t="s">
        <v>9771</v>
      </c>
      <c r="E2714" s="854">
        <v>333903900000000</v>
      </c>
      <c r="F2714" s="855" t="s">
        <v>9605</v>
      </c>
      <c r="G2714" s="468">
        <v>1</v>
      </c>
      <c r="H2714" s="468">
        <v>0</v>
      </c>
      <c r="I2714" s="856"/>
      <c r="J2714" s="1033">
        <f>('Parâmetros financeiros Despesa'!E1992)</f>
        <v>0</v>
      </c>
      <c r="K2714" s="1033">
        <f>('Parâmetros financeiros Despesa'!F1992*(1+'Parâmetros financeiros Despesa'!F$4)*(1+'Parâmetros financeiros Despesa'!F$7))</f>
        <v>545.16575</v>
      </c>
      <c r="L2714" s="799">
        <f t="shared" si="344"/>
        <v>3.7300609108733064E-3</v>
      </c>
      <c r="M2714" s="894"/>
      <c r="N2714" s="796"/>
    </row>
    <row r="2715" spans="1:15" x14ac:dyDescent="0.25">
      <c r="B2715" s="852"/>
      <c r="C2715" s="852"/>
      <c r="D2715" s="853" t="s">
        <v>9772</v>
      </c>
      <c r="E2715" s="854">
        <v>333904700000000</v>
      </c>
      <c r="F2715" s="855" t="s">
        <v>9606</v>
      </c>
      <c r="G2715" s="468">
        <v>1</v>
      </c>
      <c r="H2715" s="468">
        <v>0</v>
      </c>
      <c r="I2715" s="856"/>
      <c r="J2715" s="1033">
        <f>('Parâmetros financeiros Despesa'!E1993)</f>
        <v>0</v>
      </c>
      <c r="K2715" s="1033">
        <f>('Parâmetros financeiros Despesa'!F1993*(1+'Parâmetros financeiros Despesa'!F$4)*(1+'Parâmetros financeiros Despesa'!F$7))</f>
        <v>109.03315000000001</v>
      </c>
      <c r="L2715" s="799">
        <f t="shared" si="344"/>
        <v>7.4601218217466131E-4</v>
      </c>
      <c r="M2715" s="894"/>
      <c r="N2715" s="796"/>
    </row>
    <row r="2716" spans="1:15" x14ac:dyDescent="0.25">
      <c r="B2716" s="852"/>
      <c r="C2716" s="852"/>
      <c r="D2716" s="853" t="s">
        <v>9773</v>
      </c>
      <c r="E2716" s="854">
        <v>333933000000000</v>
      </c>
      <c r="F2716" s="855" t="s">
        <v>9607</v>
      </c>
      <c r="G2716" s="468">
        <v>1</v>
      </c>
      <c r="H2716" s="468">
        <v>0</v>
      </c>
      <c r="I2716" s="856"/>
      <c r="J2716" s="1033">
        <f>('Parâmetros financeiros Despesa'!E1994)</f>
        <v>0</v>
      </c>
      <c r="K2716" s="1033">
        <f>('Parâmetros financeiros Despesa'!F1994*(1+'Parâmetros financeiros Despesa'!F$4)*(1+'Parâmetros financeiros Despesa'!F$7))</f>
        <v>545.16575</v>
      </c>
      <c r="L2716" s="799">
        <f t="shared" si="344"/>
        <v>3.7300609108733064E-3</v>
      </c>
      <c r="M2716" s="894"/>
      <c r="N2716" s="796"/>
    </row>
    <row r="2717" spans="1:15" x14ac:dyDescent="0.25">
      <c r="B2717" s="852"/>
      <c r="C2717" s="852"/>
      <c r="D2717" s="853" t="s">
        <v>9774</v>
      </c>
      <c r="E2717" s="854">
        <v>333933900000000</v>
      </c>
      <c r="F2717" s="855" t="s">
        <v>9608</v>
      </c>
      <c r="G2717" s="468">
        <v>1</v>
      </c>
      <c r="H2717" s="468">
        <v>0</v>
      </c>
      <c r="I2717" s="856"/>
      <c r="J2717" s="1033">
        <f>('Parâmetros financeiros Despesa'!E1995)</f>
        <v>0</v>
      </c>
      <c r="K2717" s="1033">
        <f>('Parâmetros financeiros Despesa'!F1995*(1+'Parâmetros financeiros Despesa'!F$4)*(1+'Parâmetros financeiros Despesa'!F$7))</f>
        <v>545.16575</v>
      </c>
      <c r="L2717" s="799">
        <f t="shared" si="344"/>
        <v>3.7300609108733064E-3</v>
      </c>
      <c r="M2717" s="894"/>
      <c r="N2717" s="796"/>
    </row>
    <row r="2718" spans="1:15" x14ac:dyDescent="0.25">
      <c r="B2718" s="852"/>
      <c r="C2718" s="852"/>
      <c r="D2718" s="853" t="s">
        <v>9775</v>
      </c>
      <c r="E2718" s="854">
        <v>344905200000000</v>
      </c>
      <c r="F2718" s="855" t="s">
        <v>9609</v>
      </c>
      <c r="G2718" s="468">
        <v>1</v>
      </c>
      <c r="H2718" s="468">
        <v>0</v>
      </c>
      <c r="I2718" s="856"/>
      <c r="J2718" s="1033">
        <f>('Parâmetros financeiros Despesa'!E1996)</f>
        <v>0</v>
      </c>
      <c r="K2718" s="1033">
        <f>('Parâmetros financeiros Despesa'!F1996*(1+'Parâmetros financeiros Despesa'!F$4)*(1+'Parâmetros financeiros Despesa'!F$7))</f>
        <v>545.16575</v>
      </c>
      <c r="L2718" s="799">
        <f t="shared" si="344"/>
        <v>3.7300609108733064E-3</v>
      </c>
      <c r="M2718" s="894"/>
      <c r="N2718" s="796"/>
    </row>
    <row r="2719" spans="1:15" s="115" customFormat="1" x14ac:dyDescent="0.25">
      <c r="A2719" s="396"/>
      <c r="B2719" s="1395" t="s">
        <v>2172</v>
      </c>
      <c r="C2719" s="1395"/>
      <c r="D2719" s="1395"/>
      <c r="E2719" s="1395"/>
      <c r="F2719" s="1395"/>
      <c r="G2719" s="1395"/>
      <c r="H2719" s="1395"/>
      <c r="I2719" s="1395"/>
      <c r="J2719" s="1023">
        <f>J2710+J2698+J2686+J2676+J2670+J2658+J2647+J2640+J2630+J2619+J2608+J2602+J2596</f>
        <v>59038.740000000005</v>
      </c>
      <c r="K2719" s="1023">
        <f>K2710+K2698+K2686+K2676+K2670+K2658+K2647+K2640+K2630+K2619+K2608+K2602+K2596+0.01</f>
        <v>146154.65082910997</v>
      </c>
      <c r="L2719" s="452">
        <f>K2719/K$2722</f>
        <v>1</v>
      </c>
      <c r="M2719" s="894"/>
      <c r="O2719" s="733"/>
    </row>
    <row r="2720" spans="1:15" x14ac:dyDescent="0.25">
      <c r="B2720" s="864" t="s">
        <v>11469</v>
      </c>
      <c r="C2720" s="864"/>
      <c r="D2720" s="864"/>
      <c r="E2720" s="864"/>
      <c r="F2720" s="864"/>
      <c r="G2720" s="864"/>
      <c r="H2720" s="864"/>
      <c r="I2720" s="864"/>
      <c r="J2720" s="863"/>
      <c r="K2720" s="863"/>
      <c r="L2720" s="452"/>
    </row>
    <row r="2721" spans="1:15" x14ac:dyDescent="0.25">
      <c r="B2721" s="869" t="s">
        <v>745</v>
      </c>
      <c r="C2721" s="869"/>
      <c r="D2721" s="869"/>
      <c r="E2721" s="869"/>
      <c r="F2721" s="869"/>
      <c r="G2721" s="869"/>
      <c r="H2721" s="869"/>
      <c r="I2721" s="869"/>
      <c r="J2721" s="870">
        <f>J2719</f>
        <v>59038.740000000005</v>
      </c>
      <c r="K2721" s="870">
        <f>K2719</f>
        <v>146154.65082910997</v>
      </c>
      <c r="L2721" s="871">
        <f>K2721/K$2722</f>
        <v>1</v>
      </c>
    </row>
    <row r="2722" spans="1:15" s="115" customFormat="1" x14ac:dyDescent="0.25">
      <c r="B2722" s="864" t="s">
        <v>2172</v>
      </c>
      <c r="C2722" s="864"/>
      <c r="D2722" s="864"/>
      <c r="E2722" s="864"/>
      <c r="F2722" s="864"/>
      <c r="G2722" s="864"/>
      <c r="H2722" s="864"/>
      <c r="I2722" s="864"/>
      <c r="J2722" s="863">
        <f>SUM(J2721:J2721)</f>
        <v>59038.740000000005</v>
      </c>
      <c r="K2722" s="863">
        <f>SUM(K2721:K2721)</f>
        <v>146154.65082910997</v>
      </c>
      <c r="L2722" s="452">
        <f>K2722/K$2722</f>
        <v>1</v>
      </c>
      <c r="N2722" s="796"/>
      <c r="O2722" s="733"/>
    </row>
    <row r="2724" spans="1:15" s="435" customFormat="1" ht="15.75" x14ac:dyDescent="0.25">
      <c r="B2724" s="999" t="s">
        <v>989</v>
      </c>
      <c r="C2724" s="999"/>
      <c r="D2724" s="481"/>
      <c r="E2724" s="1371" t="s">
        <v>9486</v>
      </c>
      <c r="F2724" s="1371"/>
      <c r="G2724" s="1371"/>
      <c r="H2724" s="1371"/>
      <c r="I2724" s="1371"/>
      <c r="J2724" s="940"/>
      <c r="K2724" s="438"/>
      <c r="L2724" s="449"/>
      <c r="M2724" s="892"/>
      <c r="O2724" s="732"/>
    </row>
    <row r="2725" spans="1:15" s="435" customFormat="1" ht="18" customHeight="1" x14ac:dyDescent="0.25">
      <c r="B2725" s="999" t="s">
        <v>458</v>
      </c>
      <c r="C2725" s="999"/>
      <c r="D2725" s="481"/>
      <c r="E2725" s="1371" t="s">
        <v>9630</v>
      </c>
      <c r="F2725" s="1371"/>
      <c r="G2725" s="1371"/>
      <c r="H2725" s="1371"/>
      <c r="I2725" s="1371"/>
      <c r="J2725" s="940"/>
      <c r="K2725" s="438"/>
      <c r="L2725" s="449"/>
      <c r="M2725" s="892"/>
      <c r="O2725" s="732"/>
    </row>
    <row r="2726" spans="1:15" s="435" customFormat="1" ht="15.75" x14ac:dyDescent="0.25">
      <c r="B2726" s="1005" t="s">
        <v>5764</v>
      </c>
      <c r="C2726" s="1005"/>
      <c r="D2726" s="1005"/>
      <c r="E2726" s="1371" t="s">
        <v>749</v>
      </c>
      <c r="F2726" s="1371"/>
      <c r="G2726" s="1371"/>
      <c r="H2726" s="1371"/>
      <c r="I2726" s="1371"/>
      <c r="J2726" s="941"/>
      <c r="K2726" s="438"/>
      <c r="L2726" s="449"/>
      <c r="M2726" s="892"/>
      <c r="O2726" s="732"/>
    </row>
    <row r="2727" spans="1:15" ht="88.5" x14ac:dyDescent="0.25">
      <c r="A2727" s="396"/>
      <c r="B2727" s="1400" t="s">
        <v>2296</v>
      </c>
      <c r="C2727" s="1400"/>
      <c r="D2727" s="1400"/>
      <c r="E2727" s="1384" t="s">
        <v>2297</v>
      </c>
      <c r="F2727" s="1384"/>
      <c r="G2727" s="443" t="s">
        <v>444</v>
      </c>
      <c r="H2727" s="443" t="s">
        <v>2245</v>
      </c>
      <c r="I2727" s="444" t="s">
        <v>5725</v>
      </c>
      <c r="J2727" s="893" t="s">
        <v>11644</v>
      </c>
      <c r="K2727" s="1000" t="s">
        <v>11522</v>
      </c>
      <c r="L2727" s="450" t="s">
        <v>235</v>
      </c>
    </row>
    <row r="2728" spans="1:15" x14ac:dyDescent="0.25">
      <c r="A2728" s="397"/>
      <c r="B2728" s="1382" t="s">
        <v>7831</v>
      </c>
      <c r="C2728" s="1382"/>
      <c r="D2728" s="1382"/>
      <c r="E2728" s="1382"/>
      <c r="F2728" s="1382"/>
      <c r="G2728" s="405"/>
      <c r="H2728" s="405"/>
      <c r="I2728" s="428"/>
      <c r="J2728" s="406">
        <f t="shared" ref="J2728:K2730" si="345">J2729</f>
        <v>0</v>
      </c>
      <c r="K2728" s="406">
        <f t="shared" si="345"/>
        <v>12060.619999999999</v>
      </c>
      <c r="L2728" s="453">
        <f>K2728/K$2768</f>
        <v>0.97212890121227735</v>
      </c>
    </row>
    <row r="2729" spans="1:15" x14ac:dyDescent="0.25">
      <c r="A2729" s="397"/>
      <c r="B2729" s="1383" t="s">
        <v>9584</v>
      </c>
      <c r="C2729" s="1383"/>
      <c r="D2729" s="1383"/>
      <c r="E2729" s="1383"/>
      <c r="F2729" s="1383"/>
      <c r="G2729" s="407"/>
      <c r="H2729" s="407"/>
      <c r="I2729" s="429"/>
      <c r="J2729" s="408">
        <f t="shared" si="345"/>
        <v>0</v>
      </c>
      <c r="K2729" s="408">
        <f t="shared" si="345"/>
        <v>12060.619999999999</v>
      </c>
      <c r="L2729" s="454">
        <f>K2729/K$2768</f>
        <v>0.97212890121227735</v>
      </c>
    </row>
    <row r="2730" spans="1:15" x14ac:dyDescent="0.25">
      <c r="A2730" s="397"/>
      <c r="B2730" s="1385" t="s">
        <v>9489</v>
      </c>
      <c r="C2730" s="1385"/>
      <c r="D2730" s="1385"/>
      <c r="E2730" s="1385"/>
      <c r="F2730" s="1385"/>
      <c r="G2730" s="401"/>
      <c r="H2730" s="401"/>
      <c r="I2730" s="426"/>
      <c r="J2730" s="402">
        <f t="shared" si="345"/>
        <v>0</v>
      </c>
      <c r="K2730" s="402">
        <f t="shared" si="345"/>
        <v>12060.619999999999</v>
      </c>
      <c r="L2730" s="451">
        <f>K2730/K$2768</f>
        <v>0.97212890121227735</v>
      </c>
    </row>
    <row r="2731" spans="1:15" x14ac:dyDescent="0.25">
      <c r="A2731" s="397"/>
      <c r="B2731" s="1386" t="s">
        <v>9631</v>
      </c>
      <c r="C2731" s="1386"/>
      <c r="D2731" s="1386"/>
      <c r="E2731" s="1386"/>
      <c r="F2731" s="1386"/>
      <c r="G2731" s="403"/>
      <c r="H2731" s="403"/>
      <c r="I2731" s="427"/>
      <c r="J2731" s="404">
        <f>SUM(J2732:J2741)</f>
        <v>0</v>
      </c>
      <c r="K2731" s="404">
        <f>SUM(K2732:K2741)</f>
        <v>12060.619999999999</v>
      </c>
      <c r="L2731" s="452">
        <f>K2731/K$2768</f>
        <v>0.97212890121227735</v>
      </c>
    </row>
    <row r="2732" spans="1:15" x14ac:dyDescent="0.25">
      <c r="A2732" s="397"/>
      <c r="B2732" s="830"/>
      <c r="C2732" s="830"/>
      <c r="D2732" s="822" t="s">
        <v>9776</v>
      </c>
      <c r="E2732" s="823">
        <v>333309300000000</v>
      </c>
      <c r="F2732" s="824" t="s">
        <v>9785</v>
      </c>
      <c r="G2732" s="825">
        <v>1152</v>
      </c>
      <c r="H2732" s="825">
        <v>0</v>
      </c>
      <c r="I2732" s="752"/>
      <c r="J2732" s="808">
        <f>'Parâmetros financeiros Despesa'!E2002</f>
        <v>0</v>
      </c>
      <c r="K2732" s="808">
        <f>'Parâmetros financeiros Despesa'!F2002</f>
        <v>1</v>
      </c>
      <c r="L2732" s="835">
        <f t="shared" ref="L2732:L2741" si="346">K2732/K$2768</f>
        <v>8.0603559453185439E-5</v>
      </c>
    </row>
    <row r="2733" spans="1:15" x14ac:dyDescent="0.25">
      <c r="A2733" s="397"/>
      <c r="B2733" s="830"/>
      <c r="C2733" s="830"/>
      <c r="D2733" s="822" t="s">
        <v>9777</v>
      </c>
      <c r="E2733" s="823">
        <v>333903000000000</v>
      </c>
      <c r="F2733" s="824" t="s">
        <v>9641</v>
      </c>
      <c r="G2733" s="825">
        <v>1152</v>
      </c>
      <c r="H2733" s="825">
        <v>0</v>
      </c>
      <c r="I2733" s="752"/>
      <c r="J2733" s="808">
        <f>'Parâmetros financeiros Despesa'!E2003</f>
        <v>0</v>
      </c>
      <c r="K2733" s="808">
        <f>'Parâmetros financeiros Despesa'!F2003</f>
        <v>1259.6199999999999</v>
      </c>
      <c r="L2733" s="835">
        <f t="shared" si="346"/>
        <v>0.10152985555842144</v>
      </c>
    </row>
    <row r="2734" spans="1:15" x14ac:dyDescent="0.25">
      <c r="B2734" s="828"/>
      <c r="C2734" s="821"/>
      <c r="D2734" s="822" t="s">
        <v>9778</v>
      </c>
      <c r="E2734" s="823">
        <v>333903200000000</v>
      </c>
      <c r="F2734" s="824" t="s">
        <v>9634</v>
      </c>
      <c r="G2734" s="825">
        <v>1152</v>
      </c>
      <c r="H2734" s="825">
        <v>0</v>
      </c>
      <c r="I2734" s="826"/>
      <c r="J2734" s="808">
        <f>'Parâmetros financeiros Despesa'!E2004</f>
        <v>0</v>
      </c>
      <c r="K2734" s="808">
        <f>'Parâmetros financeiros Despesa'!F2004</f>
        <v>3000</v>
      </c>
      <c r="L2734" s="835">
        <f t="shared" si="346"/>
        <v>0.24181067835955633</v>
      </c>
    </row>
    <row r="2735" spans="1:15" x14ac:dyDescent="0.25">
      <c r="B2735" s="821"/>
      <c r="C2735" s="821"/>
      <c r="D2735" s="822" t="s">
        <v>9779</v>
      </c>
      <c r="E2735" s="823">
        <v>333903600000000</v>
      </c>
      <c r="F2735" s="824" t="s">
        <v>9635</v>
      </c>
      <c r="G2735" s="825">
        <v>1152</v>
      </c>
      <c r="H2735" s="825">
        <v>0</v>
      </c>
      <c r="I2735" s="826"/>
      <c r="J2735" s="808">
        <f>'Parâmetros financeiros Despesa'!E2005</f>
        <v>0</v>
      </c>
      <c r="K2735" s="808">
        <f>'Parâmetros financeiros Despesa'!F2005</f>
        <v>1500</v>
      </c>
      <c r="L2735" s="835">
        <f t="shared" si="346"/>
        <v>0.12090533917977817</v>
      </c>
    </row>
    <row r="2736" spans="1:15" x14ac:dyDescent="0.25">
      <c r="B2736" s="828"/>
      <c r="C2736" s="821"/>
      <c r="D2736" s="822" t="s">
        <v>9780</v>
      </c>
      <c r="E2736" s="823">
        <v>333903900000000</v>
      </c>
      <c r="F2736" s="824" t="s">
        <v>9636</v>
      </c>
      <c r="G2736" s="825">
        <v>1</v>
      </c>
      <c r="H2736" s="825">
        <v>0</v>
      </c>
      <c r="I2736" s="826"/>
      <c r="J2736" s="808">
        <f>'Parâmetros financeiros Despesa'!E2006</f>
        <v>0</v>
      </c>
      <c r="K2736" s="808">
        <f>'Parâmetros financeiros Despesa'!F2006</f>
        <v>2000</v>
      </c>
      <c r="L2736" s="835">
        <f t="shared" si="346"/>
        <v>0.16120711890637088</v>
      </c>
    </row>
    <row r="2737" spans="1:12" x14ac:dyDescent="0.25">
      <c r="B2737" s="828"/>
      <c r="C2737" s="821"/>
      <c r="D2737" s="822" t="s">
        <v>9781</v>
      </c>
      <c r="E2737" s="823">
        <v>333903900000000</v>
      </c>
      <c r="F2737" s="824" t="s">
        <v>9636</v>
      </c>
      <c r="G2737" s="825">
        <v>1152</v>
      </c>
      <c r="H2737" s="825">
        <v>0</v>
      </c>
      <c r="I2737" s="826"/>
      <c r="J2737" s="808">
        <f>'Parâmetros financeiros Despesa'!E2007</f>
        <v>0</v>
      </c>
      <c r="K2737" s="808">
        <f>'Parâmetros financeiros Despesa'!F2007</f>
        <v>1000</v>
      </c>
      <c r="L2737" s="835">
        <f t="shared" si="346"/>
        <v>8.0603559453185439E-2</v>
      </c>
    </row>
    <row r="2738" spans="1:12" x14ac:dyDescent="0.25">
      <c r="B2738" s="828"/>
      <c r="C2738" s="828"/>
      <c r="D2738" s="822" t="s">
        <v>9782</v>
      </c>
      <c r="E2738" s="823">
        <v>333904700000000</v>
      </c>
      <c r="F2738" s="824" t="s">
        <v>9637</v>
      </c>
      <c r="G2738" s="825">
        <v>1152</v>
      </c>
      <c r="H2738" s="825">
        <v>0</v>
      </c>
      <c r="I2738" s="826"/>
      <c r="J2738" s="808">
        <f>'Parâmetros financeiros Despesa'!E2008</f>
        <v>0</v>
      </c>
      <c r="K2738" s="808">
        <f>'Parâmetros financeiros Despesa'!F2008</f>
        <v>300</v>
      </c>
      <c r="L2738" s="835">
        <f t="shared" si="346"/>
        <v>2.4181067835955632E-2</v>
      </c>
    </row>
    <row r="2739" spans="1:12" x14ac:dyDescent="0.25">
      <c r="B2739" s="828"/>
      <c r="C2739" s="828"/>
      <c r="D2739" s="822" t="s">
        <v>9783</v>
      </c>
      <c r="E2739" s="823">
        <v>333933000000000</v>
      </c>
      <c r="F2739" s="824" t="s">
        <v>9638</v>
      </c>
      <c r="G2739" s="825">
        <v>1152</v>
      </c>
      <c r="H2739" s="825">
        <v>0</v>
      </c>
      <c r="I2739" s="826"/>
      <c r="J2739" s="808">
        <f>'Parâmetros financeiros Despesa'!E2009</f>
        <v>0</v>
      </c>
      <c r="K2739" s="808">
        <f>'Parâmetros financeiros Despesa'!F2009</f>
        <v>1000</v>
      </c>
      <c r="L2739" s="835">
        <f t="shared" si="346"/>
        <v>8.0603559453185439E-2</v>
      </c>
    </row>
    <row r="2740" spans="1:12" x14ac:dyDescent="0.25">
      <c r="B2740" s="828"/>
      <c r="C2740" s="828"/>
      <c r="D2740" s="822" t="s">
        <v>9784</v>
      </c>
      <c r="E2740" s="823">
        <v>333933900000000</v>
      </c>
      <c r="F2740" s="824" t="s">
        <v>9639</v>
      </c>
      <c r="G2740" s="825">
        <v>1152</v>
      </c>
      <c r="H2740" s="825">
        <v>0</v>
      </c>
      <c r="I2740" s="826"/>
      <c r="J2740" s="808">
        <f>'Parâmetros financeiros Despesa'!E2010</f>
        <v>0</v>
      </c>
      <c r="K2740" s="808">
        <f>'Parâmetros financeiros Despesa'!F2010</f>
        <v>1000</v>
      </c>
      <c r="L2740" s="835">
        <f t="shared" si="346"/>
        <v>8.0603559453185439E-2</v>
      </c>
    </row>
    <row r="2741" spans="1:12" x14ac:dyDescent="0.25">
      <c r="B2741" s="828"/>
      <c r="C2741" s="828"/>
      <c r="D2741" s="822" t="s">
        <v>9786</v>
      </c>
      <c r="E2741" s="823">
        <v>344905200000000</v>
      </c>
      <c r="F2741" s="824" t="s">
        <v>9640</v>
      </c>
      <c r="G2741" s="825">
        <v>1152</v>
      </c>
      <c r="H2741" s="825">
        <v>0</v>
      </c>
      <c r="I2741" s="826"/>
      <c r="J2741" s="808">
        <f>'Parâmetros financeiros Despesa'!E2011</f>
        <v>0</v>
      </c>
      <c r="K2741" s="808">
        <f>'Parâmetros financeiros Despesa'!F2011</f>
        <v>1000</v>
      </c>
      <c r="L2741" s="835">
        <f t="shared" si="346"/>
        <v>8.0603559453185439E-2</v>
      </c>
    </row>
    <row r="2742" spans="1:12" x14ac:dyDescent="0.25">
      <c r="A2742" s="397"/>
      <c r="B2742" s="1382" t="s">
        <v>7831</v>
      </c>
      <c r="C2742" s="1382"/>
      <c r="D2742" s="1382"/>
      <c r="E2742" s="1382"/>
      <c r="F2742" s="1382"/>
      <c r="G2742" s="405"/>
      <c r="H2742" s="405"/>
      <c r="I2742" s="428"/>
      <c r="J2742" s="406">
        <f t="shared" ref="J2742:K2744" si="347">J2743</f>
        <v>0</v>
      </c>
      <c r="K2742" s="406">
        <f t="shared" si="347"/>
        <v>166.17000000000002</v>
      </c>
      <c r="L2742" s="453">
        <f>K2742/K$2768</f>
        <v>1.3393893474335826E-2</v>
      </c>
    </row>
    <row r="2743" spans="1:12" x14ac:dyDescent="0.25">
      <c r="A2743" s="397"/>
      <c r="B2743" s="1383" t="s">
        <v>9584</v>
      </c>
      <c r="C2743" s="1383"/>
      <c r="D2743" s="1383"/>
      <c r="E2743" s="1383"/>
      <c r="F2743" s="1383"/>
      <c r="G2743" s="407"/>
      <c r="H2743" s="407"/>
      <c r="I2743" s="429"/>
      <c r="J2743" s="408">
        <f t="shared" si="347"/>
        <v>0</v>
      </c>
      <c r="K2743" s="408">
        <f t="shared" si="347"/>
        <v>166.17000000000002</v>
      </c>
      <c r="L2743" s="454">
        <f>K2743/K$2768</f>
        <v>1.3393893474335826E-2</v>
      </c>
    </row>
    <row r="2744" spans="1:12" x14ac:dyDescent="0.25">
      <c r="A2744" s="397"/>
      <c r="B2744" s="1385" t="s">
        <v>9489</v>
      </c>
      <c r="C2744" s="1385"/>
      <c r="D2744" s="1385"/>
      <c r="E2744" s="1385"/>
      <c r="F2744" s="1385"/>
      <c r="G2744" s="401"/>
      <c r="H2744" s="401"/>
      <c r="I2744" s="426"/>
      <c r="J2744" s="402">
        <f t="shared" si="347"/>
        <v>0</v>
      </c>
      <c r="K2744" s="402">
        <f t="shared" si="347"/>
        <v>166.17000000000002</v>
      </c>
      <c r="L2744" s="451">
        <f>K2744/K$2768</f>
        <v>1.3393893474335826E-2</v>
      </c>
    </row>
    <row r="2745" spans="1:12" x14ac:dyDescent="0.25">
      <c r="A2745" s="397"/>
      <c r="B2745" s="1386" t="s">
        <v>9632</v>
      </c>
      <c r="C2745" s="1386"/>
      <c r="D2745" s="1386"/>
      <c r="E2745" s="1386"/>
      <c r="F2745" s="1386"/>
      <c r="G2745" s="403"/>
      <c r="H2745" s="403"/>
      <c r="I2745" s="427"/>
      <c r="J2745" s="404">
        <f>SUM(J2746:J2748)</f>
        <v>0</v>
      </c>
      <c r="K2745" s="404">
        <f>SUM(K2746:K2748)</f>
        <v>166.17000000000002</v>
      </c>
      <c r="L2745" s="452">
        <f>K2745/K$2768</f>
        <v>1.3393893474335826E-2</v>
      </c>
    </row>
    <row r="2746" spans="1:12" x14ac:dyDescent="0.25">
      <c r="A2746" s="397"/>
      <c r="B2746" s="830"/>
      <c r="C2746" s="830"/>
      <c r="D2746" s="822" t="s">
        <v>9787</v>
      </c>
      <c r="E2746" s="823">
        <v>333903000000000</v>
      </c>
      <c r="F2746" s="824" t="s">
        <v>9651</v>
      </c>
      <c r="G2746" s="825">
        <v>1106</v>
      </c>
      <c r="H2746" s="825">
        <v>0</v>
      </c>
      <c r="I2746" s="752"/>
      <c r="J2746" s="808">
        <f>'Parâmetros financeiros Despesa'!E2013</f>
        <v>0</v>
      </c>
      <c r="K2746" s="808">
        <f>'Parâmetros financeiros Despesa'!F2013</f>
        <v>100</v>
      </c>
      <c r="L2746" s="835">
        <f t="shared" ref="L2746:L2748" si="348">K2746/K$2768</f>
        <v>8.0603559453185439E-3</v>
      </c>
    </row>
    <row r="2747" spans="1:12" x14ac:dyDescent="0.25">
      <c r="B2747" s="828"/>
      <c r="C2747" s="821"/>
      <c r="D2747" s="822" t="s">
        <v>9788</v>
      </c>
      <c r="E2747" s="823">
        <v>333903200000000</v>
      </c>
      <c r="F2747" s="824" t="s">
        <v>9650</v>
      </c>
      <c r="G2747" s="825">
        <v>1106</v>
      </c>
      <c r="H2747" s="825">
        <v>0</v>
      </c>
      <c r="I2747" s="826"/>
      <c r="J2747" s="808">
        <f>'Parâmetros financeiros Despesa'!E2014</f>
        <v>0</v>
      </c>
      <c r="K2747" s="808">
        <f>'Parâmetros financeiros Despesa'!F2014</f>
        <v>65.17</v>
      </c>
      <c r="L2747" s="835">
        <f t="shared" si="348"/>
        <v>5.2529339695640952E-3</v>
      </c>
    </row>
    <row r="2748" spans="1:12" x14ac:dyDescent="0.25">
      <c r="B2748" s="828"/>
      <c r="C2748" s="821"/>
      <c r="D2748" s="822" t="s">
        <v>9789</v>
      </c>
      <c r="E2748" s="823">
        <v>333903900000000</v>
      </c>
      <c r="F2748" s="824" t="s">
        <v>9790</v>
      </c>
      <c r="G2748" s="825">
        <v>1106</v>
      </c>
      <c r="H2748" s="825">
        <v>0</v>
      </c>
      <c r="I2748" s="826"/>
      <c r="J2748" s="808">
        <f>'Parâmetros financeiros Despesa'!E2015</f>
        <v>0</v>
      </c>
      <c r="K2748" s="808">
        <f>'Parâmetros financeiros Despesa'!F2015</f>
        <v>1</v>
      </c>
      <c r="L2748" s="835">
        <f t="shared" si="348"/>
        <v>8.0603559453185439E-5</v>
      </c>
    </row>
    <row r="2749" spans="1:12" x14ac:dyDescent="0.25">
      <c r="A2749" s="397"/>
      <c r="B2749" s="1382" t="s">
        <v>7831</v>
      </c>
      <c r="C2749" s="1382"/>
      <c r="D2749" s="1382"/>
      <c r="E2749" s="1382"/>
      <c r="F2749" s="1382"/>
      <c r="G2749" s="405"/>
      <c r="H2749" s="405"/>
      <c r="I2749" s="428"/>
      <c r="J2749" s="406">
        <f t="shared" ref="J2749:K2751" si="349">J2750</f>
        <v>0</v>
      </c>
      <c r="K2749" s="406">
        <f t="shared" si="349"/>
        <v>179.60999999999999</v>
      </c>
      <c r="L2749" s="453">
        <f>K2749/K$2768</f>
        <v>1.4477205313386636E-2</v>
      </c>
    </row>
    <row r="2750" spans="1:12" x14ac:dyDescent="0.25">
      <c r="A2750" s="397"/>
      <c r="B2750" s="1383" t="s">
        <v>9584</v>
      </c>
      <c r="C2750" s="1383"/>
      <c r="D2750" s="1383"/>
      <c r="E2750" s="1383"/>
      <c r="F2750" s="1383"/>
      <c r="G2750" s="407"/>
      <c r="H2750" s="407"/>
      <c r="I2750" s="429"/>
      <c r="J2750" s="408">
        <f t="shared" si="349"/>
        <v>0</v>
      </c>
      <c r="K2750" s="408">
        <f t="shared" si="349"/>
        <v>179.60999999999999</v>
      </c>
      <c r="L2750" s="454">
        <f>K2750/K$2768</f>
        <v>1.4477205313386636E-2</v>
      </c>
    </row>
    <row r="2751" spans="1:12" x14ac:dyDescent="0.25">
      <c r="A2751" s="397"/>
      <c r="B2751" s="1385" t="s">
        <v>9489</v>
      </c>
      <c r="C2751" s="1385"/>
      <c r="D2751" s="1385"/>
      <c r="E2751" s="1385"/>
      <c r="F2751" s="1385"/>
      <c r="G2751" s="401"/>
      <c r="H2751" s="401"/>
      <c r="I2751" s="426"/>
      <c r="J2751" s="402">
        <f t="shared" si="349"/>
        <v>0</v>
      </c>
      <c r="K2751" s="402">
        <f t="shared" si="349"/>
        <v>179.60999999999999</v>
      </c>
      <c r="L2751" s="451">
        <f>K2751/K$2768</f>
        <v>1.4477205313386636E-2</v>
      </c>
    </row>
    <row r="2752" spans="1:12" x14ac:dyDescent="0.25">
      <c r="A2752" s="397"/>
      <c r="B2752" s="1386" t="s">
        <v>9633</v>
      </c>
      <c r="C2752" s="1386"/>
      <c r="D2752" s="1386"/>
      <c r="E2752" s="1386"/>
      <c r="F2752" s="1386"/>
      <c r="G2752" s="403"/>
      <c r="H2752" s="403"/>
      <c r="I2752" s="427"/>
      <c r="J2752" s="404">
        <f>SUM(J2753:J2761)</f>
        <v>0</v>
      </c>
      <c r="K2752" s="404">
        <f>SUM(K2753:K2761)</f>
        <v>179.60999999999999</v>
      </c>
      <c r="L2752" s="452">
        <f>K2752/K$2768</f>
        <v>1.4477205313386636E-2</v>
      </c>
    </row>
    <row r="2753" spans="1:15" x14ac:dyDescent="0.25">
      <c r="A2753" s="397"/>
      <c r="B2753" s="830"/>
      <c r="C2753" s="830"/>
      <c r="D2753" s="822" t="s">
        <v>9791</v>
      </c>
      <c r="E2753" s="823">
        <v>333309300000000</v>
      </c>
      <c r="F2753" s="824" t="s">
        <v>9799</v>
      </c>
      <c r="G2753" s="825">
        <v>1099</v>
      </c>
      <c r="H2753" s="825">
        <v>0</v>
      </c>
      <c r="I2753" s="752"/>
      <c r="J2753" s="808">
        <f>'Parâmetros financeiros Despesa'!E2017</f>
        <v>0</v>
      </c>
      <c r="K2753" s="808">
        <f>'Parâmetros financeiros Despesa'!F2017</f>
        <v>1</v>
      </c>
      <c r="L2753" s="835">
        <f t="shared" ref="L2753:L2760" si="350">K2753/K$2768</f>
        <v>8.0603559453185439E-5</v>
      </c>
    </row>
    <row r="2754" spans="1:15" x14ac:dyDescent="0.25">
      <c r="A2754" s="397"/>
      <c r="B2754" s="830"/>
      <c r="C2754" s="830"/>
      <c r="D2754" s="822" t="s">
        <v>9792</v>
      </c>
      <c r="E2754" s="823">
        <v>333903000000000</v>
      </c>
      <c r="F2754" s="824" t="s">
        <v>9642</v>
      </c>
      <c r="G2754" s="825">
        <v>1099</v>
      </c>
      <c r="H2754" s="825">
        <v>0</v>
      </c>
      <c r="I2754" s="752"/>
      <c r="J2754" s="808">
        <f>'Parâmetros financeiros Despesa'!E2018</f>
        <v>0</v>
      </c>
      <c r="K2754" s="808">
        <f>'Parâmetros financeiros Despesa'!F2018</f>
        <v>1</v>
      </c>
      <c r="L2754" s="835">
        <f t="shared" si="350"/>
        <v>8.0603559453185439E-5</v>
      </c>
    </row>
    <row r="2755" spans="1:15" x14ac:dyDescent="0.25">
      <c r="B2755" s="828"/>
      <c r="C2755" s="821"/>
      <c r="D2755" s="822" t="s">
        <v>9793</v>
      </c>
      <c r="E2755" s="823">
        <v>333903200000000</v>
      </c>
      <c r="F2755" s="824" t="s">
        <v>9643</v>
      </c>
      <c r="G2755" s="825">
        <v>1099</v>
      </c>
      <c r="H2755" s="825">
        <v>0</v>
      </c>
      <c r="I2755" s="826"/>
      <c r="J2755" s="808">
        <f>'Parâmetros financeiros Despesa'!E2019</f>
        <v>0</v>
      </c>
      <c r="K2755" s="808">
        <f>'Parâmetros financeiros Despesa'!F2019</f>
        <v>172.41</v>
      </c>
      <c r="L2755" s="835">
        <f t="shared" si="350"/>
        <v>1.3896859685323702E-2</v>
      </c>
    </row>
    <row r="2756" spans="1:15" x14ac:dyDescent="0.25">
      <c r="B2756" s="821"/>
      <c r="C2756" s="821"/>
      <c r="D2756" s="822" t="s">
        <v>9794</v>
      </c>
      <c r="E2756" s="823">
        <v>333903600000000</v>
      </c>
      <c r="F2756" s="824" t="s">
        <v>9644</v>
      </c>
      <c r="G2756" s="825">
        <v>1099</v>
      </c>
      <c r="H2756" s="825">
        <v>0</v>
      </c>
      <c r="I2756" s="826"/>
      <c r="J2756" s="808">
        <f>'Parâmetros financeiros Despesa'!E2020</f>
        <v>0</v>
      </c>
      <c r="K2756" s="808">
        <f>'Parâmetros financeiros Despesa'!F2020</f>
        <v>1</v>
      </c>
      <c r="L2756" s="835">
        <f t="shared" si="350"/>
        <v>8.0603559453185439E-5</v>
      </c>
    </row>
    <row r="2757" spans="1:15" x14ac:dyDescent="0.25">
      <c r="B2757" s="828"/>
      <c r="C2757" s="821"/>
      <c r="D2757" s="822" t="s">
        <v>9795</v>
      </c>
      <c r="E2757" s="823">
        <v>333903900000000</v>
      </c>
      <c r="F2757" s="824" t="s">
        <v>9645</v>
      </c>
      <c r="G2757" s="825">
        <v>1099</v>
      </c>
      <c r="H2757" s="825">
        <v>0</v>
      </c>
      <c r="I2757" s="826"/>
      <c r="J2757" s="808">
        <f>'Parâmetros financeiros Despesa'!E2021</f>
        <v>0</v>
      </c>
      <c r="K2757" s="808">
        <f>'Parâmetros financeiros Despesa'!F2021</f>
        <v>1</v>
      </c>
      <c r="L2757" s="835">
        <f t="shared" si="350"/>
        <v>8.0603559453185439E-5</v>
      </c>
    </row>
    <row r="2758" spans="1:15" x14ac:dyDescent="0.25">
      <c r="B2758" s="828"/>
      <c r="C2758" s="828"/>
      <c r="D2758" s="822" t="s">
        <v>9796</v>
      </c>
      <c r="E2758" s="823">
        <v>333904700000000</v>
      </c>
      <c r="F2758" s="824" t="s">
        <v>9649</v>
      </c>
      <c r="G2758" s="825">
        <v>1099</v>
      </c>
      <c r="H2758" s="825">
        <v>0</v>
      </c>
      <c r="I2758" s="826"/>
      <c r="J2758" s="808">
        <f>'Parâmetros financeiros Despesa'!E2022</f>
        <v>0</v>
      </c>
      <c r="K2758" s="808">
        <f>'Parâmetros financeiros Despesa'!F2022</f>
        <v>0.2</v>
      </c>
      <c r="L2758" s="835">
        <f t="shared" si="350"/>
        <v>1.6120711890637088E-5</v>
      </c>
    </row>
    <row r="2759" spans="1:15" x14ac:dyDescent="0.25">
      <c r="B2759" s="828"/>
      <c r="C2759" s="828"/>
      <c r="D2759" s="822" t="s">
        <v>9797</v>
      </c>
      <c r="E2759" s="823">
        <v>333933000000000</v>
      </c>
      <c r="F2759" s="824" t="s">
        <v>9648</v>
      </c>
      <c r="G2759" s="825">
        <v>1099</v>
      </c>
      <c r="H2759" s="825">
        <v>0</v>
      </c>
      <c r="I2759" s="826"/>
      <c r="J2759" s="808">
        <f>'Parâmetros financeiros Despesa'!E2023</f>
        <v>0</v>
      </c>
      <c r="K2759" s="808">
        <f>'Parâmetros financeiros Despesa'!F2023</f>
        <v>1</v>
      </c>
      <c r="L2759" s="835">
        <f t="shared" si="350"/>
        <v>8.0603559453185439E-5</v>
      </c>
    </row>
    <row r="2760" spans="1:15" x14ac:dyDescent="0.25">
      <c r="B2760" s="828"/>
      <c r="C2760" s="828"/>
      <c r="D2760" s="822" t="s">
        <v>9798</v>
      </c>
      <c r="E2760" s="823">
        <v>333933900000000</v>
      </c>
      <c r="F2760" s="824" t="s">
        <v>9646</v>
      </c>
      <c r="G2760" s="825">
        <v>1099</v>
      </c>
      <c r="H2760" s="825">
        <v>0</v>
      </c>
      <c r="I2760" s="826"/>
      <c r="J2760" s="808">
        <f>'Parâmetros financeiros Despesa'!E2024</f>
        <v>0</v>
      </c>
      <c r="K2760" s="808">
        <f>'Parâmetros financeiros Despesa'!F2024</f>
        <v>1</v>
      </c>
      <c r="L2760" s="835">
        <f t="shared" si="350"/>
        <v>8.0603559453185439E-5</v>
      </c>
    </row>
    <row r="2761" spans="1:15" x14ac:dyDescent="0.25">
      <c r="B2761" s="828"/>
      <c r="C2761" s="828"/>
      <c r="D2761" s="822" t="s">
        <v>9800</v>
      </c>
      <c r="E2761" s="823">
        <v>344905200000000</v>
      </c>
      <c r="F2761" s="824" t="s">
        <v>9647</v>
      </c>
      <c r="G2761" s="825">
        <v>1099</v>
      </c>
      <c r="H2761" s="825">
        <v>0</v>
      </c>
      <c r="I2761" s="826"/>
      <c r="J2761" s="808">
        <f>'Parâmetros financeiros Despesa'!E2025</f>
        <v>0</v>
      </c>
      <c r="K2761" s="808">
        <f>'Parâmetros financeiros Despesa'!F2025</f>
        <v>1</v>
      </c>
      <c r="L2761" s="835">
        <f>K2761/K$2768</f>
        <v>8.0603559453185439E-5</v>
      </c>
    </row>
    <row r="2762" spans="1:15" s="115" customFormat="1" x14ac:dyDescent="0.25">
      <c r="A2762" s="396"/>
      <c r="B2762" s="1395" t="s">
        <v>2172</v>
      </c>
      <c r="C2762" s="1395"/>
      <c r="D2762" s="1395"/>
      <c r="E2762" s="1395"/>
      <c r="F2762" s="1395"/>
      <c r="G2762" s="1395"/>
      <c r="H2762" s="1395"/>
      <c r="I2762" s="1395"/>
      <c r="J2762" s="1023">
        <f>J2752+J2745+J2731</f>
        <v>0</v>
      </c>
      <c r="K2762" s="1023">
        <f>K2752+K2745+K2731</f>
        <v>12406.4</v>
      </c>
      <c r="L2762" s="452">
        <f>K2762/K$2768</f>
        <v>0.99999999999999989</v>
      </c>
      <c r="M2762" s="894"/>
      <c r="O2762" s="733"/>
    </row>
    <row r="2763" spans="1:15" x14ac:dyDescent="0.25">
      <c r="B2763" s="864" t="s">
        <v>11469</v>
      </c>
      <c r="C2763" s="864"/>
      <c r="D2763" s="864"/>
      <c r="E2763" s="864"/>
      <c r="F2763" s="864"/>
      <c r="G2763" s="864"/>
      <c r="H2763" s="864"/>
      <c r="I2763" s="864"/>
      <c r="J2763" s="863"/>
      <c r="K2763" s="863"/>
      <c r="L2763" s="452"/>
    </row>
    <row r="2764" spans="1:15" x14ac:dyDescent="0.25">
      <c r="B2764" s="869" t="s">
        <v>745</v>
      </c>
      <c r="C2764" s="869"/>
      <c r="D2764" s="869"/>
      <c r="E2764" s="869"/>
      <c r="F2764" s="869"/>
      <c r="G2764" s="869"/>
      <c r="H2764" s="869"/>
      <c r="I2764" s="869"/>
      <c r="J2764" s="870">
        <v>0</v>
      </c>
      <c r="K2764" s="870">
        <f>K2736</f>
        <v>2000</v>
      </c>
      <c r="L2764" s="871">
        <f>K2764/K$2768</f>
        <v>0.16120711890637088</v>
      </c>
    </row>
    <row r="2765" spans="1:15" x14ac:dyDescent="0.25">
      <c r="B2765" s="869" t="s">
        <v>840</v>
      </c>
      <c r="C2765" s="869"/>
      <c r="D2765" s="869"/>
      <c r="E2765" s="869"/>
      <c r="F2765" s="869"/>
      <c r="G2765" s="869"/>
      <c r="H2765" s="869"/>
      <c r="I2765" s="869"/>
      <c r="J2765" s="870">
        <v>0</v>
      </c>
      <c r="K2765" s="870">
        <v>179.61</v>
      </c>
      <c r="L2765" s="871">
        <f>K2765/K$2768</f>
        <v>1.4477205313386638E-2</v>
      </c>
    </row>
    <row r="2766" spans="1:15" x14ac:dyDescent="0.25">
      <c r="B2766" s="869" t="s">
        <v>11478</v>
      </c>
      <c r="C2766" s="869"/>
      <c r="D2766" s="869"/>
      <c r="E2766" s="869"/>
      <c r="F2766" s="869"/>
      <c r="G2766" s="869"/>
      <c r="H2766" s="869"/>
      <c r="I2766" s="869"/>
      <c r="J2766" s="870">
        <v>0</v>
      </c>
      <c r="K2766" s="870">
        <v>166.17</v>
      </c>
      <c r="L2766" s="871">
        <f>K2766/K$2768</f>
        <v>1.3393893474335825E-2</v>
      </c>
    </row>
    <row r="2767" spans="1:15" x14ac:dyDescent="0.25">
      <c r="B2767" s="869" t="s">
        <v>11479</v>
      </c>
      <c r="C2767" s="869"/>
      <c r="D2767" s="869"/>
      <c r="E2767" s="869"/>
      <c r="F2767" s="869"/>
      <c r="G2767" s="869"/>
      <c r="H2767" s="869"/>
      <c r="I2767" s="869"/>
      <c r="J2767" s="870">
        <v>0</v>
      </c>
      <c r="K2767" s="870">
        <v>10060.620000000001</v>
      </c>
      <c r="L2767" s="871">
        <f>K2767/K$2768</f>
        <v>0.81092178230590661</v>
      </c>
    </row>
    <row r="2768" spans="1:15" s="115" customFormat="1" x14ac:dyDescent="0.25">
      <c r="B2768" s="864" t="s">
        <v>2172</v>
      </c>
      <c r="C2768" s="864"/>
      <c r="D2768" s="864"/>
      <c r="E2768" s="864"/>
      <c r="F2768" s="864"/>
      <c r="G2768" s="864"/>
      <c r="H2768" s="864"/>
      <c r="I2768" s="864"/>
      <c r="J2768" s="863">
        <f>SUM(J2764:J2767)</f>
        <v>0</v>
      </c>
      <c r="K2768" s="863">
        <f>SUM(K2764:K2767)</f>
        <v>12406.400000000001</v>
      </c>
      <c r="L2768" s="452">
        <f>K2768/K$2768</f>
        <v>1</v>
      </c>
      <c r="M2768" s="894"/>
      <c r="O2768" s="733"/>
    </row>
    <row r="2769" spans="1:15" x14ac:dyDescent="0.25">
      <c r="F2769" s="784"/>
      <c r="G2769" s="859"/>
      <c r="H2769" s="860"/>
      <c r="I2769" s="860"/>
    </row>
    <row r="2770" spans="1:15" x14ac:dyDescent="0.25">
      <c r="F2770" s="784"/>
      <c r="G2770" s="859"/>
      <c r="H2770" s="860"/>
      <c r="I2770" s="860"/>
    </row>
    <row r="2771" spans="1:15" x14ac:dyDescent="0.25">
      <c r="F2771" s="784"/>
      <c r="G2771" s="859"/>
      <c r="H2771" s="860"/>
      <c r="I2771" s="860"/>
    </row>
    <row r="2772" spans="1:15" x14ac:dyDescent="0.25">
      <c r="F2772" s="784"/>
      <c r="G2772" s="859"/>
      <c r="H2772" s="860"/>
      <c r="I2772" s="860"/>
    </row>
    <row r="2773" spans="1:15" x14ac:dyDescent="0.25">
      <c r="F2773" s="784"/>
      <c r="G2773" s="859"/>
      <c r="H2773" s="860"/>
      <c r="I2773" s="860"/>
    </row>
    <row r="2774" spans="1:15" x14ac:dyDescent="0.25">
      <c r="F2774" s="784"/>
      <c r="G2774" s="859"/>
      <c r="H2774" s="860"/>
      <c r="I2774" s="860"/>
    </row>
    <row r="2775" spans="1:15" s="1059" customFormat="1" x14ac:dyDescent="0.25">
      <c r="B2775" s="400"/>
      <c r="C2775" s="400"/>
      <c r="D2775" s="1094"/>
      <c r="E2775" s="399"/>
      <c r="F2775" s="784"/>
      <c r="G2775" s="859"/>
      <c r="H2775" s="860"/>
      <c r="I2775" s="860"/>
      <c r="J2775" s="783"/>
      <c r="K2775" s="110"/>
      <c r="L2775" s="448"/>
      <c r="M2775" s="796"/>
      <c r="O2775" s="399"/>
    </row>
    <row r="2776" spans="1:15" x14ac:dyDescent="0.25">
      <c r="F2776" s="1399"/>
      <c r="G2776" s="1399"/>
      <c r="H2776" s="1399"/>
      <c r="I2776" s="865"/>
    </row>
    <row r="2777" spans="1:15" x14ac:dyDescent="0.25">
      <c r="F2777" s="1003"/>
      <c r="G2777" s="1003"/>
      <c r="H2777" s="1003"/>
      <c r="I2777" s="865"/>
    </row>
    <row r="2778" spans="1:15" s="435" customFormat="1" ht="15.75" x14ac:dyDescent="0.25">
      <c r="B2778" s="999" t="s">
        <v>989</v>
      </c>
      <c r="C2778" s="999"/>
      <c r="D2778" s="481"/>
      <c r="E2778" s="1371" t="s">
        <v>9486</v>
      </c>
      <c r="F2778" s="1371"/>
      <c r="G2778" s="1371"/>
      <c r="H2778" s="1371"/>
      <c r="I2778" s="1371"/>
      <c r="J2778" s="940"/>
      <c r="K2778" s="438"/>
      <c r="L2778" s="449"/>
      <c r="M2778" s="892"/>
      <c r="O2778" s="732"/>
    </row>
    <row r="2779" spans="1:15" s="435" customFormat="1" ht="18" customHeight="1" x14ac:dyDescent="0.25">
      <c r="B2779" s="999" t="s">
        <v>458</v>
      </c>
      <c r="C2779" s="999"/>
      <c r="D2779" s="481"/>
      <c r="E2779" s="1371" t="s">
        <v>9943</v>
      </c>
      <c r="F2779" s="1371"/>
      <c r="G2779" s="1371"/>
      <c r="H2779" s="1371"/>
      <c r="I2779" s="1371"/>
      <c r="J2779" s="940"/>
      <c r="K2779" s="438"/>
      <c r="L2779" s="449"/>
      <c r="M2779" s="892"/>
      <c r="O2779" s="732"/>
    </row>
    <row r="2780" spans="1:15" s="435" customFormat="1" ht="15.75" x14ac:dyDescent="0.25">
      <c r="B2780" s="1005" t="s">
        <v>5764</v>
      </c>
      <c r="C2780" s="1005"/>
      <c r="D2780" s="1005"/>
      <c r="E2780" s="1371" t="s">
        <v>749</v>
      </c>
      <c r="F2780" s="1371"/>
      <c r="G2780" s="1371"/>
      <c r="H2780" s="1371"/>
      <c r="I2780" s="1371"/>
      <c r="J2780" s="941"/>
      <c r="K2780" s="438"/>
      <c r="L2780" s="449"/>
      <c r="M2780" s="892"/>
      <c r="O2780" s="732"/>
    </row>
    <row r="2781" spans="1:15" ht="88.5" x14ac:dyDescent="0.25">
      <c r="A2781" s="396"/>
      <c r="B2781" s="1400" t="s">
        <v>2296</v>
      </c>
      <c r="C2781" s="1400"/>
      <c r="D2781" s="1400"/>
      <c r="E2781" s="1384" t="s">
        <v>2297</v>
      </c>
      <c r="F2781" s="1384"/>
      <c r="G2781" s="443" t="s">
        <v>444</v>
      </c>
      <c r="H2781" s="443" t="s">
        <v>2245</v>
      </c>
      <c r="I2781" s="444" t="s">
        <v>5725</v>
      </c>
      <c r="J2781" s="893" t="s">
        <v>11644</v>
      </c>
      <c r="K2781" s="1000" t="s">
        <v>11522</v>
      </c>
      <c r="L2781" s="450" t="s">
        <v>235</v>
      </c>
    </row>
    <row r="2782" spans="1:15" x14ac:dyDescent="0.25">
      <c r="A2782" s="397"/>
      <c r="B2782" s="1382" t="s">
        <v>7831</v>
      </c>
      <c r="C2782" s="1382"/>
      <c r="D2782" s="1382"/>
      <c r="E2782" s="1382"/>
      <c r="F2782" s="1382"/>
      <c r="G2782" s="405"/>
      <c r="H2782" s="405"/>
      <c r="I2782" s="428"/>
      <c r="J2782" s="406">
        <f t="shared" ref="J2782:K2784" si="351">J2783</f>
        <v>7198.8899999999994</v>
      </c>
      <c r="K2782" s="406">
        <f t="shared" si="351"/>
        <v>2789.6</v>
      </c>
      <c r="L2782" s="453">
        <f t="shared" ref="L2782:L2813" si="352">K2782/K$2882</f>
        <v>1.39459834107988E-2</v>
      </c>
    </row>
    <row r="2783" spans="1:15" x14ac:dyDescent="0.25">
      <c r="A2783" s="397"/>
      <c r="B2783" s="1383" t="s">
        <v>9584</v>
      </c>
      <c r="C2783" s="1383"/>
      <c r="D2783" s="1383"/>
      <c r="E2783" s="1383"/>
      <c r="F2783" s="1383"/>
      <c r="G2783" s="407"/>
      <c r="H2783" s="407"/>
      <c r="I2783" s="429"/>
      <c r="J2783" s="408">
        <f t="shared" si="351"/>
        <v>7198.8899999999994</v>
      </c>
      <c r="K2783" s="408">
        <f t="shared" si="351"/>
        <v>2789.6</v>
      </c>
      <c r="L2783" s="454">
        <f t="shared" si="352"/>
        <v>1.39459834107988E-2</v>
      </c>
    </row>
    <row r="2784" spans="1:15" x14ac:dyDescent="0.25">
      <c r="A2784" s="397"/>
      <c r="B2784" s="1385" t="s">
        <v>9489</v>
      </c>
      <c r="C2784" s="1385"/>
      <c r="D2784" s="1385"/>
      <c r="E2784" s="1385"/>
      <c r="F2784" s="1385"/>
      <c r="G2784" s="401"/>
      <c r="H2784" s="401"/>
      <c r="I2784" s="426"/>
      <c r="J2784" s="402">
        <f t="shared" si="351"/>
        <v>7198.8899999999994</v>
      </c>
      <c r="K2784" s="402">
        <f t="shared" si="351"/>
        <v>2789.6</v>
      </c>
      <c r="L2784" s="451">
        <f t="shared" si="352"/>
        <v>1.39459834107988E-2</v>
      </c>
    </row>
    <row r="2785" spans="1:12" x14ac:dyDescent="0.25">
      <c r="A2785" s="397"/>
      <c r="B2785" s="1386" t="s">
        <v>9690</v>
      </c>
      <c r="C2785" s="1386"/>
      <c r="D2785" s="1386"/>
      <c r="E2785" s="1386"/>
      <c r="F2785" s="1386"/>
      <c r="G2785" s="403"/>
      <c r="H2785" s="403"/>
      <c r="I2785" s="427"/>
      <c r="J2785" s="404">
        <f>SUM(J2786:J2795)</f>
        <v>7198.8899999999994</v>
      </c>
      <c r="K2785" s="404">
        <f>SUM(K2786:K2795)</f>
        <v>2789.6</v>
      </c>
      <c r="L2785" s="452">
        <f t="shared" si="352"/>
        <v>1.39459834107988E-2</v>
      </c>
    </row>
    <row r="2786" spans="1:12" x14ac:dyDescent="0.25">
      <c r="B2786" s="828"/>
      <c r="C2786" s="828"/>
      <c r="D2786" s="822" t="s">
        <v>9801</v>
      </c>
      <c r="E2786" s="823">
        <v>333901400000000</v>
      </c>
      <c r="F2786" s="824" t="s">
        <v>9807</v>
      </c>
      <c r="G2786" s="824">
        <v>1074</v>
      </c>
      <c r="H2786" s="824">
        <v>0</v>
      </c>
      <c r="I2786" s="826"/>
      <c r="J2786" s="809">
        <f>'Parâmetros financeiros Despesa'!E2032</f>
        <v>2052</v>
      </c>
      <c r="K2786" s="809">
        <f>'Parâmetros financeiros Despesa'!F2032</f>
        <v>500</v>
      </c>
      <c r="L2786" s="835">
        <f t="shared" si="352"/>
        <v>2.4996385522653426E-3</v>
      </c>
    </row>
    <row r="2787" spans="1:12" x14ac:dyDescent="0.25">
      <c r="B2787" s="828"/>
      <c r="C2787" s="828"/>
      <c r="D2787" s="822" t="s">
        <v>9802</v>
      </c>
      <c r="E2787" s="823">
        <v>333903000000000</v>
      </c>
      <c r="F2787" s="824" t="s">
        <v>9808</v>
      </c>
      <c r="G2787" s="824">
        <v>1074</v>
      </c>
      <c r="H2787" s="824">
        <v>0</v>
      </c>
      <c r="I2787" s="826"/>
      <c r="J2787" s="809">
        <f>'Parâmetros financeiros Despesa'!E2033</f>
        <v>2031.54</v>
      </c>
      <c r="K2787" s="809">
        <f>'Parâmetros financeiros Despesa'!F2033</f>
        <v>300</v>
      </c>
      <c r="L2787" s="835">
        <f t="shared" si="352"/>
        <v>1.4997831313592056E-3</v>
      </c>
    </row>
    <row r="2788" spans="1:12" x14ac:dyDescent="0.25">
      <c r="B2788" s="828"/>
      <c r="C2788" s="828"/>
      <c r="D2788" s="822" t="s">
        <v>9803</v>
      </c>
      <c r="E2788" s="823">
        <v>333903200000000</v>
      </c>
      <c r="F2788" s="824" t="s">
        <v>9813</v>
      </c>
      <c r="G2788" s="824">
        <v>1074</v>
      </c>
      <c r="H2788" s="824">
        <v>0</v>
      </c>
      <c r="I2788" s="826"/>
      <c r="J2788" s="809">
        <f>'Parâmetros financeiros Despesa'!E2034</f>
        <v>0</v>
      </c>
      <c r="K2788" s="809">
        <f>'Parâmetros financeiros Despesa'!F2034</f>
        <v>489.6</v>
      </c>
      <c r="L2788" s="835">
        <f t="shared" si="352"/>
        <v>2.4476460703782236E-3</v>
      </c>
    </row>
    <row r="2789" spans="1:12" x14ac:dyDescent="0.25">
      <c r="B2789" s="828"/>
      <c r="C2789" s="828"/>
      <c r="D2789" s="822" t="s">
        <v>9804</v>
      </c>
      <c r="E2789" s="823">
        <v>333903600000000</v>
      </c>
      <c r="F2789" s="824" t="s">
        <v>9811</v>
      </c>
      <c r="G2789" s="824">
        <v>1074</v>
      </c>
      <c r="H2789" s="824">
        <v>0</v>
      </c>
      <c r="I2789" s="826"/>
      <c r="J2789" s="809">
        <f>'Parâmetros financeiros Despesa'!E2035</f>
        <v>0</v>
      </c>
      <c r="K2789" s="809">
        <f>'Parâmetros financeiros Despesa'!F2035</f>
        <v>500</v>
      </c>
      <c r="L2789" s="835">
        <f t="shared" si="352"/>
        <v>2.4996385522653426E-3</v>
      </c>
    </row>
    <row r="2790" spans="1:12" x14ac:dyDescent="0.25">
      <c r="B2790" s="828"/>
      <c r="C2790" s="828"/>
      <c r="D2790" s="822" t="s">
        <v>9805</v>
      </c>
      <c r="E2790" s="823">
        <v>333903900000000</v>
      </c>
      <c r="F2790" s="824" t="s">
        <v>9812</v>
      </c>
      <c r="G2790" s="824">
        <v>1074</v>
      </c>
      <c r="H2790" s="824">
        <v>0</v>
      </c>
      <c r="I2790" s="826"/>
      <c r="J2790" s="809">
        <f>'Parâmetros financeiros Despesa'!E2036</f>
        <v>1168.3499999999999</v>
      </c>
      <c r="K2790" s="809">
        <f>'Parâmetros financeiros Despesa'!F2036</f>
        <v>500</v>
      </c>
      <c r="L2790" s="835">
        <f t="shared" si="352"/>
        <v>2.4996385522653426E-3</v>
      </c>
    </row>
    <row r="2791" spans="1:12" x14ac:dyDescent="0.25">
      <c r="B2791" s="828"/>
      <c r="C2791" s="828"/>
      <c r="D2791" s="822" t="s">
        <v>9806</v>
      </c>
      <c r="E2791" s="823">
        <v>333904700000000</v>
      </c>
      <c r="F2791" s="824" t="s">
        <v>9809</v>
      </c>
      <c r="G2791" s="824">
        <v>1074</v>
      </c>
      <c r="H2791" s="824">
        <v>0</v>
      </c>
      <c r="I2791" s="826"/>
      <c r="J2791" s="809">
        <f>'Parâmetros financeiros Despesa'!E2037</f>
        <v>15</v>
      </c>
      <c r="K2791" s="809">
        <f>'Parâmetros financeiros Despesa'!F2037</f>
        <v>100</v>
      </c>
      <c r="L2791" s="835">
        <f t="shared" si="352"/>
        <v>4.999277104530685E-4</v>
      </c>
    </row>
    <row r="2792" spans="1:12" x14ac:dyDescent="0.25">
      <c r="B2792" s="828"/>
      <c r="C2792" s="828"/>
      <c r="D2792" s="822" t="s">
        <v>9814</v>
      </c>
      <c r="E2792" s="823">
        <v>333933000000000</v>
      </c>
      <c r="F2792" s="824" t="s">
        <v>9823</v>
      </c>
      <c r="G2792" s="824">
        <v>1074</v>
      </c>
      <c r="H2792" s="824">
        <v>0</v>
      </c>
      <c r="I2792" s="826"/>
      <c r="J2792" s="809">
        <f>'Parâmetros financeiros Despesa'!E2038</f>
        <v>0</v>
      </c>
      <c r="K2792" s="809">
        <f>'Parâmetros financeiros Despesa'!F2038</f>
        <v>100</v>
      </c>
      <c r="L2792" s="835">
        <f t="shared" si="352"/>
        <v>4.999277104530685E-4</v>
      </c>
    </row>
    <row r="2793" spans="1:12" x14ac:dyDescent="0.25">
      <c r="B2793" s="828"/>
      <c r="C2793" s="828"/>
      <c r="D2793" s="822" t="s">
        <v>9825</v>
      </c>
      <c r="E2793" s="823">
        <v>333933900000000</v>
      </c>
      <c r="F2793" s="824" t="s">
        <v>9824</v>
      </c>
      <c r="G2793" s="824">
        <v>1074</v>
      </c>
      <c r="H2793" s="824">
        <v>0</v>
      </c>
      <c r="I2793" s="826"/>
      <c r="J2793" s="809">
        <f>'Parâmetros financeiros Despesa'!E2039</f>
        <v>0</v>
      </c>
      <c r="K2793" s="809">
        <f>'Parâmetros financeiros Despesa'!F2039</f>
        <v>100</v>
      </c>
      <c r="L2793" s="835">
        <f t="shared" si="352"/>
        <v>4.999277104530685E-4</v>
      </c>
    </row>
    <row r="2794" spans="1:12" x14ac:dyDescent="0.25">
      <c r="B2794" s="828"/>
      <c r="C2794" s="828"/>
      <c r="D2794" s="822" t="s">
        <v>9826</v>
      </c>
      <c r="E2794" s="823">
        <v>344905100000000</v>
      </c>
      <c r="F2794" s="824" t="s">
        <v>9828</v>
      </c>
      <c r="G2794" s="824">
        <v>1074</v>
      </c>
      <c r="H2794" s="824">
        <v>0</v>
      </c>
      <c r="I2794" s="826"/>
      <c r="J2794" s="809">
        <f>'Parâmetros financeiros Despesa'!E2040</f>
        <v>0</v>
      </c>
      <c r="K2794" s="809">
        <f>'Parâmetros financeiros Despesa'!F2040</f>
        <v>100</v>
      </c>
      <c r="L2794" s="835">
        <f t="shared" si="352"/>
        <v>4.999277104530685E-4</v>
      </c>
    </row>
    <row r="2795" spans="1:12" x14ac:dyDescent="0.25">
      <c r="B2795" s="828"/>
      <c r="C2795" s="828"/>
      <c r="D2795" s="822" t="s">
        <v>9827</v>
      </c>
      <c r="E2795" s="823">
        <v>344905200000000</v>
      </c>
      <c r="F2795" s="824" t="s">
        <v>9810</v>
      </c>
      <c r="G2795" s="824">
        <v>1074</v>
      </c>
      <c r="H2795" s="824">
        <v>0</v>
      </c>
      <c r="I2795" s="826"/>
      <c r="J2795" s="809">
        <f>'Parâmetros financeiros Despesa'!E2041</f>
        <v>1932</v>
      </c>
      <c r="K2795" s="809">
        <f>'Parâmetros financeiros Despesa'!F2041</f>
        <v>100</v>
      </c>
      <c r="L2795" s="835">
        <f t="shared" si="352"/>
        <v>4.999277104530685E-4</v>
      </c>
    </row>
    <row r="2796" spans="1:12" x14ac:dyDescent="0.25">
      <c r="A2796" s="397"/>
      <c r="B2796" s="1382" t="s">
        <v>7831</v>
      </c>
      <c r="C2796" s="1382"/>
      <c r="D2796" s="1382"/>
      <c r="E2796" s="1382"/>
      <c r="F2796" s="1382"/>
      <c r="G2796" s="405"/>
      <c r="H2796" s="405"/>
      <c r="I2796" s="428"/>
      <c r="J2796" s="406">
        <f t="shared" ref="J2796:K2798" si="353">J2797</f>
        <v>0</v>
      </c>
      <c r="K2796" s="406">
        <f t="shared" si="353"/>
        <v>27993.25</v>
      </c>
      <c r="L2796" s="453">
        <f t="shared" si="352"/>
        <v>0.13994601380640362</v>
      </c>
    </row>
    <row r="2797" spans="1:12" x14ac:dyDescent="0.25">
      <c r="A2797" s="397"/>
      <c r="B2797" s="1383" t="s">
        <v>9584</v>
      </c>
      <c r="C2797" s="1383"/>
      <c r="D2797" s="1383"/>
      <c r="E2797" s="1383"/>
      <c r="F2797" s="1383"/>
      <c r="G2797" s="407"/>
      <c r="H2797" s="407"/>
      <c r="I2797" s="429"/>
      <c r="J2797" s="408">
        <f t="shared" si="353"/>
        <v>0</v>
      </c>
      <c r="K2797" s="408">
        <f t="shared" si="353"/>
        <v>27993.25</v>
      </c>
      <c r="L2797" s="454">
        <f t="shared" si="352"/>
        <v>0.13994601380640362</v>
      </c>
    </row>
    <row r="2798" spans="1:12" x14ac:dyDescent="0.25">
      <c r="A2798" s="397"/>
      <c r="B2798" s="1385" t="s">
        <v>9489</v>
      </c>
      <c r="C2798" s="1385"/>
      <c r="D2798" s="1385"/>
      <c r="E2798" s="1385"/>
      <c r="F2798" s="1385"/>
      <c r="G2798" s="401"/>
      <c r="H2798" s="401"/>
      <c r="I2798" s="426"/>
      <c r="J2798" s="402">
        <f t="shared" si="353"/>
        <v>0</v>
      </c>
      <c r="K2798" s="402">
        <f t="shared" si="353"/>
        <v>27993.25</v>
      </c>
      <c r="L2798" s="451">
        <f t="shared" si="352"/>
        <v>0.13994601380640362</v>
      </c>
    </row>
    <row r="2799" spans="1:12" x14ac:dyDescent="0.25">
      <c r="A2799" s="397"/>
      <c r="B2799" s="1386" t="s">
        <v>9558</v>
      </c>
      <c r="C2799" s="1386"/>
      <c r="D2799" s="1386"/>
      <c r="E2799" s="1386"/>
      <c r="F2799" s="1386"/>
      <c r="G2799" s="403"/>
      <c r="H2799" s="403"/>
      <c r="I2799" s="427"/>
      <c r="J2799" s="404">
        <f>SUM(J2800:J2809)</f>
        <v>0</v>
      </c>
      <c r="K2799" s="404">
        <f>SUM(K2800:K2809)</f>
        <v>27993.25</v>
      </c>
      <c r="L2799" s="452">
        <f t="shared" si="352"/>
        <v>0.13994601380640362</v>
      </c>
    </row>
    <row r="2800" spans="1:12" x14ac:dyDescent="0.25">
      <c r="A2800" s="397"/>
      <c r="B2800" s="830"/>
      <c r="C2800" s="830"/>
      <c r="D2800" s="822" t="s">
        <v>9815</v>
      </c>
      <c r="E2800" s="823">
        <v>333901400000000</v>
      </c>
      <c r="F2800" s="824" t="s">
        <v>9829</v>
      </c>
      <c r="G2800" s="824">
        <v>1149</v>
      </c>
      <c r="H2800" s="824">
        <v>0</v>
      </c>
      <c r="I2800" s="752"/>
      <c r="J2800" s="808">
        <f>'Parâmetros financeiros Despesa'!E2043</f>
        <v>0</v>
      </c>
      <c r="K2800" s="808">
        <f>'Parâmetros financeiros Despesa'!F2043</f>
        <v>1000</v>
      </c>
      <c r="L2800" s="835">
        <f t="shared" si="352"/>
        <v>4.9992771045306852E-3</v>
      </c>
    </row>
    <row r="2801" spans="1:15" s="115" customFormat="1" x14ac:dyDescent="0.25">
      <c r="B2801" s="821"/>
      <c r="C2801" s="821"/>
      <c r="D2801" s="822" t="s">
        <v>9816</v>
      </c>
      <c r="E2801" s="823">
        <v>333903000000000</v>
      </c>
      <c r="F2801" s="824" t="s">
        <v>9830</v>
      </c>
      <c r="G2801" s="824">
        <v>1149</v>
      </c>
      <c r="H2801" s="824">
        <v>0</v>
      </c>
      <c r="I2801" s="833"/>
      <c r="J2801" s="808">
        <f>'Parâmetros financeiros Despesa'!E2044</f>
        <v>0</v>
      </c>
      <c r="K2801" s="808">
        <f>'Parâmetros financeiros Despesa'!F2044</f>
        <v>3000</v>
      </c>
      <c r="L2801" s="835">
        <f t="shared" si="352"/>
        <v>1.4997831313592056E-2</v>
      </c>
      <c r="M2801" s="894"/>
      <c r="O2801" s="733"/>
    </row>
    <row r="2802" spans="1:15" s="115" customFormat="1" x14ac:dyDescent="0.25">
      <c r="B2802" s="821"/>
      <c r="C2802" s="821"/>
      <c r="D2802" s="822" t="s">
        <v>9817</v>
      </c>
      <c r="E2802" s="823">
        <v>333903200000000</v>
      </c>
      <c r="F2802" s="824" t="s">
        <v>9837</v>
      </c>
      <c r="G2802" s="824">
        <v>1149</v>
      </c>
      <c r="H2802" s="824">
        <v>0</v>
      </c>
      <c r="I2802" s="833"/>
      <c r="J2802" s="808">
        <f>'Parâmetros financeiros Despesa'!E2045</f>
        <v>0</v>
      </c>
      <c r="K2802" s="808">
        <f>'Parâmetros financeiros Despesa'!F2045</f>
        <v>3000</v>
      </c>
      <c r="L2802" s="835">
        <f t="shared" si="352"/>
        <v>1.4997831313592056E-2</v>
      </c>
      <c r="M2802" s="894"/>
      <c r="O2802" s="733"/>
    </row>
    <row r="2803" spans="1:15" s="115" customFormat="1" x14ac:dyDescent="0.25">
      <c r="B2803" s="821"/>
      <c r="C2803" s="821"/>
      <c r="D2803" s="822" t="s">
        <v>9818</v>
      </c>
      <c r="E2803" s="823">
        <v>333903600000000</v>
      </c>
      <c r="F2803" s="824" t="s">
        <v>9838</v>
      </c>
      <c r="G2803" s="824">
        <v>1149</v>
      </c>
      <c r="H2803" s="824">
        <v>0</v>
      </c>
      <c r="I2803" s="833"/>
      <c r="J2803" s="808">
        <f>'Parâmetros financeiros Despesa'!E2046</f>
        <v>0</v>
      </c>
      <c r="K2803" s="808">
        <f>'Parâmetros financeiros Despesa'!F2046</f>
        <v>3000</v>
      </c>
      <c r="L2803" s="835">
        <f t="shared" si="352"/>
        <v>1.4997831313592056E-2</v>
      </c>
      <c r="M2803" s="894"/>
      <c r="O2803" s="733"/>
    </row>
    <row r="2804" spans="1:15" s="115" customFormat="1" x14ac:dyDescent="0.25">
      <c r="B2804" s="821"/>
      <c r="C2804" s="821"/>
      <c r="D2804" s="822" t="s">
        <v>9819</v>
      </c>
      <c r="E2804" s="823">
        <v>333903900000000</v>
      </c>
      <c r="F2804" s="824" t="s">
        <v>9839</v>
      </c>
      <c r="G2804" s="824">
        <v>1149</v>
      </c>
      <c r="H2804" s="824">
        <v>0</v>
      </c>
      <c r="I2804" s="833"/>
      <c r="J2804" s="808">
        <f>'Parâmetros financeiros Despesa'!E2047+'Parâmetros financeiros Despesa'!E2048</f>
        <v>0</v>
      </c>
      <c r="K2804" s="808">
        <f>'Parâmetros financeiros Despesa'!F2047+'Parâmetros financeiros Despesa'!F2048</f>
        <v>6000</v>
      </c>
      <c r="L2804" s="835">
        <f t="shared" si="352"/>
        <v>2.9995662627184113E-2</v>
      </c>
      <c r="M2804" s="894"/>
      <c r="O2804" s="733"/>
    </row>
    <row r="2805" spans="1:15" s="115" customFormat="1" x14ac:dyDescent="0.25">
      <c r="B2805" s="821"/>
      <c r="C2805" s="821"/>
      <c r="D2805" s="822" t="s">
        <v>9820</v>
      </c>
      <c r="E2805" s="823">
        <v>333904700000000</v>
      </c>
      <c r="F2805" s="824" t="s">
        <v>9832</v>
      </c>
      <c r="G2805" s="824">
        <v>1149</v>
      </c>
      <c r="H2805" s="824">
        <v>0</v>
      </c>
      <c r="I2805" s="833"/>
      <c r="J2805" s="808">
        <f>'Parâmetros financeiros Despesa'!E2049</f>
        <v>0</v>
      </c>
      <c r="K2805" s="808">
        <f>'Parâmetros financeiros Despesa'!F2049</f>
        <v>600</v>
      </c>
      <c r="L2805" s="835">
        <f t="shared" si="352"/>
        <v>2.9995662627184112E-3</v>
      </c>
      <c r="M2805" s="894"/>
      <c r="O2805" s="733"/>
    </row>
    <row r="2806" spans="1:15" s="115" customFormat="1" x14ac:dyDescent="0.25">
      <c r="B2806" s="821"/>
      <c r="C2806" s="821"/>
      <c r="D2806" s="822" t="s">
        <v>9821</v>
      </c>
      <c r="E2806" s="823">
        <v>333933000000000</v>
      </c>
      <c r="F2806" s="824" t="s">
        <v>9833</v>
      </c>
      <c r="G2806" s="824">
        <v>1149</v>
      </c>
      <c r="H2806" s="824">
        <v>0</v>
      </c>
      <c r="I2806" s="833"/>
      <c r="J2806" s="808">
        <f>'Parâmetros financeiros Despesa'!E2050</f>
        <v>0</v>
      </c>
      <c r="K2806" s="808">
        <f>'Parâmetros financeiros Despesa'!F2050</f>
        <v>3000</v>
      </c>
      <c r="L2806" s="835">
        <f t="shared" si="352"/>
        <v>1.4997831313592056E-2</v>
      </c>
      <c r="M2806" s="894"/>
      <c r="O2806" s="733"/>
    </row>
    <row r="2807" spans="1:15" s="115" customFormat="1" x14ac:dyDescent="0.25">
      <c r="B2807" s="821"/>
      <c r="C2807" s="821"/>
      <c r="D2807" s="822" t="s">
        <v>9822</v>
      </c>
      <c r="E2807" s="823">
        <v>333933900000000</v>
      </c>
      <c r="F2807" s="824" t="s">
        <v>9834</v>
      </c>
      <c r="G2807" s="824">
        <v>1149</v>
      </c>
      <c r="H2807" s="824">
        <v>0</v>
      </c>
      <c r="I2807" s="833"/>
      <c r="J2807" s="808">
        <f>'Parâmetros financeiros Despesa'!E2051</f>
        <v>0</v>
      </c>
      <c r="K2807" s="808">
        <f>'Parâmetros financeiros Despesa'!F2051</f>
        <v>3000</v>
      </c>
      <c r="L2807" s="835">
        <f t="shared" si="352"/>
        <v>1.4997831313592056E-2</v>
      </c>
      <c r="M2807" s="894"/>
      <c r="O2807" s="733"/>
    </row>
    <row r="2808" spans="1:15" s="115" customFormat="1" x14ac:dyDescent="0.25">
      <c r="B2808" s="821"/>
      <c r="C2808" s="821"/>
      <c r="D2808" s="822" t="s">
        <v>9822</v>
      </c>
      <c r="E2808" s="823">
        <v>344905100000000</v>
      </c>
      <c r="F2808" s="824" t="s">
        <v>9836</v>
      </c>
      <c r="G2808" s="824">
        <v>1149</v>
      </c>
      <c r="H2808" s="824">
        <v>0</v>
      </c>
      <c r="I2808" s="833"/>
      <c r="J2808" s="808">
        <f>'Parâmetros financeiros Despesa'!E2052</f>
        <v>0</v>
      </c>
      <c r="K2808" s="808">
        <f>'Parâmetros financeiros Despesa'!F2052</f>
        <v>3000</v>
      </c>
      <c r="L2808" s="835">
        <f t="shared" si="352"/>
        <v>1.4997831313592056E-2</v>
      </c>
      <c r="M2808" s="894"/>
      <c r="O2808" s="733"/>
    </row>
    <row r="2809" spans="1:15" s="115" customFormat="1" x14ac:dyDescent="0.25">
      <c r="B2809" s="821"/>
      <c r="C2809" s="821"/>
      <c r="D2809" s="822" t="s">
        <v>9840</v>
      </c>
      <c r="E2809" s="823">
        <v>344905200000000</v>
      </c>
      <c r="F2809" s="824" t="s">
        <v>9835</v>
      </c>
      <c r="G2809" s="824">
        <v>1149</v>
      </c>
      <c r="H2809" s="824">
        <v>0</v>
      </c>
      <c r="I2809" s="833"/>
      <c r="J2809" s="808">
        <f>'Parâmetros financeiros Despesa'!E2053</f>
        <v>0</v>
      </c>
      <c r="K2809" s="808">
        <f>'Parâmetros financeiros Despesa'!F2053</f>
        <v>2393.25</v>
      </c>
      <c r="L2809" s="835">
        <f t="shared" si="352"/>
        <v>1.1964519930418062E-2</v>
      </c>
      <c r="M2809" s="894"/>
      <c r="O2809" s="733"/>
    </row>
    <row r="2810" spans="1:15" x14ac:dyDescent="0.25">
      <c r="A2810" s="397"/>
      <c r="B2810" s="1382" t="s">
        <v>7831</v>
      </c>
      <c r="C2810" s="1382"/>
      <c r="D2810" s="1382"/>
      <c r="E2810" s="1382"/>
      <c r="F2810" s="1382"/>
      <c r="G2810" s="405"/>
      <c r="H2810" s="405"/>
      <c r="I2810" s="428"/>
      <c r="J2810" s="406">
        <f t="shared" ref="J2810:K2812" si="354">J2811</f>
        <v>9300</v>
      </c>
      <c r="K2810" s="406">
        <f t="shared" si="354"/>
        <v>6395.3600000000006</v>
      </c>
      <c r="L2810" s="453">
        <f t="shared" si="352"/>
        <v>3.1972176823231363E-2</v>
      </c>
    </row>
    <row r="2811" spans="1:15" x14ac:dyDescent="0.25">
      <c r="A2811" s="397"/>
      <c r="B2811" s="1383" t="s">
        <v>9584</v>
      </c>
      <c r="C2811" s="1383"/>
      <c r="D2811" s="1383"/>
      <c r="E2811" s="1383"/>
      <c r="F2811" s="1383"/>
      <c r="G2811" s="407"/>
      <c r="H2811" s="407"/>
      <c r="I2811" s="429"/>
      <c r="J2811" s="408">
        <f t="shared" si="354"/>
        <v>9300</v>
      </c>
      <c r="K2811" s="408">
        <f t="shared" si="354"/>
        <v>6395.3600000000006</v>
      </c>
      <c r="L2811" s="454">
        <f t="shared" si="352"/>
        <v>3.1972176823231363E-2</v>
      </c>
    </row>
    <row r="2812" spans="1:15" x14ac:dyDescent="0.25">
      <c r="A2812" s="397"/>
      <c r="B2812" s="1385" t="s">
        <v>9489</v>
      </c>
      <c r="C2812" s="1385"/>
      <c r="D2812" s="1385"/>
      <c r="E2812" s="1385"/>
      <c r="F2812" s="1385"/>
      <c r="G2812" s="401"/>
      <c r="H2812" s="401"/>
      <c r="I2812" s="426"/>
      <c r="J2812" s="402">
        <f t="shared" si="354"/>
        <v>9300</v>
      </c>
      <c r="K2812" s="402">
        <f t="shared" si="354"/>
        <v>6395.3600000000006</v>
      </c>
      <c r="L2812" s="451">
        <f t="shared" si="352"/>
        <v>3.1972176823231363E-2</v>
      </c>
    </row>
    <row r="2813" spans="1:15" x14ac:dyDescent="0.25">
      <c r="A2813" s="397"/>
      <c r="B2813" s="1386" t="s">
        <v>9691</v>
      </c>
      <c r="C2813" s="1386"/>
      <c r="D2813" s="1386"/>
      <c r="E2813" s="1386"/>
      <c r="F2813" s="1386"/>
      <c r="G2813" s="403"/>
      <c r="H2813" s="403"/>
      <c r="I2813" s="427"/>
      <c r="J2813" s="404">
        <f>J2814+J2815+J2816+J2817+J2818+J2819+J2820+J2821+J2822+J2823</f>
        <v>9300</v>
      </c>
      <c r="K2813" s="404">
        <f>K2814+K2815+K2816+K2817+K2818+K2819+K2820+K2821+K2822+K2823</f>
        <v>6395.3600000000006</v>
      </c>
      <c r="L2813" s="452">
        <f t="shared" si="352"/>
        <v>3.1972176823231363E-2</v>
      </c>
    </row>
    <row r="2814" spans="1:15" s="115" customFormat="1" x14ac:dyDescent="0.25">
      <c r="B2814" s="821"/>
      <c r="C2814" s="821"/>
      <c r="D2814" s="822" t="s">
        <v>9855</v>
      </c>
      <c r="E2814" s="823">
        <v>333901400000000</v>
      </c>
      <c r="F2814" s="824" t="s">
        <v>9854</v>
      </c>
      <c r="G2814" s="824">
        <v>1128</v>
      </c>
      <c r="H2814" s="824">
        <v>0</v>
      </c>
      <c r="I2814" s="833"/>
      <c r="J2814" s="809">
        <f>'Parâmetros financeiros Despesa'!E2055</f>
        <v>1404</v>
      </c>
      <c r="K2814" s="809">
        <f>'Parâmetros financeiros Despesa'!F2055</f>
        <v>3000</v>
      </c>
      <c r="L2814" s="835">
        <f t="shared" ref="L2814:L2842" si="355">K2814/K$2882</f>
        <v>1.4997831313592056E-2</v>
      </c>
      <c r="M2814" s="894"/>
      <c r="O2814" s="733"/>
    </row>
    <row r="2815" spans="1:15" s="115" customFormat="1" x14ac:dyDescent="0.25">
      <c r="B2815" s="821"/>
      <c r="C2815" s="821"/>
      <c r="D2815" s="822" t="s">
        <v>9856</v>
      </c>
      <c r="E2815" s="823">
        <v>333903000000000</v>
      </c>
      <c r="F2815" s="824" t="s">
        <v>9851</v>
      </c>
      <c r="G2815" s="824">
        <v>1128</v>
      </c>
      <c r="H2815" s="824">
        <v>0</v>
      </c>
      <c r="I2815" s="833"/>
      <c r="J2815" s="809">
        <f>'Parâmetros financeiros Despesa'!E2056</f>
        <v>0</v>
      </c>
      <c r="K2815" s="809">
        <f>'Parâmetros financeiros Despesa'!F2056</f>
        <v>795.36</v>
      </c>
      <c r="L2815" s="835">
        <f t="shared" si="355"/>
        <v>3.9762250378595262E-3</v>
      </c>
      <c r="M2815" s="894"/>
      <c r="O2815" s="733"/>
    </row>
    <row r="2816" spans="1:15" s="115" customFormat="1" x14ac:dyDescent="0.25">
      <c r="B2816" s="821"/>
      <c r="C2816" s="821"/>
      <c r="D2816" s="822" t="s">
        <v>9857</v>
      </c>
      <c r="E2816" s="823">
        <v>333903200000000</v>
      </c>
      <c r="F2816" s="824" t="s">
        <v>9850</v>
      </c>
      <c r="G2816" s="824">
        <v>1128</v>
      </c>
      <c r="H2816" s="824">
        <v>0</v>
      </c>
      <c r="I2816" s="833"/>
      <c r="J2816" s="809">
        <f>'Parâmetros financeiros Despesa'!E2057</f>
        <v>0</v>
      </c>
      <c r="K2816" s="809">
        <f>'Parâmetros financeiros Despesa'!F2057</f>
        <v>300</v>
      </c>
      <c r="L2816" s="835">
        <f t="shared" si="355"/>
        <v>1.4997831313592056E-3</v>
      </c>
      <c r="M2816" s="894"/>
      <c r="O2816" s="733"/>
    </row>
    <row r="2817" spans="1:15" s="115" customFormat="1" x14ac:dyDescent="0.25">
      <c r="B2817" s="821"/>
      <c r="C2817" s="821"/>
      <c r="D2817" s="822" t="s">
        <v>9858</v>
      </c>
      <c r="E2817" s="823">
        <v>333903600000000</v>
      </c>
      <c r="F2817" s="824" t="s">
        <v>9849</v>
      </c>
      <c r="G2817" s="824">
        <v>1128</v>
      </c>
      <c r="H2817" s="824">
        <v>0</v>
      </c>
      <c r="I2817" s="833"/>
      <c r="J2817" s="809">
        <f>'Parâmetros financeiros Despesa'!E2058</f>
        <v>0</v>
      </c>
      <c r="K2817" s="809">
        <f>'Parâmetros financeiros Despesa'!F2058</f>
        <v>300</v>
      </c>
      <c r="L2817" s="835">
        <f t="shared" si="355"/>
        <v>1.4997831313592056E-3</v>
      </c>
      <c r="M2817" s="894"/>
      <c r="O2817" s="733"/>
    </row>
    <row r="2818" spans="1:15" s="115" customFormat="1" x14ac:dyDescent="0.25">
      <c r="B2818" s="821"/>
      <c r="C2818" s="821"/>
      <c r="D2818" s="822" t="s">
        <v>9859</v>
      </c>
      <c r="E2818" s="823">
        <v>333903900000000</v>
      </c>
      <c r="F2818" s="824" t="s">
        <v>9848</v>
      </c>
      <c r="G2818" s="824">
        <v>1128</v>
      </c>
      <c r="H2818" s="824">
        <v>0</v>
      </c>
      <c r="I2818" s="833"/>
      <c r="J2818" s="809">
        <f>'Parâmetros financeiros Despesa'!E2059</f>
        <v>5970</v>
      </c>
      <c r="K2818" s="809">
        <f>'Parâmetros financeiros Despesa'!F2059</f>
        <v>300</v>
      </c>
      <c r="L2818" s="835">
        <f t="shared" si="355"/>
        <v>1.4997831313592056E-3</v>
      </c>
      <c r="M2818" s="894"/>
      <c r="O2818" s="733"/>
    </row>
    <row r="2819" spans="1:15" s="115" customFormat="1" x14ac:dyDescent="0.25">
      <c r="B2819" s="821"/>
      <c r="C2819" s="821"/>
      <c r="D2819" s="822" t="s">
        <v>9860</v>
      </c>
      <c r="E2819" s="823">
        <v>333904700000000</v>
      </c>
      <c r="F2819" s="824" t="s">
        <v>9869</v>
      </c>
      <c r="G2819" s="824">
        <v>1128</v>
      </c>
      <c r="H2819" s="824">
        <v>0</v>
      </c>
      <c r="I2819" s="833"/>
      <c r="J2819" s="809">
        <f>'Parâmetros financeiros Despesa'!E2060</f>
        <v>0</v>
      </c>
      <c r="K2819" s="809">
        <f>'Parâmetros financeiros Despesa'!F2060</f>
        <v>60</v>
      </c>
      <c r="L2819" s="835">
        <f t="shared" si="355"/>
        <v>2.9995662627184112E-4</v>
      </c>
      <c r="M2819" s="894"/>
      <c r="O2819" s="733"/>
    </row>
    <row r="2820" spans="1:15" s="115" customFormat="1" x14ac:dyDescent="0.25">
      <c r="B2820" s="821"/>
      <c r="C2820" s="821"/>
      <c r="D2820" s="822" t="s">
        <v>9861</v>
      </c>
      <c r="E2820" s="823">
        <v>333933000000000</v>
      </c>
      <c r="F2820" s="824" t="s">
        <v>9846</v>
      </c>
      <c r="G2820" s="824">
        <v>1128</v>
      </c>
      <c r="H2820" s="824">
        <v>0</v>
      </c>
      <c r="I2820" s="833"/>
      <c r="J2820" s="809">
        <f>'Parâmetros financeiros Despesa'!E2061</f>
        <v>0</v>
      </c>
      <c r="K2820" s="809">
        <f>'Parâmetros financeiros Despesa'!F2061</f>
        <v>300</v>
      </c>
      <c r="L2820" s="835">
        <f t="shared" si="355"/>
        <v>1.4997831313592056E-3</v>
      </c>
      <c r="M2820" s="894"/>
      <c r="O2820" s="733"/>
    </row>
    <row r="2821" spans="1:15" s="115" customFormat="1" x14ac:dyDescent="0.25">
      <c r="B2821" s="821"/>
      <c r="C2821" s="821"/>
      <c r="D2821" s="822" t="s">
        <v>9862</v>
      </c>
      <c r="E2821" s="823">
        <v>333933900000000</v>
      </c>
      <c r="F2821" s="824" t="s">
        <v>9845</v>
      </c>
      <c r="G2821" s="824">
        <v>1128</v>
      </c>
      <c r="H2821" s="824">
        <v>0</v>
      </c>
      <c r="I2821" s="833"/>
      <c r="J2821" s="809">
        <f>'Parâmetros financeiros Despesa'!E2062</f>
        <v>0</v>
      </c>
      <c r="K2821" s="809">
        <f>'Parâmetros financeiros Despesa'!F2062</f>
        <v>440</v>
      </c>
      <c r="L2821" s="835">
        <f t="shared" si="355"/>
        <v>2.1996819259935017E-3</v>
      </c>
      <c r="M2821" s="894"/>
      <c r="O2821" s="733"/>
    </row>
    <row r="2822" spans="1:15" s="115" customFormat="1" x14ac:dyDescent="0.25">
      <c r="B2822" s="821"/>
      <c r="C2822" s="821"/>
      <c r="D2822" s="822" t="s">
        <v>9863</v>
      </c>
      <c r="E2822" s="823">
        <v>344905100000000</v>
      </c>
      <c r="F2822" s="824" t="s">
        <v>9844</v>
      </c>
      <c r="G2822" s="824">
        <v>1128</v>
      </c>
      <c r="H2822" s="824">
        <v>0</v>
      </c>
      <c r="I2822" s="833"/>
      <c r="J2822" s="809">
        <f>'Parâmetros financeiros Despesa'!E2063</f>
        <v>0</v>
      </c>
      <c r="K2822" s="809">
        <f>'Parâmetros financeiros Despesa'!F2063</f>
        <v>400</v>
      </c>
      <c r="L2822" s="835">
        <f t="shared" si="355"/>
        <v>1.999710841812274E-3</v>
      </c>
      <c r="M2822" s="894"/>
      <c r="O2822" s="733"/>
    </row>
    <row r="2823" spans="1:15" s="115" customFormat="1" x14ac:dyDescent="0.25">
      <c r="B2823" s="821"/>
      <c r="C2823" s="821"/>
      <c r="D2823" s="822" t="s">
        <v>9864</v>
      </c>
      <c r="E2823" s="823">
        <v>344905200000000</v>
      </c>
      <c r="F2823" s="824" t="s">
        <v>9843</v>
      </c>
      <c r="G2823" s="824">
        <v>1128</v>
      </c>
      <c r="H2823" s="824">
        <v>0</v>
      </c>
      <c r="I2823" s="833"/>
      <c r="J2823" s="809">
        <f>'Parâmetros financeiros Despesa'!E2064</f>
        <v>1926</v>
      </c>
      <c r="K2823" s="809">
        <f>'Parâmetros financeiros Despesa'!F2064</f>
        <v>500</v>
      </c>
      <c r="L2823" s="835">
        <f t="shared" si="355"/>
        <v>2.4996385522653426E-3</v>
      </c>
      <c r="M2823" s="894"/>
      <c r="O2823" s="733"/>
    </row>
    <row r="2824" spans="1:15" s="31" customFormat="1" x14ac:dyDescent="0.25">
      <c r="B2824" s="829" t="s">
        <v>9868</v>
      </c>
      <c r="C2824" s="829" t="s">
        <v>6062</v>
      </c>
      <c r="D2824" s="845" t="s">
        <v>9864</v>
      </c>
      <c r="E2824" s="836">
        <v>344905234000000</v>
      </c>
      <c r="F2824" s="832" t="s">
        <v>9842</v>
      </c>
      <c r="G2824" s="832">
        <v>1128</v>
      </c>
      <c r="H2824" s="832">
        <v>0</v>
      </c>
      <c r="I2824" s="837"/>
      <c r="J2824" s="843">
        <v>0</v>
      </c>
      <c r="K2824" s="843">
        <v>0</v>
      </c>
      <c r="L2824" s="839">
        <f t="shared" si="355"/>
        <v>0</v>
      </c>
      <c r="M2824" s="897"/>
      <c r="O2824" s="736"/>
    </row>
    <row r="2825" spans="1:15" x14ac:dyDescent="0.25">
      <c r="A2825" s="397"/>
      <c r="B2825" s="1382" t="s">
        <v>7831</v>
      </c>
      <c r="C2825" s="1382"/>
      <c r="D2825" s="1382"/>
      <c r="E2825" s="1382"/>
      <c r="F2825" s="1382"/>
      <c r="G2825" s="405"/>
      <c r="H2825" s="405"/>
      <c r="I2825" s="428"/>
      <c r="J2825" s="406">
        <f t="shared" ref="J2825:K2827" si="356">J2826</f>
        <v>81487.564212500001</v>
      </c>
      <c r="K2825" s="406">
        <f t="shared" si="356"/>
        <v>103470.0551962888</v>
      </c>
      <c r="L2825" s="453">
        <f t="shared" si="355"/>
        <v>0.51727547794733286</v>
      </c>
    </row>
    <row r="2826" spans="1:15" x14ac:dyDescent="0.25">
      <c r="A2826" s="397"/>
      <c r="B2826" s="1383" t="s">
        <v>9584</v>
      </c>
      <c r="C2826" s="1383"/>
      <c r="D2826" s="1383"/>
      <c r="E2826" s="1383"/>
      <c r="F2826" s="1383"/>
      <c r="G2826" s="407"/>
      <c r="H2826" s="407"/>
      <c r="I2826" s="429"/>
      <c r="J2826" s="408">
        <f t="shared" si="356"/>
        <v>81487.564212500001</v>
      </c>
      <c r="K2826" s="408">
        <f t="shared" si="356"/>
        <v>103470.0551962888</v>
      </c>
      <c r="L2826" s="454">
        <f t="shared" si="355"/>
        <v>0.51727547794733286</v>
      </c>
    </row>
    <row r="2827" spans="1:15" x14ac:dyDescent="0.25">
      <c r="A2827" s="397"/>
      <c r="B2827" s="1385" t="s">
        <v>9489</v>
      </c>
      <c r="C2827" s="1385"/>
      <c r="D2827" s="1385"/>
      <c r="E2827" s="1385"/>
      <c r="F2827" s="1385"/>
      <c r="G2827" s="401"/>
      <c r="H2827" s="401"/>
      <c r="I2827" s="426"/>
      <c r="J2827" s="402">
        <f t="shared" si="356"/>
        <v>81487.564212500001</v>
      </c>
      <c r="K2827" s="402">
        <f t="shared" si="356"/>
        <v>103470.0551962888</v>
      </c>
      <c r="L2827" s="451">
        <f t="shared" si="355"/>
        <v>0.51727547794733286</v>
      </c>
    </row>
    <row r="2828" spans="1:15" x14ac:dyDescent="0.25">
      <c r="A2828" s="397"/>
      <c r="B2828" s="1386" t="s">
        <v>9692</v>
      </c>
      <c r="C2828" s="1386"/>
      <c r="D2828" s="1386"/>
      <c r="E2828" s="1386"/>
      <c r="F2828" s="1386"/>
      <c r="G2828" s="403"/>
      <c r="H2828" s="403"/>
      <c r="I2828" s="427"/>
      <c r="J2828" s="404">
        <f>J2829+J2830+J2831+J2832+J2833+J2834+J2835+J2836+J2837+J2838+J2839+J2840+J2841+J2842+J2843+J2844+J2845+J2846+0.01</f>
        <v>81487.564212500001</v>
      </c>
      <c r="K2828" s="404">
        <f>K2829+K2830+K2831+K2832+K2833+K2834+K2835+K2836+K2837+K2838+K2839+K2840+K2841+K2842+K2843+K2844+K2845+K2846</f>
        <v>103470.0551962888</v>
      </c>
      <c r="L2828" s="452">
        <f t="shared" si="355"/>
        <v>0.51727547794733286</v>
      </c>
    </row>
    <row r="2829" spans="1:15" s="115" customFormat="1" x14ac:dyDescent="0.25">
      <c r="B2829" s="821"/>
      <c r="C2829" s="821"/>
      <c r="D2829" s="822" t="s">
        <v>9870</v>
      </c>
      <c r="E2829" s="823">
        <v>331900400000000</v>
      </c>
      <c r="F2829" s="824" t="s">
        <v>9872</v>
      </c>
      <c r="G2829" s="824">
        <v>1110</v>
      </c>
      <c r="H2829" s="824">
        <v>0</v>
      </c>
      <c r="I2829" s="833"/>
      <c r="J2829" s="809">
        <f>'Parâmetros financeiros Despesa'!E2066</f>
        <v>62500.854212500002</v>
      </c>
      <c r="K2829" s="809">
        <f>'Parâmetros financeiros Despesa'!F2066</f>
        <v>1</v>
      </c>
      <c r="L2829" s="835">
        <f t="shared" si="355"/>
        <v>4.9992771045306853E-6</v>
      </c>
      <c r="M2829" s="894"/>
      <c r="O2829" s="733"/>
    </row>
    <row r="2830" spans="1:15" s="115" customFormat="1" x14ac:dyDescent="0.25">
      <c r="B2830" s="821"/>
      <c r="C2830" s="821"/>
      <c r="D2830" s="822" t="s">
        <v>11457</v>
      </c>
      <c r="E2830" s="823">
        <v>331900400000000</v>
      </c>
      <c r="F2830" s="824" t="s">
        <v>11458</v>
      </c>
      <c r="G2830" s="824">
        <v>1</v>
      </c>
      <c r="H2830" s="824">
        <v>0</v>
      </c>
      <c r="I2830" s="833"/>
      <c r="J2830" s="809">
        <f>'Parâmetros financeiros Despesa'!E2067</f>
        <v>0</v>
      </c>
      <c r="K2830" s="809">
        <f>'Parâmetros financeiros Despesa'!F2067</f>
        <v>39907.664361186296</v>
      </c>
      <c r="L2830" s="835">
        <f t="shared" si="355"/>
        <v>0.19950947273617384</v>
      </c>
      <c r="M2830" s="894"/>
      <c r="O2830" s="733"/>
    </row>
    <row r="2831" spans="1:15" s="115" customFormat="1" x14ac:dyDescent="0.25">
      <c r="B2831" s="821"/>
      <c r="C2831" s="821"/>
      <c r="D2831" s="822" t="s">
        <v>9888</v>
      </c>
      <c r="E2831" s="823">
        <v>331901100000000</v>
      </c>
      <c r="F2831" s="824" t="s">
        <v>9873</v>
      </c>
      <c r="G2831" s="824">
        <v>1110</v>
      </c>
      <c r="H2831" s="824">
        <v>0</v>
      </c>
      <c r="I2831" s="833"/>
      <c r="J2831" s="809">
        <f>'Parâmetros financeiros Despesa'!E2068</f>
        <v>0</v>
      </c>
      <c r="K2831" s="809">
        <f>'Parâmetros financeiros Despesa'!F2068</f>
        <v>25422.170000000006</v>
      </c>
      <c r="L2831" s="835">
        <f t="shared" si="355"/>
        <v>0.12709247242848687</v>
      </c>
      <c r="M2831" s="894"/>
      <c r="O2831" s="733"/>
    </row>
    <row r="2832" spans="1:15" s="115" customFormat="1" x14ac:dyDescent="0.25">
      <c r="B2832" s="821"/>
      <c r="C2832" s="821"/>
      <c r="D2832" s="822" t="s">
        <v>9889</v>
      </c>
      <c r="E2832" s="823">
        <v>331901300000000</v>
      </c>
      <c r="F2832" s="824" t="s">
        <v>9874</v>
      </c>
      <c r="G2832" s="824">
        <v>1110</v>
      </c>
      <c r="H2832" s="824">
        <v>0</v>
      </c>
      <c r="I2832" s="833"/>
      <c r="J2832" s="809">
        <f>'Parâmetros financeiros Despesa'!E2069</f>
        <v>0</v>
      </c>
      <c r="K2832" s="809">
        <f>'Parâmetros financeiros Despesa'!F2069</f>
        <v>6056.1889435014073</v>
      </c>
      <c r="L2832" s="835">
        <f t="shared" si="355"/>
        <v>3.0276566725958465E-2</v>
      </c>
      <c r="M2832" s="894"/>
      <c r="O2832" s="733"/>
    </row>
    <row r="2833" spans="1:15" s="115" customFormat="1" x14ac:dyDescent="0.25">
      <c r="B2833" s="821"/>
      <c r="C2833" s="821"/>
      <c r="D2833" s="822" t="s">
        <v>11460</v>
      </c>
      <c r="E2833" s="823">
        <v>331901300000000</v>
      </c>
      <c r="F2833" s="824" t="s">
        <v>11459</v>
      </c>
      <c r="G2833" s="824">
        <v>1</v>
      </c>
      <c r="H2833" s="824">
        <v>0</v>
      </c>
      <c r="I2833" s="833"/>
      <c r="J2833" s="809">
        <f>'Parâmetros financeiros Despesa'!E2070</f>
        <v>0</v>
      </c>
      <c r="K2833" s="809">
        <f>'Parâmetros financeiros Despesa'!F2070</f>
        <v>9501.7754384122909</v>
      </c>
      <c r="L2833" s="835">
        <f t="shared" si="355"/>
        <v>4.7502008401646582E-2</v>
      </c>
      <c r="M2833" s="894"/>
      <c r="O2833" s="733"/>
    </row>
    <row r="2834" spans="1:15" s="115" customFormat="1" x14ac:dyDescent="0.25">
      <c r="B2834" s="821"/>
      <c r="C2834" s="821"/>
      <c r="D2834" s="822" t="s">
        <v>9890</v>
      </c>
      <c r="E2834" s="823">
        <v>331901600000000</v>
      </c>
      <c r="F2834" s="824" t="s">
        <v>9875</v>
      </c>
      <c r="G2834" s="824">
        <v>1110</v>
      </c>
      <c r="H2834" s="824">
        <v>0</v>
      </c>
      <c r="I2834" s="833"/>
      <c r="J2834" s="809">
        <f>'Parâmetros financeiros Despesa'!E2071</f>
        <v>0</v>
      </c>
      <c r="K2834" s="809">
        <f>'Parâmetros financeiros Despesa'!F2071</f>
        <v>13.955830560223728</v>
      </c>
      <c r="L2834" s="835">
        <f t="shared" si="355"/>
        <v>6.9769064194436133E-5</v>
      </c>
      <c r="M2834" s="894"/>
      <c r="O2834" s="733"/>
    </row>
    <row r="2835" spans="1:15" x14ac:dyDescent="0.25">
      <c r="B2835" s="828"/>
      <c r="C2835" s="828"/>
      <c r="D2835" s="822" t="s">
        <v>9892</v>
      </c>
      <c r="E2835" s="823">
        <v>333901400000000</v>
      </c>
      <c r="F2835" s="824" t="s">
        <v>9877</v>
      </c>
      <c r="G2835" s="824">
        <v>1110</v>
      </c>
      <c r="H2835" s="824">
        <v>0</v>
      </c>
      <c r="I2835" s="826"/>
      <c r="J2835" s="809">
        <f>'Parâmetros financeiros Despesa'!E2072</f>
        <v>0</v>
      </c>
      <c r="K2835" s="809">
        <f>'Parâmetros financeiros Despesa'!F2072</f>
        <v>1000</v>
      </c>
      <c r="L2835" s="835">
        <f t="shared" si="355"/>
        <v>4.9992771045306852E-3</v>
      </c>
    </row>
    <row r="2836" spans="1:15" s="115" customFormat="1" x14ac:dyDescent="0.25">
      <c r="B2836" s="821"/>
      <c r="C2836" s="821"/>
      <c r="D2836" s="822" t="s">
        <v>9893</v>
      </c>
      <c r="E2836" s="823">
        <v>333903000000000</v>
      </c>
      <c r="F2836" s="824" t="s">
        <v>9878</v>
      </c>
      <c r="G2836" s="824">
        <v>1110</v>
      </c>
      <c r="H2836" s="824">
        <v>0</v>
      </c>
      <c r="I2836" s="833"/>
      <c r="J2836" s="809">
        <f>'Parâmetros financeiros Despesa'!E2073</f>
        <v>9113.744999999999</v>
      </c>
      <c r="K2836" s="809">
        <f>'Parâmetros financeiros Despesa'!F2073</f>
        <v>10000</v>
      </c>
      <c r="L2836" s="835">
        <f t="shared" si="355"/>
        <v>4.9992771045306854E-2</v>
      </c>
      <c r="M2836" s="894"/>
      <c r="O2836" s="733"/>
    </row>
    <row r="2837" spans="1:15" s="115" customFormat="1" x14ac:dyDescent="0.25">
      <c r="B2837" s="821"/>
      <c r="C2837" s="821"/>
      <c r="D2837" s="822" t="s">
        <v>9895</v>
      </c>
      <c r="E2837" s="823">
        <v>333903200000000</v>
      </c>
      <c r="F2837" s="824" t="s">
        <v>9879</v>
      </c>
      <c r="G2837" s="824">
        <v>1110</v>
      </c>
      <c r="H2837" s="824">
        <v>0</v>
      </c>
      <c r="I2837" s="833"/>
      <c r="J2837" s="809">
        <f>'Parâmetros financeiros Despesa'!E2074</f>
        <v>0</v>
      </c>
      <c r="K2837" s="809">
        <f>'Parâmetros financeiros Despesa'!F2074</f>
        <v>1000</v>
      </c>
      <c r="L2837" s="835">
        <f t="shared" si="355"/>
        <v>4.9992771045306852E-3</v>
      </c>
      <c r="M2837" s="894"/>
      <c r="O2837" s="733"/>
    </row>
    <row r="2838" spans="1:15" s="115" customFormat="1" x14ac:dyDescent="0.25">
      <c r="B2838" s="821"/>
      <c r="C2838" s="821"/>
      <c r="D2838" s="822" t="s">
        <v>9896</v>
      </c>
      <c r="E2838" s="823">
        <v>333903600000000</v>
      </c>
      <c r="F2838" s="824" t="s">
        <v>9880</v>
      </c>
      <c r="G2838" s="824">
        <v>1110</v>
      </c>
      <c r="H2838" s="824">
        <v>0</v>
      </c>
      <c r="I2838" s="833"/>
      <c r="J2838" s="809">
        <f>'Parâmetros financeiros Despesa'!E2075</f>
        <v>0</v>
      </c>
      <c r="K2838" s="809">
        <f>'Parâmetros financeiros Despesa'!F2075</f>
        <v>3000</v>
      </c>
      <c r="L2838" s="835">
        <f t="shared" si="355"/>
        <v>1.4997831313592056E-2</v>
      </c>
      <c r="M2838" s="894"/>
      <c r="O2838" s="733"/>
    </row>
    <row r="2839" spans="1:15" s="115" customFormat="1" x14ac:dyDescent="0.25">
      <c r="B2839" s="821"/>
      <c r="C2839" s="821"/>
      <c r="D2839" s="822" t="s">
        <v>9897</v>
      </c>
      <c r="E2839" s="823">
        <v>333903900000000</v>
      </c>
      <c r="F2839" s="824" t="s">
        <v>9881</v>
      </c>
      <c r="G2839" s="824">
        <v>1110</v>
      </c>
      <c r="H2839" s="824">
        <v>0</v>
      </c>
      <c r="I2839" s="833"/>
      <c r="J2839" s="809">
        <f>'Parâmetros financeiros Despesa'!E2076</f>
        <v>7429.5</v>
      </c>
      <c r="K2839" s="809">
        <f>'Parâmetros financeiros Despesa'!F2076</f>
        <v>2000</v>
      </c>
      <c r="L2839" s="835">
        <f t="shared" si="355"/>
        <v>9.9985542090613704E-3</v>
      </c>
      <c r="M2839" s="894"/>
      <c r="O2839" s="733"/>
    </row>
    <row r="2840" spans="1:15" s="115" customFormat="1" x14ac:dyDescent="0.25">
      <c r="B2840" s="821"/>
      <c r="C2840" s="821"/>
      <c r="D2840" s="822" t="s">
        <v>9899</v>
      </c>
      <c r="E2840" s="823">
        <v>333904700000000</v>
      </c>
      <c r="F2840" s="824" t="s">
        <v>9882</v>
      </c>
      <c r="G2840" s="824">
        <v>1110</v>
      </c>
      <c r="H2840" s="824">
        <v>0</v>
      </c>
      <c r="I2840" s="833"/>
      <c r="J2840" s="809">
        <f>'Parâmetros financeiros Despesa'!E2077</f>
        <v>42.015000000000001</v>
      </c>
      <c r="K2840" s="809">
        <f>'Parâmetros financeiros Despesa'!F2077</f>
        <v>600</v>
      </c>
      <c r="L2840" s="835">
        <f t="shared" si="355"/>
        <v>2.9995662627184112E-3</v>
      </c>
      <c r="M2840" s="894"/>
      <c r="O2840" s="733"/>
    </row>
    <row r="2841" spans="1:15" s="115" customFormat="1" x14ac:dyDescent="0.25">
      <c r="B2841" s="821"/>
      <c r="C2841" s="821"/>
      <c r="D2841" s="822" t="s">
        <v>9901</v>
      </c>
      <c r="E2841" s="823">
        <v>333904900000000</v>
      </c>
      <c r="F2841" s="824" t="s">
        <v>9876</v>
      </c>
      <c r="G2841" s="824">
        <v>1110</v>
      </c>
      <c r="H2841" s="824">
        <v>0</v>
      </c>
      <c r="I2841" s="833"/>
      <c r="J2841" s="809">
        <f>'Parâmetros financeiros Despesa'!E2078</f>
        <v>0</v>
      </c>
      <c r="K2841" s="809">
        <f>'Parâmetros financeiros Despesa'!F2078</f>
        <v>584.63062262856215</v>
      </c>
      <c r="L2841" s="835">
        <f t="shared" si="355"/>
        <v>2.9227304863144901E-3</v>
      </c>
      <c r="M2841" s="894"/>
      <c r="O2841" s="733"/>
    </row>
    <row r="2842" spans="1:15" x14ac:dyDescent="0.25">
      <c r="B2842" s="829"/>
      <c r="C2842" s="821"/>
      <c r="D2842" s="822" t="s">
        <v>9908</v>
      </c>
      <c r="E2842" s="823">
        <v>333909300000000</v>
      </c>
      <c r="F2842" s="824" t="s">
        <v>9887</v>
      </c>
      <c r="G2842" s="824">
        <v>1110</v>
      </c>
      <c r="H2842" s="824">
        <v>0</v>
      </c>
      <c r="I2842" s="826"/>
      <c r="J2842" s="809">
        <f>'Parâmetros financeiros Despesa'!E2079</f>
        <v>0</v>
      </c>
      <c r="K2842" s="809">
        <f>'Parâmetros financeiros Despesa'!F2079</f>
        <v>500</v>
      </c>
      <c r="L2842" s="835">
        <f t="shared" si="355"/>
        <v>2.4996385522653426E-3</v>
      </c>
    </row>
    <row r="2843" spans="1:15" s="115" customFormat="1" x14ac:dyDescent="0.25">
      <c r="B2843" s="821"/>
      <c r="C2843" s="821"/>
      <c r="D2843" s="822" t="s">
        <v>9903</v>
      </c>
      <c r="E2843" s="823">
        <v>333933000000000</v>
      </c>
      <c r="F2843" s="824" t="s">
        <v>9883</v>
      </c>
      <c r="G2843" s="824">
        <v>1110</v>
      </c>
      <c r="H2843" s="824">
        <v>0</v>
      </c>
      <c r="I2843" s="833"/>
      <c r="J2843" s="809">
        <f>'Parâmetros financeiros Despesa'!E2080</f>
        <v>1200.72</v>
      </c>
      <c r="K2843" s="809">
        <f>'Parâmetros financeiros Despesa'!F2080</f>
        <v>1000</v>
      </c>
      <c r="L2843" s="835">
        <f>K2843/K$2873</f>
        <v>4.9992772245887442E-3</v>
      </c>
      <c r="M2843" s="894"/>
      <c r="O2843" s="733"/>
    </row>
    <row r="2844" spans="1:15" x14ac:dyDescent="0.25">
      <c r="B2844" s="828"/>
      <c r="C2844" s="828"/>
      <c r="D2844" s="822" t="s">
        <v>9905</v>
      </c>
      <c r="E2844" s="823">
        <v>333933900000000</v>
      </c>
      <c r="F2844" s="824" t="s">
        <v>9884</v>
      </c>
      <c r="G2844" s="824">
        <v>1110</v>
      </c>
      <c r="H2844" s="824">
        <v>0</v>
      </c>
      <c r="I2844" s="826"/>
      <c r="J2844" s="809">
        <f>'Parâmetros financeiros Despesa'!E2080</f>
        <v>1200.72</v>
      </c>
      <c r="K2844" s="809">
        <f>'Parâmetros financeiros Despesa'!F2080</f>
        <v>1000</v>
      </c>
      <c r="L2844" s="835">
        <f t="shared" ref="L2844:L2873" si="357">K2844/K$2882</f>
        <v>4.9992771045306852E-3</v>
      </c>
    </row>
    <row r="2845" spans="1:15" x14ac:dyDescent="0.25">
      <c r="B2845" s="828"/>
      <c r="C2845" s="828"/>
      <c r="D2845" s="822" t="s">
        <v>9907</v>
      </c>
      <c r="E2845" s="823">
        <v>344905100000000</v>
      </c>
      <c r="F2845" s="824" t="s">
        <v>9885</v>
      </c>
      <c r="G2845" s="824">
        <v>1110</v>
      </c>
      <c r="H2845" s="824">
        <v>0</v>
      </c>
      <c r="I2845" s="826"/>
      <c r="J2845" s="809">
        <f>'Parâmetros financeiros Despesa'!E2081</f>
        <v>0</v>
      </c>
      <c r="K2845" s="809">
        <f>'Parâmetros financeiros Despesa'!F2081</f>
        <v>1000</v>
      </c>
      <c r="L2845" s="835">
        <f t="shared" si="357"/>
        <v>4.9992771045306852E-3</v>
      </c>
    </row>
    <row r="2846" spans="1:15" x14ac:dyDescent="0.25">
      <c r="B2846" s="828"/>
      <c r="C2846" s="828"/>
      <c r="D2846" s="822" t="s">
        <v>9906</v>
      </c>
      <c r="E2846" s="823">
        <v>344905200000000</v>
      </c>
      <c r="F2846" s="824" t="s">
        <v>9886</v>
      </c>
      <c r="G2846" s="824">
        <v>1110</v>
      </c>
      <c r="H2846" s="824">
        <v>0</v>
      </c>
      <c r="I2846" s="826"/>
      <c r="J2846" s="809">
        <f>'Parâmetros financeiros Despesa'!E2083</f>
        <v>0</v>
      </c>
      <c r="K2846" s="809">
        <f>'Parâmetros financeiros Despesa'!F2083</f>
        <v>882.67</v>
      </c>
      <c r="L2846" s="835">
        <f t="shared" si="357"/>
        <v>4.4127119218560999E-3</v>
      </c>
      <c r="M2846" s="1394"/>
      <c r="N2846" s="1252"/>
    </row>
    <row r="2847" spans="1:15" x14ac:dyDescent="0.25">
      <c r="A2847" s="397"/>
      <c r="B2847" s="1382" t="s">
        <v>7831</v>
      </c>
      <c r="C2847" s="1382"/>
      <c r="D2847" s="1382"/>
      <c r="E2847" s="1382"/>
      <c r="F2847" s="1382"/>
      <c r="G2847" s="405"/>
      <c r="H2847" s="405"/>
      <c r="I2847" s="428"/>
      <c r="J2847" s="406">
        <f t="shared" ref="J2847:K2849" si="358">J2848</f>
        <v>68068.23</v>
      </c>
      <c r="K2847" s="406">
        <f t="shared" si="358"/>
        <v>57363.12</v>
      </c>
      <c r="L2847" s="453">
        <f t="shared" si="357"/>
        <v>0.28677413246044625</v>
      </c>
    </row>
    <row r="2848" spans="1:15" x14ac:dyDescent="0.25">
      <c r="A2848" s="397"/>
      <c r="B2848" s="1383" t="s">
        <v>9584</v>
      </c>
      <c r="C2848" s="1383"/>
      <c r="D2848" s="1383"/>
      <c r="E2848" s="1383"/>
      <c r="F2848" s="1383"/>
      <c r="G2848" s="407"/>
      <c r="H2848" s="407"/>
      <c r="I2848" s="429"/>
      <c r="J2848" s="408">
        <f t="shared" si="358"/>
        <v>68068.23</v>
      </c>
      <c r="K2848" s="408">
        <f t="shared" si="358"/>
        <v>57363.12</v>
      </c>
      <c r="L2848" s="454">
        <f t="shared" si="357"/>
        <v>0.28677413246044625</v>
      </c>
    </row>
    <row r="2849" spans="1:15" x14ac:dyDescent="0.25">
      <c r="A2849" s="397"/>
      <c r="B2849" s="1385" t="s">
        <v>9489</v>
      </c>
      <c r="C2849" s="1385"/>
      <c r="D2849" s="1385"/>
      <c r="E2849" s="1385"/>
      <c r="F2849" s="1385"/>
      <c r="G2849" s="401"/>
      <c r="H2849" s="401"/>
      <c r="I2849" s="426"/>
      <c r="J2849" s="402">
        <f t="shared" si="358"/>
        <v>68068.23</v>
      </c>
      <c r="K2849" s="402">
        <f t="shared" si="358"/>
        <v>57363.12</v>
      </c>
      <c r="L2849" s="451">
        <f t="shared" si="357"/>
        <v>0.28677413246044625</v>
      </c>
    </row>
    <row r="2850" spans="1:15" x14ac:dyDescent="0.25">
      <c r="A2850" s="397"/>
      <c r="B2850" s="1386" t="s">
        <v>9694</v>
      </c>
      <c r="C2850" s="1386"/>
      <c r="D2850" s="1386"/>
      <c r="E2850" s="1386"/>
      <c r="F2850" s="1386"/>
      <c r="G2850" s="403"/>
      <c r="H2850" s="403"/>
      <c r="I2850" s="427"/>
      <c r="J2850" s="404">
        <f>J2851+J2852+J2853+J2854+J2855+J2856+J2857+J2858+J2859+J2860+J2861+J2862+J2863+J2864+J2865+J2866</f>
        <v>68068.23</v>
      </c>
      <c r="K2850" s="404">
        <f>K2851+K2852+K2853+K2854+K2855+K2856+K2857+K2858+K2859+K2860+K2861+K2862+K2863+K2864+K2865+K2866</f>
        <v>57363.12</v>
      </c>
      <c r="L2850" s="452">
        <f t="shared" si="357"/>
        <v>0.28677413246044625</v>
      </c>
    </row>
    <row r="2851" spans="1:15" s="115" customFormat="1" x14ac:dyDescent="0.25">
      <c r="B2851" s="821"/>
      <c r="C2851" s="821"/>
      <c r="D2851" s="822" t="s">
        <v>9922</v>
      </c>
      <c r="E2851" s="823">
        <v>331900400000000</v>
      </c>
      <c r="F2851" s="824" t="s">
        <v>9909</v>
      </c>
      <c r="G2851" s="824">
        <v>1109</v>
      </c>
      <c r="H2851" s="824">
        <v>0</v>
      </c>
      <c r="I2851" s="833"/>
      <c r="J2851" s="809">
        <f>'Parâmetros financeiros Despesa'!E2085</f>
        <v>0</v>
      </c>
      <c r="K2851" s="809">
        <f>'Parâmetros financeiros Despesa'!F2085</f>
        <v>1</v>
      </c>
      <c r="L2851" s="835">
        <f t="shared" si="357"/>
        <v>4.9992771045306853E-6</v>
      </c>
      <c r="M2851" s="894"/>
      <c r="O2851" s="733"/>
    </row>
    <row r="2852" spans="1:15" s="115" customFormat="1" x14ac:dyDescent="0.25">
      <c r="B2852" s="821"/>
      <c r="C2852" s="821"/>
      <c r="D2852" s="822" t="s">
        <v>9923</v>
      </c>
      <c r="E2852" s="823">
        <v>331901100000000</v>
      </c>
      <c r="F2852" s="824" t="s">
        <v>9912</v>
      </c>
      <c r="G2852" s="824">
        <v>1109</v>
      </c>
      <c r="H2852" s="824">
        <v>0</v>
      </c>
      <c r="I2852" s="833"/>
      <c r="J2852" s="809">
        <f>'Parâmetros financeiros Despesa'!E2086</f>
        <v>0</v>
      </c>
      <c r="K2852" s="809">
        <f>'Parâmetros financeiros Despesa'!F2086</f>
        <v>1</v>
      </c>
      <c r="L2852" s="835">
        <f t="shared" si="357"/>
        <v>4.9992771045306853E-6</v>
      </c>
      <c r="M2852" s="894"/>
      <c r="O2852" s="733"/>
    </row>
    <row r="2853" spans="1:15" s="115" customFormat="1" x14ac:dyDescent="0.25">
      <c r="B2853" s="821"/>
      <c r="C2853" s="821"/>
      <c r="D2853" s="822" t="s">
        <v>9925</v>
      </c>
      <c r="E2853" s="823">
        <v>331901300000000</v>
      </c>
      <c r="F2853" s="824" t="s">
        <v>9911</v>
      </c>
      <c r="G2853" s="824">
        <v>1109</v>
      </c>
      <c r="H2853" s="824">
        <v>0</v>
      </c>
      <c r="I2853" s="833"/>
      <c r="J2853" s="809">
        <f>'Parâmetros financeiros Despesa'!E2087</f>
        <v>0</v>
      </c>
      <c r="K2853" s="809">
        <f>'Parâmetros financeiros Despesa'!F2087</f>
        <v>1</v>
      </c>
      <c r="L2853" s="835">
        <f t="shared" si="357"/>
        <v>4.9992771045306853E-6</v>
      </c>
      <c r="M2853" s="894"/>
      <c r="O2853" s="733"/>
    </row>
    <row r="2854" spans="1:15" s="115" customFormat="1" x14ac:dyDescent="0.25">
      <c r="B2854" s="821"/>
      <c r="C2854" s="821"/>
      <c r="D2854" s="822" t="s">
        <v>9924</v>
      </c>
      <c r="E2854" s="823">
        <v>331901600000000</v>
      </c>
      <c r="F2854" s="824" t="s">
        <v>9910</v>
      </c>
      <c r="G2854" s="824">
        <v>1109</v>
      </c>
      <c r="H2854" s="824">
        <v>0</v>
      </c>
      <c r="I2854" s="833"/>
      <c r="J2854" s="809">
        <f>'Parâmetros financeiros Despesa'!E2088</f>
        <v>0</v>
      </c>
      <c r="K2854" s="809">
        <f>'Parâmetros financeiros Despesa'!F2088</f>
        <v>1</v>
      </c>
      <c r="L2854" s="835">
        <f t="shared" si="357"/>
        <v>4.9992771045306853E-6</v>
      </c>
      <c r="M2854" s="894"/>
      <c r="O2854" s="733"/>
    </row>
    <row r="2855" spans="1:15" x14ac:dyDescent="0.25">
      <c r="B2855" s="828"/>
      <c r="C2855" s="828"/>
      <c r="D2855" s="822" t="s">
        <v>9926</v>
      </c>
      <c r="E2855" s="823">
        <v>333901400000000</v>
      </c>
      <c r="F2855" s="824" t="s">
        <v>9913</v>
      </c>
      <c r="G2855" s="824">
        <v>1109</v>
      </c>
      <c r="H2855" s="824">
        <v>0</v>
      </c>
      <c r="I2855" s="826"/>
      <c r="J2855" s="809">
        <f>'Parâmetros financeiros Despesa'!E2089</f>
        <v>0</v>
      </c>
      <c r="K2855" s="809">
        <f>'Parâmetros financeiros Despesa'!F2089</f>
        <v>1000</v>
      </c>
      <c r="L2855" s="835">
        <f t="shared" si="357"/>
        <v>4.9992771045306852E-3</v>
      </c>
    </row>
    <row r="2856" spans="1:15" s="115" customFormat="1" x14ac:dyDescent="0.25">
      <c r="B2856" s="821"/>
      <c r="C2856" s="821"/>
      <c r="D2856" s="822" t="s">
        <v>9927</v>
      </c>
      <c r="E2856" s="823">
        <v>333903000000000</v>
      </c>
      <c r="F2856" s="824" t="s">
        <v>9938</v>
      </c>
      <c r="G2856" s="824">
        <v>1109</v>
      </c>
      <c r="H2856" s="824">
        <v>0</v>
      </c>
      <c r="I2856" s="833"/>
      <c r="J2856" s="809">
        <f>'Parâmetros financeiros Despesa'!E2090</f>
        <v>9814.1849999999995</v>
      </c>
      <c r="K2856" s="809">
        <f>'Parâmetros financeiros Despesa'!F2090</f>
        <v>9859.1200000000008</v>
      </c>
      <c r="L2856" s="835">
        <f t="shared" si="357"/>
        <v>4.9288472886820575E-2</v>
      </c>
      <c r="M2856" s="894"/>
      <c r="O2856" s="733"/>
    </row>
    <row r="2857" spans="1:15" s="115" customFormat="1" x14ac:dyDescent="0.25">
      <c r="B2857" s="821"/>
      <c r="C2857" s="821"/>
      <c r="D2857" s="822" t="s">
        <v>9928</v>
      </c>
      <c r="E2857" s="823">
        <v>333903200000000</v>
      </c>
      <c r="F2857" s="824" t="s">
        <v>9914</v>
      </c>
      <c r="G2857" s="824">
        <v>1109</v>
      </c>
      <c r="H2857" s="824">
        <v>0</v>
      </c>
      <c r="I2857" s="833"/>
      <c r="J2857" s="809">
        <f>'Parâmetros financeiros Despesa'!E2091</f>
        <v>0</v>
      </c>
      <c r="K2857" s="809">
        <f>'Parâmetros financeiros Despesa'!F2091</f>
        <v>5000</v>
      </c>
      <c r="L2857" s="835">
        <f t="shared" si="357"/>
        <v>2.4996385522653427E-2</v>
      </c>
      <c r="M2857" s="894"/>
      <c r="O2857" s="733"/>
    </row>
    <row r="2858" spans="1:15" s="115" customFormat="1" x14ac:dyDescent="0.25">
      <c r="B2858" s="821"/>
      <c r="C2858" s="821"/>
      <c r="D2858" s="822" t="s">
        <v>9929</v>
      </c>
      <c r="E2858" s="823">
        <v>333903600000000</v>
      </c>
      <c r="F2858" s="824" t="s">
        <v>9915</v>
      </c>
      <c r="G2858" s="824">
        <v>1109</v>
      </c>
      <c r="H2858" s="824">
        <v>0</v>
      </c>
      <c r="I2858" s="833"/>
      <c r="J2858" s="809">
        <f>'Parâmetros financeiros Despesa'!E2092</f>
        <v>12315</v>
      </c>
      <c r="K2858" s="809">
        <f>'Parâmetros financeiros Despesa'!F2092</f>
        <v>15000</v>
      </c>
      <c r="L2858" s="835">
        <f t="shared" si="357"/>
        <v>7.4989156567960277E-2</v>
      </c>
      <c r="M2858" s="894"/>
      <c r="O2858" s="733"/>
    </row>
    <row r="2859" spans="1:15" s="115" customFormat="1" x14ac:dyDescent="0.25">
      <c r="B2859" s="821"/>
      <c r="C2859" s="821"/>
      <c r="D2859" s="822" t="s">
        <v>9930</v>
      </c>
      <c r="E2859" s="823">
        <v>333903900000000</v>
      </c>
      <c r="F2859" s="824" t="s">
        <v>9916</v>
      </c>
      <c r="G2859" s="824">
        <v>1109</v>
      </c>
      <c r="H2859" s="824">
        <v>0</v>
      </c>
      <c r="I2859" s="833"/>
      <c r="J2859" s="809">
        <f>'Parâmetros financeiros Despesa'!E2093</f>
        <v>44923.305</v>
      </c>
      <c r="K2859" s="809">
        <f>'Parâmetros financeiros Despesa'!F2093</f>
        <v>15000</v>
      </c>
      <c r="L2859" s="835">
        <f t="shared" si="357"/>
        <v>7.4989156567960277E-2</v>
      </c>
      <c r="M2859" s="894"/>
      <c r="O2859" s="733"/>
    </row>
    <row r="2860" spans="1:15" s="115" customFormat="1" x14ac:dyDescent="0.25">
      <c r="B2860" s="821"/>
      <c r="C2860" s="821"/>
      <c r="D2860" s="822" t="s">
        <v>9931</v>
      </c>
      <c r="E2860" s="823">
        <v>333904700000000</v>
      </c>
      <c r="F2860" s="824" t="s">
        <v>9917</v>
      </c>
      <c r="G2860" s="824">
        <v>1109</v>
      </c>
      <c r="H2860" s="824">
        <v>0</v>
      </c>
      <c r="I2860" s="833"/>
      <c r="J2860" s="809">
        <f>'Parâmetros financeiros Despesa'!E2094</f>
        <v>1015.74</v>
      </c>
      <c r="K2860" s="809">
        <f>'Parâmetros financeiros Despesa'!F2094</f>
        <v>3000</v>
      </c>
      <c r="L2860" s="835">
        <f t="shared" si="357"/>
        <v>1.4997831313592056E-2</v>
      </c>
      <c r="M2860" s="894"/>
      <c r="O2860" s="733"/>
    </row>
    <row r="2861" spans="1:15" s="115" customFormat="1" x14ac:dyDescent="0.25">
      <c r="B2861" s="821"/>
      <c r="C2861" s="821"/>
      <c r="D2861" s="822" t="s">
        <v>9932</v>
      </c>
      <c r="E2861" s="823">
        <v>333904900000000</v>
      </c>
      <c r="F2861" s="824" t="s">
        <v>9939</v>
      </c>
      <c r="G2861" s="824">
        <v>1109</v>
      </c>
      <c r="H2861" s="824">
        <v>0</v>
      </c>
      <c r="I2861" s="833"/>
      <c r="J2861" s="809">
        <f>'Parâmetros financeiros Despesa'!E2095</f>
        <v>0</v>
      </c>
      <c r="K2861" s="809">
        <f>'Parâmetros financeiros Despesa'!F2095</f>
        <v>2000</v>
      </c>
      <c r="L2861" s="835">
        <f t="shared" si="357"/>
        <v>9.9985542090613704E-3</v>
      </c>
      <c r="M2861" s="894"/>
      <c r="O2861" s="733"/>
    </row>
    <row r="2862" spans="1:15" x14ac:dyDescent="0.25">
      <c r="B2862" s="829"/>
      <c r="C2862" s="821"/>
      <c r="D2862" s="822" t="s">
        <v>9933</v>
      </c>
      <c r="E2862" s="823">
        <v>333909300000000</v>
      </c>
      <c r="F2862" s="824" t="s">
        <v>9918</v>
      </c>
      <c r="G2862" s="824">
        <v>1109</v>
      </c>
      <c r="H2862" s="824">
        <v>0</v>
      </c>
      <c r="I2862" s="826"/>
      <c r="J2862" s="809">
        <f>'Parâmetros financeiros Despesa'!E2096</f>
        <v>0</v>
      </c>
      <c r="K2862" s="809">
        <f>'Parâmetros financeiros Despesa'!F2096</f>
        <v>500</v>
      </c>
      <c r="L2862" s="835">
        <f t="shared" si="357"/>
        <v>2.4996385522653426E-3</v>
      </c>
    </row>
    <row r="2863" spans="1:15" s="115" customFormat="1" x14ac:dyDescent="0.25">
      <c r="B2863" s="821"/>
      <c r="C2863" s="821"/>
      <c r="D2863" s="822" t="s">
        <v>9934</v>
      </c>
      <c r="E2863" s="823">
        <v>333933000000000</v>
      </c>
      <c r="F2863" s="824" t="s">
        <v>9940</v>
      </c>
      <c r="G2863" s="824">
        <v>1109</v>
      </c>
      <c r="H2863" s="824">
        <v>0</v>
      </c>
      <c r="I2863" s="833"/>
      <c r="J2863" s="809">
        <f>'Parâmetros financeiros Despesa'!E2097</f>
        <v>0</v>
      </c>
      <c r="K2863" s="809">
        <f>'Parâmetros financeiros Despesa'!F2097</f>
        <v>1000</v>
      </c>
      <c r="L2863" s="835">
        <f t="shared" si="357"/>
        <v>4.9992771045306852E-3</v>
      </c>
      <c r="M2863" s="894"/>
      <c r="O2863" s="733"/>
    </row>
    <row r="2864" spans="1:15" x14ac:dyDescent="0.25">
      <c r="B2864" s="828"/>
      <c r="C2864" s="828"/>
      <c r="D2864" s="822" t="s">
        <v>9935</v>
      </c>
      <c r="E2864" s="823">
        <v>333933900000000</v>
      </c>
      <c r="F2864" s="824" t="s">
        <v>9919</v>
      </c>
      <c r="G2864" s="824">
        <v>1109</v>
      </c>
      <c r="H2864" s="824">
        <v>0</v>
      </c>
      <c r="I2864" s="826"/>
      <c r="J2864" s="809">
        <f>'Parâmetros financeiros Despesa'!E2098</f>
        <v>0</v>
      </c>
      <c r="K2864" s="809">
        <f>'Parâmetros financeiros Despesa'!F2098</f>
        <v>3000</v>
      </c>
      <c r="L2864" s="835">
        <f t="shared" si="357"/>
        <v>1.4997831313592056E-2</v>
      </c>
    </row>
    <row r="2865" spans="1:15" x14ac:dyDescent="0.25">
      <c r="B2865" s="828"/>
      <c r="C2865" s="828"/>
      <c r="D2865" s="822" t="s">
        <v>9936</v>
      </c>
      <c r="E2865" s="823">
        <v>344905100000000</v>
      </c>
      <c r="F2865" s="824" t="s">
        <v>9920</v>
      </c>
      <c r="G2865" s="824">
        <v>1109</v>
      </c>
      <c r="H2865" s="824">
        <v>0</v>
      </c>
      <c r="I2865" s="826"/>
      <c r="J2865" s="809">
        <f>'Parâmetros financeiros Despesa'!E2099</f>
        <v>0</v>
      </c>
      <c r="K2865" s="809">
        <f>'Parâmetros financeiros Despesa'!F2099</f>
        <v>1000</v>
      </c>
      <c r="L2865" s="835">
        <f t="shared" si="357"/>
        <v>4.9992771045306852E-3</v>
      </c>
    </row>
    <row r="2866" spans="1:15" x14ac:dyDescent="0.25">
      <c r="B2866" s="828"/>
      <c r="C2866" s="828"/>
      <c r="D2866" s="822" t="s">
        <v>9937</v>
      </c>
      <c r="E2866" s="823">
        <v>344905200000000</v>
      </c>
      <c r="F2866" s="824" t="s">
        <v>9921</v>
      </c>
      <c r="G2866" s="824">
        <v>1109</v>
      </c>
      <c r="H2866" s="824">
        <v>0</v>
      </c>
      <c r="I2866" s="826"/>
      <c r="J2866" s="809">
        <f>'Parâmetros financeiros Despesa'!E2100</f>
        <v>0</v>
      </c>
      <c r="K2866" s="809">
        <f>'Parâmetros financeiros Despesa'!F2100</f>
        <v>1000</v>
      </c>
      <c r="L2866" s="835">
        <f t="shared" si="357"/>
        <v>4.9992771045306852E-3</v>
      </c>
    </row>
    <row r="2867" spans="1:15" x14ac:dyDescent="0.25">
      <c r="A2867" s="397"/>
      <c r="B2867" s="1382" t="s">
        <v>7831</v>
      </c>
      <c r="C2867" s="1382"/>
      <c r="D2867" s="1382"/>
      <c r="E2867" s="1382"/>
      <c r="F2867" s="1382"/>
      <c r="G2867" s="405"/>
      <c r="H2867" s="405"/>
      <c r="I2867" s="428"/>
      <c r="J2867" s="406">
        <f t="shared" ref="J2867:K2869" si="359">J2868</f>
        <v>0</v>
      </c>
      <c r="K2867" s="406">
        <f t="shared" si="359"/>
        <v>2017.53</v>
      </c>
      <c r="L2867" s="453">
        <f t="shared" si="357"/>
        <v>1.0086191536703794E-2</v>
      </c>
    </row>
    <row r="2868" spans="1:15" x14ac:dyDescent="0.25">
      <c r="A2868" s="397"/>
      <c r="B2868" s="1383" t="s">
        <v>9584</v>
      </c>
      <c r="C2868" s="1383"/>
      <c r="D2868" s="1383"/>
      <c r="E2868" s="1383"/>
      <c r="F2868" s="1383"/>
      <c r="G2868" s="407"/>
      <c r="H2868" s="407"/>
      <c r="I2868" s="429"/>
      <c r="J2868" s="408">
        <f t="shared" si="359"/>
        <v>0</v>
      </c>
      <c r="K2868" s="408">
        <f t="shared" si="359"/>
        <v>2017.53</v>
      </c>
      <c r="L2868" s="454">
        <f t="shared" si="357"/>
        <v>1.0086191536703794E-2</v>
      </c>
    </row>
    <row r="2869" spans="1:15" x14ac:dyDescent="0.25">
      <c r="A2869" s="397"/>
      <c r="B2869" s="1385" t="s">
        <v>9489</v>
      </c>
      <c r="C2869" s="1385"/>
      <c r="D2869" s="1385"/>
      <c r="E2869" s="1385"/>
      <c r="F2869" s="1385"/>
      <c r="G2869" s="401"/>
      <c r="H2869" s="401"/>
      <c r="I2869" s="426"/>
      <c r="J2869" s="402">
        <f t="shared" si="359"/>
        <v>0</v>
      </c>
      <c r="K2869" s="402">
        <f t="shared" si="359"/>
        <v>2017.53</v>
      </c>
      <c r="L2869" s="451">
        <f t="shared" si="357"/>
        <v>1.0086191536703794E-2</v>
      </c>
    </row>
    <row r="2870" spans="1:15" x14ac:dyDescent="0.25">
      <c r="A2870" s="397"/>
      <c r="B2870" s="1386" t="s">
        <v>9693</v>
      </c>
      <c r="C2870" s="1386"/>
      <c r="D2870" s="1386"/>
      <c r="E2870" s="1386"/>
      <c r="F2870" s="1386"/>
      <c r="G2870" s="403"/>
      <c r="H2870" s="403"/>
      <c r="I2870" s="427"/>
      <c r="J2870" s="404">
        <f>J2871+J2872</f>
        <v>0</v>
      </c>
      <c r="K2870" s="404">
        <f>K2871+K2872</f>
        <v>2017.53</v>
      </c>
      <c r="L2870" s="452">
        <f t="shared" si="357"/>
        <v>1.0086191536703794E-2</v>
      </c>
    </row>
    <row r="2871" spans="1:15" s="115" customFormat="1" x14ac:dyDescent="0.25">
      <c r="B2871" s="821"/>
      <c r="C2871" s="821"/>
      <c r="D2871" s="822" t="s">
        <v>11470</v>
      </c>
      <c r="E2871" s="823">
        <v>333903000000000</v>
      </c>
      <c r="F2871" s="824" t="s">
        <v>9941</v>
      </c>
      <c r="G2871" s="824">
        <v>1073</v>
      </c>
      <c r="H2871" s="824">
        <v>0</v>
      </c>
      <c r="I2871" s="833"/>
      <c r="J2871" s="809">
        <f>'Parâmetros financeiros Despesa'!E2102</f>
        <v>0</v>
      </c>
      <c r="K2871" s="809">
        <f>'Parâmetros financeiros Despesa'!F2102</f>
        <v>1017.53</v>
      </c>
      <c r="L2871" s="835">
        <f t="shared" si="357"/>
        <v>5.0869144321731077E-3</v>
      </c>
      <c r="M2871" s="894"/>
      <c r="O2871" s="733"/>
    </row>
    <row r="2872" spans="1:15" s="115" customFormat="1" x14ac:dyDescent="0.25">
      <c r="B2872" s="821"/>
      <c r="C2872" s="821"/>
      <c r="D2872" s="822" t="s">
        <v>11471</v>
      </c>
      <c r="E2872" s="823">
        <v>333903900000000</v>
      </c>
      <c r="F2872" s="824" t="s">
        <v>9942</v>
      </c>
      <c r="G2872" s="824">
        <v>1073</v>
      </c>
      <c r="H2872" s="824">
        <v>0</v>
      </c>
      <c r="I2872" s="833"/>
      <c r="J2872" s="809">
        <f>'Parâmetros financeiros Despesa'!E2103</f>
        <v>0</v>
      </c>
      <c r="K2872" s="809">
        <f>'Parâmetros financeiros Despesa'!F2103</f>
        <v>1000</v>
      </c>
      <c r="L2872" s="835">
        <f t="shared" si="357"/>
        <v>4.9992771045306852E-3</v>
      </c>
      <c r="M2872" s="894"/>
      <c r="O2872" s="733"/>
    </row>
    <row r="2873" spans="1:15" s="115" customFormat="1" x14ac:dyDescent="0.25">
      <c r="A2873" s="396"/>
      <c r="B2873" s="1395" t="s">
        <v>2172</v>
      </c>
      <c r="C2873" s="1395"/>
      <c r="D2873" s="1395"/>
      <c r="E2873" s="1395"/>
      <c r="F2873" s="1395"/>
      <c r="G2873" s="1395"/>
      <c r="H2873" s="1395"/>
      <c r="I2873" s="1395"/>
      <c r="J2873" s="1023">
        <f>J2870+J2850+J2828+J2813+J2799+J2785</f>
        <v>166054.6842125</v>
      </c>
      <c r="K2873" s="1023">
        <f>K2870+K2850+K2828+K2813+K2799+K2785</f>
        <v>200028.91519628881</v>
      </c>
      <c r="L2873" s="452">
        <f t="shared" si="357"/>
        <v>0.99999997598491674</v>
      </c>
      <c r="M2873" s="894"/>
      <c r="O2873" s="733"/>
    </row>
    <row r="2874" spans="1:15" x14ac:dyDescent="0.25">
      <c r="B2874" s="864" t="s">
        <v>11469</v>
      </c>
      <c r="C2874" s="864"/>
      <c r="D2874" s="864"/>
      <c r="E2874" s="864"/>
      <c r="F2874" s="864"/>
      <c r="G2874" s="864"/>
      <c r="H2874" s="864"/>
      <c r="I2874" s="864"/>
      <c r="J2874" s="863"/>
      <c r="K2874" s="863"/>
      <c r="L2874" s="452"/>
    </row>
    <row r="2875" spans="1:15" x14ac:dyDescent="0.25">
      <c r="B2875" s="869" t="s">
        <v>745</v>
      </c>
      <c r="C2875" s="869"/>
      <c r="D2875" s="869"/>
      <c r="E2875" s="869"/>
      <c r="F2875" s="869"/>
      <c r="G2875" s="869"/>
      <c r="H2875" s="869"/>
      <c r="I2875" s="869"/>
      <c r="J2875" s="870">
        <v>0</v>
      </c>
      <c r="K2875" s="870">
        <v>49409.440000000002</v>
      </c>
      <c r="L2875" s="871">
        <f t="shared" ref="L2875:L2881" si="360">K2876/K$2882</f>
        <v>1.0086191536703794E-2</v>
      </c>
    </row>
    <row r="2876" spans="1:15" x14ac:dyDescent="0.25">
      <c r="B2876" s="869" t="s">
        <v>11472</v>
      </c>
      <c r="C2876" s="869"/>
      <c r="D2876" s="869"/>
      <c r="E2876" s="869"/>
      <c r="F2876" s="869"/>
      <c r="G2876" s="869"/>
      <c r="H2876" s="869"/>
      <c r="I2876" s="869"/>
      <c r="J2876" s="870">
        <f>J2870</f>
        <v>0</v>
      </c>
      <c r="K2876" s="870">
        <v>2017.53</v>
      </c>
      <c r="L2876" s="871">
        <f t="shared" si="360"/>
        <v>1.39459834107988E-2</v>
      </c>
    </row>
    <row r="2877" spans="1:15" x14ac:dyDescent="0.25">
      <c r="B2877" s="869" t="s">
        <v>11473</v>
      </c>
      <c r="C2877" s="869"/>
      <c r="D2877" s="869"/>
      <c r="E2877" s="869"/>
      <c r="F2877" s="869"/>
      <c r="G2877" s="869"/>
      <c r="H2877" s="869"/>
      <c r="I2877" s="869"/>
      <c r="J2877" s="870">
        <f>J2785</f>
        <v>7198.8899999999994</v>
      </c>
      <c r="K2877" s="870">
        <v>2789.6</v>
      </c>
      <c r="L2877" s="871">
        <f t="shared" si="360"/>
        <v>0.28677413246044625</v>
      </c>
    </row>
    <row r="2878" spans="1:15" x14ac:dyDescent="0.25">
      <c r="B2878" s="869" t="s">
        <v>11474</v>
      </c>
      <c r="C2878" s="869"/>
      <c r="D2878" s="869"/>
      <c r="E2878" s="869"/>
      <c r="F2878" s="869"/>
      <c r="G2878" s="869"/>
      <c r="H2878" s="869"/>
      <c r="I2878" s="869"/>
      <c r="J2878" s="870">
        <f>J2850</f>
        <v>68068.23</v>
      </c>
      <c r="K2878" s="870">
        <v>57363.12</v>
      </c>
      <c r="L2878" s="871">
        <f t="shared" si="360"/>
        <v>0.27026401982273368</v>
      </c>
    </row>
    <row r="2879" spans="1:15" x14ac:dyDescent="0.25">
      <c r="B2879" s="869" t="s">
        <v>11475</v>
      </c>
      <c r="C2879" s="869"/>
      <c r="D2879" s="869"/>
      <c r="E2879" s="869"/>
      <c r="F2879" s="869"/>
      <c r="G2879" s="869"/>
      <c r="H2879" s="869"/>
      <c r="I2879" s="869"/>
      <c r="J2879" s="870">
        <f>J2828</f>
        <v>81487.564212500001</v>
      </c>
      <c r="K2879" s="870">
        <v>54060.62</v>
      </c>
      <c r="L2879" s="871">
        <f t="shared" si="360"/>
        <v>3.1972176823231363E-2</v>
      </c>
    </row>
    <row r="2880" spans="1:15" x14ac:dyDescent="0.25">
      <c r="B2880" s="869" t="s">
        <v>11476</v>
      </c>
      <c r="C2880" s="869"/>
      <c r="D2880" s="869"/>
      <c r="E2880" s="869"/>
      <c r="F2880" s="869"/>
      <c r="G2880" s="869"/>
      <c r="H2880" s="869"/>
      <c r="I2880" s="869"/>
      <c r="J2880" s="870">
        <f>J2813</f>
        <v>9300</v>
      </c>
      <c r="K2880" s="870">
        <v>6395.36</v>
      </c>
      <c r="L2880" s="871">
        <f t="shared" si="360"/>
        <v>0.13994601380640362</v>
      </c>
    </row>
    <row r="2881" spans="1:15" x14ac:dyDescent="0.25">
      <c r="B2881" s="869" t="s">
        <v>11477</v>
      </c>
      <c r="C2881" s="869"/>
      <c r="D2881" s="869"/>
      <c r="E2881" s="869"/>
      <c r="F2881" s="869"/>
      <c r="G2881" s="869"/>
      <c r="H2881" s="869"/>
      <c r="I2881" s="869"/>
      <c r="J2881" s="870">
        <f>J2799</f>
        <v>0</v>
      </c>
      <c r="K2881" s="870">
        <f>24993.25+3000</f>
        <v>27993.25</v>
      </c>
      <c r="L2881" s="871">
        <f t="shared" si="360"/>
        <v>1</v>
      </c>
    </row>
    <row r="2882" spans="1:15" s="115" customFormat="1" x14ac:dyDescent="0.25">
      <c r="B2882" s="864" t="s">
        <v>2172</v>
      </c>
      <c r="C2882" s="864"/>
      <c r="D2882" s="864"/>
      <c r="E2882" s="864"/>
      <c r="F2882" s="864"/>
      <c r="G2882" s="864"/>
      <c r="H2882" s="864"/>
      <c r="I2882" s="864"/>
      <c r="J2882" s="863">
        <f>SUM(J2875:J2881)</f>
        <v>166054.6842125</v>
      </c>
      <c r="K2882" s="863">
        <f>SUM(K2875:K2881)</f>
        <v>200028.91999999998</v>
      </c>
      <c r="L2882" s="452">
        <f>K2882/K$2882</f>
        <v>1</v>
      </c>
      <c r="M2882" s="894"/>
      <c r="O2882" s="733"/>
    </row>
    <row r="2884" spans="1:15" s="435" customFormat="1" ht="15.75" x14ac:dyDescent="0.25">
      <c r="B2884" s="999" t="s">
        <v>989</v>
      </c>
      <c r="C2884" s="999"/>
      <c r="D2884" s="481"/>
      <c r="E2884" s="1371" t="s">
        <v>9486</v>
      </c>
      <c r="F2884" s="1371"/>
      <c r="G2884" s="1371"/>
      <c r="H2884" s="1371"/>
      <c r="I2884" s="1371"/>
      <c r="J2884" s="940"/>
      <c r="K2884" s="438"/>
      <c r="L2884" s="449"/>
      <c r="M2884" s="892"/>
      <c r="O2884" s="732"/>
    </row>
    <row r="2885" spans="1:15" s="435" customFormat="1" ht="19.5" customHeight="1" x14ac:dyDescent="0.25">
      <c r="B2885" s="999" t="s">
        <v>458</v>
      </c>
      <c r="C2885" s="999"/>
      <c r="D2885" s="481"/>
      <c r="E2885" s="1371" t="s">
        <v>9944</v>
      </c>
      <c r="F2885" s="1371"/>
      <c r="G2885" s="1371"/>
      <c r="H2885" s="1371"/>
      <c r="I2885" s="1371"/>
      <c r="J2885" s="940"/>
      <c r="K2885" s="438"/>
      <c r="L2885" s="449"/>
      <c r="M2885" s="892"/>
      <c r="O2885" s="732"/>
    </row>
    <row r="2886" spans="1:15" s="435" customFormat="1" ht="15.75" x14ac:dyDescent="0.25">
      <c r="B2886" s="1005" t="s">
        <v>5764</v>
      </c>
      <c r="C2886" s="1005"/>
      <c r="D2886" s="1005"/>
      <c r="E2886" s="1371" t="s">
        <v>749</v>
      </c>
      <c r="F2886" s="1371"/>
      <c r="G2886" s="1371"/>
      <c r="H2886" s="1371"/>
      <c r="I2886" s="1371"/>
      <c r="J2886" s="941"/>
      <c r="K2886" s="438"/>
      <c r="L2886" s="449"/>
      <c r="M2886" s="892"/>
      <c r="O2886" s="732"/>
    </row>
    <row r="2887" spans="1:15" ht="88.5" x14ac:dyDescent="0.25">
      <c r="A2887" s="396"/>
      <c r="B2887" s="1400" t="s">
        <v>2296</v>
      </c>
      <c r="C2887" s="1400"/>
      <c r="D2887" s="1400"/>
      <c r="E2887" s="1384" t="s">
        <v>2297</v>
      </c>
      <c r="F2887" s="1384"/>
      <c r="G2887" s="443" t="s">
        <v>444</v>
      </c>
      <c r="H2887" s="443" t="s">
        <v>2245</v>
      </c>
      <c r="I2887" s="444" t="s">
        <v>5725</v>
      </c>
      <c r="J2887" s="893" t="s">
        <v>11644</v>
      </c>
      <c r="K2887" s="1000" t="s">
        <v>11522</v>
      </c>
      <c r="L2887" s="450" t="s">
        <v>235</v>
      </c>
    </row>
    <row r="2888" spans="1:15" x14ac:dyDescent="0.25">
      <c r="A2888" s="397"/>
      <c r="B2888" s="1382" t="s">
        <v>7831</v>
      </c>
      <c r="C2888" s="1382"/>
      <c r="D2888" s="1382"/>
      <c r="E2888" s="1382"/>
      <c r="F2888" s="1382"/>
      <c r="G2888" s="405"/>
      <c r="H2888" s="405"/>
      <c r="I2888" s="428"/>
      <c r="J2888" s="406">
        <f t="shared" ref="J2888:K2890" si="361">J2889</f>
        <v>0</v>
      </c>
      <c r="K2888" s="406">
        <f t="shared" si="361"/>
        <v>5560.7306500000004</v>
      </c>
      <c r="L2888" s="453">
        <f>K2888/K$2906</f>
        <v>1</v>
      </c>
    </row>
    <row r="2889" spans="1:15" x14ac:dyDescent="0.25">
      <c r="A2889" s="397"/>
      <c r="B2889" s="1383" t="s">
        <v>6044</v>
      </c>
      <c r="C2889" s="1383"/>
      <c r="D2889" s="1383"/>
      <c r="E2889" s="1383"/>
      <c r="F2889" s="1383"/>
      <c r="G2889" s="407"/>
      <c r="H2889" s="407"/>
      <c r="I2889" s="429"/>
      <c r="J2889" s="408">
        <f t="shared" si="361"/>
        <v>0</v>
      </c>
      <c r="K2889" s="408">
        <f t="shared" si="361"/>
        <v>5560.7306500000004</v>
      </c>
      <c r="L2889" s="454">
        <f>K2889/K$2906</f>
        <v>1</v>
      </c>
    </row>
    <row r="2890" spans="1:15" x14ac:dyDescent="0.25">
      <c r="A2890" s="397"/>
      <c r="B2890" s="1385" t="s">
        <v>9489</v>
      </c>
      <c r="C2890" s="1385"/>
      <c r="D2890" s="1385"/>
      <c r="E2890" s="1385"/>
      <c r="F2890" s="1385"/>
      <c r="G2890" s="401"/>
      <c r="H2890" s="401"/>
      <c r="I2890" s="426"/>
      <c r="J2890" s="402">
        <f t="shared" si="361"/>
        <v>0</v>
      </c>
      <c r="K2890" s="402">
        <f t="shared" si="361"/>
        <v>5560.7306500000004</v>
      </c>
      <c r="L2890" s="451">
        <f>K2890/K$2906</f>
        <v>1</v>
      </c>
    </row>
    <row r="2891" spans="1:15" x14ac:dyDescent="0.25">
      <c r="A2891" s="397"/>
      <c r="B2891" s="1386" t="s">
        <v>9945</v>
      </c>
      <c r="C2891" s="1386"/>
      <c r="D2891" s="1386"/>
      <c r="E2891" s="1386"/>
      <c r="F2891" s="1386"/>
      <c r="G2891" s="403"/>
      <c r="H2891" s="403"/>
      <c r="I2891" s="427"/>
      <c r="J2891" s="404">
        <f>SUM(J2892:J2902)</f>
        <v>0</v>
      </c>
      <c r="K2891" s="404">
        <f>SUM(K2892:K2902)+0.04</f>
        <v>5560.7306500000004</v>
      </c>
      <c r="L2891" s="452">
        <f>K2891/K$2906</f>
        <v>1</v>
      </c>
    </row>
    <row r="2892" spans="1:15" x14ac:dyDescent="0.25">
      <c r="B2892" s="852"/>
      <c r="C2892" s="852"/>
      <c r="D2892" s="853" t="s">
        <v>9947</v>
      </c>
      <c r="E2892" s="854">
        <v>333901400000000</v>
      </c>
      <c r="F2892" s="855" t="s">
        <v>9956</v>
      </c>
      <c r="G2892" s="855">
        <v>1</v>
      </c>
      <c r="H2892" s="855">
        <v>0</v>
      </c>
      <c r="I2892" s="856"/>
      <c r="J2892" s="1033">
        <f>('Parâmetros financeiros Despesa'!E2109)</f>
        <v>0</v>
      </c>
      <c r="K2892" s="1033">
        <f>('Parâmetros financeiros Despesa'!F2109*(1+'Parâmetros financeiros Despesa'!F$4)*(1+'Parâmetros financeiros Despesa'!F$7))</f>
        <v>545.16575</v>
      </c>
      <c r="L2892" s="872">
        <f t="shared" ref="L2892:L2901" si="362">K2892/K$2906</f>
        <v>9.8038510460851033E-2</v>
      </c>
      <c r="M2892" s="894"/>
      <c r="N2892" s="796"/>
    </row>
    <row r="2893" spans="1:15" x14ac:dyDescent="0.25">
      <c r="B2893" s="852"/>
      <c r="C2893" s="852"/>
      <c r="D2893" s="853" t="s">
        <v>9946</v>
      </c>
      <c r="E2893" s="854">
        <v>333903000000000</v>
      </c>
      <c r="F2893" s="855" t="s">
        <v>9957</v>
      </c>
      <c r="G2893" s="855">
        <v>1</v>
      </c>
      <c r="H2893" s="855">
        <v>0</v>
      </c>
      <c r="I2893" s="856"/>
      <c r="J2893" s="1033">
        <f>('Parâmetros financeiros Despesa'!E2110)</f>
        <v>0</v>
      </c>
      <c r="K2893" s="1033">
        <f>('Parâmetros financeiros Despesa'!F2110*(1+'Parâmetros financeiros Despesa'!F$4)*(1+'Parâmetros financeiros Despesa'!F$7))</f>
        <v>545.16575</v>
      </c>
      <c r="L2893" s="872">
        <f t="shared" si="362"/>
        <v>9.8038510460851033E-2</v>
      </c>
      <c r="M2893" s="894"/>
      <c r="N2893" s="796"/>
    </row>
    <row r="2894" spans="1:15" x14ac:dyDescent="0.25">
      <c r="B2894" s="852"/>
      <c r="C2894" s="852"/>
      <c r="D2894" s="853" t="s">
        <v>9948</v>
      </c>
      <c r="E2894" s="854">
        <v>333903200000000</v>
      </c>
      <c r="F2894" s="855" t="s">
        <v>9958</v>
      </c>
      <c r="G2894" s="855">
        <v>1</v>
      </c>
      <c r="H2894" s="855">
        <v>0</v>
      </c>
      <c r="I2894" s="856"/>
      <c r="J2894" s="1033">
        <f>('Parâmetros financeiros Despesa'!E2111)</f>
        <v>0</v>
      </c>
      <c r="K2894" s="1033">
        <f>('Parâmetros financeiros Despesa'!F2111*(1+'Parâmetros financeiros Despesa'!F$4)*(1+'Parâmetros financeiros Despesa'!F$7))</f>
        <v>545.16575</v>
      </c>
      <c r="L2894" s="872">
        <f t="shared" si="362"/>
        <v>9.8038510460851033E-2</v>
      </c>
      <c r="M2894" s="894"/>
      <c r="N2894" s="796"/>
    </row>
    <row r="2895" spans="1:15" x14ac:dyDescent="0.25">
      <c r="B2895" s="852"/>
      <c r="C2895" s="852"/>
      <c r="D2895" s="853" t="s">
        <v>9949</v>
      </c>
      <c r="E2895" s="854">
        <v>333903600000000</v>
      </c>
      <c r="F2895" s="855" t="s">
        <v>9959</v>
      </c>
      <c r="G2895" s="855">
        <v>1</v>
      </c>
      <c r="H2895" s="855">
        <v>0</v>
      </c>
      <c r="I2895" s="856"/>
      <c r="J2895" s="1033">
        <f>('Parâmetros financeiros Despesa'!E2112)</f>
        <v>0</v>
      </c>
      <c r="K2895" s="1033">
        <f>('Parâmetros financeiros Despesa'!F2112*(1+'Parâmetros financeiros Despesa'!F$4)*(1+'Parâmetros financeiros Despesa'!F$7))</f>
        <v>545.16575</v>
      </c>
      <c r="L2895" s="872">
        <f t="shared" si="362"/>
        <v>9.8038510460851033E-2</v>
      </c>
      <c r="M2895" s="894"/>
      <c r="N2895" s="796"/>
    </row>
    <row r="2896" spans="1:15" x14ac:dyDescent="0.25">
      <c r="B2896" s="852"/>
      <c r="C2896" s="852"/>
      <c r="D2896" s="853" t="s">
        <v>9950</v>
      </c>
      <c r="E2896" s="854">
        <v>333903900000000</v>
      </c>
      <c r="F2896" s="855" t="s">
        <v>9961</v>
      </c>
      <c r="G2896" s="855">
        <v>1</v>
      </c>
      <c r="H2896" s="855">
        <v>0</v>
      </c>
      <c r="I2896" s="856"/>
      <c r="J2896" s="1033">
        <f>('Parâmetros financeiros Despesa'!E2113)</f>
        <v>0</v>
      </c>
      <c r="K2896" s="1033">
        <f>('Parâmetros financeiros Despesa'!F2113*(1+'Parâmetros financeiros Despesa'!F$4)*(1+'Parâmetros financeiros Despesa'!F$7))</f>
        <v>545.16575</v>
      </c>
      <c r="L2896" s="872">
        <f t="shared" si="362"/>
        <v>9.8038510460851033E-2</v>
      </c>
      <c r="M2896" s="894"/>
      <c r="N2896" s="796"/>
    </row>
    <row r="2897" spans="1:15" x14ac:dyDescent="0.25">
      <c r="B2897" s="852"/>
      <c r="C2897" s="852"/>
      <c r="D2897" s="853" t="s">
        <v>9951</v>
      </c>
      <c r="E2897" s="854">
        <v>333904700000000</v>
      </c>
      <c r="F2897" s="855" t="s">
        <v>9960</v>
      </c>
      <c r="G2897" s="855">
        <v>1</v>
      </c>
      <c r="H2897" s="855">
        <v>0</v>
      </c>
      <c r="I2897" s="856"/>
      <c r="J2897" s="1033">
        <f>('Parâmetros financeiros Despesa'!E2114)</f>
        <v>0</v>
      </c>
      <c r="K2897" s="1033">
        <f>('Parâmetros financeiros Despesa'!F2114*(1+'Parâmetros financeiros Despesa'!F$4)*(1+'Parâmetros financeiros Despesa'!F$7))</f>
        <v>109.03315000000001</v>
      </c>
      <c r="L2897" s="872">
        <f t="shared" si="362"/>
        <v>1.9607702092170207E-2</v>
      </c>
      <c r="M2897" s="894"/>
      <c r="N2897" s="796"/>
    </row>
    <row r="2898" spans="1:15" x14ac:dyDescent="0.25">
      <c r="B2898" s="852"/>
      <c r="C2898" s="852"/>
      <c r="D2898" s="853" t="s">
        <v>9952</v>
      </c>
      <c r="E2898" s="854">
        <v>333909300000000</v>
      </c>
      <c r="F2898" s="855" t="s">
        <v>9966</v>
      </c>
      <c r="G2898" s="855">
        <v>1</v>
      </c>
      <c r="H2898" s="855">
        <v>0</v>
      </c>
      <c r="I2898" s="856"/>
      <c r="J2898" s="1033">
        <f>('Parâmetros financeiros Despesa'!E2115)</f>
        <v>0</v>
      </c>
      <c r="K2898" s="1033">
        <f>('Parâmetros financeiros Despesa'!F2115*(1+'Parâmetros financeiros Despesa'!F$4)*(1+'Parâmetros financeiros Despesa'!F$7))</f>
        <v>545.16575</v>
      </c>
      <c r="L2898" s="872">
        <f t="shared" si="362"/>
        <v>9.8038510460851033E-2</v>
      </c>
      <c r="M2898" s="894"/>
      <c r="N2898" s="796"/>
    </row>
    <row r="2899" spans="1:15" x14ac:dyDescent="0.25">
      <c r="B2899" s="852"/>
      <c r="C2899" s="852"/>
      <c r="D2899" s="853" t="s">
        <v>9953</v>
      </c>
      <c r="E2899" s="854">
        <v>333933000000000</v>
      </c>
      <c r="F2899" s="855" t="s">
        <v>9962</v>
      </c>
      <c r="G2899" s="855">
        <v>1</v>
      </c>
      <c r="H2899" s="855">
        <v>0</v>
      </c>
      <c r="I2899" s="856"/>
      <c r="J2899" s="1033">
        <f>('Parâmetros financeiros Despesa'!E2116)</f>
        <v>0</v>
      </c>
      <c r="K2899" s="1033">
        <f>('Parâmetros financeiros Despesa'!F2116*(1+'Parâmetros financeiros Despesa'!F$4)*(1+'Parâmetros financeiros Despesa'!F$7))</f>
        <v>545.16575</v>
      </c>
      <c r="L2899" s="872">
        <f t="shared" si="362"/>
        <v>9.8038510460851033E-2</v>
      </c>
      <c r="M2899" s="894"/>
      <c r="N2899" s="796"/>
    </row>
    <row r="2900" spans="1:15" x14ac:dyDescent="0.25">
      <c r="B2900" s="852"/>
      <c r="C2900" s="852"/>
      <c r="D2900" s="853" t="s">
        <v>9967</v>
      </c>
      <c r="E2900" s="854">
        <v>333933900000000</v>
      </c>
      <c r="F2900" s="855" t="s">
        <v>9963</v>
      </c>
      <c r="G2900" s="855">
        <v>1</v>
      </c>
      <c r="H2900" s="855">
        <v>0</v>
      </c>
      <c r="I2900" s="856"/>
      <c r="J2900" s="1033">
        <f>('Parâmetros financeiros Despesa'!E2117)</f>
        <v>0</v>
      </c>
      <c r="K2900" s="1033">
        <f>('Parâmetros financeiros Despesa'!F2117*(1+'Parâmetros financeiros Despesa'!F$4)*(1+'Parâmetros financeiros Despesa'!F$7))</f>
        <v>545.16575</v>
      </c>
      <c r="L2900" s="872">
        <f t="shared" si="362"/>
        <v>9.8038510460851033E-2</v>
      </c>
      <c r="M2900" s="894"/>
      <c r="N2900" s="796"/>
    </row>
    <row r="2901" spans="1:15" x14ac:dyDescent="0.25">
      <c r="B2901" s="852"/>
      <c r="C2901" s="852"/>
      <c r="D2901" s="853" t="s">
        <v>9954</v>
      </c>
      <c r="E2901" s="854">
        <v>344905100000000</v>
      </c>
      <c r="F2901" s="855" t="s">
        <v>9964</v>
      </c>
      <c r="G2901" s="855">
        <v>1</v>
      </c>
      <c r="H2901" s="855">
        <v>0</v>
      </c>
      <c r="I2901" s="856"/>
      <c r="J2901" s="1033">
        <f>('Parâmetros financeiros Despesa'!E2118)</f>
        <v>0</v>
      </c>
      <c r="K2901" s="1033">
        <f>('Parâmetros financeiros Despesa'!F2118*(1+'Parâmetros financeiros Despesa'!F$4)*(1+'Parâmetros financeiros Despesa'!F$7))</f>
        <v>545.16575</v>
      </c>
      <c r="L2901" s="872">
        <f t="shared" si="362"/>
        <v>9.8038510460851033E-2</v>
      </c>
      <c r="M2901" s="894"/>
      <c r="N2901" s="796"/>
    </row>
    <row r="2902" spans="1:15" x14ac:dyDescent="0.25">
      <c r="B2902" s="852"/>
      <c r="C2902" s="852"/>
      <c r="D2902" s="853" t="s">
        <v>9955</v>
      </c>
      <c r="E2902" s="854">
        <v>344905200000000</v>
      </c>
      <c r="F2902" s="855" t="s">
        <v>9965</v>
      </c>
      <c r="G2902" s="855">
        <v>1</v>
      </c>
      <c r="H2902" s="855">
        <v>0</v>
      </c>
      <c r="I2902" s="856"/>
      <c r="J2902" s="1033">
        <f>('Parâmetros financeiros Despesa'!E2119)</f>
        <v>0</v>
      </c>
      <c r="K2902" s="1033">
        <f>('Parâmetros financeiros Despesa'!F2119*(1+'Parâmetros financeiros Despesa'!F$4)*(1+'Parâmetros financeiros Despesa'!F$7))</f>
        <v>545.16575</v>
      </c>
      <c r="L2902" s="872">
        <f>K2902/K$2906</f>
        <v>9.8038510460851033E-2</v>
      </c>
      <c r="M2902" s="894"/>
      <c r="N2902" s="796"/>
    </row>
    <row r="2903" spans="1:15" s="115" customFormat="1" x14ac:dyDescent="0.25">
      <c r="A2903" s="396"/>
      <c r="B2903" s="1395" t="s">
        <v>2172</v>
      </c>
      <c r="C2903" s="1395"/>
      <c r="D2903" s="1395"/>
      <c r="E2903" s="1395"/>
      <c r="F2903" s="1395"/>
      <c r="G2903" s="1395"/>
      <c r="H2903" s="1395"/>
      <c r="I2903" s="1395"/>
      <c r="J2903" s="1023">
        <f>J2891</f>
        <v>0</v>
      </c>
      <c r="K2903" s="1023">
        <f>K2891</f>
        <v>5560.7306500000004</v>
      </c>
      <c r="L2903" s="452">
        <f>K2903/K$2906</f>
        <v>1</v>
      </c>
      <c r="M2903" s="894"/>
      <c r="O2903" s="733"/>
    </row>
    <row r="2904" spans="1:15" x14ac:dyDescent="0.25">
      <c r="B2904" s="864" t="s">
        <v>11469</v>
      </c>
      <c r="C2904" s="864"/>
      <c r="D2904" s="864"/>
      <c r="E2904" s="864"/>
      <c r="F2904" s="864"/>
      <c r="G2904" s="864"/>
      <c r="H2904" s="864"/>
      <c r="I2904" s="864"/>
      <c r="J2904" s="863"/>
      <c r="K2904" s="863"/>
      <c r="L2904" s="452"/>
    </row>
    <row r="2905" spans="1:15" x14ac:dyDescent="0.25">
      <c r="B2905" s="869" t="s">
        <v>745</v>
      </c>
      <c r="C2905" s="869"/>
      <c r="D2905" s="869"/>
      <c r="E2905" s="869"/>
      <c r="F2905" s="869"/>
      <c r="G2905" s="869"/>
      <c r="H2905" s="869"/>
      <c r="I2905" s="869"/>
      <c r="J2905" s="870">
        <f>J2903</f>
        <v>0</v>
      </c>
      <c r="K2905" s="870">
        <f>K2903</f>
        <v>5560.7306500000004</v>
      </c>
      <c r="L2905" s="871">
        <f>K2905/K$2906</f>
        <v>1</v>
      </c>
    </row>
    <row r="2906" spans="1:15" s="115" customFormat="1" x14ac:dyDescent="0.25">
      <c r="B2906" s="864" t="s">
        <v>2172</v>
      </c>
      <c r="C2906" s="864"/>
      <c r="D2906" s="864"/>
      <c r="E2906" s="864"/>
      <c r="F2906" s="864"/>
      <c r="G2906" s="864"/>
      <c r="H2906" s="864"/>
      <c r="I2906" s="864"/>
      <c r="J2906" s="863">
        <f>SUM(J2905:J2905)</f>
        <v>0</v>
      </c>
      <c r="K2906" s="863">
        <f>SUM(K2905:K2905)</f>
        <v>5560.7306500000004</v>
      </c>
      <c r="L2906" s="452">
        <f>K2906/K$2906</f>
        <v>1</v>
      </c>
      <c r="M2906" s="894"/>
      <c r="N2906" s="796"/>
      <c r="O2906" s="733"/>
    </row>
    <row r="2908" spans="1:15" s="435" customFormat="1" ht="15.75" x14ac:dyDescent="0.25">
      <c r="B2908" s="999" t="s">
        <v>989</v>
      </c>
      <c r="C2908" s="999"/>
      <c r="D2908" s="481"/>
      <c r="E2908" s="1371" t="s">
        <v>9486</v>
      </c>
      <c r="F2908" s="1371"/>
      <c r="G2908" s="1371"/>
      <c r="H2908" s="1371"/>
      <c r="I2908" s="1371"/>
      <c r="J2908" s="940"/>
      <c r="K2908" s="438"/>
      <c r="L2908" s="449"/>
      <c r="M2908" s="892"/>
      <c r="O2908" s="732"/>
    </row>
    <row r="2909" spans="1:15" s="435" customFormat="1" ht="18" customHeight="1" x14ac:dyDescent="0.25">
      <c r="B2909" s="999" t="s">
        <v>458</v>
      </c>
      <c r="C2909" s="999"/>
      <c r="D2909" s="481"/>
      <c r="E2909" s="1371" t="s">
        <v>9969</v>
      </c>
      <c r="F2909" s="1371"/>
      <c r="G2909" s="1371"/>
      <c r="H2909" s="1371"/>
      <c r="I2909" s="1371"/>
      <c r="J2909" s="940"/>
      <c r="K2909" s="438"/>
      <c r="L2909" s="449"/>
      <c r="M2909" s="892"/>
      <c r="O2909" s="732"/>
    </row>
    <row r="2910" spans="1:15" s="435" customFormat="1" ht="15.75" x14ac:dyDescent="0.25">
      <c r="B2910" s="1005" t="s">
        <v>5764</v>
      </c>
      <c r="C2910" s="1005"/>
      <c r="D2910" s="1005"/>
      <c r="E2910" s="1371" t="s">
        <v>749</v>
      </c>
      <c r="F2910" s="1371"/>
      <c r="G2910" s="1371"/>
      <c r="H2910" s="1371"/>
      <c r="I2910" s="1371"/>
      <c r="J2910" s="941"/>
      <c r="K2910" s="438"/>
      <c r="L2910" s="449"/>
      <c r="M2910" s="892"/>
      <c r="O2910" s="732"/>
    </row>
    <row r="2911" spans="1:15" ht="88.5" x14ac:dyDescent="0.25">
      <c r="A2911" s="396"/>
      <c r="B2911" s="1400" t="s">
        <v>2296</v>
      </c>
      <c r="C2911" s="1400"/>
      <c r="D2911" s="1400"/>
      <c r="E2911" s="1384" t="s">
        <v>2297</v>
      </c>
      <c r="F2911" s="1384"/>
      <c r="G2911" s="443" t="s">
        <v>444</v>
      </c>
      <c r="H2911" s="443" t="s">
        <v>2245</v>
      </c>
      <c r="I2911" s="444" t="s">
        <v>5725</v>
      </c>
      <c r="J2911" s="893" t="s">
        <v>11644</v>
      </c>
      <c r="K2911" s="1000" t="s">
        <v>11522</v>
      </c>
      <c r="L2911" s="450" t="s">
        <v>235</v>
      </c>
    </row>
    <row r="2912" spans="1:15" x14ac:dyDescent="0.25">
      <c r="A2912" s="397"/>
      <c r="B2912" s="1382" t="s">
        <v>7831</v>
      </c>
      <c r="C2912" s="1382"/>
      <c r="D2912" s="1382"/>
      <c r="E2912" s="1382"/>
      <c r="F2912" s="1382"/>
      <c r="G2912" s="405"/>
      <c r="H2912" s="405"/>
      <c r="I2912" s="428"/>
      <c r="J2912" s="406">
        <f t="shared" ref="J2912:K2914" si="363">J2913</f>
        <v>0</v>
      </c>
      <c r="K2912" s="406">
        <f t="shared" si="363"/>
        <v>5560.7106500000009</v>
      </c>
      <c r="L2912" s="453">
        <f>K2912/K$2926</f>
        <v>1</v>
      </c>
    </row>
    <row r="2913" spans="1:15" x14ac:dyDescent="0.25">
      <c r="A2913" s="397"/>
      <c r="B2913" s="1383" t="s">
        <v>9584</v>
      </c>
      <c r="C2913" s="1383"/>
      <c r="D2913" s="1383"/>
      <c r="E2913" s="1383"/>
      <c r="F2913" s="1383"/>
      <c r="G2913" s="407"/>
      <c r="H2913" s="407"/>
      <c r="I2913" s="429"/>
      <c r="J2913" s="408">
        <f t="shared" si="363"/>
        <v>0</v>
      </c>
      <c r="K2913" s="408">
        <f t="shared" si="363"/>
        <v>5560.7106500000009</v>
      </c>
      <c r="L2913" s="454">
        <f>K2913/K$2926</f>
        <v>1</v>
      </c>
    </row>
    <row r="2914" spans="1:15" x14ac:dyDescent="0.25">
      <c r="A2914" s="397"/>
      <c r="B2914" s="1385" t="s">
        <v>9489</v>
      </c>
      <c r="C2914" s="1385"/>
      <c r="D2914" s="1385"/>
      <c r="E2914" s="1385"/>
      <c r="F2914" s="1385"/>
      <c r="G2914" s="401"/>
      <c r="H2914" s="401"/>
      <c r="I2914" s="426"/>
      <c r="J2914" s="402">
        <f t="shared" si="363"/>
        <v>0</v>
      </c>
      <c r="K2914" s="402">
        <f t="shared" si="363"/>
        <v>5560.7106500000009</v>
      </c>
      <c r="L2914" s="451">
        <f>K2914/K$2926</f>
        <v>1</v>
      </c>
    </row>
    <row r="2915" spans="1:15" x14ac:dyDescent="0.25">
      <c r="A2915" s="397"/>
      <c r="B2915" s="1386" t="s">
        <v>9983</v>
      </c>
      <c r="C2915" s="1386"/>
      <c r="D2915" s="1386"/>
      <c r="E2915" s="1386"/>
      <c r="F2915" s="1386"/>
      <c r="G2915" s="403"/>
      <c r="H2915" s="403"/>
      <c r="I2915" s="427"/>
      <c r="J2915" s="404">
        <f>SUM(J2916:J2922)</f>
        <v>0</v>
      </c>
      <c r="K2915" s="404">
        <f>SUM(K2916:K2922)+0.02</f>
        <v>5560.7106500000009</v>
      </c>
      <c r="L2915" s="452">
        <f>K2915/K$2926</f>
        <v>1</v>
      </c>
    </row>
    <row r="2916" spans="1:15" x14ac:dyDescent="0.25">
      <c r="B2916" s="852"/>
      <c r="C2916" s="852"/>
      <c r="D2916" s="853" t="s">
        <v>9976</v>
      </c>
      <c r="E2916" s="854">
        <v>333901400000000</v>
      </c>
      <c r="F2916" s="855" t="s">
        <v>9984</v>
      </c>
      <c r="G2916" s="855">
        <v>1</v>
      </c>
      <c r="H2916" s="855">
        <v>0</v>
      </c>
      <c r="I2916" s="856"/>
      <c r="J2916" s="423">
        <f>('Parâmetros financeiros Despesa'!E2125)</f>
        <v>0</v>
      </c>
      <c r="K2916" s="423">
        <f>('Parâmetros financeiros Despesa'!F2125*(1+'Parâmetros financeiros Despesa'!F$4)*(1+'Parâmetros financeiros Despesa'!F$7))</f>
        <v>545.16575</v>
      </c>
      <c r="L2916" s="858">
        <f t="shared" ref="L2916:L2921" si="364">K2916/K$2926</f>
        <v>9.8038863072294535E-2</v>
      </c>
      <c r="M2916" s="894"/>
      <c r="N2916" s="796"/>
    </row>
    <row r="2917" spans="1:15" x14ac:dyDescent="0.25">
      <c r="B2917" s="852"/>
      <c r="C2917" s="852"/>
      <c r="D2917" s="853" t="s">
        <v>9977</v>
      </c>
      <c r="E2917" s="854">
        <v>333903000000000</v>
      </c>
      <c r="F2917" s="855" t="s">
        <v>9970</v>
      </c>
      <c r="G2917" s="855">
        <v>1</v>
      </c>
      <c r="H2917" s="855">
        <v>0</v>
      </c>
      <c r="I2917" s="856"/>
      <c r="J2917" s="423">
        <f>('Parâmetros financeiros Despesa'!E2126)</f>
        <v>0</v>
      </c>
      <c r="K2917" s="423">
        <f>('Parâmetros financeiros Despesa'!F2126*(1+'Parâmetros financeiros Despesa'!F$4)*(1+'Parâmetros financeiros Despesa'!F$7))</f>
        <v>545.16575</v>
      </c>
      <c r="L2917" s="858">
        <f t="shared" si="364"/>
        <v>9.8038863072294535E-2</v>
      </c>
      <c r="M2917" s="894"/>
      <c r="N2917" s="796"/>
    </row>
    <row r="2918" spans="1:15" x14ac:dyDescent="0.25">
      <c r="B2918" s="852"/>
      <c r="C2918" s="852"/>
      <c r="D2918" s="853" t="s">
        <v>9978</v>
      </c>
      <c r="E2918" s="854">
        <v>333903200000000</v>
      </c>
      <c r="F2918" s="855" t="s">
        <v>9971</v>
      </c>
      <c r="G2918" s="855">
        <v>1</v>
      </c>
      <c r="H2918" s="855">
        <v>0</v>
      </c>
      <c r="I2918" s="856"/>
      <c r="J2918" s="423">
        <f>('Parâmetros financeiros Despesa'!E2127)</f>
        <v>0</v>
      </c>
      <c r="K2918" s="423">
        <f>('Parâmetros financeiros Despesa'!F2127*(1+'Parâmetros financeiros Despesa'!F$4)*(1+'Parâmetros financeiros Despesa'!F$7))</f>
        <v>545.16575</v>
      </c>
      <c r="L2918" s="858">
        <f t="shared" si="364"/>
        <v>9.8038863072294535E-2</v>
      </c>
      <c r="M2918" s="894"/>
      <c r="N2918" s="796"/>
    </row>
    <row r="2919" spans="1:15" x14ac:dyDescent="0.25">
      <c r="B2919" s="852"/>
      <c r="C2919" s="852"/>
      <c r="D2919" s="853" t="s">
        <v>9979</v>
      </c>
      <c r="E2919" s="854">
        <v>333903600000000</v>
      </c>
      <c r="F2919" s="855" t="s">
        <v>9975</v>
      </c>
      <c r="G2919" s="855">
        <v>1</v>
      </c>
      <c r="H2919" s="855">
        <v>0</v>
      </c>
      <c r="I2919" s="856"/>
      <c r="J2919" s="423">
        <f>('Parâmetros financeiros Despesa'!E2128)</f>
        <v>0</v>
      </c>
      <c r="K2919" s="423">
        <f>('Parâmetros financeiros Despesa'!F2128*(1+'Parâmetros financeiros Despesa'!F$4)*(1+'Parâmetros financeiros Despesa'!F$7))</f>
        <v>545.16575</v>
      </c>
      <c r="L2919" s="858">
        <f t="shared" si="364"/>
        <v>9.8038863072294535E-2</v>
      </c>
      <c r="M2919" s="894"/>
      <c r="N2919" s="796"/>
    </row>
    <row r="2920" spans="1:15" x14ac:dyDescent="0.25">
      <c r="B2920" s="852"/>
      <c r="C2920" s="852"/>
      <c r="D2920" s="853" t="s">
        <v>9980</v>
      </c>
      <c r="E2920" s="854">
        <v>333903900000000</v>
      </c>
      <c r="F2920" s="855" t="s">
        <v>9972</v>
      </c>
      <c r="G2920" s="855">
        <v>1</v>
      </c>
      <c r="H2920" s="855">
        <v>0</v>
      </c>
      <c r="I2920" s="856"/>
      <c r="J2920" s="423">
        <f>('Parâmetros financeiros Despesa'!E2129)</f>
        <v>0</v>
      </c>
      <c r="K2920" s="423">
        <f>('Parâmetros financeiros Despesa'!F2129*(1+'Parâmetros financeiros Despesa'!F$4)*(1+'Parâmetros financeiros Despesa'!F$7))</f>
        <v>545.16575</v>
      </c>
      <c r="L2920" s="858">
        <f t="shared" si="364"/>
        <v>9.8038863072294535E-2</v>
      </c>
      <c r="M2920" s="894"/>
      <c r="N2920" s="796"/>
    </row>
    <row r="2921" spans="1:15" x14ac:dyDescent="0.25">
      <c r="B2921" s="852"/>
      <c r="C2921" s="852"/>
      <c r="D2921" s="853" t="s">
        <v>9981</v>
      </c>
      <c r="E2921" s="854">
        <v>333904700000000</v>
      </c>
      <c r="F2921" s="855" t="s">
        <v>9973</v>
      </c>
      <c r="G2921" s="855">
        <v>1</v>
      </c>
      <c r="H2921" s="855">
        <v>0</v>
      </c>
      <c r="I2921" s="856"/>
      <c r="J2921" s="423">
        <f>('Parâmetros financeiros Despesa'!E2130)</f>
        <v>0</v>
      </c>
      <c r="K2921" s="423">
        <f>('Parâmetros financeiros Despesa'!F2130*(1+'Parâmetros financeiros Despesa'!F$4)*(1+'Parâmetros financeiros Despesa'!F$7))</f>
        <v>109.03315000000001</v>
      </c>
      <c r="L2921" s="858">
        <f t="shared" si="364"/>
        <v>1.9607772614458906E-2</v>
      </c>
      <c r="M2921" s="894"/>
      <c r="N2921" s="796"/>
    </row>
    <row r="2922" spans="1:15" x14ac:dyDescent="0.25">
      <c r="B2922" s="852"/>
      <c r="C2922" s="852"/>
      <c r="D2922" s="853" t="s">
        <v>9982</v>
      </c>
      <c r="E2922" s="854">
        <v>344905200000000</v>
      </c>
      <c r="F2922" s="855" t="s">
        <v>9974</v>
      </c>
      <c r="G2922" s="855">
        <v>1</v>
      </c>
      <c r="H2922" s="855">
        <v>0</v>
      </c>
      <c r="I2922" s="856"/>
      <c r="J2922" s="423">
        <f>('Parâmetros financeiros Despesa'!E2131)</f>
        <v>0</v>
      </c>
      <c r="K2922" s="423">
        <f>('Parâmetros financeiros Despesa'!F2131*(1+'Parâmetros financeiros Despesa'!F$4)*(1+'Parâmetros financeiros Despesa'!F$7))</f>
        <v>2725.8287500000001</v>
      </c>
      <c r="L2922" s="858">
        <f>K2922/K$2926</f>
        <v>0.49019431536147268</v>
      </c>
      <c r="M2922" s="894"/>
      <c r="N2922" s="796"/>
    </row>
    <row r="2923" spans="1:15" s="115" customFormat="1" x14ac:dyDescent="0.25">
      <c r="A2923" s="396"/>
      <c r="B2923" s="1395" t="s">
        <v>2172</v>
      </c>
      <c r="C2923" s="1395"/>
      <c r="D2923" s="1395"/>
      <c r="E2923" s="1395"/>
      <c r="F2923" s="1395"/>
      <c r="G2923" s="1395"/>
      <c r="H2923" s="1395"/>
      <c r="I2923" s="1395"/>
      <c r="J2923" s="1023">
        <f>J2915</f>
        <v>0</v>
      </c>
      <c r="K2923" s="1023">
        <f>K2915</f>
        <v>5560.7106500000009</v>
      </c>
      <c r="L2923" s="1036">
        <f>K2923/K$2926</f>
        <v>1</v>
      </c>
      <c r="M2923" s="894"/>
      <c r="O2923" s="733"/>
    </row>
    <row r="2924" spans="1:15" x14ac:dyDescent="0.25">
      <c r="B2924" s="864" t="s">
        <v>11469</v>
      </c>
      <c r="C2924" s="864"/>
      <c r="D2924" s="864"/>
      <c r="E2924" s="864"/>
      <c r="F2924" s="864"/>
      <c r="G2924" s="864"/>
      <c r="H2924" s="864"/>
      <c r="I2924" s="864"/>
      <c r="J2924" s="863"/>
      <c r="K2924" s="863"/>
      <c r="L2924" s="452"/>
    </row>
    <row r="2925" spans="1:15" x14ac:dyDescent="0.25">
      <c r="B2925" s="869" t="s">
        <v>745</v>
      </c>
      <c r="C2925" s="869"/>
      <c r="D2925" s="869"/>
      <c r="E2925" s="869"/>
      <c r="F2925" s="869"/>
      <c r="G2925" s="869"/>
      <c r="H2925" s="869"/>
      <c r="I2925" s="869"/>
      <c r="J2925" s="870">
        <f>J2915</f>
        <v>0</v>
      </c>
      <c r="K2925" s="870">
        <f>K2915</f>
        <v>5560.7106500000009</v>
      </c>
      <c r="L2925" s="871">
        <f>K2925/K$2926</f>
        <v>1</v>
      </c>
    </row>
    <row r="2926" spans="1:15" s="115" customFormat="1" x14ac:dyDescent="0.25">
      <c r="B2926" s="864" t="s">
        <v>2172</v>
      </c>
      <c r="C2926" s="864"/>
      <c r="D2926" s="864"/>
      <c r="E2926" s="864"/>
      <c r="F2926" s="864"/>
      <c r="G2926" s="864"/>
      <c r="H2926" s="864"/>
      <c r="I2926" s="864"/>
      <c r="J2926" s="863">
        <f>SUM(J2925:J2925)</f>
        <v>0</v>
      </c>
      <c r="K2926" s="863">
        <f>SUM(K2925:K2925)</f>
        <v>5560.7106500000009</v>
      </c>
      <c r="L2926" s="452">
        <f>K2926/K$2926</f>
        <v>1</v>
      </c>
      <c r="N2926" s="796"/>
      <c r="O2926" s="733"/>
    </row>
    <row r="2928" spans="1:15" x14ac:dyDescent="0.25">
      <c r="B2928" s="1408" t="s">
        <v>11787</v>
      </c>
      <c r="C2928" s="1408"/>
      <c r="D2928" s="1408"/>
      <c r="E2928" s="1408"/>
      <c r="F2928" s="1408"/>
      <c r="G2928" s="1408"/>
      <c r="H2928" s="1408"/>
      <c r="I2928" s="1408"/>
      <c r="J2928" s="1408"/>
      <c r="K2928" s="783">
        <f>K2926+K2906+K2882+K2768+K2722+K2583+K2532+K2497+K2399+K2234+K1923+K1843+K1806+K1659+K1450+K1400+K1340+K1294+K1262+K1074+K927+K895+K864+K837+K819+K720+K516+K453+K230+K161+K85-0.01</f>
        <v>17389716.109475948</v>
      </c>
      <c r="L2928" s="448">
        <f>K2928/K$2931</f>
        <v>0.95025771100468126</v>
      </c>
    </row>
    <row r="2929" spans="2:15" s="1059" customFormat="1" x14ac:dyDescent="0.25">
      <c r="B2929" s="1408" t="s">
        <v>11790</v>
      </c>
      <c r="C2929" s="1408"/>
      <c r="D2929" s="1408"/>
      <c r="E2929" s="1408"/>
      <c r="F2929" s="1408"/>
      <c r="G2929" s="1408"/>
      <c r="H2929" s="1408"/>
      <c r="I2929" s="1408"/>
      <c r="J2929" s="1408"/>
      <c r="K2929" s="783">
        <f>K905</f>
        <v>183000.00003991171</v>
      </c>
      <c r="L2929" s="448">
        <f>K2929/K$2931</f>
        <v>1.0000000003279157E-2</v>
      </c>
      <c r="M2929" s="796"/>
      <c r="O2929" s="399"/>
    </row>
    <row r="2930" spans="2:15" x14ac:dyDescent="0.25">
      <c r="B2930" s="1408" t="s">
        <v>11788</v>
      </c>
      <c r="C2930" s="1408"/>
      <c r="D2930" s="1408"/>
      <c r="E2930" s="1408"/>
      <c r="F2930" s="1408"/>
      <c r="G2930" s="1408"/>
      <c r="H2930" s="1408"/>
      <c r="I2930" s="1408"/>
      <c r="J2930" s="1408"/>
      <c r="K2930" s="783">
        <f>'ORÇAMENTO LEG.'!I183</f>
        <v>727283.88847445161</v>
      </c>
      <c r="L2930" s="448">
        <f>K2930/K$2931</f>
        <v>3.974228899203941E-2</v>
      </c>
    </row>
    <row r="2931" spans="2:15" x14ac:dyDescent="0.25">
      <c r="B2931" s="1409" t="s">
        <v>11789</v>
      </c>
      <c r="C2931" s="1409"/>
      <c r="D2931" s="1409"/>
      <c r="E2931" s="1409"/>
      <c r="F2931" s="1409"/>
      <c r="G2931" s="1409"/>
      <c r="H2931" s="1409"/>
      <c r="I2931" s="1409"/>
      <c r="J2931" s="1409"/>
      <c r="K2931" s="944">
        <f>SUM(K2928:K2930)</f>
        <v>18299999.997990314</v>
      </c>
      <c r="L2931" s="902">
        <f>K2931/K$2931</f>
        <v>1</v>
      </c>
    </row>
    <row r="2932" spans="2:15" x14ac:dyDescent="0.25">
      <c r="K2932" s="783"/>
    </row>
  </sheetData>
  <mergeCells count="2142">
    <mergeCell ref="B34:D34"/>
    <mergeCell ref="B35:D35"/>
    <mergeCell ref="B36:D36"/>
    <mergeCell ref="B37:D37"/>
    <mergeCell ref="B38:D38"/>
    <mergeCell ref="B27:F27"/>
    <mergeCell ref="B28:F28"/>
    <mergeCell ref="B29:F29"/>
    <mergeCell ref="B30:F30"/>
    <mergeCell ref="B31:D31"/>
    <mergeCell ref="B32:D32"/>
    <mergeCell ref="B39:D39"/>
    <mergeCell ref="B40:D40"/>
    <mergeCell ref="B41:D41"/>
    <mergeCell ref="B42:D42"/>
    <mergeCell ref="B43:D43"/>
    <mergeCell ref="B44:D44"/>
    <mergeCell ref="B33:D33"/>
    <mergeCell ref="B1:K1"/>
    <mergeCell ref="B3:K3"/>
    <mergeCell ref="E5:I5"/>
    <mergeCell ref="E6:I6"/>
    <mergeCell ref="E7:I7"/>
    <mergeCell ref="B8:D8"/>
    <mergeCell ref="E8:F8"/>
    <mergeCell ref="B21:F21"/>
    <mergeCell ref="B22:D22"/>
    <mergeCell ref="B23:D23"/>
    <mergeCell ref="B24:D24"/>
    <mergeCell ref="B25:D25"/>
    <mergeCell ref="B26:D26"/>
    <mergeCell ref="B15:D15"/>
    <mergeCell ref="B16:D16"/>
    <mergeCell ref="B17:D17"/>
    <mergeCell ref="B18:F18"/>
    <mergeCell ref="B19:F19"/>
    <mergeCell ref="B20:F20"/>
    <mergeCell ref="B9:F9"/>
    <mergeCell ref="B10:F10"/>
    <mergeCell ref="B11:F11"/>
    <mergeCell ref="B12:F12"/>
    <mergeCell ref="B13:D13"/>
    <mergeCell ref="B14:D14"/>
    <mergeCell ref="B57:D57"/>
    <mergeCell ref="B58:D58"/>
    <mergeCell ref="B59:D59"/>
    <mergeCell ref="B60:F60"/>
    <mergeCell ref="B61:F61"/>
    <mergeCell ref="B62:F62"/>
    <mergeCell ref="B51:D51"/>
    <mergeCell ref="B52:F52"/>
    <mergeCell ref="B53:F53"/>
    <mergeCell ref="B54:F54"/>
    <mergeCell ref="B55:F55"/>
    <mergeCell ref="B56:D56"/>
    <mergeCell ref="B45:D45"/>
    <mergeCell ref="B46:D46"/>
    <mergeCell ref="B47:F47"/>
    <mergeCell ref="B48:F48"/>
    <mergeCell ref="B49:F49"/>
    <mergeCell ref="B50:F50"/>
    <mergeCell ref="B75:D75"/>
    <mergeCell ref="B76:D76"/>
    <mergeCell ref="B77:D77"/>
    <mergeCell ref="B78:D78"/>
    <mergeCell ref="B79:D79"/>
    <mergeCell ref="B80:D80"/>
    <mergeCell ref="B69:D69"/>
    <mergeCell ref="B70:D70"/>
    <mergeCell ref="B71:F71"/>
    <mergeCell ref="B72:F72"/>
    <mergeCell ref="B73:F73"/>
    <mergeCell ref="B74:F74"/>
    <mergeCell ref="B63:F63"/>
    <mergeCell ref="B64:D64"/>
    <mergeCell ref="B65:D65"/>
    <mergeCell ref="B66:D66"/>
    <mergeCell ref="B67:D67"/>
    <mergeCell ref="B68:D68"/>
    <mergeCell ref="B98:D98"/>
    <mergeCell ref="B99:D99"/>
    <mergeCell ref="B100:D100"/>
    <mergeCell ref="B101:F101"/>
    <mergeCell ref="B102:F102"/>
    <mergeCell ref="B103:F103"/>
    <mergeCell ref="B92:F92"/>
    <mergeCell ref="B93:F93"/>
    <mergeCell ref="B94:F94"/>
    <mergeCell ref="B95:F95"/>
    <mergeCell ref="B96:D96"/>
    <mergeCell ref="B97:D97"/>
    <mergeCell ref="B81:D81"/>
    <mergeCell ref="E88:I88"/>
    <mergeCell ref="E89:I89"/>
    <mergeCell ref="E90:I90"/>
    <mergeCell ref="B91:D91"/>
    <mergeCell ref="E91:F91"/>
    <mergeCell ref="B116:D116"/>
    <mergeCell ref="B117:D117"/>
    <mergeCell ref="B118:D118"/>
    <mergeCell ref="B119:F119"/>
    <mergeCell ref="B120:F120"/>
    <mergeCell ref="B121:F121"/>
    <mergeCell ref="B110:F110"/>
    <mergeCell ref="B111:F111"/>
    <mergeCell ref="B112:F112"/>
    <mergeCell ref="B113:F113"/>
    <mergeCell ref="B114:D114"/>
    <mergeCell ref="B115:D115"/>
    <mergeCell ref="B104:F104"/>
    <mergeCell ref="B105:D105"/>
    <mergeCell ref="B106:D106"/>
    <mergeCell ref="B107:D107"/>
    <mergeCell ref="B108:D108"/>
    <mergeCell ref="B109:D109"/>
    <mergeCell ref="B134:D134"/>
    <mergeCell ref="B135:D135"/>
    <mergeCell ref="B136:D136"/>
    <mergeCell ref="B137:D137"/>
    <mergeCell ref="B138:F138"/>
    <mergeCell ref="B139:F139"/>
    <mergeCell ref="B128:D128"/>
    <mergeCell ref="B129:D129"/>
    <mergeCell ref="B130:D130"/>
    <mergeCell ref="B131:D131"/>
    <mergeCell ref="B132:D132"/>
    <mergeCell ref="B133:D133"/>
    <mergeCell ref="B122:F122"/>
    <mergeCell ref="B123:D123"/>
    <mergeCell ref="B124:D124"/>
    <mergeCell ref="B125:D125"/>
    <mergeCell ref="B126:D126"/>
    <mergeCell ref="B127:D127"/>
    <mergeCell ref="B152:D152"/>
    <mergeCell ref="B153:D153"/>
    <mergeCell ref="B154:D154"/>
    <mergeCell ref="B155:D155"/>
    <mergeCell ref="B156:D156"/>
    <mergeCell ref="E167:I167"/>
    <mergeCell ref="B146:D146"/>
    <mergeCell ref="B147:D147"/>
    <mergeCell ref="B148:F148"/>
    <mergeCell ref="B149:F149"/>
    <mergeCell ref="B150:F150"/>
    <mergeCell ref="B151:F151"/>
    <mergeCell ref="B140:F140"/>
    <mergeCell ref="B141:F141"/>
    <mergeCell ref="B142:D142"/>
    <mergeCell ref="B143:D143"/>
    <mergeCell ref="B144:D144"/>
    <mergeCell ref="B145:D145"/>
    <mergeCell ref="B179:D179"/>
    <mergeCell ref="B180:F180"/>
    <mergeCell ref="B181:F181"/>
    <mergeCell ref="B182:F182"/>
    <mergeCell ref="B183:F183"/>
    <mergeCell ref="B184:D184"/>
    <mergeCell ref="B173:F173"/>
    <mergeCell ref="B174:F174"/>
    <mergeCell ref="B175:D175"/>
    <mergeCell ref="B176:D176"/>
    <mergeCell ref="B177:D177"/>
    <mergeCell ref="B178:D178"/>
    <mergeCell ref="E168:I168"/>
    <mergeCell ref="E169:I169"/>
    <mergeCell ref="B170:D170"/>
    <mergeCell ref="E170:F170"/>
    <mergeCell ref="B171:F171"/>
    <mergeCell ref="B172:F172"/>
    <mergeCell ref="B197:D197"/>
    <mergeCell ref="B198:D198"/>
    <mergeCell ref="B199:D199"/>
    <mergeCell ref="B200:D200"/>
    <mergeCell ref="B201:D201"/>
    <mergeCell ref="B202:D202"/>
    <mergeCell ref="B191:F191"/>
    <mergeCell ref="B192:F192"/>
    <mergeCell ref="B193:D193"/>
    <mergeCell ref="B194:D194"/>
    <mergeCell ref="B195:D195"/>
    <mergeCell ref="B196:D196"/>
    <mergeCell ref="B185:D185"/>
    <mergeCell ref="B186:D186"/>
    <mergeCell ref="B187:D187"/>
    <mergeCell ref="B188:D188"/>
    <mergeCell ref="B189:F189"/>
    <mergeCell ref="B190:F190"/>
    <mergeCell ref="B216:F216"/>
    <mergeCell ref="B217:F217"/>
    <mergeCell ref="B218:F218"/>
    <mergeCell ref="B219:F219"/>
    <mergeCell ref="B220:D220"/>
    <mergeCell ref="B221:D221"/>
    <mergeCell ref="B209:F209"/>
    <mergeCell ref="B210:F210"/>
    <mergeCell ref="B211:D211"/>
    <mergeCell ref="B213:D213"/>
    <mergeCell ref="B214:D214"/>
    <mergeCell ref="B215:D215"/>
    <mergeCell ref="B203:D203"/>
    <mergeCell ref="B204:D204"/>
    <mergeCell ref="B205:D205"/>
    <mergeCell ref="B206:D206"/>
    <mergeCell ref="B207:F207"/>
    <mergeCell ref="B208:F208"/>
    <mergeCell ref="B239:F239"/>
    <mergeCell ref="B240:D240"/>
    <mergeCell ref="B241:D241"/>
    <mergeCell ref="B242:D242"/>
    <mergeCell ref="B243:D243"/>
    <mergeCell ref="B244:D244"/>
    <mergeCell ref="E234:I234"/>
    <mergeCell ref="B235:D235"/>
    <mergeCell ref="E235:F235"/>
    <mergeCell ref="B236:F236"/>
    <mergeCell ref="B237:F237"/>
    <mergeCell ref="B238:F238"/>
    <mergeCell ref="B223:D223"/>
    <mergeCell ref="B224:D224"/>
    <mergeCell ref="B225:D225"/>
    <mergeCell ref="B226:D226"/>
    <mergeCell ref="E232:I232"/>
    <mergeCell ref="E233:I233"/>
    <mergeCell ref="B257:F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F254"/>
    <mergeCell ref="B255:F255"/>
    <mergeCell ref="B256:F256"/>
    <mergeCell ref="B245:F245"/>
    <mergeCell ref="B246:F246"/>
    <mergeCell ref="B247:F247"/>
    <mergeCell ref="B248:F248"/>
    <mergeCell ref="B249:D249"/>
    <mergeCell ref="B250:D250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B274:D274"/>
    <mergeCell ref="B263:F263"/>
    <mergeCell ref="B264:F264"/>
    <mergeCell ref="B265:F265"/>
    <mergeCell ref="B266:F266"/>
    <mergeCell ref="B267:D267"/>
    <mergeCell ref="B268:D268"/>
    <mergeCell ref="B294:D294"/>
    <mergeCell ref="B295:D295"/>
    <mergeCell ref="B297:D297"/>
    <mergeCell ref="B298:D298"/>
    <mergeCell ref="B299:F299"/>
    <mergeCell ref="B300:F300"/>
    <mergeCell ref="B288:D288"/>
    <mergeCell ref="B289:D289"/>
    <mergeCell ref="B290:F290"/>
    <mergeCell ref="B291:F291"/>
    <mergeCell ref="B292:F292"/>
    <mergeCell ref="B293:F293"/>
    <mergeCell ref="B281:F281"/>
    <mergeCell ref="B282:F282"/>
    <mergeCell ref="B283:F283"/>
    <mergeCell ref="B284:F284"/>
    <mergeCell ref="B285:D285"/>
    <mergeCell ref="B287:D287"/>
    <mergeCell ref="B313:D313"/>
    <mergeCell ref="B314:F314"/>
    <mergeCell ref="B315:F315"/>
    <mergeCell ref="B316:F316"/>
    <mergeCell ref="B317:F317"/>
    <mergeCell ref="B318:D318"/>
    <mergeCell ref="B307:F307"/>
    <mergeCell ref="B308:D308"/>
    <mergeCell ref="B309:D309"/>
    <mergeCell ref="B310:D310"/>
    <mergeCell ref="B311:D311"/>
    <mergeCell ref="B312:D312"/>
    <mergeCell ref="B301:F301"/>
    <mergeCell ref="B302:F302"/>
    <mergeCell ref="B303:D303"/>
    <mergeCell ref="B304:F304"/>
    <mergeCell ref="B305:F305"/>
    <mergeCell ref="B306:F306"/>
    <mergeCell ref="B331:D331"/>
    <mergeCell ref="B332:D332"/>
    <mergeCell ref="B333:D333"/>
    <mergeCell ref="B334:F334"/>
    <mergeCell ref="B335:F335"/>
    <mergeCell ref="B336:F336"/>
    <mergeCell ref="B325:F325"/>
    <mergeCell ref="B326:F326"/>
    <mergeCell ref="B327:F327"/>
    <mergeCell ref="B328:D328"/>
    <mergeCell ref="B329:D329"/>
    <mergeCell ref="B330:D330"/>
    <mergeCell ref="B319:D319"/>
    <mergeCell ref="B320:D320"/>
    <mergeCell ref="B321:D321"/>
    <mergeCell ref="B322:D322"/>
    <mergeCell ref="B323:D323"/>
    <mergeCell ref="B324:F324"/>
    <mergeCell ref="B349:F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F346"/>
    <mergeCell ref="B347:F347"/>
    <mergeCell ref="B348:F348"/>
    <mergeCell ref="B337:F337"/>
    <mergeCell ref="B338:D338"/>
    <mergeCell ref="B339:D339"/>
    <mergeCell ref="B340:D340"/>
    <mergeCell ref="B341:D341"/>
    <mergeCell ref="B342:D342"/>
    <mergeCell ref="B367:D367"/>
    <mergeCell ref="B368:D368"/>
    <mergeCell ref="B369:D369"/>
    <mergeCell ref="B370:F370"/>
    <mergeCell ref="B371:F371"/>
    <mergeCell ref="B372:F372"/>
    <mergeCell ref="B361:F361"/>
    <mergeCell ref="B362:F362"/>
    <mergeCell ref="B363:F363"/>
    <mergeCell ref="B364:F364"/>
    <mergeCell ref="B365:D365"/>
    <mergeCell ref="B366:D366"/>
    <mergeCell ref="B355:D355"/>
    <mergeCell ref="B356:F356"/>
    <mergeCell ref="B357:F357"/>
    <mergeCell ref="B358:F358"/>
    <mergeCell ref="B359:F359"/>
    <mergeCell ref="B360:D360"/>
    <mergeCell ref="B385:D385"/>
    <mergeCell ref="B386:D386"/>
    <mergeCell ref="B387:D387"/>
    <mergeCell ref="B388:D388"/>
    <mergeCell ref="B389:D389"/>
    <mergeCell ref="B390:F390"/>
    <mergeCell ref="B379:D379"/>
    <mergeCell ref="B380:F380"/>
    <mergeCell ref="B381:F381"/>
    <mergeCell ref="B382:F382"/>
    <mergeCell ref="B383:F383"/>
    <mergeCell ref="B384:D384"/>
    <mergeCell ref="B373:F373"/>
    <mergeCell ref="B374:D374"/>
    <mergeCell ref="B375:D375"/>
    <mergeCell ref="B376:D376"/>
    <mergeCell ref="B377:D377"/>
    <mergeCell ref="B378:D378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F399"/>
    <mergeCell ref="B400:F400"/>
    <mergeCell ref="B401:F401"/>
    <mergeCell ref="B402:F402"/>
    <mergeCell ref="B391:F391"/>
    <mergeCell ref="B392:F392"/>
    <mergeCell ref="B393:F393"/>
    <mergeCell ref="B394:D394"/>
    <mergeCell ref="B395:D395"/>
    <mergeCell ref="B396:D396"/>
    <mergeCell ref="B421:F421"/>
    <mergeCell ref="B422:F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F419"/>
    <mergeCell ref="B420:F420"/>
    <mergeCell ref="B409:F409"/>
    <mergeCell ref="B410:F410"/>
    <mergeCell ref="B411:F411"/>
    <mergeCell ref="B412:F412"/>
    <mergeCell ref="B413:D413"/>
    <mergeCell ref="B414:D414"/>
    <mergeCell ref="B439:F439"/>
    <mergeCell ref="B440:F440"/>
    <mergeCell ref="B441:F441"/>
    <mergeCell ref="B442:F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F429"/>
    <mergeCell ref="B430:F430"/>
    <mergeCell ref="B431:F431"/>
    <mergeCell ref="B432:F432"/>
    <mergeCell ref="B463:D463"/>
    <mergeCell ref="B464:D464"/>
    <mergeCell ref="B465:D465"/>
    <mergeCell ref="B466:D466"/>
    <mergeCell ref="B467:D467"/>
    <mergeCell ref="B468:F468"/>
    <mergeCell ref="B458:D458"/>
    <mergeCell ref="E458:F458"/>
    <mergeCell ref="B459:F459"/>
    <mergeCell ref="B460:F460"/>
    <mergeCell ref="B461:F461"/>
    <mergeCell ref="B462:F462"/>
    <mergeCell ref="B445:D445"/>
    <mergeCell ref="B446:D446"/>
    <mergeCell ref="B447:D447"/>
    <mergeCell ref="E455:I455"/>
    <mergeCell ref="E456:I456"/>
    <mergeCell ref="E457:I457"/>
    <mergeCell ref="B481:D481"/>
    <mergeCell ref="B482:D482"/>
    <mergeCell ref="B483:D483"/>
    <mergeCell ref="B484:D484"/>
    <mergeCell ref="B485:D485"/>
    <mergeCell ref="B486:F486"/>
    <mergeCell ref="B475:D475"/>
    <mergeCell ref="B476:D476"/>
    <mergeCell ref="B477:F477"/>
    <mergeCell ref="B478:F478"/>
    <mergeCell ref="B479:F479"/>
    <mergeCell ref="B480:F480"/>
    <mergeCell ref="B469:F469"/>
    <mergeCell ref="B470:F470"/>
    <mergeCell ref="B471:F471"/>
    <mergeCell ref="B472:D472"/>
    <mergeCell ref="B473:D473"/>
    <mergeCell ref="B474:D474"/>
    <mergeCell ref="B499:D499"/>
    <mergeCell ref="B500:D500"/>
    <mergeCell ref="B501:D501"/>
    <mergeCell ref="B502:D502"/>
    <mergeCell ref="B503:D503"/>
    <mergeCell ref="B504:F504"/>
    <mergeCell ref="B493:D493"/>
    <mergeCell ref="B494:D494"/>
    <mergeCell ref="B495:D495"/>
    <mergeCell ref="B496:D496"/>
    <mergeCell ref="B497:D497"/>
    <mergeCell ref="B498:D498"/>
    <mergeCell ref="B487:F487"/>
    <mergeCell ref="B488:F488"/>
    <mergeCell ref="B489:F489"/>
    <mergeCell ref="B490:D490"/>
    <mergeCell ref="B491:D491"/>
    <mergeCell ref="B492:D492"/>
    <mergeCell ref="B521:D521"/>
    <mergeCell ref="E521:F521"/>
    <mergeCell ref="B522:F522"/>
    <mergeCell ref="B523:F523"/>
    <mergeCell ref="B524:F524"/>
    <mergeCell ref="B525:F525"/>
    <mergeCell ref="B512:D512"/>
    <mergeCell ref="E518:I518"/>
    <mergeCell ref="B519:D519"/>
    <mergeCell ref="E519:I519"/>
    <mergeCell ref="B520:D520"/>
    <mergeCell ref="E520:I520"/>
    <mergeCell ref="B505:F505"/>
    <mergeCell ref="B506:F506"/>
    <mergeCell ref="B507:F507"/>
    <mergeCell ref="B508:D508"/>
    <mergeCell ref="B510:D510"/>
    <mergeCell ref="B511:D511"/>
    <mergeCell ref="B538:D538"/>
    <mergeCell ref="B539:D539"/>
    <mergeCell ref="B540:D540"/>
    <mergeCell ref="B541:D541"/>
    <mergeCell ref="B542:F542"/>
    <mergeCell ref="B543:F543"/>
    <mergeCell ref="B532:F532"/>
    <mergeCell ref="B533:F533"/>
    <mergeCell ref="B534:F534"/>
    <mergeCell ref="B535:F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57:D557"/>
    <mergeCell ref="B558:D558"/>
    <mergeCell ref="B559:D559"/>
    <mergeCell ref="B560:F560"/>
    <mergeCell ref="B561:F561"/>
    <mergeCell ref="B562:F562"/>
    <mergeCell ref="B550:D550"/>
    <mergeCell ref="B551:F551"/>
    <mergeCell ref="B552:F552"/>
    <mergeCell ref="B553:F553"/>
    <mergeCell ref="B554:F554"/>
    <mergeCell ref="B555:D555"/>
    <mergeCell ref="B544:F544"/>
    <mergeCell ref="B545:F545"/>
    <mergeCell ref="B546:D546"/>
    <mergeCell ref="B547:D547"/>
    <mergeCell ref="B548:D548"/>
    <mergeCell ref="B549:D549"/>
    <mergeCell ref="B577:D577"/>
    <mergeCell ref="B578:F578"/>
    <mergeCell ref="B579:F579"/>
    <mergeCell ref="B580:F580"/>
    <mergeCell ref="B581:F581"/>
    <mergeCell ref="B582:D582"/>
    <mergeCell ref="B570:F570"/>
    <mergeCell ref="B571:F571"/>
    <mergeCell ref="B572:D572"/>
    <mergeCell ref="B574:D574"/>
    <mergeCell ref="B575:D575"/>
    <mergeCell ref="B576:D576"/>
    <mergeCell ref="B563:F563"/>
    <mergeCell ref="B564:D564"/>
    <mergeCell ref="B566:D566"/>
    <mergeCell ref="B567:D567"/>
    <mergeCell ref="B568:F568"/>
    <mergeCell ref="B569:F569"/>
    <mergeCell ref="B597:F597"/>
    <mergeCell ref="B598:F598"/>
    <mergeCell ref="B599:F599"/>
    <mergeCell ref="B600:F600"/>
    <mergeCell ref="B601:D601"/>
    <mergeCell ref="B602:D602"/>
    <mergeCell ref="B590:F590"/>
    <mergeCell ref="B591:F591"/>
    <mergeCell ref="B592:D592"/>
    <mergeCell ref="B594:D594"/>
    <mergeCell ref="B595:D595"/>
    <mergeCell ref="B596:D596"/>
    <mergeCell ref="B584:D584"/>
    <mergeCell ref="B585:D585"/>
    <mergeCell ref="B586:D586"/>
    <mergeCell ref="B587:D587"/>
    <mergeCell ref="B588:F588"/>
    <mergeCell ref="B589:F589"/>
    <mergeCell ref="B617:F617"/>
    <mergeCell ref="B618:F618"/>
    <mergeCell ref="B619:F619"/>
    <mergeCell ref="B620:D620"/>
    <mergeCell ref="B621:D621"/>
    <mergeCell ref="B622:D622"/>
    <mergeCell ref="B611:D611"/>
    <mergeCell ref="B612:D612"/>
    <mergeCell ref="B613:D613"/>
    <mergeCell ref="B614:D614"/>
    <mergeCell ref="B615:D615"/>
    <mergeCell ref="B616:F616"/>
    <mergeCell ref="B603:D603"/>
    <mergeCell ref="B604:D604"/>
    <mergeCell ref="B605:D605"/>
    <mergeCell ref="B606:D606"/>
    <mergeCell ref="B607:D607"/>
    <mergeCell ref="B610:D610"/>
    <mergeCell ref="B638:F638"/>
    <mergeCell ref="B639:F639"/>
    <mergeCell ref="B640:D640"/>
    <mergeCell ref="B642:D642"/>
    <mergeCell ref="B643:D643"/>
    <mergeCell ref="B644:D644"/>
    <mergeCell ref="B631:D631"/>
    <mergeCell ref="B632:D632"/>
    <mergeCell ref="B633:D633"/>
    <mergeCell ref="B634:D634"/>
    <mergeCell ref="B636:F636"/>
    <mergeCell ref="B637:F637"/>
    <mergeCell ref="B623:D623"/>
    <mergeCell ref="B624:D624"/>
    <mergeCell ref="B625:D625"/>
    <mergeCell ref="B626:D626"/>
    <mergeCell ref="B629:D629"/>
    <mergeCell ref="B630:D630"/>
    <mergeCell ref="B664:F664"/>
    <mergeCell ref="B665:F665"/>
    <mergeCell ref="B666:F666"/>
    <mergeCell ref="B667:F667"/>
    <mergeCell ref="B668:D668"/>
    <mergeCell ref="B670:D670"/>
    <mergeCell ref="B652:D652"/>
    <mergeCell ref="B653:D653"/>
    <mergeCell ref="B657:D657"/>
    <mergeCell ref="B658:D658"/>
    <mergeCell ref="B661:D661"/>
    <mergeCell ref="B662:D662"/>
    <mergeCell ref="B645:D645"/>
    <mergeCell ref="B646:F646"/>
    <mergeCell ref="B647:F647"/>
    <mergeCell ref="B648:F648"/>
    <mergeCell ref="B649:F649"/>
    <mergeCell ref="B650:D650"/>
    <mergeCell ref="B684:D684"/>
    <mergeCell ref="B685:D685"/>
    <mergeCell ref="B686:F686"/>
    <mergeCell ref="B687:F687"/>
    <mergeCell ref="B688:F688"/>
    <mergeCell ref="B689:F689"/>
    <mergeCell ref="B677:F677"/>
    <mergeCell ref="B678:D678"/>
    <mergeCell ref="B679:D679"/>
    <mergeCell ref="B680:D680"/>
    <mergeCell ref="B682:D682"/>
    <mergeCell ref="B683:D683"/>
    <mergeCell ref="B671:D671"/>
    <mergeCell ref="B672:D672"/>
    <mergeCell ref="B673:D673"/>
    <mergeCell ref="B674:F674"/>
    <mergeCell ref="B675:F675"/>
    <mergeCell ref="B676:F676"/>
    <mergeCell ref="B704:F704"/>
    <mergeCell ref="B705:F705"/>
    <mergeCell ref="B706:F706"/>
    <mergeCell ref="B708:F708"/>
    <mergeCell ref="B709:F709"/>
    <mergeCell ref="B710:F710"/>
    <mergeCell ref="B697:D697"/>
    <mergeCell ref="B698:F698"/>
    <mergeCell ref="B699:F699"/>
    <mergeCell ref="B700:F700"/>
    <mergeCell ref="B701:F701"/>
    <mergeCell ref="B703:F703"/>
    <mergeCell ref="B690:D690"/>
    <mergeCell ref="B691:F691"/>
    <mergeCell ref="B692:F692"/>
    <mergeCell ref="B693:F693"/>
    <mergeCell ref="B694:F694"/>
    <mergeCell ref="B696:D696"/>
    <mergeCell ref="B733:D733"/>
    <mergeCell ref="B735:F735"/>
    <mergeCell ref="B736:F736"/>
    <mergeCell ref="B737:F737"/>
    <mergeCell ref="B738:F738"/>
    <mergeCell ref="B739:D739"/>
    <mergeCell ref="B726:F726"/>
    <mergeCell ref="B727:F727"/>
    <mergeCell ref="B728:F728"/>
    <mergeCell ref="B729:F729"/>
    <mergeCell ref="B730:D730"/>
    <mergeCell ref="B731:D731"/>
    <mergeCell ref="B711:F711"/>
    <mergeCell ref="E722:I722"/>
    <mergeCell ref="E723:I723"/>
    <mergeCell ref="E724:I724"/>
    <mergeCell ref="B725:D725"/>
    <mergeCell ref="E725:F725"/>
    <mergeCell ref="B755:F755"/>
    <mergeCell ref="B756:F756"/>
    <mergeCell ref="B757:F757"/>
    <mergeCell ref="B758:D758"/>
    <mergeCell ref="B759:D759"/>
    <mergeCell ref="B761:D761"/>
    <mergeCell ref="B748:F748"/>
    <mergeCell ref="B749:D749"/>
    <mergeCell ref="B751:D751"/>
    <mergeCell ref="B752:D752"/>
    <mergeCell ref="B753:D753"/>
    <mergeCell ref="B754:F754"/>
    <mergeCell ref="B740:D740"/>
    <mergeCell ref="B742:D742"/>
    <mergeCell ref="B744:D744"/>
    <mergeCell ref="B745:F745"/>
    <mergeCell ref="B746:F746"/>
    <mergeCell ref="B747:F747"/>
    <mergeCell ref="B777:F777"/>
    <mergeCell ref="B778:D778"/>
    <mergeCell ref="B779:D779"/>
    <mergeCell ref="B781:D781"/>
    <mergeCell ref="B783:D783"/>
    <mergeCell ref="B784:F784"/>
    <mergeCell ref="B769:D769"/>
    <mergeCell ref="B771:D771"/>
    <mergeCell ref="B773:D773"/>
    <mergeCell ref="B774:F774"/>
    <mergeCell ref="B775:F775"/>
    <mergeCell ref="B776:F776"/>
    <mergeCell ref="B763:D763"/>
    <mergeCell ref="B764:F764"/>
    <mergeCell ref="B765:F765"/>
    <mergeCell ref="B766:F766"/>
    <mergeCell ref="B767:F767"/>
    <mergeCell ref="B768:D768"/>
    <mergeCell ref="B799:F799"/>
    <mergeCell ref="B800:D800"/>
    <mergeCell ref="B801:D801"/>
    <mergeCell ref="B802:D802"/>
    <mergeCell ref="B803:D803"/>
    <mergeCell ref="B804:D804"/>
    <mergeCell ref="B792:D792"/>
    <mergeCell ref="B793:D793"/>
    <mergeCell ref="B795:D795"/>
    <mergeCell ref="B796:F796"/>
    <mergeCell ref="B797:F797"/>
    <mergeCell ref="B798:F798"/>
    <mergeCell ref="B785:F785"/>
    <mergeCell ref="B786:F786"/>
    <mergeCell ref="B787:F787"/>
    <mergeCell ref="B788:D788"/>
    <mergeCell ref="B789:D789"/>
    <mergeCell ref="B791:D791"/>
    <mergeCell ref="B824:D824"/>
    <mergeCell ref="E824:F824"/>
    <mergeCell ref="B825:F825"/>
    <mergeCell ref="B826:F826"/>
    <mergeCell ref="B827:F827"/>
    <mergeCell ref="B828:F828"/>
    <mergeCell ref="B812:D812"/>
    <mergeCell ref="B813:D813"/>
    <mergeCell ref="B814:D814"/>
    <mergeCell ref="E821:I821"/>
    <mergeCell ref="E822:I822"/>
    <mergeCell ref="E823:I823"/>
    <mergeCell ref="B805:D805"/>
    <mergeCell ref="B806:D806"/>
    <mergeCell ref="B807:D807"/>
    <mergeCell ref="B809:D809"/>
    <mergeCell ref="B810:D810"/>
    <mergeCell ref="B811:D811"/>
    <mergeCell ref="B844:F844"/>
    <mergeCell ref="B845:F845"/>
    <mergeCell ref="B846:F846"/>
    <mergeCell ref="B847:F847"/>
    <mergeCell ref="B848:D848"/>
    <mergeCell ref="B849:D849"/>
    <mergeCell ref="B841:D841"/>
    <mergeCell ref="E841:I841"/>
    <mergeCell ref="B842:D842"/>
    <mergeCell ref="E842:I842"/>
    <mergeCell ref="B843:D843"/>
    <mergeCell ref="E843:F843"/>
    <mergeCell ref="B829:D829"/>
    <mergeCell ref="B830:D830"/>
    <mergeCell ref="B832:D832"/>
    <mergeCell ref="B839:I839"/>
    <mergeCell ref="B840:D840"/>
    <mergeCell ref="E840:I840"/>
    <mergeCell ref="E866:I866"/>
    <mergeCell ref="B867:D867"/>
    <mergeCell ref="E867:I867"/>
    <mergeCell ref="B868:D868"/>
    <mergeCell ref="E868:I868"/>
    <mergeCell ref="B869:D869"/>
    <mergeCell ref="E869:F869"/>
    <mergeCell ref="B856:D856"/>
    <mergeCell ref="B857:D857"/>
    <mergeCell ref="B858:D858"/>
    <mergeCell ref="B859:D859"/>
    <mergeCell ref="B860:D860"/>
    <mergeCell ref="B866:D866"/>
    <mergeCell ref="B850:D850"/>
    <mergeCell ref="B851:D851"/>
    <mergeCell ref="B852:D852"/>
    <mergeCell ref="B853:D853"/>
    <mergeCell ref="B854:D854"/>
    <mergeCell ref="B855:D855"/>
    <mergeCell ref="B882:D882"/>
    <mergeCell ref="B883:D883"/>
    <mergeCell ref="B884:D884"/>
    <mergeCell ref="B885:D885"/>
    <mergeCell ref="B886:F886"/>
    <mergeCell ref="B887:F887"/>
    <mergeCell ref="B876:D876"/>
    <mergeCell ref="B877:D877"/>
    <mergeCell ref="B878:D878"/>
    <mergeCell ref="B879:D879"/>
    <mergeCell ref="B880:D880"/>
    <mergeCell ref="B881:D881"/>
    <mergeCell ref="B870:F870"/>
    <mergeCell ref="B871:F871"/>
    <mergeCell ref="B872:F872"/>
    <mergeCell ref="B873:F873"/>
    <mergeCell ref="B874:D874"/>
    <mergeCell ref="B875:D875"/>
    <mergeCell ref="B901:F901"/>
    <mergeCell ref="B902:F902"/>
    <mergeCell ref="B903:F903"/>
    <mergeCell ref="B904:F904"/>
    <mergeCell ref="B905:D905"/>
    <mergeCell ref="B911:D911"/>
    <mergeCell ref="E911:I911"/>
    <mergeCell ref="B898:D898"/>
    <mergeCell ref="E898:I898"/>
    <mergeCell ref="B899:D899"/>
    <mergeCell ref="E899:I899"/>
    <mergeCell ref="B900:D900"/>
    <mergeCell ref="E900:F900"/>
    <mergeCell ref="B888:F888"/>
    <mergeCell ref="B889:F889"/>
    <mergeCell ref="B890:D890"/>
    <mergeCell ref="B891:D891"/>
    <mergeCell ref="B897:D897"/>
    <mergeCell ref="E897:I897"/>
    <mergeCell ref="E931:I931"/>
    <mergeCell ref="E932:I932"/>
    <mergeCell ref="E933:I933"/>
    <mergeCell ref="B934:D934"/>
    <mergeCell ref="E934:F934"/>
    <mergeCell ref="B935:F935"/>
    <mergeCell ref="B915:F915"/>
    <mergeCell ref="B916:F916"/>
    <mergeCell ref="B917:F917"/>
    <mergeCell ref="B918:F918"/>
    <mergeCell ref="B921:D921"/>
    <mergeCell ref="B922:D922"/>
    <mergeCell ref="B912:D912"/>
    <mergeCell ref="E912:I912"/>
    <mergeCell ref="B913:D913"/>
    <mergeCell ref="E913:I913"/>
    <mergeCell ref="B914:D914"/>
    <mergeCell ref="E914:F914"/>
    <mergeCell ref="B948:D948"/>
    <mergeCell ref="B949:D949"/>
    <mergeCell ref="B950:D950"/>
    <mergeCell ref="B951:D951"/>
    <mergeCell ref="B952:F952"/>
    <mergeCell ref="B953:F953"/>
    <mergeCell ref="B942:D942"/>
    <mergeCell ref="B943:D943"/>
    <mergeCell ref="B944:F944"/>
    <mergeCell ref="B945:F945"/>
    <mergeCell ref="B946:F946"/>
    <mergeCell ref="B947:D947"/>
    <mergeCell ref="B936:F936"/>
    <mergeCell ref="B937:F937"/>
    <mergeCell ref="B938:F938"/>
    <mergeCell ref="B939:D939"/>
    <mergeCell ref="B940:D940"/>
    <mergeCell ref="B941:D941"/>
    <mergeCell ref="B967:D967"/>
    <mergeCell ref="B968:D968"/>
    <mergeCell ref="B969:D969"/>
    <mergeCell ref="B970:D970"/>
    <mergeCell ref="B971:D971"/>
    <mergeCell ref="B972:D972"/>
    <mergeCell ref="B960:F960"/>
    <mergeCell ref="B961:F961"/>
    <mergeCell ref="B962:F962"/>
    <mergeCell ref="B963:F963"/>
    <mergeCell ref="B964:D964"/>
    <mergeCell ref="B966:D966"/>
    <mergeCell ref="B954:F954"/>
    <mergeCell ref="B955:D955"/>
    <mergeCell ref="B956:D956"/>
    <mergeCell ref="B957:D957"/>
    <mergeCell ref="B958:D958"/>
    <mergeCell ref="B959:D959"/>
    <mergeCell ref="B986:D986"/>
    <mergeCell ref="B987:D987"/>
    <mergeCell ref="B988:D988"/>
    <mergeCell ref="B989:D989"/>
    <mergeCell ref="B990:D990"/>
    <mergeCell ref="B991:D991"/>
    <mergeCell ref="B979:D979"/>
    <mergeCell ref="B980:F980"/>
    <mergeCell ref="B981:F981"/>
    <mergeCell ref="B982:F982"/>
    <mergeCell ref="B983:F983"/>
    <mergeCell ref="B984:D984"/>
    <mergeCell ref="B973:D973"/>
    <mergeCell ref="B974:D974"/>
    <mergeCell ref="B975:D975"/>
    <mergeCell ref="B976:D976"/>
    <mergeCell ref="B977:D977"/>
    <mergeCell ref="B978:D978"/>
    <mergeCell ref="B998:D998"/>
    <mergeCell ref="B999:F999"/>
    <mergeCell ref="B1000:F1000"/>
    <mergeCell ref="B1001:F1001"/>
    <mergeCell ref="B1002:D1002"/>
    <mergeCell ref="B1003:D1003"/>
    <mergeCell ref="B992:D992"/>
    <mergeCell ref="B993:D993"/>
    <mergeCell ref="B994:D994"/>
    <mergeCell ref="B995:D995"/>
    <mergeCell ref="B996:D996"/>
    <mergeCell ref="B997:D997"/>
    <mergeCell ref="B1007:F1007"/>
    <mergeCell ref="B1008:F1008"/>
    <mergeCell ref="B1009:F1009"/>
    <mergeCell ref="B1010:D1010"/>
    <mergeCell ref="B1011:D1011"/>
    <mergeCell ref="B1031:F1031"/>
    <mergeCell ref="B1032:F1032"/>
    <mergeCell ref="B1033:D1033"/>
    <mergeCell ref="B1035:D1035"/>
    <mergeCell ref="B1036:D1036"/>
    <mergeCell ref="B1037:D1037"/>
    <mergeCell ref="B1025:D1025"/>
    <mergeCell ref="B1026:D1026"/>
    <mergeCell ref="B1027:D1027"/>
    <mergeCell ref="B1028:D1028"/>
    <mergeCell ref="B1029:D1029"/>
    <mergeCell ref="B1030:F1030"/>
    <mergeCell ref="B1004:D1004"/>
    <mergeCell ref="B1005:D1005"/>
    <mergeCell ref="B1006:D1006"/>
    <mergeCell ref="B1022:F1022"/>
    <mergeCell ref="B1023:F1023"/>
    <mergeCell ref="B1024:F1024"/>
    <mergeCell ref="B1012:D1012"/>
    <mergeCell ref="B1013:D1013"/>
    <mergeCell ref="B1014:D1014"/>
    <mergeCell ref="B1015:D1015"/>
    <mergeCell ref="B1016:D1016"/>
    <mergeCell ref="B1050:F1050"/>
    <mergeCell ref="B1051:F1051"/>
    <mergeCell ref="B1052:F1052"/>
    <mergeCell ref="B1053:F1053"/>
    <mergeCell ref="B1054:D1054"/>
    <mergeCell ref="B1056:D1056"/>
    <mergeCell ref="B1044:D1044"/>
    <mergeCell ref="B1045:D1045"/>
    <mergeCell ref="B1046:D1046"/>
    <mergeCell ref="B1047:D1047"/>
    <mergeCell ref="B1048:D1048"/>
    <mergeCell ref="B1049:D1049"/>
    <mergeCell ref="B1038:D1038"/>
    <mergeCell ref="B1039:D1039"/>
    <mergeCell ref="B1040:D1040"/>
    <mergeCell ref="B1041:D1041"/>
    <mergeCell ref="B1042:D1042"/>
    <mergeCell ref="B1043:D1043"/>
    <mergeCell ref="E1076:I1076"/>
    <mergeCell ref="E1077:I1077"/>
    <mergeCell ref="E1078:I1078"/>
    <mergeCell ref="B1079:D1079"/>
    <mergeCell ref="E1079:F1079"/>
    <mergeCell ref="B1080:F1080"/>
    <mergeCell ref="B1063:D1063"/>
    <mergeCell ref="B1065:D1065"/>
    <mergeCell ref="B1066:D1066"/>
    <mergeCell ref="B1067:D1067"/>
    <mergeCell ref="B1068:D1068"/>
    <mergeCell ref="B1069:D1069"/>
    <mergeCell ref="B1057:D1057"/>
    <mergeCell ref="B1058:D1058"/>
    <mergeCell ref="B1059:D1059"/>
    <mergeCell ref="B1060:D1060"/>
    <mergeCell ref="B1061:D1061"/>
    <mergeCell ref="B1062:D1062"/>
    <mergeCell ref="B1093:D1093"/>
    <mergeCell ref="B1094:D1094"/>
    <mergeCell ref="B1095:D1095"/>
    <mergeCell ref="B1096:D1096"/>
    <mergeCell ref="B1097:F1097"/>
    <mergeCell ref="B1098:F1098"/>
    <mergeCell ref="B1087:D1087"/>
    <mergeCell ref="B1088:D1088"/>
    <mergeCell ref="B1089:F1089"/>
    <mergeCell ref="B1090:F1090"/>
    <mergeCell ref="B1091:F1091"/>
    <mergeCell ref="B1092:D1092"/>
    <mergeCell ref="B1081:F1081"/>
    <mergeCell ref="B1082:F1082"/>
    <mergeCell ref="B1083:F1083"/>
    <mergeCell ref="B1084:D1084"/>
    <mergeCell ref="B1085:D1085"/>
    <mergeCell ref="B1086:D1086"/>
    <mergeCell ref="B1112:D1112"/>
    <mergeCell ref="B1113:D1113"/>
    <mergeCell ref="B1114:D1114"/>
    <mergeCell ref="B1115:D1115"/>
    <mergeCell ref="B1116:D1116"/>
    <mergeCell ref="B1117:D1117"/>
    <mergeCell ref="B1105:F1105"/>
    <mergeCell ref="B1106:F1106"/>
    <mergeCell ref="B1107:F1107"/>
    <mergeCell ref="B1108:F1108"/>
    <mergeCell ref="B1109:D1109"/>
    <mergeCell ref="B1111:D1111"/>
    <mergeCell ref="B1099:F1099"/>
    <mergeCell ref="B1100:D1100"/>
    <mergeCell ref="B1101:D1101"/>
    <mergeCell ref="B1102:D1102"/>
    <mergeCell ref="B1103:D1103"/>
    <mergeCell ref="B1104:D1104"/>
    <mergeCell ref="B1130:D1130"/>
    <mergeCell ref="B1131:D1131"/>
    <mergeCell ref="B1132:D1132"/>
    <mergeCell ref="B1133:D1133"/>
    <mergeCell ref="B1134:D1134"/>
    <mergeCell ref="B1135:F1135"/>
    <mergeCell ref="B1124:D1124"/>
    <mergeCell ref="B1125:F1125"/>
    <mergeCell ref="B1126:F1126"/>
    <mergeCell ref="B1127:F1127"/>
    <mergeCell ref="B1128:F1128"/>
    <mergeCell ref="B1129:D1129"/>
    <mergeCell ref="B1118:D1118"/>
    <mergeCell ref="B1119:D1119"/>
    <mergeCell ref="B1120:D1120"/>
    <mergeCell ref="B1121:D1121"/>
    <mergeCell ref="B1122:D1122"/>
    <mergeCell ref="B1123:D1123"/>
    <mergeCell ref="B1148:D1148"/>
    <mergeCell ref="B1149:D1149"/>
    <mergeCell ref="B1150:D1150"/>
    <mergeCell ref="B1151:F1151"/>
    <mergeCell ref="B1152:F1152"/>
    <mergeCell ref="B1153:F1153"/>
    <mergeCell ref="B1142:F1142"/>
    <mergeCell ref="B1143:F1143"/>
    <mergeCell ref="B1144:D1144"/>
    <mergeCell ref="B1145:D1145"/>
    <mergeCell ref="B1146:D1146"/>
    <mergeCell ref="B1147:D1147"/>
    <mergeCell ref="B1136:F1136"/>
    <mergeCell ref="B1137:F1137"/>
    <mergeCell ref="B1138:F1138"/>
    <mergeCell ref="B1139:D1139"/>
    <mergeCell ref="B1140:F1140"/>
    <mergeCell ref="B1141:F1141"/>
    <mergeCell ref="B1167:D1167"/>
    <mergeCell ref="B1168:D1168"/>
    <mergeCell ref="B1169:D1169"/>
    <mergeCell ref="B1170:D1170"/>
    <mergeCell ref="B1171:D1171"/>
    <mergeCell ref="B1172:F1172"/>
    <mergeCell ref="B1161:D1161"/>
    <mergeCell ref="B1162:D1162"/>
    <mergeCell ref="B1163:D1163"/>
    <mergeCell ref="B1164:D1164"/>
    <mergeCell ref="B1165:D1165"/>
    <mergeCell ref="B1166:D1166"/>
    <mergeCell ref="B1154:F1154"/>
    <mergeCell ref="B1155:D1155"/>
    <mergeCell ref="B1157:D1157"/>
    <mergeCell ref="B1158:D1158"/>
    <mergeCell ref="B1159:D1159"/>
    <mergeCell ref="B1160:D1160"/>
    <mergeCell ref="B1186:D1186"/>
    <mergeCell ref="B1187:D1187"/>
    <mergeCell ref="B1188:D1188"/>
    <mergeCell ref="B1189:D1189"/>
    <mergeCell ref="B1190:D1190"/>
    <mergeCell ref="B1191:D1191"/>
    <mergeCell ref="B1180:D1180"/>
    <mergeCell ref="B1181:D1181"/>
    <mergeCell ref="B1182:D1182"/>
    <mergeCell ref="B1183:D1183"/>
    <mergeCell ref="B1184:D1184"/>
    <mergeCell ref="B1185:D1185"/>
    <mergeCell ref="B1173:F1173"/>
    <mergeCell ref="B1174:F1174"/>
    <mergeCell ref="B1175:F1175"/>
    <mergeCell ref="B1176:D1176"/>
    <mergeCell ref="B1178:D1178"/>
    <mergeCell ref="B1179:D1179"/>
    <mergeCell ref="B1205:D1205"/>
    <mergeCell ref="B1206:D1206"/>
    <mergeCell ref="B1207:D1207"/>
    <mergeCell ref="B1208:D1208"/>
    <mergeCell ref="B1209:D1209"/>
    <mergeCell ref="B1210:D1210"/>
    <mergeCell ref="B1199:D1199"/>
    <mergeCell ref="B1200:D1200"/>
    <mergeCell ref="B1201:D1201"/>
    <mergeCell ref="B1202:D1202"/>
    <mergeCell ref="B1203:D1203"/>
    <mergeCell ref="B1204:D1204"/>
    <mergeCell ref="B1192:D1192"/>
    <mergeCell ref="B1193:F1193"/>
    <mergeCell ref="B1194:F1194"/>
    <mergeCell ref="B1195:F1195"/>
    <mergeCell ref="B1196:F1196"/>
    <mergeCell ref="B1197:D1197"/>
    <mergeCell ref="B1223:D1223"/>
    <mergeCell ref="B1224:D1224"/>
    <mergeCell ref="B1225:D1225"/>
    <mergeCell ref="B1226:D1226"/>
    <mergeCell ref="B1227:D1227"/>
    <mergeCell ref="B1229:D1229"/>
    <mergeCell ref="B1217:F1217"/>
    <mergeCell ref="B1218:D1218"/>
    <mergeCell ref="B1219:D1219"/>
    <mergeCell ref="B1220:D1220"/>
    <mergeCell ref="B1221:D1221"/>
    <mergeCell ref="B1222:D1222"/>
    <mergeCell ref="B1211:D1211"/>
    <mergeCell ref="B1212:D1212"/>
    <mergeCell ref="B1213:D1213"/>
    <mergeCell ref="B1214:F1214"/>
    <mergeCell ref="B1215:F1215"/>
    <mergeCell ref="B1216:F1216"/>
    <mergeCell ref="B1242:F1242"/>
    <mergeCell ref="B1243:F1243"/>
    <mergeCell ref="B1244:D1244"/>
    <mergeCell ref="B1245:D1245"/>
    <mergeCell ref="B1246:F1246"/>
    <mergeCell ref="B1247:F1247"/>
    <mergeCell ref="B1236:F1236"/>
    <mergeCell ref="B1237:F1237"/>
    <mergeCell ref="B1238:D1238"/>
    <mergeCell ref="B1239:D1239"/>
    <mergeCell ref="B1240:F1240"/>
    <mergeCell ref="B1241:F1241"/>
    <mergeCell ref="B1230:D1230"/>
    <mergeCell ref="B1231:D1231"/>
    <mergeCell ref="B1232:D1232"/>
    <mergeCell ref="B1233:D1233"/>
    <mergeCell ref="B1234:F1234"/>
    <mergeCell ref="B1235:F1235"/>
    <mergeCell ref="E1269:I1269"/>
    <mergeCell ref="B1270:D1270"/>
    <mergeCell ref="E1270:F1270"/>
    <mergeCell ref="B1271:F1271"/>
    <mergeCell ref="B1272:F1272"/>
    <mergeCell ref="B1273:F1273"/>
    <mergeCell ref="B1254:F1254"/>
    <mergeCell ref="B1255:F1255"/>
    <mergeCell ref="B1256:D1256"/>
    <mergeCell ref="B1257:D1257"/>
    <mergeCell ref="E1267:I1267"/>
    <mergeCell ref="E1268:I1268"/>
    <mergeCell ref="B1248:F1248"/>
    <mergeCell ref="B1249:F1249"/>
    <mergeCell ref="B1250:D1250"/>
    <mergeCell ref="B1251:D1251"/>
    <mergeCell ref="B1252:F1252"/>
    <mergeCell ref="B1253:F1253"/>
    <mergeCell ref="B1286:D1286"/>
    <mergeCell ref="B1287:D1287"/>
    <mergeCell ref="B1288:D1288"/>
    <mergeCell ref="E1296:I1296"/>
    <mergeCell ref="E1297:I1297"/>
    <mergeCell ref="E1298:I1298"/>
    <mergeCell ref="B1280:D1280"/>
    <mergeCell ref="B1281:D1281"/>
    <mergeCell ref="B1282:F1282"/>
    <mergeCell ref="B1283:F1283"/>
    <mergeCell ref="B1284:F1284"/>
    <mergeCell ref="B1285:F1285"/>
    <mergeCell ref="B1274:F1274"/>
    <mergeCell ref="B1275:D1275"/>
    <mergeCell ref="B1276:D1276"/>
    <mergeCell ref="B1277:D1277"/>
    <mergeCell ref="B1278:D1278"/>
    <mergeCell ref="B1279:D1279"/>
    <mergeCell ref="B1312:F1312"/>
    <mergeCell ref="B1313:F1313"/>
    <mergeCell ref="B1314:D1314"/>
    <mergeCell ref="B1319:F1319"/>
    <mergeCell ref="B1320:F1320"/>
    <mergeCell ref="B1321:F1321"/>
    <mergeCell ref="B1304:D1304"/>
    <mergeCell ref="B1305:D1305"/>
    <mergeCell ref="B1306:D1306"/>
    <mergeCell ref="B1307:D1307"/>
    <mergeCell ref="B1310:F1310"/>
    <mergeCell ref="B1311:F1311"/>
    <mergeCell ref="B1299:D1299"/>
    <mergeCell ref="E1299:F1299"/>
    <mergeCell ref="B1300:F1300"/>
    <mergeCell ref="B1301:F1301"/>
    <mergeCell ref="B1302:F1302"/>
    <mergeCell ref="B1303:F1303"/>
    <mergeCell ref="E1352:I1352"/>
    <mergeCell ref="B1353:D1353"/>
    <mergeCell ref="E1353:F1353"/>
    <mergeCell ref="B1354:F1354"/>
    <mergeCell ref="B1355:F1355"/>
    <mergeCell ref="B1356:F1356"/>
    <mergeCell ref="B1329:F1329"/>
    <mergeCell ref="B1330:D1330"/>
    <mergeCell ref="B1331:D1331"/>
    <mergeCell ref="B1332:D1332"/>
    <mergeCell ref="E1350:I1350"/>
    <mergeCell ref="E1351:I1351"/>
    <mergeCell ref="B1322:F1322"/>
    <mergeCell ref="B1323:D1323"/>
    <mergeCell ref="B1324:D1324"/>
    <mergeCell ref="B1326:F1326"/>
    <mergeCell ref="B1327:F1327"/>
    <mergeCell ref="B1328:F1328"/>
    <mergeCell ref="B1369:D1369"/>
    <mergeCell ref="B1370:D1370"/>
    <mergeCell ref="B1371:D1371"/>
    <mergeCell ref="B1372:F1372"/>
    <mergeCell ref="B1373:F1373"/>
    <mergeCell ref="B1374:F1374"/>
    <mergeCell ref="B1363:D1363"/>
    <mergeCell ref="B1364:D1364"/>
    <mergeCell ref="B1365:D1365"/>
    <mergeCell ref="B1366:D1366"/>
    <mergeCell ref="B1367:D1367"/>
    <mergeCell ref="B1368:D1368"/>
    <mergeCell ref="B1357:F1357"/>
    <mergeCell ref="B1358:D1358"/>
    <mergeCell ref="B1359:D1359"/>
    <mergeCell ref="B1360:D1360"/>
    <mergeCell ref="B1361:D1361"/>
    <mergeCell ref="B1362:D1362"/>
    <mergeCell ref="B1387:F1387"/>
    <mergeCell ref="B1388:F1388"/>
    <mergeCell ref="B1389:F1389"/>
    <mergeCell ref="B1390:F1390"/>
    <mergeCell ref="B1391:D1391"/>
    <mergeCell ref="B1392:F1392"/>
    <mergeCell ref="B1381:D1381"/>
    <mergeCell ref="B1382:F1382"/>
    <mergeCell ref="B1383:F1383"/>
    <mergeCell ref="B1384:F1384"/>
    <mergeCell ref="B1385:F1385"/>
    <mergeCell ref="B1386:D1386"/>
    <mergeCell ref="B1375:F1375"/>
    <mergeCell ref="B1376:D1376"/>
    <mergeCell ref="B1377:F1377"/>
    <mergeCell ref="B1378:F1378"/>
    <mergeCell ref="B1379:F1379"/>
    <mergeCell ref="B1380:F1380"/>
    <mergeCell ref="B1416:F1416"/>
    <mergeCell ref="B1417:D1417"/>
    <mergeCell ref="B1418:D1418"/>
    <mergeCell ref="B1419:D1419"/>
    <mergeCell ref="B1420:D1420"/>
    <mergeCell ref="B1421:D1421"/>
    <mergeCell ref="E1411:I1411"/>
    <mergeCell ref="B1412:D1412"/>
    <mergeCell ref="E1412:F1412"/>
    <mergeCell ref="B1413:F1413"/>
    <mergeCell ref="B1414:F1414"/>
    <mergeCell ref="B1415:F1415"/>
    <mergeCell ref="B1393:F1393"/>
    <mergeCell ref="B1394:F1394"/>
    <mergeCell ref="B1395:F1395"/>
    <mergeCell ref="B1396:D1396"/>
    <mergeCell ref="E1409:I1409"/>
    <mergeCell ref="E1410:I1410"/>
    <mergeCell ref="B1434:D1434"/>
    <mergeCell ref="B1435:D1435"/>
    <mergeCell ref="B1436:D1436"/>
    <mergeCell ref="B1437:D1437"/>
    <mergeCell ref="B1438:D1438"/>
    <mergeCell ref="B1439:D1439"/>
    <mergeCell ref="B1428:F1428"/>
    <mergeCell ref="B1429:F1429"/>
    <mergeCell ref="B1430:F1430"/>
    <mergeCell ref="B1431:F1431"/>
    <mergeCell ref="B1432:D1432"/>
    <mergeCell ref="B1433:D1433"/>
    <mergeCell ref="B1422:F1422"/>
    <mergeCell ref="B1423:F1423"/>
    <mergeCell ref="B1424:F1424"/>
    <mergeCell ref="B1425:F1425"/>
    <mergeCell ref="B1426:D1426"/>
    <mergeCell ref="B1427:D1427"/>
    <mergeCell ref="B1467:F1467"/>
    <mergeCell ref="B1468:F1468"/>
    <mergeCell ref="B1469:F1469"/>
    <mergeCell ref="B1470:F1470"/>
    <mergeCell ref="B1471:D1471"/>
    <mergeCell ref="B1472:D1472"/>
    <mergeCell ref="B1446:D1446"/>
    <mergeCell ref="E1463:I1463"/>
    <mergeCell ref="E1464:I1464"/>
    <mergeCell ref="E1465:I1465"/>
    <mergeCell ref="B1466:D1466"/>
    <mergeCell ref="E1466:F1466"/>
    <mergeCell ref="B1440:D1440"/>
    <mergeCell ref="B1441:D1441"/>
    <mergeCell ref="B1442:D1442"/>
    <mergeCell ref="B1443:D1443"/>
    <mergeCell ref="B1444:D1444"/>
    <mergeCell ref="B1445:D1445"/>
    <mergeCell ref="B1485:D1485"/>
    <mergeCell ref="B1486:D1486"/>
    <mergeCell ref="B1487:D1487"/>
    <mergeCell ref="B1488:D1488"/>
    <mergeCell ref="B1489:D1489"/>
    <mergeCell ref="B1490:D1490"/>
    <mergeCell ref="B1479:F1479"/>
    <mergeCell ref="B1480:D1480"/>
    <mergeCell ref="B1481:D1481"/>
    <mergeCell ref="B1482:D1482"/>
    <mergeCell ref="B1483:D1483"/>
    <mergeCell ref="B1484:D1484"/>
    <mergeCell ref="B1473:D1473"/>
    <mergeCell ref="B1474:D1474"/>
    <mergeCell ref="B1475:D1475"/>
    <mergeCell ref="B1476:F1476"/>
    <mergeCell ref="B1477:F1477"/>
    <mergeCell ref="B1478:F1478"/>
    <mergeCell ref="B1503:D1503"/>
    <mergeCell ref="B1504:D1504"/>
    <mergeCell ref="B1505:D1505"/>
    <mergeCell ref="B1506:D1506"/>
    <mergeCell ref="B1507:F1507"/>
    <mergeCell ref="B1508:F1508"/>
    <mergeCell ref="B1497:F1497"/>
    <mergeCell ref="B1498:F1498"/>
    <mergeCell ref="B1499:D1499"/>
    <mergeCell ref="B1500:D1500"/>
    <mergeCell ref="B1501:D1501"/>
    <mergeCell ref="B1502:D1502"/>
    <mergeCell ref="B1491:D1491"/>
    <mergeCell ref="B1492:D1492"/>
    <mergeCell ref="B1493:D1493"/>
    <mergeCell ref="B1494:D1494"/>
    <mergeCell ref="B1495:F1495"/>
    <mergeCell ref="B1496:F1496"/>
    <mergeCell ref="B1522:D1522"/>
    <mergeCell ref="B1523:D1523"/>
    <mergeCell ref="B1524:D1524"/>
    <mergeCell ref="B1525:D1525"/>
    <mergeCell ref="B1526:D1526"/>
    <mergeCell ref="B1527:D1527"/>
    <mergeCell ref="B1518:F1518"/>
    <mergeCell ref="B1519:F1519"/>
    <mergeCell ref="B1520:F1520"/>
    <mergeCell ref="B1521:F1521"/>
    <mergeCell ref="B1515:D1515"/>
    <mergeCell ref="B1516:D1516"/>
    <mergeCell ref="B1517:D1517"/>
    <mergeCell ref="B1509:F1509"/>
    <mergeCell ref="B1510:F1510"/>
    <mergeCell ref="B1511:D1511"/>
    <mergeCell ref="B1512:D1512"/>
    <mergeCell ref="B1513:D1513"/>
    <mergeCell ref="B1514:D1514"/>
    <mergeCell ref="B1540:D1540"/>
    <mergeCell ref="B1541:D1541"/>
    <mergeCell ref="B1542:F1542"/>
    <mergeCell ref="B1543:F1543"/>
    <mergeCell ref="B1544:F1544"/>
    <mergeCell ref="B1545:F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F1530"/>
    <mergeCell ref="B1531:F1531"/>
    <mergeCell ref="B1532:F1532"/>
    <mergeCell ref="B1533:F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F1554"/>
    <mergeCell ref="B1555:F1555"/>
    <mergeCell ref="B1556:F1556"/>
    <mergeCell ref="B1557:F1557"/>
    <mergeCell ref="B1546:D1546"/>
    <mergeCell ref="B1547:D1547"/>
    <mergeCell ref="B1548:D1548"/>
    <mergeCell ref="B1549:D1549"/>
    <mergeCell ref="B1550:D1550"/>
    <mergeCell ref="B1551:D1551"/>
    <mergeCell ref="B1576:F1576"/>
    <mergeCell ref="B1577:F1577"/>
    <mergeCell ref="B1578:F1578"/>
    <mergeCell ref="B1579:F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F1565"/>
    <mergeCell ref="B1566:F1566"/>
    <mergeCell ref="B1567:F1567"/>
    <mergeCell ref="B1568:F1568"/>
    <mergeCell ref="B1569:D1569"/>
    <mergeCell ref="B1594:D1594"/>
    <mergeCell ref="B1595:D1595"/>
    <mergeCell ref="B1596:D1596"/>
    <mergeCell ref="B1597:D1597"/>
    <mergeCell ref="B1598:D1598"/>
    <mergeCell ref="B1599:F1599"/>
    <mergeCell ref="B1588:F1588"/>
    <mergeCell ref="B1589:F1589"/>
    <mergeCell ref="B1590:F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F1587"/>
    <mergeCell ref="B1612:F1612"/>
    <mergeCell ref="B1613:F1613"/>
    <mergeCell ref="B1621:F1621"/>
    <mergeCell ref="B1622:F1622"/>
    <mergeCell ref="B1623:F1623"/>
    <mergeCell ref="B1624:F1624"/>
    <mergeCell ref="B1606:D1606"/>
    <mergeCell ref="B1607:D1607"/>
    <mergeCell ref="B1608:D1608"/>
    <mergeCell ref="B1609:D1609"/>
    <mergeCell ref="B1610:F1610"/>
    <mergeCell ref="B1611:F1611"/>
    <mergeCell ref="B1600:F1600"/>
    <mergeCell ref="B1601:F1601"/>
    <mergeCell ref="B1602:F1602"/>
    <mergeCell ref="B1603:D1603"/>
    <mergeCell ref="B1604:D1604"/>
    <mergeCell ref="B1605:D1605"/>
    <mergeCell ref="B1644:F1644"/>
    <mergeCell ref="B1645:F1645"/>
    <mergeCell ref="B1646:F1646"/>
    <mergeCell ref="B1647:D1647"/>
    <mergeCell ref="B1648:D1648"/>
    <mergeCell ref="B1649:D1649"/>
    <mergeCell ref="B1638:D1638"/>
    <mergeCell ref="B1639:D1639"/>
    <mergeCell ref="B1640:D1640"/>
    <mergeCell ref="B1641:D1641"/>
    <mergeCell ref="B1642:D1642"/>
    <mergeCell ref="B1643:F1643"/>
    <mergeCell ref="B1632:F1632"/>
    <mergeCell ref="B1633:F1633"/>
    <mergeCell ref="B1634:F1634"/>
    <mergeCell ref="B1635:F1635"/>
    <mergeCell ref="B1636:D1636"/>
    <mergeCell ref="B1637:D1637"/>
    <mergeCell ref="B1680:F1680"/>
    <mergeCell ref="B1681:F1681"/>
    <mergeCell ref="B1682:D1682"/>
    <mergeCell ref="B1683:D1683"/>
    <mergeCell ref="B1684:D1684"/>
    <mergeCell ref="B1685:D1685"/>
    <mergeCell ref="E1675:I1675"/>
    <mergeCell ref="E1676:I1676"/>
    <mergeCell ref="B1677:D1677"/>
    <mergeCell ref="E1677:F1677"/>
    <mergeCell ref="B1678:F1678"/>
    <mergeCell ref="B1679:F1679"/>
    <mergeCell ref="B1650:D1650"/>
    <mergeCell ref="B1651:D1651"/>
    <mergeCell ref="B1652:D1652"/>
    <mergeCell ref="B1653:D1653"/>
    <mergeCell ref="B1654:D1654"/>
    <mergeCell ref="E1674:I1674"/>
    <mergeCell ref="B1698:D1698"/>
    <mergeCell ref="B1699:D1699"/>
    <mergeCell ref="B1700:D1700"/>
    <mergeCell ref="B1701:D1701"/>
    <mergeCell ref="B1702:D1702"/>
    <mergeCell ref="B1703:D1703"/>
    <mergeCell ref="B1692:D1692"/>
    <mergeCell ref="B1693:D1693"/>
    <mergeCell ref="B1694:D1694"/>
    <mergeCell ref="B1695:D1695"/>
    <mergeCell ref="B1696:D1696"/>
    <mergeCell ref="B1697:D1697"/>
    <mergeCell ref="B1686:D1686"/>
    <mergeCell ref="B1687:F1687"/>
    <mergeCell ref="B1688:F1688"/>
    <mergeCell ref="B1689:F1689"/>
    <mergeCell ref="B1690:F1690"/>
    <mergeCell ref="B1691:D1691"/>
    <mergeCell ref="B1776:D1776"/>
    <mergeCell ref="B1778:D1778"/>
    <mergeCell ref="B1791:F1791"/>
    <mergeCell ref="B1792:F1792"/>
    <mergeCell ref="B1793:F1793"/>
    <mergeCell ref="B1794:F1794"/>
    <mergeCell ref="B1710:D1710"/>
    <mergeCell ref="B1721:D1721"/>
    <mergeCell ref="B1732:D1732"/>
    <mergeCell ref="B1733:D1733"/>
    <mergeCell ref="B1744:D1744"/>
    <mergeCell ref="B1755:D1755"/>
    <mergeCell ref="B1704:D1704"/>
    <mergeCell ref="B1705:D1705"/>
    <mergeCell ref="B1706:F1706"/>
    <mergeCell ref="B1707:F1707"/>
    <mergeCell ref="B1708:F1708"/>
    <mergeCell ref="B1709:F1709"/>
    <mergeCell ref="B1813:F1813"/>
    <mergeCell ref="B1814:F1814"/>
    <mergeCell ref="B1815:F1815"/>
    <mergeCell ref="B1816:F1816"/>
    <mergeCell ref="B1817:D1817"/>
    <mergeCell ref="B1818:D1818"/>
    <mergeCell ref="B1801:D1801"/>
    <mergeCell ref="B1802:D1802"/>
    <mergeCell ref="E1808:I1808"/>
    <mergeCell ref="E1809:I1809"/>
    <mergeCell ref="E1810:I1810"/>
    <mergeCell ref="B1812:D1812"/>
    <mergeCell ref="E1812:F1812"/>
    <mergeCell ref="B1795:D1795"/>
    <mergeCell ref="B1796:D1796"/>
    <mergeCell ref="B1797:D1797"/>
    <mergeCell ref="B1798:D1798"/>
    <mergeCell ref="B1799:D1799"/>
    <mergeCell ref="B1800:D1800"/>
    <mergeCell ref="B1831:F1831"/>
    <mergeCell ref="B1832:F1832"/>
    <mergeCell ref="B1833:D1833"/>
    <mergeCell ref="B1834:D1834"/>
    <mergeCell ref="B1835:D1835"/>
    <mergeCell ref="B1836:D1836"/>
    <mergeCell ref="B1825:D1825"/>
    <mergeCell ref="B1826:D1826"/>
    <mergeCell ref="B1827:D1827"/>
    <mergeCell ref="B1828:D1828"/>
    <mergeCell ref="B1829:F1829"/>
    <mergeCell ref="B1830:F1830"/>
    <mergeCell ref="B1819:D1819"/>
    <mergeCell ref="B1820:D1820"/>
    <mergeCell ref="B1821:D1821"/>
    <mergeCell ref="B1822:D1822"/>
    <mergeCell ref="B1823:D1823"/>
    <mergeCell ref="B1824:D1824"/>
    <mergeCell ref="B1853:D1853"/>
    <mergeCell ref="B1854:D1854"/>
    <mergeCell ref="B1855:D1855"/>
    <mergeCell ref="B1856:D1856"/>
    <mergeCell ref="B1857:D1857"/>
    <mergeCell ref="B1858:F1858"/>
    <mergeCell ref="B1848:D1848"/>
    <mergeCell ref="E1848:F1848"/>
    <mergeCell ref="B1849:F1849"/>
    <mergeCell ref="B1850:F1850"/>
    <mergeCell ref="B1851:F1851"/>
    <mergeCell ref="B1852:F1852"/>
    <mergeCell ref="B1837:D1837"/>
    <mergeCell ref="B1838:D1838"/>
    <mergeCell ref="B1839:D1839"/>
    <mergeCell ref="E1845:I1845"/>
    <mergeCell ref="E1846:I1846"/>
    <mergeCell ref="E1847:I1847"/>
    <mergeCell ref="B1871:D1871"/>
    <mergeCell ref="B1872:D1872"/>
    <mergeCell ref="B1873:D1873"/>
    <mergeCell ref="B1874:D1874"/>
    <mergeCell ref="B1875:D1875"/>
    <mergeCell ref="B1876:F1876"/>
    <mergeCell ref="B1865:D1865"/>
    <mergeCell ref="B1866:D1866"/>
    <mergeCell ref="B1867:F1867"/>
    <mergeCell ref="B1868:F1868"/>
    <mergeCell ref="B1869:F1869"/>
    <mergeCell ref="B1870:F1870"/>
    <mergeCell ref="B1859:F1859"/>
    <mergeCell ref="B1860:F1860"/>
    <mergeCell ref="B1861:F1861"/>
    <mergeCell ref="B1862:D1862"/>
    <mergeCell ref="B1863:D1863"/>
    <mergeCell ref="B1864:D1864"/>
    <mergeCell ref="B1889:D1889"/>
    <mergeCell ref="B1891:D1891"/>
    <mergeCell ref="B1892:D1892"/>
    <mergeCell ref="B1893:D1893"/>
    <mergeCell ref="B1894:D1894"/>
    <mergeCell ref="B1895:D1895"/>
    <mergeCell ref="B1883:D1883"/>
    <mergeCell ref="B1884:D1884"/>
    <mergeCell ref="B1885:F1885"/>
    <mergeCell ref="B1886:F1886"/>
    <mergeCell ref="B1887:F1887"/>
    <mergeCell ref="B1888:F1888"/>
    <mergeCell ref="B1877:F1877"/>
    <mergeCell ref="B1878:F1878"/>
    <mergeCell ref="B1879:F1879"/>
    <mergeCell ref="B1880:D1880"/>
    <mergeCell ref="B1881:D1881"/>
    <mergeCell ref="B1882:D1882"/>
    <mergeCell ref="B1908:F1908"/>
    <mergeCell ref="B1909:D1909"/>
    <mergeCell ref="B1910:F1910"/>
    <mergeCell ref="B1911:F1911"/>
    <mergeCell ref="B1912:F1912"/>
    <mergeCell ref="B1913:F1913"/>
    <mergeCell ref="B1902:D1902"/>
    <mergeCell ref="B1903:D1903"/>
    <mergeCell ref="B1904:D1904"/>
    <mergeCell ref="B1905:F1905"/>
    <mergeCell ref="B1906:F1906"/>
    <mergeCell ref="B1907:F1907"/>
    <mergeCell ref="B1896:D1896"/>
    <mergeCell ref="B1897:D1897"/>
    <mergeCell ref="B1898:D1898"/>
    <mergeCell ref="B1899:D1899"/>
    <mergeCell ref="B1900:D1900"/>
    <mergeCell ref="B1901:D1901"/>
    <mergeCell ref="B1930:F1930"/>
    <mergeCell ref="B1931:F1931"/>
    <mergeCell ref="B1932:F1932"/>
    <mergeCell ref="B1933:D1933"/>
    <mergeCell ref="B1934:D1934"/>
    <mergeCell ref="B1935:D1935"/>
    <mergeCell ref="E1925:I1925"/>
    <mergeCell ref="E1926:I1926"/>
    <mergeCell ref="E1927:I1927"/>
    <mergeCell ref="B1928:D1928"/>
    <mergeCell ref="E1928:F1928"/>
    <mergeCell ref="B1929:F1929"/>
    <mergeCell ref="B1914:D1914"/>
    <mergeCell ref="B1915:D1915"/>
    <mergeCell ref="B1916:D1916"/>
    <mergeCell ref="B1917:D1917"/>
    <mergeCell ref="B1918:D1918"/>
    <mergeCell ref="B1919:I1919"/>
    <mergeCell ref="B1948:F1948"/>
    <mergeCell ref="B1949:F1949"/>
    <mergeCell ref="B1950:F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F1947"/>
    <mergeCell ref="B1936:D1936"/>
    <mergeCell ref="B1937:D1937"/>
    <mergeCell ref="B1938:F1938"/>
    <mergeCell ref="B1939:F1939"/>
    <mergeCell ref="B1940:F1940"/>
    <mergeCell ref="B1941:F1941"/>
    <mergeCell ref="B1966:F1966"/>
    <mergeCell ref="B1967:F1967"/>
    <mergeCell ref="B1968:F1968"/>
    <mergeCell ref="B1969:D1969"/>
    <mergeCell ref="B1971:D1971"/>
    <mergeCell ref="B1972:D1972"/>
    <mergeCell ref="B1960:D1960"/>
    <mergeCell ref="B1961:D1961"/>
    <mergeCell ref="B1962:D1962"/>
    <mergeCell ref="B1963:D1963"/>
    <mergeCell ref="B1964:D1964"/>
    <mergeCell ref="B1965:F1965"/>
    <mergeCell ref="B1954:D1954"/>
    <mergeCell ref="B1955:D1955"/>
    <mergeCell ref="B1956:F1956"/>
    <mergeCell ref="B1957:F1957"/>
    <mergeCell ref="B1958:F1958"/>
    <mergeCell ref="B1959:F1959"/>
    <mergeCell ref="B1985:F1985"/>
    <mergeCell ref="B1986:F1986"/>
    <mergeCell ref="B1987:F1987"/>
    <mergeCell ref="B1988:F1988"/>
    <mergeCell ref="B1989:D1989"/>
    <mergeCell ref="B1991:D1991"/>
    <mergeCell ref="B1979:D1979"/>
    <mergeCell ref="B1980:D1980"/>
    <mergeCell ref="B1981:D1981"/>
    <mergeCell ref="B1982:D1982"/>
    <mergeCell ref="B1983:D1983"/>
    <mergeCell ref="B1984:D1984"/>
    <mergeCell ref="B1973:D1973"/>
    <mergeCell ref="B1974:D1974"/>
    <mergeCell ref="B1975:D1975"/>
    <mergeCell ref="B1976:D1976"/>
    <mergeCell ref="B1977:D1977"/>
    <mergeCell ref="B1978:D1978"/>
    <mergeCell ref="B2011:D2011"/>
    <mergeCell ref="B2012:D2012"/>
    <mergeCell ref="B2013:D2013"/>
    <mergeCell ref="B2014:D2014"/>
    <mergeCell ref="B2017:D2017"/>
    <mergeCell ref="B2018:D2018"/>
    <mergeCell ref="B2004:D2004"/>
    <mergeCell ref="B2005:F2005"/>
    <mergeCell ref="B2006:F2006"/>
    <mergeCell ref="B2007:F2007"/>
    <mergeCell ref="B2008:F2008"/>
    <mergeCell ref="B2009:D2009"/>
    <mergeCell ref="B1992:D1992"/>
    <mergeCell ref="B1993:D1993"/>
    <mergeCell ref="B1994:D1994"/>
    <mergeCell ref="B2001:D2001"/>
    <mergeCell ref="B2002:D2002"/>
    <mergeCell ref="B2003:D2003"/>
    <mergeCell ref="B2033:D2033"/>
    <mergeCell ref="B2034:D2034"/>
    <mergeCell ref="B2035:D2035"/>
    <mergeCell ref="B2043:D2043"/>
    <mergeCell ref="B2044:D2044"/>
    <mergeCell ref="B2046:D2046"/>
    <mergeCell ref="B2026:F2026"/>
    <mergeCell ref="B2027:F2027"/>
    <mergeCell ref="B2028:F2028"/>
    <mergeCell ref="B2029:F2029"/>
    <mergeCell ref="B2030:D2030"/>
    <mergeCell ref="B2032:D2032"/>
    <mergeCell ref="B2019:D2019"/>
    <mergeCell ref="B2020:D2020"/>
    <mergeCell ref="B2022:D2022"/>
    <mergeCell ref="B2023:D2023"/>
    <mergeCell ref="B2024:D2024"/>
    <mergeCell ref="B2025:D2025"/>
    <mergeCell ref="B2060:D2060"/>
    <mergeCell ref="B2062:D2062"/>
    <mergeCell ref="B2063:D2063"/>
    <mergeCell ref="B2064:D2064"/>
    <mergeCell ref="B2065:D2065"/>
    <mergeCell ref="B2066:D2066"/>
    <mergeCell ref="B2053:D2053"/>
    <mergeCell ref="B2054:F2054"/>
    <mergeCell ref="B2055:F2055"/>
    <mergeCell ref="B2056:F2056"/>
    <mergeCell ref="B2057:F2057"/>
    <mergeCell ref="B2058:D2058"/>
    <mergeCell ref="B2047:D2047"/>
    <mergeCell ref="B2048:F2048"/>
    <mergeCell ref="B2049:F2049"/>
    <mergeCell ref="B2050:F2050"/>
    <mergeCell ref="B2051:F2051"/>
    <mergeCell ref="B2052:D2052"/>
    <mergeCell ref="B2087:D2087"/>
    <mergeCell ref="B2088:D2088"/>
    <mergeCell ref="B2091:D2091"/>
    <mergeCell ref="B2092:F2092"/>
    <mergeCell ref="B2093:F2093"/>
    <mergeCell ref="B2094:F2094"/>
    <mergeCell ref="B2073:F2073"/>
    <mergeCell ref="B2074:D2074"/>
    <mergeCell ref="B2076:D2076"/>
    <mergeCell ref="B2077:D2077"/>
    <mergeCell ref="B2078:D2078"/>
    <mergeCell ref="B2079:D2079"/>
    <mergeCell ref="B2067:D2067"/>
    <mergeCell ref="B2068:D2068"/>
    <mergeCell ref="B2069:D2069"/>
    <mergeCell ref="B2070:F2070"/>
    <mergeCell ref="B2071:F2071"/>
    <mergeCell ref="B2072:F2072"/>
    <mergeCell ref="B2121:F2121"/>
    <mergeCell ref="B2131:F2131"/>
    <mergeCell ref="B2132:F2132"/>
    <mergeCell ref="B2133:F2133"/>
    <mergeCell ref="B2134:F2134"/>
    <mergeCell ref="B2135:D2135"/>
    <mergeCell ref="B2113:F2113"/>
    <mergeCell ref="B2114:F2114"/>
    <mergeCell ref="B2115:F2115"/>
    <mergeCell ref="B2118:F2118"/>
    <mergeCell ref="B2119:F2119"/>
    <mergeCell ref="B2120:F2120"/>
    <mergeCell ref="B2095:F2095"/>
    <mergeCell ref="B2106:F2106"/>
    <mergeCell ref="B2107:F2107"/>
    <mergeCell ref="B2108:F2108"/>
    <mergeCell ref="B2109:F2109"/>
    <mergeCell ref="B2112:F2112"/>
    <mergeCell ref="B2156:D2156"/>
    <mergeCell ref="B2157:D2157"/>
    <mergeCell ref="B2158:D2158"/>
    <mergeCell ref="B2159:D2159"/>
    <mergeCell ref="B2160:D2160"/>
    <mergeCell ref="B2168:D2168"/>
    <mergeCell ref="B2149:D2149"/>
    <mergeCell ref="B2151:D2151"/>
    <mergeCell ref="B2152:F2152"/>
    <mergeCell ref="B2153:F2153"/>
    <mergeCell ref="B2154:F2154"/>
    <mergeCell ref="B2155:F2155"/>
    <mergeCell ref="B2136:D2136"/>
    <mergeCell ref="B2137:D2137"/>
    <mergeCell ref="B2138:D2138"/>
    <mergeCell ref="B2139:D2139"/>
    <mergeCell ref="B2147:D2147"/>
    <mergeCell ref="B2148:D2148"/>
    <mergeCell ref="B2189:D2189"/>
    <mergeCell ref="B2190:D2190"/>
    <mergeCell ref="B2191:D2191"/>
    <mergeCell ref="B2193:D2193"/>
    <mergeCell ref="B2194:F2194"/>
    <mergeCell ref="B2195:F2195"/>
    <mergeCell ref="B2176:F2176"/>
    <mergeCell ref="B2177:D2177"/>
    <mergeCell ref="B2178:D2178"/>
    <mergeCell ref="B2179:D2179"/>
    <mergeCell ref="B2180:D2180"/>
    <mergeCell ref="B2181:D2181"/>
    <mergeCell ref="B2169:D2169"/>
    <mergeCell ref="B2170:D2170"/>
    <mergeCell ref="B2172:D2172"/>
    <mergeCell ref="B2173:F2173"/>
    <mergeCell ref="B2174:F2174"/>
    <mergeCell ref="B2175:F2175"/>
    <mergeCell ref="B2215:D2215"/>
    <mergeCell ref="B2216:D2216"/>
    <mergeCell ref="B2217:D2217"/>
    <mergeCell ref="B2225:D2225"/>
    <mergeCell ref="B2226:D2226"/>
    <mergeCell ref="B2227:D2227"/>
    <mergeCell ref="B2209:F2209"/>
    <mergeCell ref="B2210:F2210"/>
    <mergeCell ref="B2211:F2211"/>
    <mergeCell ref="B2212:F2212"/>
    <mergeCell ref="B2213:D2213"/>
    <mergeCell ref="B2214:D2214"/>
    <mergeCell ref="B2196:F2196"/>
    <mergeCell ref="B2197:F2197"/>
    <mergeCell ref="B2198:D2198"/>
    <mergeCell ref="B2205:D2205"/>
    <mergeCell ref="B2206:D2206"/>
    <mergeCell ref="B2208:D2208"/>
    <mergeCell ref="B2263:F2263"/>
    <mergeCell ref="B2264:F2264"/>
    <mergeCell ref="B2279:F2279"/>
    <mergeCell ref="B2280:F2280"/>
    <mergeCell ref="B2281:F2281"/>
    <mergeCell ref="B2282:F2282"/>
    <mergeCell ref="B2241:F2241"/>
    <mergeCell ref="B2242:F2242"/>
    <mergeCell ref="B2243:F2243"/>
    <mergeCell ref="B2244:F2244"/>
    <mergeCell ref="B2261:F2261"/>
    <mergeCell ref="B2262:F2262"/>
    <mergeCell ref="B2229:D2229"/>
    <mergeCell ref="B2230:I2230"/>
    <mergeCell ref="E2237:I2237"/>
    <mergeCell ref="E2238:I2238"/>
    <mergeCell ref="E2239:I2239"/>
    <mergeCell ref="B2240:D2240"/>
    <mergeCell ref="E2240:F2240"/>
    <mergeCell ref="B2329:F2329"/>
    <mergeCell ref="B2330:F2330"/>
    <mergeCell ref="B2331:F2331"/>
    <mergeCell ref="B2332:F2332"/>
    <mergeCell ref="B2333:D2333"/>
    <mergeCell ref="B2339:D2339"/>
    <mergeCell ref="B2306:F2306"/>
    <mergeCell ref="B2307:F2307"/>
    <mergeCell ref="B2311:F2311"/>
    <mergeCell ref="B2312:F2312"/>
    <mergeCell ref="B2313:F2313"/>
    <mergeCell ref="B2314:F2314"/>
    <mergeCell ref="B2297:F2297"/>
    <mergeCell ref="B2298:F2298"/>
    <mergeCell ref="B2299:F2299"/>
    <mergeCell ref="B2300:F2300"/>
    <mergeCell ref="B2304:F2304"/>
    <mergeCell ref="B2305:F2305"/>
    <mergeCell ref="B2352:D2352"/>
    <mergeCell ref="B2359:D2359"/>
    <mergeCell ref="B2360:D2360"/>
    <mergeCell ref="B2361:D2361"/>
    <mergeCell ref="B2362:D2362"/>
    <mergeCell ref="B2363:D2363"/>
    <mergeCell ref="B2346:F2346"/>
    <mergeCell ref="B2347:F2347"/>
    <mergeCell ref="B2348:D2348"/>
    <mergeCell ref="B2349:D2349"/>
    <mergeCell ref="B2350:D2350"/>
    <mergeCell ref="B2351:D2351"/>
    <mergeCell ref="B2340:D2340"/>
    <mergeCell ref="B2341:D2341"/>
    <mergeCell ref="B2342:D2342"/>
    <mergeCell ref="B2343:D2343"/>
    <mergeCell ref="B2344:F2344"/>
    <mergeCell ref="B2345:F2345"/>
    <mergeCell ref="B2383:D2383"/>
    <mergeCell ref="B2384:I2384"/>
    <mergeCell ref="E2401:I2401"/>
    <mergeCell ref="E2402:I2402"/>
    <mergeCell ref="E2403:I2403"/>
    <mergeCell ref="B2404:D2404"/>
    <mergeCell ref="E2404:F2404"/>
    <mergeCell ref="B2370:D2370"/>
    <mergeCell ref="B2371:D2371"/>
    <mergeCell ref="B2372:D2372"/>
    <mergeCell ref="B2379:D2379"/>
    <mergeCell ref="B2380:D2380"/>
    <mergeCell ref="B2381:D2381"/>
    <mergeCell ref="B2364:F2364"/>
    <mergeCell ref="B2365:F2365"/>
    <mergeCell ref="B2366:F2366"/>
    <mergeCell ref="B2367:F2367"/>
    <mergeCell ref="B2368:D2368"/>
    <mergeCell ref="B2369:D2369"/>
    <mergeCell ref="B2424:F2424"/>
    <mergeCell ref="B2432:F2432"/>
    <mergeCell ref="B2433:F2433"/>
    <mergeCell ref="B2434:F2434"/>
    <mergeCell ref="B2435:F2435"/>
    <mergeCell ref="B2443:F2443"/>
    <mergeCell ref="B2417:D2417"/>
    <mergeCell ref="B2419:D2419"/>
    <mergeCell ref="B2420:D2420"/>
    <mergeCell ref="B2421:F2421"/>
    <mergeCell ref="B2422:F2422"/>
    <mergeCell ref="B2423:F2423"/>
    <mergeCell ref="B2405:F2405"/>
    <mergeCell ref="B2406:F2406"/>
    <mergeCell ref="B2407:F2407"/>
    <mergeCell ref="B2408:F2408"/>
    <mergeCell ref="B2409:D2409"/>
    <mergeCell ref="B2416:D2416"/>
    <mergeCell ref="B2468:F2468"/>
    <mergeCell ref="B2469:F2469"/>
    <mergeCell ref="B2470:F2470"/>
    <mergeCell ref="B2471:D2471"/>
    <mergeCell ref="B2472:D2472"/>
    <mergeCell ref="B2473:D2473"/>
    <mergeCell ref="B2457:F2457"/>
    <mergeCell ref="B2459:F2459"/>
    <mergeCell ref="B2460:F2460"/>
    <mergeCell ref="B2461:F2461"/>
    <mergeCell ref="B2462:F2462"/>
    <mergeCell ref="B2467:F2467"/>
    <mergeCell ref="B2444:F2444"/>
    <mergeCell ref="B2445:F2445"/>
    <mergeCell ref="B2446:F2446"/>
    <mergeCell ref="B2454:F2454"/>
    <mergeCell ref="B2455:F2455"/>
    <mergeCell ref="B2456:F2456"/>
    <mergeCell ref="B2513:F2513"/>
    <mergeCell ref="B2514:F2514"/>
    <mergeCell ref="B2515:F2515"/>
    <mergeCell ref="B2516:F2516"/>
    <mergeCell ref="B2517:D2517"/>
    <mergeCell ref="B2520:D2520"/>
    <mergeCell ref="B2487:I2487"/>
    <mergeCell ref="E2509:I2509"/>
    <mergeCell ref="E2510:I2510"/>
    <mergeCell ref="E2511:I2511"/>
    <mergeCell ref="B2512:D2512"/>
    <mergeCell ref="E2512:F2512"/>
    <mergeCell ref="B2474:D2474"/>
    <mergeCell ref="B2475:D2475"/>
    <mergeCell ref="B2482:D2482"/>
    <mergeCell ref="B2483:D2483"/>
    <mergeCell ref="B2485:D2485"/>
    <mergeCell ref="B2486:D2486"/>
    <mergeCell ref="B2541:F2541"/>
    <mergeCell ref="B2542:D2542"/>
    <mergeCell ref="B2543:D2543"/>
    <mergeCell ref="B2544:D2544"/>
    <mergeCell ref="B2545:D2545"/>
    <mergeCell ref="B2546:D2546"/>
    <mergeCell ref="E2536:I2536"/>
    <mergeCell ref="B2537:D2537"/>
    <mergeCell ref="E2537:F2537"/>
    <mergeCell ref="B2538:F2538"/>
    <mergeCell ref="B2539:F2539"/>
    <mergeCell ref="B2540:F2540"/>
    <mergeCell ref="B2525:D2525"/>
    <mergeCell ref="B2526:D2526"/>
    <mergeCell ref="B2527:D2527"/>
    <mergeCell ref="B2529:I2529"/>
    <mergeCell ref="E2534:I2534"/>
    <mergeCell ref="E2535:I2535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47:F2547"/>
    <mergeCell ref="B2548:F2548"/>
    <mergeCell ref="B2549:F2549"/>
    <mergeCell ref="B2550:F2550"/>
    <mergeCell ref="B2551:D2551"/>
    <mergeCell ref="B2553:D2553"/>
    <mergeCell ref="B2580:I2580"/>
    <mergeCell ref="E2589:I2589"/>
    <mergeCell ref="E2590:I2590"/>
    <mergeCell ref="E2591:I2591"/>
    <mergeCell ref="B2592:D2592"/>
    <mergeCell ref="E2592:F2592"/>
    <mergeCell ref="B2572:D2572"/>
    <mergeCell ref="B2574:D2574"/>
    <mergeCell ref="B2575:D2575"/>
    <mergeCell ref="B2576:D2576"/>
    <mergeCell ref="B2578:D2578"/>
    <mergeCell ref="B2579:D2579"/>
    <mergeCell ref="B2566:D2566"/>
    <mergeCell ref="B2567:F2567"/>
    <mergeCell ref="B2568:F2568"/>
    <mergeCell ref="B2569:F2569"/>
    <mergeCell ref="B2570:F2570"/>
    <mergeCell ref="B2571:D2571"/>
    <mergeCell ref="B2616:F2616"/>
    <mergeCell ref="B2617:F2617"/>
    <mergeCell ref="B2618:F2618"/>
    <mergeCell ref="B2619:F2619"/>
    <mergeCell ref="B2627:F2627"/>
    <mergeCell ref="B2628:F2628"/>
    <mergeCell ref="B2601:F2601"/>
    <mergeCell ref="B2602:F2602"/>
    <mergeCell ref="B2605:F2605"/>
    <mergeCell ref="B2606:F2606"/>
    <mergeCell ref="B2607:F2607"/>
    <mergeCell ref="B2608:F2608"/>
    <mergeCell ref="B2593:F2593"/>
    <mergeCell ref="B2594:F2594"/>
    <mergeCell ref="B2595:F2595"/>
    <mergeCell ref="B2596:F2596"/>
    <mergeCell ref="B2599:F2599"/>
    <mergeCell ref="B2600:F2600"/>
    <mergeCell ref="B2657:F2657"/>
    <mergeCell ref="B2658:F2658"/>
    <mergeCell ref="B2667:F2667"/>
    <mergeCell ref="B2668:F2668"/>
    <mergeCell ref="B2669:F2669"/>
    <mergeCell ref="B2670:F2670"/>
    <mergeCell ref="B2644:F2644"/>
    <mergeCell ref="B2645:F2645"/>
    <mergeCell ref="B2646:F2646"/>
    <mergeCell ref="B2647:F2647"/>
    <mergeCell ref="B2655:F2655"/>
    <mergeCell ref="B2656:F2656"/>
    <mergeCell ref="B2629:F2629"/>
    <mergeCell ref="B2630:F2630"/>
    <mergeCell ref="B2637:F2637"/>
    <mergeCell ref="B2638:F2638"/>
    <mergeCell ref="B2639:F2639"/>
    <mergeCell ref="B2640:F2640"/>
    <mergeCell ref="B2707:F2707"/>
    <mergeCell ref="B2708:F2708"/>
    <mergeCell ref="B2709:F2709"/>
    <mergeCell ref="B2710:F2710"/>
    <mergeCell ref="B2719:I2719"/>
    <mergeCell ref="E2724:I2724"/>
    <mergeCell ref="B2685:F2685"/>
    <mergeCell ref="B2686:F2686"/>
    <mergeCell ref="B2695:F2695"/>
    <mergeCell ref="B2696:F2696"/>
    <mergeCell ref="B2697:F2697"/>
    <mergeCell ref="B2698:F2698"/>
    <mergeCell ref="B2673:F2673"/>
    <mergeCell ref="B2674:F2674"/>
    <mergeCell ref="B2675:F2675"/>
    <mergeCell ref="B2676:F2676"/>
    <mergeCell ref="B2683:F2683"/>
    <mergeCell ref="B2684:F2684"/>
    <mergeCell ref="B2749:F2749"/>
    <mergeCell ref="B2750:F2750"/>
    <mergeCell ref="B2751:F2751"/>
    <mergeCell ref="B2752:F2752"/>
    <mergeCell ref="B2762:I2762"/>
    <mergeCell ref="F2776:H2776"/>
    <mergeCell ref="B2730:F2730"/>
    <mergeCell ref="B2731:F2731"/>
    <mergeCell ref="B2742:F2742"/>
    <mergeCell ref="B2743:F2743"/>
    <mergeCell ref="B2744:F2744"/>
    <mergeCell ref="B2745:F2745"/>
    <mergeCell ref="E2725:I2725"/>
    <mergeCell ref="E2726:I2726"/>
    <mergeCell ref="B2727:D2727"/>
    <mergeCell ref="E2727:F2727"/>
    <mergeCell ref="B2728:F2728"/>
    <mergeCell ref="B2729:F2729"/>
    <mergeCell ref="B2799:F2799"/>
    <mergeCell ref="B2810:F2810"/>
    <mergeCell ref="B2811:F2811"/>
    <mergeCell ref="B2812:F2812"/>
    <mergeCell ref="B2813:F2813"/>
    <mergeCell ref="B2825:F2825"/>
    <mergeCell ref="B2783:F2783"/>
    <mergeCell ref="B2784:F2784"/>
    <mergeCell ref="B2785:F2785"/>
    <mergeCell ref="B2796:F2796"/>
    <mergeCell ref="B2797:F2797"/>
    <mergeCell ref="B2798:F2798"/>
    <mergeCell ref="E2778:I2778"/>
    <mergeCell ref="E2779:I2779"/>
    <mergeCell ref="E2780:I2780"/>
    <mergeCell ref="B2781:D2781"/>
    <mergeCell ref="E2781:F2781"/>
    <mergeCell ref="B2782:F2782"/>
    <mergeCell ref="B2873:I2873"/>
    <mergeCell ref="E2884:I2884"/>
    <mergeCell ref="E2885:I2885"/>
    <mergeCell ref="E2886:I2886"/>
    <mergeCell ref="B2887:D2887"/>
    <mergeCell ref="E2887:F2887"/>
    <mergeCell ref="B2849:F2849"/>
    <mergeCell ref="B2850:F2850"/>
    <mergeCell ref="B2867:F2867"/>
    <mergeCell ref="B2868:F2868"/>
    <mergeCell ref="B2869:F2869"/>
    <mergeCell ref="B2870:F2870"/>
    <mergeCell ref="B2826:F2826"/>
    <mergeCell ref="B2827:F2827"/>
    <mergeCell ref="B2828:F2828"/>
    <mergeCell ref="M2846:N2846"/>
    <mergeCell ref="B2847:F2847"/>
    <mergeCell ref="B2848:F2848"/>
    <mergeCell ref="B2928:J2928"/>
    <mergeCell ref="B2930:J2930"/>
    <mergeCell ref="B2931:J2931"/>
    <mergeCell ref="B2929:J2929"/>
    <mergeCell ref="B2914:F2914"/>
    <mergeCell ref="B2915:F2915"/>
    <mergeCell ref="B2923:I2923"/>
    <mergeCell ref="E2909:I2909"/>
    <mergeCell ref="E2910:I2910"/>
    <mergeCell ref="B2911:D2911"/>
    <mergeCell ref="E2911:F2911"/>
    <mergeCell ref="B2912:F2912"/>
    <mergeCell ref="B2913:F2913"/>
    <mergeCell ref="B2888:F2888"/>
    <mergeCell ref="B2889:F2889"/>
    <mergeCell ref="B2890:F2890"/>
    <mergeCell ref="B2891:F2891"/>
    <mergeCell ref="B2903:I2903"/>
    <mergeCell ref="E2908:I2908"/>
  </mergeCells>
  <dataValidations count="141">
    <dataValidation type="list" allowBlank="1" showInputMessage="1" showErrorMessage="1" sqref="B299:F299">
      <formula1>$A$1:$A$463</formula1>
    </dataValidation>
    <dataValidation type="list" allowBlank="1" showInputMessage="1" showErrorMessage="1" sqref="B2112:F2114 B2106:F2107 B60:F60 B1476:F1476 B504:F504 B486:F486 B960:F960 B216:F216 B1687:F1687 B281:F281 B263:F263 B207:F207 B189:F189 B148:F148 B138:F138 B119:F119 B27:F27 B47:F47 B52:F52 B71:F71">
      <formula1>#REF!</formula1>
    </dataValidation>
    <dataValidation type="list" allowBlank="1" showInputMessage="1" showErrorMessage="1" sqref="E519:I519 E723:I723 E822:I822 E2402:I2403 E1926:I1927 E897:I899 E1808:I1811 E1846:I1847 E866:I868 E1674:I1676 E1463:I1465 E1409:I1411 E1350:I1352 E1296:I1298 E1267:I1269 E1076:I1078 E931:I933 E911:I913 E2238:I2239 E840:I842">
      <formula1>$A$1:$A$24</formula1>
    </dataValidation>
    <dataValidation type="list" allowBlank="1" showInputMessage="1" showErrorMessage="1" sqref="B1468:D1468 B305:F305">
      <formula1>$A$25:$A$36</formula1>
    </dataValidation>
    <dataValidation type="list" allowBlank="1" showInputMessage="1" showErrorMessage="1" sqref="B1469:F1470 B1690:F1690 B1478:F1479">
      <formula1>$A$68:$A$132</formula1>
    </dataValidation>
    <dataValidation type="list" allowBlank="1" showInputMessage="1" showErrorMessage="1" sqref="B1467:D1467">
      <formula1>$A$48:$A$67</formula1>
    </dataValidation>
    <dataValidation type="list" allowBlank="1" showInputMessage="1" showErrorMessage="1" sqref="B460:F460 B19:D19 B93:D93 B102:D102 B172:D172 B246:D246 B523:F523 B533:F533 B543:F543 B469:D469">
      <formula1>$A$25:$A$32</formula1>
    </dataValidation>
    <dataValidation type="list" allowBlank="1" showInputMessage="1" showErrorMessage="1" sqref="B704:F704 B709:F709">
      <formula1>$A$25:$A$444</formula1>
    </dataValidation>
    <dataValidation type="list" allowBlank="1" showInputMessage="1" showErrorMessage="1" sqref="B699:F699">
      <formula1>$A$25:$A$442</formula1>
    </dataValidation>
    <dataValidation type="list" allowBlank="1" showInputMessage="1" showErrorMessage="1" sqref="B647:F647 B675:F675 B687:F687 B692:F692 B665:F665 B598:F598">
      <formula1>$A$25:$A$440</formula1>
    </dataValidation>
    <dataValidation type="list" allowBlank="1" showInputMessage="1" showErrorMessage="1" sqref="B646:F646 B708:F708 B664:F664 B691:F691 B686:F686 B674:F674 B698:F698 B703:F703">
      <formula1>$A$1:$A$447</formula1>
    </dataValidation>
    <dataValidation type="list" allowBlank="1" showInputMessage="1" showErrorMessage="1" sqref="B561:F561 B589:F589 B579:F579 B569:F569">
      <formula1>$A$25:$A$438</formula1>
    </dataValidation>
    <dataValidation type="list" allowBlank="1" showInputMessage="1" showErrorMessage="1" sqref="B535:F535 B554:F554 B545:F545 B563:F563 B571:F571 B581:F581 B591:F591 B639:F639 B649:F649 B600:F600 B667:F667 B694:F694 B689:F689 B677:F677 B701:F701 B706:F706 B711:F711 B619:F619">
      <formula1>$A$37:$A$440</formula1>
    </dataValidation>
    <dataValidation type="list" allowBlank="1" showInputMessage="1" showErrorMessage="1" sqref="B532:F532 B551:F551 B542:F542 B560:F560 B568:F568 B578:F578 B588:F588 B597:F597 B616:F616">
      <formula1>$A$1:$A$446</formula1>
    </dataValidation>
    <dataValidation type="list" allowBlank="1" showInputMessage="1" showErrorMessage="1" sqref="B391:F391 B347:F347 B300:F300 B362:F362 B400:F400 B410:F410 B420:F420 B430:F430 B440:F440 B357:F357 B315:F315 B325:F325 B371:F371">
      <formula1>$A$25:$A$37</formula1>
    </dataValidation>
    <dataValidation type="list" allowBlank="1" showInputMessage="1" showErrorMessage="1" sqref="B301:F302">
      <formula1>$A$43:$A$96</formula1>
    </dataValidation>
    <dataValidation type="list" allowBlank="1" showInputMessage="1" showErrorMessage="1" sqref="B372:F373 B441:F442 B431:F432 B421:F422 B411:F412 B401:F402 B392:F393 B382:F383">
      <formula1>$A$43:$A$128</formula1>
    </dataValidation>
    <dataValidation type="list" allowBlank="1" showInputMessage="1" showErrorMessage="1" sqref="B348:F349 B358:F359 B461:F461 B470:F470 B479:F479 B488:F488 B506:F506 B524:F524 B534:F534 B544:F544 B553:F553 B562:F562 B570:F570 B580:F580 B590:F590 B638:F638 B648:F648 B599:F599 B666:F666 B693:F693 B688:F688 B676:F676 B700:F700 B705:F705 B710:F710 B618:F618">
      <formula1>$A$43:$A$87</formula1>
    </dataValidation>
    <dataValidation type="list" allowBlank="1" showInputMessage="1" showErrorMessage="1" sqref="B306:F307 B316:F317 B326:F327 B336:F336">
      <formula1>$A$43:$A$86</formula1>
    </dataValidation>
    <dataValidation type="list" allowBlank="1" showInputMessage="1" showErrorMessage="1" sqref="B217:F217">
      <formula1>$A$25:$A$34</formula1>
    </dataValidation>
    <dataValidation type="list" allowBlank="1" showInputMessage="1" showErrorMessage="1" sqref="B238:F238">
      <formula1>$A$38:$A$93</formula1>
    </dataValidation>
    <dataValidation type="list" allowBlank="1" showInputMessage="1" showErrorMessage="1" sqref="B111:F111 B282:F282 B208:F208 B505:F505 B181:F181 B255:F255 B478:F478 B149:F149">
      <formula1>$A$25:$A$33</formula1>
    </dataValidation>
    <dataValidation type="list" allowBlank="1" showInputMessage="1" showErrorMessage="1" sqref="B103:F104 B173:F174 B112:F113 B284:F284 B266:F266 B239:F239 B192:F192 B151:F151 B182:F183 B256:F257 B219:F219 B507:F507 B489:F489 B462:F462 B480:F480 B94:F95">
      <formula1>$A$37:$A$81</formula1>
    </dataValidation>
    <dataValidation type="list" allowBlank="1" showInputMessage="1" showErrorMessage="1" sqref="B247:F248 B20:F21 B471:F471">
      <formula1>$A$35:$A$81</formula1>
    </dataValidation>
    <dataValidation type="list" allowBlank="1" showInputMessage="1" showErrorMessage="1" sqref="E232:I234 E518:I518 E821:I821 E724:I724 E722:I722 E520:I520 E823:I823 E88:I90 E167:I169 E455:I455 E457:I457">
      <formula1>$A$1:$A$23</formula1>
    </dataValidation>
    <dataValidation type="list" allowBlank="1" showInputMessage="1" showErrorMessage="1" sqref="B92:D92 B477:D477 B459:D459 B254:D254 B180:D180 B110:D110 B236:D236 B171:D171 B101:D101">
      <formula1>$A$33:$A$36</formula1>
    </dataValidation>
    <dataValidation type="list" allowBlank="1" showInputMessage="1" showErrorMessage="1" sqref="B245:D245 B18:D18 B468:D468">
      <formula1>$A$33:$A$34</formula1>
    </dataValidation>
    <dataValidation type="list" allowBlank="1" showInputMessage="1" showErrorMessage="1" sqref="B73:F74 B218:F218 B140:F141 B265:F265 B283:F283 B150:F150 B191:F191 B209:F209 B62:F63 B121:F122 B29:F30 B49:F50 B54:F55">
      <formula1>$A$38:$A$80</formula1>
    </dataValidation>
    <dataValidation type="list" allowBlank="1" showInputMessage="1" showErrorMessage="1" sqref="B61:F61 B1688:F1688 B487:F487 B1477:F1477 B264:F264 B190:F190 B120:F120 B53:F53 B72:F72 B28:F28">
      <formula1>$A$35:$A$37</formula1>
    </dataValidation>
    <dataValidation type="list" allowBlank="1" showInputMessage="1" showErrorMessage="1" sqref="J1808:J1811">
      <formula1>B721:B2032</formula1>
    </dataValidation>
    <dataValidation type="list" allowBlank="1" showInputMessage="1" showErrorMessage="1" sqref="J1845:J1847">
      <formula1>B759:B2072</formula1>
    </dataValidation>
    <dataValidation type="list" allowBlank="1" showInputMessage="1" showErrorMessage="1" sqref="J1674:J1676">
      <formula1>B560:B1843</formula1>
    </dataValidation>
    <dataValidation type="list" allowBlank="1" showInputMessage="1" showErrorMessage="1" sqref="J1463:J1465">
      <formula1>B471:B1634</formula1>
    </dataValidation>
    <dataValidation type="list" allowBlank="1" showInputMessage="1" showErrorMessage="1" sqref="B304:F304 B324:F324 B314:F314">
      <formula1>$A$1:$A$873</formula1>
    </dataValidation>
    <dataValidation type="list" allowBlank="1" showInputMessage="1" showErrorMessage="1" sqref="B346:F346 B419:F419 B409:F409 B370:F370 B361:F361 B380:F380 B390:F390 B399:F399 B439:F439 B429:F429 B356:F356">
      <formula1>$A$1:$A$864</formula1>
    </dataValidation>
    <dataValidation type="list" allowBlank="1" showInputMessage="1" showErrorMessage="1" sqref="B764:F767">
      <formula1>A26:A1215</formula1>
    </dataValidation>
    <dataValidation type="list" allowBlank="1" showInputMessage="1" showErrorMessage="1" sqref="J865:J868">
      <formula1>B155:B1224</formula1>
    </dataValidation>
    <dataValidation type="list" allowBlank="1" showInputMessage="1" showErrorMessage="1" sqref="J1076:J1078">
      <formula1>B200:B1346</formula1>
    </dataValidation>
    <dataValidation type="list" allowBlank="1" showInputMessage="1" showErrorMessage="1" sqref="J911:J913">
      <formula1>B180:B1262</formula1>
    </dataValidation>
    <dataValidation type="list" allowBlank="1" showInputMessage="1" showErrorMessage="1" sqref="J1350:J1352">
      <formula1>B328:B1490</formula1>
    </dataValidation>
    <dataValidation type="list" allowBlank="1" showInputMessage="1" showErrorMessage="1" sqref="J1296:J1298">
      <formula1>B286:B1485</formula1>
    </dataValidation>
    <dataValidation type="list" allowBlank="1" showInputMessage="1" showErrorMessage="1" sqref="J1267:J1269">
      <formula1>B276:B1478</formula1>
    </dataValidation>
    <dataValidation type="list" allowBlank="1" showInputMessage="1" showErrorMessage="1" sqref="J1409:J1411">
      <formula1>B443:B1571</formula1>
    </dataValidation>
    <dataValidation type="list" allowBlank="1" showInputMessage="1" showErrorMessage="1" sqref="J1925:J1927">
      <formula1>B839:B2100</formula1>
    </dataValidation>
    <dataValidation type="list" allowBlank="1" showInputMessage="1" showErrorMessage="1" sqref="J2237:J2239">
      <formula1>B995:B2456</formula1>
    </dataValidation>
    <dataValidation type="list" allowBlank="1" showInputMessage="1" showErrorMessage="1" sqref="E2509:I2509 E1845:I1845 E1925:I1925 E2401:I2401 E2237:I2237">
      <formula1>$A$1:$A$4473</formula1>
    </dataValidation>
    <dataValidation type="list" allowBlank="1" showInputMessage="1" showErrorMessage="1" sqref="J2401:J2403">
      <formula1>B1148:B2583</formula1>
    </dataValidation>
    <dataValidation type="list" allowBlank="1" showInputMessage="1" showErrorMessage="1" sqref="J1453:J1462">
      <formula1>B854:B2575</formula1>
    </dataValidation>
    <dataValidation type="list" allowBlank="1" showInputMessage="1" showErrorMessage="1" sqref="J1451">
      <formula1>B853:B2573</formula1>
    </dataValidation>
    <dataValidation type="list" allowBlank="1" showInputMessage="1" showErrorMessage="1" sqref="J2534:J2536">
      <formula1>B1305:B2723</formula1>
    </dataValidation>
    <dataValidation type="list" allowBlank="1" showInputMessage="1" showErrorMessage="1" sqref="J2509:J2511">
      <formula1>B1227:B2685</formula1>
    </dataValidation>
    <dataValidation type="list" allowBlank="1" showInputMessage="1" showErrorMessage="1" sqref="B2470:F2470">
      <formula1>A244:A4894</formula1>
    </dataValidation>
    <dataValidation type="list" allowBlank="1" showInputMessage="1" showErrorMessage="1" sqref="B2462:F2462">
      <formula1>A243:A4887</formula1>
    </dataValidation>
    <dataValidation type="list" allowBlank="1" showInputMessage="1" showErrorMessage="1" sqref="B2424:F2424">
      <formula1>A228:A4845</formula1>
    </dataValidation>
    <dataValidation type="list" allowBlank="1" showInputMessage="1" showErrorMessage="1" sqref="B2435:F2435">
      <formula1>A231:A4856</formula1>
    </dataValidation>
    <dataValidation type="list" allowBlank="1" showInputMessage="1" showErrorMessage="1" sqref="B2457:F2457">
      <formula1>A241:A4878</formula1>
    </dataValidation>
    <dataValidation type="list" allowBlank="1" showInputMessage="1" showErrorMessage="1" sqref="B2446:F2446">
      <formula1>A236:A4867</formula1>
    </dataValidation>
    <dataValidation type="list" allowBlank="1" showInputMessage="1" showErrorMessage="1" sqref="B2408:F2408">
      <formula1>A215:A4831</formula1>
    </dataValidation>
    <dataValidation type="list" allowBlank="1" showInputMessage="1" showErrorMessage="1" sqref="B2314:F2314">
      <formula1>A198:A4743</formula1>
    </dataValidation>
    <dataValidation type="list" allowBlank="1" showInputMessage="1" showErrorMessage="1" sqref="B2307:F2307">
      <formula1>A185:A4705</formula1>
    </dataValidation>
    <dataValidation type="list" allowBlank="1" showInputMessage="1" showErrorMessage="1" sqref="B2332:F2332">
      <formula1>A195:A4728</formula1>
    </dataValidation>
    <dataValidation type="list" allowBlank="1" showInputMessage="1" showErrorMessage="1" sqref="B2244:F2244">
      <formula1>A192:A4712</formula1>
    </dataValidation>
    <dataValidation type="list" allowBlank="1" showInputMessage="1" showErrorMessage="1" sqref="B2300:F2300">
      <formula1>A180:A4698</formula1>
    </dataValidation>
    <dataValidation type="list" allowBlank="1" showInputMessage="1" showErrorMessage="1" sqref="E2910:I2910">
      <formula1>A178:A4258</formula1>
    </dataValidation>
    <dataValidation type="list" allowBlank="1" showInputMessage="1" showErrorMessage="1" sqref="B2282:F2282">
      <formula1>A176:A4680</formula1>
    </dataValidation>
    <dataValidation type="list" allowBlank="1" showInputMessage="1" showErrorMessage="1" sqref="B2888:F2888">
      <formula1>A156:A4246</formula1>
    </dataValidation>
    <dataValidation type="list" allowBlank="1" showInputMessage="1" showErrorMessage="1" sqref="E2886:I2886">
      <formula1>A162:A4223</formula1>
    </dataValidation>
    <dataValidation type="list" allowBlank="1" showInputMessage="1" showErrorMessage="1" sqref="B2912:F2912">
      <formula1>A176:A4281</formula1>
    </dataValidation>
    <dataValidation type="list" allowBlank="1" showInputMessage="1" showErrorMessage="1" sqref="B2914:F2914">
      <formula1>A176:A5481</formula1>
    </dataValidation>
    <dataValidation type="list" allowBlank="1" showInputMessage="1" showErrorMessage="1" sqref="B2264:F2264">
      <formula1>A172:A4668</formula1>
    </dataValidation>
    <dataValidation type="list" allowBlank="1" showInputMessage="1" showErrorMessage="1" sqref="B2890:F2890">
      <formula1>A156:A5446</formula1>
    </dataValidation>
    <dataValidation type="list" allowBlank="1" showInputMessage="1" showErrorMessage="1" sqref="B2869:F2869">
      <formula1>A134:A5395</formula1>
    </dataValidation>
    <dataValidation type="list" allowBlank="1" showInputMessage="1" showErrorMessage="1" sqref="B2867:F2867">
      <formula1>A134:A4195</formula1>
    </dataValidation>
    <dataValidation type="list" allowBlank="1" showInputMessage="1" showErrorMessage="1" sqref="B2849:F2849">
      <formula1>A129:A5361</formula1>
    </dataValidation>
    <dataValidation type="list" allowBlank="1" showInputMessage="1" showErrorMessage="1" sqref="B2847:F2847">
      <formula1>A129:A4161</formula1>
    </dataValidation>
    <dataValidation type="list" allowBlank="1" showInputMessage="1" showErrorMessage="1" sqref="B2827:F2827">
      <formula1>A122:A5315</formula1>
    </dataValidation>
    <dataValidation type="list" allowBlank="1" showInputMessage="1" showErrorMessage="1" sqref="B2825:F2825">
      <formula1>A123:A4115</formula1>
    </dataValidation>
    <dataValidation type="list" allowBlank="1" showInputMessage="1" showErrorMessage="1" sqref="B2812:F2812">
      <formula1>A108:A5301</formula1>
    </dataValidation>
    <dataValidation type="list" allowBlank="1" showInputMessage="1" showErrorMessage="1" sqref="B2810:F2810">
      <formula1>A109:A4101</formula1>
    </dataValidation>
    <dataValidation type="list" allowBlank="1" showInputMessage="1" showErrorMessage="1" sqref="B2344:F2344">
      <formula1>A125:A4187</formula1>
    </dataValidation>
    <dataValidation type="list" allowBlank="1" showInputMessage="1" showErrorMessage="1" sqref="E2780:I2780">
      <formula1>A101:A4058</formula1>
    </dataValidation>
    <dataValidation type="list" allowBlank="1" showInputMessage="1" showErrorMessage="1" sqref="B2798:F2798">
      <formula1>A101:A5291</formula1>
    </dataValidation>
    <dataValidation type="list" allowBlank="1" showInputMessage="1" showErrorMessage="1" sqref="B2796:F2796">
      <formula1>A101:A4091</formula1>
    </dataValidation>
    <dataValidation type="list" allowBlank="1" showInputMessage="1" showErrorMessage="1" sqref="B2782:F2782">
      <formula1>A99:A4081</formula1>
    </dataValidation>
    <dataValidation type="list" allowBlank="1" showInputMessage="1" showErrorMessage="1" sqref="B2784:F2784">
      <formula1>A99:A5281</formula1>
    </dataValidation>
    <dataValidation type="list" allowBlank="1" showInputMessage="1" showErrorMessage="1" sqref="B2115:F2115">
      <formula1>A99:A4474</formula1>
    </dataValidation>
    <dataValidation type="list" allowBlank="1" showInputMessage="1" showErrorMessage="1" sqref="E2908:I2908">
      <formula1>A98:A4256</formula1>
    </dataValidation>
    <dataValidation type="list" allowBlank="1" showInputMessage="1" showErrorMessage="1" sqref="B2109:F2109">
      <formula1>A97:A4467</formula1>
    </dataValidation>
    <dataValidation type="list" allowBlank="1" showInputMessage="1" showErrorMessage="1" sqref="B2728:F2728">
      <formula1>A77:A4031</formula1>
    </dataValidation>
    <dataValidation type="list" allowBlank="1" showInputMessage="1" showErrorMessage="1" sqref="B2730:F2730">
      <formula1>A76:A5231</formula1>
    </dataValidation>
    <dataValidation type="list" allowBlank="1" showInputMessage="1" showErrorMessage="1" sqref="E2884:I2884">
      <formula1>A83:A4221</formula1>
    </dataValidation>
    <dataValidation type="list" allowBlank="1" showInputMessage="1" showErrorMessage="1" sqref="B2744:F2744">
      <formula1>A85:A5244</formula1>
    </dataValidation>
    <dataValidation type="list" allowBlank="1" showInputMessage="1" showErrorMessage="1" sqref="B2749:F2749">
      <formula1>A86:A4052</formula1>
    </dataValidation>
    <dataValidation type="list" allowBlank="1" showInputMessage="1" showErrorMessage="1" sqref="B2751:F2751">
      <formula1>A86:A5252</formula1>
    </dataValidation>
    <dataValidation type="list" allowBlank="1" showInputMessage="1" showErrorMessage="1" sqref="B2027:F2027">
      <formula1>A59:A4398</formula1>
    </dataValidation>
    <dataValidation type="list" allowBlank="1" showInputMessage="1" showErrorMessage="1" sqref="B2026:F2026">
      <formula1>A50:A4380</formula1>
    </dataValidation>
    <dataValidation type="list" allowBlank="1" showInputMessage="1" showErrorMessage="1" sqref="B1958:F1958">
      <formula1>A43:A4348</formula1>
    </dataValidation>
    <dataValidation type="list" allowBlank="1" showInputMessage="1" showErrorMessage="1" sqref="B1959:F1959">
      <formula1>A43:A4347</formula1>
    </dataValidation>
    <dataValidation type="list" allowBlank="1" showInputMessage="1" showErrorMessage="1" sqref="B2743:F2743">
      <formula1>A43:A3919</formula1>
    </dataValidation>
    <dataValidation type="list" allowBlank="1" showInputMessage="1" showErrorMessage="1" sqref="B2750:F2750">
      <formula1>A43:A3926</formula1>
    </dataValidation>
    <dataValidation type="list" allowBlank="1" showInputMessage="1" showErrorMessage="1" sqref="B2131:F2131">
      <formula1>A43:A4004</formula1>
    </dataValidation>
    <dataValidation type="list" allowBlank="1" showInputMessage="1" showErrorMessage="1" sqref="B1965:F1965">
      <formula1>A42:A4341</formula1>
    </dataValidation>
    <dataValidation type="list" allowBlank="1" showInputMessage="1" showErrorMessage="1" sqref="D2745:F2745">
      <formula1>C43:C3920</formula1>
    </dataValidation>
    <dataValidation type="list" allowBlank="1" showInputMessage="1" showErrorMessage="1" sqref="B2754:C2754">
      <formula1>A43:A3929</formula1>
    </dataValidation>
    <dataValidation type="list" allowBlank="1" showInputMessage="1" showErrorMessage="1" sqref="D2752:F2752">
      <formula1>C43:C3957</formula1>
    </dataValidation>
    <dataValidation type="list" allowBlank="1" showInputMessage="1" showErrorMessage="1" sqref="B1949:F1949">
      <formula1>A42:A4339</formula1>
    </dataValidation>
    <dataValidation type="list" allowBlank="1" showInputMessage="1" showErrorMessage="1" sqref="B1950:F1950">
      <formula1>A42:A4338</formula1>
    </dataValidation>
    <dataValidation type="list" allowBlank="1" showInputMessage="1" showErrorMessage="1" sqref="D2731:F2731">
      <formula1>C41:C3936</formula1>
    </dataValidation>
    <dataValidation type="list" allowBlank="1" showInputMessage="1" showErrorMessage="1" sqref="B1940:F1940">
      <formula1>A40:A4330</formula1>
    </dataValidation>
    <dataValidation type="list" allowBlank="1" showInputMessage="1" showErrorMessage="1" sqref="B1941:F1941">
      <formula1>A40:A4329</formula1>
    </dataValidation>
    <dataValidation type="list" allowBlank="1" showInputMessage="1" showErrorMessage="1" sqref="B2119:F2119">
      <formula1>A40:A3992</formula1>
    </dataValidation>
    <dataValidation type="list" allowBlank="1" showInputMessage="1" showErrorMessage="1" sqref="B2118:F2118">
      <formula1>A40:A3992</formula1>
    </dataValidation>
    <dataValidation type="list" allowBlank="1" showInputMessage="1" showErrorMessage="1" sqref="B2120:F2120">
      <formula1>A40:A3990</formula1>
    </dataValidation>
    <dataValidation type="list" allowBlank="1" showInputMessage="1" showErrorMessage="1" sqref="B2514:F2514">
      <formula1>A40:A3992</formula1>
    </dataValidation>
    <dataValidation type="list" allowBlank="1" showInputMessage="1" showErrorMessage="1" sqref="B2513:F2513">
      <formula1>A40:A3992</formula1>
    </dataValidation>
    <dataValidation type="list" allowBlank="1" showInputMessage="1" showErrorMessage="1" sqref="B2153:F2153">
      <formula1>A38:A3987</formula1>
    </dataValidation>
    <dataValidation type="list" allowBlank="1" showInputMessage="1" showErrorMessage="1" sqref="B2152:F2152">
      <formula1>A38:A3987</formula1>
    </dataValidation>
    <dataValidation type="list" allowBlank="1" showInputMessage="1" showErrorMessage="1" sqref="B1931:F1931">
      <formula1>A38:A4321</formula1>
    </dataValidation>
    <dataValidation type="list" allowBlank="1" showInputMessage="1" showErrorMessage="1" sqref="B1932:F1932">
      <formula1>A38:A4320</formula1>
    </dataValidation>
    <dataValidation type="list" allowBlank="1" showInputMessage="1" showErrorMessage="1" sqref="B2607:F2607">
      <formula1>A33:A5088</formula1>
    </dataValidation>
    <dataValidation type="list" allowBlank="1" showInputMessage="1" showErrorMessage="1" sqref="B2595:F2595">
      <formula1>A33:A5076</formula1>
    </dataValidation>
    <dataValidation type="list" allowBlank="1" showInputMessage="1" showErrorMessage="1" sqref="B2601:F2601">
      <formula1>A33:A5082</formula1>
    </dataValidation>
    <dataValidation type="list" allowBlank="1" showInputMessage="1" showErrorMessage="1" sqref="B1879:F1879">
      <formula1>A26:A4258</formula1>
    </dataValidation>
    <dataValidation type="list" allowBlank="1" showInputMessage="1" showErrorMessage="1" sqref="B1878:F1878">
      <formula1>A27:A4259</formula1>
    </dataValidation>
    <dataValidation type="list" allowBlank="1" showInputMessage="1" showErrorMessage="1" sqref="B1870:F1870">
      <formula1>A22:A4249</formula1>
    </dataValidation>
    <dataValidation type="list" allowBlank="1" showInputMessage="1" showErrorMessage="1" sqref="B1869:F1869">
      <formula1>A23:A4250</formula1>
    </dataValidation>
    <dataValidation type="list" allowBlank="1" showInputMessage="1" showErrorMessage="1" sqref="B1861:F1861">
      <formula1>A17:A4240</formula1>
    </dataValidation>
    <dataValidation type="list" allowBlank="1" showInputMessage="1" showErrorMessage="1" sqref="B2569:F2569">
      <formula1>A17:A5016</formula1>
    </dataValidation>
    <dataValidation type="list" allowBlank="1" showInputMessage="1" showErrorMessage="1" sqref="B1860:F1860">
      <formula1>A18:A4241</formula1>
    </dataValidation>
    <dataValidation type="list" allowBlank="1" showInputMessage="1" showErrorMessage="1" sqref="B2071:F2071">
      <formula1>A15:A3887</formula1>
    </dataValidation>
    <dataValidation type="list" allowBlank="1" showInputMessage="1" showErrorMessage="1" sqref="B2070:F2070">
      <formula1>A15:A3887</formula1>
    </dataValidation>
    <dataValidation type="list" allowBlank="1" showInputMessage="1" showErrorMessage="1" sqref="E1396">
      <formula1>D15:D3923</formula1>
    </dataValidation>
    <dataValidation type="list" allowBlank="1" showInputMessage="1" showErrorMessage="1" sqref="B2055:F2055">
      <formula1>A7:A3837</formula1>
    </dataValidation>
    <dataValidation type="list" allowBlank="1" showInputMessage="1" showErrorMessage="1" sqref="B2054:F2054">
      <formula1>A7:A3837</formula1>
    </dataValidation>
    <dataValidation type="list" allowBlank="1" showInputMessage="1" showErrorMessage="1" sqref="B2550:F2550">
      <formula1>A14:A4998</formula1>
    </dataValidation>
    <dataValidation type="list" allowBlank="1" showInputMessage="1" showErrorMessage="1" sqref="B2608:F2608 B2602:F2602">
      <formula1>A7:A3886</formula1>
    </dataValidation>
    <dataValidation type="list" allowBlank="1" showInputMessage="1" showErrorMessage="1" sqref="E1381 E1376">
      <formula1>D6:D3903</formula1>
    </dataValidation>
    <dataValidation type="list" allowBlank="1" showInputMessage="1" showErrorMessage="1" sqref="E1386">
      <formula1>D14:D3913</formula1>
    </dataValidation>
    <dataValidation type="list" allowBlank="1" showInputMessage="1" showErrorMessage="1" sqref="J2589:J2591">
      <formula1>B1369:B2795</formula1>
    </dataValidation>
    <dataValidation type="list" allowBlank="1" showInputMessage="1" showErrorMessage="1" sqref="J2724:J2726">
      <formula1>B1504:B2917</formula1>
    </dataValidation>
    <dataValidation type="list" allowBlank="1" showInputMessage="1" showErrorMessage="1" sqref="F2776:F2777">
      <formula1>A888:A5601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'PTD '!$A$1:$A$5001</xm:f>
          </x14:formula1>
          <xm:sqref>B617:F617</xm:sqref>
        </x14:dataValidation>
        <x14:dataValidation type="list" allowBlank="1" showInputMessage="1" showErrorMessage="1">
          <x14:formula1>
            <xm:f>'PTD '!A1:A502</xm:f>
          </x14:formula1>
          <xm:sqref>B335:F335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view="pageLayout" zoomScale="75" zoomScaleNormal="85" zoomScalePageLayoutView="75" workbookViewId="0">
      <selection activeCell="N20" sqref="N20"/>
    </sheetView>
  </sheetViews>
  <sheetFormatPr defaultRowHeight="15" x14ac:dyDescent="0.25"/>
  <cols>
    <col min="1" max="1" width="4.7109375" style="1059" customWidth="1"/>
    <col min="2" max="2" width="26.28515625" customWidth="1"/>
    <col min="3" max="3" width="21.85546875" customWidth="1"/>
    <col min="4" max="4" width="21.140625" customWidth="1"/>
    <col min="5" max="5" width="21.28515625" customWidth="1"/>
    <col min="6" max="6" width="10.42578125" customWidth="1"/>
    <col min="7" max="7" width="21.42578125" customWidth="1"/>
    <col min="8" max="8" width="11.42578125" customWidth="1"/>
    <col min="9" max="9" width="10.7109375" customWidth="1"/>
  </cols>
  <sheetData>
    <row r="1" spans="2:9" s="11" customFormat="1" ht="21" x14ac:dyDescent="0.35">
      <c r="B1" s="1253" t="str">
        <f>'CADASTRO BASE RECEITA '!A1</f>
        <v>PROPOSTA ORÇAMENTÁRIA PARA 2016</v>
      </c>
      <c r="C1" s="1253"/>
      <c r="D1" s="1253"/>
      <c r="E1" s="1253"/>
      <c r="F1" s="1253"/>
      <c r="G1" s="1253"/>
      <c r="H1" s="1253"/>
      <c r="I1" s="1253"/>
    </row>
    <row r="2" spans="2:9" s="11" customFormat="1" ht="21" x14ac:dyDescent="0.35">
      <c r="B2" s="8"/>
      <c r="C2" s="9"/>
      <c r="D2" s="10"/>
      <c r="E2" s="10"/>
      <c r="F2" s="10"/>
      <c r="G2" s="10"/>
      <c r="H2" s="10"/>
      <c r="I2" s="10"/>
    </row>
    <row r="3" spans="2:9" ht="15.75" x14ac:dyDescent="0.25">
      <c r="B3" s="1254" t="s">
        <v>233</v>
      </c>
      <c r="C3" s="1254"/>
      <c r="D3" s="1254"/>
      <c r="E3" s="1254"/>
      <c r="F3" s="1254"/>
      <c r="G3" s="1254"/>
      <c r="H3" s="1254"/>
      <c r="I3" s="1254"/>
    </row>
    <row r="4" spans="2:9" ht="15.75" x14ac:dyDescent="0.25">
      <c r="B4" s="1254" t="s">
        <v>2239</v>
      </c>
      <c r="C4" s="1254"/>
      <c r="D4" s="1254"/>
      <c r="E4" s="1254"/>
      <c r="F4" s="1254"/>
      <c r="G4" s="1254"/>
      <c r="H4" s="1254"/>
      <c r="I4" s="1254"/>
    </row>
    <row r="5" spans="2:9" s="17" customFormat="1" x14ac:dyDescent="0.2"/>
    <row r="6" spans="2:9" s="17" customFormat="1" ht="15.75" x14ac:dyDescent="0.25">
      <c r="B6" s="1111" t="s">
        <v>21</v>
      </c>
      <c r="C6" s="1111">
        <v>2012</v>
      </c>
      <c r="D6" s="1111">
        <v>2013</v>
      </c>
      <c r="E6" s="1111">
        <v>2014</v>
      </c>
      <c r="F6" s="1111" t="s">
        <v>235</v>
      </c>
      <c r="G6" s="1112">
        <v>2015</v>
      </c>
      <c r="H6" s="1111" t="s">
        <v>235</v>
      </c>
      <c r="I6" s="1112" t="s">
        <v>236</v>
      </c>
    </row>
    <row r="7" spans="2:9" s="17" customFormat="1" ht="15.75" x14ac:dyDescent="0.25">
      <c r="B7" s="1111"/>
      <c r="C7" s="1111"/>
      <c r="D7" s="1111"/>
      <c r="E7" s="1111"/>
      <c r="F7" s="1111"/>
      <c r="G7" s="1112" t="s">
        <v>213</v>
      </c>
      <c r="H7" s="1111"/>
      <c r="I7" s="1112" t="s">
        <v>235</v>
      </c>
    </row>
    <row r="8" spans="2:9" s="24" customFormat="1" x14ac:dyDescent="0.2">
      <c r="B8" s="311" t="s">
        <v>237</v>
      </c>
      <c r="C8" s="312">
        <f>'CADASTRO BASE RECEITA '!B42</f>
        <v>194094.45</v>
      </c>
      <c r="D8" s="312">
        <f>'CADASTRO BASE RECEITA '!C42</f>
        <v>218824.17</v>
      </c>
      <c r="E8" s="312">
        <f>'CADASTRO BASE RECEITA '!D42</f>
        <v>242125.05</v>
      </c>
      <c r="F8" s="313">
        <f>(((D8-C8)/C8)+((E8-D8)/D8))/2</f>
        <v>0.11694647863432989</v>
      </c>
      <c r="G8" s="312">
        <f>'CADASTRO BASE RECEITA '!F42</f>
        <v>358479.34500000003</v>
      </c>
      <c r="H8" s="313">
        <f>(((D8-C8)/C8)+((E8-D8)/D8)+((G8-E8)/E8))/3</f>
        <v>0.23814916985158727</v>
      </c>
      <c r="I8" s="314">
        <f t="shared" ref="I8:I20" si="0">(H8+F8)/2</f>
        <v>0.17754782424295856</v>
      </c>
    </row>
    <row r="9" spans="2:9" s="24" customFormat="1" x14ac:dyDescent="0.2">
      <c r="B9" s="311" t="s">
        <v>238</v>
      </c>
      <c r="C9" s="312">
        <f>'CADASTRO BASE RECEITA '!B36</f>
        <v>13530.66</v>
      </c>
      <c r="D9" s="312">
        <f>'CADASTRO BASE RECEITA '!C36</f>
        <v>14721.87</v>
      </c>
      <c r="E9" s="312">
        <f>'CADASTRO BASE RECEITA '!D36</f>
        <v>13767.65</v>
      </c>
      <c r="F9" s="313">
        <f t="shared" ref="F9:F20" si="1">(((D9-C9)/C9)+((E9-D9)/D9))/2</f>
        <v>1.1610669987169406E-2</v>
      </c>
      <c r="G9" s="312">
        <f>'CADASTRO BASE RECEITA '!F36</f>
        <v>738.27</v>
      </c>
      <c r="H9" s="313">
        <f t="shared" ref="H9:H19" si="2">(((D9-C9)/C9)+((E9-D9)/D9)+((G9-E9)/E9))/3</f>
        <v>-0.30771837650100764</v>
      </c>
      <c r="I9" s="314">
        <f t="shared" si="0"/>
        <v>-0.14805385325691911</v>
      </c>
    </row>
    <row r="10" spans="2:9" s="24" customFormat="1" x14ac:dyDescent="0.2">
      <c r="B10" s="311" t="s">
        <v>239</v>
      </c>
      <c r="C10" s="312">
        <f>'CADASTRO BASE RECEITA '!B35</f>
        <v>5464630.8399999999</v>
      </c>
      <c r="D10" s="312">
        <f>'CADASTRO BASE RECEITA '!C35</f>
        <v>5869472.71</v>
      </c>
      <c r="E10" s="312">
        <f>'CADASTRO BASE RECEITA '!D35</f>
        <v>6312536.04</v>
      </c>
      <c r="F10" s="313">
        <f t="shared" si="1"/>
        <v>7.4785041198810409E-2</v>
      </c>
      <c r="G10" s="312">
        <f>'CADASTRO BASE RECEITA '!F35</f>
        <v>6584400.209999999</v>
      </c>
      <c r="H10" s="313">
        <f t="shared" si="2"/>
        <v>6.4212475933351928E-2</v>
      </c>
      <c r="I10" s="314">
        <f t="shared" si="0"/>
        <v>6.9498758566081176E-2</v>
      </c>
    </row>
    <row r="11" spans="2:9" s="24" customFormat="1" x14ac:dyDescent="0.2">
      <c r="B11" s="311" t="s">
        <v>17</v>
      </c>
      <c r="C11" s="312">
        <f>'CADASTRO BASE RECEITA '!B40</f>
        <v>27714.240000000002</v>
      </c>
      <c r="D11" s="312">
        <f>'CADASTRO BASE RECEITA '!C40</f>
        <v>24476.52</v>
      </c>
      <c r="E11" s="312">
        <f>'CADASTRO BASE RECEITA '!D40</f>
        <v>23805.72</v>
      </c>
      <c r="F11" s="313">
        <f>(((D11-C11)/C11)+((E11-D11)/D11))/2</f>
        <v>-7.2115498934898589E-2</v>
      </c>
      <c r="G11" s="312">
        <f>'CADASTRO BASE RECEITA '!F40</f>
        <v>23940.824999999997</v>
      </c>
      <c r="H11" s="313">
        <f t="shared" si="2"/>
        <v>-4.6185227060401061E-2</v>
      </c>
      <c r="I11" s="314">
        <f>(H11+F11)/2</f>
        <v>-5.9150362997649822E-2</v>
      </c>
    </row>
    <row r="12" spans="2:9" s="24" customFormat="1" x14ac:dyDescent="0.2">
      <c r="B12" s="311" t="s">
        <v>18</v>
      </c>
      <c r="C12" s="312">
        <f>'CADASTRO BASE RECEITA '!B45</f>
        <v>18033.77</v>
      </c>
      <c r="D12" s="312">
        <f>'CADASTRO BASE RECEITA '!C45</f>
        <v>0</v>
      </c>
      <c r="E12" s="312">
        <f>'CADASTRO BASE RECEITA '!D45</f>
        <v>18704.740000000002</v>
      </c>
      <c r="F12" s="313">
        <f ca="1">IF(F12=0,"0",(((D12-C12)/C12)+((E12-D12)/D12))/2)</f>
        <v>0</v>
      </c>
      <c r="G12" s="312">
        <f>'CADASTRO BASE RECEITA '!F45</f>
        <v>0</v>
      </c>
      <c r="H12" s="313">
        <f ca="1">IF(H12&gt;0,"0,00% ",((F12/E12)))+IF(H12&gt;0,"0,00% ",((G12/F12)))</f>
        <v>0</v>
      </c>
      <c r="I12" s="314">
        <f ca="1">IF(I12=0,"0",(H12+F12)/2)</f>
        <v>0</v>
      </c>
    </row>
    <row r="13" spans="2:9" s="24" customFormat="1" x14ac:dyDescent="0.2">
      <c r="B13" s="311" t="s">
        <v>19</v>
      </c>
      <c r="C13" s="312">
        <f>'CADASTRO BASE RECEITA '!B41</f>
        <v>3006185.87</v>
      </c>
      <c r="D13" s="312">
        <f>'CADASTRO BASE RECEITA '!C41</f>
        <v>3010534.36</v>
      </c>
      <c r="E13" s="312">
        <f>'CADASTRO BASE RECEITA '!D41</f>
        <v>3149597.13</v>
      </c>
      <c r="F13" s="313">
        <f t="shared" si="1"/>
        <v>2.3819284718567289E-2</v>
      </c>
      <c r="G13" s="312">
        <f>'CADASTRO BASE RECEITA '!F41</f>
        <v>3773504.58</v>
      </c>
      <c r="H13" s="313">
        <f t="shared" si="2"/>
        <v>8.1909920500055092E-2</v>
      </c>
      <c r="I13" s="314">
        <f t="shared" si="0"/>
        <v>5.2864602609311188E-2</v>
      </c>
    </row>
    <row r="14" spans="2:9" s="24" customFormat="1" x14ac:dyDescent="0.2">
      <c r="B14" s="311" t="s">
        <v>240</v>
      </c>
      <c r="C14" s="312">
        <f>'CADASTRO BASE RECEITA '!B43</f>
        <v>50418.18</v>
      </c>
      <c r="D14" s="312">
        <f>'CADASTRO BASE RECEITA '!C43</f>
        <v>43686.13</v>
      </c>
      <c r="E14" s="312">
        <f>'CADASTRO BASE RECEITA '!D43</f>
        <v>57033.88</v>
      </c>
      <c r="F14" s="313">
        <f t="shared" si="1"/>
        <v>8.6006610921590038E-2</v>
      </c>
      <c r="G14" s="312">
        <f>'CADASTRO BASE RECEITA '!F43</f>
        <v>63798.479999999996</v>
      </c>
      <c r="H14" s="313">
        <f t="shared" si="2"/>
        <v>9.6873305556961997E-2</v>
      </c>
      <c r="I14" s="314">
        <f t="shared" si="0"/>
        <v>9.1439958239276017E-2</v>
      </c>
    </row>
    <row r="15" spans="2:9" s="24" customFormat="1" x14ac:dyDescent="0.2">
      <c r="B15" s="311" t="s">
        <v>241</v>
      </c>
      <c r="C15" s="312">
        <f>'CADASTRO BASE RECEITA '!B39</f>
        <v>280172.53999999998</v>
      </c>
      <c r="D15" s="312">
        <f>'CADASTRO BASE RECEITA '!C39</f>
        <v>199588.85</v>
      </c>
      <c r="E15" s="312">
        <f>'CADASTRO BASE RECEITA '!D39</f>
        <v>212600.74</v>
      </c>
      <c r="F15" s="313">
        <f t="shared" si="1"/>
        <v>-0.11121409240233357</v>
      </c>
      <c r="G15" s="312">
        <f>'CADASTRO BASE RECEITA '!F39</f>
        <v>261031.33500000002</v>
      </c>
      <c r="H15" s="313">
        <f t="shared" si="2"/>
        <v>1.7908346472532515E-3</v>
      </c>
      <c r="I15" s="314">
        <f t="shared" si="0"/>
        <v>-5.4711628877540157E-2</v>
      </c>
    </row>
    <row r="16" spans="2:9" s="24" customFormat="1" x14ac:dyDescent="0.2">
      <c r="B16" s="311" t="s">
        <v>6573</v>
      </c>
      <c r="C16" s="312">
        <f>'CADASTRO BASE RECEITA '!B38</f>
        <v>0</v>
      </c>
      <c r="D16" s="312">
        <f>'CADASTRO BASE RECEITA '!C38</f>
        <v>712.27</v>
      </c>
      <c r="E16" s="312">
        <f>'CADASTRO BASE RECEITA '!D38</f>
        <v>5676.65</v>
      </c>
      <c r="F16" s="313">
        <f ca="1">IF(F16=0,(((C16-D16)/C16))+((E16-D16)/D16))/2</f>
        <v>0</v>
      </c>
      <c r="G16" s="312">
        <f>'CADASTRO BASE RECEITA '!F38</f>
        <v>7609.5750000000007</v>
      </c>
      <c r="H16" s="313">
        <f ca="1">IF(H16=0,(((D16-C16)/C16)+((E16-D16)/D16)+((G16-E16)/E16))/3)</f>
        <v>0</v>
      </c>
      <c r="I16" s="314">
        <f ca="1">IF(I16=0,(H16+F16)/2)</f>
        <v>0</v>
      </c>
    </row>
    <row r="17" spans="2:9" s="24" customFormat="1" x14ac:dyDescent="0.2">
      <c r="B17" s="311" t="s">
        <v>242</v>
      </c>
      <c r="C17" s="312">
        <f>'CADASTRO BASE RECEITA '!B37</f>
        <v>80409.48</v>
      </c>
      <c r="D17" s="312">
        <f>'CADASTRO BASE RECEITA '!C37</f>
        <v>83424.34</v>
      </c>
      <c r="E17" s="312">
        <f>'CADASTRO BASE RECEITA '!D37</f>
        <v>94245.89</v>
      </c>
      <c r="F17" s="313">
        <f>(((C17-D17)/C17)+((E17-D17)/D17))/2</f>
        <v>4.6111550467145615E-2</v>
      </c>
      <c r="G17" s="312">
        <f>'CADASTRO BASE RECEITA '!F37</f>
        <v>78479.700000000012</v>
      </c>
      <c r="H17" s="313">
        <f t="shared" si="2"/>
        <v>-2.5682992934733528E-5</v>
      </c>
      <c r="I17" s="314">
        <f t="shared" si="0"/>
        <v>2.3042933737105441E-2</v>
      </c>
    </row>
    <row r="18" spans="2:9" s="24" customFormat="1" x14ac:dyDescent="0.2">
      <c r="B18" s="311" t="s">
        <v>20</v>
      </c>
      <c r="C18" s="312">
        <f>'CADASTRO BASE RECEITA '!B44</f>
        <v>12342.03</v>
      </c>
      <c r="D18" s="312">
        <f>'CADASTRO BASE RECEITA '!C44</f>
        <v>624.77</v>
      </c>
      <c r="E18" s="312">
        <f>'CADASTRO BASE RECEITA '!D44</f>
        <v>1264.58</v>
      </c>
      <c r="F18" s="313">
        <f t="shared" si="1"/>
        <v>3.7347095479592751E-2</v>
      </c>
      <c r="G18" s="312">
        <f>'CADASTRO BASE RECEITA '!F44</f>
        <v>1949.79</v>
      </c>
      <c r="H18" s="313">
        <f t="shared" si="2"/>
        <v>0.20551402573797015</v>
      </c>
      <c r="I18" s="314">
        <f t="shared" si="0"/>
        <v>0.12143056060878145</v>
      </c>
    </row>
    <row r="19" spans="2:9" s="24" customFormat="1" x14ac:dyDescent="0.2">
      <c r="B19" s="311" t="s">
        <v>243</v>
      </c>
      <c r="C19" s="312">
        <f>'CADASTRO BASE RECEITA '!B46</f>
        <v>2319983.56</v>
      </c>
      <c r="D19" s="312">
        <f>'CADASTRO BASE RECEITA '!C46</f>
        <v>2403066.2599999998</v>
      </c>
      <c r="E19" s="312">
        <f>'CADASTRO BASE RECEITA '!D46</f>
        <v>2518428.56</v>
      </c>
      <c r="F19" s="313">
        <f t="shared" si="1"/>
        <v>4.1909027075920119E-2</v>
      </c>
      <c r="G19" s="312">
        <f>'CADASTRO BASE RECEITA '!F46</f>
        <v>2651539.3050000002</v>
      </c>
      <c r="H19" s="313">
        <f t="shared" si="2"/>
        <v>4.5557579289261387E-2</v>
      </c>
      <c r="I19" s="314">
        <f t="shared" si="0"/>
        <v>4.3733303182590749E-2</v>
      </c>
    </row>
    <row r="20" spans="2:9" s="17" customFormat="1" ht="15.75" x14ac:dyDescent="0.25">
      <c r="B20" s="318" t="s">
        <v>22</v>
      </c>
      <c r="C20" s="319">
        <f>SUM(C9:C19)</f>
        <v>11273421.169999998</v>
      </c>
      <c r="D20" s="319">
        <f>SUM(D9:D19)</f>
        <v>11650308.079999998</v>
      </c>
      <c r="E20" s="319">
        <f>SUM(E9:E19)</f>
        <v>12407661.580000004</v>
      </c>
      <c r="F20" s="320">
        <f t="shared" si="1"/>
        <v>4.9219311676093988E-2</v>
      </c>
      <c r="G20" s="319">
        <f>SUM(G9:G19)</f>
        <v>13446992.069999997</v>
      </c>
      <c r="H20" s="320">
        <f>(((D20-C20)/C20)+((E20-D20)/D20)+((G20-E20)/E20))/3</f>
        <v>6.0734614130114113E-2</v>
      </c>
      <c r="I20" s="321">
        <f t="shared" si="0"/>
        <v>5.4976962903104054E-2</v>
      </c>
    </row>
    <row r="21" spans="2:9" s="17" customFormat="1" ht="15.75" x14ac:dyDescent="0.25">
      <c r="B21" s="25"/>
      <c r="C21" s="21"/>
      <c r="D21" s="21"/>
      <c r="E21" s="21"/>
      <c r="F21" s="22"/>
      <c r="G21" s="21"/>
      <c r="H21" s="22"/>
      <c r="I21" s="23"/>
    </row>
    <row r="22" spans="2:9" s="17" customFormat="1" ht="31.5" x14ac:dyDescent="0.25">
      <c r="D22" s="322" t="s">
        <v>245</v>
      </c>
      <c r="E22" s="323" t="s">
        <v>2238</v>
      </c>
      <c r="F22" s="22"/>
      <c r="G22" s="537"/>
      <c r="H22" s="22"/>
      <c r="I22" s="23"/>
    </row>
    <row r="23" spans="2:9" s="17" customFormat="1" ht="15.75" x14ac:dyDescent="0.25">
      <c r="D23" s="311" t="s">
        <v>237</v>
      </c>
      <c r="E23" s="312">
        <f t="shared" ref="E23:E30" si="3">(C8+D8+E8+G8)/4</f>
        <v>253380.75374999997</v>
      </c>
      <c r="F23" s="27"/>
      <c r="G23" s="537"/>
      <c r="H23" s="27"/>
      <c r="I23" s="28"/>
    </row>
    <row r="24" spans="2:9" s="17" customFormat="1" x14ac:dyDescent="0.2">
      <c r="D24" s="311" t="s">
        <v>238</v>
      </c>
      <c r="E24" s="312">
        <f t="shared" si="3"/>
        <v>10689.612499999999</v>
      </c>
      <c r="F24" s="27"/>
      <c r="G24" s="26"/>
      <c r="H24" s="27"/>
      <c r="I24" s="28"/>
    </row>
    <row r="25" spans="2:9" s="17" customFormat="1" x14ac:dyDescent="0.2">
      <c r="D25" s="311" t="s">
        <v>239</v>
      </c>
      <c r="E25" s="312">
        <f t="shared" si="3"/>
        <v>6057759.9499999993</v>
      </c>
      <c r="F25" s="24"/>
      <c r="G25" s="24"/>
      <c r="H25" s="24"/>
      <c r="I25" s="24"/>
    </row>
    <row r="26" spans="2:9" s="17" customFormat="1" x14ac:dyDescent="0.2">
      <c r="D26" s="311" t="s">
        <v>17</v>
      </c>
      <c r="E26" s="312">
        <f t="shared" si="3"/>
        <v>24984.326250000002</v>
      </c>
    </row>
    <row r="27" spans="2:9" s="17" customFormat="1" x14ac:dyDescent="0.2">
      <c r="D27" s="311" t="s">
        <v>18</v>
      </c>
      <c r="E27" s="312">
        <f t="shared" si="3"/>
        <v>9184.6275000000005</v>
      </c>
    </row>
    <row r="28" spans="2:9" s="17" customFormat="1" x14ac:dyDescent="0.2">
      <c r="D28" s="311" t="s">
        <v>19</v>
      </c>
      <c r="E28" s="312">
        <f t="shared" si="3"/>
        <v>3234955.4849999999</v>
      </c>
    </row>
    <row r="29" spans="2:9" s="17" customFormat="1" x14ac:dyDescent="0.2">
      <c r="D29" s="311" t="s">
        <v>240</v>
      </c>
      <c r="E29" s="312">
        <f t="shared" si="3"/>
        <v>53734.167499999996</v>
      </c>
    </row>
    <row r="30" spans="2:9" s="17" customFormat="1" x14ac:dyDescent="0.2">
      <c r="D30" s="311" t="s">
        <v>241</v>
      </c>
      <c r="E30" s="312">
        <f t="shared" si="3"/>
        <v>238348.36625000002</v>
      </c>
    </row>
    <row r="31" spans="2:9" s="17" customFormat="1" x14ac:dyDescent="0.2">
      <c r="D31" s="311" t="s">
        <v>6573</v>
      </c>
      <c r="E31" s="312">
        <f>G16*((1+((G16-E16)/E16)))</f>
        <v>10200.669704953629</v>
      </c>
    </row>
    <row r="32" spans="2:9" s="17" customFormat="1" x14ac:dyDescent="0.2">
      <c r="D32" s="311" t="s">
        <v>242</v>
      </c>
      <c r="E32" s="312">
        <f>(C17+D17+E17+G17)/4</f>
        <v>84139.852500000008</v>
      </c>
    </row>
    <row r="33" spans="2:9" s="17" customFormat="1" x14ac:dyDescent="0.2">
      <c r="D33" s="311" t="s">
        <v>20</v>
      </c>
      <c r="E33" s="312">
        <f>(C18+D18+E18+G18)/4</f>
        <v>4045.2925000000005</v>
      </c>
    </row>
    <row r="34" spans="2:9" s="17" customFormat="1" x14ac:dyDescent="0.2">
      <c r="D34" s="311" t="s">
        <v>243</v>
      </c>
      <c r="E34" s="312">
        <f>(C19+D19+E19+G19)/4</f>
        <v>2473254.4212500001</v>
      </c>
    </row>
    <row r="35" spans="2:9" x14ac:dyDescent="0.25">
      <c r="B35" s="4"/>
      <c r="C35" s="1"/>
    </row>
    <row r="36" spans="2:9" x14ac:dyDescent="0.25">
      <c r="B36" s="4"/>
      <c r="C36" s="1"/>
    </row>
    <row r="37" spans="2:9" x14ac:dyDescent="0.25">
      <c r="B37" s="1252"/>
      <c r="C37" s="1252"/>
      <c r="D37" s="2"/>
      <c r="E37" s="1252"/>
      <c r="F37" s="1252"/>
      <c r="G37" s="1252"/>
      <c r="H37" s="1252"/>
      <c r="I37" s="1252"/>
    </row>
    <row r="38" spans="2:9" x14ac:dyDescent="0.25">
      <c r="B38" s="1252"/>
      <c r="C38" s="1252"/>
      <c r="D38" s="2"/>
      <c r="E38" s="1252"/>
      <c r="F38" s="1252"/>
      <c r="G38" s="1252"/>
      <c r="H38" s="1252"/>
      <c r="I38" s="1252"/>
    </row>
    <row r="39" spans="2:9" x14ac:dyDescent="0.25">
      <c r="B39" s="1252"/>
      <c r="C39" s="1252"/>
    </row>
  </sheetData>
  <mergeCells count="10">
    <mergeCell ref="B39:C39"/>
    <mergeCell ref="B37:C37"/>
    <mergeCell ref="E37:G37"/>
    <mergeCell ref="B1:I1"/>
    <mergeCell ref="H37:I37"/>
    <mergeCell ref="B3:I3"/>
    <mergeCell ref="B4:I4"/>
    <mergeCell ref="H38:I38"/>
    <mergeCell ref="B38:C38"/>
    <mergeCell ref="E38:G38"/>
  </mergeCells>
  <phoneticPr fontId="46" type="noConversion"/>
  <printOptions horizontalCentered="1"/>
  <pageMargins left="0.31496062992125984" right="0.31496062992125984" top="1.1811023622047245" bottom="0.59055118110236227" header="0.31496062992125984" footer="0.31496062992125984"/>
  <pageSetup paperSize="9" scale="70" orientation="landscape" r:id="rId1"/>
  <headerFooter>
    <oddHeader>&amp;L                            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58"/>
  <sheetViews>
    <sheetView topLeftCell="A10" workbookViewId="0">
      <selection activeCell="AQ18" sqref="AQ18"/>
    </sheetView>
  </sheetViews>
  <sheetFormatPr defaultRowHeight="15.75" x14ac:dyDescent="0.25"/>
  <cols>
    <col min="1" max="1" width="1.140625" style="1096" customWidth="1"/>
    <col min="2" max="2" width="2" style="1096" customWidth="1"/>
    <col min="3" max="4" width="1.7109375" style="1096" customWidth="1"/>
    <col min="5" max="5" width="1.42578125" style="1096" customWidth="1"/>
    <col min="6" max="6" width="4.7109375" style="1096" customWidth="1"/>
    <col min="7" max="7" width="1" style="1096" hidden="1" customWidth="1"/>
    <col min="8" max="8" width="4.85546875" style="1096" customWidth="1"/>
    <col min="9" max="9" width="2.42578125" style="1096" customWidth="1"/>
    <col min="10" max="10" width="0.28515625" style="1096" customWidth="1"/>
    <col min="11" max="11" width="2.5703125" style="1096" customWidth="1"/>
    <col min="12" max="12" width="3" style="1096" customWidth="1"/>
    <col min="13" max="13" width="6.7109375" style="1096" customWidth="1"/>
    <col min="14" max="14" width="4.28515625" style="1096" customWidth="1"/>
    <col min="15" max="15" width="3.42578125" style="1096" customWidth="1"/>
    <col min="16" max="16" width="1.28515625" style="1096" customWidth="1"/>
    <col min="17" max="17" width="1.5703125" style="1096" customWidth="1"/>
    <col min="18" max="18" width="2.28515625" style="1096" customWidth="1"/>
    <col min="19" max="19" width="1" style="1096" customWidth="1"/>
    <col min="20" max="20" width="1.42578125" style="1096" customWidth="1"/>
    <col min="21" max="21" width="2.140625" style="1096" customWidth="1"/>
    <col min="22" max="22" width="11.5703125" style="1096" customWidth="1"/>
    <col min="23" max="23" width="7" style="1096" customWidth="1"/>
    <col min="24" max="24" width="1.28515625" style="1096" customWidth="1"/>
    <col min="25" max="25" width="1.140625" style="1096" customWidth="1"/>
    <col min="26" max="26" width="1" style="1096" customWidth="1"/>
    <col min="27" max="27" width="1.5703125" style="1096" customWidth="1"/>
    <col min="28" max="28" width="5.28515625" style="1096" customWidth="1"/>
    <col min="29" max="29" width="1.140625" style="1096" customWidth="1"/>
    <col min="30" max="30" width="11.85546875" style="1096" customWidth="1"/>
    <col min="31" max="32" width="1.140625" style="1096" customWidth="1"/>
    <col min="33" max="33" width="1" style="1096" customWidth="1"/>
    <col min="34" max="34" width="1.140625" style="1096" customWidth="1"/>
    <col min="35" max="35" width="2.85546875" style="1096" customWidth="1"/>
    <col min="36" max="36" width="2.140625" style="1096" customWidth="1"/>
    <col min="37" max="37" width="3.42578125" style="1096" customWidth="1"/>
    <col min="38" max="38" width="9" style="1096" customWidth="1"/>
    <col min="39" max="39" width="1.5703125" style="1096" customWidth="1"/>
    <col min="40" max="40" width="1" style="1096" customWidth="1"/>
    <col min="41" max="41" width="1.140625" style="1096" customWidth="1"/>
    <col min="42" max="256" width="6.85546875" style="1096" customWidth="1"/>
    <col min="257" max="257" width="1.140625" style="1096" customWidth="1"/>
    <col min="258" max="258" width="2" style="1096" customWidth="1"/>
    <col min="259" max="260" width="1.7109375" style="1096" customWidth="1"/>
    <col min="261" max="261" width="1.42578125" style="1096" customWidth="1"/>
    <col min="262" max="262" width="1.140625" style="1096" customWidth="1"/>
    <col min="263" max="263" width="1" style="1096" customWidth="1"/>
    <col min="264" max="264" width="4.85546875" style="1096" customWidth="1"/>
    <col min="265" max="265" width="2.7109375" style="1096" customWidth="1"/>
    <col min="266" max="266" width="1.42578125" style="1096" customWidth="1"/>
    <col min="267" max="267" width="2.5703125" style="1096" customWidth="1"/>
    <col min="268" max="268" width="3" style="1096" customWidth="1"/>
    <col min="269" max="269" width="6.7109375" style="1096" customWidth="1"/>
    <col min="270" max="270" width="4.28515625" style="1096" customWidth="1"/>
    <col min="271" max="271" width="3.42578125" style="1096" customWidth="1"/>
    <col min="272" max="272" width="1.28515625" style="1096" customWidth="1"/>
    <col min="273" max="273" width="1.5703125" style="1096" customWidth="1"/>
    <col min="274" max="274" width="2.28515625" style="1096" customWidth="1"/>
    <col min="275" max="275" width="1" style="1096" customWidth="1"/>
    <col min="276" max="276" width="1.42578125" style="1096" customWidth="1"/>
    <col min="277" max="277" width="2.140625" style="1096" customWidth="1"/>
    <col min="278" max="278" width="11.5703125" style="1096" customWidth="1"/>
    <col min="279" max="279" width="7" style="1096" customWidth="1"/>
    <col min="280" max="280" width="1.28515625" style="1096" customWidth="1"/>
    <col min="281" max="281" width="1.140625" style="1096" customWidth="1"/>
    <col min="282" max="282" width="1" style="1096" customWidth="1"/>
    <col min="283" max="283" width="1.5703125" style="1096" customWidth="1"/>
    <col min="284" max="284" width="5.28515625" style="1096" customWidth="1"/>
    <col min="285" max="285" width="1.140625" style="1096" customWidth="1"/>
    <col min="286" max="286" width="11.85546875" style="1096" customWidth="1"/>
    <col min="287" max="288" width="1.140625" style="1096" customWidth="1"/>
    <col min="289" max="289" width="1" style="1096" customWidth="1"/>
    <col min="290" max="290" width="1.140625" style="1096" customWidth="1"/>
    <col min="291" max="291" width="2.85546875" style="1096" customWidth="1"/>
    <col min="292" max="292" width="2.140625" style="1096" customWidth="1"/>
    <col min="293" max="293" width="3.42578125" style="1096" customWidth="1"/>
    <col min="294" max="294" width="9" style="1096" customWidth="1"/>
    <col min="295" max="295" width="1.5703125" style="1096" customWidth="1"/>
    <col min="296" max="296" width="1" style="1096" customWidth="1"/>
    <col min="297" max="297" width="1.140625" style="1096" customWidth="1"/>
    <col min="298" max="512" width="6.85546875" style="1096" customWidth="1"/>
    <col min="513" max="513" width="1.140625" style="1096" customWidth="1"/>
    <col min="514" max="514" width="2" style="1096" customWidth="1"/>
    <col min="515" max="516" width="1.7109375" style="1096" customWidth="1"/>
    <col min="517" max="517" width="1.42578125" style="1096" customWidth="1"/>
    <col min="518" max="518" width="1.140625" style="1096" customWidth="1"/>
    <col min="519" max="519" width="1" style="1096" customWidth="1"/>
    <col min="520" max="520" width="4.85546875" style="1096" customWidth="1"/>
    <col min="521" max="521" width="2.7109375" style="1096" customWidth="1"/>
    <col min="522" max="522" width="1.42578125" style="1096" customWidth="1"/>
    <col min="523" max="523" width="2.5703125" style="1096" customWidth="1"/>
    <col min="524" max="524" width="3" style="1096" customWidth="1"/>
    <col min="525" max="525" width="6.7109375" style="1096" customWidth="1"/>
    <col min="526" max="526" width="4.28515625" style="1096" customWidth="1"/>
    <col min="527" max="527" width="3.42578125" style="1096" customWidth="1"/>
    <col min="528" max="528" width="1.28515625" style="1096" customWidth="1"/>
    <col min="529" max="529" width="1.5703125" style="1096" customWidth="1"/>
    <col min="530" max="530" width="2.28515625" style="1096" customWidth="1"/>
    <col min="531" max="531" width="1" style="1096" customWidth="1"/>
    <col min="532" max="532" width="1.42578125" style="1096" customWidth="1"/>
    <col min="533" max="533" width="2.140625" style="1096" customWidth="1"/>
    <col min="534" max="534" width="11.5703125" style="1096" customWidth="1"/>
    <col min="535" max="535" width="7" style="1096" customWidth="1"/>
    <col min="536" max="536" width="1.28515625" style="1096" customWidth="1"/>
    <col min="537" max="537" width="1.140625" style="1096" customWidth="1"/>
    <col min="538" max="538" width="1" style="1096" customWidth="1"/>
    <col min="539" max="539" width="1.5703125" style="1096" customWidth="1"/>
    <col min="540" max="540" width="5.28515625" style="1096" customWidth="1"/>
    <col min="541" max="541" width="1.140625" style="1096" customWidth="1"/>
    <col min="542" max="542" width="11.85546875" style="1096" customWidth="1"/>
    <col min="543" max="544" width="1.140625" style="1096" customWidth="1"/>
    <col min="545" max="545" width="1" style="1096" customWidth="1"/>
    <col min="546" max="546" width="1.140625" style="1096" customWidth="1"/>
    <col min="547" max="547" width="2.85546875" style="1096" customWidth="1"/>
    <col min="548" max="548" width="2.140625" style="1096" customWidth="1"/>
    <col min="549" max="549" width="3.42578125" style="1096" customWidth="1"/>
    <col min="550" max="550" width="9" style="1096" customWidth="1"/>
    <col min="551" max="551" width="1.5703125" style="1096" customWidth="1"/>
    <col min="552" max="552" width="1" style="1096" customWidth="1"/>
    <col min="553" max="553" width="1.140625" style="1096" customWidth="1"/>
    <col min="554" max="768" width="6.85546875" style="1096" customWidth="1"/>
    <col min="769" max="769" width="1.140625" style="1096" customWidth="1"/>
    <col min="770" max="770" width="2" style="1096" customWidth="1"/>
    <col min="771" max="772" width="1.7109375" style="1096" customWidth="1"/>
    <col min="773" max="773" width="1.42578125" style="1096" customWidth="1"/>
    <col min="774" max="774" width="1.140625" style="1096" customWidth="1"/>
    <col min="775" max="775" width="1" style="1096" customWidth="1"/>
    <col min="776" max="776" width="4.85546875" style="1096" customWidth="1"/>
    <col min="777" max="777" width="2.7109375" style="1096" customWidth="1"/>
    <col min="778" max="778" width="1.42578125" style="1096" customWidth="1"/>
    <col min="779" max="779" width="2.5703125" style="1096" customWidth="1"/>
    <col min="780" max="780" width="3" style="1096" customWidth="1"/>
    <col min="781" max="781" width="6.7109375" style="1096" customWidth="1"/>
    <col min="782" max="782" width="4.28515625" style="1096" customWidth="1"/>
    <col min="783" max="783" width="3.42578125" style="1096" customWidth="1"/>
    <col min="784" max="784" width="1.28515625" style="1096" customWidth="1"/>
    <col min="785" max="785" width="1.5703125" style="1096" customWidth="1"/>
    <col min="786" max="786" width="2.28515625" style="1096" customWidth="1"/>
    <col min="787" max="787" width="1" style="1096" customWidth="1"/>
    <col min="788" max="788" width="1.42578125" style="1096" customWidth="1"/>
    <col min="789" max="789" width="2.140625" style="1096" customWidth="1"/>
    <col min="790" max="790" width="11.5703125" style="1096" customWidth="1"/>
    <col min="791" max="791" width="7" style="1096" customWidth="1"/>
    <col min="792" max="792" width="1.28515625" style="1096" customWidth="1"/>
    <col min="793" max="793" width="1.140625" style="1096" customWidth="1"/>
    <col min="794" max="794" width="1" style="1096" customWidth="1"/>
    <col min="795" max="795" width="1.5703125" style="1096" customWidth="1"/>
    <col min="796" max="796" width="5.28515625" style="1096" customWidth="1"/>
    <col min="797" max="797" width="1.140625" style="1096" customWidth="1"/>
    <col min="798" max="798" width="11.85546875" style="1096" customWidth="1"/>
    <col min="799" max="800" width="1.140625" style="1096" customWidth="1"/>
    <col min="801" max="801" width="1" style="1096" customWidth="1"/>
    <col min="802" max="802" width="1.140625" style="1096" customWidth="1"/>
    <col min="803" max="803" width="2.85546875" style="1096" customWidth="1"/>
    <col min="804" max="804" width="2.140625" style="1096" customWidth="1"/>
    <col min="805" max="805" width="3.42578125" style="1096" customWidth="1"/>
    <col min="806" max="806" width="9" style="1096" customWidth="1"/>
    <col min="807" max="807" width="1.5703125" style="1096" customWidth="1"/>
    <col min="808" max="808" width="1" style="1096" customWidth="1"/>
    <col min="809" max="809" width="1.140625" style="1096" customWidth="1"/>
    <col min="810" max="1024" width="6.85546875" style="1096" customWidth="1"/>
    <col min="1025" max="1025" width="1.140625" style="1096" customWidth="1"/>
    <col min="1026" max="1026" width="2" style="1096" customWidth="1"/>
    <col min="1027" max="1028" width="1.7109375" style="1096" customWidth="1"/>
    <col min="1029" max="1029" width="1.42578125" style="1096" customWidth="1"/>
    <col min="1030" max="1030" width="1.140625" style="1096" customWidth="1"/>
    <col min="1031" max="1031" width="1" style="1096" customWidth="1"/>
    <col min="1032" max="1032" width="4.85546875" style="1096" customWidth="1"/>
    <col min="1033" max="1033" width="2.7109375" style="1096" customWidth="1"/>
    <col min="1034" max="1034" width="1.42578125" style="1096" customWidth="1"/>
    <col min="1035" max="1035" width="2.5703125" style="1096" customWidth="1"/>
    <col min="1036" max="1036" width="3" style="1096" customWidth="1"/>
    <col min="1037" max="1037" width="6.7109375" style="1096" customWidth="1"/>
    <col min="1038" max="1038" width="4.28515625" style="1096" customWidth="1"/>
    <col min="1039" max="1039" width="3.42578125" style="1096" customWidth="1"/>
    <col min="1040" max="1040" width="1.28515625" style="1096" customWidth="1"/>
    <col min="1041" max="1041" width="1.5703125" style="1096" customWidth="1"/>
    <col min="1042" max="1042" width="2.28515625" style="1096" customWidth="1"/>
    <col min="1043" max="1043" width="1" style="1096" customWidth="1"/>
    <col min="1044" max="1044" width="1.42578125" style="1096" customWidth="1"/>
    <col min="1045" max="1045" width="2.140625" style="1096" customWidth="1"/>
    <col min="1046" max="1046" width="11.5703125" style="1096" customWidth="1"/>
    <col min="1047" max="1047" width="7" style="1096" customWidth="1"/>
    <col min="1048" max="1048" width="1.28515625" style="1096" customWidth="1"/>
    <col min="1049" max="1049" width="1.140625" style="1096" customWidth="1"/>
    <col min="1050" max="1050" width="1" style="1096" customWidth="1"/>
    <col min="1051" max="1051" width="1.5703125" style="1096" customWidth="1"/>
    <col min="1052" max="1052" width="5.28515625" style="1096" customWidth="1"/>
    <col min="1053" max="1053" width="1.140625" style="1096" customWidth="1"/>
    <col min="1054" max="1054" width="11.85546875" style="1096" customWidth="1"/>
    <col min="1055" max="1056" width="1.140625" style="1096" customWidth="1"/>
    <col min="1057" max="1057" width="1" style="1096" customWidth="1"/>
    <col min="1058" max="1058" width="1.140625" style="1096" customWidth="1"/>
    <col min="1059" max="1059" width="2.85546875" style="1096" customWidth="1"/>
    <col min="1060" max="1060" width="2.140625" style="1096" customWidth="1"/>
    <col min="1061" max="1061" width="3.42578125" style="1096" customWidth="1"/>
    <col min="1062" max="1062" width="9" style="1096" customWidth="1"/>
    <col min="1063" max="1063" width="1.5703125" style="1096" customWidth="1"/>
    <col min="1064" max="1064" width="1" style="1096" customWidth="1"/>
    <col min="1065" max="1065" width="1.140625" style="1096" customWidth="1"/>
    <col min="1066" max="1280" width="6.85546875" style="1096" customWidth="1"/>
    <col min="1281" max="1281" width="1.140625" style="1096" customWidth="1"/>
    <col min="1282" max="1282" width="2" style="1096" customWidth="1"/>
    <col min="1283" max="1284" width="1.7109375" style="1096" customWidth="1"/>
    <col min="1285" max="1285" width="1.42578125" style="1096" customWidth="1"/>
    <col min="1286" max="1286" width="1.140625" style="1096" customWidth="1"/>
    <col min="1287" max="1287" width="1" style="1096" customWidth="1"/>
    <col min="1288" max="1288" width="4.85546875" style="1096" customWidth="1"/>
    <col min="1289" max="1289" width="2.7109375" style="1096" customWidth="1"/>
    <col min="1290" max="1290" width="1.42578125" style="1096" customWidth="1"/>
    <col min="1291" max="1291" width="2.5703125" style="1096" customWidth="1"/>
    <col min="1292" max="1292" width="3" style="1096" customWidth="1"/>
    <col min="1293" max="1293" width="6.7109375" style="1096" customWidth="1"/>
    <col min="1294" max="1294" width="4.28515625" style="1096" customWidth="1"/>
    <col min="1295" max="1295" width="3.42578125" style="1096" customWidth="1"/>
    <col min="1296" max="1296" width="1.28515625" style="1096" customWidth="1"/>
    <col min="1297" max="1297" width="1.5703125" style="1096" customWidth="1"/>
    <col min="1298" max="1298" width="2.28515625" style="1096" customWidth="1"/>
    <col min="1299" max="1299" width="1" style="1096" customWidth="1"/>
    <col min="1300" max="1300" width="1.42578125" style="1096" customWidth="1"/>
    <col min="1301" max="1301" width="2.140625" style="1096" customWidth="1"/>
    <col min="1302" max="1302" width="11.5703125" style="1096" customWidth="1"/>
    <col min="1303" max="1303" width="7" style="1096" customWidth="1"/>
    <col min="1304" max="1304" width="1.28515625" style="1096" customWidth="1"/>
    <col min="1305" max="1305" width="1.140625" style="1096" customWidth="1"/>
    <col min="1306" max="1306" width="1" style="1096" customWidth="1"/>
    <col min="1307" max="1307" width="1.5703125" style="1096" customWidth="1"/>
    <col min="1308" max="1308" width="5.28515625" style="1096" customWidth="1"/>
    <col min="1309" max="1309" width="1.140625" style="1096" customWidth="1"/>
    <col min="1310" max="1310" width="11.85546875" style="1096" customWidth="1"/>
    <col min="1311" max="1312" width="1.140625" style="1096" customWidth="1"/>
    <col min="1313" max="1313" width="1" style="1096" customWidth="1"/>
    <col min="1314" max="1314" width="1.140625" style="1096" customWidth="1"/>
    <col min="1315" max="1315" width="2.85546875" style="1096" customWidth="1"/>
    <col min="1316" max="1316" width="2.140625" style="1096" customWidth="1"/>
    <col min="1317" max="1317" width="3.42578125" style="1096" customWidth="1"/>
    <col min="1318" max="1318" width="9" style="1096" customWidth="1"/>
    <col min="1319" max="1319" width="1.5703125" style="1096" customWidth="1"/>
    <col min="1320" max="1320" width="1" style="1096" customWidth="1"/>
    <col min="1321" max="1321" width="1.140625" style="1096" customWidth="1"/>
    <col min="1322" max="1536" width="6.85546875" style="1096" customWidth="1"/>
    <col min="1537" max="1537" width="1.140625" style="1096" customWidth="1"/>
    <col min="1538" max="1538" width="2" style="1096" customWidth="1"/>
    <col min="1539" max="1540" width="1.7109375" style="1096" customWidth="1"/>
    <col min="1541" max="1541" width="1.42578125" style="1096" customWidth="1"/>
    <col min="1542" max="1542" width="1.140625" style="1096" customWidth="1"/>
    <col min="1543" max="1543" width="1" style="1096" customWidth="1"/>
    <col min="1544" max="1544" width="4.85546875" style="1096" customWidth="1"/>
    <col min="1545" max="1545" width="2.7109375" style="1096" customWidth="1"/>
    <col min="1546" max="1546" width="1.42578125" style="1096" customWidth="1"/>
    <col min="1547" max="1547" width="2.5703125" style="1096" customWidth="1"/>
    <col min="1548" max="1548" width="3" style="1096" customWidth="1"/>
    <col min="1549" max="1549" width="6.7109375" style="1096" customWidth="1"/>
    <col min="1550" max="1550" width="4.28515625" style="1096" customWidth="1"/>
    <col min="1551" max="1551" width="3.42578125" style="1096" customWidth="1"/>
    <col min="1552" max="1552" width="1.28515625" style="1096" customWidth="1"/>
    <col min="1553" max="1553" width="1.5703125" style="1096" customWidth="1"/>
    <col min="1554" max="1554" width="2.28515625" style="1096" customWidth="1"/>
    <col min="1555" max="1555" width="1" style="1096" customWidth="1"/>
    <col min="1556" max="1556" width="1.42578125" style="1096" customWidth="1"/>
    <col min="1557" max="1557" width="2.140625" style="1096" customWidth="1"/>
    <col min="1558" max="1558" width="11.5703125" style="1096" customWidth="1"/>
    <col min="1559" max="1559" width="7" style="1096" customWidth="1"/>
    <col min="1560" max="1560" width="1.28515625" style="1096" customWidth="1"/>
    <col min="1561" max="1561" width="1.140625" style="1096" customWidth="1"/>
    <col min="1562" max="1562" width="1" style="1096" customWidth="1"/>
    <col min="1563" max="1563" width="1.5703125" style="1096" customWidth="1"/>
    <col min="1564" max="1564" width="5.28515625" style="1096" customWidth="1"/>
    <col min="1565" max="1565" width="1.140625" style="1096" customWidth="1"/>
    <col min="1566" max="1566" width="11.85546875" style="1096" customWidth="1"/>
    <col min="1567" max="1568" width="1.140625" style="1096" customWidth="1"/>
    <col min="1569" max="1569" width="1" style="1096" customWidth="1"/>
    <col min="1570" max="1570" width="1.140625" style="1096" customWidth="1"/>
    <col min="1571" max="1571" width="2.85546875" style="1096" customWidth="1"/>
    <col min="1572" max="1572" width="2.140625" style="1096" customWidth="1"/>
    <col min="1573" max="1573" width="3.42578125" style="1096" customWidth="1"/>
    <col min="1574" max="1574" width="9" style="1096" customWidth="1"/>
    <col min="1575" max="1575" width="1.5703125" style="1096" customWidth="1"/>
    <col min="1576" max="1576" width="1" style="1096" customWidth="1"/>
    <col min="1577" max="1577" width="1.140625" style="1096" customWidth="1"/>
    <col min="1578" max="1792" width="6.85546875" style="1096" customWidth="1"/>
    <col min="1793" max="1793" width="1.140625" style="1096" customWidth="1"/>
    <col min="1794" max="1794" width="2" style="1096" customWidth="1"/>
    <col min="1795" max="1796" width="1.7109375" style="1096" customWidth="1"/>
    <col min="1797" max="1797" width="1.42578125" style="1096" customWidth="1"/>
    <col min="1798" max="1798" width="1.140625" style="1096" customWidth="1"/>
    <col min="1799" max="1799" width="1" style="1096" customWidth="1"/>
    <col min="1800" max="1800" width="4.85546875" style="1096" customWidth="1"/>
    <col min="1801" max="1801" width="2.7109375" style="1096" customWidth="1"/>
    <col min="1802" max="1802" width="1.42578125" style="1096" customWidth="1"/>
    <col min="1803" max="1803" width="2.5703125" style="1096" customWidth="1"/>
    <col min="1804" max="1804" width="3" style="1096" customWidth="1"/>
    <col min="1805" max="1805" width="6.7109375" style="1096" customWidth="1"/>
    <col min="1806" max="1806" width="4.28515625" style="1096" customWidth="1"/>
    <col min="1807" max="1807" width="3.42578125" style="1096" customWidth="1"/>
    <col min="1808" max="1808" width="1.28515625" style="1096" customWidth="1"/>
    <col min="1809" max="1809" width="1.5703125" style="1096" customWidth="1"/>
    <col min="1810" max="1810" width="2.28515625" style="1096" customWidth="1"/>
    <col min="1811" max="1811" width="1" style="1096" customWidth="1"/>
    <col min="1812" max="1812" width="1.42578125" style="1096" customWidth="1"/>
    <col min="1813" max="1813" width="2.140625" style="1096" customWidth="1"/>
    <col min="1814" max="1814" width="11.5703125" style="1096" customWidth="1"/>
    <col min="1815" max="1815" width="7" style="1096" customWidth="1"/>
    <col min="1816" max="1816" width="1.28515625" style="1096" customWidth="1"/>
    <col min="1817" max="1817" width="1.140625" style="1096" customWidth="1"/>
    <col min="1818" max="1818" width="1" style="1096" customWidth="1"/>
    <col min="1819" max="1819" width="1.5703125" style="1096" customWidth="1"/>
    <col min="1820" max="1820" width="5.28515625" style="1096" customWidth="1"/>
    <col min="1821" max="1821" width="1.140625" style="1096" customWidth="1"/>
    <col min="1822" max="1822" width="11.85546875" style="1096" customWidth="1"/>
    <col min="1823" max="1824" width="1.140625" style="1096" customWidth="1"/>
    <col min="1825" max="1825" width="1" style="1096" customWidth="1"/>
    <col min="1826" max="1826" width="1.140625" style="1096" customWidth="1"/>
    <col min="1827" max="1827" width="2.85546875" style="1096" customWidth="1"/>
    <col min="1828" max="1828" width="2.140625" style="1096" customWidth="1"/>
    <col min="1829" max="1829" width="3.42578125" style="1096" customWidth="1"/>
    <col min="1830" max="1830" width="9" style="1096" customWidth="1"/>
    <col min="1831" max="1831" width="1.5703125" style="1096" customWidth="1"/>
    <col min="1832" max="1832" width="1" style="1096" customWidth="1"/>
    <col min="1833" max="1833" width="1.140625" style="1096" customWidth="1"/>
    <col min="1834" max="2048" width="6.85546875" style="1096" customWidth="1"/>
    <col min="2049" max="2049" width="1.140625" style="1096" customWidth="1"/>
    <col min="2050" max="2050" width="2" style="1096" customWidth="1"/>
    <col min="2051" max="2052" width="1.7109375" style="1096" customWidth="1"/>
    <col min="2053" max="2053" width="1.42578125" style="1096" customWidth="1"/>
    <col min="2054" max="2054" width="1.140625" style="1096" customWidth="1"/>
    <col min="2055" max="2055" width="1" style="1096" customWidth="1"/>
    <col min="2056" max="2056" width="4.85546875" style="1096" customWidth="1"/>
    <col min="2057" max="2057" width="2.7109375" style="1096" customWidth="1"/>
    <col min="2058" max="2058" width="1.42578125" style="1096" customWidth="1"/>
    <col min="2059" max="2059" width="2.5703125" style="1096" customWidth="1"/>
    <col min="2060" max="2060" width="3" style="1096" customWidth="1"/>
    <col min="2061" max="2061" width="6.7109375" style="1096" customWidth="1"/>
    <col min="2062" max="2062" width="4.28515625" style="1096" customWidth="1"/>
    <col min="2063" max="2063" width="3.42578125" style="1096" customWidth="1"/>
    <col min="2064" max="2064" width="1.28515625" style="1096" customWidth="1"/>
    <col min="2065" max="2065" width="1.5703125" style="1096" customWidth="1"/>
    <col min="2066" max="2066" width="2.28515625" style="1096" customWidth="1"/>
    <col min="2067" max="2067" width="1" style="1096" customWidth="1"/>
    <col min="2068" max="2068" width="1.42578125" style="1096" customWidth="1"/>
    <col min="2069" max="2069" width="2.140625" style="1096" customWidth="1"/>
    <col min="2070" max="2070" width="11.5703125" style="1096" customWidth="1"/>
    <col min="2071" max="2071" width="7" style="1096" customWidth="1"/>
    <col min="2072" max="2072" width="1.28515625" style="1096" customWidth="1"/>
    <col min="2073" max="2073" width="1.140625" style="1096" customWidth="1"/>
    <col min="2074" max="2074" width="1" style="1096" customWidth="1"/>
    <col min="2075" max="2075" width="1.5703125" style="1096" customWidth="1"/>
    <col min="2076" max="2076" width="5.28515625" style="1096" customWidth="1"/>
    <col min="2077" max="2077" width="1.140625" style="1096" customWidth="1"/>
    <col min="2078" max="2078" width="11.85546875" style="1096" customWidth="1"/>
    <col min="2079" max="2080" width="1.140625" style="1096" customWidth="1"/>
    <col min="2081" max="2081" width="1" style="1096" customWidth="1"/>
    <col min="2082" max="2082" width="1.140625" style="1096" customWidth="1"/>
    <col min="2083" max="2083" width="2.85546875" style="1096" customWidth="1"/>
    <col min="2084" max="2084" width="2.140625" style="1096" customWidth="1"/>
    <col min="2085" max="2085" width="3.42578125" style="1096" customWidth="1"/>
    <col min="2086" max="2086" width="9" style="1096" customWidth="1"/>
    <col min="2087" max="2087" width="1.5703125" style="1096" customWidth="1"/>
    <col min="2088" max="2088" width="1" style="1096" customWidth="1"/>
    <col min="2089" max="2089" width="1.140625" style="1096" customWidth="1"/>
    <col min="2090" max="2304" width="6.85546875" style="1096" customWidth="1"/>
    <col min="2305" max="2305" width="1.140625" style="1096" customWidth="1"/>
    <col min="2306" max="2306" width="2" style="1096" customWidth="1"/>
    <col min="2307" max="2308" width="1.7109375" style="1096" customWidth="1"/>
    <col min="2309" max="2309" width="1.42578125" style="1096" customWidth="1"/>
    <col min="2310" max="2310" width="1.140625" style="1096" customWidth="1"/>
    <col min="2311" max="2311" width="1" style="1096" customWidth="1"/>
    <col min="2312" max="2312" width="4.85546875" style="1096" customWidth="1"/>
    <col min="2313" max="2313" width="2.7109375" style="1096" customWidth="1"/>
    <col min="2314" max="2314" width="1.42578125" style="1096" customWidth="1"/>
    <col min="2315" max="2315" width="2.5703125" style="1096" customWidth="1"/>
    <col min="2316" max="2316" width="3" style="1096" customWidth="1"/>
    <col min="2317" max="2317" width="6.7109375" style="1096" customWidth="1"/>
    <col min="2318" max="2318" width="4.28515625" style="1096" customWidth="1"/>
    <col min="2319" max="2319" width="3.42578125" style="1096" customWidth="1"/>
    <col min="2320" max="2320" width="1.28515625" style="1096" customWidth="1"/>
    <col min="2321" max="2321" width="1.5703125" style="1096" customWidth="1"/>
    <col min="2322" max="2322" width="2.28515625" style="1096" customWidth="1"/>
    <col min="2323" max="2323" width="1" style="1096" customWidth="1"/>
    <col min="2324" max="2324" width="1.42578125" style="1096" customWidth="1"/>
    <col min="2325" max="2325" width="2.140625" style="1096" customWidth="1"/>
    <col min="2326" max="2326" width="11.5703125" style="1096" customWidth="1"/>
    <col min="2327" max="2327" width="7" style="1096" customWidth="1"/>
    <col min="2328" max="2328" width="1.28515625" style="1096" customWidth="1"/>
    <col min="2329" max="2329" width="1.140625" style="1096" customWidth="1"/>
    <col min="2330" max="2330" width="1" style="1096" customWidth="1"/>
    <col min="2331" max="2331" width="1.5703125" style="1096" customWidth="1"/>
    <col min="2332" max="2332" width="5.28515625" style="1096" customWidth="1"/>
    <col min="2333" max="2333" width="1.140625" style="1096" customWidth="1"/>
    <col min="2334" max="2334" width="11.85546875" style="1096" customWidth="1"/>
    <col min="2335" max="2336" width="1.140625" style="1096" customWidth="1"/>
    <col min="2337" max="2337" width="1" style="1096" customWidth="1"/>
    <col min="2338" max="2338" width="1.140625" style="1096" customWidth="1"/>
    <col min="2339" max="2339" width="2.85546875" style="1096" customWidth="1"/>
    <col min="2340" max="2340" width="2.140625" style="1096" customWidth="1"/>
    <col min="2341" max="2341" width="3.42578125" style="1096" customWidth="1"/>
    <col min="2342" max="2342" width="9" style="1096" customWidth="1"/>
    <col min="2343" max="2343" width="1.5703125" style="1096" customWidth="1"/>
    <col min="2344" max="2344" width="1" style="1096" customWidth="1"/>
    <col min="2345" max="2345" width="1.140625" style="1096" customWidth="1"/>
    <col min="2346" max="2560" width="6.85546875" style="1096" customWidth="1"/>
    <col min="2561" max="2561" width="1.140625" style="1096" customWidth="1"/>
    <col min="2562" max="2562" width="2" style="1096" customWidth="1"/>
    <col min="2563" max="2564" width="1.7109375" style="1096" customWidth="1"/>
    <col min="2565" max="2565" width="1.42578125" style="1096" customWidth="1"/>
    <col min="2566" max="2566" width="1.140625" style="1096" customWidth="1"/>
    <col min="2567" max="2567" width="1" style="1096" customWidth="1"/>
    <col min="2568" max="2568" width="4.85546875" style="1096" customWidth="1"/>
    <col min="2569" max="2569" width="2.7109375" style="1096" customWidth="1"/>
    <col min="2570" max="2570" width="1.42578125" style="1096" customWidth="1"/>
    <col min="2571" max="2571" width="2.5703125" style="1096" customWidth="1"/>
    <col min="2572" max="2572" width="3" style="1096" customWidth="1"/>
    <col min="2573" max="2573" width="6.7109375" style="1096" customWidth="1"/>
    <col min="2574" max="2574" width="4.28515625" style="1096" customWidth="1"/>
    <col min="2575" max="2575" width="3.42578125" style="1096" customWidth="1"/>
    <col min="2576" max="2576" width="1.28515625" style="1096" customWidth="1"/>
    <col min="2577" max="2577" width="1.5703125" style="1096" customWidth="1"/>
    <col min="2578" max="2578" width="2.28515625" style="1096" customWidth="1"/>
    <col min="2579" max="2579" width="1" style="1096" customWidth="1"/>
    <col min="2580" max="2580" width="1.42578125" style="1096" customWidth="1"/>
    <col min="2581" max="2581" width="2.140625" style="1096" customWidth="1"/>
    <col min="2582" max="2582" width="11.5703125" style="1096" customWidth="1"/>
    <col min="2583" max="2583" width="7" style="1096" customWidth="1"/>
    <col min="2584" max="2584" width="1.28515625" style="1096" customWidth="1"/>
    <col min="2585" max="2585" width="1.140625" style="1096" customWidth="1"/>
    <col min="2586" max="2586" width="1" style="1096" customWidth="1"/>
    <col min="2587" max="2587" width="1.5703125" style="1096" customWidth="1"/>
    <col min="2588" max="2588" width="5.28515625" style="1096" customWidth="1"/>
    <col min="2589" max="2589" width="1.140625" style="1096" customWidth="1"/>
    <col min="2590" max="2590" width="11.85546875" style="1096" customWidth="1"/>
    <col min="2591" max="2592" width="1.140625" style="1096" customWidth="1"/>
    <col min="2593" max="2593" width="1" style="1096" customWidth="1"/>
    <col min="2594" max="2594" width="1.140625" style="1096" customWidth="1"/>
    <col min="2595" max="2595" width="2.85546875" style="1096" customWidth="1"/>
    <col min="2596" max="2596" width="2.140625" style="1096" customWidth="1"/>
    <col min="2597" max="2597" width="3.42578125" style="1096" customWidth="1"/>
    <col min="2598" max="2598" width="9" style="1096" customWidth="1"/>
    <col min="2599" max="2599" width="1.5703125" style="1096" customWidth="1"/>
    <col min="2600" max="2600" width="1" style="1096" customWidth="1"/>
    <col min="2601" max="2601" width="1.140625" style="1096" customWidth="1"/>
    <col min="2602" max="2816" width="6.85546875" style="1096" customWidth="1"/>
    <col min="2817" max="2817" width="1.140625" style="1096" customWidth="1"/>
    <col min="2818" max="2818" width="2" style="1096" customWidth="1"/>
    <col min="2819" max="2820" width="1.7109375" style="1096" customWidth="1"/>
    <col min="2821" max="2821" width="1.42578125" style="1096" customWidth="1"/>
    <col min="2822" max="2822" width="1.140625" style="1096" customWidth="1"/>
    <col min="2823" max="2823" width="1" style="1096" customWidth="1"/>
    <col min="2824" max="2824" width="4.85546875" style="1096" customWidth="1"/>
    <col min="2825" max="2825" width="2.7109375" style="1096" customWidth="1"/>
    <col min="2826" max="2826" width="1.42578125" style="1096" customWidth="1"/>
    <col min="2827" max="2827" width="2.5703125" style="1096" customWidth="1"/>
    <col min="2828" max="2828" width="3" style="1096" customWidth="1"/>
    <col min="2829" max="2829" width="6.7109375" style="1096" customWidth="1"/>
    <col min="2830" max="2830" width="4.28515625" style="1096" customWidth="1"/>
    <col min="2831" max="2831" width="3.42578125" style="1096" customWidth="1"/>
    <col min="2832" max="2832" width="1.28515625" style="1096" customWidth="1"/>
    <col min="2833" max="2833" width="1.5703125" style="1096" customWidth="1"/>
    <col min="2834" max="2834" width="2.28515625" style="1096" customWidth="1"/>
    <col min="2835" max="2835" width="1" style="1096" customWidth="1"/>
    <col min="2836" max="2836" width="1.42578125" style="1096" customWidth="1"/>
    <col min="2837" max="2837" width="2.140625" style="1096" customWidth="1"/>
    <col min="2838" max="2838" width="11.5703125" style="1096" customWidth="1"/>
    <col min="2839" max="2839" width="7" style="1096" customWidth="1"/>
    <col min="2840" max="2840" width="1.28515625" style="1096" customWidth="1"/>
    <col min="2841" max="2841" width="1.140625" style="1096" customWidth="1"/>
    <col min="2842" max="2842" width="1" style="1096" customWidth="1"/>
    <col min="2843" max="2843" width="1.5703125" style="1096" customWidth="1"/>
    <col min="2844" max="2844" width="5.28515625" style="1096" customWidth="1"/>
    <col min="2845" max="2845" width="1.140625" style="1096" customWidth="1"/>
    <col min="2846" max="2846" width="11.85546875" style="1096" customWidth="1"/>
    <col min="2847" max="2848" width="1.140625" style="1096" customWidth="1"/>
    <col min="2849" max="2849" width="1" style="1096" customWidth="1"/>
    <col min="2850" max="2850" width="1.140625" style="1096" customWidth="1"/>
    <col min="2851" max="2851" width="2.85546875" style="1096" customWidth="1"/>
    <col min="2852" max="2852" width="2.140625" style="1096" customWidth="1"/>
    <col min="2853" max="2853" width="3.42578125" style="1096" customWidth="1"/>
    <col min="2854" max="2854" width="9" style="1096" customWidth="1"/>
    <col min="2855" max="2855" width="1.5703125" style="1096" customWidth="1"/>
    <col min="2856" max="2856" width="1" style="1096" customWidth="1"/>
    <col min="2857" max="2857" width="1.140625" style="1096" customWidth="1"/>
    <col min="2858" max="3072" width="6.85546875" style="1096" customWidth="1"/>
    <col min="3073" max="3073" width="1.140625" style="1096" customWidth="1"/>
    <col min="3074" max="3074" width="2" style="1096" customWidth="1"/>
    <col min="3075" max="3076" width="1.7109375" style="1096" customWidth="1"/>
    <col min="3077" max="3077" width="1.42578125" style="1096" customWidth="1"/>
    <col min="3078" max="3078" width="1.140625" style="1096" customWidth="1"/>
    <col min="3079" max="3079" width="1" style="1096" customWidth="1"/>
    <col min="3080" max="3080" width="4.85546875" style="1096" customWidth="1"/>
    <col min="3081" max="3081" width="2.7109375" style="1096" customWidth="1"/>
    <col min="3082" max="3082" width="1.42578125" style="1096" customWidth="1"/>
    <col min="3083" max="3083" width="2.5703125" style="1096" customWidth="1"/>
    <col min="3084" max="3084" width="3" style="1096" customWidth="1"/>
    <col min="3085" max="3085" width="6.7109375" style="1096" customWidth="1"/>
    <col min="3086" max="3086" width="4.28515625" style="1096" customWidth="1"/>
    <col min="3087" max="3087" width="3.42578125" style="1096" customWidth="1"/>
    <col min="3088" max="3088" width="1.28515625" style="1096" customWidth="1"/>
    <col min="3089" max="3089" width="1.5703125" style="1096" customWidth="1"/>
    <col min="3090" max="3090" width="2.28515625" style="1096" customWidth="1"/>
    <col min="3091" max="3091" width="1" style="1096" customWidth="1"/>
    <col min="3092" max="3092" width="1.42578125" style="1096" customWidth="1"/>
    <col min="3093" max="3093" width="2.140625" style="1096" customWidth="1"/>
    <col min="3094" max="3094" width="11.5703125" style="1096" customWidth="1"/>
    <col min="3095" max="3095" width="7" style="1096" customWidth="1"/>
    <col min="3096" max="3096" width="1.28515625" style="1096" customWidth="1"/>
    <col min="3097" max="3097" width="1.140625" style="1096" customWidth="1"/>
    <col min="3098" max="3098" width="1" style="1096" customWidth="1"/>
    <col min="3099" max="3099" width="1.5703125" style="1096" customWidth="1"/>
    <col min="3100" max="3100" width="5.28515625" style="1096" customWidth="1"/>
    <col min="3101" max="3101" width="1.140625" style="1096" customWidth="1"/>
    <col min="3102" max="3102" width="11.85546875" style="1096" customWidth="1"/>
    <col min="3103" max="3104" width="1.140625" style="1096" customWidth="1"/>
    <col min="3105" max="3105" width="1" style="1096" customWidth="1"/>
    <col min="3106" max="3106" width="1.140625" style="1096" customWidth="1"/>
    <col min="3107" max="3107" width="2.85546875" style="1096" customWidth="1"/>
    <col min="3108" max="3108" width="2.140625" style="1096" customWidth="1"/>
    <col min="3109" max="3109" width="3.42578125" style="1096" customWidth="1"/>
    <col min="3110" max="3110" width="9" style="1096" customWidth="1"/>
    <col min="3111" max="3111" width="1.5703125" style="1096" customWidth="1"/>
    <col min="3112" max="3112" width="1" style="1096" customWidth="1"/>
    <col min="3113" max="3113" width="1.140625" style="1096" customWidth="1"/>
    <col min="3114" max="3328" width="6.85546875" style="1096" customWidth="1"/>
    <col min="3329" max="3329" width="1.140625" style="1096" customWidth="1"/>
    <col min="3330" max="3330" width="2" style="1096" customWidth="1"/>
    <col min="3331" max="3332" width="1.7109375" style="1096" customWidth="1"/>
    <col min="3333" max="3333" width="1.42578125" style="1096" customWidth="1"/>
    <col min="3334" max="3334" width="1.140625" style="1096" customWidth="1"/>
    <col min="3335" max="3335" width="1" style="1096" customWidth="1"/>
    <col min="3336" max="3336" width="4.85546875" style="1096" customWidth="1"/>
    <col min="3337" max="3337" width="2.7109375" style="1096" customWidth="1"/>
    <col min="3338" max="3338" width="1.42578125" style="1096" customWidth="1"/>
    <col min="3339" max="3339" width="2.5703125" style="1096" customWidth="1"/>
    <col min="3340" max="3340" width="3" style="1096" customWidth="1"/>
    <col min="3341" max="3341" width="6.7109375" style="1096" customWidth="1"/>
    <col min="3342" max="3342" width="4.28515625" style="1096" customWidth="1"/>
    <col min="3343" max="3343" width="3.42578125" style="1096" customWidth="1"/>
    <col min="3344" max="3344" width="1.28515625" style="1096" customWidth="1"/>
    <col min="3345" max="3345" width="1.5703125" style="1096" customWidth="1"/>
    <col min="3346" max="3346" width="2.28515625" style="1096" customWidth="1"/>
    <col min="3347" max="3347" width="1" style="1096" customWidth="1"/>
    <col min="3348" max="3348" width="1.42578125" style="1096" customWidth="1"/>
    <col min="3349" max="3349" width="2.140625" style="1096" customWidth="1"/>
    <col min="3350" max="3350" width="11.5703125" style="1096" customWidth="1"/>
    <col min="3351" max="3351" width="7" style="1096" customWidth="1"/>
    <col min="3352" max="3352" width="1.28515625" style="1096" customWidth="1"/>
    <col min="3353" max="3353" width="1.140625" style="1096" customWidth="1"/>
    <col min="3354" max="3354" width="1" style="1096" customWidth="1"/>
    <col min="3355" max="3355" width="1.5703125" style="1096" customWidth="1"/>
    <col min="3356" max="3356" width="5.28515625" style="1096" customWidth="1"/>
    <col min="3357" max="3357" width="1.140625" style="1096" customWidth="1"/>
    <col min="3358" max="3358" width="11.85546875" style="1096" customWidth="1"/>
    <col min="3359" max="3360" width="1.140625" style="1096" customWidth="1"/>
    <col min="3361" max="3361" width="1" style="1096" customWidth="1"/>
    <col min="3362" max="3362" width="1.140625" style="1096" customWidth="1"/>
    <col min="3363" max="3363" width="2.85546875" style="1096" customWidth="1"/>
    <col min="3364" max="3364" width="2.140625" style="1096" customWidth="1"/>
    <col min="3365" max="3365" width="3.42578125" style="1096" customWidth="1"/>
    <col min="3366" max="3366" width="9" style="1096" customWidth="1"/>
    <col min="3367" max="3367" width="1.5703125" style="1096" customWidth="1"/>
    <col min="3368" max="3368" width="1" style="1096" customWidth="1"/>
    <col min="3369" max="3369" width="1.140625" style="1096" customWidth="1"/>
    <col min="3370" max="3584" width="6.85546875" style="1096" customWidth="1"/>
    <col min="3585" max="3585" width="1.140625" style="1096" customWidth="1"/>
    <col min="3586" max="3586" width="2" style="1096" customWidth="1"/>
    <col min="3587" max="3588" width="1.7109375" style="1096" customWidth="1"/>
    <col min="3589" max="3589" width="1.42578125" style="1096" customWidth="1"/>
    <col min="3590" max="3590" width="1.140625" style="1096" customWidth="1"/>
    <col min="3591" max="3591" width="1" style="1096" customWidth="1"/>
    <col min="3592" max="3592" width="4.85546875" style="1096" customWidth="1"/>
    <col min="3593" max="3593" width="2.7109375" style="1096" customWidth="1"/>
    <col min="3594" max="3594" width="1.42578125" style="1096" customWidth="1"/>
    <col min="3595" max="3595" width="2.5703125" style="1096" customWidth="1"/>
    <col min="3596" max="3596" width="3" style="1096" customWidth="1"/>
    <col min="3597" max="3597" width="6.7109375" style="1096" customWidth="1"/>
    <col min="3598" max="3598" width="4.28515625" style="1096" customWidth="1"/>
    <col min="3599" max="3599" width="3.42578125" style="1096" customWidth="1"/>
    <col min="3600" max="3600" width="1.28515625" style="1096" customWidth="1"/>
    <col min="3601" max="3601" width="1.5703125" style="1096" customWidth="1"/>
    <col min="3602" max="3602" width="2.28515625" style="1096" customWidth="1"/>
    <col min="3603" max="3603" width="1" style="1096" customWidth="1"/>
    <col min="3604" max="3604" width="1.42578125" style="1096" customWidth="1"/>
    <col min="3605" max="3605" width="2.140625" style="1096" customWidth="1"/>
    <col min="3606" max="3606" width="11.5703125" style="1096" customWidth="1"/>
    <col min="3607" max="3607" width="7" style="1096" customWidth="1"/>
    <col min="3608" max="3608" width="1.28515625" style="1096" customWidth="1"/>
    <col min="3609" max="3609" width="1.140625" style="1096" customWidth="1"/>
    <col min="3610" max="3610" width="1" style="1096" customWidth="1"/>
    <col min="3611" max="3611" width="1.5703125" style="1096" customWidth="1"/>
    <col min="3612" max="3612" width="5.28515625" style="1096" customWidth="1"/>
    <col min="3613" max="3613" width="1.140625" style="1096" customWidth="1"/>
    <col min="3614" max="3614" width="11.85546875" style="1096" customWidth="1"/>
    <col min="3615" max="3616" width="1.140625" style="1096" customWidth="1"/>
    <col min="3617" max="3617" width="1" style="1096" customWidth="1"/>
    <col min="3618" max="3618" width="1.140625" style="1096" customWidth="1"/>
    <col min="3619" max="3619" width="2.85546875" style="1096" customWidth="1"/>
    <col min="3620" max="3620" width="2.140625" style="1096" customWidth="1"/>
    <col min="3621" max="3621" width="3.42578125" style="1096" customWidth="1"/>
    <col min="3622" max="3622" width="9" style="1096" customWidth="1"/>
    <col min="3623" max="3623" width="1.5703125" style="1096" customWidth="1"/>
    <col min="3624" max="3624" width="1" style="1096" customWidth="1"/>
    <col min="3625" max="3625" width="1.140625" style="1096" customWidth="1"/>
    <col min="3626" max="3840" width="6.85546875" style="1096" customWidth="1"/>
    <col min="3841" max="3841" width="1.140625" style="1096" customWidth="1"/>
    <col min="3842" max="3842" width="2" style="1096" customWidth="1"/>
    <col min="3843" max="3844" width="1.7109375" style="1096" customWidth="1"/>
    <col min="3845" max="3845" width="1.42578125" style="1096" customWidth="1"/>
    <col min="3846" max="3846" width="1.140625" style="1096" customWidth="1"/>
    <col min="3847" max="3847" width="1" style="1096" customWidth="1"/>
    <col min="3848" max="3848" width="4.85546875" style="1096" customWidth="1"/>
    <col min="3849" max="3849" width="2.7109375" style="1096" customWidth="1"/>
    <col min="3850" max="3850" width="1.42578125" style="1096" customWidth="1"/>
    <col min="3851" max="3851" width="2.5703125" style="1096" customWidth="1"/>
    <col min="3852" max="3852" width="3" style="1096" customWidth="1"/>
    <col min="3853" max="3853" width="6.7109375" style="1096" customWidth="1"/>
    <col min="3854" max="3854" width="4.28515625" style="1096" customWidth="1"/>
    <col min="3855" max="3855" width="3.42578125" style="1096" customWidth="1"/>
    <col min="3856" max="3856" width="1.28515625" style="1096" customWidth="1"/>
    <col min="3857" max="3857" width="1.5703125" style="1096" customWidth="1"/>
    <col min="3858" max="3858" width="2.28515625" style="1096" customWidth="1"/>
    <col min="3859" max="3859" width="1" style="1096" customWidth="1"/>
    <col min="3860" max="3860" width="1.42578125" style="1096" customWidth="1"/>
    <col min="3861" max="3861" width="2.140625" style="1096" customWidth="1"/>
    <col min="3862" max="3862" width="11.5703125" style="1096" customWidth="1"/>
    <col min="3863" max="3863" width="7" style="1096" customWidth="1"/>
    <col min="3864" max="3864" width="1.28515625" style="1096" customWidth="1"/>
    <col min="3865" max="3865" width="1.140625" style="1096" customWidth="1"/>
    <col min="3866" max="3866" width="1" style="1096" customWidth="1"/>
    <col min="3867" max="3867" width="1.5703125" style="1096" customWidth="1"/>
    <col min="3868" max="3868" width="5.28515625" style="1096" customWidth="1"/>
    <col min="3869" max="3869" width="1.140625" style="1096" customWidth="1"/>
    <col min="3870" max="3870" width="11.85546875" style="1096" customWidth="1"/>
    <col min="3871" max="3872" width="1.140625" style="1096" customWidth="1"/>
    <col min="3873" max="3873" width="1" style="1096" customWidth="1"/>
    <col min="3874" max="3874" width="1.140625" style="1096" customWidth="1"/>
    <col min="3875" max="3875" width="2.85546875" style="1096" customWidth="1"/>
    <col min="3876" max="3876" width="2.140625" style="1096" customWidth="1"/>
    <col min="3877" max="3877" width="3.42578125" style="1096" customWidth="1"/>
    <col min="3878" max="3878" width="9" style="1096" customWidth="1"/>
    <col min="3879" max="3879" width="1.5703125" style="1096" customWidth="1"/>
    <col min="3880" max="3880" width="1" style="1096" customWidth="1"/>
    <col min="3881" max="3881" width="1.140625" style="1096" customWidth="1"/>
    <col min="3882" max="4096" width="6.85546875" style="1096" customWidth="1"/>
    <col min="4097" max="4097" width="1.140625" style="1096" customWidth="1"/>
    <col min="4098" max="4098" width="2" style="1096" customWidth="1"/>
    <col min="4099" max="4100" width="1.7109375" style="1096" customWidth="1"/>
    <col min="4101" max="4101" width="1.42578125" style="1096" customWidth="1"/>
    <col min="4102" max="4102" width="1.140625" style="1096" customWidth="1"/>
    <col min="4103" max="4103" width="1" style="1096" customWidth="1"/>
    <col min="4104" max="4104" width="4.85546875" style="1096" customWidth="1"/>
    <col min="4105" max="4105" width="2.7109375" style="1096" customWidth="1"/>
    <col min="4106" max="4106" width="1.42578125" style="1096" customWidth="1"/>
    <col min="4107" max="4107" width="2.5703125" style="1096" customWidth="1"/>
    <col min="4108" max="4108" width="3" style="1096" customWidth="1"/>
    <col min="4109" max="4109" width="6.7109375" style="1096" customWidth="1"/>
    <col min="4110" max="4110" width="4.28515625" style="1096" customWidth="1"/>
    <col min="4111" max="4111" width="3.42578125" style="1096" customWidth="1"/>
    <col min="4112" max="4112" width="1.28515625" style="1096" customWidth="1"/>
    <col min="4113" max="4113" width="1.5703125" style="1096" customWidth="1"/>
    <col min="4114" max="4114" width="2.28515625" style="1096" customWidth="1"/>
    <col min="4115" max="4115" width="1" style="1096" customWidth="1"/>
    <col min="4116" max="4116" width="1.42578125" style="1096" customWidth="1"/>
    <col min="4117" max="4117" width="2.140625" style="1096" customWidth="1"/>
    <col min="4118" max="4118" width="11.5703125" style="1096" customWidth="1"/>
    <col min="4119" max="4119" width="7" style="1096" customWidth="1"/>
    <col min="4120" max="4120" width="1.28515625" style="1096" customWidth="1"/>
    <col min="4121" max="4121" width="1.140625" style="1096" customWidth="1"/>
    <col min="4122" max="4122" width="1" style="1096" customWidth="1"/>
    <col min="4123" max="4123" width="1.5703125" style="1096" customWidth="1"/>
    <col min="4124" max="4124" width="5.28515625" style="1096" customWidth="1"/>
    <col min="4125" max="4125" width="1.140625" style="1096" customWidth="1"/>
    <col min="4126" max="4126" width="11.85546875" style="1096" customWidth="1"/>
    <col min="4127" max="4128" width="1.140625" style="1096" customWidth="1"/>
    <col min="4129" max="4129" width="1" style="1096" customWidth="1"/>
    <col min="4130" max="4130" width="1.140625" style="1096" customWidth="1"/>
    <col min="4131" max="4131" width="2.85546875" style="1096" customWidth="1"/>
    <col min="4132" max="4132" width="2.140625" style="1096" customWidth="1"/>
    <col min="4133" max="4133" width="3.42578125" style="1096" customWidth="1"/>
    <col min="4134" max="4134" width="9" style="1096" customWidth="1"/>
    <col min="4135" max="4135" width="1.5703125" style="1096" customWidth="1"/>
    <col min="4136" max="4136" width="1" style="1096" customWidth="1"/>
    <col min="4137" max="4137" width="1.140625" style="1096" customWidth="1"/>
    <col min="4138" max="4352" width="6.85546875" style="1096" customWidth="1"/>
    <col min="4353" max="4353" width="1.140625" style="1096" customWidth="1"/>
    <col min="4354" max="4354" width="2" style="1096" customWidth="1"/>
    <col min="4355" max="4356" width="1.7109375" style="1096" customWidth="1"/>
    <col min="4357" max="4357" width="1.42578125" style="1096" customWidth="1"/>
    <col min="4358" max="4358" width="1.140625" style="1096" customWidth="1"/>
    <col min="4359" max="4359" width="1" style="1096" customWidth="1"/>
    <col min="4360" max="4360" width="4.85546875" style="1096" customWidth="1"/>
    <col min="4361" max="4361" width="2.7109375" style="1096" customWidth="1"/>
    <col min="4362" max="4362" width="1.42578125" style="1096" customWidth="1"/>
    <col min="4363" max="4363" width="2.5703125" style="1096" customWidth="1"/>
    <col min="4364" max="4364" width="3" style="1096" customWidth="1"/>
    <col min="4365" max="4365" width="6.7109375" style="1096" customWidth="1"/>
    <col min="4366" max="4366" width="4.28515625" style="1096" customWidth="1"/>
    <col min="4367" max="4367" width="3.42578125" style="1096" customWidth="1"/>
    <col min="4368" max="4368" width="1.28515625" style="1096" customWidth="1"/>
    <col min="4369" max="4369" width="1.5703125" style="1096" customWidth="1"/>
    <col min="4370" max="4370" width="2.28515625" style="1096" customWidth="1"/>
    <col min="4371" max="4371" width="1" style="1096" customWidth="1"/>
    <col min="4372" max="4372" width="1.42578125" style="1096" customWidth="1"/>
    <col min="4373" max="4373" width="2.140625" style="1096" customWidth="1"/>
    <col min="4374" max="4374" width="11.5703125" style="1096" customWidth="1"/>
    <col min="4375" max="4375" width="7" style="1096" customWidth="1"/>
    <col min="4376" max="4376" width="1.28515625" style="1096" customWidth="1"/>
    <col min="4377" max="4377" width="1.140625" style="1096" customWidth="1"/>
    <col min="4378" max="4378" width="1" style="1096" customWidth="1"/>
    <col min="4379" max="4379" width="1.5703125" style="1096" customWidth="1"/>
    <col min="4380" max="4380" width="5.28515625" style="1096" customWidth="1"/>
    <col min="4381" max="4381" width="1.140625" style="1096" customWidth="1"/>
    <col min="4382" max="4382" width="11.85546875" style="1096" customWidth="1"/>
    <col min="4383" max="4384" width="1.140625" style="1096" customWidth="1"/>
    <col min="4385" max="4385" width="1" style="1096" customWidth="1"/>
    <col min="4386" max="4386" width="1.140625" style="1096" customWidth="1"/>
    <col min="4387" max="4387" width="2.85546875" style="1096" customWidth="1"/>
    <col min="4388" max="4388" width="2.140625" style="1096" customWidth="1"/>
    <col min="4389" max="4389" width="3.42578125" style="1096" customWidth="1"/>
    <col min="4390" max="4390" width="9" style="1096" customWidth="1"/>
    <col min="4391" max="4391" width="1.5703125" style="1096" customWidth="1"/>
    <col min="4392" max="4392" width="1" style="1096" customWidth="1"/>
    <col min="4393" max="4393" width="1.140625" style="1096" customWidth="1"/>
    <col min="4394" max="4608" width="6.85546875" style="1096" customWidth="1"/>
    <col min="4609" max="4609" width="1.140625" style="1096" customWidth="1"/>
    <col min="4610" max="4610" width="2" style="1096" customWidth="1"/>
    <col min="4611" max="4612" width="1.7109375" style="1096" customWidth="1"/>
    <col min="4613" max="4613" width="1.42578125" style="1096" customWidth="1"/>
    <col min="4614" max="4614" width="1.140625" style="1096" customWidth="1"/>
    <col min="4615" max="4615" width="1" style="1096" customWidth="1"/>
    <col min="4616" max="4616" width="4.85546875" style="1096" customWidth="1"/>
    <col min="4617" max="4617" width="2.7109375" style="1096" customWidth="1"/>
    <col min="4618" max="4618" width="1.42578125" style="1096" customWidth="1"/>
    <col min="4619" max="4619" width="2.5703125" style="1096" customWidth="1"/>
    <col min="4620" max="4620" width="3" style="1096" customWidth="1"/>
    <col min="4621" max="4621" width="6.7109375" style="1096" customWidth="1"/>
    <col min="4622" max="4622" width="4.28515625" style="1096" customWidth="1"/>
    <col min="4623" max="4623" width="3.42578125" style="1096" customWidth="1"/>
    <col min="4624" max="4624" width="1.28515625" style="1096" customWidth="1"/>
    <col min="4625" max="4625" width="1.5703125" style="1096" customWidth="1"/>
    <col min="4626" max="4626" width="2.28515625" style="1096" customWidth="1"/>
    <col min="4627" max="4627" width="1" style="1096" customWidth="1"/>
    <col min="4628" max="4628" width="1.42578125" style="1096" customWidth="1"/>
    <col min="4629" max="4629" width="2.140625" style="1096" customWidth="1"/>
    <col min="4630" max="4630" width="11.5703125" style="1096" customWidth="1"/>
    <col min="4631" max="4631" width="7" style="1096" customWidth="1"/>
    <col min="4632" max="4632" width="1.28515625" style="1096" customWidth="1"/>
    <col min="4633" max="4633" width="1.140625" style="1096" customWidth="1"/>
    <col min="4634" max="4634" width="1" style="1096" customWidth="1"/>
    <col min="4635" max="4635" width="1.5703125" style="1096" customWidth="1"/>
    <col min="4636" max="4636" width="5.28515625" style="1096" customWidth="1"/>
    <col min="4637" max="4637" width="1.140625" style="1096" customWidth="1"/>
    <col min="4638" max="4638" width="11.85546875" style="1096" customWidth="1"/>
    <col min="4639" max="4640" width="1.140625" style="1096" customWidth="1"/>
    <col min="4641" max="4641" width="1" style="1096" customWidth="1"/>
    <col min="4642" max="4642" width="1.140625" style="1096" customWidth="1"/>
    <col min="4643" max="4643" width="2.85546875" style="1096" customWidth="1"/>
    <col min="4644" max="4644" width="2.140625" style="1096" customWidth="1"/>
    <col min="4645" max="4645" width="3.42578125" style="1096" customWidth="1"/>
    <col min="4646" max="4646" width="9" style="1096" customWidth="1"/>
    <col min="4647" max="4647" width="1.5703125" style="1096" customWidth="1"/>
    <col min="4648" max="4648" width="1" style="1096" customWidth="1"/>
    <col min="4649" max="4649" width="1.140625" style="1096" customWidth="1"/>
    <col min="4650" max="4864" width="6.85546875" style="1096" customWidth="1"/>
    <col min="4865" max="4865" width="1.140625" style="1096" customWidth="1"/>
    <col min="4866" max="4866" width="2" style="1096" customWidth="1"/>
    <col min="4867" max="4868" width="1.7109375" style="1096" customWidth="1"/>
    <col min="4869" max="4869" width="1.42578125" style="1096" customWidth="1"/>
    <col min="4870" max="4870" width="1.140625" style="1096" customWidth="1"/>
    <col min="4871" max="4871" width="1" style="1096" customWidth="1"/>
    <col min="4872" max="4872" width="4.85546875" style="1096" customWidth="1"/>
    <col min="4873" max="4873" width="2.7109375" style="1096" customWidth="1"/>
    <col min="4874" max="4874" width="1.42578125" style="1096" customWidth="1"/>
    <col min="4875" max="4875" width="2.5703125" style="1096" customWidth="1"/>
    <col min="4876" max="4876" width="3" style="1096" customWidth="1"/>
    <col min="4877" max="4877" width="6.7109375" style="1096" customWidth="1"/>
    <col min="4878" max="4878" width="4.28515625" style="1096" customWidth="1"/>
    <col min="4879" max="4879" width="3.42578125" style="1096" customWidth="1"/>
    <col min="4880" max="4880" width="1.28515625" style="1096" customWidth="1"/>
    <col min="4881" max="4881" width="1.5703125" style="1096" customWidth="1"/>
    <col min="4882" max="4882" width="2.28515625" style="1096" customWidth="1"/>
    <col min="4883" max="4883" width="1" style="1096" customWidth="1"/>
    <col min="4884" max="4884" width="1.42578125" style="1096" customWidth="1"/>
    <col min="4885" max="4885" width="2.140625" style="1096" customWidth="1"/>
    <col min="4886" max="4886" width="11.5703125" style="1096" customWidth="1"/>
    <col min="4887" max="4887" width="7" style="1096" customWidth="1"/>
    <col min="4888" max="4888" width="1.28515625" style="1096" customWidth="1"/>
    <col min="4889" max="4889" width="1.140625" style="1096" customWidth="1"/>
    <col min="4890" max="4890" width="1" style="1096" customWidth="1"/>
    <col min="4891" max="4891" width="1.5703125" style="1096" customWidth="1"/>
    <col min="4892" max="4892" width="5.28515625" style="1096" customWidth="1"/>
    <col min="4893" max="4893" width="1.140625" style="1096" customWidth="1"/>
    <col min="4894" max="4894" width="11.85546875" style="1096" customWidth="1"/>
    <col min="4895" max="4896" width="1.140625" style="1096" customWidth="1"/>
    <col min="4897" max="4897" width="1" style="1096" customWidth="1"/>
    <col min="4898" max="4898" width="1.140625" style="1096" customWidth="1"/>
    <col min="4899" max="4899" width="2.85546875" style="1096" customWidth="1"/>
    <col min="4900" max="4900" width="2.140625" style="1096" customWidth="1"/>
    <col min="4901" max="4901" width="3.42578125" style="1096" customWidth="1"/>
    <col min="4902" max="4902" width="9" style="1096" customWidth="1"/>
    <col min="4903" max="4903" width="1.5703125" style="1096" customWidth="1"/>
    <col min="4904" max="4904" width="1" style="1096" customWidth="1"/>
    <col min="4905" max="4905" width="1.140625" style="1096" customWidth="1"/>
    <col min="4906" max="5120" width="6.85546875" style="1096" customWidth="1"/>
    <col min="5121" max="5121" width="1.140625" style="1096" customWidth="1"/>
    <col min="5122" max="5122" width="2" style="1096" customWidth="1"/>
    <col min="5123" max="5124" width="1.7109375" style="1096" customWidth="1"/>
    <col min="5125" max="5125" width="1.42578125" style="1096" customWidth="1"/>
    <col min="5126" max="5126" width="1.140625" style="1096" customWidth="1"/>
    <col min="5127" max="5127" width="1" style="1096" customWidth="1"/>
    <col min="5128" max="5128" width="4.85546875" style="1096" customWidth="1"/>
    <col min="5129" max="5129" width="2.7109375" style="1096" customWidth="1"/>
    <col min="5130" max="5130" width="1.42578125" style="1096" customWidth="1"/>
    <col min="5131" max="5131" width="2.5703125" style="1096" customWidth="1"/>
    <col min="5132" max="5132" width="3" style="1096" customWidth="1"/>
    <col min="5133" max="5133" width="6.7109375" style="1096" customWidth="1"/>
    <col min="5134" max="5134" width="4.28515625" style="1096" customWidth="1"/>
    <col min="5135" max="5135" width="3.42578125" style="1096" customWidth="1"/>
    <col min="5136" max="5136" width="1.28515625" style="1096" customWidth="1"/>
    <col min="5137" max="5137" width="1.5703125" style="1096" customWidth="1"/>
    <col min="5138" max="5138" width="2.28515625" style="1096" customWidth="1"/>
    <col min="5139" max="5139" width="1" style="1096" customWidth="1"/>
    <col min="5140" max="5140" width="1.42578125" style="1096" customWidth="1"/>
    <col min="5141" max="5141" width="2.140625" style="1096" customWidth="1"/>
    <col min="5142" max="5142" width="11.5703125" style="1096" customWidth="1"/>
    <col min="5143" max="5143" width="7" style="1096" customWidth="1"/>
    <col min="5144" max="5144" width="1.28515625" style="1096" customWidth="1"/>
    <col min="5145" max="5145" width="1.140625" style="1096" customWidth="1"/>
    <col min="5146" max="5146" width="1" style="1096" customWidth="1"/>
    <col min="5147" max="5147" width="1.5703125" style="1096" customWidth="1"/>
    <col min="5148" max="5148" width="5.28515625" style="1096" customWidth="1"/>
    <col min="5149" max="5149" width="1.140625" style="1096" customWidth="1"/>
    <col min="5150" max="5150" width="11.85546875" style="1096" customWidth="1"/>
    <col min="5151" max="5152" width="1.140625" style="1096" customWidth="1"/>
    <col min="5153" max="5153" width="1" style="1096" customWidth="1"/>
    <col min="5154" max="5154" width="1.140625" style="1096" customWidth="1"/>
    <col min="5155" max="5155" width="2.85546875" style="1096" customWidth="1"/>
    <col min="5156" max="5156" width="2.140625" style="1096" customWidth="1"/>
    <col min="5157" max="5157" width="3.42578125" style="1096" customWidth="1"/>
    <col min="5158" max="5158" width="9" style="1096" customWidth="1"/>
    <col min="5159" max="5159" width="1.5703125" style="1096" customWidth="1"/>
    <col min="5160" max="5160" width="1" style="1096" customWidth="1"/>
    <col min="5161" max="5161" width="1.140625" style="1096" customWidth="1"/>
    <col min="5162" max="5376" width="6.85546875" style="1096" customWidth="1"/>
    <col min="5377" max="5377" width="1.140625" style="1096" customWidth="1"/>
    <col min="5378" max="5378" width="2" style="1096" customWidth="1"/>
    <col min="5379" max="5380" width="1.7109375" style="1096" customWidth="1"/>
    <col min="5381" max="5381" width="1.42578125" style="1096" customWidth="1"/>
    <col min="5382" max="5382" width="1.140625" style="1096" customWidth="1"/>
    <col min="5383" max="5383" width="1" style="1096" customWidth="1"/>
    <col min="5384" max="5384" width="4.85546875" style="1096" customWidth="1"/>
    <col min="5385" max="5385" width="2.7109375" style="1096" customWidth="1"/>
    <col min="5386" max="5386" width="1.42578125" style="1096" customWidth="1"/>
    <col min="5387" max="5387" width="2.5703125" style="1096" customWidth="1"/>
    <col min="5388" max="5388" width="3" style="1096" customWidth="1"/>
    <col min="5389" max="5389" width="6.7109375" style="1096" customWidth="1"/>
    <col min="5390" max="5390" width="4.28515625" style="1096" customWidth="1"/>
    <col min="5391" max="5391" width="3.42578125" style="1096" customWidth="1"/>
    <col min="5392" max="5392" width="1.28515625" style="1096" customWidth="1"/>
    <col min="5393" max="5393" width="1.5703125" style="1096" customWidth="1"/>
    <col min="5394" max="5394" width="2.28515625" style="1096" customWidth="1"/>
    <col min="5395" max="5395" width="1" style="1096" customWidth="1"/>
    <col min="5396" max="5396" width="1.42578125" style="1096" customWidth="1"/>
    <col min="5397" max="5397" width="2.140625" style="1096" customWidth="1"/>
    <col min="5398" max="5398" width="11.5703125" style="1096" customWidth="1"/>
    <col min="5399" max="5399" width="7" style="1096" customWidth="1"/>
    <col min="5400" max="5400" width="1.28515625" style="1096" customWidth="1"/>
    <col min="5401" max="5401" width="1.140625" style="1096" customWidth="1"/>
    <col min="5402" max="5402" width="1" style="1096" customWidth="1"/>
    <col min="5403" max="5403" width="1.5703125" style="1096" customWidth="1"/>
    <col min="5404" max="5404" width="5.28515625" style="1096" customWidth="1"/>
    <col min="5405" max="5405" width="1.140625" style="1096" customWidth="1"/>
    <col min="5406" max="5406" width="11.85546875" style="1096" customWidth="1"/>
    <col min="5407" max="5408" width="1.140625" style="1096" customWidth="1"/>
    <col min="5409" max="5409" width="1" style="1096" customWidth="1"/>
    <col min="5410" max="5410" width="1.140625" style="1096" customWidth="1"/>
    <col min="5411" max="5411" width="2.85546875" style="1096" customWidth="1"/>
    <col min="5412" max="5412" width="2.140625" style="1096" customWidth="1"/>
    <col min="5413" max="5413" width="3.42578125" style="1096" customWidth="1"/>
    <col min="5414" max="5414" width="9" style="1096" customWidth="1"/>
    <col min="5415" max="5415" width="1.5703125" style="1096" customWidth="1"/>
    <col min="5416" max="5416" width="1" style="1096" customWidth="1"/>
    <col min="5417" max="5417" width="1.140625" style="1096" customWidth="1"/>
    <col min="5418" max="5632" width="6.85546875" style="1096" customWidth="1"/>
    <col min="5633" max="5633" width="1.140625" style="1096" customWidth="1"/>
    <col min="5634" max="5634" width="2" style="1096" customWidth="1"/>
    <col min="5635" max="5636" width="1.7109375" style="1096" customWidth="1"/>
    <col min="5637" max="5637" width="1.42578125" style="1096" customWidth="1"/>
    <col min="5638" max="5638" width="1.140625" style="1096" customWidth="1"/>
    <col min="5639" max="5639" width="1" style="1096" customWidth="1"/>
    <col min="5640" max="5640" width="4.85546875" style="1096" customWidth="1"/>
    <col min="5641" max="5641" width="2.7109375" style="1096" customWidth="1"/>
    <col min="5642" max="5642" width="1.42578125" style="1096" customWidth="1"/>
    <col min="5643" max="5643" width="2.5703125" style="1096" customWidth="1"/>
    <col min="5644" max="5644" width="3" style="1096" customWidth="1"/>
    <col min="5645" max="5645" width="6.7109375" style="1096" customWidth="1"/>
    <col min="5646" max="5646" width="4.28515625" style="1096" customWidth="1"/>
    <col min="5647" max="5647" width="3.42578125" style="1096" customWidth="1"/>
    <col min="5648" max="5648" width="1.28515625" style="1096" customWidth="1"/>
    <col min="5649" max="5649" width="1.5703125" style="1096" customWidth="1"/>
    <col min="5650" max="5650" width="2.28515625" style="1096" customWidth="1"/>
    <col min="5651" max="5651" width="1" style="1096" customWidth="1"/>
    <col min="5652" max="5652" width="1.42578125" style="1096" customWidth="1"/>
    <col min="5653" max="5653" width="2.140625" style="1096" customWidth="1"/>
    <col min="5654" max="5654" width="11.5703125" style="1096" customWidth="1"/>
    <col min="5655" max="5655" width="7" style="1096" customWidth="1"/>
    <col min="5656" max="5656" width="1.28515625" style="1096" customWidth="1"/>
    <col min="5657" max="5657" width="1.140625" style="1096" customWidth="1"/>
    <col min="5658" max="5658" width="1" style="1096" customWidth="1"/>
    <col min="5659" max="5659" width="1.5703125" style="1096" customWidth="1"/>
    <col min="5660" max="5660" width="5.28515625" style="1096" customWidth="1"/>
    <col min="5661" max="5661" width="1.140625" style="1096" customWidth="1"/>
    <col min="5662" max="5662" width="11.85546875" style="1096" customWidth="1"/>
    <col min="5663" max="5664" width="1.140625" style="1096" customWidth="1"/>
    <col min="5665" max="5665" width="1" style="1096" customWidth="1"/>
    <col min="5666" max="5666" width="1.140625" style="1096" customWidth="1"/>
    <col min="5667" max="5667" width="2.85546875" style="1096" customWidth="1"/>
    <col min="5668" max="5668" width="2.140625" style="1096" customWidth="1"/>
    <col min="5669" max="5669" width="3.42578125" style="1096" customWidth="1"/>
    <col min="5670" max="5670" width="9" style="1096" customWidth="1"/>
    <col min="5671" max="5671" width="1.5703125" style="1096" customWidth="1"/>
    <col min="5672" max="5672" width="1" style="1096" customWidth="1"/>
    <col min="5673" max="5673" width="1.140625" style="1096" customWidth="1"/>
    <col min="5674" max="5888" width="6.85546875" style="1096" customWidth="1"/>
    <col min="5889" max="5889" width="1.140625" style="1096" customWidth="1"/>
    <col min="5890" max="5890" width="2" style="1096" customWidth="1"/>
    <col min="5891" max="5892" width="1.7109375" style="1096" customWidth="1"/>
    <col min="5893" max="5893" width="1.42578125" style="1096" customWidth="1"/>
    <col min="5894" max="5894" width="1.140625" style="1096" customWidth="1"/>
    <col min="5895" max="5895" width="1" style="1096" customWidth="1"/>
    <col min="5896" max="5896" width="4.85546875" style="1096" customWidth="1"/>
    <col min="5897" max="5897" width="2.7109375" style="1096" customWidth="1"/>
    <col min="5898" max="5898" width="1.42578125" style="1096" customWidth="1"/>
    <col min="5899" max="5899" width="2.5703125" style="1096" customWidth="1"/>
    <col min="5900" max="5900" width="3" style="1096" customWidth="1"/>
    <col min="5901" max="5901" width="6.7109375" style="1096" customWidth="1"/>
    <col min="5902" max="5902" width="4.28515625" style="1096" customWidth="1"/>
    <col min="5903" max="5903" width="3.42578125" style="1096" customWidth="1"/>
    <col min="5904" max="5904" width="1.28515625" style="1096" customWidth="1"/>
    <col min="5905" max="5905" width="1.5703125" style="1096" customWidth="1"/>
    <col min="5906" max="5906" width="2.28515625" style="1096" customWidth="1"/>
    <col min="5907" max="5907" width="1" style="1096" customWidth="1"/>
    <col min="5908" max="5908" width="1.42578125" style="1096" customWidth="1"/>
    <col min="5909" max="5909" width="2.140625" style="1096" customWidth="1"/>
    <col min="5910" max="5910" width="11.5703125" style="1096" customWidth="1"/>
    <col min="5911" max="5911" width="7" style="1096" customWidth="1"/>
    <col min="5912" max="5912" width="1.28515625" style="1096" customWidth="1"/>
    <col min="5913" max="5913" width="1.140625" style="1096" customWidth="1"/>
    <col min="5914" max="5914" width="1" style="1096" customWidth="1"/>
    <col min="5915" max="5915" width="1.5703125" style="1096" customWidth="1"/>
    <col min="5916" max="5916" width="5.28515625" style="1096" customWidth="1"/>
    <col min="5917" max="5917" width="1.140625" style="1096" customWidth="1"/>
    <col min="5918" max="5918" width="11.85546875" style="1096" customWidth="1"/>
    <col min="5919" max="5920" width="1.140625" style="1096" customWidth="1"/>
    <col min="5921" max="5921" width="1" style="1096" customWidth="1"/>
    <col min="5922" max="5922" width="1.140625" style="1096" customWidth="1"/>
    <col min="5923" max="5923" width="2.85546875" style="1096" customWidth="1"/>
    <col min="5924" max="5924" width="2.140625" style="1096" customWidth="1"/>
    <col min="5925" max="5925" width="3.42578125" style="1096" customWidth="1"/>
    <col min="5926" max="5926" width="9" style="1096" customWidth="1"/>
    <col min="5927" max="5927" width="1.5703125" style="1096" customWidth="1"/>
    <col min="5928" max="5928" width="1" style="1096" customWidth="1"/>
    <col min="5929" max="5929" width="1.140625" style="1096" customWidth="1"/>
    <col min="5930" max="6144" width="6.85546875" style="1096" customWidth="1"/>
    <col min="6145" max="6145" width="1.140625" style="1096" customWidth="1"/>
    <col min="6146" max="6146" width="2" style="1096" customWidth="1"/>
    <col min="6147" max="6148" width="1.7109375" style="1096" customWidth="1"/>
    <col min="6149" max="6149" width="1.42578125" style="1096" customWidth="1"/>
    <col min="6150" max="6150" width="1.140625" style="1096" customWidth="1"/>
    <col min="6151" max="6151" width="1" style="1096" customWidth="1"/>
    <col min="6152" max="6152" width="4.85546875" style="1096" customWidth="1"/>
    <col min="6153" max="6153" width="2.7109375" style="1096" customWidth="1"/>
    <col min="6154" max="6154" width="1.42578125" style="1096" customWidth="1"/>
    <col min="6155" max="6155" width="2.5703125" style="1096" customWidth="1"/>
    <col min="6156" max="6156" width="3" style="1096" customWidth="1"/>
    <col min="6157" max="6157" width="6.7109375" style="1096" customWidth="1"/>
    <col min="6158" max="6158" width="4.28515625" style="1096" customWidth="1"/>
    <col min="6159" max="6159" width="3.42578125" style="1096" customWidth="1"/>
    <col min="6160" max="6160" width="1.28515625" style="1096" customWidth="1"/>
    <col min="6161" max="6161" width="1.5703125" style="1096" customWidth="1"/>
    <col min="6162" max="6162" width="2.28515625" style="1096" customWidth="1"/>
    <col min="6163" max="6163" width="1" style="1096" customWidth="1"/>
    <col min="6164" max="6164" width="1.42578125" style="1096" customWidth="1"/>
    <col min="6165" max="6165" width="2.140625" style="1096" customWidth="1"/>
    <col min="6166" max="6166" width="11.5703125" style="1096" customWidth="1"/>
    <col min="6167" max="6167" width="7" style="1096" customWidth="1"/>
    <col min="6168" max="6168" width="1.28515625" style="1096" customWidth="1"/>
    <col min="6169" max="6169" width="1.140625" style="1096" customWidth="1"/>
    <col min="6170" max="6170" width="1" style="1096" customWidth="1"/>
    <col min="6171" max="6171" width="1.5703125" style="1096" customWidth="1"/>
    <col min="6172" max="6172" width="5.28515625" style="1096" customWidth="1"/>
    <col min="6173" max="6173" width="1.140625" style="1096" customWidth="1"/>
    <col min="6174" max="6174" width="11.85546875" style="1096" customWidth="1"/>
    <col min="6175" max="6176" width="1.140625" style="1096" customWidth="1"/>
    <col min="6177" max="6177" width="1" style="1096" customWidth="1"/>
    <col min="6178" max="6178" width="1.140625" style="1096" customWidth="1"/>
    <col min="6179" max="6179" width="2.85546875" style="1096" customWidth="1"/>
    <col min="6180" max="6180" width="2.140625" style="1096" customWidth="1"/>
    <col min="6181" max="6181" width="3.42578125" style="1096" customWidth="1"/>
    <col min="6182" max="6182" width="9" style="1096" customWidth="1"/>
    <col min="6183" max="6183" width="1.5703125" style="1096" customWidth="1"/>
    <col min="6184" max="6184" width="1" style="1096" customWidth="1"/>
    <col min="6185" max="6185" width="1.140625" style="1096" customWidth="1"/>
    <col min="6186" max="6400" width="6.85546875" style="1096" customWidth="1"/>
    <col min="6401" max="6401" width="1.140625" style="1096" customWidth="1"/>
    <col min="6402" max="6402" width="2" style="1096" customWidth="1"/>
    <col min="6403" max="6404" width="1.7109375" style="1096" customWidth="1"/>
    <col min="6405" max="6405" width="1.42578125" style="1096" customWidth="1"/>
    <col min="6406" max="6406" width="1.140625" style="1096" customWidth="1"/>
    <col min="6407" max="6407" width="1" style="1096" customWidth="1"/>
    <col min="6408" max="6408" width="4.85546875" style="1096" customWidth="1"/>
    <col min="6409" max="6409" width="2.7109375" style="1096" customWidth="1"/>
    <col min="6410" max="6410" width="1.42578125" style="1096" customWidth="1"/>
    <col min="6411" max="6411" width="2.5703125" style="1096" customWidth="1"/>
    <col min="6412" max="6412" width="3" style="1096" customWidth="1"/>
    <col min="6413" max="6413" width="6.7109375" style="1096" customWidth="1"/>
    <col min="6414" max="6414" width="4.28515625" style="1096" customWidth="1"/>
    <col min="6415" max="6415" width="3.42578125" style="1096" customWidth="1"/>
    <col min="6416" max="6416" width="1.28515625" style="1096" customWidth="1"/>
    <col min="6417" max="6417" width="1.5703125" style="1096" customWidth="1"/>
    <col min="6418" max="6418" width="2.28515625" style="1096" customWidth="1"/>
    <col min="6419" max="6419" width="1" style="1096" customWidth="1"/>
    <col min="6420" max="6420" width="1.42578125" style="1096" customWidth="1"/>
    <col min="6421" max="6421" width="2.140625" style="1096" customWidth="1"/>
    <col min="6422" max="6422" width="11.5703125" style="1096" customWidth="1"/>
    <col min="6423" max="6423" width="7" style="1096" customWidth="1"/>
    <col min="6424" max="6424" width="1.28515625" style="1096" customWidth="1"/>
    <col min="6425" max="6425" width="1.140625" style="1096" customWidth="1"/>
    <col min="6426" max="6426" width="1" style="1096" customWidth="1"/>
    <col min="6427" max="6427" width="1.5703125" style="1096" customWidth="1"/>
    <col min="6428" max="6428" width="5.28515625" style="1096" customWidth="1"/>
    <col min="6429" max="6429" width="1.140625" style="1096" customWidth="1"/>
    <col min="6430" max="6430" width="11.85546875" style="1096" customWidth="1"/>
    <col min="6431" max="6432" width="1.140625" style="1096" customWidth="1"/>
    <col min="6433" max="6433" width="1" style="1096" customWidth="1"/>
    <col min="6434" max="6434" width="1.140625" style="1096" customWidth="1"/>
    <col min="6435" max="6435" width="2.85546875" style="1096" customWidth="1"/>
    <col min="6436" max="6436" width="2.140625" style="1096" customWidth="1"/>
    <col min="6437" max="6437" width="3.42578125" style="1096" customWidth="1"/>
    <col min="6438" max="6438" width="9" style="1096" customWidth="1"/>
    <col min="6439" max="6439" width="1.5703125" style="1096" customWidth="1"/>
    <col min="6440" max="6440" width="1" style="1096" customWidth="1"/>
    <col min="6441" max="6441" width="1.140625" style="1096" customWidth="1"/>
    <col min="6442" max="6656" width="6.85546875" style="1096" customWidth="1"/>
    <col min="6657" max="6657" width="1.140625" style="1096" customWidth="1"/>
    <col min="6658" max="6658" width="2" style="1096" customWidth="1"/>
    <col min="6659" max="6660" width="1.7109375" style="1096" customWidth="1"/>
    <col min="6661" max="6661" width="1.42578125" style="1096" customWidth="1"/>
    <col min="6662" max="6662" width="1.140625" style="1096" customWidth="1"/>
    <col min="6663" max="6663" width="1" style="1096" customWidth="1"/>
    <col min="6664" max="6664" width="4.85546875" style="1096" customWidth="1"/>
    <col min="6665" max="6665" width="2.7109375" style="1096" customWidth="1"/>
    <col min="6666" max="6666" width="1.42578125" style="1096" customWidth="1"/>
    <col min="6667" max="6667" width="2.5703125" style="1096" customWidth="1"/>
    <col min="6668" max="6668" width="3" style="1096" customWidth="1"/>
    <col min="6669" max="6669" width="6.7109375" style="1096" customWidth="1"/>
    <col min="6670" max="6670" width="4.28515625" style="1096" customWidth="1"/>
    <col min="6671" max="6671" width="3.42578125" style="1096" customWidth="1"/>
    <col min="6672" max="6672" width="1.28515625" style="1096" customWidth="1"/>
    <col min="6673" max="6673" width="1.5703125" style="1096" customWidth="1"/>
    <col min="6674" max="6674" width="2.28515625" style="1096" customWidth="1"/>
    <col min="6675" max="6675" width="1" style="1096" customWidth="1"/>
    <col min="6676" max="6676" width="1.42578125" style="1096" customWidth="1"/>
    <col min="6677" max="6677" width="2.140625" style="1096" customWidth="1"/>
    <col min="6678" max="6678" width="11.5703125" style="1096" customWidth="1"/>
    <col min="6679" max="6679" width="7" style="1096" customWidth="1"/>
    <col min="6680" max="6680" width="1.28515625" style="1096" customWidth="1"/>
    <col min="6681" max="6681" width="1.140625" style="1096" customWidth="1"/>
    <col min="6682" max="6682" width="1" style="1096" customWidth="1"/>
    <col min="6683" max="6683" width="1.5703125" style="1096" customWidth="1"/>
    <col min="6684" max="6684" width="5.28515625" style="1096" customWidth="1"/>
    <col min="6685" max="6685" width="1.140625" style="1096" customWidth="1"/>
    <col min="6686" max="6686" width="11.85546875" style="1096" customWidth="1"/>
    <col min="6687" max="6688" width="1.140625" style="1096" customWidth="1"/>
    <col min="6689" max="6689" width="1" style="1096" customWidth="1"/>
    <col min="6690" max="6690" width="1.140625" style="1096" customWidth="1"/>
    <col min="6691" max="6691" width="2.85546875" style="1096" customWidth="1"/>
    <col min="6692" max="6692" width="2.140625" style="1096" customWidth="1"/>
    <col min="6693" max="6693" width="3.42578125" style="1096" customWidth="1"/>
    <col min="6694" max="6694" width="9" style="1096" customWidth="1"/>
    <col min="6695" max="6695" width="1.5703125" style="1096" customWidth="1"/>
    <col min="6696" max="6696" width="1" style="1096" customWidth="1"/>
    <col min="6697" max="6697" width="1.140625" style="1096" customWidth="1"/>
    <col min="6698" max="6912" width="6.85546875" style="1096" customWidth="1"/>
    <col min="6913" max="6913" width="1.140625" style="1096" customWidth="1"/>
    <col min="6914" max="6914" width="2" style="1096" customWidth="1"/>
    <col min="6915" max="6916" width="1.7109375" style="1096" customWidth="1"/>
    <col min="6917" max="6917" width="1.42578125" style="1096" customWidth="1"/>
    <col min="6918" max="6918" width="1.140625" style="1096" customWidth="1"/>
    <col min="6919" max="6919" width="1" style="1096" customWidth="1"/>
    <col min="6920" max="6920" width="4.85546875" style="1096" customWidth="1"/>
    <col min="6921" max="6921" width="2.7109375" style="1096" customWidth="1"/>
    <col min="6922" max="6922" width="1.42578125" style="1096" customWidth="1"/>
    <col min="6923" max="6923" width="2.5703125" style="1096" customWidth="1"/>
    <col min="6924" max="6924" width="3" style="1096" customWidth="1"/>
    <col min="6925" max="6925" width="6.7109375" style="1096" customWidth="1"/>
    <col min="6926" max="6926" width="4.28515625" style="1096" customWidth="1"/>
    <col min="6927" max="6927" width="3.42578125" style="1096" customWidth="1"/>
    <col min="6928" max="6928" width="1.28515625" style="1096" customWidth="1"/>
    <col min="6929" max="6929" width="1.5703125" style="1096" customWidth="1"/>
    <col min="6930" max="6930" width="2.28515625" style="1096" customWidth="1"/>
    <col min="6931" max="6931" width="1" style="1096" customWidth="1"/>
    <col min="6932" max="6932" width="1.42578125" style="1096" customWidth="1"/>
    <col min="6933" max="6933" width="2.140625" style="1096" customWidth="1"/>
    <col min="6934" max="6934" width="11.5703125" style="1096" customWidth="1"/>
    <col min="6935" max="6935" width="7" style="1096" customWidth="1"/>
    <col min="6936" max="6936" width="1.28515625" style="1096" customWidth="1"/>
    <col min="6937" max="6937" width="1.140625" style="1096" customWidth="1"/>
    <col min="6938" max="6938" width="1" style="1096" customWidth="1"/>
    <col min="6939" max="6939" width="1.5703125" style="1096" customWidth="1"/>
    <col min="6940" max="6940" width="5.28515625" style="1096" customWidth="1"/>
    <col min="6941" max="6941" width="1.140625" style="1096" customWidth="1"/>
    <col min="6942" max="6942" width="11.85546875" style="1096" customWidth="1"/>
    <col min="6943" max="6944" width="1.140625" style="1096" customWidth="1"/>
    <col min="6945" max="6945" width="1" style="1096" customWidth="1"/>
    <col min="6946" max="6946" width="1.140625" style="1096" customWidth="1"/>
    <col min="6947" max="6947" width="2.85546875" style="1096" customWidth="1"/>
    <col min="6948" max="6948" width="2.140625" style="1096" customWidth="1"/>
    <col min="6949" max="6949" width="3.42578125" style="1096" customWidth="1"/>
    <col min="6950" max="6950" width="9" style="1096" customWidth="1"/>
    <col min="6951" max="6951" width="1.5703125" style="1096" customWidth="1"/>
    <col min="6952" max="6952" width="1" style="1096" customWidth="1"/>
    <col min="6953" max="6953" width="1.140625" style="1096" customWidth="1"/>
    <col min="6954" max="7168" width="6.85546875" style="1096" customWidth="1"/>
    <col min="7169" max="7169" width="1.140625" style="1096" customWidth="1"/>
    <col min="7170" max="7170" width="2" style="1096" customWidth="1"/>
    <col min="7171" max="7172" width="1.7109375" style="1096" customWidth="1"/>
    <col min="7173" max="7173" width="1.42578125" style="1096" customWidth="1"/>
    <col min="7174" max="7174" width="1.140625" style="1096" customWidth="1"/>
    <col min="7175" max="7175" width="1" style="1096" customWidth="1"/>
    <col min="7176" max="7176" width="4.85546875" style="1096" customWidth="1"/>
    <col min="7177" max="7177" width="2.7109375" style="1096" customWidth="1"/>
    <col min="7178" max="7178" width="1.42578125" style="1096" customWidth="1"/>
    <col min="7179" max="7179" width="2.5703125" style="1096" customWidth="1"/>
    <col min="7180" max="7180" width="3" style="1096" customWidth="1"/>
    <col min="7181" max="7181" width="6.7109375" style="1096" customWidth="1"/>
    <col min="7182" max="7182" width="4.28515625" style="1096" customWidth="1"/>
    <col min="7183" max="7183" width="3.42578125" style="1096" customWidth="1"/>
    <col min="7184" max="7184" width="1.28515625" style="1096" customWidth="1"/>
    <col min="7185" max="7185" width="1.5703125" style="1096" customWidth="1"/>
    <col min="7186" max="7186" width="2.28515625" style="1096" customWidth="1"/>
    <col min="7187" max="7187" width="1" style="1096" customWidth="1"/>
    <col min="7188" max="7188" width="1.42578125" style="1096" customWidth="1"/>
    <col min="7189" max="7189" width="2.140625" style="1096" customWidth="1"/>
    <col min="7190" max="7190" width="11.5703125" style="1096" customWidth="1"/>
    <col min="7191" max="7191" width="7" style="1096" customWidth="1"/>
    <col min="7192" max="7192" width="1.28515625" style="1096" customWidth="1"/>
    <col min="7193" max="7193" width="1.140625" style="1096" customWidth="1"/>
    <col min="7194" max="7194" width="1" style="1096" customWidth="1"/>
    <col min="7195" max="7195" width="1.5703125" style="1096" customWidth="1"/>
    <col min="7196" max="7196" width="5.28515625" style="1096" customWidth="1"/>
    <col min="7197" max="7197" width="1.140625" style="1096" customWidth="1"/>
    <col min="7198" max="7198" width="11.85546875" style="1096" customWidth="1"/>
    <col min="7199" max="7200" width="1.140625" style="1096" customWidth="1"/>
    <col min="7201" max="7201" width="1" style="1096" customWidth="1"/>
    <col min="7202" max="7202" width="1.140625" style="1096" customWidth="1"/>
    <col min="7203" max="7203" width="2.85546875" style="1096" customWidth="1"/>
    <col min="7204" max="7204" width="2.140625" style="1096" customWidth="1"/>
    <col min="7205" max="7205" width="3.42578125" style="1096" customWidth="1"/>
    <col min="7206" max="7206" width="9" style="1096" customWidth="1"/>
    <col min="7207" max="7207" width="1.5703125" style="1096" customWidth="1"/>
    <col min="7208" max="7208" width="1" style="1096" customWidth="1"/>
    <col min="7209" max="7209" width="1.140625" style="1096" customWidth="1"/>
    <col min="7210" max="7424" width="6.85546875" style="1096" customWidth="1"/>
    <col min="7425" max="7425" width="1.140625" style="1096" customWidth="1"/>
    <col min="7426" max="7426" width="2" style="1096" customWidth="1"/>
    <col min="7427" max="7428" width="1.7109375" style="1096" customWidth="1"/>
    <col min="7429" max="7429" width="1.42578125" style="1096" customWidth="1"/>
    <col min="7430" max="7430" width="1.140625" style="1096" customWidth="1"/>
    <col min="7431" max="7431" width="1" style="1096" customWidth="1"/>
    <col min="7432" max="7432" width="4.85546875" style="1096" customWidth="1"/>
    <col min="7433" max="7433" width="2.7109375" style="1096" customWidth="1"/>
    <col min="7434" max="7434" width="1.42578125" style="1096" customWidth="1"/>
    <col min="7435" max="7435" width="2.5703125" style="1096" customWidth="1"/>
    <col min="7436" max="7436" width="3" style="1096" customWidth="1"/>
    <col min="7437" max="7437" width="6.7109375" style="1096" customWidth="1"/>
    <col min="7438" max="7438" width="4.28515625" style="1096" customWidth="1"/>
    <col min="7439" max="7439" width="3.42578125" style="1096" customWidth="1"/>
    <col min="7440" max="7440" width="1.28515625" style="1096" customWidth="1"/>
    <col min="7441" max="7441" width="1.5703125" style="1096" customWidth="1"/>
    <col min="7442" max="7442" width="2.28515625" style="1096" customWidth="1"/>
    <col min="7443" max="7443" width="1" style="1096" customWidth="1"/>
    <col min="7444" max="7444" width="1.42578125" style="1096" customWidth="1"/>
    <col min="7445" max="7445" width="2.140625" style="1096" customWidth="1"/>
    <col min="7446" max="7446" width="11.5703125" style="1096" customWidth="1"/>
    <col min="7447" max="7447" width="7" style="1096" customWidth="1"/>
    <col min="7448" max="7448" width="1.28515625" style="1096" customWidth="1"/>
    <col min="7449" max="7449" width="1.140625" style="1096" customWidth="1"/>
    <col min="7450" max="7450" width="1" style="1096" customWidth="1"/>
    <col min="7451" max="7451" width="1.5703125" style="1096" customWidth="1"/>
    <col min="7452" max="7452" width="5.28515625" style="1096" customWidth="1"/>
    <col min="7453" max="7453" width="1.140625" style="1096" customWidth="1"/>
    <col min="7454" max="7454" width="11.85546875" style="1096" customWidth="1"/>
    <col min="7455" max="7456" width="1.140625" style="1096" customWidth="1"/>
    <col min="7457" max="7457" width="1" style="1096" customWidth="1"/>
    <col min="7458" max="7458" width="1.140625" style="1096" customWidth="1"/>
    <col min="7459" max="7459" width="2.85546875" style="1096" customWidth="1"/>
    <col min="7460" max="7460" width="2.140625" style="1096" customWidth="1"/>
    <col min="7461" max="7461" width="3.42578125" style="1096" customWidth="1"/>
    <col min="7462" max="7462" width="9" style="1096" customWidth="1"/>
    <col min="7463" max="7463" width="1.5703125" style="1096" customWidth="1"/>
    <col min="7464" max="7464" width="1" style="1096" customWidth="1"/>
    <col min="7465" max="7465" width="1.140625" style="1096" customWidth="1"/>
    <col min="7466" max="7680" width="6.85546875" style="1096" customWidth="1"/>
    <col min="7681" max="7681" width="1.140625" style="1096" customWidth="1"/>
    <col min="7682" max="7682" width="2" style="1096" customWidth="1"/>
    <col min="7683" max="7684" width="1.7109375" style="1096" customWidth="1"/>
    <col min="7685" max="7685" width="1.42578125" style="1096" customWidth="1"/>
    <col min="7686" max="7686" width="1.140625" style="1096" customWidth="1"/>
    <col min="7687" max="7687" width="1" style="1096" customWidth="1"/>
    <col min="7688" max="7688" width="4.85546875" style="1096" customWidth="1"/>
    <col min="7689" max="7689" width="2.7109375" style="1096" customWidth="1"/>
    <col min="7690" max="7690" width="1.42578125" style="1096" customWidth="1"/>
    <col min="7691" max="7691" width="2.5703125" style="1096" customWidth="1"/>
    <col min="7692" max="7692" width="3" style="1096" customWidth="1"/>
    <col min="7693" max="7693" width="6.7109375" style="1096" customWidth="1"/>
    <col min="7694" max="7694" width="4.28515625" style="1096" customWidth="1"/>
    <col min="7695" max="7695" width="3.42578125" style="1096" customWidth="1"/>
    <col min="7696" max="7696" width="1.28515625" style="1096" customWidth="1"/>
    <col min="7697" max="7697" width="1.5703125" style="1096" customWidth="1"/>
    <col min="7698" max="7698" width="2.28515625" style="1096" customWidth="1"/>
    <col min="7699" max="7699" width="1" style="1096" customWidth="1"/>
    <col min="7700" max="7700" width="1.42578125" style="1096" customWidth="1"/>
    <col min="7701" max="7701" width="2.140625" style="1096" customWidth="1"/>
    <col min="7702" max="7702" width="11.5703125" style="1096" customWidth="1"/>
    <col min="7703" max="7703" width="7" style="1096" customWidth="1"/>
    <col min="7704" max="7704" width="1.28515625" style="1096" customWidth="1"/>
    <col min="7705" max="7705" width="1.140625" style="1096" customWidth="1"/>
    <col min="7706" max="7706" width="1" style="1096" customWidth="1"/>
    <col min="7707" max="7707" width="1.5703125" style="1096" customWidth="1"/>
    <col min="7708" max="7708" width="5.28515625" style="1096" customWidth="1"/>
    <col min="7709" max="7709" width="1.140625" style="1096" customWidth="1"/>
    <col min="7710" max="7710" width="11.85546875" style="1096" customWidth="1"/>
    <col min="7711" max="7712" width="1.140625" style="1096" customWidth="1"/>
    <col min="7713" max="7713" width="1" style="1096" customWidth="1"/>
    <col min="7714" max="7714" width="1.140625" style="1096" customWidth="1"/>
    <col min="7715" max="7715" width="2.85546875" style="1096" customWidth="1"/>
    <col min="7716" max="7716" width="2.140625" style="1096" customWidth="1"/>
    <col min="7717" max="7717" width="3.42578125" style="1096" customWidth="1"/>
    <col min="7718" max="7718" width="9" style="1096" customWidth="1"/>
    <col min="7719" max="7719" width="1.5703125" style="1096" customWidth="1"/>
    <col min="7720" max="7720" width="1" style="1096" customWidth="1"/>
    <col min="7721" max="7721" width="1.140625" style="1096" customWidth="1"/>
    <col min="7722" max="7936" width="6.85546875" style="1096" customWidth="1"/>
    <col min="7937" max="7937" width="1.140625" style="1096" customWidth="1"/>
    <col min="7938" max="7938" width="2" style="1096" customWidth="1"/>
    <col min="7939" max="7940" width="1.7109375" style="1096" customWidth="1"/>
    <col min="7941" max="7941" width="1.42578125" style="1096" customWidth="1"/>
    <col min="7942" max="7942" width="1.140625" style="1096" customWidth="1"/>
    <col min="7943" max="7943" width="1" style="1096" customWidth="1"/>
    <col min="7944" max="7944" width="4.85546875" style="1096" customWidth="1"/>
    <col min="7945" max="7945" width="2.7109375" style="1096" customWidth="1"/>
    <col min="7946" max="7946" width="1.42578125" style="1096" customWidth="1"/>
    <col min="7947" max="7947" width="2.5703125" style="1096" customWidth="1"/>
    <col min="7948" max="7948" width="3" style="1096" customWidth="1"/>
    <col min="7949" max="7949" width="6.7109375" style="1096" customWidth="1"/>
    <col min="7950" max="7950" width="4.28515625" style="1096" customWidth="1"/>
    <col min="7951" max="7951" width="3.42578125" style="1096" customWidth="1"/>
    <col min="7952" max="7952" width="1.28515625" style="1096" customWidth="1"/>
    <col min="7953" max="7953" width="1.5703125" style="1096" customWidth="1"/>
    <col min="7954" max="7954" width="2.28515625" style="1096" customWidth="1"/>
    <col min="7955" max="7955" width="1" style="1096" customWidth="1"/>
    <col min="7956" max="7956" width="1.42578125" style="1096" customWidth="1"/>
    <col min="7957" max="7957" width="2.140625" style="1096" customWidth="1"/>
    <col min="7958" max="7958" width="11.5703125" style="1096" customWidth="1"/>
    <col min="7959" max="7959" width="7" style="1096" customWidth="1"/>
    <col min="7960" max="7960" width="1.28515625" style="1096" customWidth="1"/>
    <col min="7961" max="7961" width="1.140625" style="1096" customWidth="1"/>
    <col min="7962" max="7962" width="1" style="1096" customWidth="1"/>
    <col min="7963" max="7963" width="1.5703125" style="1096" customWidth="1"/>
    <col min="7964" max="7964" width="5.28515625" style="1096" customWidth="1"/>
    <col min="7965" max="7965" width="1.140625" style="1096" customWidth="1"/>
    <col min="7966" max="7966" width="11.85546875" style="1096" customWidth="1"/>
    <col min="7967" max="7968" width="1.140625" style="1096" customWidth="1"/>
    <col min="7969" max="7969" width="1" style="1096" customWidth="1"/>
    <col min="7970" max="7970" width="1.140625" style="1096" customWidth="1"/>
    <col min="7971" max="7971" width="2.85546875" style="1096" customWidth="1"/>
    <col min="7972" max="7972" width="2.140625" style="1096" customWidth="1"/>
    <col min="7973" max="7973" width="3.42578125" style="1096" customWidth="1"/>
    <col min="7974" max="7974" width="9" style="1096" customWidth="1"/>
    <col min="7975" max="7975" width="1.5703125" style="1096" customWidth="1"/>
    <col min="7976" max="7976" width="1" style="1096" customWidth="1"/>
    <col min="7977" max="7977" width="1.140625" style="1096" customWidth="1"/>
    <col min="7978" max="8192" width="6.85546875" style="1096" customWidth="1"/>
    <col min="8193" max="8193" width="1.140625" style="1096" customWidth="1"/>
    <col min="8194" max="8194" width="2" style="1096" customWidth="1"/>
    <col min="8195" max="8196" width="1.7109375" style="1096" customWidth="1"/>
    <col min="8197" max="8197" width="1.42578125" style="1096" customWidth="1"/>
    <col min="8198" max="8198" width="1.140625" style="1096" customWidth="1"/>
    <col min="8199" max="8199" width="1" style="1096" customWidth="1"/>
    <col min="8200" max="8200" width="4.85546875" style="1096" customWidth="1"/>
    <col min="8201" max="8201" width="2.7109375" style="1096" customWidth="1"/>
    <col min="8202" max="8202" width="1.42578125" style="1096" customWidth="1"/>
    <col min="8203" max="8203" width="2.5703125" style="1096" customWidth="1"/>
    <col min="8204" max="8204" width="3" style="1096" customWidth="1"/>
    <col min="8205" max="8205" width="6.7109375" style="1096" customWidth="1"/>
    <col min="8206" max="8206" width="4.28515625" style="1096" customWidth="1"/>
    <col min="8207" max="8207" width="3.42578125" style="1096" customWidth="1"/>
    <col min="8208" max="8208" width="1.28515625" style="1096" customWidth="1"/>
    <col min="8209" max="8209" width="1.5703125" style="1096" customWidth="1"/>
    <col min="8210" max="8210" width="2.28515625" style="1096" customWidth="1"/>
    <col min="8211" max="8211" width="1" style="1096" customWidth="1"/>
    <col min="8212" max="8212" width="1.42578125" style="1096" customWidth="1"/>
    <col min="8213" max="8213" width="2.140625" style="1096" customWidth="1"/>
    <col min="8214" max="8214" width="11.5703125" style="1096" customWidth="1"/>
    <col min="8215" max="8215" width="7" style="1096" customWidth="1"/>
    <col min="8216" max="8216" width="1.28515625" style="1096" customWidth="1"/>
    <col min="8217" max="8217" width="1.140625" style="1096" customWidth="1"/>
    <col min="8218" max="8218" width="1" style="1096" customWidth="1"/>
    <col min="8219" max="8219" width="1.5703125" style="1096" customWidth="1"/>
    <col min="8220" max="8220" width="5.28515625" style="1096" customWidth="1"/>
    <col min="8221" max="8221" width="1.140625" style="1096" customWidth="1"/>
    <col min="8222" max="8222" width="11.85546875" style="1096" customWidth="1"/>
    <col min="8223" max="8224" width="1.140625" style="1096" customWidth="1"/>
    <col min="8225" max="8225" width="1" style="1096" customWidth="1"/>
    <col min="8226" max="8226" width="1.140625" style="1096" customWidth="1"/>
    <col min="8227" max="8227" width="2.85546875" style="1096" customWidth="1"/>
    <col min="8228" max="8228" width="2.140625" style="1096" customWidth="1"/>
    <col min="8229" max="8229" width="3.42578125" style="1096" customWidth="1"/>
    <col min="8230" max="8230" width="9" style="1096" customWidth="1"/>
    <col min="8231" max="8231" width="1.5703125" style="1096" customWidth="1"/>
    <col min="8232" max="8232" width="1" style="1096" customWidth="1"/>
    <col min="8233" max="8233" width="1.140625" style="1096" customWidth="1"/>
    <col min="8234" max="8448" width="6.85546875" style="1096" customWidth="1"/>
    <col min="8449" max="8449" width="1.140625" style="1096" customWidth="1"/>
    <col min="8450" max="8450" width="2" style="1096" customWidth="1"/>
    <col min="8451" max="8452" width="1.7109375" style="1096" customWidth="1"/>
    <col min="8453" max="8453" width="1.42578125" style="1096" customWidth="1"/>
    <col min="8454" max="8454" width="1.140625" style="1096" customWidth="1"/>
    <col min="8455" max="8455" width="1" style="1096" customWidth="1"/>
    <col min="8456" max="8456" width="4.85546875" style="1096" customWidth="1"/>
    <col min="8457" max="8457" width="2.7109375" style="1096" customWidth="1"/>
    <col min="8458" max="8458" width="1.42578125" style="1096" customWidth="1"/>
    <col min="8459" max="8459" width="2.5703125" style="1096" customWidth="1"/>
    <col min="8460" max="8460" width="3" style="1096" customWidth="1"/>
    <col min="8461" max="8461" width="6.7109375" style="1096" customWidth="1"/>
    <col min="8462" max="8462" width="4.28515625" style="1096" customWidth="1"/>
    <col min="8463" max="8463" width="3.42578125" style="1096" customWidth="1"/>
    <col min="8464" max="8464" width="1.28515625" style="1096" customWidth="1"/>
    <col min="8465" max="8465" width="1.5703125" style="1096" customWidth="1"/>
    <col min="8466" max="8466" width="2.28515625" style="1096" customWidth="1"/>
    <col min="8467" max="8467" width="1" style="1096" customWidth="1"/>
    <col min="8468" max="8468" width="1.42578125" style="1096" customWidth="1"/>
    <col min="8469" max="8469" width="2.140625" style="1096" customWidth="1"/>
    <col min="8470" max="8470" width="11.5703125" style="1096" customWidth="1"/>
    <col min="8471" max="8471" width="7" style="1096" customWidth="1"/>
    <col min="8472" max="8472" width="1.28515625" style="1096" customWidth="1"/>
    <col min="8473" max="8473" width="1.140625" style="1096" customWidth="1"/>
    <col min="8474" max="8474" width="1" style="1096" customWidth="1"/>
    <col min="8475" max="8475" width="1.5703125" style="1096" customWidth="1"/>
    <col min="8476" max="8476" width="5.28515625" style="1096" customWidth="1"/>
    <col min="8477" max="8477" width="1.140625" style="1096" customWidth="1"/>
    <col min="8478" max="8478" width="11.85546875" style="1096" customWidth="1"/>
    <col min="8479" max="8480" width="1.140625" style="1096" customWidth="1"/>
    <col min="8481" max="8481" width="1" style="1096" customWidth="1"/>
    <col min="8482" max="8482" width="1.140625" style="1096" customWidth="1"/>
    <col min="8483" max="8483" width="2.85546875" style="1096" customWidth="1"/>
    <col min="8484" max="8484" width="2.140625" style="1096" customWidth="1"/>
    <col min="8485" max="8485" width="3.42578125" style="1096" customWidth="1"/>
    <col min="8486" max="8486" width="9" style="1096" customWidth="1"/>
    <col min="8487" max="8487" width="1.5703125" style="1096" customWidth="1"/>
    <col min="8488" max="8488" width="1" style="1096" customWidth="1"/>
    <col min="8489" max="8489" width="1.140625" style="1096" customWidth="1"/>
    <col min="8490" max="8704" width="6.85546875" style="1096" customWidth="1"/>
    <col min="8705" max="8705" width="1.140625" style="1096" customWidth="1"/>
    <col min="8706" max="8706" width="2" style="1096" customWidth="1"/>
    <col min="8707" max="8708" width="1.7109375" style="1096" customWidth="1"/>
    <col min="8709" max="8709" width="1.42578125" style="1096" customWidth="1"/>
    <col min="8710" max="8710" width="1.140625" style="1096" customWidth="1"/>
    <col min="8711" max="8711" width="1" style="1096" customWidth="1"/>
    <col min="8712" max="8712" width="4.85546875" style="1096" customWidth="1"/>
    <col min="8713" max="8713" width="2.7109375" style="1096" customWidth="1"/>
    <col min="8714" max="8714" width="1.42578125" style="1096" customWidth="1"/>
    <col min="8715" max="8715" width="2.5703125" style="1096" customWidth="1"/>
    <col min="8716" max="8716" width="3" style="1096" customWidth="1"/>
    <col min="8717" max="8717" width="6.7109375" style="1096" customWidth="1"/>
    <col min="8718" max="8718" width="4.28515625" style="1096" customWidth="1"/>
    <col min="8719" max="8719" width="3.42578125" style="1096" customWidth="1"/>
    <col min="8720" max="8720" width="1.28515625" style="1096" customWidth="1"/>
    <col min="8721" max="8721" width="1.5703125" style="1096" customWidth="1"/>
    <col min="8722" max="8722" width="2.28515625" style="1096" customWidth="1"/>
    <col min="8723" max="8723" width="1" style="1096" customWidth="1"/>
    <col min="8724" max="8724" width="1.42578125" style="1096" customWidth="1"/>
    <col min="8725" max="8725" width="2.140625" style="1096" customWidth="1"/>
    <col min="8726" max="8726" width="11.5703125" style="1096" customWidth="1"/>
    <col min="8727" max="8727" width="7" style="1096" customWidth="1"/>
    <col min="8728" max="8728" width="1.28515625" style="1096" customWidth="1"/>
    <col min="8729" max="8729" width="1.140625" style="1096" customWidth="1"/>
    <col min="8730" max="8730" width="1" style="1096" customWidth="1"/>
    <col min="8731" max="8731" width="1.5703125" style="1096" customWidth="1"/>
    <col min="8732" max="8732" width="5.28515625" style="1096" customWidth="1"/>
    <col min="8733" max="8733" width="1.140625" style="1096" customWidth="1"/>
    <col min="8734" max="8734" width="11.85546875" style="1096" customWidth="1"/>
    <col min="8735" max="8736" width="1.140625" style="1096" customWidth="1"/>
    <col min="8737" max="8737" width="1" style="1096" customWidth="1"/>
    <col min="8738" max="8738" width="1.140625" style="1096" customWidth="1"/>
    <col min="8739" max="8739" width="2.85546875" style="1096" customWidth="1"/>
    <col min="8740" max="8740" width="2.140625" style="1096" customWidth="1"/>
    <col min="8741" max="8741" width="3.42578125" style="1096" customWidth="1"/>
    <col min="8742" max="8742" width="9" style="1096" customWidth="1"/>
    <col min="8743" max="8743" width="1.5703125" style="1096" customWidth="1"/>
    <col min="8744" max="8744" width="1" style="1096" customWidth="1"/>
    <col min="8745" max="8745" width="1.140625" style="1096" customWidth="1"/>
    <col min="8746" max="8960" width="6.85546875" style="1096" customWidth="1"/>
    <col min="8961" max="8961" width="1.140625" style="1096" customWidth="1"/>
    <col min="8962" max="8962" width="2" style="1096" customWidth="1"/>
    <col min="8963" max="8964" width="1.7109375" style="1096" customWidth="1"/>
    <col min="8965" max="8965" width="1.42578125" style="1096" customWidth="1"/>
    <col min="8966" max="8966" width="1.140625" style="1096" customWidth="1"/>
    <col min="8967" max="8967" width="1" style="1096" customWidth="1"/>
    <col min="8968" max="8968" width="4.85546875" style="1096" customWidth="1"/>
    <col min="8969" max="8969" width="2.7109375" style="1096" customWidth="1"/>
    <col min="8970" max="8970" width="1.42578125" style="1096" customWidth="1"/>
    <col min="8971" max="8971" width="2.5703125" style="1096" customWidth="1"/>
    <col min="8972" max="8972" width="3" style="1096" customWidth="1"/>
    <col min="8973" max="8973" width="6.7109375" style="1096" customWidth="1"/>
    <col min="8974" max="8974" width="4.28515625" style="1096" customWidth="1"/>
    <col min="8975" max="8975" width="3.42578125" style="1096" customWidth="1"/>
    <col min="8976" max="8976" width="1.28515625" style="1096" customWidth="1"/>
    <col min="8977" max="8977" width="1.5703125" style="1096" customWidth="1"/>
    <col min="8978" max="8978" width="2.28515625" style="1096" customWidth="1"/>
    <col min="8979" max="8979" width="1" style="1096" customWidth="1"/>
    <col min="8980" max="8980" width="1.42578125" style="1096" customWidth="1"/>
    <col min="8981" max="8981" width="2.140625" style="1096" customWidth="1"/>
    <col min="8982" max="8982" width="11.5703125" style="1096" customWidth="1"/>
    <col min="8983" max="8983" width="7" style="1096" customWidth="1"/>
    <col min="8984" max="8984" width="1.28515625" style="1096" customWidth="1"/>
    <col min="8985" max="8985" width="1.140625" style="1096" customWidth="1"/>
    <col min="8986" max="8986" width="1" style="1096" customWidth="1"/>
    <col min="8987" max="8987" width="1.5703125" style="1096" customWidth="1"/>
    <col min="8988" max="8988" width="5.28515625" style="1096" customWidth="1"/>
    <col min="8989" max="8989" width="1.140625" style="1096" customWidth="1"/>
    <col min="8990" max="8990" width="11.85546875" style="1096" customWidth="1"/>
    <col min="8991" max="8992" width="1.140625" style="1096" customWidth="1"/>
    <col min="8993" max="8993" width="1" style="1096" customWidth="1"/>
    <col min="8994" max="8994" width="1.140625" style="1096" customWidth="1"/>
    <col min="8995" max="8995" width="2.85546875" style="1096" customWidth="1"/>
    <col min="8996" max="8996" width="2.140625" style="1096" customWidth="1"/>
    <col min="8997" max="8997" width="3.42578125" style="1096" customWidth="1"/>
    <col min="8998" max="8998" width="9" style="1096" customWidth="1"/>
    <col min="8999" max="8999" width="1.5703125" style="1096" customWidth="1"/>
    <col min="9000" max="9000" width="1" style="1096" customWidth="1"/>
    <col min="9001" max="9001" width="1.140625" style="1096" customWidth="1"/>
    <col min="9002" max="9216" width="6.85546875" style="1096" customWidth="1"/>
    <col min="9217" max="9217" width="1.140625" style="1096" customWidth="1"/>
    <col min="9218" max="9218" width="2" style="1096" customWidth="1"/>
    <col min="9219" max="9220" width="1.7109375" style="1096" customWidth="1"/>
    <col min="9221" max="9221" width="1.42578125" style="1096" customWidth="1"/>
    <col min="9222" max="9222" width="1.140625" style="1096" customWidth="1"/>
    <col min="9223" max="9223" width="1" style="1096" customWidth="1"/>
    <col min="9224" max="9224" width="4.85546875" style="1096" customWidth="1"/>
    <col min="9225" max="9225" width="2.7109375" style="1096" customWidth="1"/>
    <col min="9226" max="9226" width="1.42578125" style="1096" customWidth="1"/>
    <col min="9227" max="9227" width="2.5703125" style="1096" customWidth="1"/>
    <col min="9228" max="9228" width="3" style="1096" customWidth="1"/>
    <col min="9229" max="9229" width="6.7109375" style="1096" customWidth="1"/>
    <col min="9230" max="9230" width="4.28515625" style="1096" customWidth="1"/>
    <col min="9231" max="9231" width="3.42578125" style="1096" customWidth="1"/>
    <col min="9232" max="9232" width="1.28515625" style="1096" customWidth="1"/>
    <col min="9233" max="9233" width="1.5703125" style="1096" customWidth="1"/>
    <col min="9234" max="9234" width="2.28515625" style="1096" customWidth="1"/>
    <col min="9235" max="9235" width="1" style="1096" customWidth="1"/>
    <col min="9236" max="9236" width="1.42578125" style="1096" customWidth="1"/>
    <col min="9237" max="9237" width="2.140625" style="1096" customWidth="1"/>
    <col min="9238" max="9238" width="11.5703125" style="1096" customWidth="1"/>
    <col min="9239" max="9239" width="7" style="1096" customWidth="1"/>
    <col min="9240" max="9240" width="1.28515625" style="1096" customWidth="1"/>
    <col min="9241" max="9241" width="1.140625" style="1096" customWidth="1"/>
    <col min="9242" max="9242" width="1" style="1096" customWidth="1"/>
    <col min="9243" max="9243" width="1.5703125" style="1096" customWidth="1"/>
    <col min="9244" max="9244" width="5.28515625" style="1096" customWidth="1"/>
    <col min="9245" max="9245" width="1.140625" style="1096" customWidth="1"/>
    <col min="9246" max="9246" width="11.85546875" style="1096" customWidth="1"/>
    <col min="9247" max="9248" width="1.140625" style="1096" customWidth="1"/>
    <col min="9249" max="9249" width="1" style="1096" customWidth="1"/>
    <col min="9250" max="9250" width="1.140625" style="1096" customWidth="1"/>
    <col min="9251" max="9251" width="2.85546875" style="1096" customWidth="1"/>
    <col min="9252" max="9252" width="2.140625" style="1096" customWidth="1"/>
    <col min="9253" max="9253" width="3.42578125" style="1096" customWidth="1"/>
    <col min="9254" max="9254" width="9" style="1096" customWidth="1"/>
    <col min="9255" max="9255" width="1.5703125" style="1096" customWidth="1"/>
    <col min="9256" max="9256" width="1" style="1096" customWidth="1"/>
    <col min="9257" max="9257" width="1.140625" style="1096" customWidth="1"/>
    <col min="9258" max="9472" width="6.85546875" style="1096" customWidth="1"/>
    <col min="9473" max="9473" width="1.140625" style="1096" customWidth="1"/>
    <col min="9474" max="9474" width="2" style="1096" customWidth="1"/>
    <col min="9475" max="9476" width="1.7109375" style="1096" customWidth="1"/>
    <col min="9477" max="9477" width="1.42578125" style="1096" customWidth="1"/>
    <col min="9478" max="9478" width="1.140625" style="1096" customWidth="1"/>
    <col min="9479" max="9479" width="1" style="1096" customWidth="1"/>
    <col min="9480" max="9480" width="4.85546875" style="1096" customWidth="1"/>
    <col min="9481" max="9481" width="2.7109375" style="1096" customWidth="1"/>
    <col min="9482" max="9482" width="1.42578125" style="1096" customWidth="1"/>
    <col min="9483" max="9483" width="2.5703125" style="1096" customWidth="1"/>
    <col min="9484" max="9484" width="3" style="1096" customWidth="1"/>
    <col min="9485" max="9485" width="6.7109375" style="1096" customWidth="1"/>
    <col min="9486" max="9486" width="4.28515625" style="1096" customWidth="1"/>
    <col min="9487" max="9487" width="3.42578125" style="1096" customWidth="1"/>
    <col min="9488" max="9488" width="1.28515625" style="1096" customWidth="1"/>
    <col min="9489" max="9489" width="1.5703125" style="1096" customWidth="1"/>
    <col min="9490" max="9490" width="2.28515625" style="1096" customWidth="1"/>
    <col min="9491" max="9491" width="1" style="1096" customWidth="1"/>
    <col min="9492" max="9492" width="1.42578125" style="1096" customWidth="1"/>
    <col min="9493" max="9493" width="2.140625" style="1096" customWidth="1"/>
    <col min="9494" max="9494" width="11.5703125" style="1096" customWidth="1"/>
    <col min="9495" max="9495" width="7" style="1096" customWidth="1"/>
    <col min="9496" max="9496" width="1.28515625" style="1096" customWidth="1"/>
    <col min="9497" max="9497" width="1.140625" style="1096" customWidth="1"/>
    <col min="9498" max="9498" width="1" style="1096" customWidth="1"/>
    <col min="9499" max="9499" width="1.5703125" style="1096" customWidth="1"/>
    <col min="9500" max="9500" width="5.28515625" style="1096" customWidth="1"/>
    <col min="9501" max="9501" width="1.140625" style="1096" customWidth="1"/>
    <col min="9502" max="9502" width="11.85546875" style="1096" customWidth="1"/>
    <col min="9503" max="9504" width="1.140625" style="1096" customWidth="1"/>
    <col min="9505" max="9505" width="1" style="1096" customWidth="1"/>
    <col min="9506" max="9506" width="1.140625" style="1096" customWidth="1"/>
    <col min="9507" max="9507" width="2.85546875" style="1096" customWidth="1"/>
    <col min="9508" max="9508" width="2.140625" style="1096" customWidth="1"/>
    <col min="9509" max="9509" width="3.42578125" style="1096" customWidth="1"/>
    <col min="9510" max="9510" width="9" style="1096" customWidth="1"/>
    <col min="9511" max="9511" width="1.5703125" style="1096" customWidth="1"/>
    <col min="9512" max="9512" width="1" style="1096" customWidth="1"/>
    <col min="9513" max="9513" width="1.140625" style="1096" customWidth="1"/>
    <col min="9514" max="9728" width="6.85546875" style="1096" customWidth="1"/>
    <col min="9729" max="9729" width="1.140625" style="1096" customWidth="1"/>
    <col min="9730" max="9730" width="2" style="1096" customWidth="1"/>
    <col min="9731" max="9732" width="1.7109375" style="1096" customWidth="1"/>
    <col min="9733" max="9733" width="1.42578125" style="1096" customWidth="1"/>
    <col min="9734" max="9734" width="1.140625" style="1096" customWidth="1"/>
    <col min="9735" max="9735" width="1" style="1096" customWidth="1"/>
    <col min="9736" max="9736" width="4.85546875" style="1096" customWidth="1"/>
    <col min="9737" max="9737" width="2.7109375" style="1096" customWidth="1"/>
    <col min="9738" max="9738" width="1.42578125" style="1096" customWidth="1"/>
    <col min="9739" max="9739" width="2.5703125" style="1096" customWidth="1"/>
    <col min="9740" max="9740" width="3" style="1096" customWidth="1"/>
    <col min="9741" max="9741" width="6.7109375" style="1096" customWidth="1"/>
    <col min="9742" max="9742" width="4.28515625" style="1096" customWidth="1"/>
    <col min="9743" max="9743" width="3.42578125" style="1096" customWidth="1"/>
    <col min="9744" max="9744" width="1.28515625" style="1096" customWidth="1"/>
    <col min="9745" max="9745" width="1.5703125" style="1096" customWidth="1"/>
    <col min="9746" max="9746" width="2.28515625" style="1096" customWidth="1"/>
    <col min="9747" max="9747" width="1" style="1096" customWidth="1"/>
    <col min="9748" max="9748" width="1.42578125" style="1096" customWidth="1"/>
    <col min="9749" max="9749" width="2.140625" style="1096" customWidth="1"/>
    <col min="9750" max="9750" width="11.5703125" style="1096" customWidth="1"/>
    <col min="9751" max="9751" width="7" style="1096" customWidth="1"/>
    <col min="9752" max="9752" width="1.28515625" style="1096" customWidth="1"/>
    <col min="9753" max="9753" width="1.140625" style="1096" customWidth="1"/>
    <col min="9754" max="9754" width="1" style="1096" customWidth="1"/>
    <col min="9755" max="9755" width="1.5703125" style="1096" customWidth="1"/>
    <col min="9756" max="9756" width="5.28515625" style="1096" customWidth="1"/>
    <col min="9757" max="9757" width="1.140625" style="1096" customWidth="1"/>
    <col min="9758" max="9758" width="11.85546875" style="1096" customWidth="1"/>
    <col min="9759" max="9760" width="1.140625" style="1096" customWidth="1"/>
    <col min="9761" max="9761" width="1" style="1096" customWidth="1"/>
    <col min="9762" max="9762" width="1.140625" style="1096" customWidth="1"/>
    <col min="9763" max="9763" width="2.85546875" style="1096" customWidth="1"/>
    <col min="9764" max="9764" width="2.140625" style="1096" customWidth="1"/>
    <col min="9765" max="9765" width="3.42578125" style="1096" customWidth="1"/>
    <col min="9766" max="9766" width="9" style="1096" customWidth="1"/>
    <col min="9767" max="9767" width="1.5703125" style="1096" customWidth="1"/>
    <col min="9768" max="9768" width="1" style="1096" customWidth="1"/>
    <col min="9769" max="9769" width="1.140625" style="1096" customWidth="1"/>
    <col min="9770" max="9984" width="6.85546875" style="1096" customWidth="1"/>
    <col min="9985" max="9985" width="1.140625" style="1096" customWidth="1"/>
    <col min="9986" max="9986" width="2" style="1096" customWidth="1"/>
    <col min="9987" max="9988" width="1.7109375" style="1096" customWidth="1"/>
    <col min="9989" max="9989" width="1.42578125" style="1096" customWidth="1"/>
    <col min="9990" max="9990" width="1.140625" style="1096" customWidth="1"/>
    <col min="9991" max="9991" width="1" style="1096" customWidth="1"/>
    <col min="9992" max="9992" width="4.85546875" style="1096" customWidth="1"/>
    <col min="9993" max="9993" width="2.7109375" style="1096" customWidth="1"/>
    <col min="9994" max="9994" width="1.42578125" style="1096" customWidth="1"/>
    <col min="9995" max="9995" width="2.5703125" style="1096" customWidth="1"/>
    <col min="9996" max="9996" width="3" style="1096" customWidth="1"/>
    <col min="9997" max="9997" width="6.7109375" style="1096" customWidth="1"/>
    <col min="9998" max="9998" width="4.28515625" style="1096" customWidth="1"/>
    <col min="9999" max="9999" width="3.42578125" style="1096" customWidth="1"/>
    <col min="10000" max="10000" width="1.28515625" style="1096" customWidth="1"/>
    <col min="10001" max="10001" width="1.5703125" style="1096" customWidth="1"/>
    <col min="10002" max="10002" width="2.28515625" style="1096" customWidth="1"/>
    <col min="10003" max="10003" width="1" style="1096" customWidth="1"/>
    <col min="10004" max="10004" width="1.42578125" style="1096" customWidth="1"/>
    <col min="10005" max="10005" width="2.140625" style="1096" customWidth="1"/>
    <col min="10006" max="10006" width="11.5703125" style="1096" customWidth="1"/>
    <col min="10007" max="10007" width="7" style="1096" customWidth="1"/>
    <col min="10008" max="10008" width="1.28515625" style="1096" customWidth="1"/>
    <col min="10009" max="10009" width="1.140625" style="1096" customWidth="1"/>
    <col min="10010" max="10010" width="1" style="1096" customWidth="1"/>
    <col min="10011" max="10011" width="1.5703125" style="1096" customWidth="1"/>
    <col min="10012" max="10012" width="5.28515625" style="1096" customWidth="1"/>
    <col min="10013" max="10013" width="1.140625" style="1096" customWidth="1"/>
    <col min="10014" max="10014" width="11.85546875" style="1096" customWidth="1"/>
    <col min="10015" max="10016" width="1.140625" style="1096" customWidth="1"/>
    <col min="10017" max="10017" width="1" style="1096" customWidth="1"/>
    <col min="10018" max="10018" width="1.140625" style="1096" customWidth="1"/>
    <col min="10019" max="10019" width="2.85546875" style="1096" customWidth="1"/>
    <col min="10020" max="10020" width="2.140625" style="1096" customWidth="1"/>
    <col min="10021" max="10021" width="3.42578125" style="1096" customWidth="1"/>
    <col min="10022" max="10022" width="9" style="1096" customWidth="1"/>
    <col min="10023" max="10023" width="1.5703125" style="1096" customWidth="1"/>
    <col min="10024" max="10024" width="1" style="1096" customWidth="1"/>
    <col min="10025" max="10025" width="1.140625" style="1096" customWidth="1"/>
    <col min="10026" max="10240" width="6.85546875" style="1096" customWidth="1"/>
    <col min="10241" max="10241" width="1.140625" style="1096" customWidth="1"/>
    <col min="10242" max="10242" width="2" style="1096" customWidth="1"/>
    <col min="10243" max="10244" width="1.7109375" style="1096" customWidth="1"/>
    <col min="10245" max="10245" width="1.42578125" style="1096" customWidth="1"/>
    <col min="10246" max="10246" width="1.140625" style="1096" customWidth="1"/>
    <col min="10247" max="10247" width="1" style="1096" customWidth="1"/>
    <col min="10248" max="10248" width="4.85546875" style="1096" customWidth="1"/>
    <col min="10249" max="10249" width="2.7109375" style="1096" customWidth="1"/>
    <col min="10250" max="10250" width="1.42578125" style="1096" customWidth="1"/>
    <col min="10251" max="10251" width="2.5703125" style="1096" customWidth="1"/>
    <col min="10252" max="10252" width="3" style="1096" customWidth="1"/>
    <col min="10253" max="10253" width="6.7109375" style="1096" customWidth="1"/>
    <col min="10254" max="10254" width="4.28515625" style="1096" customWidth="1"/>
    <col min="10255" max="10255" width="3.42578125" style="1096" customWidth="1"/>
    <col min="10256" max="10256" width="1.28515625" style="1096" customWidth="1"/>
    <col min="10257" max="10257" width="1.5703125" style="1096" customWidth="1"/>
    <col min="10258" max="10258" width="2.28515625" style="1096" customWidth="1"/>
    <col min="10259" max="10259" width="1" style="1096" customWidth="1"/>
    <col min="10260" max="10260" width="1.42578125" style="1096" customWidth="1"/>
    <col min="10261" max="10261" width="2.140625" style="1096" customWidth="1"/>
    <col min="10262" max="10262" width="11.5703125" style="1096" customWidth="1"/>
    <col min="10263" max="10263" width="7" style="1096" customWidth="1"/>
    <col min="10264" max="10264" width="1.28515625" style="1096" customWidth="1"/>
    <col min="10265" max="10265" width="1.140625" style="1096" customWidth="1"/>
    <col min="10266" max="10266" width="1" style="1096" customWidth="1"/>
    <col min="10267" max="10267" width="1.5703125" style="1096" customWidth="1"/>
    <col min="10268" max="10268" width="5.28515625" style="1096" customWidth="1"/>
    <col min="10269" max="10269" width="1.140625" style="1096" customWidth="1"/>
    <col min="10270" max="10270" width="11.85546875" style="1096" customWidth="1"/>
    <col min="10271" max="10272" width="1.140625" style="1096" customWidth="1"/>
    <col min="10273" max="10273" width="1" style="1096" customWidth="1"/>
    <col min="10274" max="10274" width="1.140625" style="1096" customWidth="1"/>
    <col min="10275" max="10275" width="2.85546875" style="1096" customWidth="1"/>
    <col min="10276" max="10276" width="2.140625" style="1096" customWidth="1"/>
    <col min="10277" max="10277" width="3.42578125" style="1096" customWidth="1"/>
    <col min="10278" max="10278" width="9" style="1096" customWidth="1"/>
    <col min="10279" max="10279" width="1.5703125" style="1096" customWidth="1"/>
    <col min="10280" max="10280" width="1" style="1096" customWidth="1"/>
    <col min="10281" max="10281" width="1.140625" style="1096" customWidth="1"/>
    <col min="10282" max="10496" width="6.85546875" style="1096" customWidth="1"/>
    <col min="10497" max="10497" width="1.140625" style="1096" customWidth="1"/>
    <col min="10498" max="10498" width="2" style="1096" customWidth="1"/>
    <col min="10499" max="10500" width="1.7109375" style="1096" customWidth="1"/>
    <col min="10501" max="10501" width="1.42578125" style="1096" customWidth="1"/>
    <col min="10502" max="10502" width="1.140625" style="1096" customWidth="1"/>
    <col min="10503" max="10503" width="1" style="1096" customWidth="1"/>
    <col min="10504" max="10504" width="4.85546875" style="1096" customWidth="1"/>
    <col min="10505" max="10505" width="2.7109375" style="1096" customWidth="1"/>
    <col min="10506" max="10506" width="1.42578125" style="1096" customWidth="1"/>
    <col min="10507" max="10507" width="2.5703125" style="1096" customWidth="1"/>
    <col min="10508" max="10508" width="3" style="1096" customWidth="1"/>
    <col min="10509" max="10509" width="6.7109375" style="1096" customWidth="1"/>
    <col min="10510" max="10510" width="4.28515625" style="1096" customWidth="1"/>
    <col min="10511" max="10511" width="3.42578125" style="1096" customWidth="1"/>
    <col min="10512" max="10512" width="1.28515625" style="1096" customWidth="1"/>
    <col min="10513" max="10513" width="1.5703125" style="1096" customWidth="1"/>
    <col min="10514" max="10514" width="2.28515625" style="1096" customWidth="1"/>
    <col min="10515" max="10515" width="1" style="1096" customWidth="1"/>
    <col min="10516" max="10516" width="1.42578125" style="1096" customWidth="1"/>
    <col min="10517" max="10517" width="2.140625" style="1096" customWidth="1"/>
    <col min="10518" max="10518" width="11.5703125" style="1096" customWidth="1"/>
    <col min="10519" max="10519" width="7" style="1096" customWidth="1"/>
    <col min="10520" max="10520" width="1.28515625" style="1096" customWidth="1"/>
    <col min="10521" max="10521" width="1.140625" style="1096" customWidth="1"/>
    <col min="10522" max="10522" width="1" style="1096" customWidth="1"/>
    <col min="10523" max="10523" width="1.5703125" style="1096" customWidth="1"/>
    <col min="10524" max="10524" width="5.28515625" style="1096" customWidth="1"/>
    <col min="10525" max="10525" width="1.140625" style="1096" customWidth="1"/>
    <col min="10526" max="10526" width="11.85546875" style="1096" customWidth="1"/>
    <col min="10527" max="10528" width="1.140625" style="1096" customWidth="1"/>
    <col min="10529" max="10529" width="1" style="1096" customWidth="1"/>
    <col min="10530" max="10530" width="1.140625" style="1096" customWidth="1"/>
    <col min="10531" max="10531" width="2.85546875" style="1096" customWidth="1"/>
    <col min="10532" max="10532" width="2.140625" style="1096" customWidth="1"/>
    <col min="10533" max="10533" width="3.42578125" style="1096" customWidth="1"/>
    <col min="10534" max="10534" width="9" style="1096" customWidth="1"/>
    <col min="10535" max="10535" width="1.5703125" style="1096" customWidth="1"/>
    <col min="10536" max="10536" width="1" style="1096" customWidth="1"/>
    <col min="10537" max="10537" width="1.140625" style="1096" customWidth="1"/>
    <col min="10538" max="10752" width="6.85546875" style="1096" customWidth="1"/>
    <col min="10753" max="10753" width="1.140625" style="1096" customWidth="1"/>
    <col min="10754" max="10754" width="2" style="1096" customWidth="1"/>
    <col min="10755" max="10756" width="1.7109375" style="1096" customWidth="1"/>
    <col min="10757" max="10757" width="1.42578125" style="1096" customWidth="1"/>
    <col min="10758" max="10758" width="1.140625" style="1096" customWidth="1"/>
    <col min="10759" max="10759" width="1" style="1096" customWidth="1"/>
    <col min="10760" max="10760" width="4.85546875" style="1096" customWidth="1"/>
    <col min="10761" max="10761" width="2.7109375" style="1096" customWidth="1"/>
    <col min="10762" max="10762" width="1.42578125" style="1096" customWidth="1"/>
    <col min="10763" max="10763" width="2.5703125" style="1096" customWidth="1"/>
    <col min="10764" max="10764" width="3" style="1096" customWidth="1"/>
    <col min="10765" max="10765" width="6.7109375" style="1096" customWidth="1"/>
    <col min="10766" max="10766" width="4.28515625" style="1096" customWidth="1"/>
    <col min="10767" max="10767" width="3.42578125" style="1096" customWidth="1"/>
    <col min="10768" max="10768" width="1.28515625" style="1096" customWidth="1"/>
    <col min="10769" max="10769" width="1.5703125" style="1096" customWidth="1"/>
    <col min="10770" max="10770" width="2.28515625" style="1096" customWidth="1"/>
    <col min="10771" max="10771" width="1" style="1096" customWidth="1"/>
    <col min="10772" max="10772" width="1.42578125" style="1096" customWidth="1"/>
    <col min="10773" max="10773" width="2.140625" style="1096" customWidth="1"/>
    <col min="10774" max="10774" width="11.5703125" style="1096" customWidth="1"/>
    <col min="10775" max="10775" width="7" style="1096" customWidth="1"/>
    <col min="10776" max="10776" width="1.28515625" style="1096" customWidth="1"/>
    <col min="10777" max="10777" width="1.140625" style="1096" customWidth="1"/>
    <col min="10778" max="10778" width="1" style="1096" customWidth="1"/>
    <col min="10779" max="10779" width="1.5703125" style="1096" customWidth="1"/>
    <col min="10780" max="10780" width="5.28515625" style="1096" customWidth="1"/>
    <col min="10781" max="10781" width="1.140625" style="1096" customWidth="1"/>
    <col min="10782" max="10782" width="11.85546875" style="1096" customWidth="1"/>
    <col min="10783" max="10784" width="1.140625" style="1096" customWidth="1"/>
    <col min="10785" max="10785" width="1" style="1096" customWidth="1"/>
    <col min="10786" max="10786" width="1.140625" style="1096" customWidth="1"/>
    <col min="10787" max="10787" width="2.85546875" style="1096" customWidth="1"/>
    <col min="10788" max="10788" width="2.140625" style="1096" customWidth="1"/>
    <col min="10789" max="10789" width="3.42578125" style="1096" customWidth="1"/>
    <col min="10790" max="10790" width="9" style="1096" customWidth="1"/>
    <col min="10791" max="10791" width="1.5703125" style="1096" customWidth="1"/>
    <col min="10792" max="10792" width="1" style="1096" customWidth="1"/>
    <col min="10793" max="10793" width="1.140625" style="1096" customWidth="1"/>
    <col min="10794" max="11008" width="6.85546875" style="1096" customWidth="1"/>
    <col min="11009" max="11009" width="1.140625" style="1096" customWidth="1"/>
    <col min="11010" max="11010" width="2" style="1096" customWidth="1"/>
    <col min="11011" max="11012" width="1.7109375" style="1096" customWidth="1"/>
    <col min="11013" max="11013" width="1.42578125" style="1096" customWidth="1"/>
    <col min="11014" max="11014" width="1.140625" style="1096" customWidth="1"/>
    <col min="11015" max="11015" width="1" style="1096" customWidth="1"/>
    <col min="11016" max="11016" width="4.85546875" style="1096" customWidth="1"/>
    <col min="11017" max="11017" width="2.7109375" style="1096" customWidth="1"/>
    <col min="11018" max="11018" width="1.42578125" style="1096" customWidth="1"/>
    <col min="11019" max="11019" width="2.5703125" style="1096" customWidth="1"/>
    <col min="11020" max="11020" width="3" style="1096" customWidth="1"/>
    <col min="11021" max="11021" width="6.7109375" style="1096" customWidth="1"/>
    <col min="11022" max="11022" width="4.28515625" style="1096" customWidth="1"/>
    <col min="11023" max="11023" width="3.42578125" style="1096" customWidth="1"/>
    <col min="11024" max="11024" width="1.28515625" style="1096" customWidth="1"/>
    <col min="11025" max="11025" width="1.5703125" style="1096" customWidth="1"/>
    <col min="11026" max="11026" width="2.28515625" style="1096" customWidth="1"/>
    <col min="11027" max="11027" width="1" style="1096" customWidth="1"/>
    <col min="11028" max="11028" width="1.42578125" style="1096" customWidth="1"/>
    <col min="11029" max="11029" width="2.140625" style="1096" customWidth="1"/>
    <col min="11030" max="11030" width="11.5703125" style="1096" customWidth="1"/>
    <col min="11031" max="11031" width="7" style="1096" customWidth="1"/>
    <col min="11032" max="11032" width="1.28515625" style="1096" customWidth="1"/>
    <col min="11033" max="11033" width="1.140625" style="1096" customWidth="1"/>
    <col min="11034" max="11034" width="1" style="1096" customWidth="1"/>
    <col min="11035" max="11035" width="1.5703125" style="1096" customWidth="1"/>
    <col min="11036" max="11036" width="5.28515625" style="1096" customWidth="1"/>
    <col min="11037" max="11037" width="1.140625" style="1096" customWidth="1"/>
    <col min="11038" max="11038" width="11.85546875" style="1096" customWidth="1"/>
    <col min="11039" max="11040" width="1.140625" style="1096" customWidth="1"/>
    <col min="11041" max="11041" width="1" style="1096" customWidth="1"/>
    <col min="11042" max="11042" width="1.140625" style="1096" customWidth="1"/>
    <col min="11043" max="11043" width="2.85546875" style="1096" customWidth="1"/>
    <col min="11044" max="11044" width="2.140625" style="1096" customWidth="1"/>
    <col min="11045" max="11045" width="3.42578125" style="1096" customWidth="1"/>
    <col min="11046" max="11046" width="9" style="1096" customWidth="1"/>
    <col min="11047" max="11047" width="1.5703125" style="1096" customWidth="1"/>
    <col min="11048" max="11048" width="1" style="1096" customWidth="1"/>
    <col min="11049" max="11049" width="1.140625" style="1096" customWidth="1"/>
    <col min="11050" max="11264" width="6.85546875" style="1096" customWidth="1"/>
    <col min="11265" max="11265" width="1.140625" style="1096" customWidth="1"/>
    <col min="11266" max="11266" width="2" style="1096" customWidth="1"/>
    <col min="11267" max="11268" width="1.7109375" style="1096" customWidth="1"/>
    <col min="11269" max="11269" width="1.42578125" style="1096" customWidth="1"/>
    <col min="11270" max="11270" width="1.140625" style="1096" customWidth="1"/>
    <col min="11271" max="11271" width="1" style="1096" customWidth="1"/>
    <col min="11272" max="11272" width="4.85546875" style="1096" customWidth="1"/>
    <col min="11273" max="11273" width="2.7109375" style="1096" customWidth="1"/>
    <col min="11274" max="11274" width="1.42578125" style="1096" customWidth="1"/>
    <col min="11275" max="11275" width="2.5703125" style="1096" customWidth="1"/>
    <col min="11276" max="11276" width="3" style="1096" customWidth="1"/>
    <col min="11277" max="11277" width="6.7109375" style="1096" customWidth="1"/>
    <col min="11278" max="11278" width="4.28515625" style="1096" customWidth="1"/>
    <col min="11279" max="11279" width="3.42578125" style="1096" customWidth="1"/>
    <col min="11280" max="11280" width="1.28515625" style="1096" customWidth="1"/>
    <col min="11281" max="11281" width="1.5703125" style="1096" customWidth="1"/>
    <col min="11282" max="11282" width="2.28515625" style="1096" customWidth="1"/>
    <col min="11283" max="11283" width="1" style="1096" customWidth="1"/>
    <col min="11284" max="11284" width="1.42578125" style="1096" customWidth="1"/>
    <col min="11285" max="11285" width="2.140625" style="1096" customWidth="1"/>
    <col min="11286" max="11286" width="11.5703125" style="1096" customWidth="1"/>
    <col min="11287" max="11287" width="7" style="1096" customWidth="1"/>
    <col min="11288" max="11288" width="1.28515625" style="1096" customWidth="1"/>
    <col min="11289" max="11289" width="1.140625" style="1096" customWidth="1"/>
    <col min="11290" max="11290" width="1" style="1096" customWidth="1"/>
    <col min="11291" max="11291" width="1.5703125" style="1096" customWidth="1"/>
    <col min="11292" max="11292" width="5.28515625" style="1096" customWidth="1"/>
    <col min="11293" max="11293" width="1.140625" style="1096" customWidth="1"/>
    <col min="11294" max="11294" width="11.85546875" style="1096" customWidth="1"/>
    <col min="11295" max="11296" width="1.140625" style="1096" customWidth="1"/>
    <col min="11297" max="11297" width="1" style="1096" customWidth="1"/>
    <col min="11298" max="11298" width="1.140625" style="1096" customWidth="1"/>
    <col min="11299" max="11299" width="2.85546875" style="1096" customWidth="1"/>
    <col min="11300" max="11300" width="2.140625" style="1096" customWidth="1"/>
    <col min="11301" max="11301" width="3.42578125" style="1096" customWidth="1"/>
    <col min="11302" max="11302" width="9" style="1096" customWidth="1"/>
    <col min="11303" max="11303" width="1.5703125" style="1096" customWidth="1"/>
    <col min="11304" max="11304" width="1" style="1096" customWidth="1"/>
    <col min="11305" max="11305" width="1.140625" style="1096" customWidth="1"/>
    <col min="11306" max="11520" width="6.85546875" style="1096" customWidth="1"/>
    <col min="11521" max="11521" width="1.140625" style="1096" customWidth="1"/>
    <col min="11522" max="11522" width="2" style="1096" customWidth="1"/>
    <col min="11523" max="11524" width="1.7109375" style="1096" customWidth="1"/>
    <col min="11525" max="11525" width="1.42578125" style="1096" customWidth="1"/>
    <col min="11526" max="11526" width="1.140625" style="1096" customWidth="1"/>
    <col min="11527" max="11527" width="1" style="1096" customWidth="1"/>
    <col min="11528" max="11528" width="4.85546875" style="1096" customWidth="1"/>
    <col min="11529" max="11529" width="2.7109375" style="1096" customWidth="1"/>
    <col min="11530" max="11530" width="1.42578125" style="1096" customWidth="1"/>
    <col min="11531" max="11531" width="2.5703125" style="1096" customWidth="1"/>
    <col min="11532" max="11532" width="3" style="1096" customWidth="1"/>
    <col min="11533" max="11533" width="6.7109375" style="1096" customWidth="1"/>
    <col min="11534" max="11534" width="4.28515625" style="1096" customWidth="1"/>
    <col min="11535" max="11535" width="3.42578125" style="1096" customWidth="1"/>
    <col min="11536" max="11536" width="1.28515625" style="1096" customWidth="1"/>
    <col min="11537" max="11537" width="1.5703125" style="1096" customWidth="1"/>
    <col min="11538" max="11538" width="2.28515625" style="1096" customWidth="1"/>
    <col min="11539" max="11539" width="1" style="1096" customWidth="1"/>
    <col min="11540" max="11540" width="1.42578125" style="1096" customWidth="1"/>
    <col min="11541" max="11541" width="2.140625" style="1096" customWidth="1"/>
    <col min="11542" max="11542" width="11.5703125" style="1096" customWidth="1"/>
    <col min="11543" max="11543" width="7" style="1096" customWidth="1"/>
    <col min="11544" max="11544" width="1.28515625" style="1096" customWidth="1"/>
    <col min="11545" max="11545" width="1.140625" style="1096" customWidth="1"/>
    <col min="11546" max="11546" width="1" style="1096" customWidth="1"/>
    <col min="11547" max="11547" width="1.5703125" style="1096" customWidth="1"/>
    <col min="11548" max="11548" width="5.28515625" style="1096" customWidth="1"/>
    <col min="11549" max="11549" width="1.140625" style="1096" customWidth="1"/>
    <col min="11550" max="11550" width="11.85546875" style="1096" customWidth="1"/>
    <col min="11551" max="11552" width="1.140625" style="1096" customWidth="1"/>
    <col min="11553" max="11553" width="1" style="1096" customWidth="1"/>
    <col min="11554" max="11554" width="1.140625" style="1096" customWidth="1"/>
    <col min="11555" max="11555" width="2.85546875" style="1096" customWidth="1"/>
    <col min="11556" max="11556" width="2.140625" style="1096" customWidth="1"/>
    <col min="11557" max="11557" width="3.42578125" style="1096" customWidth="1"/>
    <col min="11558" max="11558" width="9" style="1096" customWidth="1"/>
    <col min="11559" max="11559" width="1.5703125" style="1096" customWidth="1"/>
    <col min="11560" max="11560" width="1" style="1096" customWidth="1"/>
    <col min="11561" max="11561" width="1.140625" style="1096" customWidth="1"/>
    <col min="11562" max="11776" width="6.85546875" style="1096" customWidth="1"/>
    <col min="11777" max="11777" width="1.140625" style="1096" customWidth="1"/>
    <col min="11778" max="11778" width="2" style="1096" customWidth="1"/>
    <col min="11779" max="11780" width="1.7109375" style="1096" customWidth="1"/>
    <col min="11781" max="11781" width="1.42578125" style="1096" customWidth="1"/>
    <col min="11782" max="11782" width="1.140625" style="1096" customWidth="1"/>
    <col min="11783" max="11783" width="1" style="1096" customWidth="1"/>
    <col min="11784" max="11784" width="4.85546875" style="1096" customWidth="1"/>
    <col min="11785" max="11785" width="2.7109375" style="1096" customWidth="1"/>
    <col min="11786" max="11786" width="1.42578125" style="1096" customWidth="1"/>
    <col min="11787" max="11787" width="2.5703125" style="1096" customWidth="1"/>
    <col min="11788" max="11788" width="3" style="1096" customWidth="1"/>
    <col min="11789" max="11789" width="6.7109375" style="1096" customWidth="1"/>
    <col min="11790" max="11790" width="4.28515625" style="1096" customWidth="1"/>
    <col min="11791" max="11791" width="3.42578125" style="1096" customWidth="1"/>
    <col min="11792" max="11792" width="1.28515625" style="1096" customWidth="1"/>
    <col min="11793" max="11793" width="1.5703125" style="1096" customWidth="1"/>
    <col min="11794" max="11794" width="2.28515625" style="1096" customWidth="1"/>
    <col min="11795" max="11795" width="1" style="1096" customWidth="1"/>
    <col min="11796" max="11796" width="1.42578125" style="1096" customWidth="1"/>
    <col min="11797" max="11797" width="2.140625" style="1096" customWidth="1"/>
    <col min="11798" max="11798" width="11.5703125" style="1096" customWidth="1"/>
    <col min="11799" max="11799" width="7" style="1096" customWidth="1"/>
    <col min="11800" max="11800" width="1.28515625" style="1096" customWidth="1"/>
    <col min="11801" max="11801" width="1.140625" style="1096" customWidth="1"/>
    <col min="11802" max="11802" width="1" style="1096" customWidth="1"/>
    <col min="11803" max="11803" width="1.5703125" style="1096" customWidth="1"/>
    <col min="11804" max="11804" width="5.28515625" style="1096" customWidth="1"/>
    <col min="11805" max="11805" width="1.140625" style="1096" customWidth="1"/>
    <col min="11806" max="11806" width="11.85546875" style="1096" customWidth="1"/>
    <col min="11807" max="11808" width="1.140625" style="1096" customWidth="1"/>
    <col min="11809" max="11809" width="1" style="1096" customWidth="1"/>
    <col min="11810" max="11810" width="1.140625" style="1096" customWidth="1"/>
    <col min="11811" max="11811" width="2.85546875" style="1096" customWidth="1"/>
    <col min="11812" max="11812" width="2.140625" style="1096" customWidth="1"/>
    <col min="11813" max="11813" width="3.42578125" style="1096" customWidth="1"/>
    <col min="11814" max="11814" width="9" style="1096" customWidth="1"/>
    <col min="11815" max="11815" width="1.5703125" style="1096" customWidth="1"/>
    <col min="11816" max="11816" width="1" style="1096" customWidth="1"/>
    <col min="11817" max="11817" width="1.140625" style="1096" customWidth="1"/>
    <col min="11818" max="12032" width="6.85546875" style="1096" customWidth="1"/>
    <col min="12033" max="12033" width="1.140625" style="1096" customWidth="1"/>
    <col min="12034" max="12034" width="2" style="1096" customWidth="1"/>
    <col min="12035" max="12036" width="1.7109375" style="1096" customWidth="1"/>
    <col min="12037" max="12037" width="1.42578125" style="1096" customWidth="1"/>
    <col min="12038" max="12038" width="1.140625" style="1096" customWidth="1"/>
    <col min="12039" max="12039" width="1" style="1096" customWidth="1"/>
    <col min="12040" max="12040" width="4.85546875" style="1096" customWidth="1"/>
    <col min="12041" max="12041" width="2.7109375" style="1096" customWidth="1"/>
    <col min="12042" max="12042" width="1.42578125" style="1096" customWidth="1"/>
    <col min="12043" max="12043" width="2.5703125" style="1096" customWidth="1"/>
    <col min="12044" max="12044" width="3" style="1096" customWidth="1"/>
    <col min="12045" max="12045" width="6.7109375" style="1096" customWidth="1"/>
    <col min="12046" max="12046" width="4.28515625" style="1096" customWidth="1"/>
    <col min="12047" max="12047" width="3.42578125" style="1096" customWidth="1"/>
    <col min="12048" max="12048" width="1.28515625" style="1096" customWidth="1"/>
    <col min="12049" max="12049" width="1.5703125" style="1096" customWidth="1"/>
    <col min="12050" max="12050" width="2.28515625" style="1096" customWidth="1"/>
    <col min="12051" max="12051" width="1" style="1096" customWidth="1"/>
    <col min="12052" max="12052" width="1.42578125" style="1096" customWidth="1"/>
    <col min="12053" max="12053" width="2.140625" style="1096" customWidth="1"/>
    <col min="12054" max="12054" width="11.5703125" style="1096" customWidth="1"/>
    <col min="12055" max="12055" width="7" style="1096" customWidth="1"/>
    <col min="12056" max="12056" width="1.28515625" style="1096" customWidth="1"/>
    <col min="12057" max="12057" width="1.140625" style="1096" customWidth="1"/>
    <col min="12058" max="12058" width="1" style="1096" customWidth="1"/>
    <col min="12059" max="12059" width="1.5703125" style="1096" customWidth="1"/>
    <col min="12060" max="12060" width="5.28515625" style="1096" customWidth="1"/>
    <col min="12061" max="12061" width="1.140625" style="1096" customWidth="1"/>
    <col min="12062" max="12062" width="11.85546875" style="1096" customWidth="1"/>
    <col min="12063" max="12064" width="1.140625" style="1096" customWidth="1"/>
    <col min="12065" max="12065" width="1" style="1096" customWidth="1"/>
    <col min="12066" max="12066" width="1.140625" style="1096" customWidth="1"/>
    <col min="12067" max="12067" width="2.85546875" style="1096" customWidth="1"/>
    <col min="12068" max="12068" width="2.140625" style="1096" customWidth="1"/>
    <col min="12069" max="12069" width="3.42578125" style="1096" customWidth="1"/>
    <col min="12070" max="12070" width="9" style="1096" customWidth="1"/>
    <col min="12071" max="12071" width="1.5703125" style="1096" customWidth="1"/>
    <col min="12072" max="12072" width="1" style="1096" customWidth="1"/>
    <col min="12073" max="12073" width="1.140625" style="1096" customWidth="1"/>
    <col min="12074" max="12288" width="6.85546875" style="1096" customWidth="1"/>
    <col min="12289" max="12289" width="1.140625" style="1096" customWidth="1"/>
    <col min="12290" max="12290" width="2" style="1096" customWidth="1"/>
    <col min="12291" max="12292" width="1.7109375" style="1096" customWidth="1"/>
    <col min="12293" max="12293" width="1.42578125" style="1096" customWidth="1"/>
    <col min="12294" max="12294" width="1.140625" style="1096" customWidth="1"/>
    <col min="12295" max="12295" width="1" style="1096" customWidth="1"/>
    <col min="12296" max="12296" width="4.85546875" style="1096" customWidth="1"/>
    <col min="12297" max="12297" width="2.7109375" style="1096" customWidth="1"/>
    <col min="12298" max="12298" width="1.42578125" style="1096" customWidth="1"/>
    <col min="12299" max="12299" width="2.5703125" style="1096" customWidth="1"/>
    <col min="12300" max="12300" width="3" style="1096" customWidth="1"/>
    <col min="12301" max="12301" width="6.7109375" style="1096" customWidth="1"/>
    <col min="12302" max="12302" width="4.28515625" style="1096" customWidth="1"/>
    <col min="12303" max="12303" width="3.42578125" style="1096" customWidth="1"/>
    <col min="12304" max="12304" width="1.28515625" style="1096" customWidth="1"/>
    <col min="12305" max="12305" width="1.5703125" style="1096" customWidth="1"/>
    <col min="12306" max="12306" width="2.28515625" style="1096" customWidth="1"/>
    <col min="12307" max="12307" width="1" style="1096" customWidth="1"/>
    <col min="12308" max="12308" width="1.42578125" style="1096" customWidth="1"/>
    <col min="12309" max="12309" width="2.140625" style="1096" customWidth="1"/>
    <col min="12310" max="12310" width="11.5703125" style="1096" customWidth="1"/>
    <col min="12311" max="12311" width="7" style="1096" customWidth="1"/>
    <col min="12312" max="12312" width="1.28515625" style="1096" customWidth="1"/>
    <col min="12313" max="12313" width="1.140625" style="1096" customWidth="1"/>
    <col min="12314" max="12314" width="1" style="1096" customWidth="1"/>
    <col min="12315" max="12315" width="1.5703125" style="1096" customWidth="1"/>
    <col min="12316" max="12316" width="5.28515625" style="1096" customWidth="1"/>
    <col min="12317" max="12317" width="1.140625" style="1096" customWidth="1"/>
    <col min="12318" max="12318" width="11.85546875" style="1096" customWidth="1"/>
    <col min="12319" max="12320" width="1.140625" style="1096" customWidth="1"/>
    <col min="12321" max="12321" width="1" style="1096" customWidth="1"/>
    <col min="12322" max="12322" width="1.140625" style="1096" customWidth="1"/>
    <col min="12323" max="12323" width="2.85546875" style="1096" customWidth="1"/>
    <col min="12324" max="12324" width="2.140625" style="1096" customWidth="1"/>
    <col min="12325" max="12325" width="3.42578125" style="1096" customWidth="1"/>
    <col min="12326" max="12326" width="9" style="1096" customWidth="1"/>
    <col min="12327" max="12327" width="1.5703125" style="1096" customWidth="1"/>
    <col min="12328" max="12328" width="1" style="1096" customWidth="1"/>
    <col min="12329" max="12329" width="1.140625" style="1096" customWidth="1"/>
    <col min="12330" max="12544" width="6.85546875" style="1096" customWidth="1"/>
    <col min="12545" max="12545" width="1.140625" style="1096" customWidth="1"/>
    <col min="12546" max="12546" width="2" style="1096" customWidth="1"/>
    <col min="12547" max="12548" width="1.7109375" style="1096" customWidth="1"/>
    <col min="12549" max="12549" width="1.42578125" style="1096" customWidth="1"/>
    <col min="12550" max="12550" width="1.140625" style="1096" customWidth="1"/>
    <col min="12551" max="12551" width="1" style="1096" customWidth="1"/>
    <col min="12552" max="12552" width="4.85546875" style="1096" customWidth="1"/>
    <col min="12553" max="12553" width="2.7109375" style="1096" customWidth="1"/>
    <col min="12554" max="12554" width="1.42578125" style="1096" customWidth="1"/>
    <col min="12555" max="12555" width="2.5703125" style="1096" customWidth="1"/>
    <col min="12556" max="12556" width="3" style="1096" customWidth="1"/>
    <col min="12557" max="12557" width="6.7109375" style="1096" customWidth="1"/>
    <col min="12558" max="12558" width="4.28515625" style="1096" customWidth="1"/>
    <col min="12559" max="12559" width="3.42578125" style="1096" customWidth="1"/>
    <col min="12560" max="12560" width="1.28515625" style="1096" customWidth="1"/>
    <col min="12561" max="12561" width="1.5703125" style="1096" customWidth="1"/>
    <col min="12562" max="12562" width="2.28515625" style="1096" customWidth="1"/>
    <col min="12563" max="12563" width="1" style="1096" customWidth="1"/>
    <col min="12564" max="12564" width="1.42578125" style="1096" customWidth="1"/>
    <col min="12565" max="12565" width="2.140625" style="1096" customWidth="1"/>
    <col min="12566" max="12566" width="11.5703125" style="1096" customWidth="1"/>
    <col min="12567" max="12567" width="7" style="1096" customWidth="1"/>
    <col min="12568" max="12568" width="1.28515625" style="1096" customWidth="1"/>
    <col min="12569" max="12569" width="1.140625" style="1096" customWidth="1"/>
    <col min="12570" max="12570" width="1" style="1096" customWidth="1"/>
    <col min="12571" max="12571" width="1.5703125" style="1096" customWidth="1"/>
    <col min="12572" max="12572" width="5.28515625" style="1096" customWidth="1"/>
    <col min="12573" max="12573" width="1.140625" style="1096" customWidth="1"/>
    <col min="12574" max="12574" width="11.85546875" style="1096" customWidth="1"/>
    <col min="12575" max="12576" width="1.140625" style="1096" customWidth="1"/>
    <col min="12577" max="12577" width="1" style="1096" customWidth="1"/>
    <col min="12578" max="12578" width="1.140625" style="1096" customWidth="1"/>
    <col min="12579" max="12579" width="2.85546875" style="1096" customWidth="1"/>
    <col min="12580" max="12580" width="2.140625" style="1096" customWidth="1"/>
    <col min="12581" max="12581" width="3.42578125" style="1096" customWidth="1"/>
    <col min="12582" max="12582" width="9" style="1096" customWidth="1"/>
    <col min="12583" max="12583" width="1.5703125" style="1096" customWidth="1"/>
    <col min="12584" max="12584" width="1" style="1096" customWidth="1"/>
    <col min="12585" max="12585" width="1.140625" style="1096" customWidth="1"/>
    <col min="12586" max="12800" width="6.85546875" style="1096" customWidth="1"/>
    <col min="12801" max="12801" width="1.140625" style="1096" customWidth="1"/>
    <col min="12802" max="12802" width="2" style="1096" customWidth="1"/>
    <col min="12803" max="12804" width="1.7109375" style="1096" customWidth="1"/>
    <col min="12805" max="12805" width="1.42578125" style="1096" customWidth="1"/>
    <col min="12806" max="12806" width="1.140625" style="1096" customWidth="1"/>
    <col min="12807" max="12807" width="1" style="1096" customWidth="1"/>
    <col min="12808" max="12808" width="4.85546875" style="1096" customWidth="1"/>
    <col min="12809" max="12809" width="2.7109375" style="1096" customWidth="1"/>
    <col min="12810" max="12810" width="1.42578125" style="1096" customWidth="1"/>
    <col min="12811" max="12811" width="2.5703125" style="1096" customWidth="1"/>
    <col min="12812" max="12812" width="3" style="1096" customWidth="1"/>
    <col min="12813" max="12813" width="6.7109375" style="1096" customWidth="1"/>
    <col min="12814" max="12814" width="4.28515625" style="1096" customWidth="1"/>
    <col min="12815" max="12815" width="3.42578125" style="1096" customWidth="1"/>
    <col min="12816" max="12816" width="1.28515625" style="1096" customWidth="1"/>
    <col min="12817" max="12817" width="1.5703125" style="1096" customWidth="1"/>
    <col min="12818" max="12818" width="2.28515625" style="1096" customWidth="1"/>
    <col min="12819" max="12819" width="1" style="1096" customWidth="1"/>
    <col min="12820" max="12820" width="1.42578125" style="1096" customWidth="1"/>
    <col min="12821" max="12821" width="2.140625" style="1096" customWidth="1"/>
    <col min="12822" max="12822" width="11.5703125" style="1096" customWidth="1"/>
    <col min="12823" max="12823" width="7" style="1096" customWidth="1"/>
    <col min="12824" max="12824" width="1.28515625" style="1096" customWidth="1"/>
    <col min="12825" max="12825" width="1.140625" style="1096" customWidth="1"/>
    <col min="12826" max="12826" width="1" style="1096" customWidth="1"/>
    <col min="12827" max="12827" width="1.5703125" style="1096" customWidth="1"/>
    <col min="12828" max="12828" width="5.28515625" style="1096" customWidth="1"/>
    <col min="12829" max="12829" width="1.140625" style="1096" customWidth="1"/>
    <col min="12830" max="12830" width="11.85546875" style="1096" customWidth="1"/>
    <col min="12831" max="12832" width="1.140625" style="1096" customWidth="1"/>
    <col min="12833" max="12833" width="1" style="1096" customWidth="1"/>
    <col min="12834" max="12834" width="1.140625" style="1096" customWidth="1"/>
    <col min="12835" max="12835" width="2.85546875" style="1096" customWidth="1"/>
    <col min="12836" max="12836" width="2.140625" style="1096" customWidth="1"/>
    <col min="12837" max="12837" width="3.42578125" style="1096" customWidth="1"/>
    <col min="12838" max="12838" width="9" style="1096" customWidth="1"/>
    <col min="12839" max="12839" width="1.5703125" style="1096" customWidth="1"/>
    <col min="12840" max="12840" width="1" style="1096" customWidth="1"/>
    <col min="12841" max="12841" width="1.140625" style="1096" customWidth="1"/>
    <col min="12842" max="13056" width="6.85546875" style="1096" customWidth="1"/>
    <col min="13057" max="13057" width="1.140625" style="1096" customWidth="1"/>
    <col min="13058" max="13058" width="2" style="1096" customWidth="1"/>
    <col min="13059" max="13060" width="1.7109375" style="1096" customWidth="1"/>
    <col min="13061" max="13061" width="1.42578125" style="1096" customWidth="1"/>
    <col min="13062" max="13062" width="1.140625" style="1096" customWidth="1"/>
    <col min="13063" max="13063" width="1" style="1096" customWidth="1"/>
    <col min="13064" max="13064" width="4.85546875" style="1096" customWidth="1"/>
    <col min="13065" max="13065" width="2.7109375" style="1096" customWidth="1"/>
    <col min="13066" max="13066" width="1.42578125" style="1096" customWidth="1"/>
    <col min="13067" max="13067" width="2.5703125" style="1096" customWidth="1"/>
    <col min="13068" max="13068" width="3" style="1096" customWidth="1"/>
    <col min="13069" max="13069" width="6.7109375" style="1096" customWidth="1"/>
    <col min="13070" max="13070" width="4.28515625" style="1096" customWidth="1"/>
    <col min="13071" max="13071" width="3.42578125" style="1096" customWidth="1"/>
    <col min="13072" max="13072" width="1.28515625" style="1096" customWidth="1"/>
    <col min="13073" max="13073" width="1.5703125" style="1096" customWidth="1"/>
    <col min="13074" max="13074" width="2.28515625" style="1096" customWidth="1"/>
    <col min="13075" max="13075" width="1" style="1096" customWidth="1"/>
    <col min="13076" max="13076" width="1.42578125" style="1096" customWidth="1"/>
    <col min="13077" max="13077" width="2.140625" style="1096" customWidth="1"/>
    <col min="13078" max="13078" width="11.5703125" style="1096" customWidth="1"/>
    <col min="13079" max="13079" width="7" style="1096" customWidth="1"/>
    <col min="13080" max="13080" width="1.28515625" style="1096" customWidth="1"/>
    <col min="13081" max="13081" width="1.140625" style="1096" customWidth="1"/>
    <col min="13082" max="13082" width="1" style="1096" customWidth="1"/>
    <col min="13083" max="13083" width="1.5703125" style="1096" customWidth="1"/>
    <col min="13084" max="13084" width="5.28515625" style="1096" customWidth="1"/>
    <col min="13085" max="13085" width="1.140625" style="1096" customWidth="1"/>
    <col min="13086" max="13086" width="11.85546875" style="1096" customWidth="1"/>
    <col min="13087" max="13088" width="1.140625" style="1096" customWidth="1"/>
    <col min="13089" max="13089" width="1" style="1096" customWidth="1"/>
    <col min="13090" max="13090" width="1.140625" style="1096" customWidth="1"/>
    <col min="13091" max="13091" width="2.85546875" style="1096" customWidth="1"/>
    <col min="13092" max="13092" width="2.140625" style="1096" customWidth="1"/>
    <col min="13093" max="13093" width="3.42578125" style="1096" customWidth="1"/>
    <col min="13094" max="13094" width="9" style="1096" customWidth="1"/>
    <col min="13095" max="13095" width="1.5703125" style="1096" customWidth="1"/>
    <col min="13096" max="13096" width="1" style="1096" customWidth="1"/>
    <col min="13097" max="13097" width="1.140625" style="1096" customWidth="1"/>
    <col min="13098" max="13312" width="6.85546875" style="1096" customWidth="1"/>
    <col min="13313" max="13313" width="1.140625" style="1096" customWidth="1"/>
    <col min="13314" max="13314" width="2" style="1096" customWidth="1"/>
    <col min="13315" max="13316" width="1.7109375" style="1096" customWidth="1"/>
    <col min="13317" max="13317" width="1.42578125" style="1096" customWidth="1"/>
    <col min="13318" max="13318" width="1.140625" style="1096" customWidth="1"/>
    <col min="13319" max="13319" width="1" style="1096" customWidth="1"/>
    <col min="13320" max="13320" width="4.85546875" style="1096" customWidth="1"/>
    <col min="13321" max="13321" width="2.7109375" style="1096" customWidth="1"/>
    <col min="13322" max="13322" width="1.42578125" style="1096" customWidth="1"/>
    <col min="13323" max="13323" width="2.5703125" style="1096" customWidth="1"/>
    <col min="13324" max="13324" width="3" style="1096" customWidth="1"/>
    <col min="13325" max="13325" width="6.7109375" style="1096" customWidth="1"/>
    <col min="13326" max="13326" width="4.28515625" style="1096" customWidth="1"/>
    <col min="13327" max="13327" width="3.42578125" style="1096" customWidth="1"/>
    <col min="13328" max="13328" width="1.28515625" style="1096" customWidth="1"/>
    <col min="13329" max="13329" width="1.5703125" style="1096" customWidth="1"/>
    <col min="13330" max="13330" width="2.28515625" style="1096" customWidth="1"/>
    <col min="13331" max="13331" width="1" style="1096" customWidth="1"/>
    <col min="13332" max="13332" width="1.42578125" style="1096" customWidth="1"/>
    <col min="13333" max="13333" width="2.140625" style="1096" customWidth="1"/>
    <col min="13334" max="13334" width="11.5703125" style="1096" customWidth="1"/>
    <col min="13335" max="13335" width="7" style="1096" customWidth="1"/>
    <col min="13336" max="13336" width="1.28515625" style="1096" customWidth="1"/>
    <col min="13337" max="13337" width="1.140625" style="1096" customWidth="1"/>
    <col min="13338" max="13338" width="1" style="1096" customWidth="1"/>
    <col min="13339" max="13339" width="1.5703125" style="1096" customWidth="1"/>
    <col min="13340" max="13340" width="5.28515625" style="1096" customWidth="1"/>
    <col min="13341" max="13341" width="1.140625" style="1096" customWidth="1"/>
    <col min="13342" max="13342" width="11.85546875" style="1096" customWidth="1"/>
    <col min="13343" max="13344" width="1.140625" style="1096" customWidth="1"/>
    <col min="13345" max="13345" width="1" style="1096" customWidth="1"/>
    <col min="13346" max="13346" width="1.140625" style="1096" customWidth="1"/>
    <col min="13347" max="13347" width="2.85546875" style="1096" customWidth="1"/>
    <col min="13348" max="13348" width="2.140625" style="1096" customWidth="1"/>
    <col min="13349" max="13349" width="3.42578125" style="1096" customWidth="1"/>
    <col min="13350" max="13350" width="9" style="1096" customWidth="1"/>
    <col min="13351" max="13351" width="1.5703125" style="1096" customWidth="1"/>
    <col min="13352" max="13352" width="1" style="1096" customWidth="1"/>
    <col min="13353" max="13353" width="1.140625" style="1096" customWidth="1"/>
    <col min="13354" max="13568" width="6.85546875" style="1096" customWidth="1"/>
    <col min="13569" max="13569" width="1.140625" style="1096" customWidth="1"/>
    <col min="13570" max="13570" width="2" style="1096" customWidth="1"/>
    <col min="13571" max="13572" width="1.7109375" style="1096" customWidth="1"/>
    <col min="13573" max="13573" width="1.42578125" style="1096" customWidth="1"/>
    <col min="13574" max="13574" width="1.140625" style="1096" customWidth="1"/>
    <col min="13575" max="13575" width="1" style="1096" customWidth="1"/>
    <col min="13576" max="13576" width="4.85546875" style="1096" customWidth="1"/>
    <col min="13577" max="13577" width="2.7109375" style="1096" customWidth="1"/>
    <col min="13578" max="13578" width="1.42578125" style="1096" customWidth="1"/>
    <col min="13579" max="13579" width="2.5703125" style="1096" customWidth="1"/>
    <col min="13580" max="13580" width="3" style="1096" customWidth="1"/>
    <col min="13581" max="13581" width="6.7109375" style="1096" customWidth="1"/>
    <col min="13582" max="13582" width="4.28515625" style="1096" customWidth="1"/>
    <col min="13583" max="13583" width="3.42578125" style="1096" customWidth="1"/>
    <col min="13584" max="13584" width="1.28515625" style="1096" customWidth="1"/>
    <col min="13585" max="13585" width="1.5703125" style="1096" customWidth="1"/>
    <col min="13586" max="13586" width="2.28515625" style="1096" customWidth="1"/>
    <col min="13587" max="13587" width="1" style="1096" customWidth="1"/>
    <col min="13588" max="13588" width="1.42578125" style="1096" customWidth="1"/>
    <col min="13589" max="13589" width="2.140625" style="1096" customWidth="1"/>
    <col min="13590" max="13590" width="11.5703125" style="1096" customWidth="1"/>
    <col min="13591" max="13591" width="7" style="1096" customWidth="1"/>
    <col min="13592" max="13592" width="1.28515625" style="1096" customWidth="1"/>
    <col min="13593" max="13593" width="1.140625" style="1096" customWidth="1"/>
    <col min="13594" max="13594" width="1" style="1096" customWidth="1"/>
    <col min="13595" max="13595" width="1.5703125" style="1096" customWidth="1"/>
    <col min="13596" max="13596" width="5.28515625" style="1096" customWidth="1"/>
    <col min="13597" max="13597" width="1.140625" style="1096" customWidth="1"/>
    <col min="13598" max="13598" width="11.85546875" style="1096" customWidth="1"/>
    <col min="13599" max="13600" width="1.140625" style="1096" customWidth="1"/>
    <col min="13601" max="13601" width="1" style="1096" customWidth="1"/>
    <col min="13602" max="13602" width="1.140625" style="1096" customWidth="1"/>
    <col min="13603" max="13603" width="2.85546875" style="1096" customWidth="1"/>
    <col min="13604" max="13604" width="2.140625" style="1096" customWidth="1"/>
    <col min="13605" max="13605" width="3.42578125" style="1096" customWidth="1"/>
    <col min="13606" max="13606" width="9" style="1096" customWidth="1"/>
    <col min="13607" max="13607" width="1.5703125" style="1096" customWidth="1"/>
    <col min="13608" max="13608" width="1" style="1096" customWidth="1"/>
    <col min="13609" max="13609" width="1.140625" style="1096" customWidth="1"/>
    <col min="13610" max="13824" width="6.85546875" style="1096" customWidth="1"/>
    <col min="13825" max="13825" width="1.140625" style="1096" customWidth="1"/>
    <col min="13826" max="13826" width="2" style="1096" customWidth="1"/>
    <col min="13827" max="13828" width="1.7109375" style="1096" customWidth="1"/>
    <col min="13829" max="13829" width="1.42578125" style="1096" customWidth="1"/>
    <col min="13830" max="13830" width="1.140625" style="1096" customWidth="1"/>
    <col min="13831" max="13831" width="1" style="1096" customWidth="1"/>
    <col min="13832" max="13832" width="4.85546875" style="1096" customWidth="1"/>
    <col min="13833" max="13833" width="2.7109375" style="1096" customWidth="1"/>
    <col min="13834" max="13834" width="1.42578125" style="1096" customWidth="1"/>
    <col min="13835" max="13835" width="2.5703125" style="1096" customWidth="1"/>
    <col min="13836" max="13836" width="3" style="1096" customWidth="1"/>
    <col min="13837" max="13837" width="6.7109375" style="1096" customWidth="1"/>
    <col min="13838" max="13838" width="4.28515625" style="1096" customWidth="1"/>
    <col min="13839" max="13839" width="3.42578125" style="1096" customWidth="1"/>
    <col min="13840" max="13840" width="1.28515625" style="1096" customWidth="1"/>
    <col min="13841" max="13841" width="1.5703125" style="1096" customWidth="1"/>
    <col min="13842" max="13842" width="2.28515625" style="1096" customWidth="1"/>
    <col min="13843" max="13843" width="1" style="1096" customWidth="1"/>
    <col min="13844" max="13844" width="1.42578125" style="1096" customWidth="1"/>
    <col min="13845" max="13845" width="2.140625" style="1096" customWidth="1"/>
    <col min="13846" max="13846" width="11.5703125" style="1096" customWidth="1"/>
    <col min="13847" max="13847" width="7" style="1096" customWidth="1"/>
    <col min="13848" max="13848" width="1.28515625" style="1096" customWidth="1"/>
    <col min="13849" max="13849" width="1.140625" style="1096" customWidth="1"/>
    <col min="13850" max="13850" width="1" style="1096" customWidth="1"/>
    <col min="13851" max="13851" width="1.5703125" style="1096" customWidth="1"/>
    <col min="13852" max="13852" width="5.28515625" style="1096" customWidth="1"/>
    <col min="13853" max="13853" width="1.140625" style="1096" customWidth="1"/>
    <col min="13854" max="13854" width="11.85546875" style="1096" customWidth="1"/>
    <col min="13855" max="13856" width="1.140625" style="1096" customWidth="1"/>
    <col min="13857" max="13857" width="1" style="1096" customWidth="1"/>
    <col min="13858" max="13858" width="1.140625" style="1096" customWidth="1"/>
    <col min="13859" max="13859" width="2.85546875" style="1096" customWidth="1"/>
    <col min="13860" max="13860" width="2.140625" style="1096" customWidth="1"/>
    <col min="13861" max="13861" width="3.42578125" style="1096" customWidth="1"/>
    <col min="13862" max="13862" width="9" style="1096" customWidth="1"/>
    <col min="13863" max="13863" width="1.5703125" style="1096" customWidth="1"/>
    <col min="13864" max="13864" width="1" style="1096" customWidth="1"/>
    <col min="13865" max="13865" width="1.140625" style="1096" customWidth="1"/>
    <col min="13866" max="14080" width="6.85546875" style="1096" customWidth="1"/>
    <col min="14081" max="14081" width="1.140625" style="1096" customWidth="1"/>
    <col min="14082" max="14082" width="2" style="1096" customWidth="1"/>
    <col min="14083" max="14084" width="1.7109375" style="1096" customWidth="1"/>
    <col min="14085" max="14085" width="1.42578125" style="1096" customWidth="1"/>
    <col min="14086" max="14086" width="1.140625" style="1096" customWidth="1"/>
    <col min="14087" max="14087" width="1" style="1096" customWidth="1"/>
    <col min="14088" max="14088" width="4.85546875" style="1096" customWidth="1"/>
    <col min="14089" max="14089" width="2.7109375" style="1096" customWidth="1"/>
    <col min="14090" max="14090" width="1.42578125" style="1096" customWidth="1"/>
    <col min="14091" max="14091" width="2.5703125" style="1096" customWidth="1"/>
    <col min="14092" max="14092" width="3" style="1096" customWidth="1"/>
    <col min="14093" max="14093" width="6.7109375" style="1096" customWidth="1"/>
    <col min="14094" max="14094" width="4.28515625" style="1096" customWidth="1"/>
    <col min="14095" max="14095" width="3.42578125" style="1096" customWidth="1"/>
    <col min="14096" max="14096" width="1.28515625" style="1096" customWidth="1"/>
    <col min="14097" max="14097" width="1.5703125" style="1096" customWidth="1"/>
    <col min="14098" max="14098" width="2.28515625" style="1096" customWidth="1"/>
    <col min="14099" max="14099" width="1" style="1096" customWidth="1"/>
    <col min="14100" max="14100" width="1.42578125" style="1096" customWidth="1"/>
    <col min="14101" max="14101" width="2.140625" style="1096" customWidth="1"/>
    <col min="14102" max="14102" width="11.5703125" style="1096" customWidth="1"/>
    <col min="14103" max="14103" width="7" style="1096" customWidth="1"/>
    <col min="14104" max="14104" width="1.28515625" style="1096" customWidth="1"/>
    <col min="14105" max="14105" width="1.140625" style="1096" customWidth="1"/>
    <col min="14106" max="14106" width="1" style="1096" customWidth="1"/>
    <col min="14107" max="14107" width="1.5703125" style="1096" customWidth="1"/>
    <col min="14108" max="14108" width="5.28515625" style="1096" customWidth="1"/>
    <col min="14109" max="14109" width="1.140625" style="1096" customWidth="1"/>
    <col min="14110" max="14110" width="11.85546875" style="1096" customWidth="1"/>
    <col min="14111" max="14112" width="1.140625" style="1096" customWidth="1"/>
    <col min="14113" max="14113" width="1" style="1096" customWidth="1"/>
    <col min="14114" max="14114" width="1.140625" style="1096" customWidth="1"/>
    <col min="14115" max="14115" width="2.85546875" style="1096" customWidth="1"/>
    <col min="14116" max="14116" width="2.140625" style="1096" customWidth="1"/>
    <col min="14117" max="14117" width="3.42578125" style="1096" customWidth="1"/>
    <col min="14118" max="14118" width="9" style="1096" customWidth="1"/>
    <col min="14119" max="14119" width="1.5703125" style="1096" customWidth="1"/>
    <col min="14120" max="14120" width="1" style="1096" customWidth="1"/>
    <col min="14121" max="14121" width="1.140625" style="1096" customWidth="1"/>
    <col min="14122" max="14336" width="6.85546875" style="1096" customWidth="1"/>
    <col min="14337" max="14337" width="1.140625" style="1096" customWidth="1"/>
    <col min="14338" max="14338" width="2" style="1096" customWidth="1"/>
    <col min="14339" max="14340" width="1.7109375" style="1096" customWidth="1"/>
    <col min="14341" max="14341" width="1.42578125" style="1096" customWidth="1"/>
    <col min="14342" max="14342" width="1.140625" style="1096" customWidth="1"/>
    <col min="14343" max="14343" width="1" style="1096" customWidth="1"/>
    <col min="14344" max="14344" width="4.85546875" style="1096" customWidth="1"/>
    <col min="14345" max="14345" width="2.7109375" style="1096" customWidth="1"/>
    <col min="14346" max="14346" width="1.42578125" style="1096" customWidth="1"/>
    <col min="14347" max="14347" width="2.5703125" style="1096" customWidth="1"/>
    <col min="14348" max="14348" width="3" style="1096" customWidth="1"/>
    <col min="14349" max="14349" width="6.7109375" style="1096" customWidth="1"/>
    <col min="14350" max="14350" width="4.28515625" style="1096" customWidth="1"/>
    <col min="14351" max="14351" width="3.42578125" style="1096" customWidth="1"/>
    <col min="14352" max="14352" width="1.28515625" style="1096" customWidth="1"/>
    <col min="14353" max="14353" width="1.5703125" style="1096" customWidth="1"/>
    <col min="14354" max="14354" width="2.28515625" style="1096" customWidth="1"/>
    <col min="14355" max="14355" width="1" style="1096" customWidth="1"/>
    <col min="14356" max="14356" width="1.42578125" style="1096" customWidth="1"/>
    <col min="14357" max="14357" width="2.140625" style="1096" customWidth="1"/>
    <col min="14358" max="14358" width="11.5703125" style="1096" customWidth="1"/>
    <col min="14359" max="14359" width="7" style="1096" customWidth="1"/>
    <col min="14360" max="14360" width="1.28515625" style="1096" customWidth="1"/>
    <col min="14361" max="14361" width="1.140625" style="1096" customWidth="1"/>
    <col min="14362" max="14362" width="1" style="1096" customWidth="1"/>
    <col min="14363" max="14363" width="1.5703125" style="1096" customWidth="1"/>
    <col min="14364" max="14364" width="5.28515625" style="1096" customWidth="1"/>
    <col min="14365" max="14365" width="1.140625" style="1096" customWidth="1"/>
    <col min="14366" max="14366" width="11.85546875" style="1096" customWidth="1"/>
    <col min="14367" max="14368" width="1.140625" style="1096" customWidth="1"/>
    <col min="14369" max="14369" width="1" style="1096" customWidth="1"/>
    <col min="14370" max="14370" width="1.140625" style="1096" customWidth="1"/>
    <col min="14371" max="14371" width="2.85546875" style="1096" customWidth="1"/>
    <col min="14372" max="14372" width="2.140625" style="1096" customWidth="1"/>
    <col min="14373" max="14373" width="3.42578125" style="1096" customWidth="1"/>
    <col min="14374" max="14374" width="9" style="1096" customWidth="1"/>
    <col min="14375" max="14375" width="1.5703125" style="1096" customWidth="1"/>
    <col min="14376" max="14376" width="1" style="1096" customWidth="1"/>
    <col min="14377" max="14377" width="1.140625" style="1096" customWidth="1"/>
    <col min="14378" max="14592" width="6.85546875" style="1096" customWidth="1"/>
    <col min="14593" max="14593" width="1.140625" style="1096" customWidth="1"/>
    <col min="14594" max="14594" width="2" style="1096" customWidth="1"/>
    <col min="14595" max="14596" width="1.7109375" style="1096" customWidth="1"/>
    <col min="14597" max="14597" width="1.42578125" style="1096" customWidth="1"/>
    <col min="14598" max="14598" width="1.140625" style="1096" customWidth="1"/>
    <col min="14599" max="14599" width="1" style="1096" customWidth="1"/>
    <col min="14600" max="14600" width="4.85546875" style="1096" customWidth="1"/>
    <col min="14601" max="14601" width="2.7109375" style="1096" customWidth="1"/>
    <col min="14602" max="14602" width="1.42578125" style="1096" customWidth="1"/>
    <col min="14603" max="14603" width="2.5703125" style="1096" customWidth="1"/>
    <col min="14604" max="14604" width="3" style="1096" customWidth="1"/>
    <col min="14605" max="14605" width="6.7109375" style="1096" customWidth="1"/>
    <col min="14606" max="14606" width="4.28515625" style="1096" customWidth="1"/>
    <col min="14607" max="14607" width="3.42578125" style="1096" customWidth="1"/>
    <col min="14608" max="14608" width="1.28515625" style="1096" customWidth="1"/>
    <col min="14609" max="14609" width="1.5703125" style="1096" customWidth="1"/>
    <col min="14610" max="14610" width="2.28515625" style="1096" customWidth="1"/>
    <col min="14611" max="14611" width="1" style="1096" customWidth="1"/>
    <col min="14612" max="14612" width="1.42578125" style="1096" customWidth="1"/>
    <col min="14613" max="14613" width="2.140625" style="1096" customWidth="1"/>
    <col min="14614" max="14614" width="11.5703125" style="1096" customWidth="1"/>
    <col min="14615" max="14615" width="7" style="1096" customWidth="1"/>
    <col min="14616" max="14616" width="1.28515625" style="1096" customWidth="1"/>
    <col min="14617" max="14617" width="1.140625" style="1096" customWidth="1"/>
    <col min="14618" max="14618" width="1" style="1096" customWidth="1"/>
    <col min="14619" max="14619" width="1.5703125" style="1096" customWidth="1"/>
    <col min="14620" max="14620" width="5.28515625" style="1096" customWidth="1"/>
    <col min="14621" max="14621" width="1.140625" style="1096" customWidth="1"/>
    <col min="14622" max="14622" width="11.85546875" style="1096" customWidth="1"/>
    <col min="14623" max="14624" width="1.140625" style="1096" customWidth="1"/>
    <col min="14625" max="14625" width="1" style="1096" customWidth="1"/>
    <col min="14626" max="14626" width="1.140625" style="1096" customWidth="1"/>
    <col min="14627" max="14627" width="2.85546875" style="1096" customWidth="1"/>
    <col min="14628" max="14628" width="2.140625" style="1096" customWidth="1"/>
    <col min="14629" max="14629" width="3.42578125" style="1096" customWidth="1"/>
    <col min="14630" max="14630" width="9" style="1096" customWidth="1"/>
    <col min="14631" max="14631" width="1.5703125" style="1096" customWidth="1"/>
    <col min="14632" max="14632" width="1" style="1096" customWidth="1"/>
    <col min="14633" max="14633" width="1.140625" style="1096" customWidth="1"/>
    <col min="14634" max="14848" width="6.85546875" style="1096" customWidth="1"/>
    <col min="14849" max="14849" width="1.140625" style="1096" customWidth="1"/>
    <col min="14850" max="14850" width="2" style="1096" customWidth="1"/>
    <col min="14851" max="14852" width="1.7109375" style="1096" customWidth="1"/>
    <col min="14853" max="14853" width="1.42578125" style="1096" customWidth="1"/>
    <col min="14854" max="14854" width="1.140625" style="1096" customWidth="1"/>
    <col min="14855" max="14855" width="1" style="1096" customWidth="1"/>
    <col min="14856" max="14856" width="4.85546875" style="1096" customWidth="1"/>
    <col min="14857" max="14857" width="2.7109375" style="1096" customWidth="1"/>
    <col min="14858" max="14858" width="1.42578125" style="1096" customWidth="1"/>
    <col min="14859" max="14859" width="2.5703125" style="1096" customWidth="1"/>
    <col min="14860" max="14860" width="3" style="1096" customWidth="1"/>
    <col min="14861" max="14861" width="6.7109375" style="1096" customWidth="1"/>
    <col min="14862" max="14862" width="4.28515625" style="1096" customWidth="1"/>
    <col min="14863" max="14863" width="3.42578125" style="1096" customWidth="1"/>
    <col min="14864" max="14864" width="1.28515625" style="1096" customWidth="1"/>
    <col min="14865" max="14865" width="1.5703125" style="1096" customWidth="1"/>
    <col min="14866" max="14866" width="2.28515625" style="1096" customWidth="1"/>
    <col min="14867" max="14867" width="1" style="1096" customWidth="1"/>
    <col min="14868" max="14868" width="1.42578125" style="1096" customWidth="1"/>
    <col min="14869" max="14869" width="2.140625" style="1096" customWidth="1"/>
    <col min="14870" max="14870" width="11.5703125" style="1096" customWidth="1"/>
    <col min="14871" max="14871" width="7" style="1096" customWidth="1"/>
    <col min="14872" max="14872" width="1.28515625" style="1096" customWidth="1"/>
    <col min="14873" max="14873" width="1.140625" style="1096" customWidth="1"/>
    <col min="14874" max="14874" width="1" style="1096" customWidth="1"/>
    <col min="14875" max="14875" width="1.5703125" style="1096" customWidth="1"/>
    <col min="14876" max="14876" width="5.28515625" style="1096" customWidth="1"/>
    <col min="14877" max="14877" width="1.140625" style="1096" customWidth="1"/>
    <col min="14878" max="14878" width="11.85546875" style="1096" customWidth="1"/>
    <col min="14879" max="14880" width="1.140625" style="1096" customWidth="1"/>
    <col min="14881" max="14881" width="1" style="1096" customWidth="1"/>
    <col min="14882" max="14882" width="1.140625" style="1096" customWidth="1"/>
    <col min="14883" max="14883" width="2.85546875" style="1096" customWidth="1"/>
    <col min="14884" max="14884" width="2.140625" style="1096" customWidth="1"/>
    <col min="14885" max="14885" width="3.42578125" style="1096" customWidth="1"/>
    <col min="14886" max="14886" width="9" style="1096" customWidth="1"/>
    <col min="14887" max="14887" width="1.5703125" style="1096" customWidth="1"/>
    <col min="14888" max="14888" width="1" style="1096" customWidth="1"/>
    <col min="14889" max="14889" width="1.140625" style="1096" customWidth="1"/>
    <col min="14890" max="15104" width="6.85546875" style="1096" customWidth="1"/>
    <col min="15105" max="15105" width="1.140625" style="1096" customWidth="1"/>
    <col min="15106" max="15106" width="2" style="1096" customWidth="1"/>
    <col min="15107" max="15108" width="1.7109375" style="1096" customWidth="1"/>
    <col min="15109" max="15109" width="1.42578125" style="1096" customWidth="1"/>
    <col min="15110" max="15110" width="1.140625" style="1096" customWidth="1"/>
    <col min="15111" max="15111" width="1" style="1096" customWidth="1"/>
    <col min="15112" max="15112" width="4.85546875" style="1096" customWidth="1"/>
    <col min="15113" max="15113" width="2.7109375" style="1096" customWidth="1"/>
    <col min="15114" max="15114" width="1.42578125" style="1096" customWidth="1"/>
    <col min="15115" max="15115" width="2.5703125" style="1096" customWidth="1"/>
    <col min="15116" max="15116" width="3" style="1096" customWidth="1"/>
    <col min="15117" max="15117" width="6.7109375" style="1096" customWidth="1"/>
    <col min="15118" max="15118" width="4.28515625" style="1096" customWidth="1"/>
    <col min="15119" max="15119" width="3.42578125" style="1096" customWidth="1"/>
    <col min="15120" max="15120" width="1.28515625" style="1096" customWidth="1"/>
    <col min="15121" max="15121" width="1.5703125" style="1096" customWidth="1"/>
    <col min="15122" max="15122" width="2.28515625" style="1096" customWidth="1"/>
    <col min="15123" max="15123" width="1" style="1096" customWidth="1"/>
    <col min="15124" max="15124" width="1.42578125" style="1096" customWidth="1"/>
    <col min="15125" max="15125" width="2.140625" style="1096" customWidth="1"/>
    <col min="15126" max="15126" width="11.5703125" style="1096" customWidth="1"/>
    <col min="15127" max="15127" width="7" style="1096" customWidth="1"/>
    <col min="15128" max="15128" width="1.28515625" style="1096" customWidth="1"/>
    <col min="15129" max="15129" width="1.140625" style="1096" customWidth="1"/>
    <col min="15130" max="15130" width="1" style="1096" customWidth="1"/>
    <col min="15131" max="15131" width="1.5703125" style="1096" customWidth="1"/>
    <col min="15132" max="15132" width="5.28515625" style="1096" customWidth="1"/>
    <col min="15133" max="15133" width="1.140625" style="1096" customWidth="1"/>
    <col min="15134" max="15134" width="11.85546875" style="1096" customWidth="1"/>
    <col min="15135" max="15136" width="1.140625" style="1096" customWidth="1"/>
    <col min="15137" max="15137" width="1" style="1096" customWidth="1"/>
    <col min="15138" max="15138" width="1.140625" style="1096" customWidth="1"/>
    <col min="15139" max="15139" width="2.85546875" style="1096" customWidth="1"/>
    <col min="15140" max="15140" width="2.140625" style="1096" customWidth="1"/>
    <col min="15141" max="15141" width="3.42578125" style="1096" customWidth="1"/>
    <col min="15142" max="15142" width="9" style="1096" customWidth="1"/>
    <col min="15143" max="15143" width="1.5703125" style="1096" customWidth="1"/>
    <col min="15144" max="15144" width="1" style="1096" customWidth="1"/>
    <col min="15145" max="15145" width="1.140625" style="1096" customWidth="1"/>
    <col min="15146" max="15360" width="6.85546875" style="1096" customWidth="1"/>
    <col min="15361" max="15361" width="1.140625" style="1096" customWidth="1"/>
    <col min="15362" max="15362" width="2" style="1096" customWidth="1"/>
    <col min="15363" max="15364" width="1.7109375" style="1096" customWidth="1"/>
    <col min="15365" max="15365" width="1.42578125" style="1096" customWidth="1"/>
    <col min="15366" max="15366" width="1.140625" style="1096" customWidth="1"/>
    <col min="15367" max="15367" width="1" style="1096" customWidth="1"/>
    <col min="15368" max="15368" width="4.85546875" style="1096" customWidth="1"/>
    <col min="15369" max="15369" width="2.7109375" style="1096" customWidth="1"/>
    <col min="15370" max="15370" width="1.42578125" style="1096" customWidth="1"/>
    <col min="15371" max="15371" width="2.5703125" style="1096" customWidth="1"/>
    <col min="15372" max="15372" width="3" style="1096" customWidth="1"/>
    <col min="15373" max="15373" width="6.7109375" style="1096" customWidth="1"/>
    <col min="15374" max="15374" width="4.28515625" style="1096" customWidth="1"/>
    <col min="15375" max="15375" width="3.42578125" style="1096" customWidth="1"/>
    <col min="15376" max="15376" width="1.28515625" style="1096" customWidth="1"/>
    <col min="15377" max="15377" width="1.5703125" style="1096" customWidth="1"/>
    <col min="15378" max="15378" width="2.28515625" style="1096" customWidth="1"/>
    <col min="15379" max="15379" width="1" style="1096" customWidth="1"/>
    <col min="15380" max="15380" width="1.42578125" style="1096" customWidth="1"/>
    <col min="15381" max="15381" width="2.140625" style="1096" customWidth="1"/>
    <col min="15382" max="15382" width="11.5703125" style="1096" customWidth="1"/>
    <col min="15383" max="15383" width="7" style="1096" customWidth="1"/>
    <col min="15384" max="15384" width="1.28515625" style="1096" customWidth="1"/>
    <col min="15385" max="15385" width="1.140625" style="1096" customWidth="1"/>
    <col min="15386" max="15386" width="1" style="1096" customWidth="1"/>
    <col min="15387" max="15387" width="1.5703125" style="1096" customWidth="1"/>
    <col min="15388" max="15388" width="5.28515625" style="1096" customWidth="1"/>
    <col min="15389" max="15389" width="1.140625" style="1096" customWidth="1"/>
    <col min="15390" max="15390" width="11.85546875" style="1096" customWidth="1"/>
    <col min="15391" max="15392" width="1.140625" style="1096" customWidth="1"/>
    <col min="15393" max="15393" width="1" style="1096" customWidth="1"/>
    <col min="15394" max="15394" width="1.140625" style="1096" customWidth="1"/>
    <col min="15395" max="15395" width="2.85546875" style="1096" customWidth="1"/>
    <col min="15396" max="15396" width="2.140625" style="1096" customWidth="1"/>
    <col min="15397" max="15397" width="3.42578125" style="1096" customWidth="1"/>
    <col min="15398" max="15398" width="9" style="1096" customWidth="1"/>
    <col min="15399" max="15399" width="1.5703125" style="1096" customWidth="1"/>
    <col min="15400" max="15400" width="1" style="1096" customWidth="1"/>
    <col min="15401" max="15401" width="1.140625" style="1096" customWidth="1"/>
    <col min="15402" max="15616" width="6.85546875" style="1096" customWidth="1"/>
    <col min="15617" max="15617" width="1.140625" style="1096" customWidth="1"/>
    <col min="15618" max="15618" width="2" style="1096" customWidth="1"/>
    <col min="15619" max="15620" width="1.7109375" style="1096" customWidth="1"/>
    <col min="15621" max="15621" width="1.42578125" style="1096" customWidth="1"/>
    <col min="15622" max="15622" width="1.140625" style="1096" customWidth="1"/>
    <col min="15623" max="15623" width="1" style="1096" customWidth="1"/>
    <col min="15624" max="15624" width="4.85546875" style="1096" customWidth="1"/>
    <col min="15625" max="15625" width="2.7109375" style="1096" customWidth="1"/>
    <col min="15626" max="15626" width="1.42578125" style="1096" customWidth="1"/>
    <col min="15627" max="15627" width="2.5703125" style="1096" customWidth="1"/>
    <col min="15628" max="15628" width="3" style="1096" customWidth="1"/>
    <col min="15629" max="15629" width="6.7109375" style="1096" customWidth="1"/>
    <col min="15630" max="15630" width="4.28515625" style="1096" customWidth="1"/>
    <col min="15631" max="15631" width="3.42578125" style="1096" customWidth="1"/>
    <col min="15632" max="15632" width="1.28515625" style="1096" customWidth="1"/>
    <col min="15633" max="15633" width="1.5703125" style="1096" customWidth="1"/>
    <col min="15634" max="15634" width="2.28515625" style="1096" customWidth="1"/>
    <col min="15635" max="15635" width="1" style="1096" customWidth="1"/>
    <col min="15636" max="15636" width="1.42578125" style="1096" customWidth="1"/>
    <col min="15637" max="15637" width="2.140625" style="1096" customWidth="1"/>
    <col min="15638" max="15638" width="11.5703125" style="1096" customWidth="1"/>
    <col min="15639" max="15639" width="7" style="1096" customWidth="1"/>
    <col min="15640" max="15640" width="1.28515625" style="1096" customWidth="1"/>
    <col min="15641" max="15641" width="1.140625" style="1096" customWidth="1"/>
    <col min="15642" max="15642" width="1" style="1096" customWidth="1"/>
    <col min="15643" max="15643" width="1.5703125" style="1096" customWidth="1"/>
    <col min="15644" max="15644" width="5.28515625" style="1096" customWidth="1"/>
    <col min="15645" max="15645" width="1.140625" style="1096" customWidth="1"/>
    <col min="15646" max="15646" width="11.85546875" style="1096" customWidth="1"/>
    <col min="15647" max="15648" width="1.140625" style="1096" customWidth="1"/>
    <col min="15649" max="15649" width="1" style="1096" customWidth="1"/>
    <col min="15650" max="15650" width="1.140625" style="1096" customWidth="1"/>
    <col min="15651" max="15651" width="2.85546875" style="1096" customWidth="1"/>
    <col min="15652" max="15652" width="2.140625" style="1096" customWidth="1"/>
    <col min="15653" max="15653" width="3.42578125" style="1096" customWidth="1"/>
    <col min="15654" max="15654" width="9" style="1096" customWidth="1"/>
    <col min="15655" max="15655" width="1.5703125" style="1096" customWidth="1"/>
    <col min="15656" max="15656" width="1" style="1096" customWidth="1"/>
    <col min="15657" max="15657" width="1.140625" style="1096" customWidth="1"/>
    <col min="15658" max="15872" width="6.85546875" style="1096" customWidth="1"/>
    <col min="15873" max="15873" width="1.140625" style="1096" customWidth="1"/>
    <col min="15874" max="15874" width="2" style="1096" customWidth="1"/>
    <col min="15875" max="15876" width="1.7109375" style="1096" customWidth="1"/>
    <col min="15877" max="15877" width="1.42578125" style="1096" customWidth="1"/>
    <col min="15878" max="15878" width="1.140625" style="1096" customWidth="1"/>
    <col min="15879" max="15879" width="1" style="1096" customWidth="1"/>
    <col min="15880" max="15880" width="4.85546875" style="1096" customWidth="1"/>
    <col min="15881" max="15881" width="2.7109375" style="1096" customWidth="1"/>
    <col min="15882" max="15882" width="1.42578125" style="1096" customWidth="1"/>
    <col min="15883" max="15883" width="2.5703125" style="1096" customWidth="1"/>
    <col min="15884" max="15884" width="3" style="1096" customWidth="1"/>
    <col min="15885" max="15885" width="6.7109375" style="1096" customWidth="1"/>
    <col min="15886" max="15886" width="4.28515625" style="1096" customWidth="1"/>
    <col min="15887" max="15887" width="3.42578125" style="1096" customWidth="1"/>
    <col min="15888" max="15888" width="1.28515625" style="1096" customWidth="1"/>
    <col min="15889" max="15889" width="1.5703125" style="1096" customWidth="1"/>
    <col min="15890" max="15890" width="2.28515625" style="1096" customWidth="1"/>
    <col min="15891" max="15891" width="1" style="1096" customWidth="1"/>
    <col min="15892" max="15892" width="1.42578125" style="1096" customWidth="1"/>
    <col min="15893" max="15893" width="2.140625" style="1096" customWidth="1"/>
    <col min="15894" max="15894" width="11.5703125" style="1096" customWidth="1"/>
    <col min="15895" max="15895" width="7" style="1096" customWidth="1"/>
    <col min="15896" max="15896" width="1.28515625" style="1096" customWidth="1"/>
    <col min="15897" max="15897" width="1.140625" style="1096" customWidth="1"/>
    <col min="15898" max="15898" width="1" style="1096" customWidth="1"/>
    <col min="15899" max="15899" width="1.5703125" style="1096" customWidth="1"/>
    <col min="15900" max="15900" width="5.28515625" style="1096" customWidth="1"/>
    <col min="15901" max="15901" width="1.140625" style="1096" customWidth="1"/>
    <col min="15902" max="15902" width="11.85546875" style="1096" customWidth="1"/>
    <col min="15903" max="15904" width="1.140625" style="1096" customWidth="1"/>
    <col min="15905" max="15905" width="1" style="1096" customWidth="1"/>
    <col min="15906" max="15906" width="1.140625" style="1096" customWidth="1"/>
    <col min="15907" max="15907" width="2.85546875" style="1096" customWidth="1"/>
    <col min="15908" max="15908" width="2.140625" style="1096" customWidth="1"/>
    <col min="15909" max="15909" width="3.42578125" style="1096" customWidth="1"/>
    <col min="15910" max="15910" width="9" style="1096" customWidth="1"/>
    <col min="15911" max="15911" width="1.5703125" style="1096" customWidth="1"/>
    <col min="15912" max="15912" width="1" style="1096" customWidth="1"/>
    <col min="15913" max="15913" width="1.140625" style="1096" customWidth="1"/>
    <col min="15914" max="16128" width="6.85546875" style="1096" customWidth="1"/>
    <col min="16129" max="16129" width="1.140625" style="1096" customWidth="1"/>
    <col min="16130" max="16130" width="2" style="1096" customWidth="1"/>
    <col min="16131" max="16132" width="1.7109375" style="1096" customWidth="1"/>
    <col min="16133" max="16133" width="1.42578125" style="1096" customWidth="1"/>
    <col min="16134" max="16134" width="1.140625" style="1096" customWidth="1"/>
    <col min="16135" max="16135" width="1" style="1096" customWidth="1"/>
    <col min="16136" max="16136" width="4.85546875" style="1096" customWidth="1"/>
    <col min="16137" max="16137" width="2.7109375" style="1096" customWidth="1"/>
    <col min="16138" max="16138" width="1.42578125" style="1096" customWidth="1"/>
    <col min="16139" max="16139" width="2.5703125" style="1096" customWidth="1"/>
    <col min="16140" max="16140" width="3" style="1096" customWidth="1"/>
    <col min="16141" max="16141" width="6.7109375" style="1096" customWidth="1"/>
    <col min="16142" max="16142" width="4.28515625" style="1096" customWidth="1"/>
    <col min="16143" max="16143" width="3.42578125" style="1096" customWidth="1"/>
    <col min="16144" max="16144" width="1.28515625" style="1096" customWidth="1"/>
    <col min="16145" max="16145" width="1.5703125" style="1096" customWidth="1"/>
    <col min="16146" max="16146" width="2.28515625" style="1096" customWidth="1"/>
    <col min="16147" max="16147" width="1" style="1096" customWidth="1"/>
    <col min="16148" max="16148" width="1.42578125" style="1096" customWidth="1"/>
    <col min="16149" max="16149" width="2.140625" style="1096" customWidth="1"/>
    <col min="16150" max="16150" width="11.5703125" style="1096" customWidth="1"/>
    <col min="16151" max="16151" width="7" style="1096" customWidth="1"/>
    <col min="16152" max="16152" width="1.28515625" style="1096" customWidth="1"/>
    <col min="16153" max="16153" width="1.140625" style="1096" customWidth="1"/>
    <col min="16154" max="16154" width="1" style="1096" customWidth="1"/>
    <col min="16155" max="16155" width="1.5703125" style="1096" customWidth="1"/>
    <col min="16156" max="16156" width="5.28515625" style="1096" customWidth="1"/>
    <col min="16157" max="16157" width="1.140625" style="1096" customWidth="1"/>
    <col min="16158" max="16158" width="11.85546875" style="1096" customWidth="1"/>
    <col min="16159" max="16160" width="1.140625" style="1096" customWidth="1"/>
    <col min="16161" max="16161" width="1" style="1096" customWidth="1"/>
    <col min="16162" max="16162" width="1.140625" style="1096" customWidth="1"/>
    <col min="16163" max="16163" width="2.85546875" style="1096" customWidth="1"/>
    <col min="16164" max="16164" width="2.140625" style="1096" customWidth="1"/>
    <col min="16165" max="16165" width="3.42578125" style="1096" customWidth="1"/>
    <col min="16166" max="16166" width="9" style="1096" customWidth="1"/>
    <col min="16167" max="16167" width="1.5703125" style="1096" customWidth="1"/>
    <col min="16168" max="16168" width="1" style="1096" customWidth="1"/>
    <col min="16169" max="16169" width="1.140625" style="1096" customWidth="1"/>
    <col min="16170" max="16384" width="6.85546875" style="1096" customWidth="1"/>
  </cols>
  <sheetData>
    <row r="1" spans="2:38" s="1059" customFormat="1" ht="21" x14ac:dyDescent="0.35">
      <c r="B1" s="1388" t="s">
        <v>5834</v>
      </c>
      <c r="C1" s="1388"/>
      <c r="D1" s="1388"/>
      <c r="E1" s="1388"/>
      <c r="F1" s="1388"/>
      <c r="G1" s="1388"/>
      <c r="H1" s="1388"/>
      <c r="I1" s="1388"/>
      <c r="J1" s="1388"/>
      <c r="K1" s="1388"/>
      <c r="L1" s="1388"/>
      <c r="M1" s="1388"/>
      <c r="N1" s="1388"/>
      <c r="O1" s="1388"/>
      <c r="P1" s="1388"/>
      <c r="Q1" s="1388"/>
      <c r="R1" s="1388"/>
      <c r="S1" s="1388"/>
      <c r="T1" s="1388"/>
      <c r="U1" s="1388"/>
      <c r="V1" s="1388"/>
      <c r="W1" s="1388"/>
      <c r="X1" s="1388"/>
      <c r="Y1" s="1388"/>
      <c r="Z1" s="1388"/>
      <c r="AA1" s="1388"/>
      <c r="AB1" s="1388"/>
      <c r="AC1" s="1388"/>
      <c r="AD1" s="1388"/>
      <c r="AE1" s="1388"/>
      <c r="AF1" s="1388"/>
      <c r="AG1" s="1388"/>
      <c r="AH1" s="1388"/>
      <c r="AI1" s="1388"/>
      <c r="AJ1" s="1388"/>
      <c r="AK1" s="1388"/>
      <c r="AL1" s="1388"/>
    </row>
    <row r="2" spans="2:38" s="1059" customFormat="1" ht="21" x14ac:dyDescent="0.35">
      <c r="B2" s="1058"/>
      <c r="C2" s="1058"/>
      <c r="D2" s="479"/>
      <c r="E2" s="1058"/>
      <c r="F2" s="1058"/>
      <c r="G2" s="1058"/>
      <c r="H2" s="1058"/>
      <c r="I2" s="1058"/>
      <c r="J2" s="939"/>
      <c r="K2" s="1058"/>
      <c r="L2" s="447"/>
      <c r="M2" s="796"/>
      <c r="O2" s="399"/>
    </row>
    <row r="3" spans="2:38" s="1059" customFormat="1" ht="21" x14ac:dyDescent="0.35">
      <c r="B3" s="1388" t="s">
        <v>11842</v>
      </c>
      <c r="C3" s="1388"/>
      <c r="D3" s="1388"/>
      <c r="E3" s="1388"/>
      <c r="F3" s="1388"/>
      <c r="G3" s="1388"/>
      <c r="H3" s="1388"/>
      <c r="I3" s="1388"/>
      <c r="J3" s="1388"/>
      <c r="K3" s="1388"/>
      <c r="L3" s="1388"/>
      <c r="M3" s="1388"/>
      <c r="N3" s="1388"/>
      <c r="O3" s="1388"/>
      <c r="P3" s="1388"/>
      <c r="Q3" s="1388"/>
      <c r="R3" s="1388"/>
      <c r="S3" s="1388"/>
      <c r="T3" s="1388"/>
      <c r="U3" s="1388"/>
      <c r="V3" s="1388"/>
      <c r="W3" s="1388"/>
      <c r="X3" s="1388"/>
      <c r="Y3" s="1388"/>
      <c r="Z3" s="1388"/>
      <c r="AA3" s="1388"/>
      <c r="AB3" s="1388"/>
      <c r="AC3" s="1388"/>
      <c r="AD3" s="1388"/>
      <c r="AE3" s="1388"/>
      <c r="AF3" s="1388"/>
      <c r="AG3" s="1388"/>
      <c r="AH3" s="1388"/>
      <c r="AI3" s="1388"/>
      <c r="AJ3" s="1388"/>
      <c r="AK3" s="1388"/>
      <c r="AL3" s="1388"/>
    </row>
    <row r="4" spans="2:38" ht="15" customHeight="1" x14ac:dyDescent="0.25"/>
    <row r="5" spans="2:38" ht="15" customHeight="1" x14ac:dyDescent="0.25"/>
    <row r="6" spans="2:38" ht="15" customHeight="1" x14ac:dyDescent="0.25">
      <c r="C6" s="1410" t="s">
        <v>11791</v>
      </c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U6" s="1410" t="s">
        <v>11792</v>
      </c>
      <c r="V6" s="1410"/>
      <c r="W6" s="1410"/>
      <c r="Z6" s="1416" t="s">
        <v>11793</v>
      </c>
      <c r="AA6" s="1416"/>
      <c r="AB6" s="1416"/>
      <c r="AC6" s="1416"/>
      <c r="AD6" s="1416"/>
      <c r="AH6" s="1416" t="s">
        <v>11841</v>
      </c>
      <c r="AI6" s="1416"/>
      <c r="AJ6" s="1416"/>
      <c r="AK6" s="1416"/>
      <c r="AL6" s="1416"/>
    </row>
    <row r="7" spans="2:38" ht="15" customHeight="1" x14ac:dyDescent="0.25">
      <c r="C7" s="1410"/>
      <c r="D7" s="1410"/>
      <c r="E7" s="1410"/>
      <c r="F7" s="1410"/>
      <c r="G7" s="1410"/>
      <c r="H7" s="1410"/>
      <c r="I7" s="1410"/>
      <c r="J7" s="1410"/>
      <c r="K7" s="1410"/>
      <c r="L7" s="1410"/>
      <c r="M7" s="1410"/>
      <c r="U7" s="1410"/>
      <c r="V7" s="1410"/>
      <c r="W7" s="1410"/>
      <c r="Z7" s="1416"/>
      <c r="AA7" s="1416"/>
      <c r="AB7" s="1416"/>
      <c r="AC7" s="1416"/>
      <c r="AD7" s="1416"/>
      <c r="AH7" s="1416"/>
      <c r="AI7" s="1416"/>
      <c r="AJ7" s="1416"/>
      <c r="AK7" s="1416"/>
      <c r="AL7" s="1416"/>
    </row>
    <row r="8" spans="2:38" ht="15" customHeight="1" x14ac:dyDescent="0.25">
      <c r="C8" s="1412" t="s">
        <v>11794</v>
      </c>
      <c r="D8" s="1412"/>
      <c r="E8" s="1412"/>
      <c r="F8" s="1412"/>
      <c r="H8" s="1413">
        <v>1</v>
      </c>
      <c r="I8" s="1413"/>
      <c r="K8" s="1414" t="s">
        <v>11795</v>
      </c>
      <c r="L8" s="1414"/>
      <c r="M8" s="1414"/>
      <c r="N8" s="1414"/>
      <c r="O8" s="1414"/>
      <c r="P8" s="1414"/>
      <c r="Q8" s="1414"/>
      <c r="R8" s="1414"/>
      <c r="S8" s="1414"/>
      <c r="T8" s="1415">
        <v>8346517.1699999999</v>
      </c>
      <c r="U8" s="1415"/>
      <c r="V8" s="1415"/>
      <c r="W8" s="1415"/>
      <c r="X8" s="1097"/>
      <c r="Y8" s="1097"/>
      <c r="Z8" s="1097"/>
      <c r="AA8" s="1097"/>
      <c r="AB8" s="1415">
        <v>8346517.1699999999</v>
      </c>
      <c r="AC8" s="1415"/>
      <c r="AD8" s="1415"/>
      <c r="AE8" s="1097"/>
      <c r="AF8" s="1097"/>
      <c r="AG8" s="1097"/>
      <c r="AH8" s="1097"/>
      <c r="AI8" s="1415">
        <f>T8-AB8</f>
        <v>0</v>
      </c>
      <c r="AJ8" s="1415"/>
      <c r="AK8" s="1415"/>
      <c r="AL8" s="1415"/>
    </row>
    <row r="9" spans="2:38" ht="15" customHeight="1" x14ac:dyDescent="0.25">
      <c r="C9" s="1412" t="s">
        <v>11794</v>
      </c>
      <c r="D9" s="1412"/>
      <c r="E9" s="1412"/>
      <c r="F9" s="1412"/>
      <c r="H9" s="1413">
        <v>20</v>
      </c>
      <c r="I9" s="1413"/>
      <c r="K9" s="1414" t="s">
        <v>11796</v>
      </c>
      <c r="L9" s="1414"/>
      <c r="M9" s="1414"/>
      <c r="N9" s="1414"/>
      <c r="O9" s="1414"/>
      <c r="P9" s="1414"/>
      <c r="Q9" s="1414"/>
      <c r="R9" s="1414"/>
      <c r="S9" s="1414"/>
      <c r="T9" s="1415">
        <v>1233302.32</v>
      </c>
      <c r="U9" s="1415"/>
      <c r="V9" s="1415"/>
      <c r="W9" s="1415"/>
      <c r="X9" s="1097"/>
      <c r="Y9" s="1097"/>
      <c r="Z9" s="1097"/>
      <c r="AA9" s="1097"/>
      <c r="AB9" s="1415">
        <v>1233302.32</v>
      </c>
      <c r="AC9" s="1415"/>
      <c r="AD9" s="1415"/>
      <c r="AE9" s="1097"/>
      <c r="AF9" s="1097"/>
      <c r="AG9" s="1097"/>
      <c r="AH9" s="1097"/>
      <c r="AI9" s="1415">
        <f t="shared" ref="AI9:AI57" si="0">T9-AB9</f>
        <v>0</v>
      </c>
      <c r="AJ9" s="1415"/>
      <c r="AK9" s="1415"/>
      <c r="AL9" s="1415"/>
    </row>
    <row r="10" spans="2:38" ht="15" customHeight="1" x14ac:dyDescent="0.25">
      <c r="C10" s="1412" t="s">
        <v>11794</v>
      </c>
      <c r="D10" s="1412"/>
      <c r="E10" s="1412"/>
      <c r="F10" s="1412"/>
      <c r="H10" s="1413">
        <v>31</v>
      </c>
      <c r="I10" s="1413"/>
      <c r="K10" s="1414" t="s">
        <v>11797</v>
      </c>
      <c r="L10" s="1414"/>
      <c r="M10" s="1414"/>
      <c r="N10" s="1414"/>
      <c r="O10" s="1414"/>
      <c r="P10" s="1414"/>
      <c r="Q10" s="1414"/>
      <c r="R10" s="1414"/>
      <c r="S10" s="1414"/>
      <c r="T10" s="1415">
        <v>2898568.9</v>
      </c>
      <c r="U10" s="1415"/>
      <c r="V10" s="1415"/>
      <c r="W10" s="1415"/>
      <c r="X10" s="1097"/>
      <c r="Y10" s="1097"/>
      <c r="Z10" s="1097"/>
      <c r="AA10" s="1097"/>
      <c r="AB10" s="1415">
        <v>2898568.9</v>
      </c>
      <c r="AC10" s="1415"/>
      <c r="AD10" s="1415"/>
      <c r="AE10" s="1097"/>
      <c r="AF10" s="1097"/>
      <c r="AG10" s="1097"/>
      <c r="AH10" s="1097"/>
      <c r="AI10" s="1415">
        <f t="shared" si="0"/>
        <v>0</v>
      </c>
      <c r="AJ10" s="1415"/>
      <c r="AK10" s="1415"/>
      <c r="AL10" s="1415"/>
    </row>
    <row r="11" spans="2:38" ht="15" customHeight="1" x14ac:dyDescent="0.25">
      <c r="C11" s="1412" t="s">
        <v>11794</v>
      </c>
      <c r="D11" s="1412"/>
      <c r="E11" s="1412"/>
      <c r="F11" s="1412"/>
      <c r="H11" s="1413">
        <v>40</v>
      </c>
      <c r="I11" s="1413"/>
      <c r="K11" s="1414" t="s">
        <v>11798</v>
      </c>
      <c r="L11" s="1414"/>
      <c r="M11" s="1414"/>
      <c r="N11" s="1414"/>
      <c r="O11" s="1414"/>
      <c r="P11" s="1414"/>
      <c r="Q11" s="1414"/>
      <c r="R11" s="1414"/>
      <c r="S11" s="1414"/>
      <c r="T11" s="1415">
        <v>3093294.11</v>
      </c>
      <c r="U11" s="1415"/>
      <c r="V11" s="1415"/>
      <c r="W11" s="1415"/>
      <c r="X11" s="1097"/>
      <c r="Y11" s="1097"/>
      <c r="Z11" s="1097"/>
      <c r="AA11" s="1097"/>
      <c r="AB11" s="1415">
        <v>3093294.11</v>
      </c>
      <c r="AC11" s="1415"/>
      <c r="AD11" s="1415"/>
      <c r="AE11" s="1097"/>
      <c r="AF11" s="1097"/>
      <c r="AG11" s="1097"/>
      <c r="AH11" s="1097"/>
      <c r="AI11" s="1415">
        <f t="shared" si="0"/>
        <v>0</v>
      </c>
      <c r="AJ11" s="1415"/>
      <c r="AK11" s="1415"/>
      <c r="AL11" s="1415"/>
    </row>
    <row r="12" spans="2:38" ht="15" customHeight="1" x14ac:dyDescent="0.25">
      <c r="C12" s="1412" t="s">
        <v>11794</v>
      </c>
      <c r="D12" s="1412"/>
      <c r="E12" s="1412"/>
      <c r="F12" s="1412"/>
      <c r="H12" s="1413">
        <v>1009</v>
      </c>
      <c r="I12" s="1413"/>
      <c r="K12" s="1414" t="s">
        <v>11799</v>
      </c>
      <c r="L12" s="1414"/>
      <c r="M12" s="1414"/>
      <c r="N12" s="1414"/>
      <c r="O12" s="1414"/>
      <c r="P12" s="1414"/>
      <c r="Q12" s="1414"/>
      <c r="R12" s="1414"/>
      <c r="S12" s="1414"/>
      <c r="T12" s="1415">
        <v>47378.26</v>
      </c>
      <c r="U12" s="1415"/>
      <c r="V12" s="1415"/>
      <c r="W12" s="1415"/>
      <c r="X12" s="1097"/>
      <c r="Y12" s="1097"/>
      <c r="Z12" s="1097"/>
      <c r="AA12" s="1097"/>
      <c r="AB12" s="1415">
        <v>47378.26</v>
      </c>
      <c r="AC12" s="1415"/>
      <c r="AD12" s="1415"/>
      <c r="AE12" s="1097"/>
      <c r="AF12" s="1097"/>
      <c r="AG12" s="1097"/>
      <c r="AH12" s="1097"/>
      <c r="AI12" s="1415">
        <f t="shared" si="0"/>
        <v>0</v>
      </c>
      <c r="AJ12" s="1415"/>
      <c r="AK12" s="1415"/>
      <c r="AL12" s="1415"/>
    </row>
    <row r="13" spans="2:38" ht="15" customHeight="1" x14ac:dyDescent="0.25">
      <c r="C13" s="1412" t="s">
        <v>11794</v>
      </c>
      <c r="D13" s="1412"/>
      <c r="E13" s="1412"/>
      <c r="F13" s="1412"/>
      <c r="H13" s="1413">
        <v>1011</v>
      </c>
      <c r="I13" s="1413"/>
      <c r="K13" s="1414" t="s">
        <v>11800</v>
      </c>
      <c r="L13" s="1414"/>
      <c r="M13" s="1414"/>
      <c r="N13" s="1414"/>
      <c r="O13" s="1414"/>
      <c r="P13" s="1414"/>
      <c r="Q13" s="1414"/>
      <c r="R13" s="1414"/>
      <c r="S13" s="1414"/>
      <c r="T13" s="1415">
        <v>279468.08</v>
      </c>
      <c r="U13" s="1415"/>
      <c r="V13" s="1415"/>
      <c r="W13" s="1415"/>
      <c r="X13" s="1097"/>
      <c r="Y13" s="1097"/>
      <c r="Z13" s="1097"/>
      <c r="AA13" s="1097"/>
      <c r="AB13" s="1415">
        <v>279468.08</v>
      </c>
      <c r="AC13" s="1415"/>
      <c r="AD13" s="1415"/>
      <c r="AE13" s="1097"/>
      <c r="AF13" s="1097"/>
      <c r="AG13" s="1097"/>
      <c r="AH13" s="1097"/>
      <c r="AI13" s="1415">
        <f t="shared" si="0"/>
        <v>0</v>
      </c>
      <c r="AJ13" s="1415"/>
      <c r="AK13" s="1415"/>
      <c r="AL13" s="1415"/>
    </row>
    <row r="14" spans="2:38" ht="15" customHeight="1" x14ac:dyDescent="0.25">
      <c r="C14" s="1412" t="s">
        <v>11794</v>
      </c>
      <c r="D14" s="1412"/>
      <c r="E14" s="1412"/>
      <c r="F14" s="1412"/>
      <c r="H14" s="1413">
        <v>1013</v>
      </c>
      <c r="I14" s="1413"/>
      <c r="K14" s="1414" t="s">
        <v>11801</v>
      </c>
      <c r="L14" s="1414"/>
      <c r="M14" s="1414"/>
      <c r="N14" s="1414"/>
      <c r="O14" s="1414"/>
      <c r="P14" s="1414"/>
      <c r="Q14" s="1414"/>
      <c r="R14" s="1414"/>
      <c r="S14" s="1414"/>
      <c r="T14" s="1415">
        <v>375635.28</v>
      </c>
      <c r="U14" s="1415"/>
      <c r="V14" s="1415"/>
      <c r="W14" s="1415"/>
      <c r="X14" s="1097"/>
      <c r="Y14" s="1097"/>
      <c r="Z14" s="1097"/>
      <c r="AA14" s="1097"/>
      <c r="AB14" s="1415">
        <v>375635.28</v>
      </c>
      <c r="AC14" s="1415"/>
      <c r="AD14" s="1415"/>
      <c r="AE14" s="1097"/>
      <c r="AF14" s="1097"/>
      <c r="AG14" s="1097"/>
      <c r="AH14" s="1097"/>
      <c r="AI14" s="1415">
        <f t="shared" si="0"/>
        <v>0</v>
      </c>
      <c r="AJ14" s="1415"/>
      <c r="AK14" s="1415"/>
      <c r="AL14" s="1415"/>
    </row>
    <row r="15" spans="2:38" ht="15" customHeight="1" x14ac:dyDescent="0.25">
      <c r="C15" s="1412" t="s">
        <v>11794</v>
      </c>
      <c r="D15" s="1412"/>
      <c r="E15" s="1412"/>
      <c r="F15" s="1412"/>
      <c r="H15" s="1413">
        <v>1048</v>
      </c>
      <c r="I15" s="1413"/>
      <c r="K15" s="1414" t="s">
        <v>20</v>
      </c>
      <c r="L15" s="1414"/>
      <c r="M15" s="1414"/>
      <c r="N15" s="1414"/>
      <c r="O15" s="1414"/>
      <c r="P15" s="1414"/>
      <c r="Q15" s="1414"/>
      <c r="R15" s="1414"/>
      <c r="S15" s="1414"/>
      <c r="T15" s="1415">
        <v>25094.18</v>
      </c>
      <c r="U15" s="1415"/>
      <c r="V15" s="1415"/>
      <c r="W15" s="1415"/>
      <c r="X15" s="1097"/>
      <c r="Y15" s="1097"/>
      <c r="Z15" s="1097"/>
      <c r="AA15" s="1097"/>
      <c r="AB15" s="1415">
        <v>25094.18</v>
      </c>
      <c r="AC15" s="1415"/>
      <c r="AD15" s="1415"/>
      <c r="AE15" s="1097"/>
      <c r="AF15" s="1097"/>
      <c r="AG15" s="1097"/>
      <c r="AH15" s="1097"/>
      <c r="AI15" s="1415">
        <f t="shared" si="0"/>
        <v>0</v>
      </c>
      <c r="AJ15" s="1415"/>
      <c r="AK15" s="1415"/>
      <c r="AL15" s="1415"/>
    </row>
    <row r="16" spans="2:38" ht="15" customHeight="1" x14ac:dyDescent="0.25">
      <c r="C16" s="1412" t="s">
        <v>11794</v>
      </c>
      <c r="D16" s="1412"/>
      <c r="E16" s="1412"/>
      <c r="F16" s="1412"/>
      <c r="H16" s="1413">
        <v>1049</v>
      </c>
      <c r="I16" s="1413"/>
      <c r="K16" s="1414" t="s">
        <v>11802</v>
      </c>
      <c r="L16" s="1414"/>
      <c r="M16" s="1414"/>
      <c r="N16" s="1414"/>
      <c r="O16" s="1414"/>
      <c r="P16" s="1414"/>
      <c r="Q16" s="1414"/>
      <c r="R16" s="1414"/>
      <c r="S16" s="1414"/>
      <c r="T16" s="1415">
        <v>131410.53</v>
      </c>
      <c r="U16" s="1415"/>
      <c r="V16" s="1415"/>
      <c r="W16" s="1415"/>
      <c r="X16" s="1097"/>
      <c r="Y16" s="1097"/>
      <c r="Z16" s="1097"/>
      <c r="AA16" s="1097"/>
      <c r="AB16" s="1415">
        <v>131410.53</v>
      </c>
      <c r="AC16" s="1415"/>
      <c r="AD16" s="1415"/>
      <c r="AE16" s="1097"/>
      <c r="AF16" s="1097"/>
      <c r="AG16" s="1097"/>
      <c r="AH16" s="1097"/>
      <c r="AI16" s="1415">
        <f t="shared" si="0"/>
        <v>0</v>
      </c>
      <c r="AJ16" s="1415"/>
      <c r="AK16" s="1415"/>
      <c r="AL16" s="1415"/>
    </row>
    <row r="17" spans="3:38" ht="15" customHeight="1" x14ac:dyDescent="0.25">
      <c r="C17" s="1412" t="s">
        <v>11794</v>
      </c>
      <c r="D17" s="1412"/>
      <c r="E17" s="1412"/>
      <c r="F17" s="1412"/>
      <c r="H17" s="1413">
        <v>1053</v>
      </c>
      <c r="I17" s="1413"/>
      <c r="K17" s="1414" t="s">
        <v>11803</v>
      </c>
      <c r="L17" s="1414"/>
      <c r="M17" s="1414"/>
      <c r="N17" s="1414"/>
      <c r="O17" s="1414"/>
      <c r="P17" s="1414"/>
      <c r="Q17" s="1414"/>
      <c r="R17" s="1414"/>
      <c r="S17" s="1414"/>
      <c r="T17" s="1415">
        <v>1500</v>
      </c>
      <c r="U17" s="1415"/>
      <c r="V17" s="1415"/>
      <c r="W17" s="1415"/>
      <c r="X17" s="1097"/>
      <c r="Y17" s="1097"/>
      <c r="Z17" s="1097"/>
      <c r="AA17" s="1097"/>
      <c r="AB17" s="1415">
        <v>1500</v>
      </c>
      <c r="AC17" s="1415"/>
      <c r="AD17" s="1415"/>
      <c r="AE17" s="1097"/>
      <c r="AF17" s="1097"/>
      <c r="AG17" s="1097"/>
      <c r="AH17" s="1097"/>
      <c r="AI17" s="1415">
        <f t="shared" si="0"/>
        <v>0</v>
      </c>
      <c r="AJ17" s="1415"/>
      <c r="AK17" s="1415"/>
      <c r="AL17" s="1415"/>
    </row>
    <row r="18" spans="3:38" ht="15" customHeight="1" x14ac:dyDescent="0.25">
      <c r="C18" s="1412" t="s">
        <v>11794</v>
      </c>
      <c r="D18" s="1412"/>
      <c r="E18" s="1412"/>
      <c r="F18" s="1412"/>
      <c r="H18" s="1413">
        <v>1073</v>
      </c>
      <c r="I18" s="1413"/>
      <c r="K18" s="1414" t="s">
        <v>11804</v>
      </c>
      <c r="L18" s="1414"/>
      <c r="M18" s="1414"/>
      <c r="N18" s="1414"/>
      <c r="O18" s="1414"/>
      <c r="P18" s="1414"/>
      <c r="Q18" s="1414"/>
      <c r="R18" s="1414"/>
      <c r="S18" s="1414"/>
      <c r="T18" s="1415">
        <v>2017.53</v>
      </c>
      <c r="U18" s="1415"/>
      <c r="V18" s="1415"/>
      <c r="W18" s="1415"/>
      <c r="X18" s="1097"/>
      <c r="Y18" s="1097"/>
      <c r="Z18" s="1097"/>
      <c r="AA18" s="1097"/>
      <c r="AB18" s="1415">
        <v>2017.53</v>
      </c>
      <c r="AC18" s="1415"/>
      <c r="AD18" s="1415"/>
      <c r="AE18" s="1097"/>
      <c r="AF18" s="1097"/>
      <c r="AG18" s="1097"/>
      <c r="AH18" s="1097"/>
      <c r="AI18" s="1415">
        <f t="shared" si="0"/>
        <v>0</v>
      </c>
      <c r="AJ18" s="1415"/>
      <c r="AK18" s="1415"/>
      <c r="AL18" s="1415"/>
    </row>
    <row r="19" spans="3:38" ht="15" customHeight="1" x14ac:dyDescent="0.25">
      <c r="C19" s="1412" t="s">
        <v>11794</v>
      </c>
      <c r="D19" s="1412"/>
      <c r="E19" s="1412"/>
      <c r="F19" s="1412"/>
      <c r="H19" s="1413">
        <v>1074</v>
      </c>
      <c r="I19" s="1413"/>
      <c r="K19" s="1414" t="s">
        <v>50</v>
      </c>
      <c r="L19" s="1414"/>
      <c r="M19" s="1414"/>
      <c r="N19" s="1414"/>
      <c r="O19" s="1414"/>
      <c r="P19" s="1414"/>
      <c r="Q19" s="1414"/>
      <c r="R19" s="1414"/>
      <c r="S19" s="1414"/>
      <c r="T19" s="1415">
        <v>2789.6</v>
      </c>
      <c r="U19" s="1415"/>
      <c r="V19" s="1415"/>
      <c r="W19" s="1415"/>
      <c r="X19" s="1097"/>
      <c r="Y19" s="1097"/>
      <c r="Z19" s="1097"/>
      <c r="AA19" s="1097"/>
      <c r="AB19" s="1415">
        <v>2789.6</v>
      </c>
      <c r="AC19" s="1415"/>
      <c r="AD19" s="1415"/>
      <c r="AE19" s="1097"/>
      <c r="AF19" s="1097"/>
      <c r="AG19" s="1097"/>
      <c r="AH19" s="1097"/>
      <c r="AI19" s="1415">
        <f t="shared" si="0"/>
        <v>0</v>
      </c>
      <c r="AJ19" s="1415"/>
      <c r="AK19" s="1415"/>
      <c r="AL19" s="1415"/>
    </row>
    <row r="20" spans="3:38" ht="15" customHeight="1" x14ac:dyDescent="0.25">
      <c r="C20" s="1412" t="s">
        <v>11794</v>
      </c>
      <c r="D20" s="1412"/>
      <c r="E20" s="1412"/>
      <c r="F20" s="1412"/>
      <c r="H20" s="1413">
        <v>1076</v>
      </c>
      <c r="I20" s="1413"/>
      <c r="K20" s="1412" t="s">
        <v>11805</v>
      </c>
      <c r="L20" s="1412"/>
      <c r="M20" s="1412"/>
      <c r="N20" s="1412"/>
      <c r="O20" s="1412"/>
      <c r="P20" s="1412"/>
      <c r="Q20" s="1412"/>
      <c r="R20" s="1412"/>
      <c r="S20" s="1098"/>
      <c r="T20" s="1415">
        <v>5000</v>
      </c>
      <c r="U20" s="1415"/>
      <c r="V20" s="1415"/>
      <c r="W20" s="1415"/>
      <c r="X20" s="1097"/>
      <c r="Y20" s="1097"/>
      <c r="Z20" s="1097"/>
      <c r="AA20" s="1097"/>
      <c r="AB20" s="1415">
        <v>5000</v>
      </c>
      <c r="AC20" s="1415"/>
      <c r="AD20" s="1415"/>
      <c r="AE20" s="1097"/>
      <c r="AF20" s="1097"/>
      <c r="AG20" s="1097"/>
      <c r="AH20" s="1097"/>
      <c r="AI20" s="1415">
        <f t="shared" si="0"/>
        <v>0</v>
      </c>
      <c r="AJ20" s="1415"/>
      <c r="AK20" s="1415"/>
      <c r="AL20" s="1415"/>
    </row>
    <row r="21" spans="3:38" ht="15" customHeight="1" x14ac:dyDescent="0.25">
      <c r="C21" s="1412" t="s">
        <v>11794</v>
      </c>
      <c r="D21" s="1412"/>
      <c r="E21" s="1412"/>
      <c r="F21" s="1412"/>
      <c r="H21" s="1413">
        <v>1087</v>
      </c>
      <c r="I21" s="1413"/>
      <c r="K21" s="1414" t="s">
        <v>11806</v>
      </c>
      <c r="L21" s="1414"/>
      <c r="M21" s="1414"/>
      <c r="N21" s="1414"/>
      <c r="O21" s="1414"/>
      <c r="P21" s="1414"/>
      <c r="Q21" s="1414"/>
      <c r="R21" s="1414"/>
      <c r="S21" s="1414"/>
      <c r="T21" s="1415">
        <v>100659.37</v>
      </c>
      <c r="U21" s="1415"/>
      <c r="V21" s="1415"/>
      <c r="W21" s="1415"/>
      <c r="X21" s="1097"/>
      <c r="Y21" s="1097"/>
      <c r="Z21" s="1097"/>
      <c r="AA21" s="1097"/>
      <c r="AB21" s="1415">
        <v>100659.37</v>
      </c>
      <c r="AC21" s="1415"/>
      <c r="AD21" s="1415"/>
      <c r="AE21" s="1097"/>
      <c r="AF21" s="1097"/>
      <c r="AG21" s="1097"/>
      <c r="AH21" s="1097"/>
      <c r="AI21" s="1415">
        <f t="shared" si="0"/>
        <v>0</v>
      </c>
      <c r="AJ21" s="1415"/>
      <c r="AK21" s="1415"/>
      <c r="AL21" s="1415"/>
    </row>
    <row r="22" spans="3:38" ht="15" customHeight="1" x14ac:dyDescent="0.25">
      <c r="C22" s="1412" t="s">
        <v>11794</v>
      </c>
      <c r="D22" s="1412"/>
      <c r="E22" s="1412"/>
      <c r="F22" s="1412"/>
      <c r="H22" s="1413">
        <v>1091</v>
      </c>
      <c r="I22" s="1413"/>
      <c r="K22" s="1414" t="s">
        <v>11807</v>
      </c>
      <c r="L22" s="1414"/>
      <c r="M22" s="1414"/>
      <c r="N22" s="1414"/>
      <c r="O22" s="1414"/>
      <c r="P22" s="1414"/>
      <c r="Q22" s="1414"/>
      <c r="R22" s="1414"/>
      <c r="S22" s="1414"/>
      <c r="T22" s="1415">
        <v>1000</v>
      </c>
      <c r="U22" s="1415"/>
      <c r="V22" s="1415"/>
      <c r="W22" s="1415"/>
      <c r="X22" s="1097"/>
      <c r="Y22" s="1097"/>
      <c r="Z22" s="1097"/>
      <c r="AA22" s="1097"/>
      <c r="AB22" s="1415">
        <v>1000</v>
      </c>
      <c r="AC22" s="1415"/>
      <c r="AD22" s="1415"/>
      <c r="AE22" s="1097"/>
      <c r="AF22" s="1097"/>
      <c r="AG22" s="1097"/>
      <c r="AH22" s="1097"/>
      <c r="AI22" s="1415">
        <f t="shared" si="0"/>
        <v>0</v>
      </c>
      <c r="AJ22" s="1415"/>
      <c r="AK22" s="1415"/>
      <c r="AL22" s="1415"/>
    </row>
    <row r="23" spans="3:38" ht="15" customHeight="1" x14ac:dyDescent="0.25">
      <c r="C23" s="1412" t="s">
        <v>11794</v>
      </c>
      <c r="D23" s="1412"/>
      <c r="E23" s="1412"/>
      <c r="F23" s="1412"/>
      <c r="H23" s="1413">
        <v>1099</v>
      </c>
      <c r="I23" s="1413"/>
      <c r="K23" s="1414" t="s">
        <v>11808</v>
      </c>
      <c r="L23" s="1414"/>
      <c r="M23" s="1414"/>
      <c r="N23" s="1414"/>
      <c r="O23" s="1414"/>
      <c r="P23" s="1414"/>
      <c r="Q23" s="1414"/>
      <c r="R23" s="1414"/>
      <c r="S23" s="1414"/>
      <c r="T23" s="1415">
        <v>179.61</v>
      </c>
      <c r="U23" s="1415"/>
      <c r="V23" s="1415"/>
      <c r="W23" s="1415"/>
      <c r="X23" s="1097"/>
      <c r="Y23" s="1097"/>
      <c r="Z23" s="1097"/>
      <c r="AA23" s="1097"/>
      <c r="AB23" s="1415">
        <v>179.61</v>
      </c>
      <c r="AC23" s="1415"/>
      <c r="AD23" s="1415"/>
      <c r="AE23" s="1097"/>
      <c r="AF23" s="1097"/>
      <c r="AG23" s="1097"/>
      <c r="AH23" s="1097"/>
      <c r="AI23" s="1415">
        <f t="shared" si="0"/>
        <v>0</v>
      </c>
      <c r="AJ23" s="1415"/>
      <c r="AK23" s="1415"/>
      <c r="AL23" s="1415"/>
    </row>
    <row r="24" spans="3:38" ht="15" customHeight="1" x14ac:dyDescent="0.25">
      <c r="C24" s="1412" t="s">
        <v>11794</v>
      </c>
      <c r="D24" s="1412"/>
      <c r="E24" s="1412"/>
      <c r="F24" s="1412"/>
      <c r="H24" s="1413">
        <v>1106</v>
      </c>
      <c r="I24" s="1413"/>
      <c r="K24" s="1414" t="s">
        <v>11809</v>
      </c>
      <c r="L24" s="1414"/>
      <c r="M24" s="1414"/>
      <c r="N24" s="1414"/>
      <c r="O24" s="1414"/>
      <c r="P24" s="1414"/>
      <c r="Q24" s="1414"/>
      <c r="R24" s="1414"/>
      <c r="S24" s="1414"/>
      <c r="T24" s="1415">
        <v>166.17</v>
      </c>
      <c r="U24" s="1415"/>
      <c r="V24" s="1415"/>
      <c r="W24" s="1415"/>
      <c r="X24" s="1097"/>
      <c r="Y24" s="1097"/>
      <c r="Z24" s="1097"/>
      <c r="AA24" s="1097"/>
      <c r="AB24" s="1415">
        <v>166.17</v>
      </c>
      <c r="AC24" s="1415"/>
      <c r="AD24" s="1415"/>
      <c r="AE24" s="1097"/>
      <c r="AF24" s="1097"/>
      <c r="AG24" s="1097"/>
      <c r="AH24" s="1097"/>
      <c r="AI24" s="1415">
        <f t="shared" si="0"/>
        <v>0</v>
      </c>
      <c r="AJ24" s="1415"/>
      <c r="AK24" s="1415"/>
      <c r="AL24" s="1415"/>
    </row>
    <row r="25" spans="3:38" ht="15" customHeight="1" x14ac:dyDescent="0.25">
      <c r="C25" s="1412" t="s">
        <v>11794</v>
      </c>
      <c r="D25" s="1412"/>
      <c r="E25" s="1412"/>
      <c r="F25" s="1412"/>
      <c r="H25" s="1413">
        <v>1109</v>
      </c>
      <c r="I25" s="1413"/>
      <c r="K25" s="1414" t="s">
        <v>11810</v>
      </c>
      <c r="L25" s="1414"/>
      <c r="M25" s="1414"/>
      <c r="N25" s="1414"/>
      <c r="O25" s="1414"/>
      <c r="P25" s="1414"/>
      <c r="Q25" s="1414"/>
      <c r="R25" s="1414"/>
      <c r="S25" s="1414"/>
      <c r="T25" s="1415">
        <v>57363.12</v>
      </c>
      <c r="U25" s="1415"/>
      <c r="V25" s="1415"/>
      <c r="W25" s="1415"/>
      <c r="X25" s="1097"/>
      <c r="Y25" s="1097"/>
      <c r="Z25" s="1097"/>
      <c r="AA25" s="1097"/>
      <c r="AB25" s="1415">
        <v>57363.12</v>
      </c>
      <c r="AC25" s="1415"/>
      <c r="AD25" s="1415"/>
      <c r="AE25" s="1097"/>
      <c r="AF25" s="1097"/>
      <c r="AG25" s="1097"/>
      <c r="AH25" s="1097"/>
      <c r="AI25" s="1415">
        <f t="shared" si="0"/>
        <v>0</v>
      </c>
      <c r="AJ25" s="1415"/>
      <c r="AK25" s="1415"/>
      <c r="AL25" s="1415"/>
    </row>
    <row r="26" spans="3:38" ht="15" customHeight="1" x14ac:dyDescent="0.25">
      <c r="C26" s="1412" t="s">
        <v>11794</v>
      </c>
      <c r="D26" s="1412"/>
      <c r="E26" s="1412"/>
      <c r="F26" s="1412"/>
      <c r="H26" s="1413">
        <v>1110</v>
      </c>
      <c r="I26" s="1413"/>
      <c r="K26" s="1414" t="s">
        <v>741</v>
      </c>
      <c r="L26" s="1414"/>
      <c r="M26" s="1414"/>
      <c r="N26" s="1414"/>
      <c r="O26" s="1414"/>
      <c r="P26" s="1414"/>
      <c r="Q26" s="1414"/>
      <c r="R26" s="1414"/>
      <c r="S26" s="1414"/>
      <c r="T26" s="1415">
        <v>54060.62</v>
      </c>
      <c r="U26" s="1415"/>
      <c r="V26" s="1415"/>
      <c r="W26" s="1415"/>
      <c r="X26" s="1097"/>
      <c r="Y26" s="1097"/>
      <c r="Z26" s="1097"/>
      <c r="AA26" s="1097"/>
      <c r="AB26" s="1415">
        <v>54060.62</v>
      </c>
      <c r="AC26" s="1415"/>
      <c r="AD26" s="1415"/>
      <c r="AE26" s="1097"/>
      <c r="AF26" s="1097"/>
      <c r="AG26" s="1097"/>
      <c r="AH26" s="1097"/>
      <c r="AI26" s="1415">
        <f t="shared" si="0"/>
        <v>0</v>
      </c>
      <c r="AJ26" s="1415"/>
      <c r="AK26" s="1415"/>
      <c r="AL26" s="1415"/>
    </row>
    <row r="27" spans="3:38" ht="15" customHeight="1" x14ac:dyDescent="0.25">
      <c r="C27" s="1412" t="s">
        <v>11794</v>
      </c>
      <c r="D27" s="1412"/>
      <c r="E27" s="1412"/>
      <c r="F27" s="1412"/>
      <c r="H27" s="1413">
        <v>1127</v>
      </c>
      <c r="I27" s="1413"/>
      <c r="K27" s="1414" t="s">
        <v>11811</v>
      </c>
      <c r="L27" s="1414"/>
      <c r="M27" s="1414"/>
      <c r="N27" s="1414"/>
      <c r="O27" s="1414"/>
      <c r="P27" s="1414"/>
      <c r="Q27" s="1414"/>
      <c r="R27" s="1414"/>
      <c r="S27" s="1414"/>
      <c r="T27" s="1415">
        <v>5000</v>
      </c>
      <c r="U27" s="1415"/>
      <c r="V27" s="1415"/>
      <c r="W27" s="1415"/>
      <c r="X27" s="1097"/>
      <c r="Y27" s="1097"/>
      <c r="Z27" s="1097"/>
      <c r="AA27" s="1097"/>
      <c r="AB27" s="1415">
        <v>5000</v>
      </c>
      <c r="AC27" s="1415"/>
      <c r="AD27" s="1415"/>
      <c r="AE27" s="1097"/>
      <c r="AF27" s="1097"/>
      <c r="AG27" s="1097"/>
      <c r="AH27" s="1097"/>
      <c r="AI27" s="1415">
        <f t="shared" si="0"/>
        <v>0</v>
      </c>
      <c r="AJ27" s="1415"/>
      <c r="AK27" s="1415"/>
      <c r="AL27" s="1415"/>
    </row>
    <row r="28" spans="3:38" ht="15" customHeight="1" x14ac:dyDescent="0.25">
      <c r="C28" s="1412" t="s">
        <v>11794</v>
      </c>
      <c r="D28" s="1412"/>
      <c r="E28" s="1412"/>
      <c r="F28" s="1412"/>
      <c r="H28" s="1413">
        <v>1128</v>
      </c>
      <c r="I28" s="1413"/>
      <c r="K28" s="1414" t="s">
        <v>11812</v>
      </c>
      <c r="L28" s="1414"/>
      <c r="M28" s="1414"/>
      <c r="N28" s="1414"/>
      <c r="O28" s="1414"/>
      <c r="P28" s="1414"/>
      <c r="Q28" s="1414"/>
      <c r="R28" s="1414"/>
      <c r="S28" s="1414"/>
      <c r="T28" s="1415">
        <v>6395.36</v>
      </c>
      <c r="U28" s="1415"/>
      <c r="V28" s="1415"/>
      <c r="W28" s="1415"/>
      <c r="X28" s="1097"/>
      <c r="Y28" s="1097"/>
      <c r="Z28" s="1097"/>
      <c r="AA28" s="1097"/>
      <c r="AB28" s="1415">
        <v>6395.36</v>
      </c>
      <c r="AC28" s="1415"/>
      <c r="AD28" s="1415"/>
      <c r="AE28" s="1097"/>
      <c r="AF28" s="1097"/>
      <c r="AG28" s="1097"/>
      <c r="AH28" s="1097"/>
      <c r="AI28" s="1415">
        <f t="shared" si="0"/>
        <v>0</v>
      </c>
      <c r="AJ28" s="1415"/>
      <c r="AK28" s="1415"/>
      <c r="AL28" s="1415"/>
    </row>
    <row r="29" spans="3:38" ht="15" customHeight="1" x14ac:dyDescent="0.25">
      <c r="C29" s="1412" t="s">
        <v>11794</v>
      </c>
      <c r="D29" s="1412"/>
      <c r="E29" s="1412"/>
      <c r="F29" s="1412"/>
      <c r="H29" s="1413">
        <v>1143</v>
      </c>
      <c r="I29" s="1413"/>
      <c r="K29" s="1414" t="s">
        <v>11813</v>
      </c>
      <c r="L29" s="1414"/>
      <c r="M29" s="1414"/>
      <c r="N29" s="1414"/>
      <c r="O29" s="1414"/>
      <c r="P29" s="1414"/>
      <c r="Q29" s="1414"/>
      <c r="R29" s="1414"/>
      <c r="S29" s="1414"/>
      <c r="T29" s="1415">
        <v>100</v>
      </c>
      <c r="U29" s="1415"/>
      <c r="V29" s="1415"/>
      <c r="W29" s="1415"/>
      <c r="X29" s="1097"/>
      <c r="Y29" s="1097"/>
      <c r="Z29" s="1097"/>
      <c r="AA29" s="1097"/>
      <c r="AB29" s="1415">
        <v>100</v>
      </c>
      <c r="AC29" s="1415"/>
      <c r="AD29" s="1415"/>
      <c r="AE29" s="1097"/>
      <c r="AF29" s="1097"/>
      <c r="AG29" s="1097"/>
      <c r="AH29" s="1097"/>
      <c r="AI29" s="1415">
        <f t="shared" si="0"/>
        <v>0</v>
      </c>
      <c r="AJ29" s="1415"/>
      <c r="AK29" s="1415"/>
      <c r="AL29" s="1415"/>
    </row>
    <row r="30" spans="3:38" ht="15" customHeight="1" x14ac:dyDescent="0.25">
      <c r="C30" s="1412" t="s">
        <v>11794</v>
      </c>
      <c r="D30" s="1412"/>
      <c r="E30" s="1412"/>
      <c r="F30" s="1412"/>
      <c r="H30" s="1413">
        <v>1144</v>
      </c>
      <c r="I30" s="1413"/>
      <c r="K30" s="1414" t="s">
        <v>11814</v>
      </c>
      <c r="L30" s="1414"/>
      <c r="M30" s="1414"/>
      <c r="N30" s="1414"/>
      <c r="O30" s="1414"/>
      <c r="P30" s="1414"/>
      <c r="Q30" s="1414"/>
      <c r="R30" s="1414"/>
      <c r="S30" s="1414"/>
      <c r="T30" s="1415">
        <v>500</v>
      </c>
      <c r="U30" s="1415"/>
      <c r="V30" s="1415"/>
      <c r="W30" s="1415"/>
      <c r="X30" s="1097"/>
      <c r="Y30" s="1097"/>
      <c r="Z30" s="1097"/>
      <c r="AA30" s="1097"/>
      <c r="AB30" s="1415">
        <v>500</v>
      </c>
      <c r="AC30" s="1415"/>
      <c r="AD30" s="1415"/>
      <c r="AE30" s="1097"/>
      <c r="AF30" s="1097"/>
      <c r="AG30" s="1097"/>
      <c r="AH30" s="1097"/>
      <c r="AI30" s="1415">
        <f t="shared" si="0"/>
        <v>0</v>
      </c>
      <c r="AJ30" s="1415"/>
      <c r="AK30" s="1415"/>
      <c r="AL30" s="1415"/>
    </row>
    <row r="31" spans="3:38" ht="15" customHeight="1" x14ac:dyDescent="0.25">
      <c r="C31" s="1412" t="s">
        <v>11794</v>
      </c>
      <c r="D31" s="1412"/>
      <c r="E31" s="1412"/>
      <c r="F31" s="1412"/>
      <c r="H31" s="1413">
        <v>1146</v>
      </c>
      <c r="I31" s="1413"/>
      <c r="K31" s="1412" t="s">
        <v>11815</v>
      </c>
      <c r="L31" s="1412"/>
      <c r="M31" s="1412"/>
      <c r="N31" s="1412"/>
      <c r="O31" s="1412"/>
      <c r="P31" s="1412"/>
      <c r="Q31" s="1412"/>
      <c r="R31" s="1412"/>
      <c r="S31" s="1098"/>
      <c r="T31" s="1415">
        <v>3060.62</v>
      </c>
      <c r="U31" s="1415"/>
      <c r="V31" s="1415"/>
      <c r="W31" s="1415"/>
      <c r="X31" s="1097"/>
      <c r="Y31" s="1097"/>
      <c r="Z31" s="1097"/>
      <c r="AA31" s="1097"/>
      <c r="AB31" s="1415">
        <v>3060.62</v>
      </c>
      <c r="AC31" s="1415"/>
      <c r="AD31" s="1415"/>
      <c r="AE31" s="1097"/>
      <c r="AF31" s="1097"/>
      <c r="AG31" s="1097"/>
      <c r="AH31" s="1097"/>
      <c r="AI31" s="1415">
        <f t="shared" si="0"/>
        <v>0</v>
      </c>
      <c r="AJ31" s="1415"/>
      <c r="AK31" s="1415"/>
      <c r="AL31" s="1415"/>
    </row>
    <row r="32" spans="3:38" ht="15" customHeight="1" x14ac:dyDescent="0.25">
      <c r="C32" s="1412" t="s">
        <v>11794</v>
      </c>
      <c r="D32" s="1412"/>
      <c r="E32" s="1412"/>
      <c r="F32" s="1412"/>
      <c r="H32" s="1413">
        <v>1149</v>
      </c>
      <c r="I32" s="1413"/>
      <c r="K32" s="1414" t="s">
        <v>6582</v>
      </c>
      <c r="L32" s="1414"/>
      <c r="M32" s="1414"/>
      <c r="N32" s="1414"/>
      <c r="O32" s="1414"/>
      <c r="P32" s="1414"/>
      <c r="Q32" s="1414"/>
      <c r="R32" s="1414"/>
      <c r="S32" s="1414"/>
      <c r="T32" s="1415">
        <v>27993.25</v>
      </c>
      <c r="U32" s="1415"/>
      <c r="V32" s="1415"/>
      <c r="W32" s="1415"/>
      <c r="X32" s="1097"/>
      <c r="Y32" s="1097"/>
      <c r="Z32" s="1097"/>
      <c r="AA32" s="1097"/>
      <c r="AB32" s="1415">
        <v>27993.25</v>
      </c>
      <c r="AC32" s="1415"/>
      <c r="AD32" s="1415"/>
      <c r="AE32" s="1097"/>
      <c r="AF32" s="1097"/>
      <c r="AG32" s="1097"/>
      <c r="AH32" s="1097"/>
      <c r="AI32" s="1415">
        <f t="shared" si="0"/>
        <v>0</v>
      </c>
      <c r="AJ32" s="1415"/>
      <c r="AK32" s="1415"/>
      <c r="AL32" s="1415"/>
    </row>
    <row r="33" spans="3:38" ht="15" customHeight="1" x14ac:dyDescent="0.25">
      <c r="C33" s="1412" t="s">
        <v>11794</v>
      </c>
      <c r="D33" s="1412"/>
      <c r="E33" s="1412"/>
      <c r="F33" s="1412"/>
      <c r="H33" s="1413">
        <v>1152</v>
      </c>
      <c r="I33" s="1413"/>
      <c r="K33" s="1414" t="s">
        <v>11816</v>
      </c>
      <c r="L33" s="1414"/>
      <c r="M33" s="1414"/>
      <c r="N33" s="1414"/>
      <c r="O33" s="1414"/>
      <c r="P33" s="1414"/>
      <c r="Q33" s="1414"/>
      <c r="R33" s="1414"/>
      <c r="S33" s="1414"/>
      <c r="T33" s="1415">
        <v>10060.620000000001</v>
      </c>
      <c r="U33" s="1415"/>
      <c r="V33" s="1415"/>
      <c r="W33" s="1415"/>
      <c r="X33" s="1097"/>
      <c r="Y33" s="1097"/>
      <c r="Z33" s="1097"/>
      <c r="AA33" s="1097"/>
      <c r="AB33" s="1415">
        <v>10060.620000000001</v>
      </c>
      <c r="AC33" s="1415"/>
      <c r="AD33" s="1415"/>
      <c r="AE33" s="1097"/>
      <c r="AF33" s="1097"/>
      <c r="AG33" s="1097"/>
      <c r="AH33" s="1097"/>
      <c r="AI33" s="1415">
        <f t="shared" si="0"/>
        <v>0</v>
      </c>
      <c r="AJ33" s="1415"/>
      <c r="AK33" s="1415"/>
      <c r="AL33" s="1415"/>
    </row>
    <row r="34" spans="3:38" ht="15" customHeight="1" x14ac:dyDescent="0.25">
      <c r="C34" s="1412" t="s">
        <v>11794</v>
      </c>
      <c r="D34" s="1412"/>
      <c r="E34" s="1412"/>
      <c r="F34" s="1412"/>
      <c r="H34" s="1413">
        <v>1153</v>
      </c>
      <c r="I34" s="1413"/>
      <c r="K34" s="1414" t="s">
        <v>11817</v>
      </c>
      <c r="L34" s="1414"/>
      <c r="M34" s="1414"/>
      <c r="N34" s="1414"/>
      <c r="O34" s="1414"/>
      <c r="P34" s="1414"/>
      <c r="Q34" s="1414"/>
      <c r="R34" s="1414"/>
      <c r="S34" s="1414"/>
      <c r="T34" s="1415">
        <v>15060.62</v>
      </c>
      <c r="U34" s="1415"/>
      <c r="V34" s="1415"/>
      <c r="W34" s="1415"/>
      <c r="X34" s="1097"/>
      <c r="Y34" s="1097"/>
      <c r="Z34" s="1097"/>
      <c r="AA34" s="1097"/>
      <c r="AB34" s="1415">
        <v>15060.62</v>
      </c>
      <c r="AC34" s="1415"/>
      <c r="AD34" s="1415"/>
      <c r="AE34" s="1097"/>
      <c r="AF34" s="1097"/>
      <c r="AG34" s="1097"/>
      <c r="AH34" s="1097"/>
      <c r="AI34" s="1415">
        <f t="shared" si="0"/>
        <v>0</v>
      </c>
      <c r="AJ34" s="1415"/>
      <c r="AK34" s="1415"/>
      <c r="AL34" s="1415"/>
    </row>
    <row r="35" spans="3:38" ht="15" customHeight="1" x14ac:dyDescent="0.25">
      <c r="C35" s="1412" t="s">
        <v>11794</v>
      </c>
      <c r="D35" s="1412"/>
      <c r="E35" s="1412"/>
      <c r="F35" s="1412"/>
      <c r="H35" s="1413">
        <v>1155</v>
      </c>
      <c r="I35" s="1413"/>
      <c r="K35" s="1414" t="s">
        <v>11818</v>
      </c>
      <c r="L35" s="1414"/>
      <c r="M35" s="1414"/>
      <c r="N35" s="1414"/>
      <c r="O35" s="1414"/>
      <c r="P35" s="1414"/>
      <c r="Q35" s="1414"/>
      <c r="R35" s="1414"/>
      <c r="S35" s="1414"/>
      <c r="T35" s="1415">
        <v>25060.62</v>
      </c>
      <c r="U35" s="1415"/>
      <c r="V35" s="1415"/>
      <c r="W35" s="1415"/>
      <c r="X35" s="1097"/>
      <c r="Y35" s="1097"/>
      <c r="Z35" s="1097"/>
      <c r="AA35" s="1097"/>
      <c r="AB35" s="1415">
        <v>25060.62</v>
      </c>
      <c r="AC35" s="1415"/>
      <c r="AD35" s="1415"/>
      <c r="AE35" s="1097"/>
      <c r="AF35" s="1097"/>
      <c r="AG35" s="1097"/>
      <c r="AH35" s="1097"/>
      <c r="AI35" s="1415">
        <f t="shared" si="0"/>
        <v>0</v>
      </c>
      <c r="AJ35" s="1415"/>
      <c r="AK35" s="1415"/>
      <c r="AL35" s="1415"/>
    </row>
    <row r="36" spans="3:38" ht="15" customHeight="1" x14ac:dyDescent="0.25">
      <c r="C36" s="1412" t="s">
        <v>11794</v>
      </c>
      <c r="D36" s="1412"/>
      <c r="E36" s="1412"/>
      <c r="F36" s="1412"/>
      <c r="H36" s="1413">
        <v>1156</v>
      </c>
      <c r="I36" s="1413"/>
      <c r="K36" s="1414" t="s">
        <v>11819</v>
      </c>
      <c r="L36" s="1414"/>
      <c r="M36" s="1414"/>
      <c r="N36" s="1414"/>
      <c r="O36" s="1414"/>
      <c r="P36" s="1414"/>
      <c r="Q36" s="1414"/>
      <c r="R36" s="1414"/>
      <c r="S36" s="1414"/>
      <c r="T36" s="1415">
        <v>234200</v>
      </c>
      <c r="U36" s="1415"/>
      <c r="V36" s="1415"/>
      <c r="W36" s="1415"/>
      <c r="X36" s="1097"/>
      <c r="Y36" s="1097"/>
      <c r="Z36" s="1097"/>
      <c r="AA36" s="1097"/>
      <c r="AB36" s="1415">
        <v>234200</v>
      </c>
      <c r="AC36" s="1415"/>
      <c r="AD36" s="1415"/>
      <c r="AE36" s="1097"/>
      <c r="AF36" s="1097"/>
      <c r="AG36" s="1097"/>
      <c r="AH36" s="1097"/>
      <c r="AI36" s="1415">
        <f t="shared" si="0"/>
        <v>0</v>
      </c>
      <c r="AJ36" s="1415"/>
      <c r="AK36" s="1415"/>
      <c r="AL36" s="1415"/>
    </row>
    <row r="37" spans="3:38" ht="15" customHeight="1" x14ac:dyDescent="0.25">
      <c r="C37" s="1412" t="s">
        <v>11794</v>
      </c>
      <c r="D37" s="1412"/>
      <c r="E37" s="1412"/>
      <c r="F37" s="1412"/>
      <c r="H37" s="1413">
        <v>1157</v>
      </c>
      <c r="I37" s="1413"/>
      <c r="K37" s="1414" t="s">
        <v>11820</v>
      </c>
      <c r="L37" s="1414"/>
      <c r="M37" s="1414"/>
      <c r="N37" s="1414"/>
      <c r="O37" s="1414"/>
      <c r="P37" s="1414"/>
      <c r="Q37" s="1414"/>
      <c r="R37" s="1414"/>
      <c r="S37" s="1414"/>
      <c r="T37" s="1415">
        <v>100100</v>
      </c>
      <c r="U37" s="1415"/>
      <c r="V37" s="1415"/>
      <c r="W37" s="1415"/>
      <c r="X37" s="1097"/>
      <c r="Y37" s="1097"/>
      <c r="Z37" s="1097"/>
      <c r="AA37" s="1097"/>
      <c r="AB37" s="1415">
        <v>100100</v>
      </c>
      <c r="AC37" s="1415"/>
      <c r="AD37" s="1415"/>
      <c r="AE37" s="1097"/>
      <c r="AF37" s="1097"/>
      <c r="AG37" s="1097"/>
      <c r="AH37" s="1097"/>
      <c r="AI37" s="1415">
        <f t="shared" si="0"/>
        <v>0</v>
      </c>
      <c r="AJ37" s="1415"/>
      <c r="AK37" s="1415"/>
      <c r="AL37" s="1415"/>
    </row>
    <row r="38" spans="3:38" ht="15" customHeight="1" x14ac:dyDescent="0.25">
      <c r="C38" s="1412" t="s">
        <v>11794</v>
      </c>
      <c r="D38" s="1412"/>
      <c r="E38" s="1412"/>
      <c r="F38" s="1412"/>
      <c r="H38" s="1413">
        <v>1158</v>
      </c>
      <c r="I38" s="1413"/>
      <c r="K38" s="1414" t="s">
        <v>11821</v>
      </c>
      <c r="L38" s="1414"/>
      <c r="M38" s="1414"/>
      <c r="N38" s="1414"/>
      <c r="O38" s="1414"/>
      <c r="P38" s="1414"/>
      <c r="Q38" s="1414"/>
      <c r="R38" s="1414"/>
      <c r="S38" s="1414"/>
      <c r="T38" s="1415">
        <v>30100</v>
      </c>
      <c r="U38" s="1415"/>
      <c r="V38" s="1415"/>
      <c r="W38" s="1415"/>
      <c r="X38" s="1097"/>
      <c r="Y38" s="1097"/>
      <c r="Z38" s="1097"/>
      <c r="AA38" s="1097"/>
      <c r="AB38" s="1415">
        <v>30100</v>
      </c>
      <c r="AC38" s="1415"/>
      <c r="AD38" s="1415"/>
      <c r="AE38" s="1097"/>
      <c r="AF38" s="1097"/>
      <c r="AG38" s="1097"/>
      <c r="AH38" s="1097"/>
      <c r="AI38" s="1415">
        <f t="shared" si="0"/>
        <v>0</v>
      </c>
      <c r="AJ38" s="1415"/>
      <c r="AK38" s="1415"/>
      <c r="AL38" s="1415"/>
    </row>
    <row r="39" spans="3:38" ht="15" customHeight="1" x14ac:dyDescent="0.25">
      <c r="C39" s="1412" t="s">
        <v>11794</v>
      </c>
      <c r="D39" s="1412"/>
      <c r="E39" s="1412"/>
      <c r="F39" s="1412"/>
      <c r="H39" s="1413">
        <v>1159</v>
      </c>
      <c r="I39" s="1413"/>
      <c r="K39" s="1412" t="s">
        <v>11822</v>
      </c>
      <c r="L39" s="1412"/>
      <c r="M39" s="1412"/>
      <c r="N39" s="1412"/>
      <c r="O39" s="1412"/>
      <c r="P39" s="1412"/>
      <c r="Q39" s="1412"/>
      <c r="R39" s="1412"/>
      <c r="S39" s="1098"/>
      <c r="T39" s="1415">
        <v>133400</v>
      </c>
      <c r="U39" s="1415"/>
      <c r="V39" s="1415"/>
      <c r="W39" s="1415"/>
      <c r="X39" s="1097"/>
      <c r="Y39" s="1097"/>
      <c r="Z39" s="1097"/>
      <c r="AA39" s="1097"/>
      <c r="AB39" s="1415">
        <v>133400</v>
      </c>
      <c r="AC39" s="1415"/>
      <c r="AD39" s="1415"/>
      <c r="AE39" s="1097"/>
      <c r="AF39" s="1097"/>
      <c r="AG39" s="1097"/>
      <c r="AH39" s="1097"/>
      <c r="AI39" s="1415">
        <f t="shared" si="0"/>
        <v>0</v>
      </c>
      <c r="AJ39" s="1415"/>
      <c r="AK39" s="1415"/>
      <c r="AL39" s="1415"/>
    </row>
    <row r="40" spans="3:38" ht="15" customHeight="1" x14ac:dyDescent="0.25">
      <c r="C40" s="1412" t="s">
        <v>11794</v>
      </c>
      <c r="D40" s="1412"/>
      <c r="E40" s="1412"/>
      <c r="F40" s="1412"/>
      <c r="H40" s="1413">
        <v>1160</v>
      </c>
      <c r="I40" s="1413"/>
      <c r="K40" s="1412" t="s">
        <v>11823</v>
      </c>
      <c r="L40" s="1412"/>
      <c r="M40" s="1412"/>
      <c r="N40" s="1412"/>
      <c r="O40" s="1412"/>
      <c r="P40" s="1412"/>
      <c r="Q40" s="1412"/>
      <c r="R40" s="1098"/>
      <c r="S40" s="1098"/>
      <c r="T40" s="1415">
        <v>100100</v>
      </c>
      <c r="U40" s="1415"/>
      <c r="V40" s="1415"/>
      <c r="W40" s="1415"/>
      <c r="X40" s="1097"/>
      <c r="Y40" s="1097"/>
      <c r="Z40" s="1097"/>
      <c r="AA40" s="1097"/>
      <c r="AB40" s="1415">
        <v>100100</v>
      </c>
      <c r="AC40" s="1415"/>
      <c r="AD40" s="1415"/>
      <c r="AE40" s="1097"/>
      <c r="AF40" s="1097"/>
      <c r="AG40" s="1097"/>
      <c r="AH40" s="1097"/>
      <c r="AI40" s="1415">
        <f t="shared" si="0"/>
        <v>0</v>
      </c>
      <c r="AJ40" s="1415"/>
      <c r="AK40" s="1415"/>
      <c r="AL40" s="1415"/>
    </row>
    <row r="41" spans="3:38" ht="15" customHeight="1" x14ac:dyDescent="0.25">
      <c r="C41" s="1412" t="s">
        <v>11794</v>
      </c>
      <c r="D41" s="1412"/>
      <c r="E41" s="1412"/>
      <c r="F41" s="1412"/>
      <c r="H41" s="1413">
        <v>4011</v>
      </c>
      <c r="I41" s="1413"/>
      <c r="K41" s="1414" t="s">
        <v>11824</v>
      </c>
      <c r="L41" s="1414"/>
      <c r="M41" s="1414"/>
      <c r="N41" s="1414"/>
      <c r="O41" s="1414"/>
      <c r="P41" s="1414"/>
      <c r="Q41" s="1414"/>
      <c r="R41" s="1414"/>
      <c r="S41" s="1414"/>
      <c r="T41" s="1415">
        <v>155111.04999999999</v>
      </c>
      <c r="U41" s="1415"/>
      <c r="V41" s="1415"/>
      <c r="W41" s="1415"/>
      <c r="X41" s="1097"/>
      <c r="Y41" s="1097"/>
      <c r="Z41" s="1097"/>
      <c r="AA41" s="1097"/>
      <c r="AB41" s="1415">
        <v>155111.04999999999</v>
      </c>
      <c r="AC41" s="1415"/>
      <c r="AD41" s="1415"/>
      <c r="AE41" s="1097"/>
      <c r="AF41" s="1097"/>
      <c r="AG41" s="1097"/>
      <c r="AH41" s="1097"/>
      <c r="AI41" s="1415">
        <f t="shared" si="0"/>
        <v>0</v>
      </c>
      <c r="AJ41" s="1415"/>
      <c r="AK41" s="1415"/>
      <c r="AL41" s="1415"/>
    </row>
    <row r="42" spans="3:38" ht="15" customHeight="1" x14ac:dyDescent="0.25">
      <c r="C42" s="1412" t="s">
        <v>11794</v>
      </c>
      <c r="D42" s="1412"/>
      <c r="E42" s="1412"/>
      <c r="F42" s="1412"/>
      <c r="H42" s="1413">
        <v>4050</v>
      </c>
      <c r="I42" s="1413"/>
      <c r="K42" s="1414" t="s">
        <v>11825</v>
      </c>
      <c r="L42" s="1414"/>
      <c r="M42" s="1414"/>
      <c r="N42" s="1414"/>
      <c r="O42" s="1414"/>
      <c r="P42" s="1414"/>
      <c r="Q42" s="1414"/>
      <c r="R42" s="1414"/>
      <c r="S42" s="1414"/>
      <c r="T42" s="1415">
        <v>10794.64</v>
      </c>
      <c r="U42" s="1415"/>
      <c r="V42" s="1415"/>
      <c r="W42" s="1415"/>
      <c r="X42" s="1097"/>
      <c r="Y42" s="1097"/>
      <c r="Z42" s="1097"/>
      <c r="AA42" s="1097"/>
      <c r="AB42" s="1415">
        <v>10794.64</v>
      </c>
      <c r="AC42" s="1415"/>
      <c r="AD42" s="1415"/>
      <c r="AE42" s="1097"/>
      <c r="AF42" s="1097"/>
      <c r="AG42" s="1097"/>
      <c r="AH42" s="1097"/>
      <c r="AI42" s="1415">
        <f t="shared" si="0"/>
        <v>0</v>
      </c>
      <c r="AJ42" s="1415"/>
      <c r="AK42" s="1415"/>
      <c r="AL42" s="1415"/>
    </row>
    <row r="43" spans="3:38" ht="15" customHeight="1" x14ac:dyDescent="0.25">
      <c r="C43" s="1412" t="s">
        <v>11794</v>
      </c>
      <c r="D43" s="1412"/>
      <c r="E43" s="1412"/>
      <c r="F43" s="1412"/>
      <c r="H43" s="1413">
        <v>4051</v>
      </c>
      <c r="I43" s="1413"/>
      <c r="K43" s="1414" t="s">
        <v>11826</v>
      </c>
      <c r="L43" s="1414"/>
      <c r="M43" s="1414"/>
      <c r="N43" s="1414"/>
      <c r="O43" s="1414"/>
      <c r="P43" s="1414"/>
      <c r="Q43" s="1414"/>
      <c r="R43" s="1414"/>
      <c r="S43" s="1414"/>
      <c r="T43" s="1415">
        <v>9912.2900000000009</v>
      </c>
      <c r="U43" s="1415"/>
      <c r="V43" s="1415"/>
      <c r="W43" s="1415"/>
      <c r="X43" s="1097"/>
      <c r="Y43" s="1097"/>
      <c r="Z43" s="1097"/>
      <c r="AA43" s="1097"/>
      <c r="AB43" s="1415">
        <v>9912.2900000000009</v>
      </c>
      <c r="AC43" s="1415"/>
      <c r="AD43" s="1415"/>
      <c r="AE43" s="1097"/>
      <c r="AF43" s="1097"/>
      <c r="AG43" s="1097"/>
      <c r="AH43" s="1097"/>
      <c r="AI43" s="1415">
        <f t="shared" si="0"/>
        <v>0</v>
      </c>
      <c r="AJ43" s="1415"/>
      <c r="AK43" s="1415"/>
      <c r="AL43" s="1415"/>
    </row>
    <row r="44" spans="3:38" ht="15" customHeight="1" x14ac:dyDescent="0.25">
      <c r="C44" s="1412" t="s">
        <v>11794</v>
      </c>
      <c r="D44" s="1412"/>
      <c r="E44" s="1412"/>
      <c r="F44" s="1412"/>
      <c r="H44" s="1413">
        <v>4070</v>
      </c>
      <c r="I44" s="1413"/>
      <c r="K44" s="1414" t="s">
        <v>11827</v>
      </c>
      <c r="L44" s="1414"/>
      <c r="M44" s="1414"/>
      <c r="N44" s="1414"/>
      <c r="O44" s="1414"/>
      <c r="P44" s="1414"/>
      <c r="Q44" s="1414"/>
      <c r="R44" s="1414"/>
      <c r="S44" s="1414"/>
      <c r="T44" s="1415">
        <v>158221.25</v>
      </c>
      <c r="U44" s="1415"/>
      <c r="V44" s="1415"/>
      <c r="W44" s="1415"/>
      <c r="X44" s="1097"/>
      <c r="Y44" s="1097"/>
      <c r="Z44" s="1097"/>
      <c r="AA44" s="1097"/>
      <c r="AB44" s="1415">
        <v>158221.25</v>
      </c>
      <c r="AC44" s="1415"/>
      <c r="AD44" s="1415"/>
      <c r="AE44" s="1097"/>
      <c r="AF44" s="1097"/>
      <c r="AG44" s="1097"/>
      <c r="AH44" s="1097"/>
      <c r="AI44" s="1415">
        <f t="shared" si="0"/>
        <v>0</v>
      </c>
      <c r="AJ44" s="1415"/>
      <c r="AK44" s="1415"/>
      <c r="AL44" s="1415"/>
    </row>
    <row r="45" spans="3:38" ht="15" customHeight="1" x14ac:dyDescent="0.25">
      <c r="C45" s="1412" t="s">
        <v>11794</v>
      </c>
      <c r="D45" s="1412"/>
      <c r="E45" s="1412"/>
      <c r="F45" s="1412"/>
      <c r="H45" s="1413">
        <v>4090</v>
      </c>
      <c r="I45" s="1413"/>
      <c r="K45" s="1414" t="s">
        <v>11828</v>
      </c>
      <c r="L45" s="1414"/>
      <c r="M45" s="1414"/>
      <c r="N45" s="1414"/>
      <c r="O45" s="1414"/>
      <c r="P45" s="1414"/>
      <c r="Q45" s="1414"/>
      <c r="R45" s="1414"/>
      <c r="S45" s="1414"/>
      <c r="T45" s="1415">
        <v>35408.61</v>
      </c>
      <c r="U45" s="1415"/>
      <c r="V45" s="1415"/>
      <c r="W45" s="1415"/>
      <c r="X45" s="1097"/>
      <c r="Y45" s="1097"/>
      <c r="Z45" s="1097"/>
      <c r="AA45" s="1097"/>
      <c r="AB45" s="1415">
        <v>35408.61</v>
      </c>
      <c r="AC45" s="1415"/>
      <c r="AD45" s="1415"/>
      <c r="AE45" s="1097"/>
      <c r="AF45" s="1097"/>
      <c r="AG45" s="1097"/>
      <c r="AH45" s="1097"/>
      <c r="AI45" s="1415">
        <f t="shared" si="0"/>
        <v>0</v>
      </c>
      <c r="AJ45" s="1415"/>
      <c r="AK45" s="1415"/>
      <c r="AL45" s="1415"/>
    </row>
    <row r="46" spans="3:38" ht="15" customHeight="1" x14ac:dyDescent="0.25">
      <c r="C46" s="1412" t="s">
        <v>11794</v>
      </c>
      <c r="D46" s="1412"/>
      <c r="E46" s="1412"/>
      <c r="F46" s="1412"/>
      <c r="H46" s="1413">
        <v>4190</v>
      </c>
      <c r="I46" s="1413"/>
      <c r="K46" s="1414" t="s">
        <v>11829</v>
      </c>
      <c r="L46" s="1414"/>
      <c r="M46" s="1414"/>
      <c r="N46" s="1414"/>
      <c r="O46" s="1414"/>
      <c r="P46" s="1414"/>
      <c r="Q46" s="1414"/>
      <c r="R46" s="1414"/>
      <c r="S46" s="1414"/>
      <c r="T46" s="1415">
        <v>3508.54</v>
      </c>
      <c r="U46" s="1415"/>
      <c r="V46" s="1415"/>
      <c r="W46" s="1415"/>
      <c r="X46" s="1097"/>
      <c r="Y46" s="1097"/>
      <c r="Z46" s="1097"/>
      <c r="AA46" s="1097"/>
      <c r="AB46" s="1415">
        <v>3508.54</v>
      </c>
      <c r="AC46" s="1415"/>
      <c r="AD46" s="1415"/>
      <c r="AE46" s="1097"/>
      <c r="AF46" s="1097"/>
      <c r="AG46" s="1097"/>
      <c r="AH46" s="1097"/>
      <c r="AI46" s="1415">
        <f t="shared" si="0"/>
        <v>0</v>
      </c>
      <c r="AJ46" s="1415"/>
      <c r="AK46" s="1415"/>
      <c r="AL46" s="1415"/>
    </row>
    <row r="47" spans="3:38" ht="15" customHeight="1" x14ac:dyDescent="0.25">
      <c r="C47" s="1412" t="s">
        <v>11794</v>
      </c>
      <c r="D47" s="1412"/>
      <c r="E47" s="1412"/>
      <c r="F47" s="1412"/>
      <c r="H47" s="1413">
        <v>4241</v>
      </c>
      <c r="I47" s="1413"/>
      <c r="K47" s="1414" t="s">
        <v>11830</v>
      </c>
      <c r="L47" s="1414"/>
      <c r="M47" s="1414"/>
      <c r="N47" s="1414"/>
      <c r="O47" s="1414"/>
      <c r="P47" s="1414"/>
      <c r="Q47" s="1414"/>
      <c r="R47" s="1414"/>
      <c r="S47" s="1414"/>
      <c r="T47" s="1415">
        <v>35200</v>
      </c>
      <c r="U47" s="1415"/>
      <c r="V47" s="1415"/>
      <c r="W47" s="1415"/>
      <c r="X47" s="1097"/>
      <c r="Y47" s="1097"/>
      <c r="Z47" s="1097"/>
      <c r="AA47" s="1097"/>
      <c r="AB47" s="1415">
        <v>35200</v>
      </c>
      <c r="AC47" s="1415"/>
      <c r="AD47" s="1415"/>
      <c r="AE47" s="1097"/>
      <c r="AF47" s="1097"/>
      <c r="AG47" s="1097"/>
      <c r="AH47" s="1097"/>
      <c r="AI47" s="1415">
        <f t="shared" si="0"/>
        <v>0</v>
      </c>
      <c r="AJ47" s="1415"/>
      <c r="AK47" s="1415"/>
      <c r="AL47" s="1415"/>
    </row>
    <row r="48" spans="3:38" ht="15" customHeight="1" x14ac:dyDescent="0.25">
      <c r="C48" s="1412" t="s">
        <v>11794</v>
      </c>
      <c r="D48" s="1412"/>
      <c r="E48" s="1412"/>
      <c r="F48" s="1412"/>
      <c r="H48" s="1413">
        <v>4292</v>
      </c>
      <c r="I48" s="1413"/>
      <c r="K48" s="1412" t="s">
        <v>11831</v>
      </c>
      <c r="L48" s="1412"/>
      <c r="M48" s="1412"/>
      <c r="N48" s="1412"/>
      <c r="O48" s="1412"/>
      <c r="P48" s="1412"/>
      <c r="Q48" s="1412"/>
      <c r="R48" s="1098"/>
      <c r="S48" s="1098"/>
      <c r="T48" s="1415">
        <v>115100</v>
      </c>
      <c r="U48" s="1415"/>
      <c r="V48" s="1415"/>
      <c r="W48" s="1415"/>
      <c r="X48" s="1097"/>
      <c r="Y48" s="1097"/>
      <c r="Z48" s="1097"/>
      <c r="AA48" s="1097"/>
      <c r="AB48" s="1415">
        <v>115100</v>
      </c>
      <c r="AC48" s="1415"/>
      <c r="AD48" s="1415"/>
      <c r="AE48" s="1097"/>
      <c r="AF48" s="1097"/>
      <c r="AG48" s="1097"/>
      <c r="AH48" s="1097"/>
      <c r="AI48" s="1415">
        <f t="shared" si="0"/>
        <v>0</v>
      </c>
      <c r="AJ48" s="1415"/>
      <c r="AK48" s="1415"/>
      <c r="AL48" s="1415"/>
    </row>
    <row r="49" spans="3:39" ht="15" customHeight="1" x14ac:dyDescent="0.25">
      <c r="C49" s="1412" t="s">
        <v>11794</v>
      </c>
      <c r="D49" s="1412"/>
      <c r="E49" s="1412"/>
      <c r="F49" s="1412"/>
      <c r="H49" s="1413">
        <v>4293</v>
      </c>
      <c r="I49" s="1413"/>
      <c r="K49" s="1414" t="s">
        <v>11832</v>
      </c>
      <c r="L49" s="1414"/>
      <c r="M49" s="1414"/>
      <c r="N49" s="1414"/>
      <c r="O49" s="1414"/>
      <c r="P49" s="1414"/>
      <c r="Q49" s="1414"/>
      <c r="R49" s="1414"/>
      <c r="S49" s="1414"/>
      <c r="T49" s="1415">
        <v>90400</v>
      </c>
      <c r="U49" s="1415"/>
      <c r="V49" s="1415"/>
      <c r="W49" s="1415"/>
      <c r="X49" s="1097"/>
      <c r="Y49" s="1097"/>
      <c r="Z49" s="1097"/>
      <c r="AA49" s="1097"/>
      <c r="AB49" s="1415">
        <v>90400</v>
      </c>
      <c r="AC49" s="1415"/>
      <c r="AD49" s="1415"/>
      <c r="AE49" s="1097"/>
      <c r="AF49" s="1097"/>
      <c r="AG49" s="1097"/>
      <c r="AH49" s="1097"/>
      <c r="AI49" s="1415">
        <f t="shared" si="0"/>
        <v>0</v>
      </c>
      <c r="AJ49" s="1415"/>
      <c r="AK49" s="1415"/>
      <c r="AL49" s="1415"/>
      <c r="AM49" s="1097"/>
    </row>
    <row r="50" spans="3:39" ht="15" customHeight="1" x14ac:dyDescent="0.25">
      <c r="C50" s="1412" t="s">
        <v>11794</v>
      </c>
      <c r="D50" s="1412"/>
      <c r="E50" s="1412"/>
      <c r="F50" s="1412"/>
      <c r="H50" s="1413">
        <v>4295</v>
      </c>
      <c r="I50" s="1413"/>
      <c r="K50" s="1414" t="s">
        <v>11833</v>
      </c>
      <c r="L50" s="1414"/>
      <c r="M50" s="1414"/>
      <c r="N50" s="1414"/>
      <c r="O50" s="1414"/>
      <c r="P50" s="1414"/>
      <c r="Q50" s="1414"/>
      <c r="R50" s="1414"/>
      <c r="S50" s="1414"/>
      <c r="T50" s="1415">
        <v>35100</v>
      </c>
      <c r="U50" s="1415"/>
      <c r="V50" s="1415"/>
      <c r="W50" s="1415"/>
      <c r="X50" s="1097"/>
      <c r="Y50" s="1097"/>
      <c r="Z50" s="1097"/>
      <c r="AA50" s="1097"/>
      <c r="AB50" s="1415">
        <v>35100</v>
      </c>
      <c r="AC50" s="1415"/>
      <c r="AD50" s="1415"/>
      <c r="AE50" s="1097"/>
      <c r="AF50" s="1097"/>
      <c r="AG50" s="1097"/>
      <c r="AH50" s="1097"/>
      <c r="AI50" s="1415">
        <f t="shared" si="0"/>
        <v>0</v>
      </c>
      <c r="AJ50" s="1415"/>
      <c r="AK50" s="1415"/>
      <c r="AL50" s="1415"/>
      <c r="AM50" s="1097"/>
    </row>
    <row r="51" spans="3:39" ht="15" customHeight="1" x14ac:dyDescent="0.25">
      <c r="C51" s="1412" t="s">
        <v>11794</v>
      </c>
      <c r="D51" s="1412"/>
      <c r="E51" s="1412"/>
      <c r="F51" s="1412"/>
      <c r="H51" s="1413">
        <v>4510</v>
      </c>
      <c r="I51" s="1413"/>
      <c r="K51" s="1414" t="s">
        <v>11834</v>
      </c>
      <c r="L51" s="1414"/>
      <c r="M51" s="1414"/>
      <c r="N51" s="1414"/>
      <c r="O51" s="1414"/>
      <c r="P51" s="1414"/>
      <c r="Q51" s="1414"/>
      <c r="R51" s="1414"/>
      <c r="S51" s="1414"/>
      <c r="T51" s="1415">
        <v>130037.27</v>
      </c>
      <c r="U51" s="1415"/>
      <c r="V51" s="1415"/>
      <c r="W51" s="1415"/>
      <c r="X51" s="1097"/>
      <c r="Y51" s="1097"/>
      <c r="Z51" s="1097"/>
      <c r="AA51" s="1097"/>
      <c r="AB51" s="1415">
        <v>130037.27</v>
      </c>
      <c r="AC51" s="1415"/>
      <c r="AD51" s="1415"/>
      <c r="AE51" s="1097"/>
      <c r="AF51" s="1097"/>
      <c r="AG51" s="1097"/>
      <c r="AH51" s="1097"/>
      <c r="AI51" s="1415">
        <f t="shared" si="0"/>
        <v>0</v>
      </c>
      <c r="AJ51" s="1415"/>
      <c r="AK51" s="1415"/>
      <c r="AL51" s="1415"/>
      <c r="AM51" s="1097"/>
    </row>
    <row r="52" spans="3:39" ht="15" customHeight="1" x14ac:dyDescent="0.25">
      <c r="C52" s="1412" t="s">
        <v>11794</v>
      </c>
      <c r="D52" s="1412"/>
      <c r="E52" s="1412"/>
      <c r="F52" s="1412"/>
      <c r="H52" s="1413">
        <v>4580</v>
      </c>
      <c r="I52" s="1413"/>
      <c r="K52" s="1414" t="s">
        <v>11835</v>
      </c>
      <c r="L52" s="1414"/>
      <c r="M52" s="1414"/>
      <c r="N52" s="1414"/>
      <c r="O52" s="1414"/>
      <c r="P52" s="1414"/>
      <c r="Q52" s="1414"/>
      <c r="R52" s="1414"/>
      <c r="S52" s="1414"/>
      <c r="T52" s="1415">
        <v>24448.58</v>
      </c>
      <c r="U52" s="1415"/>
      <c r="V52" s="1415"/>
      <c r="W52" s="1415"/>
      <c r="X52" s="1097"/>
      <c r="Y52" s="1097"/>
      <c r="Z52" s="1097"/>
      <c r="AA52" s="1097"/>
      <c r="AB52" s="1415">
        <v>24448.58</v>
      </c>
      <c r="AC52" s="1415"/>
      <c r="AD52" s="1415"/>
      <c r="AE52" s="1097"/>
      <c r="AF52" s="1097"/>
      <c r="AG52" s="1097"/>
      <c r="AH52" s="1097"/>
      <c r="AI52" s="1415">
        <f t="shared" si="0"/>
        <v>0</v>
      </c>
      <c r="AJ52" s="1415"/>
      <c r="AK52" s="1415"/>
      <c r="AL52" s="1415"/>
      <c r="AM52" s="1097"/>
    </row>
    <row r="53" spans="3:39" ht="15" customHeight="1" x14ac:dyDescent="0.25">
      <c r="C53" s="1412" t="s">
        <v>11794</v>
      </c>
      <c r="D53" s="1412"/>
      <c r="E53" s="1412"/>
      <c r="F53" s="1412"/>
      <c r="H53" s="1413">
        <v>4770</v>
      </c>
      <c r="I53" s="1413"/>
      <c r="K53" s="1414" t="s">
        <v>11836</v>
      </c>
      <c r="L53" s="1414"/>
      <c r="M53" s="1414"/>
      <c r="N53" s="1414"/>
      <c r="O53" s="1414"/>
      <c r="P53" s="1414"/>
      <c r="Q53" s="1414"/>
      <c r="R53" s="1414"/>
      <c r="S53" s="1414"/>
      <c r="T53" s="1415">
        <v>23721.83</v>
      </c>
      <c r="U53" s="1415"/>
      <c r="V53" s="1415"/>
      <c r="W53" s="1415"/>
      <c r="X53" s="1097"/>
      <c r="Y53" s="1097"/>
      <c r="Z53" s="1097"/>
      <c r="AA53" s="1097"/>
      <c r="AB53" s="1415">
        <v>23721.83</v>
      </c>
      <c r="AC53" s="1415"/>
      <c r="AD53" s="1415"/>
      <c r="AE53" s="1097"/>
      <c r="AF53" s="1097"/>
      <c r="AG53" s="1097"/>
      <c r="AH53" s="1097"/>
      <c r="AI53" s="1415">
        <f t="shared" si="0"/>
        <v>0</v>
      </c>
      <c r="AJ53" s="1415"/>
      <c r="AK53" s="1415"/>
      <c r="AL53" s="1415"/>
      <c r="AM53" s="1097"/>
    </row>
    <row r="54" spans="3:39" ht="15" customHeight="1" x14ac:dyDescent="0.25">
      <c r="C54" s="1412" t="s">
        <v>11794</v>
      </c>
      <c r="D54" s="1412"/>
      <c r="E54" s="1412"/>
      <c r="F54" s="1412"/>
      <c r="H54" s="1413">
        <v>4911</v>
      </c>
      <c r="I54" s="1413"/>
      <c r="K54" s="1414" t="s">
        <v>11837</v>
      </c>
      <c r="L54" s="1414"/>
      <c r="M54" s="1414"/>
      <c r="N54" s="1414"/>
      <c r="O54" s="1414"/>
      <c r="P54" s="1414"/>
      <c r="Q54" s="1414"/>
      <c r="R54" s="1414"/>
      <c r="S54" s="1414"/>
      <c r="T54" s="1415">
        <v>300</v>
      </c>
      <c r="U54" s="1415"/>
      <c r="V54" s="1415"/>
      <c r="W54" s="1415"/>
      <c r="X54" s="1097"/>
      <c r="Y54" s="1097"/>
      <c r="Z54" s="1097"/>
      <c r="AA54" s="1097"/>
      <c r="AB54" s="1415">
        <v>300</v>
      </c>
      <c r="AC54" s="1415"/>
      <c r="AD54" s="1415"/>
      <c r="AE54" s="1097"/>
      <c r="AF54" s="1097"/>
      <c r="AG54" s="1097"/>
      <c r="AH54" s="1097"/>
      <c r="AI54" s="1415">
        <f t="shared" si="0"/>
        <v>0</v>
      </c>
      <c r="AJ54" s="1415"/>
      <c r="AK54" s="1415"/>
      <c r="AL54" s="1415"/>
      <c r="AM54" s="1097"/>
    </row>
    <row r="55" spans="3:39" ht="15" customHeight="1" x14ac:dyDescent="0.25">
      <c r="C55" s="1412" t="s">
        <v>11794</v>
      </c>
      <c r="D55" s="1412"/>
      <c r="E55" s="1412"/>
      <c r="F55" s="1412"/>
      <c r="H55" s="1413">
        <v>4931</v>
      </c>
      <c r="I55" s="1413"/>
      <c r="K55" s="1412" t="s">
        <v>11838</v>
      </c>
      <c r="L55" s="1412"/>
      <c r="M55" s="1412"/>
      <c r="N55" s="1412"/>
      <c r="O55" s="1412"/>
      <c r="P55" s="1412"/>
      <c r="Q55" s="1412"/>
      <c r="R55" s="1412"/>
      <c r="S55" s="1098"/>
      <c r="T55" s="1415">
        <v>1000</v>
      </c>
      <c r="U55" s="1415"/>
      <c r="V55" s="1415"/>
      <c r="W55" s="1415"/>
      <c r="X55" s="1097"/>
      <c r="Y55" s="1097"/>
      <c r="Z55" s="1097"/>
      <c r="AA55" s="1097"/>
      <c r="AB55" s="1415">
        <v>1000</v>
      </c>
      <c r="AC55" s="1415"/>
      <c r="AD55" s="1415"/>
      <c r="AE55" s="1097"/>
      <c r="AF55" s="1097"/>
      <c r="AG55" s="1097"/>
      <c r="AH55" s="1097"/>
      <c r="AI55" s="1415">
        <f t="shared" si="0"/>
        <v>0</v>
      </c>
      <c r="AJ55" s="1415"/>
      <c r="AK55" s="1415"/>
      <c r="AL55" s="1415"/>
      <c r="AM55" s="1097"/>
    </row>
    <row r="56" spans="3:39" ht="15" customHeight="1" x14ac:dyDescent="0.25">
      <c r="C56" s="1412" t="s">
        <v>11794</v>
      </c>
      <c r="D56" s="1412"/>
      <c r="E56" s="1412"/>
      <c r="F56" s="1412"/>
      <c r="H56" s="1413">
        <v>4935</v>
      </c>
      <c r="I56" s="1413"/>
      <c r="K56" s="1412" t="s">
        <v>11839</v>
      </c>
      <c r="L56" s="1412"/>
      <c r="M56" s="1412"/>
      <c r="N56" s="1412"/>
      <c r="O56" s="1412"/>
      <c r="P56" s="1412"/>
      <c r="Q56" s="1412"/>
      <c r="R56" s="1412"/>
      <c r="S56" s="1098"/>
      <c r="T56" s="1415">
        <v>75100</v>
      </c>
      <c r="U56" s="1415"/>
      <c r="V56" s="1415"/>
      <c r="W56" s="1415"/>
      <c r="X56" s="1097"/>
      <c r="Y56" s="1097"/>
      <c r="Z56" s="1097"/>
      <c r="AA56" s="1097"/>
      <c r="AB56" s="1415">
        <v>75100</v>
      </c>
      <c r="AC56" s="1415"/>
      <c r="AD56" s="1415"/>
      <c r="AE56" s="1097"/>
      <c r="AF56" s="1097"/>
      <c r="AG56" s="1097"/>
      <c r="AH56" s="1097"/>
      <c r="AI56" s="1415">
        <f t="shared" si="0"/>
        <v>0</v>
      </c>
      <c r="AJ56" s="1415"/>
      <c r="AK56" s="1415"/>
      <c r="AL56" s="1415"/>
      <c r="AM56" s="1097"/>
    </row>
    <row r="57" spans="3:39" ht="15" customHeight="1" x14ac:dyDescent="0.25">
      <c r="C57" s="1412" t="s">
        <v>11794</v>
      </c>
      <c r="D57" s="1412"/>
      <c r="E57" s="1412"/>
      <c r="F57" s="1412"/>
      <c r="H57" s="1413">
        <v>4940</v>
      </c>
      <c r="I57" s="1413"/>
      <c r="K57" s="1414" t="s">
        <v>3817</v>
      </c>
      <c r="L57" s="1414"/>
      <c r="M57" s="1414"/>
      <c r="N57" s="1414"/>
      <c r="O57" s="1414"/>
      <c r="P57" s="1414"/>
      <c r="Q57" s="1414"/>
      <c r="R57" s="1414"/>
      <c r="S57" s="1414"/>
      <c r="T57" s="1415">
        <v>50100</v>
      </c>
      <c r="U57" s="1415"/>
      <c r="V57" s="1415"/>
      <c r="W57" s="1415"/>
      <c r="X57" s="1097"/>
      <c r="Y57" s="1097"/>
      <c r="Z57" s="1097"/>
      <c r="AA57" s="1097"/>
      <c r="AB57" s="1415">
        <v>50100</v>
      </c>
      <c r="AC57" s="1415"/>
      <c r="AD57" s="1415"/>
      <c r="AE57" s="1097"/>
      <c r="AF57" s="1097"/>
      <c r="AG57" s="1097"/>
      <c r="AH57" s="1097"/>
      <c r="AI57" s="1415">
        <f t="shared" si="0"/>
        <v>0</v>
      </c>
      <c r="AJ57" s="1415"/>
      <c r="AK57" s="1415"/>
      <c r="AL57" s="1415"/>
      <c r="AM57" s="1097"/>
    </row>
    <row r="58" spans="3:39" ht="15" customHeight="1" x14ac:dyDescent="0.25">
      <c r="M58" s="1410" t="s">
        <v>11840</v>
      </c>
      <c r="N58" s="1410"/>
      <c r="O58" s="1410"/>
      <c r="T58" s="1411">
        <f t="shared" ref="T58" si="1">SUM(T8:W57)</f>
        <v>18299999.999999985</v>
      </c>
      <c r="U58" s="1411"/>
      <c r="V58" s="1411"/>
      <c r="W58" s="1411"/>
      <c r="X58" s="1097"/>
      <c r="Y58" s="1097"/>
      <c r="Z58" s="1097"/>
      <c r="AA58" s="1097"/>
      <c r="AB58" s="1411">
        <f t="shared" ref="AB58" si="2">SUM(AB8:AE57)</f>
        <v>18299999.999999985</v>
      </c>
      <c r="AC58" s="1411"/>
      <c r="AD58" s="1411"/>
      <c r="AE58" s="1411"/>
      <c r="AF58" s="1097"/>
      <c r="AG58" s="1097"/>
      <c r="AH58" s="1097"/>
      <c r="AI58" s="1411">
        <f>T58-AB58</f>
        <v>0</v>
      </c>
      <c r="AJ58" s="1411"/>
      <c r="AK58" s="1411"/>
      <c r="AL58" s="1411"/>
      <c r="AM58" s="1097"/>
    </row>
  </sheetData>
  <mergeCells count="310">
    <mergeCell ref="C8:F8"/>
    <mergeCell ref="H8:I8"/>
    <mergeCell ref="K8:S8"/>
    <mergeCell ref="T8:W8"/>
    <mergeCell ref="AB8:AD8"/>
    <mergeCell ref="AI8:AL8"/>
    <mergeCell ref="C6:M7"/>
    <mergeCell ref="U6:W7"/>
    <mergeCell ref="Z6:AD7"/>
    <mergeCell ref="AH6:AL7"/>
    <mergeCell ref="C10:F10"/>
    <mergeCell ref="H10:I10"/>
    <mergeCell ref="K10:S10"/>
    <mergeCell ref="T10:W10"/>
    <mergeCell ref="AB10:AD10"/>
    <mergeCell ref="AI10:AL10"/>
    <mergeCell ref="C9:F9"/>
    <mergeCell ref="H9:I9"/>
    <mergeCell ref="K9:S9"/>
    <mergeCell ref="T9:W9"/>
    <mergeCell ref="AB9:AD9"/>
    <mergeCell ref="AI9:AL9"/>
    <mergeCell ref="C12:F12"/>
    <mergeCell ref="H12:I12"/>
    <mergeCell ref="K12:S12"/>
    <mergeCell ref="T12:W12"/>
    <mergeCell ref="AB12:AD12"/>
    <mergeCell ref="AI12:AL12"/>
    <mergeCell ref="C11:F11"/>
    <mergeCell ref="H11:I11"/>
    <mergeCell ref="K11:S11"/>
    <mergeCell ref="T11:W11"/>
    <mergeCell ref="AB11:AD11"/>
    <mergeCell ref="AI11:AL11"/>
    <mergeCell ref="C14:F14"/>
    <mergeCell ref="H14:I14"/>
    <mergeCell ref="K14:S14"/>
    <mergeCell ref="T14:W14"/>
    <mergeCell ref="AB14:AD14"/>
    <mergeCell ref="AI14:AL14"/>
    <mergeCell ref="C13:F13"/>
    <mergeCell ref="H13:I13"/>
    <mergeCell ref="K13:S13"/>
    <mergeCell ref="T13:W13"/>
    <mergeCell ref="AB13:AD13"/>
    <mergeCell ref="AI13:AL13"/>
    <mergeCell ref="C16:F16"/>
    <mergeCell ref="H16:I16"/>
    <mergeCell ref="K16:S16"/>
    <mergeCell ref="T16:W16"/>
    <mergeCell ref="AB16:AD16"/>
    <mergeCell ref="AI16:AL16"/>
    <mergeCell ref="C15:F15"/>
    <mergeCell ref="H15:I15"/>
    <mergeCell ref="K15:S15"/>
    <mergeCell ref="T15:W15"/>
    <mergeCell ref="AB15:AD15"/>
    <mergeCell ref="AI15:AL15"/>
    <mergeCell ref="C18:F18"/>
    <mergeCell ref="H18:I18"/>
    <mergeCell ref="K18:S18"/>
    <mergeCell ref="T18:W18"/>
    <mergeCell ref="AB18:AD18"/>
    <mergeCell ref="AI18:AL18"/>
    <mergeCell ref="C17:F17"/>
    <mergeCell ref="H17:I17"/>
    <mergeCell ref="K17:S17"/>
    <mergeCell ref="T17:W17"/>
    <mergeCell ref="AB17:AD17"/>
    <mergeCell ref="AI17:AL17"/>
    <mergeCell ref="C20:F20"/>
    <mergeCell ref="H20:I20"/>
    <mergeCell ref="K20:R20"/>
    <mergeCell ref="T20:W20"/>
    <mergeCell ref="AB20:AD20"/>
    <mergeCell ref="AI20:AL20"/>
    <mergeCell ref="C19:F19"/>
    <mergeCell ref="H19:I19"/>
    <mergeCell ref="K19:S19"/>
    <mergeCell ref="T19:W19"/>
    <mergeCell ref="AB19:AD19"/>
    <mergeCell ref="AI19:AL19"/>
    <mergeCell ref="C22:F22"/>
    <mergeCell ref="H22:I22"/>
    <mergeCell ref="K22:S22"/>
    <mergeCell ref="T22:W22"/>
    <mergeCell ref="AB22:AD22"/>
    <mergeCell ref="AI22:AL22"/>
    <mergeCell ref="C21:F21"/>
    <mergeCell ref="H21:I21"/>
    <mergeCell ref="K21:S21"/>
    <mergeCell ref="T21:W21"/>
    <mergeCell ref="AB21:AD21"/>
    <mergeCell ref="AI21:AL21"/>
    <mergeCell ref="C24:F24"/>
    <mergeCell ref="H24:I24"/>
    <mergeCell ref="K24:S24"/>
    <mergeCell ref="T24:W24"/>
    <mergeCell ref="AB24:AD24"/>
    <mergeCell ref="AI24:AL24"/>
    <mergeCell ref="C23:F23"/>
    <mergeCell ref="H23:I23"/>
    <mergeCell ref="K23:S23"/>
    <mergeCell ref="T23:W23"/>
    <mergeCell ref="AB23:AD23"/>
    <mergeCell ref="AI23:AL23"/>
    <mergeCell ref="C26:F26"/>
    <mergeCell ref="H26:I26"/>
    <mergeCell ref="K26:S26"/>
    <mergeCell ref="T26:W26"/>
    <mergeCell ref="AB26:AD26"/>
    <mergeCell ref="AI26:AL26"/>
    <mergeCell ref="C25:F25"/>
    <mergeCell ref="H25:I25"/>
    <mergeCell ref="K25:S25"/>
    <mergeCell ref="T25:W25"/>
    <mergeCell ref="AB25:AD25"/>
    <mergeCell ref="AI25:AL25"/>
    <mergeCell ref="C28:F28"/>
    <mergeCell ref="H28:I28"/>
    <mergeCell ref="K28:S28"/>
    <mergeCell ref="T28:W28"/>
    <mergeCell ref="AB28:AD28"/>
    <mergeCell ref="AI28:AL28"/>
    <mergeCell ref="C27:F27"/>
    <mergeCell ref="H27:I27"/>
    <mergeCell ref="K27:S27"/>
    <mergeCell ref="T27:W27"/>
    <mergeCell ref="AB27:AD27"/>
    <mergeCell ref="AI27:AL27"/>
    <mergeCell ref="C30:F30"/>
    <mergeCell ref="H30:I30"/>
    <mergeCell ref="K30:S30"/>
    <mergeCell ref="T30:W30"/>
    <mergeCell ref="AB30:AD30"/>
    <mergeCell ref="AI30:AL30"/>
    <mergeCell ref="C29:F29"/>
    <mergeCell ref="H29:I29"/>
    <mergeCell ref="K29:S29"/>
    <mergeCell ref="T29:W29"/>
    <mergeCell ref="AB29:AD29"/>
    <mergeCell ref="AI29:AL29"/>
    <mergeCell ref="C32:F32"/>
    <mergeCell ref="H32:I32"/>
    <mergeCell ref="K32:S32"/>
    <mergeCell ref="T32:W32"/>
    <mergeCell ref="AB32:AD32"/>
    <mergeCell ref="AI32:AL32"/>
    <mergeCell ref="C31:F31"/>
    <mergeCell ref="H31:I31"/>
    <mergeCell ref="K31:R31"/>
    <mergeCell ref="T31:W31"/>
    <mergeCell ref="AB31:AD31"/>
    <mergeCell ref="AI31:AL31"/>
    <mergeCell ref="C34:F34"/>
    <mergeCell ref="H34:I34"/>
    <mergeCell ref="K34:S34"/>
    <mergeCell ref="T34:W34"/>
    <mergeCell ref="AB34:AD34"/>
    <mergeCell ref="AI34:AL34"/>
    <mergeCell ref="C33:F33"/>
    <mergeCell ref="H33:I33"/>
    <mergeCell ref="K33:S33"/>
    <mergeCell ref="T33:W33"/>
    <mergeCell ref="AB33:AD33"/>
    <mergeCell ref="AI33:AL33"/>
    <mergeCell ref="C36:F36"/>
    <mergeCell ref="H36:I36"/>
    <mergeCell ref="K36:S36"/>
    <mergeCell ref="T36:W36"/>
    <mergeCell ref="AB36:AD36"/>
    <mergeCell ref="AI36:AL36"/>
    <mergeCell ref="C35:F35"/>
    <mergeCell ref="H35:I35"/>
    <mergeCell ref="K35:S35"/>
    <mergeCell ref="T35:W35"/>
    <mergeCell ref="AB35:AD35"/>
    <mergeCell ref="AI35:AL35"/>
    <mergeCell ref="C38:F38"/>
    <mergeCell ref="H38:I38"/>
    <mergeCell ref="K38:S38"/>
    <mergeCell ref="T38:W38"/>
    <mergeCell ref="AB38:AD38"/>
    <mergeCell ref="AI38:AL38"/>
    <mergeCell ref="C37:F37"/>
    <mergeCell ref="H37:I37"/>
    <mergeCell ref="K37:S37"/>
    <mergeCell ref="T37:W37"/>
    <mergeCell ref="AB37:AD37"/>
    <mergeCell ref="AI37:AL37"/>
    <mergeCell ref="C40:F40"/>
    <mergeCell ref="H40:I40"/>
    <mergeCell ref="K40:Q40"/>
    <mergeCell ref="T40:W40"/>
    <mergeCell ref="AB40:AD40"/>
    <mergeCell ref="AI40:AL40"/>
    <mergeCell ref="C39:F39"/>
    <mergeCell ref="H39:I39"/>
    <mergeCell ref="K39:R39"/>
    <mergeCell ref="T39:W39"/>
    <mergeCell ref="AB39:AD39"/>
    <mergeCell ref="AI39:AL39"/>
    <mergeCell ref="C42:F42"/>
    <mergeCell ref="H42:I42"/>
    <mergeCell ref="K42:S42"/>
    <mergeCell ref="T42:W42"/>
    <mergeCell ref="AB42:AD42"/>
    <mergeCell ref="AI42:AL42"/>
    <mergeCell ref="C41:F41"/>
    <mergeCell ref="H41:I41"/>
    <mergeCell ref="K41:S41"/>
    <mergeCell ref="T41:W41"/>
    <mergeCell ref="AB41:AD41"/>
    <mergeCell ref="AI41:AL41"/>
    <mergeCell ref="C44:F44"/>
    <mergeCell ref="H44:I44"/>
    <mergeCell ref="K44:S44"/>
    <mergeCell ref="T44:W44"/>
    <mergeCell ref="AB44:AD44"/>
    <mergeCell ref="AI44:AL44"/>
    <mergeCell ref="C43:F43"/>
    <mergeCell ref="H43:I43"/>
    <mergeCell ref="K43:S43"/>
    <mergeCell ref="T43:W43"/>
    <mergeCell ref="AB43:AD43"/>
    <mergeCell ref="AI43:AL43"/>
    <mergeCell ref="C46:F46"/>
    <mergeCell ref="H46:I46"/>
    <mergeCell ref="K46:S46"/>
    <mergeCell ref="T46:W46"/>
    <mergeCell ref="AB46:AD46"/>
    <mergeCell ref="AI46:AL46"/>
    <mergeCell ref="C45:F45"/>
    <mergeCell ref="H45:I45"/>
    <mergeCell ref="K45:S45"/>
    <mergeCell ref="T45:W45"/>
    <mergeCell ref="AB45:AD45"/>
    <mergeCell ref="AI45:AL45"/>
    <mergeCell ref="C48:F48"/>
    <mergeCell ref="H48:I48"/>
    <mergeCell ref="K48:Q48"/>
    <mergeCell ref="T48:W48"/>
    <mergeCell ref="AB48:AD48"/>
    <mergeCell ref="AI48:AL48"/>
    <mergeCell ref="C47:F47"/>
    <mergeCell ref="H47:I47"/>
    <mergeCell ref="K47:S47"/>
    <mergeCell ref="T47:W47"/>
    <mergeCell ref="AB47:AD47"/>
    <mergeCell ref="AI47:AL47"/>
    <mergeCell ref="C50:F50"/>
    <mergeCell ref="H50:I50"/>
    <mergeCell ref="K50:S50"/>
    <mergeCell ref="T50:W50"/>
    <mergeCell ref="AB50:AD50"/>
    <mergeCell ref="AI50:AL50"/>
    <mergeCell ref="C49:F49"/>
    <mergeCell ref="H49:I49"/>
    <mergeCell ref="K49:S49"/>
    <mergeCell ref="T49:W49"/>
    <mergeCell ref="AB49:AD49"/>
    <mergeCell ref="AI49:AL49"/>
    <mergeCell ref="C52:F52"/>
    <mergeCell ref="H52:I52"/>
    <mergeCell ref="K52:S52"/>
    <mergeCell ref="T52:W52"/>
    <mergeCell ref="AB52:AD52"/>
    <mergeCell ref="AI52:AL52"/>
    <mergeCell ref="C51:F51"/>
    <mergeCell ref="H51:I51"/>
    <mergeCell ref="K51:S51"/>
    <mergeCell ref="T51:W51"/>
    <mergeCell ref="AB51:AD51"/>
    <mergeCell ref="AI51:AL51"/>
    <mergeCell ref="C54:F54"/>
    <mergeCell ref="H54:I54"/>
    <mergeCell ref="K54:S54"/>
    <mergeCell ref="T54:W54"/>
    <mergeCell ref="AB54:AD54"/>
    <mergeCell ref="AI54:AL54"/>
    <mergeCell ref="C53:F53"/>
    <mergeCell ref="H53:I53"/>
    <mergeCell ref="K53:S53"/>
    <mergeCell ref="T53:W53"/>
    <mergeCell ref="AB53:AD53"/>
    <mergeCell ref="AI53:AL53"/>
    <mergeCell ref="M58:O58"/>
    <mergeCell ref="T58:W58"/>
    <mergeCell ref="AB58:AE58"/>
    <mergeCell ref="AI58:AL58"/>
    <mergeCell ref="B1:AL1"/>
    <mergeCell ref="B3:AL3"/>
    <mergeCell ref="C57:F57"/>
    <mergeCell ref="H57:I57"/>
    <mergeCell ref="K57:S57"/>
    <mergeCell ref="T57:W57"/>
    <mergeCell ref="AB57:AD57"/>
    <mergeCell ref="AI57:AL57"/>
    <mergeCell ref="C56:F56"/>
    <mergeCell ref="H56:I56"/>
    <mergeCell ref="K56:R56"/>
    <mergeCell ref="T56:W56"/>
    <mergeCell ref="AB56:AD56"/>
    <mergeCell ref="AI56:AL56"/>
    <mergeCell ref="C55:F55"/>
    <mergeCell ref="H55:I55"/>
    <mergeCell ref="K55:R55"/>
    <mergeCell ref="T55:W55"/>
    <mergeCell ref="AB55:AD55"/>
    <mergeCell ref="AI55:AL55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1"/>
  <sheetViews>
    <sheetView view="pageLayout" topLeftCell="A53" workbookViewId="0">
      <selection activeCell="A3" sqref="A3:W3"/>
    </sheetView>
  </sheetViews>
  <sheetFormatPr defaultColWidth="6.85546875" defaultRowHeight="12.75" customHeight="1" x14ac:dyDescent="0.25"/>
  <cols>
    <col min="1" max="1" width="4.85546875" style="1110" customWidth="1"/>
    <col min="2" max="2" width="5.140625" style="1110" customWidth="1"/>
    <col min="3" max="3" width="8.5703125" style="1110" customWidth="1"/>
    <col min="4" max="4" width="1" style="1110" customWidth="1"/>
    <col min="5" max="5" width="15.42578125" style="1110" customWidth="1"/>
    <col min="6" max="6" width="4.28515625" style="1110" customWidth="1"/>
    <col min="7" max="7" width="2" style="1110" customWidth="1"/>
    <col min="8" max="8" width="7.42578125" style="1110" customWidth="1"/>
    <col min="9" max="10" width="3.140625" style="1110" customWidth="1"/>
    <col min="11" max="11" width="11.140625" style="1110" customWidth="1"/>
    <col min="12" max="12" width="1.42578125" style="1110" customWidth="1"/>
    <col min="13" max="13" width="1.28515625" style="1110" customWidth="1"/>
    <col min="14" max="14" width="1.140625" style="1110" customWidth="1"/>
    <col min="15" max="15" width="4.5703125" style="1110" customWidth="1"/>
    <col min="16" max="16" width="3.85546875" style="1110" customWidth="1"/>
    <col min="17" max="17" width="1.5703125" style="1110" customWidth="1"/>
    <col min="18" max="18" width="3.28515625" style="1110" customWidth="1"/>
    <col min="19" max="19" width="2" style="1110" customWidth="1"/>
    <col min="20" max="20" width="6.7109375" style="1110" customWidth="1"/>
    <col min="21" max="21" width="1.5703125" style="1110" customWidth="1"/>
    <col min="22" max="22" width="12" style="1110" customWidth="1"/>
    <col min="23" max="23" width="1" style="1110" customWidth="1"/>
    <col min="24" max="256" width="6.85546875" style="1110"/>
    <col min="257" max="257" width="4.85546875" style="1110" customWidth="1"/>
    <col min="258" max="258" width="5.140625" style="1110" customWidth="1"/>
    <col min="259" max="259" width="8.5703125" style="1110" customWidth="1"/>
    <col min="260" max="260" width="1" style="1110" customWidth="1"/>
    <col min="261" max="261" width="15.42578125" style="1110" customWidth="1"/>
    <col min="262" max="262" width="4.28515625" style="1110" customWidth="1"/>
    <col min="263" max="263" width="2" style="1110" customWidth="1"/>
    <col min="264" max="264" width="7.42578125" style="1110" customWidth="1"/>
    <col min="265" max="266" width="3.140625" style="1110" customWidth="1"/>
    <col min="267" max="267" width="11.140625" style="1110" customWidth="1"/>
    <col min="268" max="268" width="1.42578125" style="1110" customWidth="1"/>
    <col min="269" max="269" width="1.28515625" style="1110" customWidth="1"/>
    <col min="270" max="270" width="1.140625" style="1110" customWidth="1"/>
    <col min="271" max="271" width="4.5703125" style="1110" customWidth="1"/>
    <col min="272" max="272" width="3.85546875" style="1110" customWidth="1"/>
    <col min="273" max="273" width="1.5703125" style="1110" customWidth="1"/>
    <col min="274" max="274" width="3.28515625" style="1110" customWidth="1"/>
    <col min="275" max="275" width="2" style="1110" customWidth="1"/>
    <col min="276" max="276" width="6" style="1110" customWidth="1"/>
    <col min="277" max="277" width="1.5703125" style="1110" customWidth="1"/>
    <col min="278" max="278" width="11.140625" style="1110" customWidth="1"/>
    <col min="279" max="279" width="1" style="1110" customWidth="1"/>
    <col min="280" max="512" width="6.85546875" style="1110"/>
    <col min="513" max="513" width="4.85546875" style="1110" customWidth="1"/>
    <col min="514" max="514" width="5.140625" style="1110" customWidth="1"/>
    <col min="515" max="515" width="8.5703125" style="1110" customWidth="1"/>
    <col min="516" max="516" width="1" style="1110" customWidth="1"/>
    <col min="517" max="517" width="15.42578125" style="1110" customWidth="1"/>
    <col min="518" max="518" width="4.28515625" style="1110" customWidth="1"/>
    <col min="519" max="519" width="2" style="1110" customWidth="1"/>
    <col min="520" max="520" width="7.42578125" style="1110" customWidth="1"/>
    <col min="521" max="522" width="3.140625" style="1110" customWidth="1"/>
    <col min="523" max="523" width="11.140625" style="1110" customWidth="1"/>
    <col min="524" max="524" width="1.42578125" style="1110" customWidth="1"/>
    <col min="525" max="525" width="1.28515625" style="1110" customWidth="1"/>
    <col min="526" max="526" width="1.140625" style="1110" customWidth="1"/>
    <col min="527" max="527" width="4.5703125" style="1110" customWidth="1"/>
    <col min="528" max="528" width="3.85546875" style="1110" customWidth="1"/>
    <col min="529" max="529" width="1.5703125" style="1110" customWidth="1"/>
    <col min="530" max="530" width="3.28515625" style="1110" customWidth="1"/>
    <col min="531" max="531" width="2" style="1110" customWidth="1"/>
    <col min="532" max="532" width="6" style="1110" customWidth="1"/>
    <col min="533" max="533" width="1.5703125" style="1110" customWidth="1"/>
    <col min="534" max="534" width="11.140625" style="1110" customWidth="1"/>
    <col min="535" max="535" width="1" style="1110" customWidth="1"/>
    <col min="536" max="768" width="6.85546875" style="1110"/>
    <col min="769" max="769" width="4.85546875" style="1110" customWidth="1"/>
    <col min="770" max="770" width="5.140625" style="1110" customWidth="1"/>
    <col min="771" max="771" width="8.5703125" style="1110" customWidth="1"/>
    <col min="772" max="772" width="1" style="1110" customWidth="1"/>
    <col min="773" max="773" width="15.42578125" style="1110" customWidth="1"/>
    <col min="774" max="774" width="4.28515625" style="1110" customWidth="1"/>
    <col min="775" max="775" width="2" style="1110" customWidth="1"/>
    <col min="776" max="776" width="7.42578125" style="1110" customWidth="1"/>
    <col min="777" max="778" width="3.140625" style="1110" customWidth="1"/>
    <col min="779" max="779" width="11.140625" style="1110" customWidth="1"/>
    <col min="780" max="780" width="1.42578125" style="1110" customWidth="1"/>
    <col min="781" max="781" width="1.28515625" style="1110" customWidth="1"/>
    <col min="782" max="782" width="1.140625" style="1110" customWidth="1"/>
    <col min="783" max="783" width="4.5703125" style="1110" customWidth="1"/>
    <col min="784" max="784" width="3.85546875" style="1110" customWidth="1"/>
    <col min="785" max="785" width="1.5703125" style="1110" customWidth="1"/>
    <col min="786" max="786" width="3.28515625" style="1110" customWidth="1"/>
    <col min="787" max="787" width="2" style="1110" customWidth="1"/>
    <col min="788" max="788" width="6" style="1110" customWidth="1"/>
    <col min="789" max="789" width="1.5703125" style="1110" customWidth="1"/>
    <col min="790" max="790" width="11.140625" style="1110" customWidth="1"/>
    <col min="791" max="791" width="1" style="1110" customWidth="1"/>
    <col min="792" max="1024" width="6.85546875" style="1110"/>
    <col min="1025" max="1025" width="4.85546875" style="1110" customWidth="1"/>
    <col min="1026" max="1026" width="5.140625" style="1110" customWidth="1"/>
    <col min="1027" max="1027" width="8.5703125" style="1110" customWidth="1"/>
    <col min="1028" max="1028" width="1" style="1110" customWidth="1"/>
    <col min="1029" max="1029" width="15.42578125" style="1110" customWidth="1"/>
    <col min="1030" max="1030" width="4.28515625" style="1110" customWidth="1"/>
    <col min="1031" max="1031" width="2" style="1110" customWidth="1"/>
    <col min="1032" max="1032" width="7.42578125" style="1110" customWidth="1"/>
    <col min="1033" max="1034" width="3.140625" style="1110" customWidth="1"/>
    <col min="1035" max="1035" width="11.140625" style="1110" customWidth="1"/>
    <col min="1036" max="1036" width="1.42578125" style="1110" customWidth="1"/>
    <col min="1037" max="1037" width="1.28515625" style="1110" customWidth="1"/>
    <col min="1038" max="1038" width="1.140625" style="1110" customWidth="1"/>
    <col min="1039" max="1039" width="4.5703125" style="1110" customWidth="1"/>
    <col min="1040" max="1040" width="3.85546875" style="1110" customWidth="1"/>
    <col min="1041" max="1041" width="1.5703125" style="1110" customWidth="1"/>
    <col min="1042" max="1042" width="3.28515625" style="1110" customWidth="1"/>
    <col min="1043" max="1043" width="2" style="1110" customWidth="1"/>
    <col min="1044" max="1044" width="6" style="1110" customWidth="1"/>
    <col min="1045" max="1045" width="1.5703125" style="1110" customWidth="1"/>
    <col min="1046" max="1046" width="11.140625" style="1110" customWidth="1"/>
    <col min="1047" max="1047" width="1" style="1110" customWidth="1"/>
    <col min="1048" max="1280" width="6.85546875" style="1110"/>
    <col min="1281" max="1281" width="4.85546875" style="1110" customWidth="1"/>
    <col min="1282" max="1282" width="5.140625" style="1110" customWidth="1"/>
    <col min="1283" max="1283" width="8.5703125" style="1110" customWidth="1"/>
    <col min="1284" max="1284" width="1" style="1110" customWidth="1"/>
    <col min="1285" max="1285" width="15.42578125" style="1110" customWidth="1"/>
    <col min="1286" max="1286" width="4.28515625" style="1110" customWidth="1"/>
    <col min="1287" max="1287" width="2" style="1110" customWidth="1"/>
    <col min="1288" max="1288" width="7.42578125" style="1110" customWidth="1"/>
    <col min="1289" max="1290" width="3.140625" style="1110" customWidth="1"/>
    <col min="1291" max="1291" width="11.140625" style="1110" customWidth="1"/>
    <col min="1292" max="1292" width="1.42578125" style="1110" customWidth="1"/>
    <col min="1293" max="1293" width="1.28515625" style="1110" customWidth="1"/>
    <col min="1294" max="1294" width="1.140625" style="1110" customWidth="1"/>
    <col min="1295" max="1295" width="4.5703125" style="1110" customWidth="1"/>
    <col min="1296" max="1296" width="3.85546875" style="1110" customWidth="1"/>
    <col min="1297" max="1297" width="1.5703125" style="1110" customWidth="1"/>
    <col min="1298" max="1298" width="3.28515625" style="1110" customWidth="1"/>
    <col min="1299" max="1299" width="2" style="1110" customWidth="1"/>
    <col min="1300" max="1300" width="6" style="1110" customWidth="1"/>
    <col min="1301" max="1301" width="1.5703125" style="1110" customWidth="1"/>
    <col min="1302" max="1302" width="11.140625" style="1110" customWidth="1"/>
    <col min="1303" max="1303" width="1" style="1110" customWidth="1"/>
    <col min="1304" max="1536" width="6.85546875" style="1110"/>
    <col min="1537" max="1537" width="4.85546875" style="1110" customWidth="1"/>
    <col min="1538" max="1538" width="5.140625" style="1110" customWidth="1"/>
    <col min="1539" max="1539" width="8.5703125" style="1110" customWidth="1"/>
    <col min="1540" max="1540" width="1" style="1110" customWidth="1"/>
    <col min="1541" max="1541" width="15.42578125" style="1110" customWidth="1"/>
    <col min="1542" max="1542" width="4.28515625" style="1110" customWidth="1"/>
    <col min="1543" max="1543" width="2" style="1110" customWidth="1"/>
    <col min="1544" max="1544" width="7.42578125" style="1110" customWidth="1"/>
    <col min="1545" max="1546" width="3.140625" style="1110" customWidth="1"/>
    <col min="1547" max="1547" width="11.140625" style="1110" customWidth="1"/>
    <col min="1548" max="1548" width="1.42578125" style="1110" customWidth="1"/>
    <col min="1549" max="1549" width="1.28515625" style="1110" customWidth="1"/>
    <col min="1550" max="1550" width="1.140625" style="1110" customWidth="1"/>
    <col min="1551" max="1551" width="4.5703125" style="1110" customWidth="1"/>
    <col min="1552" max="1552" width="3.85546875" style="1110" customWidth="1"/>
    <col min="1553" max="1553" width="1.5703125" style="1110" customWidth="1"/>
    <col min="1554" max="1554" width="3.28515625" style="1110" customWidth="1"/>
    <col min="1555" max="1555" width="2" style="1110" customWidth="1"/>
    <col min="1556" max="1556" width="6" style="1110" customWidth="1"/>
    <col min="1557" max="1557" width="1.5703125" style="1110" customWidth="1"/>
    <col min="1558" max="1558" width="11.140625" style="1110" customWidth="1"/>
    <col min="1559" max="1559" width="1" style="1110" customWidth="1"/>
    <col min="1560" max="1792" width="6.85546875" style="1110"/>
    <col min="1793" max="1793" width="4.85546875" style="1110" customWidth="1"/>
    <col min="1794" max="1794" width="5.140625" style="1110" customWidth="1"/>
    <col min="1795" max="1795" width="8.5703125" style="1110" customWidth="1"/>
    <col min="1796" max="1796" width="1" style="1110" customWidth="1"/>
    <col min="1797" max="1797" width="15.42578125" style="1110" customWidth="1"/>
    <col min="1798" max="1798" width="4.28515625" style="1110" customWidth="1"/>
    <col min="1799" max="1799" width="2" style="1110" customWidth="1"/>
    <col min="1800" max="1800" width="7.42578125" style="1110" customWidth="1"/>
    <col min="1801" max="1802" width="3.140625" style="1110" customWidth="1"/>
    <col min="1803" max="1803" width="11.140625" style="1110" customWidth="1"/>
    <col min="1804" max="1804" width="1.42578125" style="1110" customWidth="1"/>
    <col min="1805" max="1805" width="1.28515625" style="1110" customWidth="1"/>
    <col min="1806" max="1806" width="1.140625" style="1110" customWidth="1"/>
    <col min="1807" max="1807" width="4.5703125" style="1110" customWidth="1"/>
    <col min="1808" max="1808" width="3.85546875" style="1110" customWidth="1"/>
    <col min="1809" max="1809" width="1.5703125" style="1110" customWidth="1"/>
    <col min="1810" max="1810" width="3.28515625" style="1110" customWidth="1"/>
    <col min="1811" max="1811" width="2" style="1110" customWidth="1"/>
    <col min="1812" max="1812" width="6" style="1110" customWidth="1"/>
    <col min="1813" max="1813" width="1.5703125" style="1110" customWidth="1"/>
    <col min="1814" max="1814" width="11.140625" style="1110" customWidth="1"/>
    <col min="1815" max="1815" width="1" style="1110" customWidth="1"/>
    <col min="1816" max="2048" width="6.85546875" style="1110"/>
    <col min="2049" max="2049" width="4.85546875" style="1110" customWidth="1"/>
    <col min="2050" max="2050" width="5.140625" style="1110" customWidth="1"/>
    <col min="2051" max="2051" width="8.5703125" style="1110" customWidth="1"/>
    <col min="2052" max="2052" width="1" style="1110" customWidth="1"/>
    <col min="2053" max="2053" width="15.42578125" style="1110" customWidth="1"/>
    <col min="2054" max="2054" width="4.28515625" style="1110" customWidth="1"/>
    <col min="2055" max="2055" width="2" style="1110" customWidth="1"/>
    <col min="2056" max="2056" width="7.42578125" style="1110" customWidth="1"/>
    <col min="2057" max="2058" width="3.140625" style="1110" customWidth="1"/>
    <col min="2059" max="2059" width="11.140625" style="1110" customWidth="1"/>
    <col min="2060" max="2060" width="1.42578125" style="1110" customWidth="1"/>
    <col min="2061" max="2061" width="1.28515625" style="1110" customWidth="1"/>
    <col min="2062" max="2062" width="1.140625" style="1110" customWidth="1"/>
    <col min="2063" max="2063" width="4.5703125" style="1110" customWidth="1"/>
    <col min="2064" max="2064" width="3.85546875" style="1110" customWidth="1"/>
    <col min="2065" max="2065" width="1.5703125" style="1110" customWidth="1"/>
    <col min="2066" max="2066" width="3.28515625" style="1110" customWidth="1"/>
    <col min="2067" max="2067" width="2" style="1110" customWidth="1"/>
    <col min="2068" max="2068" width="6" style="1110" customWidth="1"/>
    <col min="2069" max="2069" width="1.5703125" style="1110" customWidth="1"/>
    <col min="2070" max="2070" width="11.140625" style="1110" customWidth="1"/>
    <col min="2071" max="2071" width="1" style="1110" customWidth="1"/>
    <col min="2072" max="2304" width="6.85546875" style="1110"/>
    <col min="2305" max="2305" width="4.85546875" style="1110" customWidth="1"/>
    <col min="2306" max="2306" width="5.140625" style="1110" customWidth="1"/>
    <col min="2307" max="2307" width="8.5703125" style="1110" customWidth="1"/>
    <col min="2308" max="2308" width="1" style="1110" customWidth="1"/>
    <col min="2309" max="2309" width="15.42578125" style="1110" customWidth="1"/>
    <col min="2310" max="2310" width="4.28515625" style="1110" customWidth="1"/>
    <col min="2311" max="2311" width="2" style="1110" customWidth="1"/>
    <col min="2312" max="2312" width="7.42578125" style="1110" customWidth="1"/>
    <col min="2313" max="2314" width="3.140625" style="1110" customWidth="1"/>
    <col min="2315" max="2315" width="11.140625" style="1110" customWidth="1"/>
    <col min="2316" max="2316" width="1.42578125" style="1110" customWidth="1"/>
    <col min="2317" max="2317" width="1.28515625" style="1110" customWidth="1"/>
    <col min="2318" max="2318" width="1.140625" style="1110" customWidth="1"/>
    <col min="2319" max="2319" width="4.5703125" style="1110" customWidth="1"/>
    <col min="2320" max="2320" width="3.85546875" style="1110" customWidth="1"/>
    <col min="2321" max="2321" width="1.5703125" style="1110" customWidth="1"/>
    <col min="2322" max="2322" width="3.28515625" style="1110" customWidth="1"/>
    <col min="2323" max="2323" width="2" style="1110" customWidth="1"/>
    <col min="2324" max="2324" width="6" style="1110" customWidth="1"/>
    <col min="2325" max="2325" width="1.5703125" style="1110" customWidth="1"/>
    <col min="2326" max="2326" width="11.140625" style="1110" customWidth="1"/>
    <col min="2327" max="2327" width="1" style="1110" customWidth="1"/>
    <col min="2328" max="2560" width="6.85546875" style="1110"/>
    <col min="2561" max="2561" width="4.85546875" style="1110" customWidth="1"/>
    <col min="2562" max="2562" width="5.140625" style="1110" customWidth="1"/>
    <col min="2563" max="2563" width="8.5703125" style="1110" customWidth="1"/>
    <col min="2564" max="2564" width="1" style="1110" customWidth="1"/>
    <col min="2565" max="2565" width="15.42578125" style="1110" customWidth="1"/>
    <col min="2566" max="2566" width="4.28515625" style="1110" customWidth="1"/>
    <col min="2567" max="2567" width="2" style="1110" customWidth="1"/>
    <col min="2568" max="2568" width="7.42578125" style="1110" customWidth="1"/>
    <col min="2569" max="2570" width="3.140625" style="1110" customWidth="1"/>
    <col min="2571" max="2571" width="11.140625" style="1110" customWidth="1"/>
    <col min="2572" max="2572" width="1.42578125" style="1110" customWidth="1"/>
    <col min="2573" max="2573" width="1.28515625" style="1110" customWidth="1"/>
    <col min="2574" max="2574" width="1.140625" style="1110" customWidth="1"/>
    <col min="2575" max="2575" width="4.5703125" style="1110" customWidth="1"/>
    <col min="2576" max="2576" width="3.85546875" style="1110" customWidth="1"/>
    <col min="2577" max="2577" width="1.5703125" style="1110" customWidth="1"/>
    <col min="2578" max="2578" width="3.28515625" style="1110" customWidth="1"/>
    <col min="2579" max="2579" width="2" style="1110" customWidth="1"/>
    <col min="2580" max="2580" width="6" style="1110" customWidth="1"/>
    <col min="2581" max="2581" width="1.5703125" style="1110" customWidth="1"/>
    <col min="2582" max="2582" width="11.140625" style="1110" customWidth="1"/>
    <col min="2583" max="2583" width="1" style="1110" customWidth="1"/>
    <col min="2584" max="2816" width="6.85546875" style="1110"/>
    <col min="2817" max="2817" width="4.85546875" style="1110" customWidth="1"/>
    <col min="2818" max="2818" width="5.140625" style="1110" customWidth="1"/>
    <col min="2819" max="2819" width="8.5703125" style="1110" customWidth="1"/>
    <col min="2820" max="2820" width="1" style="1110" customWidth="1"/>
    <col min="2821" max="2821" width="15.42578125" style="1110" customWidth="1"/>
    <col min="2822" max="2822" width="4.28515625" style="1110" customWidth="1"/>
    <col min="2823" max="2823" width="2" style="1110" customWidth="1"/>
    <col min="2824" max="2824" width="7.42578125" style="1110" customWidth="1"/>
    <col min="2825" max="2826" width="3.140625" style="1110" customWidth="1"/>
    <col min="2827" max="2827" width="11.140625" style="1110" customWidth="1"/>
    <col min="2828" max="2828" width="1.42578125" style="1110" customWidth="1"/>
    <col min="2829" max="2829" width="1.28515625" style="1110" customWidth="1"/>
    <col min="2830" max="2830" width="1.140625" style="1110" customWidth="1"/>
    <col min="2831" max="2831" width="4.5703125" style="1110" customWidth="1"/>
    <col min="2832" max="2832" width="3.85546875" style="1110" customWidth="1"/>
    <col min="2833" max="2833" width="1.5703125" style="1110" customWidth="1"/>
    <col min="2834" max="2834" width="3.28515625" style="1110" customWidth="1"/>
    <col min="2835" max="2835" width="2" style="1110" customWidth="1"/>
    <col min="2836" max="2836" width="6" style="1110" customWidth="1"/>
    <col min="2837" max="2837" width="1.5703125" style="1110" customWidth="1"/>
    <col min="2838" max="2838" width="11.140625" style="1110" customWidth="1"/>
    <col min="2839" max="2839" width="1" style="1110" customWidth="1"/>
    <col min="2840" max="3072" width="6.85546875" style="1110"/>
    <col min="3073" max="3073" width="4.85546875" style="1110" customWidth="1"/>
    <col min="3074" max="3074" width="5.140625" style="1110" customWidth="1"/>
    <col min="3075" max="3075" width="8.5703125" style="1110" customWidth="1"/>
    <col min="3076" max="3076" width="1" style="1110" customWidth="1"/>
    <col min="3077" max="3077" width="15.42578125" style="1110" customWidth="1"/>
    <col min="3078" max="3078" width="4.28515625" style="1110" customWidth="1"/>
    <col min="3079" max="3079" width="2" style="1110" customWidth="1"/>
    <col min="3080" max="3080" width="7.42578125" style="1110" customWidth="1"/>
    <col min="3081" max="3082" width="3.140625" style="1110" customWidth="1"/>
    <col min="3083" max="3083" width="11.140625" style="1110" customWidth="1"/>
    <col min="3084" max="3084" width="1.42578125" style="1110" customWidth="1"/>
    <col min="3085" max="3085" width="1.28515625" style="1110" customWidth="1"/>
    <col min="3086" max="3086" width="1.140625" style="1110" customWidth="1"/>
    <col min="3087" max="3087" width="4.5703125" style="1110" customWidth="1"/>
    <col min="3088" max="3088" width="3.85546875" style="1110" customWidth="1"/>
    <col min="3089" max="3089" width="1.5703125" style="1110" customWidth="1"/>
    <col min="3090" max="3090" width="3.28515625" style="1110" customWidth="1"/>
    <col min="3091" max="3091" width="2" style="1110" customWidth="1"/>
    <col min="3092" max="3092" width="6" style="1110" customWidth="1"/>
    <col min="3093" max="3093" width="1.5703125" style="1110" customWidth="1"/>
    <col min="3094" max="3094" width="11.140625" style="1110" customWidth="1"/>
    <col min="3095" max="3095" width="1" style="1110" customWidth="1"/>
    <col min="3096" max="3328" width="6.85546875" style="1110"/>
    <col min="3329" max="3329" width="4.85546875" style="1110" customWidth="1"/>
    <col min="3330" max="3330" width="5.140625" style="1110" customWidth="1"/>
    <col min="3331" max="3331" width="8.5703125" style="1110" customWidth="1"/>
    <col min="3332" max="3332" width="1" style="1110" customWidth="1"/>
    <col min="3333" max="3333" width="15.42578125" style="1110" customWidth="1"/>
    <col min="3334" max="3334" width="4.28515625" style="1110" customWidth="1"/>
    <col min="3335" max="3335" width="2" style="1110" customWidth="1"/>
    <col min="3336" max="3336" width="7.42578125" style="1110" customWidth="1"/>
    <col min="3337" max="3338" width="3.140625" style="1110" customWidth="1"/>
    <col min="3339" max="3339" width="11.140625" style="1110" customWidth="1"/>
    <col min="3340" max="3340" width="1.42578125" style="1110" customWidth="1"/>
    <col min="3341" max="3341" width="1.28515625" style="1110" customWidth="1"/>
    <col min="3342" max="3342" width="1.140625" style="1110" customWidth="1"/>
    <col min="3343" max="3343" width="4.5703125" style="1110" customWidth="1"/>
    <col min="3344" max="3344" width="3.85546875" style="1110" customWidth="1"/>
    <col min="3345" max="3345" width="1.5703125" style="1110" customWidth="1"/>
    <col min="3346" max="3346" width="3.28515625" style="1110" customWidth="1"/>
    <col min="3347" max="3347" width="2" style="1110" customWidth="1"/>
    <col min="3348" max="3348" width="6" style="1110" customWidth="1"/>
    <col min="3349" max="3349" width="1.5703125" style="1110" customWidth="1"/>
    <col min="3350" max="3350" width="11.140625" style="1110" customWidth="1"/>
    <col min="3351" max="3351" width="1" style="1110" customWidth="1"/>
    <col min="3352" max="3584" width="6.85546875" style="1110"/>
    <col min="3585" max="3585" width="4.85546875" style="1110" customWidth="1"/>
    <col min="3586" max="3586" width="5.140625" style="1110" customWidth="1"/>
    <col min="3587" max="3587" width="8.5703125" style="1110" customWidth="1"/>
    <col min="3588" max="3588" width="1" style="1110" customWidth="1"/>
    <col min="3589" max="3589" width="15.42578125" style="1110" customWidth="1"/>
    <col min="3590" max="3590" width="4.28515625" style="1110" customWidth="1"/>
    <col min="3591" max="3591" width="2" style="1110" customWidth="1"/>
    <col min="3592" max="3592" width="7.42578125" style="1110" customWidth="1"/>
    <col min="3593" max="3594" width="3.140625" style="1110" customWidth="1"/>
    <col min="3595" max="3595" width="11.140625" style="1110" customWidth="1"/>
    <col min="3596" max="3596" width="1.42578125" style="1110" customWidth="1"/>
    <col min="3597" max="3597" width="1.28515625" style="1110" customWidth="1"/>
    <col min="3598" max="3598" width="1.140625" style="1110" customWidth="1"/>
    <col min="3599" max="3599" width="4.5703125" style="1110" customWidth="1"/>
    <col min="3600" max="3600" width="3.85546875" style="1110" customWidth="1"/>
    <col min="3601" max="3601" width="1.5703125" style="1110" customWidth="1"/>
    <col min="3602" max="3602" width="3.28515625" style="1110" customWidth="1"/>
    <col min="3603" max="3603" width="2" style="1110" customWidth="1"/>
    <col min="3604" max="3604" width="6" style="1110" customWidth="1"/>
    <col min="3605" max="3605" width="1.5703125" style="1110" customWidth="1"/>
    <col min="3606" max="3606" width="11.140625" style="1110" customWidth="1"/>
    <col min="3607" max="3607" width="1" style="1110" customWidth="1"/>
    <col min="3608" max="3840" width="6.85546875" style="1110"/>
    <col min="3841" max="3841" width="4.85546875" style="1110" customWidth="1"/>
    <col min="3842" max="3842" width="5.140625" style="1110" customWidth="1"/>
    <col min="3843" max="3843" width="8.5703125" style="1110" customWidth="1"/>
    <col min="3844" max="3844" width="1" style="1110" customWidth="1"/>
    <col min="3845" max="3845" width="15.42578125" style="1110" customWidth="1"/>
    <col min="3846" max="3846" width="4.28515625" style="1110" customWidth="1"/>
    <col min="3847" max="3847" width="2" style="1110" customWidth="1"/>
    <col min="3848" max="3848" width="7.42578125" style="1110" customWidth="1"/>
    <col min="3849" max="3850" width="3.140625" style="1110" customWidth="1"/>
    <col min="3851" max="3851" width="11.140625" style="1110" customWidth="1"/>
    <col min="3852" max="3852" width="1.42578125" style="1110" customWidth="1"/>
    <col min="3853" max="3853" width="1.28515625" style="1110" customWidth="1"/>
    <col min="3854" max="3854" width="1.140625" style="1110" customWidth="1"/>
    <col min="3855" max="3855" width="4.5703125" style="1110" customWidth="1"/>
    <col min="3856" max="3856" width="3.85546875" style="1110" customWidth="1"/>
    <col min="3857" max="3857" width="1.5703125" style="1110" customWidth="1"/>
    <col min="3858" max="3858" width="3.28515625" style="1110" customWidth="1"/>
    <col min="3859" max="3859" width="2" style="1110" customWidth="1"/>
    <col min="3860" max="3860" width="6" style="1110" customWidth="1"/>
    <col min="3861" max="3861" width="1.5703125" style="1110" customWidth="1"/>
    <col min="3862" max="3862" width="11.140625" style="1110" customWidth="1"/>
    <col min="3863" max="3863" width="1" style="1110" customWidth="1"/>
    <col min="3864" max="4096" width="6.85546875" style="1110"/>
    <col min="4097" max="4097" width="4.85546875" style="1110" customWidth="1"/>
    <col min="4098" max="4098" width="5.140625" style="1110" customWidth="1"/>
    <col min="4099" max="4099" width="8.5703125" style="1110" customWidth="1"/>
    <col min="4100" max="4100" width="1" style="1110" customWidth="1"/>
    <col min="4101" max="4101" width="15.42578125" style="1110" customWidth="1"/>
    <col min="4102" max="4102" width="4.28515625" style="1110" customWidth="1"/>
    <col min="4103" max="4103" width="2" style="1110" customWidth="1"/>
    <col min="4104" max="4104" width="7.42578125" style="1110" customWidth="1"/>
    <col min="4105" max="4106" width="3.140625" style="1110" customWidth="1"/>
    <col min="4107" max="4107" width="11.140625" style="1110" customWidth="1"/>
    <col min="4108" max="4108" width="1.42578125" style="1110" customWidth="1"/>
    <col min="4109" max="4109" width="1.28515625" style="1110" customWidth="1"/>
    <col min="4110" max="4110" width="1.140625" style="1110" customWidth="1"/>
    <col min="4111" max="4111" width="4.5703125" style="1110" customWidth="1"/>
    <col min="4112" max="4112" width="3.85546875" style="1110" customWidth="1"/>
    <col min="4113" max="4113" width="1.5703125" style="1110" customWidth="1"/>
    <col min="4114" max="4114" width="3.28515625" style="1110" customWidth="1"/>
    <col min="4115" max="4115" width="2" style="1110" customWidth="1"/>
    <col min="4116" max="4116" width="6" style="1110" customWidth="1"/>
    <col min="4117" max="4117" width="1.5703125" style="1110" customWidth="1"/>
    <col min="4118" max="4118" width="11.140625" style="1110" customWidth="1"/>
    <col min="4119" max="4119" width="1" style="1110" customWidth="1"/>
    <col min="4120" max="4352" width="6.85546875" style="1110"/>
    <col min="4353" max="4353" width="4.85546875" style="1110" customWidth="1"/>
    <col min="4354" max="4354" width="5.140625" style="1110" customWidth="1"/>
    <col min="4355" max="4355" width="8.5703125" style="1110" customWidth="1"/>
    <col min="4356" max="4356" width="1" style="1110" customWidth="1"/>
    <col min="4357" max="4357" width="15.42578125" style="1110" customWidth="1"/>
    <col min="4358" max="4358" width="4.28515625" style="1110" customWidth="1"/>
    <col min="4359" max="4359" width="2" style="1110" customWidth="1"/>
    <col min="4360" max="4360" width="7.42578125" style="1110" customWidth="1"/>
    <col min="4361" max="4362" width="3.140625" style="1110" customWidth="1"/>
    <col min="4363" max="4363" width="11.140625" style="1110" customWidth="1"/>
    <col min="4364" max="4364" width="1.42578125" style="1110" customWidth="1"/>
    <col min="4365" max="4365" width="1.28515625" style="1110" customWidth="1"/>
    <col min="4366" max="4366" width="1.140625" style="1110" customWidth="1"/>
    <col min="4367" max="4367" width="4.5703125" style="1110" customWidth="1"/>
    <col min="4368" max="4368" width="3.85546875" style="1110" customWidth="1"/>
    <col min="4369" max="4369" width="1.5703125" style="1110" customWidth="1"/>
    <col min="4370" max="4370" width="3.28515625" style="1110" customWidth="1"/>
    <col min="4371" max="4371" width="2" style="1110" customWidth="1"/>
    <col min="4372" max="4372" width="6" style="1110" customWidth="1"/>
    <col min="4373" max="4373" width="1.5703125" style="1110" customWidth="1"/>
    <col min="4374" max="4374" width="11.140625" style="1110" customWidth="1"/>
    <col min="4375" max="4375" width="1" style="1110" customWidth="1"/>
    <col min="4376" max="4608" width="6.85546875" style="1110"/>
    <col min="4609" max="4609" width="4.85546875" style="1110" customWidth="1"/>
    <col min="4610" max="4610" width="5.140625" style="1110" customWidth="1"/>
    <col min="4611" max="4611" width="8.5703125" style="1110" customWidth="1"/>
    <col min="4612" max="4612" width="1" style="1110" customWidth="1"/>
    <col min="4613" max="4613" width="15.42578125" style="1110" customWidth="1"/>
    <col min="4614" max="4614" width="4.28515625" style="1110" customWidth="1"/>
    <col min="4615" max="4615" width="2" style="1110" customWidth="1"/>
    <col min="4616" max="4616" width="7.42578125" style="1110" customWidth="1"/>
    <col min="4617" max="4618" width="3.140625" style="1110" customWidth="1"/>
    <col min="4619" max="4619" width="11.140625" style="1110" customWidth="1"/>
    <col min="4620" max="4620" width="1.42578125" style="1110" customWidth="1"/>
    <col min="4621" max="4621" width="1.28515625" style="1110" customWidth="1"/>
    <col min="4622" max="4622" width="1.140625" style="1110" customWidth="1"/>
    <col min="4623" max="4623" width="4.5703125" style="1110" customWidth="1"/>
    <col min="4624" max="4624" width="3.85546875" style="1110" customWidth="1"/>
    <col min="4625" max="4625" width="1.5703125" style="1110" customWidth="1"/>
    <col min="4626" max="4626" width="3.28515625" style="1110" customWidth="1"/>
    <col min="4627" max="4627" width="2" style="1110" customWidth="1"/>
    <col min="4628" max="4628" width="6" style="1110" customWidth="1"/>
    <col min="4629" max="4629" width="1.5703125" style="1110" customWidth="1"/>
    <col min="4630" max="4630" width="11.140625" style="1110" customWidth="1"/>
    <col min="4631" max="4631" width="1" style="1110" customWidth="1"/>
    <col min="4632" max="4864" width="6.85546875" style="1110"/>
    <col min="4865" max="4865" width="4.85546875" style="1110" customWidth="1"/>
    <col min="4866" max="4866" width="5.140625" style="1110" customWidth="1"/>
    <col min="4867" max="4867" width="8.5703125" style="1110" customWidth="1"/>
    <col min="4868" max="4868" width="1" style="1110" customWidth="1"/>
    <col min="4869" max="4869" width="15.42578125" style="1110" customWidth="1"/>
    <col min="4870" max="4870" width="4.28515625" style="1110" customWidth="1"/>
    <col min="4871" max="4871" width="2" style="1110" customWidth="1"/>
    <col min="4872" max="4872" width="7.42578125" style="1110" customWidth="1"/>
    <col min="4873" max="4874" width="3.140625" style="1110" customWidth="1"/>
    <col min="4875" max="4875" width="11.140625" style="1110" customWidth="1"/>
    <col min="4876" max="4876" width="1.42578125" style="1110" customWidth="1"/>
    <col min="4877" max="4877" width="1.28515625" style="1110" customWidth="1"/>
    <col min="4878" max="4878" width="1.140625" style="1110" customWidth="1"/>
    <col min="4879" max="4879" width="4.5703125" style="1110" customWidth="1"/>
    <col min="4880" max="4880" width="3.85546875" style="1110" customWidth="1"/>
    <col min="4881" max="4881" width="1.5703125" style="1110" customWidth="1"/>
    <col min="4882" max="4882" width="3.28515625" style="1110" customWidth="1"/>
    <col min="4883" max="4883" width="2" style="1110" customWidth="1"/>
    <col min="4884" max="4884" width="6" style="1110" customWidth="1"/>
    <col min="4885" max="4885" width="1.5703125" style="1110" customWidth="1"/>
    <col min="4886" max="4886" width="11.140625" style="1110" customWidth="1"/>
    <col min="4887" max="4887" width="1" style="1110" customWidth="1"/>
    <col min="4888" max="5120" width="6.85546875" style="1110"/>
    <col min="5121" max="5121" width="4.85546875" style="1110" customWidth="1"/>
    <col min="5122" max="5122" width="5.140625" style="1110" customWidth="1"/>
    <col min="5123" max="5123" width="8.5703125" style="1110" customWidth="1"/>
    <col min="5124" max="5124" width="1" style="1110" customWidth="1"/>
    <col min="5125" max="5125" width="15.42578125" style="1110" customWidth="1"/>
    <col min="5126" max="5126" width="4.28515625" style="1110" customWidth="1"/>
    <col min="5127" max="5127" width="2" style="1110" customWidth="1"/>
    <col min="5128" max="5128" width="7.42578125" style="1110" customWidth="1"/>
    <col min="5129" max="5130" width="3.140625" style="1110" customWidth="1"/>
    <col min="5131" max="5131" width="11.140625" style="1110" customWidth="1"/>
    <col min="5132" max="5132" width="1.42578125" style="1110" customWidth="1"/>
    <col min="5133" max="5133" width="1.28515625" style="1110" customWidth="1"/>
    <col min="5134" max="5134" width="1.140625" style="1110" customWidth="1"/>
    <col min="5135" max="5135" width="4.5703125" style="1110" customWidth="1"/>
    <col min="5136" max="5136" width="3.85546875" style="1110" customWidth="1"/>
    <col min="5137" max="5137" width="1.5703125" style="1110" customWidth="1"/>
    <col min="5138" max="5138" width="3.28515625" style="1110" customWidth="1"/>
    <col min="5139" max="5139" width="2" style="1110" customWidth="1"/>
    <col min="5140" max="5140" width="6" style="1110" customWidth="1"/>
    <col min="5141" max="5141" width="1.5703125" style="1110" customWidth="1"/>
    <col min="5142" max="5142" width="11.140625" style="1110" customWidth="1"/>
    <col min="5143" max="5143" width="1" style="1110" customWidth="1"/>
    <col min="5144" max="5376" width="6.85546875" style="1110"/>
    <col min="5377" max="5377" width="4.85546875" style="1110" customWidth="1"/>
    <col min="5378" max="5378" width="5.140625" style="1110" customWidth="1"/>
    <col min="5379" max="5379" width="8.5703125" style="1110" customWidth="1"/>
    <col min="5380" max="5380" width="1" style="1110" customWidth="1"/>
    <col min="5381" max="5381" width="15.42578125" style="1110" customWidth="1"/>
    <col min="5382" max="5382" width="4.28515625" style="1110" customWidth="1"/>
    <col min="5383" max="5383" width="2" style="1110" customWidth="1"/>
    <col min="5384" max="5384" width="7.42578125" style="1110" customWidth="1"/>
    <col min="5385" max="5386" width="3.140625" style="1110" customWidth="1"/>
    <col min="5387" max="5387" width="11.140625" style="1110" customWidth="1"/>
    <col min="5388" max="5388" width="1.42578125" style="1110" customWidth="1"/>
    <col min="5389" max="5389" width="1.28515625" style="1110" customWidth="1"/>
    <col min="5390" max="5390" width="1.140625" style="1110" customWidth="1"/>
    <col min="5391" max="5391" width="4.5703125" style="1110" customWidth="1"/>
    <col min="5392" max="5392" width="3.85546875" style="1110" customWidth="1"/>
    <col min="5393" max="5393" width="1.5703125" style="1110" customWidth="1"/>
    <col min="5394" max="5394" width="3.28515625" style="1110" customWidth="1"/>
    <col min="5395" max="5395" width="2" style="1110" customWidth="1"/>
    <col min="5396" max="5396" width="6" style="1110" customWidth="1"/>
    <col min="5397" max="5397" width="1.5703125" style="1110" customWidth="1"/>
    <col min="5398" max="5398" width="11.140625" style="1110" customWidth="1"/>
    <col min="5399" max="5399" width="1" style="1110" customWidth="1"/>
    <col min="5400" max="5632" width="6.85546875" style="1110"/>
    <col min="5633" max="5633" width="4.85546875" style="1110" customWidth="1"/>
    <col min="5634" max="5634" width="5.140625" style="1110" customWidth="1"/>
    <col min="5635" max="5635" width="8.5703125" style="1110" customWidth="1"/>
    <col min="5636" max="5636" width="1" style="1110" customWidth="1"/>
    <col min="5637" max="5637" width="15.42578125" style="1110" customWidth="1"/>
    <col min="5638" max="5638" width="4.28515625" style="1110" customWidth="1"/>
    <col min="5639" max="5639" width="2" style="1110" customWidth="1"/>
    <col min="5640" max="5640" width="7.42578125" style="1110" customWidth="1"/>
    <col min="5641" max="5642" width="3.140625" style="1110" customWidth="1"/>
    <col min="5643" max="5643" width="11.140625" style="1110" customWidth="1"/>
    <col min="5644" max="5644" width="1.42578125" style="1110" customWidth="1"/>
    <col min="5645" max="5645" width="1.28515625" style="1110" customWidth="1"/>
    <col min="5646" max="5646" width="1.140625" style="1110" customWidth="1"/>
    <col min="5647" max="5647" width="4.5703125" style="1110" customWidth="1"/>
    <col min="5648" max="5648" width="3.85546875" style="1110" customWidth="1"/>
    <col min="5649" max="5649" width="1.5703125" style="1110" customWidth="1"/>
    <col min="5650" max="5650" width="3.28515625" style="1110" customWidth="1"/>
    <col min="5651" max="5651" width="2" style="1110" customWidth="1"/>
    <col min="5652" max="5652" width="6" style="1110" customWidth="1"/>
    <col min="5653" max="5653" width="1.5703125" style="1110" customWidth="1"/>
    <col min="5654" max="5654" width="11.140625" style="1110" customWidth="1"/>
    <col min="5655" max="5655" width="1" style="1110" customWidth="1"/>
    <col min="5656" max="5888" width="6.85546875" style="1110"/>
    <col min="5889" max="5889" width="4.85546875" style="1110" customWidth="1"/>
    <col min="5890" max="5890" width="5.140625" style="1110" customWidth="1"/>
    <col min="5891" max="5891" width="8.5703125" style="1110" customWidth="1"/>
    <col min="5892" max="5892" width="1" style="1110" customWidth="1"/>
    <col min="5893" max="5893" width="15.42578125" style="1110" customWidth="1"/>
    <col min="5894" max="5894" width="4.28515625" style="1110" customWidth="1"/>
    <col min="5895" max="5895" width="2" style="1110" customWidth="1"/>
    <col min="5896" max="5896" width="7.42578125" style="1110" customWidth="1"/>
    <col min="5897" max="5898" width="3.140625" style="1110" customWidth="1"/>
    <col min="5899" max="5899" width="11.140625" style="1110" customWidth="1"/>
    <col min="5900" max="5900" width="1.42578125" style="1110" customWidth="1"/>
    <col min="5901" max="5901" width="1.28515625" style="1110" customWidth="1"/>
    <col min="5902" max="5902" width="1.140625" style="1110" customWidth="1"/>
    <col min="5903" max="5903" width="4.5703125" style="1110" customWidth="1"/>
    <col min="5904" max="5904" width="3.85546875" style="1110" customWidth="1"/>
    <col min="5905" max="5905" width="1.5703125" style="1110" customWidth="1"/>
    <col min="5906" max="5906" width="3.28515625" style="1110" customWidth="1"/>
    <col min="5907" max="5907" width="2" style="1110" customWidth="1"/>
    <col min="5908" max="5908" width="6" style="1110" customWidth="1"/>
    <col min="5909" max="5909" width="1.5703125" style="1110" customWidth="1"/>
    <col min="5910" max="5910" width="11.140625" style="1110" customWidth="1"/>
    <col min="5911" max="5911" width="1" style="1110" customWidth="1"/>
    <col min="5912" max="6144" width="6.85546875" style="1110"/>
    <col min="6145" max="6145" width="4.85546875" style="1110" customWidth="1"/>
    <col min="6146" max="6146" width="5.140625" style="1110" customWidth="1"/>
    <col min="6147" max="6147" width="8.5703125" style="1110" customWidth="1"/>
    <col min="6148" max="6148" width="1" style="1110" customWidth="1"/>
    <col min="6149" max="6149" width="15.42578125" style="1110" customWidth="1"/>
    <col min="6150" max="6150" width="4.28515625" style="1110" customWidth="1"/>
    <col min="6151" max="6151" width="2" style="1110" customWidth="1"/>
    <col min="6152" max="6152" width="7.42578125" style="1110" customWidth="1"/>
    <col min="6153" max="6154" width="3.140625" style="1110" customWidth="1"/>
    <col min="6155" max="6155" width="11.140625" style="1110" customWidth="1"/>
    <col min="6156" max="6156" width="1.42578125" style="1110" customWidth="1"/>
    <col min="6157" max="6157" width="1.28515625" style="1110" customWidth="1"/>
    <col min="6158" max="6158" width="1.140625" style="1110" customWidth="1"/>
    <col min="6159" max="6159" width="4.5703125" style="1110" customWidth="1"/>
    <col min="6160" max="6160" width="3.85546875" style="1110" customWidth="1"/>
    <col min="6161" max="6161" width="1.5703125" style="1110" customWidth="1"/>
    <col min="6162" max="6162" width="3.28515625" style="1110" customWidth="1"/>
    <col min="6163" max="6163" width="2" style="1110" customWidth="1"/>
    <col min="6164" max="6164" width="6" style="1110" customWidth="1"/>
    <col min="6165" max="6165" width="1.5703125" style="1110" customWidth="1"/>
    <col min="6166" max="6166" width="11.140625" style="1110" customWidth="1"/>
    <col min="6167" max="6167" width="1" style="1110" customWidth="1"/>
    <col min="6168" max="6400" width="6.85546875" style="1110"/>
    <col min="6401" max="6401" width="4.85546875" style="1110" customWidth="1"/>
    <col min="6402" max="6402" width="5.140625" style="1110" customWidth="1"/>
    <col min="6403" max="6403" width="8.5703125" style="1110" customWidth="1"/>
    <col min="6404" max="6404" width="1" style="1110" customWidth="1"/>
    <col min="6405" max="6405" width="15.42578125" style="1110" customWidth="1"/>
    <col min="6406" max="6406" width="4.28515625" style="1110" customWidth="1"/>
    <col min="6407" max="6407" width="2" style="1110" customWidth="1"/>
    <col min="6408" max="6408" width="7.42578125" style="1110" customWidth="1"/>
    <col min="6409" max="6410" width="3.140625" style="1110" customWidth="1"/>
    <col min="6411" max="6411" width="11.140625" style="1110" customWidth="1"/>
    <col min="6412" max="6412" width="1.42578125" style="1110" customWidth="1"/>
    <col min="6413" max="6413" width="1.28515625" style="1110" customWidth="1"/>
    <col min="6414" max="6414" width="1.140625" style="1110" customWidth="1"/>
    <col min="6415" max="6415" width="4.5703125" style="1110" customWidth="1"/>
    <col min="6416" max="6416" width="3.85546875" style="1110" customWidth="1"/>
    <col min="6417" max="6417" width="1.5703125" style="1110" customWidth="1"/>
    <col min="6418" max="6418" width="3.28515625" style="1110" customWidth="1"/>
    <col min="6419" max="6419" width="2" style="1110" customWidth="1"/>
    <col min="6420" max="6420" width="6" style="1110" customWidth="1"/>
    <col min="6421" max="6421" width="1.5703125" style="1110" customWidth="1"/>
    <col min="6422" max="6422" width="11.140625" style="1110" customWidth="1"/>
    <col min="6423" max="6423" width="1" style="1110" customWidth="1"/>
    <col min="6424" max="6656" width="6.85546875" style="1110"/>
    <col min="6657" max="6657" width="4.85546875" style="1110" customWidth="1"/>
    <col min="6658" max="6658" width="5.140625" style="1110" customWidth="1"/>
    <col min="6659" max="6659" width="8.5703125" style="1110" customWidth="1"/>
    <col min="6660" max="6660" width="1" style="1110" customWidth="1"/>
    <col min="6661" max="6661" width="15.42578125" style="1110" customWidth="1"/>
    <col min="6662" max="6662" width="4.28515625" style="1110" customWidth="1"/>
    <col min="6663" max="6663" width="2" style="1110" customWidth="1"/>
    <col min="6664" max="6664" width="7.42578125" style="1110" customWidth="1"/>
    <col min="6665" max="6666" width="3.140625" style="1110" customWidth="1"/>
    <col min="6667" max="6667" width="11.140625" style="1110" customWidth="1"/>
    <col min="6668" max="6668" width="1.42578125" style="1110" customWidth="1"/>
    <col min="6669" max="6669" width="1.28515625" style="1110" customWidth="1"/>
    <col min="6670" max="6670" width="1.140625" style="1110" customWidth="1"/>
    <col min="6671" max="6671" width="4.5703125" style="1110" customWidth="1"/>
    <col min="6672" max="6672" width="3.85546875" style="1110" customWidth="1"/>
    <col min="6673" max="6673" width="1.5703125" style="1110" customWidth="1"/>
    <col min="6674" max="6674" width="3.28515625" style="1110" customWidth="1"/>
    <col min="6675" max="6675" width="2" style="1110" customWidth="1"/>
    <col min="6676" max="6676" width="6" style="1110" customWidth="1"/>
    <col min="6677" max="6677" width="1.5703125" style="1110" customWidth="1"/>
    <col min="6678" max="6678" width="11.140625" style="1110" customWidth="1"/>
    <col min="6679" max="6679" width="1" style="1110" customWidth="1"/>
    <col min="6680" max="6912" width="6.85546875" style="1110"/>
    <col min="6913" max="6913" width="4.85546875" style="1110" customWidth="1"/>
    <col min="6914" max="6914" width="5.140625" style="1110" customWidth="1"/>
    <col min="6915" max="6915" width="8.5703125" style="1110" customWidth="1"/>
    <col min="6916" max="6916" width="1" style="1110" customWidth="1"/>
    <col min="6917" max="6917" width="15.42578125" style="1110" customWidth="1"/>
    <col min="6918" max="6918" width="4.28515625" style="1110" customWidth="1"/>
    <col min="6919" max="6919" width="2" style="1110" customWidth="1"/>
    <col min="6920" max="6920" width="7.42578125" style="1110" customWidth="1"/>
    <col min="6921" max="6922" width="3.140625" style="1110" customWidth="1"/>
    <col min="6923" max="6923" width="11.140625" style="1110" customWidth="1"/>
    <col min="6924" max="6924" width="1.42578125" style="1110" customWidth="1"/>
    <col min="6925" max="6925" width="1.28515625" style="1110" customWidth="1"/>
    <col min="6926" max="6926" width="1.140625" style="1110" customWidth="1"/>
    <col min="6927" max="6927" width="4.5703125" style="1110" customWidth="1"/>
    <col min="6928" max="6928" width="3.85546875" style="1110" customWidth="1"/>
    <col min="6929" max="6929" width="1.5703125" style="1110" customWidth="1"/>
    <col min="6930" max="6930" width="3.28515625" style="1110" customWidth="1"/>
    <col min="6931" max="6931" width="2" style="1110" customWidth="1"/>
    <col min="6932" max="6932" width="6" style="1110" customWidth="1"/>
    <col min="6933" max="6933" width="1.5703125" style="1110" customWidth="1"/>
    <col min="6934" max="6934" width="11.140625" style="1110" customWidth="1"/>
    <col min="6935" max="6935" width="1" style="1110" customWidth="1"/>
    <col min="6936" max="7168" width="6.85546875" style="1110"/>
    <col min="7169" max="7169" width="4.85546875" style="1110" customWidth="1"/>
    <col min="7170" max="7170" width="5.140625" style="1110" customWidth="1"/>
    <col min="7171" max="7171" width="8.5703125" style="1110" customWidth="1"/>
    <col min="7172" max="7172" width="1" style="1110" customWidth="1"/>
    <col min="7173" max="7173" width="15.42578125" style="1110" customWidth="1"/>
    <col min="7174" max="7174" width="4.28515625" style="1110" customWidth="1"/>
    <col min="7175" max="7175" width="2" style="1110" customWidth="1"/>
    <col min="7176" max="7176" width="7.42578125" style="1110" customWidth="1"/>
    <col min="7177" max="7178" width="3.140625" style="1110" customWidth="1"/>
    <col min="7179" max="7179" width="11.140625" style="1110" customWidth="1"/>
    <col min="7180" max="7180" width="1.42578125" style="1110" customWidth="1"/>
    <col min="7181" max="7181" width="1.28515625" style="1110" customWidth="1"/>
    <col min="7182" max="7182" width="1.140625" style="1110" customWidth="1"/>
    <col min="7183" max="7183" width="4.5703125" style="1110" customWidth="1"/>
    <col min="7184" max="7184" width="3.85546875" style="1110" customWidth="1"/>
    <col min="7185" max="7185" width="1.5703125" style="1110" customWidth="1"/>
    <col min="7186" max="7186" width="3.28515625" style="1110" customWidth="1"/>
    <col min="7187" max="7187" width="2" style="1110" customWidth="1"/>
    <col min="7188" max="7188" width="6" style="1110" customWidth="1"/>
    <col min="7189" max="7189" width="1.5703125" style="1110" customWidth="1"/>
    <col min="7190" max="7190" width="11.140625" style="1110" customWidth="1"/>
    <col min="7191" max="7191" width="1" style="1110" customWidth="1"/>
    <col min="7192" max="7424" width="6.85546875" style="1110"/>
    <col min="7425" max="7425" width="4.85546875" style="1110" customWidth="1"/>
    <col min="7426" max="7426" width="5.140625" style="1110" customWidth="1"/>
    <col min="7427" max="7427" width="8.5703125" style="1110" customWidth="1"/>
    <col min="7428" max="7428" width="1" style="1110" customWidth="1"/>
    <col min="7429" max="7429" width="15.42578125" style="1110" customWidth="1"/>
    <col min="7430" max="7430" width="4.28515625" style="1110" customWidth="1"/>
    <col min="7431" max="7431" width="2" style="1110" customWidth="1"/>
    <col min="7432" max="7432" width="7.42578125" style="1110" customWidth="1"/>
    <col min="7433" max="7434" width="3.140625" style="1110" customWidth="1"/>
    <col min="7435" max="7435" width="11.140625" style="1110" customWidth="1"/>
    <col min="7436" max="7436" width="1.42578125" style="1110" customWidth="1"/>
    <col min="7437" max="7437" width="1.28515625" style="1110" customWidth="1"/>
    <col min="7438" max="7438" width="1.140625" style="1110" customWidth="1"/>
    <col min="7439" max="7439" width="4.5703125" style="1110" customWidth="1"/>
    <col min="7440" max="7440" width="3.85546875" style="1110" customWidth="1"/>
    <col min="7441" max="7441" width="1.5703125" style="1110" customWidth="1"/>
    <col min="7442" max="7442" width="3.28515625" style="1110" customWidth="1"/>
    <col min="7443" max="7443" width="2" style="1110" customWidth="1"/>
    <col min="7444" max="7444" width="6" style="1110" customWidth="1"/>
    <col min="7445" max="7445" width="1.5703125" style="1110" customWidth="1"/>
    <col min="7446" max="7446" width="11.140625" style="1110" customWidth="1"/>
    <col min="7447" max="7447" width="1" style="1110" customWidth="1"/>
    <col min="7448" max="7680" width="6.85546875" style="1110"/>
    <col min="7681" max="7681" width="4.85546875" style="1110" customWidth="1"/>
    <col min="7682" max="7682" width="5.140625" style="1110" customWidth="1"/>
    <col min="7683" max="7683" width="8.5703125" style="1110" customWidth="1"/>
    <col min="7684" max="7684" width="1" style="1110" customWidth="1"/>
    <col min="7685" max="7685" width="15.42578125" style="1110" customWidth="1"/>
    <col min="7686" max="7686" width="4.28515625" style="1110" customWidth="1"/>
    <col min="7687" max="7687" width="2" style="1110" customWidth="1"/>
    <col min="7688" max="7688" width="7.42578125" style="1110" customWidth="1"/>
    <col min="7689" max="7690" width="3.140625" style="1110" customWidth="1"/>
    <col min="7691" max="7691" width="11.140625" style="1110" customWidth="1"/>
    <col min="7692" max="7692" width="1.42578125" style="1110" customWidth="1"/>
    <col min="7693" max="7693" width="1.28515625" style="1110" customWidth="1"/>
    <col min="7694" max="7694" width="1.140625" style="1110" customWidth="1"/>
    <col min="7695" max="7695" width="4.5703125" style="1110" customWidth="1"/>
    <col min="7696" max="7696" width="3.85546875" style="1110" customWidth="1"/>
    <col min="7697" max="7697" width="1.5703125" style="1110" customWidth="1"/>
    <col min="7698" max="7698" width="3.28515625" style="1110" customWidth="1"/>
    <col min="7699" max="7699" width="2" style="1110" customWidth="1"/>
    <col min="7700" max="7700" width="6" style="1110" customWidth="1"/>
    <col min="7701" max="7701" width="1.5703125" style="1110" customWidth="1"/>
    <col min="7702" max="7702" width="11.140625" style="1110" customWidth="1"/>
    <col min="7703" max="7703" width="1" style="1110" customWidth="1"/>
    <col min="7704" max="7936" width="6.85546875" style="1110"/>
    <col min="7937" max="7937" width="4.85546875" style="1110" customWidth="1"/>
    <col min="7938" max="7938" width="5.140625" style="1110" customWidth="1"/>
    <col min="7939" max="7939" width="8.5703125" style="1110" customWidth="1"/>
    <col min="7940" max="7940" width="1" style="1110" customWidth="1"/>
    <col min="7941" max="7941" width="15.42578125" style="1110" customWidth="1"/>
    <col min="7942" max="7942" width="4.28515625" style="1110" customWidth="1"/>
    <col min="7943" max="7943" width="2" style="1110" customWidth="1"/>
    <col min="7944" max="7944" width="7.42578125" style="1110" customWidth="1"/>
    <col min="7945" max="7946" width="3.140625" style="1110" customWidth="1"/>
    <col min="7947" max="7947" width="11.140625" style="1110" customWidth="1"/>
    <col min="7948" max="7948" width="1.42578125" style="1110" customWidth="1"/>
    <col min="7949" max="7949" width="1.28515625" style="1110" customWidth="1"/>
    <col min="7950" max="7950" width="1.140625" style="1110" customWidth="1"/>
    <col min="7951" max="7951" width="4.5703125" style="1110" customWidth="1"/>
    <col min="7952" max="7952" width="3.85546875" style="1110" customWidth="1"/>
    <col min="7953" max="7953" width="1.5703125" style="1110" customWidth="1"/>
    <col min="7954" max="7954" width="3.28515625" style="1110" customWidth="1"/>
    <col min="7955" max="7955" width="2" style="1110" customWidth="1"/>
    <col min="7956" max="7956" width="6" style="1110" customWidth="1"/>
    <col min="7957" max="7957" width="1.5703125" style="1110" customWidth="1"/>
    <col min="7958" max="7958" width="11.140625" style="1110" customWidth="1"/>
    <col min="7959" max="7959" width="1" style="1110" customWidth="1"/>
    <col min="7960" max="8192" width="6.85546875" style="1110"/>
    <col min="8193" max="8193" width="4.85546875" style="1110" customWidth="1"/>
    <col min="8194" max="8194" width="5.140625" style="1110" customWidth="1"/>
    <col min="8195" max="8195" width="8.5703125" style="1110" customWidth="1"/>
    <col min="8196" max="8196" width="1" style="1110" customWidth="1"/>
    <col min="8197" max="8197" width="15.42578125" style="1110" customWidth="1"/>
    <col min="8198" max="8198" width="4.28515625" style="1110" customWidth="1"/>
    <col min="8199" max="8199" width="2" style="1110" customWidth="1"/>
    <col min="8200" max="8200" width="7.42578125" style="1110" customWidth="1"/>
    <col min="8201" max="8202" width="3.140625" style="1110" customWidth="1"/>
    <col min="8203" max="8203" width="11.140625" style="1110" customWidth="1"/>
    <col min="8204" max="8204" width="1.42578125" style="1110" customWidth="1"/>
    <col min="8205" max="8205" width="1.28515625" style="1110" customWidth="1"/>
    <col min="8206" max="8206" width="1.140625" style="1110" customWidth="1"/>
    <col min="8207" max="8207" width="4.5703125" style="1110" customWidth="1"/>
    <col min="8208" max="8208" width="3.85546875" style="1110" customWidth="1"/>
    <col min="8209" max="8209" width="1.5703125" style="1110" customWidth="1"/>
    <col min="8210" max="8210" width="3.28515625" style="1110" customWidth="1"/>
    <col min="8211" max="8211" width="2" style="1110" customWidth="1"/>
    <col min="8212" max="8212" width="6" style="1110" customWidth="1"/>
    <col min="8213" max="8213" width="1.5703125" style="1110" customWidth="1"/>
    <col min="8214" max="8214" width="11.140625" style="1110" customWidth="1"/>
    <col min="8215" max="8215" width="1" style="1110" customWidth="1"/>
    <col min="8216" max="8448" width="6.85546875" style="1110"/>
    <col min="8449" max="8449" width="4.85546875" style="1110" customWidth="1"/>
    <col min="8450" max="8450" width="5.140625" style="1110" customWidth="1"/>
    <col min="8451" max="8451" width="8.5703125" style="1110" customWidth="1"/>
    <col min="8452" max="8452" width="1" style="1110" customWidth="1"/>
    <col min="8453" max="8453" width="15.42578125" style="1110" customWidth="1"/>
    <col min="8454" max="8454" width="4.28515625" style="1110" customWidth="1"/>
    <col min="8455" max="8455" width="2" style="1110" customWidth="1"/>
    <col min="8456" max="8456" width="7.42578125" style="1110" customWidth="1"/>
    <col min="8457" max="8458" width="3.140625" style="1110" customWidth="1"/>
    <col min="8459" max="8459" width="11.140625" style="1110" customWidth="1"/>
    <col min="8460" max="8460" width="1.42578125" style="1110" customWidth="1"/>
    <col min="8461" max="8461" width="1.28515625" style="1110" customWidth="1"/>
    <col min="8462" max="8462" width="1.140625" style="1110" customWidth="1"/>
    <col min="8463" max="8463" width="4.5703125" style="1110" customWidth="1"/>
    <col min="8464" max="8464" width="3.85546875" style="1110" customWidth="1"/>
    <col min="8465" max="8465" width="1.5703125" style="1110" customWidth="1"/>
    <col min="8466" max="8466" width="3.28515625" style="1110" customWidth="1"/>
    <col min="8467" max="8467" width="2" style="1110" customWidth="1"/>
    <col min="8468" max="8468" width="6" style="1110" customWidth="1"/>
    <col min="8469" max="8469" width="1.5703125" style="1110" customWidth="1"/>
    <col min="8470" max="8470" width="11.140625" style="1110" customWidth="1"/>
    <col min="8471" max="8471" width="1" style="1110" customWidth="1"/>
    <col min="8472" max="8704" width="6.85546875" style="1110"/>
    <col min="8705" max="8705" width="4.85546875" style="1110" customWidth="1"/>
    <col min="8706" max="8706" width="5.140625" style="1110" customWidth="1"/>
    <col min="8707" max="8707" width="8.5703125" style="1110" customWidth="1"/>
    <col min="8708" max="8708" width="1" style="1110" customWidth="1"/>
    <col min="8709" max="8709" width="15.42578125" style="1110" customWidth="1"/>
    <col min="8710" max="8710" width="4.28515625" style="1110" customWidth="1"/>
    <col min="8711" max="8711" width="2" style="1110" customWidth="1"/>
    <col min="8712" max="8712" width="7.42578125" style="1110" customWidth="1"/>
    <col min="8713" max="8714" width="3.140625" style="1110" customWidth="1"/>
    <col min="8715" max="8715" width="11.140625" style="1110" customWidth="1"/>
    <col min="8716" max="8716" width="1.42578125" style="1110" customWidth="1"/>
    <col min="8717" max="8717" width="1.28515625" style="1110" customWidth="1"/>
    <col min="8718" max="8718" width="1.140625" style="1110" customWidth="1"/>
    <col min="8719" max="8719" width="4.5703125" style="1110" customWidth="1"/>
    <col min="8720" max="8720" width="3.85546875" style="1110" customWidth="1"/>
    <col min="8721" max="8721" width="1.5703125" style="1110" customWidth="1"/>
    <col min="8722" max="8722" width="3.28515625" style="1110" customWidth="1"/>
    <col min="8723" max="8723" width="2" style="1110" customWidth="1"/>
    <col min="8724" max="8724" width="6" style="1110" customWidth="1"/>
    <col min="8725" max="8725" width="1.5703125" style="1110" customWidth="1"/>
    <col min="8726" max="8726" width="11.140625" style="1110" customWidth="1"/>
    <col min="8727" max="8727" width="1" style="1110" customWidth="1"/>
    <col min="8728" max="8960" width="6.85546875" style="1110"/>
    <col min="8961" max="8961" width="4.85546875" style="1110" customWidth="1"/>
    <col min="8962" max="8962" width="5.140625" style="1110" customWidth="1"/>
    <col min="8963" max="8963" width="8.5703125" style="1110" customWidth="1"/>
    <col min="8964" max="8964" width="1" style="1110" customWidth="1"/>
    <col min="8965" max="8965" width="15.42578125" style="1110" customWidth="1"/>
    <col min="8966" max="8966" width="4.28515625" style="1110" customWidth="1"/>
    <col min="8967" max="8967" width="2" style="1110" customWidth="1"/>
    <col min="8968" max="8968" width="7.42578125" style="1110" customWidth="1"/>
    <col min="8969" max="8970" width="3.140625" style="1110" customWidth="1"/>
    <col min="8971" max="8971" width="11.140625" style="1110" customWidth="1"/>
    <col min="8972" max="8972" width="1.42578125" style="1110" customWidth="1"/>
    <col min="8973" max="8973" width="1.28515625" style="1110" customWidth="1"/>
    <col min="8974" max="8974" width="1.140625" style="1110" customWidth="1"/>
    <col min="8975" max="8975" width="4.5703125" style="1110" customWidth="1"/>
    <col min="8976" max="8976" width="3.85546875" style="1110" customWidth="1"/>
    <col min="8977" max="8977" width="1.5703125" style="1110" customWidth="1"/>
    <col min="8978" max="8978" width="3.28515625" style="1110" customWidth="1"/>
    <col min="8979" max="8979" width="2" style="1110" customWidth="1"/>
    <col min="8980" max="8980" width="6" style="1110" customWidth="1"/>
    <col min="8981" max="8981" width="1.5703125" style="1110" customWidth="1"/>
    <col min="8982" max="8982" width="11.140625" style="1110" customWidth="1"/>
    <col min="8983" max="8983" width="1" style="1110" customWidth="1"/>
    <col min="8984" max="9216" width="6.85546875" style="1110"/>
    <col min="9217" max="9217" width="4.85546875" style="1110" customWidth="1"/>
    <col min="9218" max="9218" width="5.140625" style="1110" customWidth="1"/>
    <col min="9219" max="9219" width="8.5703125" style="1110" customWidth="1"/>
    <col min="9220" max="9220" width="1" style="1110" customWidth="1"/>
    <col min="9221" max="9221" width="15.42578125" style="1110" customWidth="1"/>
    <col min="9222" max="9222" width="4.28515625" style="1110" customWidth="1"/>
    <col min="9223" max="9223" width="2" style="1110" customWidth="1"/>
    <col min="9224" max="9224" width="7.42578125" style="1110" customWidth="1"/>
    <col min="9225" max="9226" width="3.140625" style="1110" customWidth="1"/>
    <col min="9227" max="9227" width="11.140625" style="1110" customWidth="1"/>
    <col min="9228" max="9228" width="1.42578125" style="1110" customWidth="1"/>
    <col min="9229" max="9229" width="1.28515625" style="1110" customWidth="1"/>
    <col min="9230" max="9230" width="1.140625" style="1110" customWidth="1"/>
    <col min="9231" max="9231" width="4.5703125" style="1110" customWidth="1"/>
    <col min="9232" max="9232" width="3.85546875" style="1110" customWidth="1"/>
    <col min="9233" max="9233" width="1.5703125" style="1110" customWidth="1"/>
    <col min="9234" max="9234" width="3.28515625" style="1110" customWidth="1"/>
    <col min="9235" max="9235" width="2" style="1110" customWidth="1"/>
    <col min="9236" max="9236" width="6" style="1110" customWidth="1"/>
    <col min="9237" max="9237" width="1.5703125" style="1110" customWidth="1"/>
    <col min="9238" max="9238" width="11.140625" style="1110" customWidth="1"/>
    <col min="9239" max="9239" width="1" style="1110" customWidth="1"/>
    <col min="9240" max="9472" width="6.85546875" style="1110"/>
    <col min="9473" max="9473" width="4.85546875" style="1110" customWidth="1"/>
    <col min="9474" max="9474" width="5.140625" style="1110" customWidth="1"/>
    <col min="9475" max="9475" width="8.5703125" style="1110" customWidth="1"/>
    <col min="9476" max="9476" width="1" style="1110" customWidth="1"/>
    <col min="9477" max="9477" width="15.42578125" style="1110" customWidth="1"/>
    <col min="9478" max="9478" width="4.28515625" style="1110" customWidth="1"/>
    <col min="9479" max="9479" width="2" style="1110" customWidth="1"/>
    <col min="9480" max="9480" width="7.42578125" style="1110" customWidth="1"/>
    <col min="9481" max="9482" width="3.140625" style="1110" customWidth="1"/>
    <col min="9483" max="9483" width="11.140625" style="1110" customWidth="1"/>
    <col min="9484" max="9484" width="1.42578125" style="1110" customWidth="1"/>
    <col min="9485" max="9485" width="1.28515625" style="1110" customWidth="1"/>
    <col min="9486" max="9486" width="1.140625" style="1110" customWidth="1"/>
    <col min="9487" max="9487" width="4.5703125" style="1110" customWidth="1"/>
    <col min="9488" max="9488" width="3.85546875" style="1110" customWidth="1"/>
    <col min="9489" max="9489" width="1.5703125" style="1110" customWidth="1"/>
    <col min="9490" max="9490" width="3.28515625" style="1110" customWidth="1"/>
    <col min="9491" max="9491" width="2" style="1110" customWidth="1"/>
    <col min="9492" max="9492" width="6" style="1110" customWidth="1"/>
    <col min="9493" max="9493" width="1.5703125" style="1110" customWidth="1"/>
    <col min="9494" max="9494" width="11.140625" style="1110" customWidth="1"/>
    <col min="9495" max="9495" width="1" style="1110" customWidth="1"/>
    <col min="9496" max="9728" width="6.85546875" style="1110"/>
    <col min="9729" max="9729" width="4.85546875" style="1110" customWidth="1"/>
    <col min="9730" max="9730" width="5.140625" style="1110" customWidth="1"/>
    <col min="9731" max="9731" width="8.5703125" style="1110" customWidth="1"/>
    <col min="9732" max="9732" width="1" style="1110" customWidth="1"/>
    <col min="9733" max="9733" width="15.42578125" style="1110" customWidth="1"/>
    <col min="9734" max="9734" width="4.28515625" style="1110" customWidth="1"/>
    <col min="9735" max="9735" width="2" style="1110" customWidth="1"/>
    <col min="9736" max="9736" width="7.42578125" style="1110" customWidth="1"/>
    <col min="9737" max="9738" width="3.140625" style="1110" customWidth="1"/>
    <col min="9739" max="9739" width="11.140625" style="1110" customWidth="1"/>
    <col min="9740" max="9740" width="1.42578125" style="1110" customWidth="1"/>
    <col min="9741" max="9741" width="1.28515625" style="1110" customWidth="1"/>
    <col min="9742" max="9742" width="1.140625" style="1110" customWidth="1"/>
    <col min="9743" max="9743" width="4.5703125" style="1110" customWidth="1"/>
    <col min="9744" max="9744" width="3.85546875" style="1110" customWidth="1"/>
    <col min="9745" max="9745" width="1.5703125" style="1110" customWidth="1"/>
    <col min="9746" max="9746" width="3.28515625" style="1110" customWidth="1"/>
    <col min="9747" max="9747" width="2" style="1110" customWidth="1"/>
    <col min="9748" max="9748" width="6" style="1110" customWidth="1"/>
    <col min="9749" max="9749" width="1.5703125" style="1110" customWidth="1"/>
    <col min="9750" max="9750" width="11.140625" style="1110" customWidth="1"/>
    <col min="9751" max="9751" width="1" style="1110" customWidth="1"/>
    <col min="9752" max="9984" width="6.85546875" style="1110"/>
    <col min="9985" max="9985" width="4.85546875" style="1110" customWidth="1"/>
    <col min="9986" max="9986" width="5.140625" style="1110" customWidth="1"/>
    <col min="9987" max="9987" width="8.5703125" style="1110" customWidth="1"/>
    <col min="9988" max="9988" width="1" style="1110" customWidth="1"/>
    <col min="9989" max="9989" width="15.42578125" style="1110" customWidth="1"/>
    <col min="9990" max="9990" width="4.28515625" style="1110" customWidth="1"/>
    <col min="9991" max="9991" width="2" style="1110" customWidth="1"/>
    <col min="9992" max="9992" width="7.42578125" style="1110" customWidth="1"/>
    <col min="9993" max="9994" width="3.140625" style="1110" customWidth="1"/>
    <col min="9995" max="9995" width="11.140625" style="1110" customWidth="1"/>
    <col min="9996" max="9996" width="1.42578125" style="1110" customWidth="1"/>
    <col min="9997" max="9997" width="1.28515625" style="1110" customWidth="1"/>
    <col min="9998" max="9998" width="1.140625" style="1110" customWidth="1"/>
    <col min="9999" max="9999" width="4.5703125" style="1110" customWidth="1"/>
    <col min="10000" max="10000" width="3.85546875" style="1110" customWidth="1"/>
    <col min="10001" max="10001" width="1.5703125" style="1110" customWidth="1"/>
    <col min="10002" max="10002" width="3.28515625" style="1110" customWidth="1"/>
    <col min="10003" max="10003" width="2" style="1110" customWidth="1"/>
    <col min="10004" max="10004" width="6" style="1110" customWidth="1"/>
    <col min="10005" max="10005" width="1.5703125" style="1110" customWidth="1"/>
    <col min="10006" max="10006" width="11.140625" style="1110" customWidth="1"/>
    <col min="10007" max="10007" width="1" style="1110" customWidth="1"/>
    <col min="10008" max="10240" width="6.85546875" style="1110"/>
    <col min="10241" max="10241" width="4.85546875" style="1110" customWidth="1"/>
    <col min="10242" max="10242" width="5.140625" style="1110" customWidth="1"/>
    <col min="10243" max="10243" width="8.5703125" style="1110" customWidth="1"/>
    <col min="10244" max="10244" width="1" style="1110" customWidth="1"/>
    <col min="10245" max="10245" width="15.42578125" style="1110" customWidth="1"/>
    <col min="10246" max="10246" width="4.28515625" style="1110" customWidth="1"/>
    <col min="10247" max="10247" width="2" style="1110" customWidth="1"/>
    <col min="10248" max="10248" width="7.42578125" style="1110" customWidth="1"/>
    <col min="10249" max="10250" width="3.140625" style="1110" customWidth="1"/>
    <col min="10251" max="10251" width="11.140625" style="1110" customWidth="1"/>
    <col min="10252" max="10252" width="1.42578125" style="1110" customWidth="1"/>
    <col min="10253" max="10253" width="1.28515625" style="1110" customWidth="1"/>
    <col min="10254" max="10254" width="1.140625" style="1110" customWidth="1"/>
    <col min="10255" max="10255" width="4.5703125" style="1110" customWidth="1"/>
    <col min="10256" max="10256" width="3.85546875" style="1110" customWidth="1"/>
    <col min="10257" max="10257" width="1.5703125" style="1110" customWidth="1"/>
    <col min="10258" max="10258" width="3.28515625" style="1110" customWidth="1"/>
    <col min="10259" max="10259" width="2" style="1110" customWidth="1"/>
    <col min="10260" max="10260" width="6" style="1110" customWidth="1"/>
    <col min="10261" max="10261" width="1.5703125" style="1110" customWidth="1"/>
    <col min="10262" max="10262" width="11.140625" style="1110" customWidth="1"/>
    <col min="10263" max="10263" width="1" style="1110" customWidth="1"/>
    <col min="10264" max="10496" width="6.85546875" style="1110"/>
    <col min="10497" max="10497" width="4.85546875" style="1110" customWidth="1"/>
    <col min="10498" max="10498" width="5.140625" style="1110" customWidth="1"/>
    <col min="10499" max="10499" width="8.5703125" style="1110" customWidth="1"/>
    <col min="10500" max="10500" width="1" style="1110" customWidth="1"/>
    <col min="10501" max="10501" width="15.42578125" style="1110" customWidth="1"/>
    <col min="10502" max="10502" width="4.28515625" style="1110" customWidth="1"/>
    <col min="10503" max="10503" width="2" style="1110" customWidth="1"/>
    <col min="10504" max="10504" width="7.42578125" style="1110" customWidth="1"/>
    <col min="10505" max="10506" width="3.140625" style="1110" customWidth="1"/>
    <col min="10507" max="10507" width="11.140625" style="1110" customWidth="1"/>
    <col min="10508" max="10508" width="1.42578125" style="1110" customWidth="1"/>
    <col min="10509" max="10509" width="1.28515625" style="1110" customWidth="1"/>
    <col min="10510" max="10510" width="1.140625" style="1110" customWidth="1"/>
    <col min="10511" max="10511" width="4.5703125" style="1110" customWidth="1"/>
    <col min="10512" max="10512" width="3.85546875" style="1110" customWidth="1"/>
    <col min="10513" max="10513" width="1.5703125" style="1110" customWidth="1"/>
    <col min="10514" max="10514" width="3.28515625" style="1110" customWidth="1"/>
    <col min="10515" max="10515" width="2" style="1110" customWidth="1"/>
    <col min="10516" max="10516" width="6" style="1110" customWidth="1"/>
    <col min="10517" max="10517" width="1.5703125" style="1110" customWidth="1"/>
    <col min="10518" max="10518" width="11.140625" style="1110" customWidth="1"/>
    <col min="10519" max="10519" width="1" style="1110" customWidth="1"/>
    <col min="10520" max="10752" width="6.85546875" style="1110"/>
    <col min="10753" max="10753" width="4.85546875" style="1110" customWidth="1"/>
    <col min="10754" max="10754" width="5.140625" style="1110" customWidth="1"/>
    <col min="10755" max="10755" width="8.5703125" style="1110" customWidth="1"/>
    <col min="10756" max="10756" width="1" style="1110" customWidth="1"/>
    <col min="10757" max="10757" width="15.42578125" style="1110" customWidth="1"/>
    <col min="10758" max="10758" width="4.28515625" style="1110" customWidth="1"/>
    <col min="10759" max="10759" width="2" style="1110" customWidth="1"/>
    <col min="10760" max="10760" width="7.42578125" style="1110" customWidth="1"/>
    <col min="10761" max="10762" width="3.140625" style="1110" customWidth="1"/>
    <col min="10763" max="10763" width="11.140625" style="1110" customWidth="1"/>
    <col min="10764" max="10764" width="1.42578125" style="1110" customWidth="1"/>
    <col min="10765" max="10765" width="1.28515625" style="1110" customWidth="1"/>
    <col min="10766" max="10766" width="1.140625" style="1110" customWidth="1"/>
    <col min="10767" max="10767" width="4.5703125" style="1110" customWidth="1"/>
    <col min="10768" max="10768" width="3.85546875" style="1110" customWidth="1"/>
    <col min="10769" max="10769" width="1.5703125" style="1110" customWidth="1"/>
    <col min="10770" max="10770" width="3.28515625" style="1110" customWidth="1"/>
    <col min="10771" max="10771" width="2" style="1110" customWidth="1"/>
    <col min="10772" max="10772" width="6" style="1110" customWidth="1"/>
    <col min="10773" max="10773" width="1.5703125" style="1110" customWidth="1"/>
    <col min="10774" max="10774" width="11.140625" style="1110" customWidth="1"/>
    <col min="10775" max="10775" width="1" style="1110" customWidth="1"/>
    <col min="10776" max="11008" width="6.85546875" style="1110"/>
    <col min="11009" max="11009" width="4.85546875" style="1110" customWidth="1"/>
    <col min="11010" max="11010" width="5.140625" style="1110" customWidth="1"/>
    <col min="11011" max="11011" width="8.5703125" style="1110" customWidth="1"/>
    <col min="11012" max="11012" width="1" style="1110" customWidth="1"/>
    <col min="11013" max="11013" width="15.42578125" style="1110" customWidth="1"/>
    <col min="11014" max="11014" width="4.28515625" style="1110" customWidth="1"/>
    <col min="11015" max="11015" width="2" style="1110" customWidth="1"/>
    <col min="11016" max="11016" width="7.42578125" style="1110" customWidth="1"/>
    <col min="11017" max="11018" width="3.140625" style="1110" customWidth="1"/>
    <col min="11019" max="11019" width="11.140625" style="1110" customWidth="1"/>
    <col min="11020" max="11020" width="1.42578125" style="1110" customWidth="1"/>
    <col min="11021" max="11021" width="1.28515625" style="1110" customWidth="1"/>
    <col min="11022" max="11022" width="1.140625" style="1110" customWidth="1"/>
    <col min="11023" max="11023" width="4.5703125" style="1110" customWidth="1"/>
    <col min="11024" max="11024" width="3.85546875" style="1110" customWidth="1"/>
    <col min="11025" max="11025" width="1.5703125" style="1110" customWidth="1"/>
    <col min="11026" max="11026" width="3.28515625" style="1110" customWidth="1"/>
    <col min="11027" max="11027" width="2" style="1110" customWidth="1"/>
    <col min="11028" max="11028" width="6" style="1110" customWidth="1"/>
    <col min="11029" max="11029" width="1.5703125" style="1110" customWidth="1"/>
    <col min="11030" max="11030" width="11.140625" style="1110" customWidth="1"/>
    <col min="11031" max="11031" width="1" style="1110" customWidth="1"/>
    <col min="11032" max="11264" width="6.85546875" style="1110"/>
    <col min="11265" max="11265" width="4.85546875" style="1110" customWidth="1"/>
    <col min="11266" max="11266" width="5.140625" style="1110" customWidth="1"/>
    <col min="11267" max="11267" width="8.5703125" style="1110" customWidth="1"/>
    <col min="11268" max="11268" width="1" style="1110" customWidth="1"/>
    <col min="11269" max="11269" width="15.42578125" style="1110" customWidth="1"/>
    <col min="11270" max="11270" width="4.28515625" style="1110" customWidth="1"/>
    <col min="11271" max="11271" width="2" style="1110" customWidth="1"/>
    <col min="11272" max="11272" width="7.42578125" style="1110" customWidth="1"/>
    <col min="11273" max="11274" width="3.140625" style="1110" customWidth="1"/>
    <col min="11275" max="11275" width="11.140625" style="1110" customWidth="1"/>
    <col min="11276" max="11276" width="1.42578125" style="1110" customWidth="1"/>
    <col min="11277" max="11277" width="1.28515625" style="1110" customWidth="1"/>
    <col min="11278" max="11278" width="1.140625" style="1110" customWidth="1"/>
    <col min="11279" max="11279" width="4.5703125" style="1110" customWidth="1"/>
    <col min="11280" max="11280" width="3.85546875" style="1110" customWidth="1"/>
    <col min="11281" max="11281" width="1.5703125" style="1110" customWidth="1"/>
    <col min="11282" max="11282" width="3.28515625" style="1110" customWidth="1"/>
    <col min="11283" max="11283" width="2" style="1110" customWidth="1"/>
    <col min="11284" max="11284" width="6" style="1110" customWidth="1"/>
    <col min="11285" max="11285" width="1.5703125" style="1110" customWidth="1"/>
    <col min="11286" max="11286" width="11.140625" style="1110" customWidth="1"/>
    <col min="11287" max="11287" width="1" style="1110" customWidth="1"/>
    <col min="11288" max="11520" width="6.85546875" style="1110"/>
    <col min="11521" max="11521" width="4.85546875" style="1110" customWidth="1"/>
    <col min="11522" max="11522" width="5.140625" style="1110" customWidth="1"/>
    <col min="11523" max="11523" width="8.5703125" style="1110" customWidth="1"/>
    <col min="11524" max="11524" width="1" style="1110" customWidth="1"/>
    <col min="11525" max="11525" width="15.42578125" style="1110" customWidth="1"/>
    <col min="11526" max="11526" width="4.28515625" style="1110" customWidth="1"/>
    <col min="11527" max="11527" width="2" style="1110" customWidth="1"/>
    <col min="11528" max="11528" width="7.42578125" style="1110" customWidth="1"/>
    <col min="11529" max="11530" width="3.140625" style="1110" customWidth="1"/>
    <col min="11531" max="11531" width="11.140625" style="1110" customWidth="1"/>
    <col min="11532" max="11532" width="1.42578125" style="1110" customWidth="1"/>
    <col min="11533" max="11533" width="1.28515625" style="1110" customWidth="1"/>
    <col min="11534" max="11534" width="1.140625" style="1110" customWidth="1"/>
    <col min="11535" max="11535" width="4.5703125" style="1110" customWidth="1"/>
    <col min="11536" max="11536" width="3.85546875" style="1110" customWidth="1"/>
    <col min="11537" max="11537" width="1.5703125" style="1110" customWidth="1"/>
    <col min="11538" max="11538" width="3.28515625" style="1110" customWidth="1"/>
    <col min="11539" max="11539" width="2" style="1110" customWidth="1"/>
    <col min="11540" max="11540" width="6" style="1110" customWidth="1"/>
    <col min="11541" max="11541" width="1.5703125" style="1110" customWidth="1"/>
    <col min="11542" max="11542" width="11.140625" style="1110" customWidth="1"/>
    <col min="11543" max="11543" width="1" style="1110" customWidth="1"/>
    <col min="11544" max="11776" width="6.85546875" style="1110"/>
    <col min="11777" max="11777" width="4.85546875" style="1110" customWidth="1"/>
    <col min="11778" max="11778" width="5.140625" style="1110" customWidth="1"/>
    <col min="11779" max="11779" width="8.5703125" style="1110" customWidth="1"/>
    <col min="11780" max="11780" width="1" style="1110" customWidth="1"/>
    <col min="11781" max="11781" width="15.42578125" style="1110" customWidth="1"/>
    <col min="11782" max="11782" width="4.28515625" style="1110" customWidth="1"/>
    <col min="11783" max="11783" width="2" style="1110" customWidth="1"/>
    <col min="11784" max="11784" width="7.42578125" style="1110" customWidth="1"/>
    <col min="11785" max="11786" width="3.140625" style="1110" customWidth="1"/>
    <col min="11787" max="11787" width="11.140625" style="1110" customWidth="1"/>
    <col min="11788" max="11788" width="1.42578125" style="1110" customWidth="1"/>
    <col min="11789" max="11789" width="1.28515625" style="1110" customWidth="1"/>
    <col min="11790" max="11790" width="1.140625" style="1110" customWidth="1"/>
    <col min="11791" max="11791" width="4.5703125" style="1110" customWidth="1"/>
    <col min="11792" max="11792" width="3.85546875" style="1110" customWidth="1"/>
    <col min="11793" max="11793" width="1.5703125" style="1110" customWidth="1"/>
    <col min="11794" max="11794" width="3.28515625" style="1110" customWidth="1"/>
    <col min="11795" max="11795" width="2" style="1110" customWidth="1"/>
    <col min="11796" max="11796" width="6" style="1110" customWidth="1"/>
    <col min="11797" max="11797" width="1.5703125" style="1110" customWidth="1"/>
    <col min="11798" max="11798" width="11.140625" style="1110" customWidth="1"/>
    <col min="11799" max="11799" width="1" style="1110" customWidth="1"/>
    <col min="11800" max="12032" width="6.85546875" style="1110"/>
    <col min="12033" max="12033" width="4.85546875" style="1110" customWidth="1"/>
    <col min="12034" max="12034" width="5.140625" style="1110" customWidth="1"/>
    <col min="12035" max="12035" width="8.5703125" style="1110" customWidth="1"/>
    <col min="12036" max="12036" width="1" style="1110" customWidth="1"/>
    <col min="12037" max="12037" width="15.42578125" style="1110" customWidth="1"/>
    <col min="12038" max="12038" width="4.28515625" style="1110" customWidth="1"/>
    <col min="12039" max="12039" width="2" style="1110" customWidth="1"/>
    <col min="12040" max="12040" width="7.42578125" style="1110" customWidth="1"/>
    <col min="12041" max="12042" width="3.140625" style="1110" customWidth="1"/>
    <col min="12043" max="12043" width="11.140625" style="1110" customWidth="1"/>
    <col min="12044" max="12044" width="1.42578125" style="1110" customWidth="1"/>
    <col min="12045" max="12045" width="1.28515625" style="1110" customWidth="1"/>
    <col min="12046" max="12046" width="1.140625" style="1110" customWidth="1"/>
    <col min="12047" max="12047" width="4.5703125" style="1110" customWidth="1"/>
    <col min="12048" max="12048" width="3.85546875" style="1110" customWidth="1"/>
    <col min="12049" max="12049" width="1.5703125" style="1110" customWidth="1"/>
    <col min="12050" max="12050" width="3.28515625" style="1110" customWidth="1"/>
    <col min="12051" max="12051" width="2" style="1110" customWidth="1"/>
    <col min="12052" max="12052" width="6" style="1110" customWidth="1"/>
    <col min="12053" max="12053" width="1.5703125" style="1110" customWidth="1"/>
    <col min="12054" max="12054" width="11.140625" style="1110" customWidth="1"/>
    <col min="12055" max="12055" width="1" style="1110" customWidth="1"/>
    <col min="12056" max="12288" width="6.85546875" style="1110"/>
    <col min="12289" max="12289" width="4.85546875" style="1110" customWidth="1"/>
    <col min="12290" max="12290" width="5.140625" style="1110" customWidth="1"/>
    <col min="12291" max="12291" width="8.5703125" style="1110" customWidth="1"/>
    <col min="12292" max="12292" width="1" style="1110" customWidth="1"/>
    <col min="12293" max="12293" width="15.42578125" style="1110" customWidth="1"/>
    <col min="12294" max="12294" width="4.28515625" style="1110" customWidth="1"/>
    <col min="12295" max="12295" width="2" style="1110" customWidth="1"/>
    <col min="12296" max="12296" width="7.42578125" style="1110" customWidth="1"/>
    <col min="12297" max="12298" width="3.140625" style="1110" customWidth="1"/>
    <col min="12299" max="12299" width="11.140625" style="1110" customWidth="1"/>
    <col min="12300" max="12300" width="1.42578125" style="1110" customWidth="1"/>
    <col min="12301" max="12301" width="1.28515625" style="1110" customWidth="1"/>
    <col min="12302" max="12302" width="1.140625" style="1110" customWidth="1"/>
    <col min="12303" max="12303" width="4.5703125" style="1110" customWidth="1"/>
    <col min="12304" max="12304" width="3.85546875" style="1110" customWidth="1"/>
    <col min="12305" max="12305" width="1.5703125" style="1110" customWidth="1"/>
    <col min="12306" max="12306" width="3.28515625" style="1110" customWidth="1"/>
    <col min="12307" max="12307" width="2" style="1110" customWidth="1"/>
    <col min="12308" max="12308" width="6" style="1110" customWidth="1"/>
    <col min="12309" max="12309" width="1.5703125" style="1110" customWidth="1"/>
    <col min="12310" max="12310" width="11.140625" style="1110" customWidth="1"/>
    <col min="12311" max="12311" width="1" style="1110" customWidth="1"/>
    <col min="12312" max="12544" width="6.85546875" style="1110"/>
    <col min="12545" max="12545" width="4.85546875" style="1110" customWidth="1"/>
    <col min="12546" max="12546" width="5.140625" style="1110" customWidth="1"/>
    <col min="12547" max="12547" width="8.5703125" style="1110" customWidth="1"/>
    <col min="12548" max="12548" width="1" style="1110" customWidth="1"/>
    <col min="12549" max="12549" width="15.42578125" style="1110" customWidth="1"/>
    <col min="12550" max="12550" width="4.28515625" style="1110" customWidth="1"/>
    <col min="12551" max="12551" width="2" style="1110" customWidth="1"/>
    <col min="12552" max="12552" width="7.42578125" style="1110" customWidth="1"/>
    <col min="12553" max="12554" width="3.140625" style="1110" customWidth="1"/>
    <col min="12555" max="12555" width="11.140625" style="1110" customWidth="1"/>
    <col min="12556" max="12556" width="1.42578125" style="1110" customWidth="1"/>
    <col min="12557" max="12557" width="1.28515625" style="1110" customWidth="1"/>
    <col min="12558" max="12558" width="1.140625" style="1110" customWidth="1"/>
    <col min="12559" max="12559" width="4.5703125" style="1110" customWidth="1"/>
    <col min="12560" max="12560" width="3.85546875" style="1110" customWidth="1"/>
    <col min="12561" max="12561" width="1.5703125" style="1110" customWidth="1"/>
    <col min="12562" max="12562" width="3.28515625" style="1110" customWidth="1"/>
    <col min="12563" max="12563" width="2" style="1110" customWidth="1"/>
    <col min="12564" max="12564" width="6" style="1110" customWidth="1"/>
    <col min="12565" max="12565" width="1.5703125" style="1110" customWidth="1"/>
    <col min="12566" max="12566" width="11.140625" style="1110" customWidth="1"/>
    <col min="12567" max="12567" width="1" style="1110" customWidth="1"/>
    <col min="12568" max="12800" width="6.85546875" style="1110"/>
    <col min="12801" max="12801" width="4.85546875" style="1110" customWidth="1"/>
    <col min="12802" max="12802" width="5.140625" style="1110" customWidth="1"/>
    <col min="12803" max="12803" width="8.5703125" style="1110" customWidth="1"/>
    <col min="12804" max="12804" width="1" style="1110" customWidth="1"/>
    <col min="12805" max="12805" width="15.42578125" style="1110" customWidth="1"/>
    <col min="12806" max="12806" width="4.28515625" style="1110" customWidth="1"/>
    <col min="12807" max="12807" width="2" style="1110" customWidth="1"/>
    <col min="12808" max="12808" width="7.42578125" style="1110" customWidth="1"/>
    <col min="12809" max="12810" width="3.140625" style="1110" customWidth="1"/>
    <col min="12811" max="12811" width="11.140625" style="1110" customWidth="1"/>
    <col min="12812" max="12812" width="1.42578125" style="1110" customWidth="1"/>
    <col min="12813" max="12813" width="1.28515625" style="1110" customWidth="1"/>
    <col min="12814" max="12814" width="1.140625" style="1110" customWidth="1"/>
    <col min="12815" max="12815" width="4.5703125" style="1110" customWidth="1"/>
    <col min="12816" max="12816" width="3.85546875" style="1110" customWidth="1"/>
    <col min="12817" max="12817" width="1.5703125" style="1110" customWidth="1"/>
    <col min="12818" max="12818" width="3.28515625" style="1110" customWidth="1"/>
    <col min="12819" max="12819" width="2" style="1110" customWidth="1"/>
    <col min="12820" max="12820" width="6" style="1110" customWidth="1"/>
    <col min="12821" max="12821" width="1.5703125" style="1110" customWidth="1"/>
    <col min="12822" max="12822" width="11.140625" style="1110" customWidth="1"/>
    <col min="12823" max="12823" width="1" style="1110" customWidth="1"/>
    <col min="12824" max="13056" width="6.85546875" style="1110"/>
    <col min="13057" max="13057" width="4.85546875" style="1110" customWidth="1"/>
    <col min="13058" max="13058" width="5.140625" style="1110" customWidth="1"/>
    <col min="13059" max="13059" width="8.5703125" style="1110" customWidth="1"/>
    <col min="13060" max="13060" width="1" style="1110" customWidth="1"/>
    <col min="13061" max="13061" width="15.42578125" style="1110" customWidth="1"/>
    <col min="13062" max="13062" width="4.28515625" style="1110" customWidth="1"/>
    <col min="13063" max="13063" width="2" style="1110" customWidth="1"/>
    <col min="13064" max="13064" width="7.42578125" style="1110" customWidth="1"/>
    <col min="13065" max="13066" width="3.140625" style="1110" customWidth="1"/>
    <col min="13067" max="13067" width="11.140625" style="1110" customWidth="1"/>
    <col min="13068" max="13068" width="1.42578125" style="1110" customWidth="1"/>
    <col min="13069" max="13069" width="1.28515625" style="1110" customWidth="1"/>
    <col min="13070" max="13070" width="1.140625" style="1110" customWidth="1"/>
    <col min="13071" max="13071" width="4.5703125" style="1110" customWidth="1"/>
    <col min="13072" max="13072" width="3.85546875" style="1110" customWidth="1"/>
    <col min="13073" max="13073" width="1.5703125" style="1110" customWidth="1"/>
    <col min="13074" max="13074" width="3.28515625" style="1110" customWidth="1"/>
    <col min="13075" max="13075" width="2" style="1110" customWidth="1"/>
    <col min="13076" max="13076" width="6" style="1110" customWidth="1"/>
    <col min="13077" max="13077" width="1.5703125" style="1110" customWidth="1"/>
    <col min="13078" max="13078" width="11.140625" style="1110" customWidth="1"/>
    <col min="13079" max="13079" width="1" style="1110" customWidth="1"/>
    <col min="13080" max="13312" width="6.85546875" style="1110"/>
    <col min="13313" max="13313" width="4.85546875" style="1110" customWidth="1"/>
    <col min="13314" max="13314" width="5.140625" style="1110" customWidth="1"/>
    <col min="13315" max="13315" width="8.5703125" style="1110" customWidth="1"/>
    <col min="13316" max="13316" width="1" style="1110" customWidth="1"/>
    <col min="13317" max="13317" width="15.42578125" style="1110" customWidth="1"/>
    <col min="13318" max="13318" width="4.28515625" style="1110" customWidth="1"/>
    <col min="13319" max="13319" width="2" style="1110" customWidth="1"/>
    <col min="13320" max="13320" width="7.42578125" style="1110" customWidth="1"/>
    <col min="13321" max="13322" width="3.140625" style="1110" customWidth="1"/>
    <col min="13323" max="13323" width="11.140625" style="1110" customWidth="1"/>
    <col min="13324" max="13324" width="1.42578125" style="1110" customWidth="1"/>
    <col min="13325" max="13325" width="1.28515625" style="1110" customWidth="1"/>
    <col min="13326" max="13326" width="1.140625" style="1110" customWidth="1"/>
    <col min="13327" max="13327" width="4.5703125" style="1110" customWidth="1"/>
    <col min="13328" max="13328" width="3.85546875" style="1110" customWidth="1"/>
    <col min="13329" max="13329" width="1.5703125" style="1110" customWidth="1"/>
    <col min="13330" max="13330" width="3.28515625" style="1110" customWidth="1"/>
    <col min="13331" max="13331" width="2" style="1110" customWidth="1"/>
    <col min="13332" max="13332" width="6" style="1110" customWidth="1"/>
    <col min="13333" max="13333" width="1.5703125" style="1110" customWidth="1"/>
    <col min="13334" max="13334" width="11.140625" style="1110" customWidth="1"/>
    <col min="13335" max="13335" width="1" style="1110" customWidth="1"/>
    <col min="13336" max="13568" width="6.85546875" style="1110"/>
    <col min="13569" max="13569" width="4.85546875" style="1110" customWidth="1"/>
    <col min="13570" max="13570" width="5.140625" style="1110" customWidth="1"/>
    <col min="13571" max="13571" width="8.5703125" style="1110" customWidth="1"/>
    <col min="13572" max="13572" width="1" style="1110" customWidth="1"/>
    <col min="13573" max="13573" width="15.42578125" style="1110" customWidth="1"/>
    <col min="13574" max="13574" width="4.28515625" style="1110" customWidth="1"/>
    <col min="13575" max="13575" width="2" style="1110" customWidth="1"/>
    <col min="13576" max="13576" width="7.42578125" style="1110" customWidth="1"/>
    <col min="13577" max="13578" width="3.140625" style="1110" customWidth="1"/>
    <col min="13579" max="13579" width="11.140625" style="1110" customWidth="1"/>
    <col min="13580" max="13580" width="1.42578125" style="1110" customWidth="1"/>
    <col min="13581" max="13581" width="1.28515625" style="1110" customWidth="1"/>
    <col min="13582" max="13582" width="1.140625" style="1110" customWidth="1"/>
    <col min="13583" max="13583" width="4.5703125" style="1110" customWidth="1"/>
    <col min="13584" max="13584" width="3.85546875" style="1110" customWidth="1"/>
    <col min="13585" max="13585" width="1.5703125" style="1110" customWidth="1"/>
    <col min="13586" max="13586" width="3.28515625" style="1110" customWidth="1"/>
    <col min="13587" max="13587" width="2" style="1110" customWidth="1"/>
    <col min="13588" max="13588" width="6" style="1110" customWidth="1"/>
    <col min="13589" max="13589" width="1.5703125" style="1110" customWidth="1"/>
    <col min="13590" max="13590" width="11.140625" style="1110" customWidth="1"/>
    <col min="13591" max="13591" width="1" style="1110" customWidth="1"/>
    <col min="13592" max="13824" width="6.85546875" style="1110"/>
    <col min="13825" max="13825" width="4.85546875" style="1110" customWidth="1"/>
    <col min="13826" max="13826" width="5.140625" style="1110" customWidth="1"/>
    <col min="13827" max="13827" width="8.5703125" style="1110" customWidth="1"/>
    <col min="13828" max="13828" width="1" style="1110" customWidth="1"/>
    <col min="13829" max="13829" width="15.42578125" style="1110" customWidth="1"/>
    <col min="13830" max="13830" width="4.28515625" style="1110" customWidth="1"/>
    <col min="13831" max="13831" width="2" style="1110" customWidth="1"/>
    <col min="13832" max="13832" width="7.42578125" style="1110" customWidth="1"/>
    <col min="13833" max="13834" width="3.140625" style="1110" customWidth="1"/>
    <col min="13835" max="13835" width="11.140625" style="1110" customWidth="1"/>
    <col min="13836" max="13836" width="1.42578125" style="1110" customWidth="1"/>
    <col min="13837" max="13837" width="1.28515625" style="1110" customWidth="1"/>
    <col min="13838" max="13838" width="1.140625" style="1110" customWidth="1"/>
    <col min="13839" max="13839" width="4.5703125" style="1110" customWidth="1"/>
    <col min="13840" max="13840" width="3.85546875" style="1110" customWidth="1"/>
    <col min="13841" max="13841" width="1.5703125" style="1110" customWidth="1"/>
    <col min="13842" max="13842" width="3.28515625" style="1110" customWidth="1"/>
    <col min="13843" max="13843" width="2" style="1110" customWidth="1"/>
    <col min="13844" max="13844" width="6" style="1110" customWidth="1"/>
    <col min="13845" max="13845" width="1.5703125" style="1110" customWidth="1"/>
    <col min="13846" max="13846" width="11.140625" style="1110" customWidth="1"/>
    <col min="13847" max="13847" width="1" style="1110" customWidth="1"/>
    <col min="13848" max="14080" width="6.85546875" style="1110"/>
    <col min="14081" max="14081" width="4.85546875" style="1110" customWidth="1"/>
    <col min="14082" max="14082" width="5.140625" style="1110" customWidth="1"/>
    <col min="14083" max="14083" width="8.5703125" style="1110" customWidth="1"/>
    <col min="14084" max="14084" width="1" style="1110" customWidth="1"/>
    <col min="14085" max="14085" width="15.42578125" style="1110" customWidth="1"/>
    <col min="14086" max="14086" width="4.28515625" style="1110" customWidth="1"/>
    <col min="14087" max="14087" width="2" style="1110" customWidth="1"/>
    <col min="14088" max="14088" width="7.42578125" style="1110" customWidth="1"/>
    <col min="14089" max="14090" width="3.140625" style="1110" customWidth="1"/>
    <col min="14091" max="14091" width="11.140625" style="1110" customWidth="1"/>
    <col min="14092" max="14092" width="1.42578125" style="1110" customWidth="1"/>
    <col min="14093" max="14093" width="1.28515625" style="1110" customWidth="1"/>
    <col min="14094" max="14094" width="1.140625" style="1110" customWidth="1"/>
    <col min="14095" max="14095" width="4.5703125" style="1110" customWidth="1"/>
    <col min="14096" max="14096" width="3.85546875" style="1110" customWidth="1"/>
    <col min="14097" max="14097" width="1.5703125" style="1110" customWidth="1"/>
    <col min="14098" max="14098" width="3.28515625" style="1110" customWidth="1"/>
    <col min="14099" max="14099" width="2" style="1110" customWidth="1"/>
    <col min="14100" max="14100" width="6" style="1110" customWidth="1"/>
    <col min="14101" max="14101" width="1.5703125" style="1110" customWidth="1"/>
    <col min="14102" max="14102" width="11.140625" style="1110" customWidth="1"/>
    <col min="14103" max="14103" width="1" style="1110" customWidth="1"/>
    <col min="14104" max="14336" width="6.85546875" style="1110"/>
    <col min="14337" max="14337" width="4.85546875" style="1110" customWidth="1"/>
    <col min="14338" max="14338" width="5.140625" style="1110" customWidth="1"/>
    <col min="14339" max="14339" width="8.5703125" style="1110" customWidth="1"/>
    <col min="14340" max="14340" width="1" style="1110" customWidth="1"/>
    <col min="14341" max="14341" width="15.42578125" style="1110" customWidth="1"/>
    <col min="14342" max="14342" width="4.28515625" style="1110" customWidth="1"/>
    <col min="14343" max="14343" width="2" style="1110" customWidth="1"/>
    <col min="14344" max="14344" width="7.42578125" style="1110" customWidth="1"/>
    <col min="14345" max="14346" width="3.140625" style="1110" customWidth="1"/>
    <col min="14347" max="14347" width="11.140625" style="1110" customWidth="1"/>
    <col min="14348" max="14348" width="1.42578125" style="1110" customWidth="1"/>
    <col min="14349" max="14349" width="1.28515625" style="1110" customWidth="1"/>
    <col min="14350" max="14350" width="1.140625" style="1110" customWidth="1"/>
    <col min="14351" max="14351" width="4.5703125" style="1110" customWidth="1"/>
    <col min="14352" max="14352" width="3.85546875" style="1110" customWidth="1"/>
    <col min="14353" max="14353" width="1.5703125" style="1110" customWidth="1"/>
    <col min="14354" max="14354" width="3.28515625" style="1110" customWidth="1"/>
    <col min="14355" max="14355" width="2" style="1110" customWidth="1"/>
    <col min="14356" max="14356" width="6" style="1110" customWidth="1"/>
    <col min="14357" max="14357" width="1.5703125" style="1110" customWidth="1"/>
    <col min="14358" max="14358" width="11.140625" style="1110" customWidth="1"/>
    <col min="14359" max="14359" width="1" style="1110" customWidth="1"/>
    <col min="14360" max="14592" width="6.85546875" style="1110"/>
    <col min="14593" max="14593" width="4.85546875" style="1110" customWidth="1"/>
    <col min="14594" max="14594" width="5.140625" style="1110" customWidth="1"/>
    <col min="14595" max="14595" width="8.5703125" style="1110" customWidth="1"/>
    <col min="14596" max="14596" width="1" style="1110" customWidth="1"/>
    <col min="14597" max="14597" width="15.42578125" style="1110" customWidth="1"/>
    <col min="14598" max="14598" width="4.28515625" style="1110" customWidth="1"/>
    <col min="14599" max="14599" width="2" style="1110" customWidth="1"/>
    <col min="14600" max="14600" width="7.42578125" style="1110" customWidth="1"/>
    <col min="14601" max="14602" width="3.140625" style="1110" customWidth="1"/>
    <col min="14603" max="14603" width="11.140625" style="1110" customWidth="1"/>
    <col min="14604" max="14604" width="1.42578125" style="1110" customWidth="1"/>
    <col min="14605" max="14605" width="1.28515625" style="1110" customWidth="1"/>
    <col min="14606" max="14606" width="1.140625" style="1110" customWidth="1"/>
    <col min="14607" max="14607" width="4.5703125" style="1110" customWidth="1"/>
    <col min="14608" max="14608" width="3.85546875" style="1110" customWidth="1"/>
    <col min="14609" max="14609" width="1.5703125" style="1110" customWidth="1"/>
    <col min="14610" max="14610" width="3.28515625" style="1110" customWidth="1"/>
    <col min="14611" max="14611" width="2" style="1110" customWidth="1"/>
    <col min="14612" max="14612" width="6" style="1110" customWidth="1"/>
    <col min="14613" max="14613" width="1.5703125" style="1110" customWidth="1"/>
    <col min="14614" max="14614" width="11.140625" style="1110" customWidth="1"/>
    <col min="14615" max="14615" width="1" style="1110" customWidth="1"/>
    <col min="14616" max="14848" width="6.85546875" style="1110"/>
    <col min="14849" max="14849" width="4.85546875" style="1110" customWidth="1"/>
    <col min="14850" max="14850" width="5.140625" style="1110" customWidth="1"/>
    <col min="14851" max="14851" width="8.5703125" style="1110" customWidth="1"/>
    <col min="14852" max="14852" width="1" style="1110" customWidth="1"/>
    <col min="14853" max="14853" width="15.42578125" style="1110" customWidth="1"/>
    <col min="14854" max="14854" width="4.28515625" style="1110" customWidth="1"/>
    <col min="14855" max="14855" width="2" style="1110" customWidth="1"/>
    <col min="14856" max="14856" width="7.42578125" style="1110" customWidth="1"/>
    <col min="14857" max="14858" width="3.140625" style="1110" customWidth="1"/>
    <col min="14859" max="14859" width="11.140625" style="1110" customWidth="1"/>
    <col min="14860" max="14860" width="1.42578125" style="1110" customWidth="1"/>
    <col min="14861" max="14861" width="1.28515625" style="1110" customWidth="1"/>
    <col min="14862" max="14862" width="1.140625" style="1110" customWidth="1"/>
    <col min="14863" max="14863" width="4.5703125" style="1110" customWidth="1"/>
    <col min="14864" max="14864" width="3.85546875" style="1110" customWidth="1"/>
    <col min="14865" max="14865" width="1.5703125" style="1110" customWidth="1"/>
    <col min="14866" max="14866" width="3.28515625" style="1110" customWidth="1"/>
    <col min="14867" max="14867" width="2" style="1110" customWidth="1"/>
    <col min="14868" max="14868" width="6" style="1110" customWidth="1"/>
    <col min="14869" max="14869" width="1.5703125" style="1110" customWidth="1"/>
    <col min="14870" max="14870" width="11.140625" style="1110" customWidth="1"/>
    <col min="14871" max="14871" width="1" style="1110" customWidth="1"/>
    <col min="14872" max="15104" width="6.85546875" style="1110"/>
    <col min="15105" max="15105" width="4.85546875" style="1110" customWidth="1"/>
    <col min="15106" max="15106" width="5.140625" style="1110" customWidth="1"/>
    <col min="15107" max="15107" width="8.5703125" style="1110" customWidth="1"/>
    <col min="15108" max="15108" width="1" style="1110" customWidth="1"/>
    <col min="15109" max="15109" width="15.42578125" style="1110" customWidth="1"/>
    <col min="15110" max="15110" width="4.28515625" style="1110" customWidth="1"/>
    <col min="15111" max="15111" width="2" style="1110" customWidth="1"/>
    <col min="15112" max="15112" width="7.42578125" style="1110" customWidth="1"/>
    <col min="15113" max="15114" width="3.140625" style="1110" customWidth="1"/>
    <col min="15115" max="15115" width="11.140625" style="1110" customWidth="1"/>
    <col min="15116" max="15116" width="1.42578125" style="1110" customWidth="1"/>
    <col min="15117" max="15117" width="1.28515625" style="1110" customWidth="1"/>
    <col min="15118" max="15118" width="1.140625" style="1110" customWidth="1"/>
    <col min="15119" max="15119" width="4.5703125" style="1110" customWidth="1"/>
    <col min="15120" max="15120" width="3.85546875" style="1110" customWidth="1"/>
    <col min="15121" max="15121" width="1.5703125" style="1110" customWidth="1"/>
    <col min="15122" max="15122" width="3.28515625" style="1110" customWidth="1"/>
    <col min="15123" max="15123" width="2" style="1110" customWidth="1"/>
    <col min="15124" max="15124" width="6" style="1110" customWidth="1"/>
    <col min="15125" max="15125" width="1.5703125" style="1110" customWidth="1"/>
    <col min="15126" max="15126" width="11.140625" style="1110" customWidth="1"/>
    <col min="15127" max="15127" width="1" style="1110" customWidth="1"/>
    <col min="15128" max="15360" width="6.85546875" style="1110"/>
    <col min="15361" max="15361" width="4.85546875" style="1110" customWidth="1"/>
    <col min="15362" max="15362" width="5.140625" style="1110" customWidth="1"/>
    <col min="15363" max="15363" width="8.5703125" style="1110" customWidth="1"/>
    <col min="15364" max="15364" width="1" style="1110" customWidth="1"/>
    <col min="15365" max="15365" width="15.42578125" style="1110" customWidth="1"/>
    <col min="15366" max="15366" width="4.28515625" style="1110" customWidth="1"/>
    <col min="15367" max="15367" width="2" style="1110" customWidth="1"/>
    <col min="15368" max="15368" width="7.42578125" style="1110" customWidth="1"/>
    <col min="15369" max="15370" width="3.140625" style="1110" customWidth="1"/>
    <col min="15371" max="15371" width="11.140625" style="1110" customWidth="1"/>
    <col min="15372" max="15372" width="1.42578125" style="1110" customWidth="1"/>
    <col min="15373" max="15373" width="1.28515625" style="1110" customWidth="1"/>
    <col min="15374" max="15374" width="1.140625" style="1110" customWidth="1"/>
    <col min="15375" max="15375" width="4.5703125" style="1110" customWidth="1"/>
    <col min="15376" max="15376" width="3.85546875" style="1110" customWidth="1"/>
    <col min="15377" max="15377" width="1.5703125" style="1110" customWidth="1"/>
    <col min="15378" max="15378" width="3.28515625" style="1110" customWidth="1"/>
    <col min="15379" max="15379" width="2" style="1110" customWidth="1"/>
    <col min="15380" max="15380" width="6" style="1110" customWidth="1"/>
    <col min="15381" max="15381" width="1.5703125" style="1110" customWidth="1"/>
    <col min="15382" max="15382" width="11.140625" style="1110" customWidth="1"/>
    <col min="15383" max="15383" width="1" style="1110" customWidth="1"/>
    <col min="15384" max="15616" width="6.85546875" style="1110"/>
    <col min="15617" max="15617" width="4.85546875" style="1110" customWidth="1"/>
    <col min="15618" max="15618" width="5.140625" style="1110" customWidth="1"/>
    <col min="15619" max="15619" width="8.5703125" style="1110" customWidth="1"/>
    <col min="15620" max="15620" width="1" style="1110" customWidth="1"/>
    <col min="15621" max="15621" width="15.42578125" style="1110" customWidth="1"/>
    <col min="15622" max="15622" width="4.28515625" style="1110" customWidth="1"/>
    <col min="15623" max="15623" width="2" style="1110" customWidth="1"/>
    <col min="15624" max="15624" width="7.42578125" style="1110" customWidth="1"/>
    <col min="15625" max="15626" width="3.140625" style="1110" customWidth="1"/>
    <col min="15627" max="15627" width="11.140625" style="1110" customWidth="1"/>
    <col min="15628" max="15628" width="1.42578125" style="1110" customWidth="1"/>
    <col min="15629" max="15629" width="1.28515625" style="1110" customWidth="1"/>
    <col min="15630" max="15630" width="1.140625" style="1110" customWidth="1"/>
    <col min="15631" max="15631" width="4.5703125" style="1110" customWidth="1"/>
    <col min="15632" max="15632" width="3.85546875" style="1110" customWidth="1"/>
    <col min="15633" max="15633" width="1.5703125" style="1110" customWidth="1"/>
    <col min="15634" max="15634" width="3.28515625" style="1110" customWidth="1"/>
    <col min="15635" max="15635" width="2" style="1110" customWidth="1"/>
    <col min="15636" max="15636" width="6" style="1110" customWidth="1"/>
    <col min="15637" max="15637" width="1.5703125" style="1110" customWidth="1"/>
    <col min="15638" max="15638" width="11.140625" style="1110" customWidth="1"/>
    <col min="15639" max="15639" width="1" style="1110" customWidth="1"/>
    <col min="15640" max="15872" width="6.85546875" style="1110"/>
    <col min="15873" max="15873" width="4.85546875" style="1110" customWidth="1"/>
    <col min="15874" max="15874" width="5.140625" style="1110" customWidth="1"/>
    <col min="15875" max="15875" width="8.5703125" style="1110" customWidth="1"/>
    <col min="15876" max="15876" width="1" style="1110" customWidth="1"/>
    <col min="15877" max="15877" width="15.42578125" style="1110" customWidth="1"/>
    <col min="15878" max="15878" width="4.28515625" style="1110" customWidth="1"/>
    <col min="15879" max="15879" width="2" style="1110" customWidth="1"/>
    <col min="15880" max="15880" width="7.42578125" style="1110" customWidth="1"/>
    <col min="15881" max="15882" width="3.140625" style="1110" customWidth="1"/>
    <col min="15883" max="15883" width="11.140625" style="1110" customWidth="1"/>
    <col min="15884" max="15884" width="1.42578125" style="1110" customWidth="1"/>
    <col min="15885" max="15885" width="1.28515625" style="1110" customWidth="1"/>
    <col min="15886" max="15886" width="1.140625" style="1110" customWidth="1"/>
    <col min="15887" max="15887" width="4.5703125" style="1110" customWidth="1"/>
    <col min="15888" max="15888" width="3.85546875" style="1110" customWidth="1"/>
    <col min="15889" max="15889" width="1.5703125" style="1110" customWidth="1"/>
    <col min="15890" max="15890" width="3.28515625" style="1110" customWidth="1"/>
    <col min="15891" max="15891" width="2" style="1110" customWidth="1"/>
    <col min="15892" max="15892" width="6" style="1110" customWidth="1"/>
    <col min="15893" max="15893" width="1.5703125" style="1110" customWidth="1"/>
    <col min="15894" max="15894" width="11.140625" style="1110" customWidth="1"/>
    <col min="15895" max="15895" width="1" style="1110" customWidth="1"/>
    <col min="15896" max="16128" width="6.85546875" style="1110"/>
    <col min="16129" max="16129" width="4.85546875" style="1110" customWidth="1"/>
    <col min="16130" max="16130" width="5.140625" style="1110" customWidth="1"/>
    <col min="16131" max="16131" width="8.5703125" style="1110" customWidth="1"/>
    <col min="16132" max="16132" width="1" style="1110" customWidth="1"/>
    <col min="16133" max="16133" width="15.42578125" style="1110" customWidth="1"/>
    <col min="16134" max="16134" width="4.28515625" style="1110" customWidth="1"/>
    <col min="16135" max="16135" width="2" style="1110" customWidth="1"/>
    <col min="16136" max="16136" width="7.42578125" style="1110" customWidth="1"/>
    <col min="16137" max="16138" width="3.140625" style="1110" customWidth="1"/>
    <col min="16139" max="16139" width="11.140625" style="1110" customWidth="1"/>
    <col min="16140" max="16140" width="1.42578125" style="1110" customWidth="1"/>
    <col min="16141" max="16141" width="1.28515625" style="1110" customWidth="1"/>
    <col min="16142" max="16142" width="1.140625" style="1110" customWidth="1"/>
    <col min="16143" max="16143" width="4.5703125" style="1110" customWidth="1"/>
    <col min="16144" max="16144" width="3.85546875" style="1110" customWidth="1"/>
    <col min="16145" max="16145" width="1.5703125" style="1110" customWidth="1"/>
    <col min="16146" max="16146" width="3.28515625" style="1110" customWidth="1"/>
    <col min="16147" max="16147" width="2" style="1110" customWidth="1"/>
    <col min="16148" max="16148" width="6" style="1110" customWidth="1"/>
    <col min="16149" max="16149" width="1.5703125" style="1110" customWidth="1"/>
    <col min="16150" max="16150" width="11.140625" style="1110" customWidth="1"/>
    <col min="16151" max="16151" width="1" style="1110" customWidth="1"/>
    <col min="16152" max="16384" width="6.85546875" style="1110"/>
  </cols>
  <sheetData>
    <row r="1" spans="1:26" ht="12.75" hidden="1" customHeight="1" x14ac:dyDescent="0.25">
      <c r="A1" s="1419"/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</row>
    <row r="2" spans="1:26" ht="2.25" customHeight="1" x14ac:dyDescent="0.25">
      <c r="A2" s="1419"/>
      <c r="B2" s="1419"/>
      <c r="C2" s="1419"/>
      <c r="D2" s="1419"/>
      <c r="E2" s="1419"/>
      <c r="F2" s="1419"/>
      <c r="G2" s="1419"/>
      <c r="H2" s="1419"/>
      <c r="I2" s="1419"/>
      <c r="J2" s="1419"/>
      <c r="K2" s="1419"/>
      <c r="L2" s="1419"/>
      <c r="M2" s="1419"/>
      <c r="N2" s="1419"/>
      <c r="O2" s="1419"/>
      <c r="P2" s="1419"/>
      <c r="Q2" s="1419"/>
    </row>
    <row r="3" spans="1:26" ht="14.25" customHeight="1" x14ac:dyDescent="0.25">
      <c r="A3" s="1421" t="s">
        <v>11847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21"/>
      <c r="L3" s="1421"/>
      <c r="M3" s="1421"/>
      <c r="N3" s="1421"/>
      <c r="O3" s="1421"/>
      <c r="P3" s="1421"/>
      <c r="Q3" s="1421"/>
      <c r="R3" s="1421"/>
      <c r="S3" s="1421"/>
      <c r="T3" s="1421"/>
      <c r="U3" s="1421"/>
      <c r="V3" s="1421"/>
      <c r="W3" s="1421"/>
      <c r="X3" s="1119"/>
      <c r="Y3" s="1119"/>
      <c r="Z3" s="1119"/>
    </row>
    <row r="4" spans="1:26" ht="12" customHeight="1" x14ac:dyDescent="0.25">
      <c r="A4" s="1120"/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</row>
    <row r="5" spans="1:26" ht="10.5" customHeight="1" x14ac:dyDescent="0.25"/>
    <row r="6" spans="1:26" ht="12" customHeight="1" x14ac:dyDescent="0.25">
      <c r="A6" s="1422" t="s">
        <v>11848</v>
      </c>
      <c r="B6" s="1422"/>
      <c r="C6" s="1422"/>
      <c r="D6" s="1422"/>
      <c r="E6" s="1422"/>
      <c r="F6" s="1422"/>
      <c r="G6" s="1422"/>
      <c r="H6" s="1422"/>
      <c r="I6" s="1422"/>
      <c r="J6" s="1422"/>
      <c r="K6" s="1422"/>
      <c r="L6" s="1422"/>
      <c r="M6" s="1422"/>
      <c r="N6" s="1422"/>
      <c r="O6" s="1422"/>
      <c r="P6" s="1422"/>
      <c r="Q6" s="1422"/>
      <c r="R6" s="1422"/>
      <c r="S6" s="1422"/>
      <c r="T6" s="1422"/>
      <c r="U6" s="1422"/>
      <c r="V6" s="1422"/>
      <c r="W6" s="1422"/>
    </row>
    <row r="8" spans="1:26" ht="3.75" customHeight="1" x14ac:dyDescent="0.25"/>
    <row r="9" spans="1:26" ht="10.5" customHeight="1" x14ac:dyDescent="0.25">
      <c r="A9" s="1424" t="s">
        <v>11849</v>
      </c>
      <c r="B9" s="1424"/>
      <c r="C9" s="1424"/>
      <c r="D9" s="1424"/>
      <c r="E9" s="1424"/>
      <c r="F9" s="1424"/>
      <c r="G9" s="1424"/>
      <c r="H9" s="1424"/>
      <c r="I9" s="1424"/>
      <c r="J9" s="1424"/>
      <c r="K9" s="1423" t="s">
        <v>1982</v>
      </c>
      <c r="L9" s="1423"/>
      <c r="N9" s="1420" t="s">
        <v>1983</v>
      </c>
      <c r="O9" s="1420"/>
      <c r="P9" s="1420"/>
      <c r="R9" s="1420" t="s">
        <v>1984</v>
      </c>
      <c r="S9" s="1420"/>
      <c r="T9" s="1420"/>
      <c r="V9" s="1118" t="s">
        <v>1985</v>
      </c>
    </row>
    <row r="10" spans="1:26" ht="5.25" customHeight="1" x14ac:dyDescent="0.25"/>
    <row r="11" spans="1:26" ht="1.5" customHeight="1" x14ac:dyDescent="0.25"/>
    <row r="12" spans="1:26" ht="10.5" customHeight="1" x14ac:dyDescent="0.25">
      <c r="A12" s="1418" t="s">
        <v>1988</v>
      </c>
      <c r="B12" s="1418"/>
      <c r="C12" s="1418"/>
      <c r="E12" s="1418" t="s">
        <v>615</v>
      </c>
      <c r="F12" s="1418"/>
      <c r="G12" s="1418"/>
      <c r="H12" s="1418"/>
      <c r="I12" s="1418"/>
      <c r="J12" s="1418"/>
      <c r="K12" s="1417">
        <v>0</v>
      </c>
      <c r="L12" s="1417"/>
      <c r="N12" s="1417">
        <v>90945.22</v>
      </c>
      <c r="O12" s="1417"/>
      <c r="P12" s="1417"/>
      <c r="Q12" s="1417"/>
      <c r="R12" s="1417">
        <v>636338.67000000004</v>
      </c>
      <c r="S12" s="1417"/>
      <c r="T12" s="1417"/>
      <c r="V12" s="1417">
        <v>727283.89</v>
      </c>
      <c r="W12" s="1417"/>
    </row>
    <row r="13" spans="1:26" ht="12.75" hidden="1" customHeight="1" x14ac:dyDescent="0.25"/>
    <row r="14" spans="1:26" ht="12" customHeight="1" x14ac:dyDescent="0.25">
      <c r="A14" s="1418" t="s">
        <v>1989</v>
      </c>
      <c r="B14" s="1418"/>
      <c r="C14" s="1418"/>
      <c r="E14" s="1418" t="s">
        <v>11645</v>
      </c>
      <c r="F14" s="1418"/>
      <c r="G14" s="1418"/>
      <c r="H14" s="1418"/>
      <c r="I14" s="1418"/>
      <c r="J14" s="1418"/>
      <c r="K14" s="1417">
        <v>0</v>
      </c>
      <c r="L14" s="1417"/>
      <c r="N14" s="1417">
        <v>90945.22</v>
      </c>
      <c r="O14" s="1417"/>
      <c r="P14" s="1417"/>
      <c r="Q14" s="1417"/>
      <c r="R14" s="1417">
        <v>636338.67000000004</v>
      </c>
      <c r="S14" s="1417"/>
      <c r="T14" s="1417"/>
      <c r="V14" s="1417">
        <v>727283.89</v>
      </c>
      <c r="W14" s="1417"/>
    </row>
    <row r="15" spans="1:26" ht="1.5" customHeight="1" x14ac:dyDescent="0.25"/>
    <row r="16" spans="1:26" ht="11.25" customHeight="1" x14ac:dyDescent="0.25">
      <c r="A16" s="1418" t="s">
        <v>1990</v>
      </c>
      <c r="B16" s="1418"/>
      <c r="C16" s="1418"/>
      <c r="E16" s="1418" t="s">
        <v>11646</v>
      </c>
      <c r="F16" s="1418"/>
      <c r="G16" s="1418"/>
      <c r="H16" s="1418"/>
      <c r="I16" s="1418"/>
      <c r="J16" s="1418"/>
      <c r="K16" s="1417">
        <v>0</v>
      </c>
      <c r="L16" s="1417"/>
      <c r="N16" s="1417">
        <v>90945.22</v>
      </c>
      <c r="O16" s="1417"/>
      <c r="P16" s="1417"/>
      <c r="Q16" s="1417"/>
      <c r="R16" s="1417">
        <v>636338.67000000004</v>
      </c>
      <c r="S16" s="1417"/>
      <c r="T16" s="1417"/>
      <c r="V16" s="1417">
        <v>727283.89</v>
      </c>
      <c r="W16" s="1417"/>
    </row>
    <row r="17" spans="1:23" ht="5.25" customHeight="1" x14ac:dyDescent="0.25"/>
    <row r="18" spans="1:23" ht="1.5" customHeight="1" x14ac:dyDescent="0.25"/>
    <row r="19" spans="1:23" ht="10.5" customHeight="1" x14ac:dyDescent="0.25">
      <c r="A19" s="1418" t="s">
        <v>1991</v>
      </c>
      <c r="B19" s="1418"/>
      <c r="C19" s="1418"/>
      <c r="E19" s="1418" t="s">
        <v>11647</v>
      </c>
      <c r="F19" s="1418"/>
      <c r="G19" s="1418"/>
      <c r="H19" s="1418"/>
      <c r="I19" s="1418"/>
      <c r="J19" s="1418"/>
      <c r="K19" s="1417">
        <v>0</v>
      </c>
      <c r="L19" s="1417"/>
      <c r="N19" s="1417">
        <v>232216.11</v>
      </c>
      <c r="O19" s="1417"/>
      <c r="P19" s="1417"/>
      <c r="Q19" s="1417"/>
      <c r="R19" s="1417">
        <v>2685903.13</v>
      </c>
      <c r="S19" s="1417"/>
      <c r="T19" s="1417"/>
      <c r="V19" s="1417">
        <v>2918119.24</v>
      </c>
      <c r="W19" s="1417"/>
    </row>
    <row r="20" spans="1:23" ht="12.75" hidden="1" customHeight="1" x14ac:dyDescent="0.25"/>
    <row r="21" spans="1:23" ht="12" customHeight="1" x14ac:dyDescent="0.25">
      <c r="A21" s="1418" t="s">
        <v>1992</v>
      </c>
      <c r="B21" s="1418"/>
      <c r="C21" s="1418"/>
      <c r="E21" s="1418" t="s">
        <v>641</v>
      </c>
      <c r="F21" s="1418"/>
      <c r="G21" s="1418"/>
      <c r="H21" s="1418"/>
      <c r="I21" s="1418"/>
      <c r="J21" s="1418"/>
      <c r="K21" s="1417">
        <v>0</v>
      </c>
      <c r="L21" s="1417"/>
      <c r="N21" s="1417">
        <v>209760.73</v>
      </c>
      <c r="O21" s="1417"/>
      <c r="P21" s="1417"/>
      <c r="Q21" s="1417"/>
      <c r="R21" s="1417">
        <v>1878527.2</v>
      </c>
      <c r="S21" s="1417"/>
      <c r="T21" s="1417"/>
      <c r="V21" s="1417">
        <v>2088287.93</v>
      </c>
      <c r="W21" s="1417"/>
    </row>
    <row r="22" spans="1:23" ht="1.5" customHeight="1" x14ac:dyDescent="0.25"/>
    <row r="23" spans="1:23" ht="11.25" customHeight="1" x14ac:dyDescent="0.25">
      <c r="A23" s="1418" t="s">
        <v>1993</v>
      </c>
      <c r="B23" s="1418"/>
      <c r="C23" s="1418"/>
      <c r="E23" s="1418" t="s">
        <v>1973</v>
      </c>
      <c r="F23" s="1418"/>
      <c r="G23" s="1418"/>
      <c r="H23" s="1418"/>
      <c r="I23" s="1418"/>
      <c r="J23" s="1418"/>
      <c r="K23" s="1417">
        <v>0</v>
      </c>
      <c r="L23" s="1417"/>
      <c r="N23" s="1417">
        <v>209760.73</v>
      </c>
      <c r="O23" s="1417"/>
      <c r="P23" s="1417"/>
      <c r="Q23" s="1417"/>
      <c r="R23" s="1417">
        <v>1878527.2</v>
      </c>
      <c r="S23" s="1417"/>
      <c r="T23" s="1417"/>
      <c r="V23" s="1417">
        <v>2088287.93</v>
      </c>
      <c r="W23" s="1417"/>
    </row>
    <row r="24" spans="1:23" ht="12.75" hidden="1" customHeight="1" x14ac:dyDescent="0.25"/>
    <row r="25" spans="1:23" ht="12" customHeight="1" x14ac:dyDescent="0.25">
      <c r="A25" s="1418" t="s">
        <v>11648</v>
      </c>
      <c r="B25" s="1418"/>
      <c r="C25" s="1418"/>
      <c r="E25" s="1418" t="s">
        <v>642</v>
      </c>
      <c r="F25" s="1418"/>
      <c r="G25" s="1418"/>
      <c r="H25" s="1418"/>
      <c r="I25" s="1418"/>
      <c r="J25" s="1418"/>
      <c r="K25" s="1417">
        <v>0</v>
      </c>
      <c r="L25" s="1417"/>
      <c r="N25" s="1417">
        <v>22455.38</v>
      </c>
      <c r="O25" s="1417"/>
      <c r="P25" s="1417"/>
      <c r="Q25" s="1417"/>
      <c r="R25" s="1417">
        <v>676981.64</v>
      </c>
      <c r="S25" s="1417"/>
      <c r="T25" s="1417"/>
      <c r="V25" s="1417">
        <v>699437.02</v>
      </c>
      <c r="W25" s="1417"/>
    </row>
    <row r="26" spans="1:23" ht="1.5" customHeight="1" x14ac:dyDescent="0.25"/>
    <row r="27" spans="1:23" ht="11.25" customHeight="1" x14ac:dyDescent="0.25">
      <c r="A27" s="1418" t="s">
        <v>11649</v>
      </c>
      <c r="B27" s="1418"/>
      <c r="C27" s="1418"/>
      <c r="E27" s="1418" t="s">
        <v>1973</v>
      </c>
      <c r="F27" s="1418"/>
      <c r="G27" s="1418"/>
      <c r="H27" s="1418"/>
      <c r="I27" s="1418"/>
      <c r="J27" s="1418"/>
      <c r="K27" s="1417">
        <v>0</v>
      </c>
      <c r="L27" s="1417"/>
      <c r="N27" s="1417">
        <v>22455.38</v>
      </c>
      <c r="O27" s="1417"/>
      <c r="P27" s="1417"/>
      <c r="Q27" s="1417"/>
      <c r="R27" s="1417">
        <v>676981.64</v>
      </c>
      <c r="S27" s="1417"/>
      <c r="T27" s="1417"/>
      <c r="V27" s="1417">
        <v>699437.02</v>
      </c>
      <c r="W27" s="1417"/>
    </row>
    <row r="28" spans="1:23" ht="12.75" hidden="1" customHeight="1" x14ac:dyDescent="0.25"/>
    <row r="29" spans="1:23" ht="12" customHeight="1" x14ac:dyDescent="0.25">
      <c r="A29" s="1418" t="s">
        <v>11650</v>
      </c>
      <c r="B29" s="1418"/>
      <c r="C29" s="1418"/>
      <c r="E29" s="1418" t="s">
        <v>11651</v>
      </c>
      <c r="F29" s="1418"/>
      <c r="G29" s="1418"/>
      <c r="H29" s="1418"/>
      <c r="I29" s="1418"/>
      <c r="J29" s="1418"/>
      <c r="K29" s="1417">
        <v>0</v>
      </c>
      <c r="L29" s="1417"/>
      <c r="N29" s="1417">
        <v>0</v>
      </c>
      <c r="O29" s="1417"/>
      <c r="P29" s="1417"/>
      <c r="Q29" s="1417"/>
      <c r="R29" s="1417">
        <v>103567.34</v>
      </c>
      <c r="S29" s="1417"/>
      <c r="T29" s="1417"/>
      <c r="V29" s="1417">
        <v>103567.34</v>
      </c>
      <c r="W29" s="1417"/>
    </row>
    <row r="30" spans="1:23" ht="1.5" customHeight="1" x14ac:dyDescent="0.25"/>
    <row r="31" spans="1:23" ht="11.25" customHeight="1" x14ac:dyDescent="0.25">
      <c r="A31" s="1418" t="s">
        <v>11652</v>
      </c>
      <c r="B31" s="1418"/>
      <c r="C31" s="1418"/>
      <c r="E31" s="1418" t="s">
        <v>1973</v>
      </c>
      <c r="F31" s="1418"/>
      <c r="G31" s="1418"/>
      <c r="H31" s="1418"/>
      <c r="I31" s="1418"/>
      <c r="J31" s="1418"/>
      <c r="K31" s="1417">
        <v>0</v>
      </c>
      <c r="L31" s="1417"/>
      <c r="N31" s="1417">
        <v>0</v>
      </c>
      <c r="O31" s="1417"/>
      <c r="P31" s="1417"/>
      <c r="Q31" s="1417"/>
      <c r="R31" s="1417">
        <v>103567.34</v>
      </c>
      <c r="S31" s="1417"/>
      <c r="T31" s="1417"/>
      <c r="V31" s="1417">
        <v>103567.34</v>
      </c>
      <c r="W31" s="1417"/>
    </row>
    <row r="32" spans="1:23" ht="12.75" hidden="1" customHeight="1" x14ac:dyDescent="0.25"/>
    <row r="33" spans="1:23" ht="12" customHeight="1" x14ac:dyDescent="0.25">
      <c r="A33" s="1418" t="s">
        <v>11653</v>
      </c>
      <c r="B33" s="1418"/>
      <c r="C33" s="1418"/>
      <c r="E33" s="1418" t="s">
        <v>645</v>
      </c>
      <c r="F33" s="1418"/>
      <c r="G33" s="1418"/>
      <c r="H33" s="1418"/>
      <c r="I33" s="1418"/>
      <c r="J33" s="1418"/>
      <c r="K33" s="1417">
        <v>0</v>
      </c>
      <c r="L33" s="1417"/>
      <c r="N33" s="1417">
        <v>0</v>
      </c>
      <c r="O33" s="1417"/>
      <c r="P33" s="1417"/>
      <c r="Q33" s="1417"/>
      <c r="R33" s="1417">
        <v>19516.919999999998</v>
      </c>
      <c r="S33" s="1417"/>
      <c r="T33" s="1417"/>
      <c r="V33" s="1417">
        <v>19516.919999999998</v>
      </c>
      <c r="W33" s="1417"/>
    </row>
    <row r="34" spans="1:23" ht="1.5" customHeight="1" x14ac:dyDescent="0.25"/>
    <row r="35" spans="1:23" ht="11.25" customHeight="1" x14ac:dyDescent="0.25">
      <c r="A35" s="1418" t="s">
        <v>11654</v>
      </c>
      <c r="B35" s="1418"/>
      <c r="C35" s="1418"/>
      <c r="E35" s="1418" t="s">
        <v>1973</v>
      </c>
      <c r="F35" s="1418"/>
      <c r="G35" s="1418"/>
      <c r="H35" s="1418"/>
      <c r="I35" s="1418"/>
      <c r="J35" s="1418"/>
      <c r="K35" s="1417">
        <v>0</v>
      </c>
      <c r="L35" s="1417"/>
      <c r="N35" s="1417">
        <v>0</v>
      </c>
      <c r="O35" s="1417"/>
      <c r="P35" s="1417"/>
      <c r="Q35" s="1417"/>
      <c r="R35" s="1417">
        <v>19516.919999999998</v>
      </c>
      <c r="S35" s="1417"/>
      <c r="T35" s="1417"/>
      <c r="V35" s="1417">
        <v>19516.919999999998</v>
      </c>
      <c r="W35" s="1417"/>
    </row>
    <row r="36" spans="1:23" ht="12.75" hidden="1" customHeight="1" x14ac:dyDescent="0.25"/>
    <row r="37" spans="1:23" ht="12" customHeight="1" x14ac:dyDescent="0.25">
      <c r="A37" s="1418" t="s">
        <v>11655</v>
      </c>
      <c r="B37" s="1418"/>
      <c r="C37" s="1418"/>
      <c r="E37" s="1418" t="s">
        <v>2529</v>
      </c>
      <c r="F37" s="1418"/>
      <c r="G37" s="1418"/>
      <c r="H37" s="1418"/>
      <c r="I37" s="1418"/>
      <c r="J37" s="1418"/>
      <c r="K37" s="1417">
        <v>0</v>
      </c>
      <c r="L37" s="1417"/>
      <c r="N37" s="1417">
        <v>0</v>
      </c>
      <c r="O37" s="1417"/>
      <c r="P37" s="1417"/>
      <c r="Q37" s="1417"/>
      <c r="R37" s="1417">
        <v>7310.03</v>
      </c>
      <c r="S37" s="1417"/>
      <c r="T37" s="1417"/>
      <c r="V37" s="1417">
        <v>7310.03</v>
      </c>
      <c r="W37" s="1417"/>
    </row>
    <row r="38" spans="1:23" ht="1.5" customHeight="1" x14ac:dyDescent="0.25"/>
    <row r="39" spans="1:23" ht="11.25" customHeight="1" x14ac:dyDescent="0.25">
      <c r="A39" s="1418" t="s">
        <v>11656</v>
      </c>
      <c r="B39" s="1418"/>
      <c r="C39" s="1418"/>
      <c r="E39" s="1418" t="s">
        <v>1952</v>
      </c>
      <c r="F39" s="1418"/>
      <c r="G39" s="1418"/>
      <c r="H39" s="1418"/>
      <c r="I39" s="1418"/>
      <c r="J39" s="1418"/>
      <c r="K39" s="1417">
        <v>0</v>
      </c>
      <c r="L39" s="1417"/>
      <c r="N39" s="1417">
        <v>0</v>
      </c>
      <c r="O39" s="1417"/>
      <c r="P39" s="1417"/>
      <c r="Q39" s="1417"/>
      <c r="R39" s="1417">
        <v>7310.03</v>
      </c>
      <c r="S39" s="1417"/>
      <c r="T39" s="1417"/>
      <c r="V39" s="1417">
        <v>7310.03</v>
      </c>
      <c r="W39" s="1417"/>
    </row>
    <row r="40" spans="1:23" ht="5.25" customHeight="1" x14ac:dyDescent="0.25"/>
    <row r="41" spans="1:23" ht="1.5" customHeight="1" x14ac:dyDescent="0.25"/>
    <row r="42" spans="1:23" ht="10.5" customHeight="1" x14ac:dyDescent="0.25">
      <c r="A42" s="1418" t="s">
        <v>1994</v>
      </c>
      <c r="B42" s="1418"/>
      <c r="C42" s="1418"/>
      <c r="E42" s="1418" t="s">
        <v>619</v>
      </c>
      <c r="F42" s="1418"/>
      <c r="G42" s="1418"/>
      <c r="H42" s="1418"/>
      <c r="I42" s="1418"/>
      <c r="J42" s="1418"/>
      <c r="K42" s="1417">
        <v>0</v>
      </c>
      <c r="L42" s="1417"/>
      <c r="N42" s="1417">
        <v>4470.37</v>
      </c>
      <c r="O42" s="1417"/>
      <c r="P42" s="1417"/>
      <c r="Q42" s="1417"/>
      <c r="R42" s="1417">
        <v>1023973.64</v>
      </c>
      <c r="S42" s="1417"/>
      <c r="T42" s="1417"/>
      <c r="V42" s="1417">
        <v>1028444.01</v>
      </c>
      <c r="W42" s="1417"/>
    </row>
    <row r="43" spans="1:23" ht="12.75" hidden="1" customHeight="1" x14ac:dyDescent="0.25"/>
    <row r="44" spans="1:23" ht="12" customHeight="1" x14ac:dyDescent="0.25">
      <c r="A44" s="1418" t="s">
        <v>2042</v>
      </c>
      <c r="B44" s="1418"/>
      <c r="C44" s="1418"/>
      <c r="E44" s="1418" t="s">
        <v>641</v>
      </c>
      <c r="F44" s="1418"/>
      <c r="G44" s="1418"/>
      <c r="H44" s="1418"/>
      <c r="I44" s="1418"/>
      <c r="J44" s="1418"/>
      <c r="K44" s="1417">
        <v>0</v>
      </c>
      <c r="L44" s="1417"/>
      <c r="N44" s="1417">
        <v>4470.37</v>
      </c>
      <c r="O44" s="1417"/>
      <c r="P44" s="1417"/>
      <c r="Q44" s="1417"/>
      <c r="R44" s="1417">
        <v>530065.23</v>
      </c>
      <c r="S44" s="1417"/>
      <c r="T44" s="1417"/>
      <c r="V44" s="1417">
        <v>534535.6</v>
      </c>
      <c r="W44" s="1417"/>
    </row>
    <row r="45" spans="1:23" ht="1.5" customHeight="1" x14ac:dyDescent="0.25"/>
    <row r="46" spans="1:23" ht="11.25" customHeight="1" x14ac:dyDescent="0.25">
      <c r="A46" s="1418" t="s">
        <v>2043</v>
      </c>
      <c r="B46" s="1418"/>
      <c r="C46" s="1418"/>
      <c r="E46" s="1418" t="s">
        <v>2044</v>
      </c>
      <c r="F46" s="1418"/>
      <c r="G46" s="1418"/>
      <c r="H46" s="1418"/>
      <c r="I46" s="1418"/>
      <c r="J46" s="1418"/>
      <c r="K46" s="1417">
        <v>0</v>
      </c>
      <c r="L46" s="1417"/>
      <c r="N46" s="1417">
        <v>4470.37</v>
      </c>
      <c r="O46" s="1417"/>
      <c r="P46" s="1417"/>
      <c r="Q46" s="1417"/>
      <c r="R46" s="1417">
        <v>530065.23</v>
      </c>
      <c r="S46" s="1417"/>
      <c r="T46" s="1417"/>
      <c r="V46" s="1417">
        <v>534535.6</v>
      </c>
      <c r="W46" s="1417"/>
    </row>
    <row r="47" spans="1:23" ht="12.75" hidden="1" customHeight="1" x14ac:dyDescent="0.25"/>
    <row r="48" spans="1:23" ht="12" customHeight="1" x14ac:dyDescent="0.25">
      <c r="A48" s="1418" t="s">
        <v>11657</v>
      </c>
      <c r="B48" s="1418"/>
      <c r="C48" s="1418"/>
      <c r="E48" s="1418" t="s">
        <v>658</v>
      </c>
      <c r="F48" s="1418"/>
      <c r="G48" s="1418"/>
      <c r="H48" s="1418"/>
      <c r="I48" s="1418"/>
      <c r="J48" s="1418"/>
      <c r="K48" s="1417">
        <v>0</v>
      </c>
      <c r="L48" s="1417"/>
      <c r="N48" s="1417">
        <v>0</v>
      </c>
      <c r="O48" s="1417"/>
      <c r="P48" s="1417"/>
      <c r="Q48" s="1417"/>
      <c r="R48" s="1417">
        <v>2725.83</v>
      </c>
      <c r="S48" s="1417"/>
      <c r="T48" s="1417"/>
      <c r="V48" s="1417">
        <v>2725.83</v>
      </c>
      <c r="W48" s="1417"/>
    </row>
    <row r="49" spans="1:23" ht="1.5" customHeight="1" x14ac:dyDescent="0.25"/>
    <row r="50" spans="1:23" ht="11.25" customHeight="1" x14ac:dyDescent="0.25">
      <c r="A50" s="1418" t="s">
        <v>11658</v>
      </c>
      <c r="B50" s="1418"/>
      <c r="C50" s="1418"/>
      <c r="E50" s="1418" t="s">
        <v>2044</v>
      </c>
      <c r="F50" s="1418"/>
      <c r="G50" s="1418"/>
      <c r="H50" s="1418"/>
      <c r="I50" s="1418"/>
      <c r="J50" s="1418"/>
      <c r="K50" s="1417">
        <v>0</v>
      </c>
      <c r="L50" s="1417"/>
      <c r="N50" s="1417">
        <v>0</v>
      </c>
      <c r="O50" s="1417"/>
      <c r="P50" s="1417"/>
      <c r="Q50" s="1417"/>
      <c r="R50" s="1417">
        <v>2725.83</v>
      </c>
      <c r="S50" s="1417"/>
      <c r="T50" s="1417"/>
      <c r="V50" s="1417">
        <v>2725.83</v>
      </c>
      <c r="W50" s="1417"/>
    </row>
    <row r="51" spans="1:23" ht="12.75" hidden="1" customHeight="1" x14ac:dyDescent="0.25"/>
    <row r="52" spans="1:23" ht="12" customHeight="1" x14ac:dyDescent="0.25">
      <c r="A52" s="1418" t="s">
        <v>11659</v>
      </c>
      <c r="B52" s="1418"/>
      <c r="C52" s="1418"/>
      <c r="E52" s="1418" t="s">
        <v>657</v>
      </c>
      <c r="F52" s="1418"/>
      <c r="G52" s="1418"/>
      <c r="H52" s="1418"/>
      <c r="I52" s="1418"/>
      <c r="J52" s="1418"/>
      <c r="K52" s="1417">
        <v>0</v>
      </c>
      <c r="L52" s="1417"/>
      <c r="N52" s="1417">
        <v>0</v>
      </c>
      <c r="O52" s="1417"/>
      <c r="P52" s="1417"/>
      <c r="Q52" s="1417"/>
      <c r="R52" s="1417">
        <v>67206.679999999993</v>
      </c>
      <c r="S52" s="1417"/>
      <c r="T52" s="1417"/>
      <c r="V52" s="1417">
        <v>67206.679999999993</v>
      </c>
      <c r="W52" s="1417"/>
    </row>
    <row r="53" spans="1:23" ht="1.5" customHeight="1" x14ac:dyDescent="0.25"/>
    <row r="54" spans="1:23" ht="11.25" customHeight="1" x14ac:dyDescent="0.25">
      <c r="A54" s="1418" t="s">
        <v>11660</v>
      </c>
      <c r="B54" s="1418"/>
      <c r="C54" s="1418"/>
      <c r="E54" s="1418" t="s">
        <v>2044</v>
      </c>
      <c r="F54" s="1418"/>
      <c r="G54" s="1418"/>
      <c r="H54" s="1418"/>
      <c r="I54" s="1418"/>
      <c r="J54" s="1418"/>
      <c r="K54" s="1417">
        <v>0</v>
      </c>
      <c r="L54" s="1417"/>
      <c r="N54" s="1417">
        <v>0</v>
      </c>
      <c r="O54" s="1417"/>
      <c r="P54" s="1417"/>
      <c r="Q54" s="1417"/>
      <c r="R54" s="1417">
        <v>67206.679999999993</v>
      </c>
      <c r="S54" s="1417"/>
      <c r="T54" s="1417"/>
      <c r="V54" s="1417">
        <v>67206.679999999993</v>
      </c>
      <c r="W54" s="1417"/>
    </row>
    <row r="55" spans="1:23" ht="12.75" hidden="1" customHeight="1" x14ac:dyDescent="0.25"/>
    <row r="56" spans="1:23" ht="12" customHeight="1" x14ac:dyDescent="0.25">
      <c r="A56" s="1418" t="s">
        <v>2047</v>
      </c>
      <c r="B56" s="1418"/>
      <c r="C56" s="1418"/>
      <c r="E56" s="1418" t="s">
        <v>654</v>
      </c>
      <c r="F56" s="1418"/>
      <c r="G56" s="1418"/>
      <c r="H56" s="1418"/>
      <c r="I56" s="1418"/>
      <c r="J56" s="1418"/>
      <c r="K56" s="1417">
        <v>0</v>
      </c>
      <c r="L56" s="1417"/>
      <c r="N56" s="1417">
        <v>0</v>
      </c>
      <c r="O56" s="1417"/>
      <c r="P56" s="1417"/>
      <c r="Q56" s="1417"/>
      <c r="R56" s="1417">
        <v>137063</v>
      </c>
      <c r="S56" s="1417"/>
      <c r="T56" s="1417"/>
      <c r="V56" s="1417">
        <v>137063</v>
      </c>
      <c r="W56" s="1417"/>
    </row>
    <row r="57" spans="1:23" ht="1.5" customHeight="1" x14ac:dyDescent="0.25"/>
    <row r="58" spans="1:23" ht="11.25" customHeight="1" x14ac:dyDescent="0.25">
      <c r="A58" s="1418" t="s">
        <v>11661</v>
      </c>
      <c r="B58" s="1418"/>
      <c r="C58" s="1418"/>
      <c r="E58" s="1418" t="s">
        <v>1973</v>
      </c>
      <c r="F58" s="1418"/>
      <c r="G58" s="1418"/>
      <c r="H58" s="1418"/>
      <c r="I58" s="1418"/>
      <c r="J58" s="1418"/>
      <c r="K58" s="1417">
        <v>0</v>
      </c>
      <c r="L58" s="1417"/>
      <c r="N58" s="1417">
        <v>0</v>
      </c>
      <c r="O58" s="1417"/>
      <c r="P58" s="1417"/>
      <c r="Q58" s="1417"/>
      <c r="R58" s="1417">
        <v>125287.34</v>
      </c>
      <c r="S58" s="1417"/>
      <c r="T58" s="1417"/>
      <c r="V58" s="1417">
        <v>125287.34</v>
      </c>
      <c r="W58" s="1417"/>
    </row>
    <row r="59" spans="1:23" ht="1.5" customHeight="1" x14ac:dyDescent="0.25"/>
    <row r="60" spans="1:23" ht="11.25" customHeight="1" x14ac:dyDescent="0.25">
      <c r="A60" s="1418" t="s">
        <v>2048</v>
      </c>
      <c r="B60" s="1418"/>
      <c r="C60" s="1418"/>
      <c r="E60" s="1418" t="s">
        <v>2044</v>
      </c>
      <c r="F60" s="1418"/>
      <c r="G60" s="1418"/>
      <c r="H60" s="1418"/>
      <c r="I60" s="1418"/>
      <c r="J60" s="1418"/>
      <c r="K60" s="1417">
        <v>0</v>
      </c>
      <c r="L60" s="1417"/>
      <c r="N60" s="1417">
        <v>0</v>
      </c>
      <c r="O60" s="1417"/>
      <c r="P60" s="1417"/>
      <c r="Q60" s="1417"/>
      <c r="R60" s="1417">
        <v>11775.66</v>
      </c>
      <c r="S60" s="1417"/>
      <c r="T60" s="1417"/>
      <c r="V60" s="1417">
        <v>11775.66</v>
      </c>
      <c r="W60" s="1417"/>
    </row>
    <row r="61" spans="1:23" ht="12.75" hidden="1" customHeight="1" x14ac:dyDescent="0.25"/>
    <row r="62" spans="1:23" ht="12" customHeight="1" x14ac:dyDescent="0.25">
      <c r="A62" s="1418" t="s">
        <v>2045</v>
      </c>
      <c r="B62" s="1418"/>
      <c r="C62" s="1418"/>
      <c r="E62" s="1418" t="s">
        <v>655</v>
      </c>
      <c r="F62" s="1418"/>
      <c r="G62" s="1418"/>
      <c r="H62" s="1418"/>
      <c r="I62" s="1418"/>
      <c r="J62" s="1418"/>
      <c r="K62" s="1417">
        <v>0</v>
      </c>
      <c r="L62" s="1417"/>
      <c r="N62" s="1417">
        <v>0</v>
      </c>
      <c r="O62" s="1417"/>
      <c r="P62" s="1417"/>
      <c r="Q62" s="1417"/>
      <c r="R62" s="1417">
        <v>286912.90000000002</v>
      </c>
      <c r="S62" s="1417"/>
      <c r="T62" s="1417"/>
      <c r="V62" s="1417">
        <v>286912.90000000002</v>
      </c>
      <c r="W62" s="1417"/>
    </row>
    <row r="63" spans="1:23" ht="1.5" customHeight="1" x14ac:dyDescent="0.25"/>
    <row r="64" spans="1:23" ht="11.25" customHeight="1" x14ac:dyDescent="0.25">
      <c r="A64" s="1418" t="s">
        <v>2046</v>
      </c>
      <c r="B64" s="1418"/>
      <c r="C64" s="1418"/>
      <c r="E64" s="1418" t="s">
        <v>2044</v>
      </c>
      <c r="F64" s="1418"/>
      <c r="G64" s="1418"/>
      <c r="H64" s="1418"/>
      <c r="I64" s="1418"/>
      <c r="J64" s="1418"/>
      <c r="K64" s="1417">
        <v>0</v>
      </c>
      <c r="L64" s="1417"/>
      <c r="N64" s="1417">
        <v>0</v>
      </c>
      <c r="O64" s="1417"/>
      <c r="P64" s="1417"/>
      <c r="Q64" s="1417"/>
      <c r="R64" s="1417">
        <v>286912.90000000002</v>
      </c>
      <c r="S64" s="1417"/>
      <c r="T64" s="1417"/>
      <c r="V64" s="1417">
        <v>286912.90000000002</v>
      </c>
      <c r="W64" s="1417"/>
    </row>
    <row r="65" spans="1:23" ht="5.25" customHeight="1" x14ac:dyDescent="0.25"/>
    <row r="66" spans="1:23" ht="1.5" customHeight="1" x14ac:dyDescent="0.25"/>
    <row r="67" spans="1:23" ht="10.5" customHeight="1" x14ac:dyDescent="0.25">
      <c r="A67" s="1418" t="s">
        <v>2027</v>
      </c>
      <c r="B67" s="1418"/>
      <c r="C67" s="1418"/>
      <c r="E67" s="1418" t="s">
        <v>621</v>
      </c>
      <c r="F67" s="1418"/>
      <c r="G67" s="1418"/>
      <c r="H67" s="1418"/>
      <c r="I67" s="1418"/>
      <c r="J67" s="1418"/>
      <c r="K67" s="1417">
        <v>0</v>
      </c>
      <c r="L67" s="1417"/>
      <c r="N67" s="1417">
        <v>240409.26</v>
      </c>
      <c r="O67" s="1417"/>
      <c r="P67" s="1417"/>
      <c r="Q67" s="1417"/>
      <c r="R67" s="1417">
        <v>3897675.78</v>
      </c>
      <c r="S67" s="1417"/>
      <c r="T67" s="1417"/>
      <c r="V67" s="1417">
        <v>4138085.04</v>
      </c>
      <c r="W67" s="1417"/>
    </row>
    <row r="68" spans="1:23" ht="12.75" hidden="1" customHeight="1" x14ac:dyDescent="0.25"/>
    <row r="69" spans="1:23" ht="12" customHeight="1" x14ac:dyDescent="0.25">
      <c r="A69" s="1418" t="s">
        <v>11662</v>
      </c>
      <c r="B69" s="1418"/>
      <c r="C69" s="1418"/>
      <c r="E69" s="1418" t="s">
        <v>641</v>
      </c>
      <c r="F69" s="1418"/>
      <c r="G69" s="1418"/>
      <c r="H69" s="1418"/>
      <c r="I69" s="1418"/>
      <c r="J69" s="1418"/>
      <c r="K69" s="1417">
        <v>0</v>
      </c>
      <c r="L69" s="1417"/>
      <c r="N69" s="1417">
        <v>38379.65</v>
      </c>
      <c r="O69" s="1417"/>
      <c r="P69" s="1417"/>
      <c r="Q69" s="1417"/>
      <c r="R69" s="1417">
        <v>511100.56</v>
      </c>
      <c r="S69" s="1417"/>
      <c r="T69" s="1417"/>
      <c r="V69" s="1417">
        <v>549480.21</v>
      </c>
      <c r="W69" s="1417"/>
    </row>
    <row r="70" spans="1:23" ht="1.5" customHeight="1" x14ac:dyDescent="0.25"/>
    <row r="71" spans="1:23" ht="11.25" customHeight="1" x14ac:dyDescent="0.25">
      <c r="A71" s="1418" t="s">
        <v>11663</v>
      </c>
      <c r="B71" s="1418"/>
      <c r="C71" s="1418"/>
      <c r="E71" s="1418" t="s">
        <v>1976</v>
      </c>
      <c r="F71" s="1418"/>
      <c r="G71" s="1418"/>
      <c r="H71" s="1418"/>
      <c r="I71" s="1418"/>
      <c r="J71" s="1418"/>
      <c r="K71" s="1417">
        <v>0</v>
      </c>
      <c r="L71" s="1417"/>
      <c r="N71" s="1417">
        <v>38379.65</v>
      </c>
      <c r="O71" s="1417"/>
      <c r="P71" s="1417"/>
      <c r="Q71" s="1417"/>
      <c r="R71" s="1417">
        <v>511100.56</v>
      </c>
      <c r="S71" s="1417"/>
      <c r="T71" s="1417"/>
      <c r="V71" s="1417">
        <v>549480.21</v>
      </c>
      <c r="W71" s="1417"/>
    </row>
    <row r="72" spans="1:23" ht="12.75" hidden="1" customHeight="1" x14ac:dyDescent="0.25"/>
    <row r="73" spans="1:23" ht="12" customHeight="1" x14ac:dyDescent="0.25">
      <c r="A73" s="1418" t="s">
        <v>2028</v>
      </c>
      <c r="B73" s="1418"/>
      <c r="C73" s="1418"/>
      <c r="E73" s="1418" t="s">
        <v>667</v>
      </c>
      <c r="F73" s="1418"/>
      <c r="G73" s="1418"/>
      <c r="H73" s="1418"/>
      <c r="I73" s="1418"/>
      <c r="J73" s="1418"/>
      <c r="K73" s="1417">
        <v>0</v>
      </c>
      <c r="L73" s="1417"/>
      <c r="N73" s="1417">
        <v>202029.61</v>
      </c>
      <c r="O73" s="1417"/>
      <c r="P73" s="1417"/>
      <c r="Q73" s="1417"/>
      <c r="R73" s="1417">
        <v>3046658.47</v>
      </c>
      <c r="S73" s="1417"/>
      <c r="T73" s="1417"/>
      <c r="V73" s="1417">
        <v>3248688.08</v>
      </c>
      <c r="W73" s="1417"/>
    </row>
    <row r="74" spans="1:23" ht="1.5" customHeight="1" x14ac:dyDescent="0.25"/>
    <row r="75" spans="1:23" ht="11.25" customHeight="1" x14ac:dyDescent="0.25">
      <c r="A75" s="1418" t="s">
        <v>2029</v>
      </c>
      <c r="B75" s="1418"/>
      <c r="C75" s="1418"/>
      <c r="E75" s="1418" t="s">
        <v>1976</v>
      </c>
      <c r="F75" s="1418"/>
      <c r="G75" s="1418"/>
      <c r="H75" s="1418"/>
      <c r="I75" s="1418"/>
      <c r="J75" s="1418"/>
      <c r="K75" s="1417">
        <v>0</v>
      </c>
      <c r="L75" s="1417"/>
      <c r="N75" s="1417">
        <v>202029.61</v>
      </c>
      <c r="O75" s="1417"/>
      <c r="P75" s="1417"/>
      <c r="Q75" s="1417"/>
      <c r="R75" s="1417">
        <v>3046658.47</v>
      </c>
      <c r="S75" s="1417"/>
      <c r="T75" s="1417"/>
      <c r="V75" s="1417">
        <v>3248688.08</v>
      </c>
      <c r="W75" s="1417"/>
    </row>
    <row r="76" spans="1:23" ht="12.75" hidden="1" customHeight="1" x14ac:dyDescent="0.25"/>
    <row r="77" spans="1:23" ht="12" customHeight="1" x14ac:dyDescent="0.25">
      <c r="A77" s="1418" t="s">
        <v>11664</v>
      </c>
      <c r="B77" s="1418"/>
      <c r="C77" s="1418"/>
      <c r="E77" s="1418" t="s">
        <v>668</v>
      </c>
      <c r="F77" s="1418"/>
      <c r="G77" s="1418"/>
      <c r="H77" s="1418"/>
      <c r="I77" s="1418"/>
      <c r="J77" s="1418"/>
      <c r="K77" s="1417">
        <v>0</v>
      </c>
      <c r="L77" s="1417"/>
      <c r="N77" s="1417">
        <v>0</v>
      </c>
      <c r="O77" s="1417"/>
      <c r="P77" s="1417"/>
      <c r="Q77" s="1417"/>
      <c r="R77" s="1417">
        <v>94942.69</v>
      </c>
      <c r="S77" s="1417"/>
      <c r="T77" s="1417"/>
      <c r="V77" s="1417">
        <v>94942.69</v>
      </c>
      <c r="W77" s="1417"/>
    </row>
    <row r="78" spans="1:23" ht="1.5" customHeight="1" x14ac:dyDescent="0.25"/>
    <row r="79" spans="1:23" ht="11.25" customHeight="1" x14ac:dyDescent="0.25">
      <c r="A79" s="1418" t="s">
        <v>11665</v>
      </c>
      <c r="B79" s="1418"/>
      <c r="C79" s="1418"/>
      <c r="E79" s="1418" t="s">
        <v>1976</v>
      </c>
      <c r="F79" s="1418"/>
      <c r="G79" s="1418"/>
      <c r="H79" s="1418"/>
      <c r="I79" s="1418"/>
      <c r="J79" s="1418"/>
      <c r="K79" s="1417">
        <v>0</v>
      </c>
      <c r="L79" s="1417"/>
      <c r="N79" s="1417">
        <v>0</v>
      </c>
      <c r="O79" s="1417"/>
      <c r="P79" s="1417"/>
      <c r="Q79" s="1417"/>
      <c r="R79" s="1417">
        <v>94942.69</v>
      </c>
      <c r="S79" s="1417"/>
      <c r="T79" s="1417"/>
      <c r="V79" s="1417">
        <v>94942.69</v>
      </c>
      <c r="W79" s="1417"/>
    </row>
    <row r="80" spans="1:23" ht="12.75" hidden="1" customHeight="1" x14ac:dyDescent="0.25"/>
    <row r="81" spans="1:23" ht="12" customHeight="1" x14ac:dyDescent="0.25">
      <c r="A81" s="1418" t="s">
        <v>11666</v>
      </c>
      <c r="B81" s="1418"/>
      <c r="C81" s="1418"/>
      <c r="E81" s="1418" t="s">
        <v>663</v>
      </c>
      <c r="F81" s="1418"/>
      <c r="G81" s="1418"/>
      <c r="H81" s="1418"/>
      <c r="I81" s="1418"/>
      <c r="J81" s="1418"/>
      <c r="K81" s="1417">
        <v>0</v>
      </c>
      <c r="L81" s="1417"/>
      <c r="N81" s="1417">
        <v>0</v>
      </c>
      <c r="O81" s="1417"/>
      <c r="P81" s="1417"/>
      <c r="Q81" s="1417"/>
      <c r="R81" s="1417">
        <v>165921.20000000001</v>
      </c>
      <c r="S81" s="1417"/>
      <c r="T81" s="1417"/>
      <c r="V81" s="1417">
        <v>165921.20000000001</v>
      </c>
      <c r="W81" s="1417"/>
    </row>
    <row r="82" spans="1:23" ht="1.5" customHeight="1" x14ac:dyDescent="0.25"/>
    <row r="83" spans="1:23" ht="11.25" customHeight="1" x14ac:dyDescent="0.25">
      <c r="A83" s="1418" t="s">
        <v>11667</v>
      </c>
      <c r="B83" s="1418"/>
      <c r="C83" s="1418"/>
      <c r="E83" s="1418" t="s">
        <v>1976</v>
      </c>
      <c r="F83" s="1418"/>
      <c r="G83" s="1418"/>
      <c r="H83" s="1418"/>
      <c r="I83" s="1418"/>
      <c r="J83" s="1418"/>
      <c r="K83" s="1417">
        <v>0</v>
      </c>
      <c r="L83" s="1417"/>
      <c r="N83" s="1417">
        <v>0</v>
      </c>
      <c r="O83" s="1417"/>
      <c r="P83" s="1417"/>
      <c r="Q83" s="1417"/>
      <c r="R83" s="1417">
        <v>165921.20000000001</v>
      </c>
      <c r="S83" s="1417"/>
      <c r="T83" s="1417"/>
      <c r="V83" s="1417">
        <v>165921.20000000001</v>
      </c>
      <c r="W83" s="1417"/>
    </row>
    <row r="84" spans="1:23" ht="12.75" hidden="1" customHeight="1" x14ac:dyDescent="0.25"/>
    <row r="85" spans="1:23" ht="12" customHeight="1" x14ac:dyDescent="0.25">
      <c r="A85" s="1418" t="s">
        <v>11668</v>
      </c>
      <c r="B85" s="1418"/>
      <c r="C85" s="1418"/>
      <c r="E85" s="1418" t="s">
        <v>664</v>
      </c>
      <c r="F85" s="1418"/>
      <c r="G85" s="1418"/>
      <c r="H85" s="1418"/>
      <c r="I85" s="1418"/>
      <c r="J85" s="1418"/>
      <c r="K85" s="1417">
        <v>0</v>
      </c>
      <c r="L85" s="1417"/>
      <c r="N85" s="1417">
        <v>0</v>
      </c>
      <c r="O85" s="1417"/>
      <c r="P85" s="1417"/>
      <c r="Q85" s="1417"/>
      <c r="R85" s="1417">
        <v>11467.33</v>
      </c>
      <c r="S85" s="1417"/>
      <c r="T85" s="1417"/>
      <c r="V85" s="1417">
        <v>11467.33</v>
      </c>
      <c r="W85" s="1417"/>
    </row>
    <row r="86" spans="1:23" ht="1.5" customHeight="1" x14ac:dyDescent="0.25"/>
    <row r="87" spans="1:23" ht="11.25" customHeight="1" x14ac:dyDescent="0.25">
      <c r="A87" s="1418" t="s">
        <v>11669</v>
      </c>
      <c r="B87" s="1418"/>
      <c r="C87" s="1418"/>
      <c r="E87" s="1418" t="s">
        <v>1976</v>
      </c>
      <c r="F87" s="1418"/>
      <c r="G87" s="1418"/>
      <c r="H87" s="1418"/>
      <c r="I87" s="1418"/>
      <c r="J87" s="1418"/>
      <c r="K87" s="1417">
        <v>0</v>
      </c>
      <c r="L87" s="1417"/>
      <c r="N87" s="1417">
        <v>0</v>
      </c>
      <c r="O87" s="1417"/>
      <c r="P87" s="1417"/>
      <c r="Q87" s="1417"/>
      <c r="R87" s="1417">
        <v>11467.33</v>
      </c>
      <c r="S87" s="1417"/>
      <c r="T87" s="1417"/>
      <c r="V87" s="1417">
        <v>11467.33</v>
      </c>
      <c r="W87" s="1417"/>
    </row>
    <row r="88" spans="1:23" ht="12.75" hidden="1" customHeight="1" x14ac:dyDescent="0.25"/>
    <row r="89" spans="1:23" ht="12" customHeight="1" x14ac:dyDescent="0.25">
      <c r="A89" s="1418" t="s">
        <v>11670</v>
      </c>
      <c r="B89" s="1418"/>
      <c r="C89" s="1418"/>
      <c r="E89" s="1418" t="s">
        <v>665</v>
      </c>
      <c r="F89" s="1418"/>
      <c r="G89" s="1418"/>
      <c r="H89" s="1418"/>
      <c r="I89" s="1418"/>
      <c r="J89" s="1418"/>
      <c r="K89" s="1417">
        <v>0</v>
      </c>
      <c r="L89" s="1417"/>
      <c r="N89" s="1417">
        <v>0</v>
      </c>
      <c r="O89" s="1417"/>
      <c r="P89" s="1417"/>
      <c r="Q89" s="1417"/>
      <c r="R89" s="1417">
        <v>22470.48</v>
      </c>
      <c r="S89" s="1417"/>
      <c r="T89" s="1417"/>
      <c r="V89" s="1417">
        <v>22470.48</v>
      </c>
      <c r="W89" s="1417"/>
    </row>
    <row r="90" spans="1:23" ht="1.5" customHeight="1" x14ac:dyDescent="0.25"/>
    <row r="91" spans="1:23" ht="11.25" customHeight="1" x14ac:dyDescent="0.25">
      <c r="A91" s="1418" t="s">
        <v>11671</v>
      </c>
      <c r="B91" s="1418"/>
      <c r="C91" s="1418"/>
      <c r="E91" s="1418" t="s">
        <v>1976</v>
      </c>
      <c r="F91" s="1418"/>
      <c r="G91" s="1418"/>
      <c r="H91" s="1418"/>
      <c r="I91" s="1418"/>
      <c r="J91" s="1418"/>
      <c r="K91" s="1417">
        <v>0</v>
      </c>
      <c r="L91" s="1417"/>
      <c r="N91" s="1417">
        <v>0</v>
      </c>
      <c r="O91" s="1417"/>
      <c r="P91" s="1417"/>
      <c r="Q91" s="1417"/>
      <c r="R91" s="1417">
        <v>22470.48</v>
      </c>
      <c r="S91" s="1417"/>
      <c r="T91" s="1417"/>
      <c r="V91" s="1417">
        <v>22470.48</v>
      </c>
      <c r="W91" s="1417"/>
    </row>
    <row r="92" spans="1:23" ht="12.75" hidden="1" customHeight="1" x14ac:dyDescent="0.25"/>
    <row r="93" spans="1:23" ht="12" customHeight="1" x14ac:dyDescent="0.25">
      <c r="A93" s="1418" t="s">
        <v>11672</v>
      </c>
      <c r="B93" s="1418"/>
      <c r="C93" s="1418"/>
      <c r="E93" s="1418" t="s">
        <v>666</v>
      </c>
      <c r="F93" s="1418"/>
      <c r="G93" s="1418"/>
      <c r="H93" s="1418"/>
      <c r="I93" s="1418"/>
      <c r="J93" s="1418"/>
      <c r="K93" s="1417">
        <v>0</v>
      </c>
      <c r="L93" s="1417"/>
      <c r="N93" s="1417">
        <v>0</v>
      </c>
      <c r="O93" s="1417"/>
      <c r="P93" s="1417"/>
      <c r="Q93" s="1417"/>
      <c r="R93" s="1417">
        <v>45115.05</v>
      </c>
      <c r="S93" s="1417"/>
      <c r="T93" s="1417"/>
      <c r="V93" s="1417">
        <v>45115.05</v>
      </c>
      <c r="W93" s="1417"/>
    </row>
    <row r="94" spans="1:23" ht="1.5" customHeight="1" x14ac:dyDescent="0.25"/>
    <row r="95" spans="1:23" ht="11.25" customHeight="1" x14ac:dyDescent="0.25">
      <c r="A95" s="1418" t="s">
        <v>11673</v>
      </c>
      <c r="B95" s="1418"/>
      <c r="C95" s="1418"/>
      <c r="E95" s="1418" t="s">
        <v>1976</v>
      </c>
      <c r="F95" s="1418"/>
      <c r="G95" s="1418"/>
      <c r="H95" s="1418"/>
      <c r="I95" s="1418"/>
      <c r="J95" s="1418"/>
      <c r="K95" s="1417">
        <v>0</v>
      </c>
      <c r="L95" s="1417"/>
      <c r="N95" s="1417">
        <v>0</v>
      </c>
      <c r="O95" s="1417"/>
      <c r="P95" s="1417"/>
      <c r="Q95" s="1417"/>
      <c r="R95" s="1417">
        <v>45115.05</v>
      </c>
      <c r="S95" s="1417"/>
      <c r="T95" s="1417"/>
      <c r="V95" s="1417">
        <v>45115.05</v>
      </c>
      <c r="W95" s="1417"/>
    </row>
    <row r="96" spans="1:23" ht="5.25" customHeight="1" x14ac:dyDescent="0.25"/>
    <row r="97" spans="1:23" ht="1.5" customHeight="1" x14ac:dyDescent="0.25"/>
    <row r="98" spans="1:23" ht="10.5" customHeight="1" x14ac:dyDescent="0.25">
      <c r="A98" s="1418" t="s">
        <v>2008</v>
      </c>
      <c r="B98" s="1418"/>
      <c r="C98" s="1418"/>
      <c r="E98" s="1418" t="s">
        <v>623</v>
      </c>
      <c r="F98" s="1418"/>
      <c r="G98" s="1418"/>
      <c r="H98" s="1418"/>
      <c r="I98" s="1418"/>
      <c r="J98" s="1418"/>
      <c r="K98" s="1417">
        <v>0</v>
      </c>
      <c r="L98" s="1417"/>
      <c r="N98" s="1417">
        <v>176634.57</v>
      </c>
      <c r="O98" s="1417"/>
      <c r="P98" s="1417"/>
      <c r="Q98" s="1417"/>
      <c r="R98" s="1417">
        <v>5221737.57</v>
      </c>
      <c r="S98" s="1417"/>
      <c r="T98" s="1417"/>
      <c r="V98" s="1417">
        <v>5398372.1399999997</v>
      </c>
      <c r="W98" s="1417"/>
    </row>
    <row r="99" spans="1:23" ht="12.75" hidden="1" customHeight="1" x14ac:dyDescent="0.25"/>
    <row r="100" spans="1:23" ht="12" customHeight="1" x14ac:dyDescent="0.25">
      <c r="A100" s="1418" t="s">
        <v>2016</v>
      </c>
      <c r="B100" s="1418"/>
      <c r="C100" s="1418"/>
      <c r="E100" s="1418" t="s">
        <v>666</v>
      </c>
      <c r="F100" s="1418"/>
      <c r="G100" s="1418"/>
      <c r="H100" s="1418"/>
      <c r="I100" s="1418"/>
      <c r="J100" s="1418"/>
      <c r="K100" s="1417">
        <v>0</v>
      </c>
      <c r="L100" s="1417"/>
      <c r="N100" s="1417">
        <v>5580.86</v>
      </c>
      <c r="O100" s="1417"/>
      <c r="P100" s="1417"/>
      <c r="Q100" s="1417"/>
      <c r="R100" s="1417">
        <v>157410.12</v>
      </c>
      <c r="S100" s="1417"/>
      <c r="T100" s="1417"/>
      <c r="V100" s="1417">
        <v>162990.98000000001</v>
      </c>
      <c r="W100" s="1417"/>
    </row>
    <row r="101" spans="1:23" ht="1.5" customHeight="1" x14ac:dyDescent="0.25"/>
    <row r="102" spans="1:23" ht="11.25" customHeight="1" x14ac:dyDescent="0.25">
      <c r="A102" s="1418" t="s">
        <v>2017</v>
      </c>
      <c r="B102" s="1418"/>
      <c r="C102" s="1418"/>
      <c r="E102" s="1418" t="s">
        <v>1965</v>
      </c>
      <c r="F102" s="1418"/>
      <c r="G102" s="1418"/>
      <c r="H102" s="1418"/>
      <c r="I102" s="1418"/>
      <c r="J102" s="1418"/>
      <c r="K102" s="1417">
        <v>0</v>
      </c>
      <c r="L102" s="1417"/>
      <c r="N102" s="1417">
        <v>5580.86</v>
      </c>
      <c r="O102" s="1417"/>
      <c r="P102" s="1417"/>
      <c r="Q102" s="1417"/>
      <c r="R102" s="1417">
        <v>157410.12</v>
      </c>
      <c r="S102" s="1417"/>
      <c r="T102" s="1417"/>
      <c r="V102" s="1417">
        <v>162990.98000000001</v>
      </c>
      <c r="W102" s="1417"/>
    </row>
    <row r="103" spans="1:23" ht="12.75" hidden="1" customHeight="1" x14ac:dyDescent="0.25"/>
    <row r="104" spans="1:23" ht="12" customHeight="1" x14ac:dyDescent="0.25">
      <c r="A104" s="1418" t="s">
        <v>2009</v>
      </c>
      <c r="B104" s="1418"/>
      <c r="C104" s="1418"/>
      <c r="E104" s="1418" t="s">
        <v>677</v>
      </c>
      <c r="F104" s="1418"/>
      <c r="G104" s="1418"/>
      <c r="H104" s="1418"/>
      <c r="I104" s="1418"/>
      <c r="J104" s="1418"/>
      <c r="K104" s="1417">
        <v>0</v>
      </c>
      <c r="L104" s="1417"/>
      <c r="N104" s="1417">
        <v>168764</v>
      </c>
      <c r="O104" s="1417"/>
      <c r="P104" s="1417"/>
      <c r="Q104" s="1417"/>
      <c r="R104" s="1417">
        <v>3110982.02</v>
      </c>
      <c r="S104" s="1417"/>
      <c r="T104" s="1417"/>
      <c r="V104" s="1417">
        <v>3279746.02</v>
      </c>
      <c r="W104" s="1417"/>
    </row>
    <row r="105" spans="1:23" ht="1.5" customHeight="1" x14ac:dyDescent="0.25"/>
    <row r="106" spans="1:23" ht="11.25" customHeight="1" x14ac:dyDescent="0.25">
      <c r="A106" s="1418" t="s">
        <v>2010</v>
      </c>
      <c r="B106" s="1418"/>
      <c r="C106" s="1418"/>
      <c r="E106" s="1418" t="s">
        <v>11674</v>
      </c>
      <c r="F106" s="1418"/>
      <c r="G106" s="1418"/>
      <c r="H106" s="1418"/>
      <c r="I106" s="1418"/>
      <c r="J106" s="1418"/>
      <c r="K106" s="1417">
        <v>0</v>
      </c>
      <c r="L106" s="1417"/>
      <c r="N106" s="1417">
        <v>168764</v>
      </c>
      <c r="O106" s="1417"/>
      <c r="P106" s="1417"/>
      <c r="Q106" s="1417"/>
      <c r="R106" s="1417">
        <v>2882619.28</v>
      </c>
      <c r="S106" s="1417"/>
      <c r="T106" s="1417"/>
      <c r="V106" s="1417">
        <v>3051383.28</v>
      </c>
      <c r="W106" s="1417"/>
    </row>
    <row r="107" spans="1:23" ht="1.5" customHeight="1" x14ac:dyDescent="0.25"/>
    <row r="108" spans="1:23" ht="11.25" customHeight="1" x14ac:dyDescent="0.25">
      <c r="A108" s="1418" t="s">
        <v>11675</v>
      </c>
      <c r="B108" s="1418"/>
      <c r="C108" s="1418"/>
      <c r="E108" s="1418" t="s">
        <v>11676</v>
      </c>
      <c r="F108" s="1418"/>
      <c r="G108" s="1418"/>
      <c r="H108" s="1418"/>
      <c r="I108" s="1418"/>
      <c r="J108" s="1418"/>
      <c r="K108" s="1417">
        <v>0</v>
      </c>
      <c r="L108" s="1417"/>
      <c r="N108" s="1417">
        <v>0</v>
      </c>
      <c r="O108" s="1417"/>
      <c r="P108" s="1417"/>
      <c r="Q108" s="1417"/>
      <c r="R108" s="1417">
        <v>228362.74</v>
      </c>
      <c r="S108" s="1417"/>
      <c r="T108" s="1417"/>
      <c r="V108" s="1417">
        <v>228362.74</v>
      </c>
      <c r="W108" s="1417"/>
    </row>
    <row r="109" spans="1:23" ht="12.75" hidden="1" customHeight="1" x14ac:dyDescent="0.25"/>
    <row r="110" spans="1:23" ht="12" customHeight="1" x14ac:dyDescent="0.25">
      <c r="A110" s="1418" t="s">
        <v>2011</v>
      </c>
      <c r="B110" s="1418"/>
      <c r="C110" s="1418"/>
      <c r="E110" s="1418" t="s">
        <v>673</v>
      </c>
      <c r="F110" s="1418"/>
      <c r="G110" s="1418"/>
      <c r="H110" s="1418"/>
      <c r="I110" s="1418"/>
      <c r="J110" s="1418"/>
      <c r="K110" s="1417">
        <v>0</v>
      </c>
      <c r="L110" s="1417"/>
      <c r="N110" s="1417">
        <v>2289.71</v>
      </c>
      <c r="O110" s="1417"/>
      <c r="P110" s="1417"/>
      <c r="Q110" s="1417"/>
      <c r="R110" s="1417">
        <v>543656.73</v>
      </c>
      <c r="S110" s="1417"/>
      <c r="T110" s="1417"/>
      <c r="V110" s="1417">
        <v>545946.43999999994</v>
      </c>
      <c r="W110" s="1417"/>
    </row>
    <row r="111" spans="1:23" ht="1.5" customHeight="1" x14ac:dyDescent="0.25"/>
    <row r="112" spans="1:23" ht="11.25" customHeight="1" x14ac:dyDescent="0.25">
      <c r="A112" s="1418" t="s">
        <v>2012</v>
      </c>
      <c r="B112" s="1418"/>
      <c r="C112" s="1418"/>
      <c r="E112" s="1418" t="s">
        <v>11674</v>
      </c>
      <c r="F112" s="1418"/>
      <c r="G112" s="1418"/>
      <c r="H112" s="1418"/>
      <c r="I112" s="1418"/>
      <c r="J112" s="1418"/>
      <c r="K112" s="1417">
        <v>0</v>
      </c>
      <c r="L112" s="1417"/>
      <c r="N112" s="1417">
        <v>2289.71</v>
      </c>
      <c r="O112" s="1417"/>
      <c r="P112" s="1417"/>
      <c r="Q112" s="1417"/>
      <c r="R112" s="1417">
        <v>543656.73</v>
      </c>
      <c r="S112" s="1417"/>
      <c r="T112" s="1417"/>
      <c r="V112" s="1417">
        <v>545946.43999999994</v>
      </c>
      <c r="W112" s="1417"/>
    </row>
    <row r="113" spans="1:23" ht="12.75" hidden="1" customHeight="1" x14ac:dyDescent="0.25"/>
    <row r="114" spans="1:23" ht="12" customHeight="1" x14ac:dyDescent="0.25">
      <c r="A114" s="1418" t="s">
        <v>2013</v>
      </c>
      <c r="B114" s="1418"/>
      <c r="C114" s="1418"/>
      <c r="E114" s="1418" t="s">
        <v>674</v>
      </c>
      <c r="F114" s="1418"/>
      <c r="G114" s="1418"/>
      <c r="H114" s="1418"/>
      <c r="I114" s="1418"/>
      <c r="J114" s="1418"/>
      <c r="K114" s="1417">
        <v>0</v>
      </c>
      <c r="L114" s="1417"/>
      <c r="N114" s="1417">
        <v>0</v>
      </c>
      <c r="O114" s="1417"/>
      <c r="P114" s="1417"/>
      <c r="Q114" s="1417"/>
      <c r="R114" s="1417">
        <v>125933.36</v>
      </c>
      <c r="S114" s="1417"/>
      <c r="T114" s="1417"/>
      <c r="V114" s="1417">
        <v>125933.36</v>
      </c>
      <c r="W114" s="1417"/>
    </row>
    <row r="115" spans="1:23" ht="1.5" customHeight="1" x14ac:dyDescent="0.25"/>
    <row r="116" spans="1:23" ht="11.25" customHeight="1" x14ac:dyDescent="0.25">
      <c r="A116" s="1418" t="s">
        <v>2014</v>
      </c>
      <c r="B116" s="1418"/>
      <c r="C116" s="1418"/>
      <c r="E116" s="1418" t="s">
        <v>11674</v>
      </c>
      <c r="F116" s="1418"/>
      <c r="G116" s="1418"/>
      <c r="H116" s="1418"/>
      <c r="I116" s="1418"/>
      <c r="J116" s="1418"/>
      <c r="K116" s="1417">
        <v>0</v>
      </c>
      <c r="L116" s="1417"/>
      <c r="N116" s="1417">
        <v>0</v>
      </c>
      <c r="O116" s="1417"/>
      <c r="P116" s="1417"/>
      <c r="Q116" s="1417"/>
      <c r="R116" s="1417">
        <v>125933.36</v>
      </c>
      <c r="S116" s="1417"/>
      <c r="T116" s="1417"/>
      <c r="V116" s="1417">
        <v>125933.36</v>
      </c>
      <c r="W116" s="1417"/>
    </row>
    <row r="117" spans="1:23" ht="12.75" hidden="1" customHeight="1" x14ac:dyDescent="0.25"/>
    <row r="118" spans="1:23" ht="12" customHeight="1" x14ac:dyDescent="0.25">
      <c r="A118" s="1418" t="s">
        <v>11677</v>
      </c>
      <c r="B118" s="1418"/>
      <c r="C118" s="1418"/>
      <c r="E118" s="1418" t="s">
        <v>38</v>
      </c>
      <c r="F118" s="1418"/>
      <c r="G118" s="1418"/>
      <c r="H118" s="1418"/>
      <c r="I118" s="1418"/>
      <c r="J118" s="1418"/>
      <c r="K118" s="1417">
        <v>0</v>
      </c>
      <c r="L118" s="1417"/>
      <c r="N118" s="1417">
        <v>0</v>
      </c>
      <c r="O118" s="1417"/>
      <c r="P118" s="1417"/>
      <c r="Q118" s="1417"/>
      <c r="R118" s="1417">
        <v>137311.13</v>
      </c>
      <c r="S118" s="1417"/>
      <c r="T118" s="1417"/>
      <c r="V118" s="1417">
        <v>137311.13</v>
      </c>
      <c r="W118" s="1417"/>
    </row>
    <row r="119" spans="1:23" ht="1.5" customHeight="1" x14ac:dyDescent="0.25"/>
    <row r="120" spans="1:23" ht="11.25" customHeight="1" x14ac:dyDescent="0.25">
      <c r="A120" s="1418" t="s">
        <v>11678</v>
      </c>
      <c r="B120" s="1418"/>
      <c r="C120" s="1418"/>
      <c r="E120" s="1418" t="s">
        <v>11674</v>
      </c>
      <c r="F120" s="1418"/>
      <c r="G120" s="1418"/>
      <c r="H120" s="1418"/>
      <c r="I120" s="1418"/>
      <c r="J120" s="1418"/>
      <c r="K120" s="1417">
        <v>0</v>
      </c>
      <c r="L120" s="1417"/>
      <c r="N120" s="1417">
        <v>0</v>
      </c>
      <c r="O120" s="1417"/>
      <c r="P120" s="1417"/>
      <c r="Q120" s="1417"/>
      <c r="R120" s="1417">
        <v>137311.13</v>
      </c>
      <c r="S120" s="1417"/>
      <c r="T120" s="1417"/>
      <c r="V120" s="1417">
        <v>137311.13</v>
      </c>
      <c r="W120" s="1417"/>
    </row>
    <row r="121" spans="1:23" ht="12.75" hidden="1" customHeight="1" x14ac:dyDescent="0.25"/>
    <row r="122" spans="1:23" ht="12" customHeight="1" x14ac:dyDescent="0.25">
      <c r="A122" s="1418" t="s">
        <v>2015</v>
      </c>
      <c r="B122" s="1418"/>
      <c r="C122" s="1418"/>
      <c r="E122" s="1418" t="s">
        <v>675</v>
      </c>
      <c r="F122" s="1418"/>
      <c r="G122" s="1418"/>
      <c r="H122" s="1418"/>
      <c r="I122" s="1418"/>
      <c r="J122" s="1418"/>
      <c r="K122" s="1417">
        <v>0</v>
      </c>
      <c r="L122" s="1417"/>
      <c r="N122" s="1417">
        <v>0</v>
      </c>
      <c r="O122" s="1417"/>
      <c r="P122" s="1417"/>
      <c r="Q122" s="1417"/>
      <c r="R122" s="1417">
        <v>1146444.21</v>
      </c>
      <c r="S122" s="1417"/>
      <c r="T122" s="1417"/>
      <c r="V122" s="1417">
        <v>1146444.21</v>
      </c>
      <c r="W122" s="1417"/>
    </row>
    <row r="123" spans="1:23" ht="1.5" customHeight="1" x14ac:dyDescent="0.25"/>
    <row r="124" spans="1:23" ht="11.25" customHeight="1" x14ac:dyDescent="0.25">
      <c r="A124" s="1418" t="s">
        <v>11679</v>
      </c>
      <c r="B124" s="1418"/>
      <c r="C124" s="1418"/>
      <c r="E124" s="1418" t="s">
        <v>11676</v>
      </c>
      <c r="F124" s="1418"/>
      <c r="G124" s="1418"/>
      <c r="H124" s="1418"/>
      <c r="I124" s="1418"/>
      <c r="J124" s="1418"/>
      <c r="K124" s="1417">
        <v>0</v>
      </c>
      <c r="L124" s="1417"/>
      <c r="N124" s="1417">
        <v>0</v>
      </c>
      <c r="O124" s="1417"/>
      <c r="P124" s="1417"/>
      <c r="Q124" s="1417"/>
      <c r="R124" s="1417">
        <v>459867.35</v>
      </c>
      <c r="S124" s="1417"/>
      <c r="T124" s="1417"/>
      <c r="V124" s="1417">
        <v>459867.35</v>
      </c>
      <c r="W124" s="1417"/>
    </row>
    <row r="125" spans="1:23" ht="1.5" customHeight="1" x14ac:dyDescent="0.25"/>
    <row r="126" spans="1:23" ht="11.25" customHeight="1" x14ac:dyDescent="0.25">
      <c r="A126" s="1418" t="s">
        <v>11680</v>
      </c>
      <c r="B126" s="1418"/>
      <c r="C126" s="1418"/>
      <c r="E126" s="1418" t="s">
        <v>11681</v>
      </c>
      <c r="F126" s="1418"/>
      <c r="G126" s="1418"/>
      <c r="H126" s="1418"/>
      <c r="I126" s="1418"/>
      <c r="J126" s="1418"/>
      <c r="K126" s="1417">
        <v>0</v>
      </c>
      <c r="L126" s="1417"/>
      <c r="N126" s="1417">
        <v>0</v>
      </c>
      <c r="O126" s="1417"/>
      <c r="P126" s="1417"/>
      <c r="Q126" s="1417"/>
      <c r="R126" s="1417">
        <v>88341.64</v>
      </c>
      <c r="S126" s="1417"/>
      <c r="T126" s="1417"/>
      <c r="V126" s="1417">
        <v>88341.64</v>
      </c>
      <c r="W126" s="1417"/>
    </row>
    <row r="127" spans="1:23" ht="1.5" customHeight="1" x14ac:dyDescent="0.25"/>
    <row r="128" spans="1:23" ht="11.25" customHeight="1" x14ac:dyDescent="0.25">
      <c r="A128" s="1418" t="s">
        <v>11682</v>
      </c>
      <c r="B128" s="1418"/>
      <c r="C128" s="1418"/>
      <c r="E128" s="1418" t="s">
        <v>11683</v>
      </c>
      <c r="F128" s="1418"/>
      <c r="G128" s="1418"/>
      <c r="H128" s="1418"/>
      <c r="I128" s="1418"/>
      <c r="J128" s="1418"/>
      <c r="K128" s="1417">
        <v>0</v>
      </c>
      <c r="L128" s="1417"/>
      <c r="N128" s="1417">
        <v>0</v>
      </c>
      <c r="O128" s="1417"/>
      <c r="P128" s="1417"/>
      <c r="Q128" s="1417"/>
      <c r="R128" s="1417">
        <v>13129.44</v>
      </c>
      <c r="S128" s="1417"/>
      <c r="T128" s="1417"/>
      <c r="V128" s="1417">
        <v>13129.44</v>
      </c>
      <c r="W128" s="1417"/>
    </row>
    <row r="129" spans="1:23" ht="1.5" customHeight="1" x14ac:dyDescent="0.25"/>
    <row r="130" spans="1:23" ht="11.25" customHeight="1" x14ac:dyDescent="0.25">
      <c r="A130" s="1418" t="s">
        <v>11684</v>
      </c>
      <c r="B130" s="1418"/>
      <c r="C130" s="1418"/>
      <c r="E130" s="1418" t="s">
        <v>11685</v>
      </c>
      <c r="F130" s="1418"/>
      <c r="G130" s="1418"/>
      <c r="H130" s="1418"/>
      <c r="I130" s="1418"/>
      <c r="J130" s="1418"/>
      <c r="K130" s="1417">
        <v>0</v>
      </c>
      <c r="L130" s="1417"/>
      <c r="N130" s="1417">
        <v>0</v>
      </c>
      <c r="O130" s="1417"/>
      <c r="P130" s="1417"/>
      <c r="Q130" s="1417"/>
      <c r="R130" s="1417">
        <v>10744.69</v>
      </c>
      <c r="S130" s="1417"/>
      <c r="T130" s="1417"/>
      <c r="V130" s="1417">
        <v>10744.69</v>
      </c>
      <c r="W130" s="1417"/>
    </row>
    <row r="131" spans="1:23" ht="1.5" customHeight="1" x14ac:dyDescent="0.25"/>
    <row r="132" spans="1:23" ht="11.25" customHeight="1" x14ac:dyDescent="0.25">
      <c r="A132" s="1418" t="s">
        <v>11686</v>
      </c>
      <c r="B132" s="1418"/>
      <c r="C132" s="1418"/>
      <c r="E132" s="1418" t="s">
        <v>11687</v>
      </c>
      <c r="F132" s="1418"/>
      <c r="G132" s="1418"/>
      <c r="H132" s="1418"/>
      <c r="I132" s="1418"/>
      <c r="J132" s="1418"/>
      <c r="K132" s="1417">
        <v>0</v>
      </c>
      <c r="L132" s="1417"/>
      <c r="N132" s="1417">
        <v>0</v>
      </c>
      <c r="O132" s="1417"/>
      <c r="P132" s="1417"/>
      <c r="Q132" s="1417"/>
      <c r="R132" s="1417">
        <v>13342.47</v>
      </c>
      <c r="S132" s="1417"/>
      <c r="T132" s="1417"/>
      <c r="V132" s="1417">
        <v>13342.47</v>
      </c>
      <c r="W132" s="1417"/>
    </row>
    <row r="133" spans="1:23" ht="1.5" customHeight="1" x14ac:dyDescent="0.25"/>
    <row r="134" spans="1:23" ht="11.25" customHeight="1" x14ac:dyDescent="0.25">
      <c r="A134" s="1418" t="s">
        <v>11688</v>
      </c>
      <c r="B134" s="1418"/>
      <c r="C134" s="1418"/>
      <c r="E134" s="1418" t="s">
        <v>11689</v>
      </c>
      <c r="F134" s="1418"/>
      <c r="G134" s="1418"/>
      <c r="H134" s="1418"/>
      <c r="I134" s="1418"/>
      <c r="J134" s="1418"/>
      <c r="K134" s="1417">
        <v>0</v>
      </c>
      <c r="L134" s="1417"/>
      <c r="N134" s="1417">
        <v>0</v>
      </c>
      <c r="O134" s="1417"/>
      <c r="P134" s="1417"/>
      <c r="Q134" s="1417"/>
      <c r="R134" s="1417">
        <v>16478.64</v>
      </c>
      <c r="S134" s="1417"/>
      <c r="T134" s="1417"/>
      <c r="V134" s="1417">
        <v>16478.64</v>
      </c>
      <c r="W134" s="1417"/>
    </row>
    <row r="135" spans="1:23" ht="11.25" customHeight="1" x14ac:dyDescent="0.25">
      <c r="A135" s="1418" t="s">
        <v>11690</v>
      </c>
      <c r="B135" s="1418"/>
      <c r="C135" s="1418"/>
      <c r="E135" s="1418" t="s">
        <v>11691</v>
      </c>
      <c r="F135" s="1418"/>
      <c r="G135" s="1418"/>
      <c r="H135" s="1418"/>
      <c r="I135" s="1418"/>
      <c r="J135" s="1418"/>
      <c r="K135" s="1417">
        <v>0</v>
      </c>
      <c r="L135" s="1417"/>
      <c r="N135" s="1417">
        <v>0</v>
      </c>
      <c r="O135" s="1417"/>
      <c r="P135" s="1417"/>
      <c r="Q135" s="1417"/>
      <c r="R135" s="1417">
        <v>29181.65</v>
      </c>
      <c r="S135" s="1417"/>
      <c r="T135" s="1417"/>
      <c r="V135" s="1417">
        <v>29181.65</v>
      </c>
      <c r="W135" s="1417"/>
    </row>
    <row r="136" spans="1:23" ht="1.5" customHeight="1" x14ac:dyDescent="0.25"/>
    <row r="137" spans="1:23" ht="11.25" customHeight="1" x14ac:dyDescent="0.25">
      <c r="A137" s="1418" t="s">
        <v>11692</v>
      </c>
      <c r="B137" s="1418"/>
      <c r="C137" s="1418"/>
      <c r="E137" s="1418" t="s">
        <v>11693</v>
      </c>
      <c r="F137" s="1418"/>
      <c r="G137" s="1418"/>
      <c r="H137" s="1418"/>
      <c r="I137" s="1418"/>
      <c r="J137" s="1418"/>
      <c r="K137" s="1417">
        <v>0</v>
      </c>
      <c r="L137" s="1417"/>
      <c r="N137" s="1417">
        <v>0</v>
      </c>
      <c r="O137" s="1417"/>
      <c r="P137" s="1417"/>
      <c r="Q137" s="1417"/>
      <c r="R137" s="1417">
        <v>6581.91</v>
      </c>
      <c r="S137" s="1417"/>
      <c r="T137" s="1417"/>
      <c r="V137" s="1417">
        <v>6581.91</v>
      </c>
      <c r="W137" s="1417"/>
    </row>
    <row r="138" spans="1:23" ht="1.5" customHeight="1" x14ac:dyDescent="0.25"/>
    <row r="139" spans="1:23" ht="11.25" customHeight="1" x14ac:dyDescent="0.25">
      <c r="A139" s="1418" t="s">
        <v>11694</v>
      </c>
      <c r="B139" s="1418"/>
      <c r="C139" s="1418"/>
      <c r="E139" s="1418" t="s">
        <v>11695</v>
      </c>
      <c r="F139" s="1418"/>
      <c r="G139" s="1418"/>
      <c r="H139" s="1418"/>
      <c r="I139" s="1418"/>
      <c r="J139" s="1418"/>
      <c r="K139" s="1417">
        <v>0</v>
      </c>
      <c r="L139" s="1417"/>
      <c r="N139" s="1417">
        <v>0</v>
      </c>
      <c r="O139" s="1417"/>
      <c r="P139" s="1417"/>
      <c r="Q139" s="1417"/>
      <c r="R139" s="1417">
        <v>1730.61</v>
      </c>
      <c r="S139" s="1417"/>
      <c r="T139" s="1417"/>
      <c r="V139" s="1417">
        <v>1730.61</v>
      </c>
      <c r="W139" s="1417"/>
    </row>
    <row r="140" spans="1:23" ht="1.5" customHeight="1" x14ac:dyDescent="0.25"/>
    <row r="141" spans="1:23" ht="11.25" customHeight="1" x14ac:dyDescent="0.25">
      <c r="A141" s="1418" t="s">
        <v>11696</v>
      </c>
      <c r="B141" s="1418"/>
      <c r="C141" s="1418"/>
      <c r="E141" s="1418" t="s">
        <v>11697</v>
      </c>
      <c r="F141" s="1418"/>
      <c r="G141" s="1418"/>
      <c r="H141" s="1418"/>
      <c r="I141" s="1418"/>
      <c r="J141" s="1418"/>
      <c r="K141" s="1417">
        <v>0</v>
      </c>
      <c r="L141" s="1417"/>
      <c r="N141" s="1417">
        <v>0</v>
      </c>
      <c r="O141" s="1417"/>
      <c r="P141" s="1417"/>
      <c r="Q141" s="1417"/>
      <c r="R141" s="1417">
        <v>131410.53</v>
      </c>
      <c r="S141" s="1417"/>
      <c r="T141" s="1417"/>
      <c r="V141" s="1417">
        <v>131410.53</v>
      </c>
      <c r="W141" s="1417"/>
    </row>
    <row r="142" spans="1:23" ht="1.5" customHeight="1" x14ac:dyDescent="0.25"/>
    <row r="143" spans="1:23" ht="11.25" customHeight="1" x14ac:dyDescent="0.25">
      <c r="A143" s="1418" t="s">
        <v>11698</v>
      </c>
      <c r="B143" s="1418"/>
      <c r="C143" s="1418"/>
      <c r="E143" s="1418" t="s">
        <v>11699</v>
      </c>
      <c r="F143" s="1418"/>
      <c r="G143" s="1418"/>
      <c r="H143" s="1418"/>
      <c r="I143" s="1418"/>
      <c r="J143" s="1418"/>
      <c r="K143" s="1417">
        <v>0</v>
      </c>
      <c r="L143" s="1417"/>
      <c r="N143" s="1417">
        <v>0</v>
      </c>
      <c r="O143" s="1417"/>
      <c r="P143" s="1417"/>
      <c r="Q143" s="1417"/>
      <c r="R143" s="1417">
        <v>375635.28</v>
      </c>
      <c r="S143" s="1417"/>
      <c r="T143" s="1417"/>
      <c r="V143" s="1417">
        <v>375635.28</v>
      </c>
      <c r="W143" s="1417"/>
    </row>
    <row r="144" spans="1:23" ht="5.25" customHeight="1" x14ac:dyDescent="0.25"/>
    <row r="145" spans="1:23" ht="1.5" customHeight="1" x14ac:dyDescent="0.25"/>
    <row r="146" spans="1:23" ht="10.5" customHeight="1" x14ac:dyDescent="0.25">
      <c r="A146" s="1418" t="s">
        <v>2018</v>
      </c>
      <c r="B146" s="1418"/>
      <c r="C146" s="1418"/>
      <c r="E146" s="1418" t="s">
        <v>624</v>
      </c>
      <c r="F146" s="1418"/>
      <c r="G146" s="1418"/>
      <c r="H146" s="1418"/>
      <c r="I146" s="1418"/>
      <c r="J146" s="1418"/>
      <c r="K146" s="1417">
        <v>0</v>
      </c>
      <c r="L146" s="1417"/>
      <c r="N146" s="1417">
        <v>5538.73</v>
      </c>
      <c r="O146" s="1417"/>
      <c r="P146" s="1417"/>
      <c r="Q146" s="1417"/>
      <c r="R146" s="1417">
        <v>281438.56</v>
      </c>
      <c r="S146" s="1417"/>
      <c r="T146" s="1417"/>
      <c r="V146" s="1417">
        <v>286977.28999999998</v>
      </c>
      <c r="W146" s="1417"/>
    </row>
    <row r="147" spans="1:23" ht="12.75" hidden="1" customHeight="1" x14ac:dyDescent="0.25"/>
    <row r="148" spans="1:23" ht="12" customHeight="1" x14ac:dyDescent="0.25">
      <c r="A148" s="1418" t="s">
        <v>11700</v>
      </c>
      <c r="B148" s="1418"/>
      <c r="C148" s="1418"/>
      <c r="E148" s="1418" t="s">
        <v>641</v>
      </c>
      <c r="F148" s="1418"/>
      <c r="G148" s="1418"/>
      <c r="H148" s="1418"/>
      <c r="I148" s="1418"/>
      <c r="J148" s="1418"/>
      <c r="K148" s="1417">
        <v>0</v>
      </c>
      <c r="L148" s="1417"/>
      <c r="N148" s="1417">
        <v>5538.73</v>
      </c>
      <c r="O148" s="1417"/>
      <c r="P148" s="1417"/>
      <c r="Q148" s="1417"/>
      <c r="R148" s="1417">
        <v>45551.199999999997</v>
      </c>
      <c r="S148" s="1417"/>
      <c r="T148" s="1417"/>
      <c r="V148" s="1417">
        <v>51089.93</v>
      </c>
      <c r="W148" s="1417"/>
    </row>
    <row r="149" spans="1:23" ht="1.5" customHeight="1" x14ac:dyDescent="0.25"/>
    <row r="150" spans="1:23" ht="11.25" customHeight="1" x14ac:dyDescent="0.25">
      <c r="A150" s="1418" t="s">
        <v>11701</v>
      </c>
      <c r="B150" s="1418"/>
      <c r="C150" s="1418"/>
      <c r="E150" s="1418" t="s">
        <v>1973</v>
      </c>
      <c r="F150" s="1418"/>
      <c r="G150" s="1418"/>
      <c r="H150" s="1418"/>
      <c r="I150" s="1418"/>
      <c r="J150" s="1418"/>
      <c r="K150" s="1417">
        <v>0</v>
      </c>
      <c r="L150" s="1417"/>
      <c r="N150" s="1417">
        <v>5538.73</v>
      </c>
      <c r="O150" s="1417"/>
      <c r="P150" s="1417"/>
      <c r="Q150" s="1417"/>
      <c r="R150" s="1417">
        <v>45551.199999999997</v>
      </c>
      <c r="S150" s="1417"/>
      <c r="T150" s="1417"/>
      <c r="V150" s="1417">
        <v>51089.93</v>
      </c>
      <c r="W150" s="1417"/>
    </row>
    <row r="151" spans="1:23" ht="12.75" hidden="1" customHeight="1" x14ac:dyDescent="0.25"/>
    <row r="152" spans="1:23" ht="12" customHeight="1" x14ac:dyDescent="0.25">
      <c r="A152" s="1418" t="s">
        <v>2019</v>
      </c>
      <c r="B152" s="1418"/>
      <c r="C152" s="1418"/>
      <c r="E152" s="1418" t="s">
        <v>680</v>
      </c>
      <c r="F152" s="1418"/>
      <c r="G152" s="1418"/>
      <c r="H152" s="1418"/>
      <c r="I152" s="1418"/>
      <c r="J152" s="1418"/>
      <c r="K152" s="1417">
        <v>0</v>
      </c>
      <c r="L152" s="1417"/>
      <c r="N152" s="1417">
        <v>0</v>
      </c>
      <c r="O152" s="1417"/>
      <c r="P152" s="1417"/>
      <c r="Q152" s="1417"/>
      <c r="R152" s="1417">
        <v>235887.35999999999</v>
      </c>
      <c r="S152" s="1417"/>
      <c r="T152" s="1417"/>
      <c r="V152" s="1417">
        <v>235887.35999999999</v>
      </c>
      <c r="W152" s="1417"/>
    </row>
    <row r="153" spans="1:23" ht="1.5" customHeight="1" x14ac:dyDescent="0.25"/>
    <row r="154" spans="1:23" ht="11.25" customHeight="1" x14ac:dyDescent="0.25">
      <c r="A154" s="1418" t="s">
        <v>2020</v>
      </c>
      <c r="B154" s="1418"/>
      <c r="C154" s="1418"/>
      <c r="E154" s="1418" t="s">
        <v>2021</v>
      </c>
      <c r="F154" s="1418"/>
      <c r="G154" s="1418"/>
      <c r="H154" s="1418"/>
      <c r="I154" s="1418"/>
      <c r="J154" s="1418"/>
      <c r="K154" s="1417">
        <v>0</v>
      </c>
      <c r="L154" s="1417"/>
      <c r="N154" s="1417">
        <v>0</v>
      </c>
      <c r="O154" s="1417"/>
      <c r="P154" s="1417"/>
      <c r="Q154" s="1417"/>
      <c r="R154" s="1417">
        <v>235887.35999999999</v>
      </c>
      <c r="S154" s="1417"/>
      <c r="T154" s="1417"/>
      <c r="V154" s="1417">
        <v>235887.35999999999</v>
      </c>
      <c r="W154" s="1417"/>
    </row>
    <row r="155" spans="1:23" ht="5.25" customHeight="1" x14ac:dyDescent="0.25"/>
    <row r="156" spans="1:23" ht="1.5" customHeight="1" x14ac:dyDescent="0.25"/>
    <row r="157" spans="1:23" ht="10.5" customHeight="1" x14ac:dyDescent="0.25">
      <c r="A157" s="1418" t="s">
        <v>2004</v>
      </c>
      <c r="B157" s="1418"/>
      <c r="C157" s="1418"/>
      <c r="E157" s="1418" t="s">
        <v>626</v>
      </c>
      <c r="F157" s="1418"/>
      <c r="G157" s="1418"/>
      <c r="H157" s="1418"/>
      <c r="I157" s="1418"/>
      <c r="J157" s="1418"/>
      <c r="K157" s="1417">
        <v>0</v>
      </c>
      <c r="L157" s="1417"/>
      <c r="N157" s="1417">
        <v>53257.01</v>
      </c>
      <c r="O157" s="1417"/>
      <c r="P157" s="1417"/>
      <c r="Q157" s="1417"/>
      <c r="R157" s="1417">
        <v>126452.77</v>
      </c>
      <c r="S157" s="1417"/>
      <c r="T157" s="1417"/>
      <c r="V157" s="1417">
        <v>179709.78</v>
      </c>
      <c r="W157" s="1417"/>
    </row>
    <row r="158" spans="1:23" ht="12.75" hidden="1" customHeight="1" x14ac:dyDescent="0.25"/>
    <row r="159" spans="1:23" ht="12" customHeight="1" x14ac:dyDescent="0.25">
      <c r="A159" s="1418" t="s">
        <v>2005</v>
      </c>
      <c r="B159" s="1418"/>
      <c r="C159" s="1418"/>
      <c r="E159" s="1418" t="s">
        <v>686</v>
      </c>
      <c r="F159" s="1418"/>
      <c r="G159" s="1418"/>
      <c r="H159" s="1418"/>
      <c r="I159" s="1418"/>
      <c r="J159" s="1418"/>
      <c r="K159" s="1417">
        <v>0</v>
      </c>
      <c r="L159" s="1417"/>
      <c r="N159" s="1417">
        <v>14916.39</v>
      </c>
      <c r="O159" s="1417"/>
      <c r="P159" s="1417"/>
      <c r="Q159" s="1417"/>
      <c r="R159" s="1417">
        <v>126452.77</v>
      </c>
      <c r="S159" s="1417"/>
      <c r="T159" s="1417"/>
      <c r="V159" s="1417">
        <v>141369.16</v>
      </c>
      <c r="W159" s="1417"/>
    </row>
    <row r="160" spans="1:23" ht="1.5" customHeight="1" x14ac:dyDescent="0.25"/>
    <row r="161" spans="1:23" ht="11.25" customHeight="1" x14ac:dyDescent="0.25">
      <c r="A161" s="1418" t="s">
        <v>2006</v>
      </c>
      <c r="B161" s="1418"/>
      <c r="C161" s="1418"/>
      <c r="E161" s="1418" t="s">
        <v>2007</v>
      </c>
      <c r="F161" s="1418"/>
      <c r="G161" s="1418"/>
      <c r="H161" s="1418"/>
      <c r="I161" s="1418"/>
      <c r="J161" s="1418"/>
      <c r="K161" s="1417">
        <v>0</v>
      </c>
      <c r="L161" s="1417"/>
      <c r="N161" s="1417">
        <v>14916.39</v>
      </c>
      <c r="O161" s="1417"/>
      <c r="P161" s="1417"/>
      <c r="Q161" s="1417"/>
      <c r="R161" s="1417">
        <v>126452.77</v>
      </c>
      <c r="S161" s="1417"/>
      <c r="T161" s="1417"/>
      <c r="V161" s="1417">
        <v>141369.16</v>
      </c>
      <c r="W161" s="1417"/>
    </row>
    <row r="162" spans="1:23" ht="12.75" hidden="1" customHeight="1" x14ac:dyDescent="0.25"/>
    <row r="163" spans="1:23" ht="12" customHeight="1" x14ac:dyDescent="0.25">
      <c r="A163" s="1418" t="s">
        <v>11702</v>
      </c>
      <c r="B163" s="1418"/>
      <c r="C163" s="1418"/>
      <c r="E163" s="1418" t="s">
        <v>687</v>
      </c>
      <c r="F163" s="1418"/>
      <c r="G163" s="1418"/>
      <c r="H163" s="1418"/>
      <c r="I163" s="1418"/>
      <c r="J163" s="1418"/>
      <c r="K163" s="1417">
        <v>0</v>
      </c>
      <c r="L163" s="1417"/>
      <c r="N163" s="1417">
        <v>38340.620000000003</v>
      </c>
      <c r="O163" s="1417"/>
      <c r="P163" s="1417"/>
      <c r="Q163" s="1417"/>
      <c r="R163" s="1417">
        <v>0</v>
      </c>
      <c r="S163" s="1417"/>
      <c r="T163" s="1417"/>
      <c r="V163" s="1417">
        <v>38340.620000000003</v>
      </c>
      <c r="W163" s="1417"/>
    </row>
    <row r="164" spans="1:23" ht="1.5" customHeight="1" x14ac:dyDescent="0.25"/>
    <row r="165" spans="1:23" ht="11.25" customHeight="1" x14ac:dyDescent="0.25">
      <c r="A165" s="1418" t="s">
        <v>11703</v>
      </c>
      <c r="B165" s="1418"/>
      <c r="C165" s="1418"/>
      <c r="E165" s="1418" t="s">
        <v>11704</v>
      </c>
      <c r="F165" s="1418"/>
      <c r="G165" s="1418"/>
      <c r="H165" s="1418"/>
      <c r="I165" s="1418"/>
      <c r="J165" s="1418"/>
      <c r="K165" s="1417">
        <v>0</v>
      </c>
      <c r="L165" s="1417"/>
      <c r="N165" s="1417">
        <v>38340.620000000003</v>
      </c>
      <c r="O165" s="1417"/>
      <c r="P165" s="1417"/>
      <c r="Q165" s="1417"/>
      <c r="R165" s="1417">
        <v>0</v>
      </c>
      <c r="S165" s="1417"/>
      <c r="T165" s="1417"/>
      <c r="V165" s="1417">
        <v>38340.620000000003</v>
      </c>
      <c r="W165" s="1417"/>
    </row>
    <row r="166" spans="1:23" ht="5.25" customHeight="1" x14ac:dyDescent="0.25"/>
    <row r="167" spans="1:23" ht="1.5" customHeight="1" x14ac:dyDescent="0.25"/>
    <row r="168" spans="1:23" ht="10.5" customHeight="1" x14ac:dyDescent="0.25">
      <c r="A168" s="1418" t="s">
        <v>2039</v>
      </c>
      <c r="B168" s="1418"/>
      <c r="C168" s="1418"/>
      <c r="E168" s="1418" t="s">
        <v>627</v>
      </c>
      <c r="F168" s="1418"/>
      <c r="G168" s="1418"/>
      <c r="H168" s="1418"/>
      <c r="I168" s="1418"/>
      <c r="J168" s="1418"/>
      <c r="K168" s="1417">
        <v>0</v>
      </c>
      <c r="L168" s="1417"/>
      <c r="N168" s="1417">
        <v>0</v>
      </c>
      <c r="O168" s="1417"/>
      <c r="P168" s="1417"/>
      <c r="Q168" s="1417"/>
      <c r="R168" s="1417">
        <v>1502</v>
      </c>
      <c r="S168" s="1417"/>
      <c r="T168" s="1417"/>
      <c r="V168" s="1417">
        <v>1502</v>
      </c>
      <c r="W168" s="1417"/>
    </row>
    <row r="169" spans="1:23" ht="12.75" hidden="1" customHeight="1" x14ac:dyDescent="0.25"/>
    <row r="170" spans="1:23" ht="12" customHeight="1" x14ac:dyDescent="0.25">
      <c r="A170" s="1418" t="s">
        <v>2040</v>
      </c>
      <c r="B170" s="1418"/>
      <c r="C170" s="1418"/>
      <c r="E170" s="1418" t="s">
        <v>688</v>
      </c>
      <c r="F170" s="1418"/>
      <c r="G170" s="1418"/>
      <c r="H170" s="1418"/>
      <c r="I170" s="1418"/>
      <c r="J170" s="1418"/>
      <c r="K170" s="1417">
        <v>0</v>
      </c>
      <c r="L170" s="1417"/>
      <c r="N170" s="1417">
        <v>0</v>
      </c>
      <c r="O170" s="1417"/>
      <c r="P170" s="1417"/>
      <c r="Q170" s="1417"/>
      <c r="R170" s="1417">
        <v>1502</v>
      </c>
      <c r="S170" s="1417"/>
      <c r="T170" s="1417"/>
      <c r="V170" s="1417">
        <v>1502</v>
      </c>
      <c r="W170" s="1417"/>
    </row>
    <row r="171" spans="1:23" ht="1.5" customHeight="1" x14ac:dyDescent="0.25"/>
    <row r="172" spans="1:23" ht="11.25" customHeight="1" x14ac:dyDescent="0.25">
      <c r="A172" s="1418" t="s">
        <v>2041</v>
      </c>
      <c r="B172" s="1418"/>
      <c r="C172" s="1418"/>
      <c r="E172" s="1418" t="s">
        <v>1980</v>
      </c>
      <c r="F172" s="1418"/>
      <c r="G172" s="1418"/>
      <c r="H172" s="1418"/>
      <c r="I172" s="1418"/>
      <c r="J172" s="1418"/>
      <c r="K172" s="1417">
        <v>0</v>
      </c>
      <c r="L172" s="1417"/>
      <c r="N172" s="1417">
        <v>0</v>
      </c>
      <c r="O172" s="1417"/>
      <c r="P172" s="1417"/>
      <c r="Q172" s="1417"/>
      <c r="R172" s="1417">
        <v>1502</v>
      </c>
      <c r="S172" s="1417"/>
      <c r="T172" s="1417"/>
      <c r="V172" s="1417">
        <v>1502</v>
      </c>
      <c r="W172" s="1417"/>
    </row>
    <row r="173" spans="1:23" ht="5.25" customHeight="1" x14ac:dyDescent="0.25"/>
    <row r="174" spans="1:23" ht="1.5" customHeight="1" x14ac:dyDescent="0.25"/>
    <row r="175" spans="1:23" ht="10.5" customHeight="1" x14ac:dyDescent="0.25">
      <c r="A175" s="1418" t="s">
        <v>1998</v>
      </c>
      <c r="B175" s="1418"/>
      <c r="C175" s="1418"/>
      <c r="E175" s="1418" t="s">
        <v>628</v>
      </c>
      <c r="F175" s="1418"/>
      <c r="G175" s="1418"/>
      <c r="H175" s="1418"/>
      <c r="I175" s="1418"/>
      <c r="J175" s="1418"/>
      <c r="K175" s="1417">
        <v>0</v>
      </c>
      <c r="L175" s="1417"/>
      <c r="N175" s="1417">
        <v>5001</v>
      </c>
      <c r="O175" s="1417"/>
      <c r="P175" s="1417"/>
      <c r="Q175" s="1417"/>
      <c r="R175" s="1417">
        <v>0</v>
      </c>
      <c r="S175" s="1417"/>
      <c r="T175" s="1417"/>
      <c r="V175" s="1417">
        <v>5001</v>
      </c>
      <c r="W175" s="1417"/>
    </row>
    <row r="176" spans="1:23" ht="12.75" hidden="1" customHeight="1" x14ac:dyDescent="0.25"/>
    <row r="177" spans="1:23" ht="12" customHeight="1" x14ac:dyDescent="0.25">
      <c r="A177" s="1418" t="s">
        <v>1999</v>
      </c>
      <c r="B177" s="1418"/>
      <c r="C177" s="1418"/>
      <c r="E177" s="1418" t="s">
        <v>691</v>
      </c>
      <c r="F177" s="1418"/>
      <c r="G177" s="1418"/>
      <c r="H177" s="1418"/>
      <c r="I177" s="1418"/>
      <c r="J177" s="1418"/>
      <c r="K177" s="1417">
        <v>0</v>
      </c>
      <c r="L177" s="1417"/>
      <c r="N177" s="1417">
        <v>5001</v>
      </c>
      <c r="O177" s="1417"/>
      <c r="P177" s="1417"/>
      <c r="Q177" s="1417"/>
      <c r="R177" s="1417">
        <v>0</v>
      </c>
      <c r="S177" s="1417"/>
      <c r="T177" s="1417"/>
      <c r="V177" s="1417">
        <v>5001</v>
      </c>
      <c r="W177" s="1417"/>
    </row>
    <row r="178" spans="1:23" ht="1.5" customHeight="1" x14ac:dyDescent="0.25"/>
    <row r="179" spans="1:23" ht="11.25" customHeight="1" x14ac:dyDescent="0.25">
      <c r="A179" s="1418" t="s">
        <v>2000</v>
      </c>
      <c r="B179" s="1418"/>
      <c r="C179" s="1418"/>
      <c r="E179" s="1418" t="s">
        <v>11705</v>
      </c>
      <c r="F179" s="1418"/>
      <c r="G179" s="1418"/>
      <c r="H179" s="1418"/>
      <c r="I179" s="1418"/>
      <c r="J179" s="1418"/>
      <c r="K179" s="1417">
        <v>0</v>
      </c>
      <c r="L179" s="1417"/>
      <c r="N179" s="1417">
        <v>5001</v>
      </c>
      <c r="O179" s="1417"/>
      <c r="P179" s="1417"/>
      <c r="Q179" s="1417"/>
      <c r="R179" s="1417">
        <v>0</v>
      </c>
      <c r="S179" s="1417"/>
      <c r="T179" s="1417"/>
      <c r="V179" s="1417">
        <v>5001</v>
      </c>
      <c r="W179" s="1417"/>
    </row>
    <row r="180" spans="1:23" ht="5.25" customHeight="1" x14ac:dyDescent="0.25"/>
    <row r="181" spans="1:23" ht="1.5" customHeight="1" x14ac:dyDescent="0.25"/>
    <row r="182" spans="1:23" ht="10.5" customHeight="1" x14ac:dyDescent="0.25">
      <c r="A182" s="1418" t="s">
        <v>2034</v>
      </c>
      <c r="B182" s="1418"/>
      <c r="C182" s="1418"/>
      <c r="E182" s="1418" t="s">
        <v>630</v>
      </c>
      <c r="F182" s="1418"/>
      <c r="G182" s="1418"/>
      <c r="H182" s="1418"/>
      <c r="I182" s="1418"/>
      <c r="J182" s="1418"/>
      <c r="K182" s="1417">
        <v>0</v>
      </c>
      <c r="L182" s="1417"/>
      <c r="N182" s="1417">
        <v>0</v>
      </c>
      <c r="O182" s="1417"/>
      <c r="P182" s="1417"/>
      <c r="Q182" s="1417"/>
      <c r="R182" s="1417">
        <v>175271.2</v>
      </c>
      <c r="S182" s="1417"/>
      <c r="T182" s="1417"/>
      <c r="V182" s="1417">
        <v>175271.2</v>
      </c>
      <c r="W182" s="1417"/>
    </row>
    <row r="183" spans="1:23" ht="12.75" hidden="1" customHeight="1" x14ac:dyDescent="0.25"/>
    <row r="184" spans="1:23" ht="12" customHeight="1" x14ac:dyDescent="0.25">
      <c r="A184" s="1418" t="s">
        <v>2035</v>
      </c>
      <c r="B184" s="1418"/>
      <c r="C184" s="1418"/>
      <c r="E184" s="1418" t="s">
        <v>641</v>
      </c>
      <c r="F184" s="1418"/>
      <c r="G184" s="1418"/>
      <c r="H184" s="1418"/>
      <c r="I184" s="1418"/>
      <c r="J184" s="1418"/>
      <c r="K184" s="1417">
        <v>0</v>
      </c>
      <c r="L184" s="1417"/>
      <c r="N184" s="1417">
        <v>0</v>
      </c>
      <c r="O184" s="1417"/>
      <c r="P184" s="1417"/>
      <c r="Q184" s="1417"/>
      <c r="R184" s="1417">
        <v>21963.22</v>
      </c>
      <c r="S184" s="1417"/>
      <c r="T184" s="1417"/>
      <c r="V184" s="1417">
        <v>21963.22</v>
      </c>
      <c r="W184" s="1417"/>
    </row>
    <row r="185" spans="1:23" ht="1.5" customHeight="1" x14ac:dyDescent="0.25"/>
    <row r="186" spans="1:23" ht="11.25" customHeight="1" x14ac:dyDescent="0.25">
      <c r="A186" s="1418" t="s">
        <v>11706</v>
      </c>
      <c r="B186" s="1418"/>
      <c r="C186" s="1418"/>
      <c r="E186" s="1418" t="s">
        <v>1978</v>
      </c>
      <c r="F186" s="1418"/>
      <c r="G186" s="1418"/>
      <c r="H186" s="1418"/>
      <c r="I186" s="1418"/>
      <c r="J186" s="1418"/>
      <c r="K186" s="1417">
        <v>0</v>
      </c>
      <c r="L186" s="1417"/>
      <c r="N186" s="1417">
        <v>0</v>
      </c>
      <c r="O186" s="1417"/>
      <c r="P186" s="1417"/>
      <c r="Q186" s="1417"/>
      <c r="R186" s="1417">
        <v>21963.22</v>
      </c>
      <c r="S186" s="1417"/>
      <c r="T186" s="1417"/>
      <c r="V186" s="1417">
        <v>21963.22</v>
      </c>
      <c r="W186" s="1417"/>
    </row>
    <row r="187" spans="1:23" ht="12.75" hidden="1" customHeight="1" x14ac:dyDescent="0.25"/>
    <row r="188" spans="1:23" ht="12" customHeight="1" x14ac:dyDescent="0.25">
      <c r="A188" s="1418" t="s">
        <v>2037</v>
      </c>
      <c r="B188" s="1418"/>
      <c r="C188" s="1418"/>
      <c r="E188" s="1418" t="s">
        <v>696</v>
      </c>
      <c r="F188" s="1418"/>
      <c r="G188" s="1418"/>
      <c r="H188" s="1418"/>
      <c r="I188" s="1418"/>
      <c r="J188" s="1418"/>
      <c r="K188" s="1417">
        <v>0</v>
      </c>
      <c r="L188" s="1417"/>
      <c r="N188" s="1417">
        <v>0</v>
      </c>
      <c r="O188" s="1417"/>
      <c r="P188" s="1417"/>
      <c r="Q188" s="1417"/>
      <c r="R188" s="1417">
        <v>153307.98000000001</v>
      </c>
      <c r="S188" s="1417"/>
      <c r="T188" s="1417"/>
      <c r="V188" s="1417">
        <v>153307.98000000001</v>
      </c>
      <c r="W188" s="1417"/>
    </row>
    <row r="189" spans="1:23" ht="1.5" customHeight="1" x14ac:dyDescent="0.25"/>
    <row r="190" spans="1:23" ht="11.25" customHeight="1" x14ac:dyDescent="0.25">
      <c r="A190" s="1418" t="s">
        <v>11707</v>
      </c>
      <c r="B190" s="1418"/>
      <c r="C190" s="1418"/>
      <c r="E190" s="1418" t="s">
        <v>1978</v>
      </c>
      <c r="F190" s="1418"/>
      <c r="G190" s="1418"/>
      <c r="H190" s="1418"/>
      <c r="I190" s="1418"/>
      <c r="J190" s="1418"/>
      <c r="K190" s="1417">
        <v>0</v>
      </c>
      <c r="L190" s="1417"/>
      <c r="N190" s="1417">
        <v>0</v>
      </c>
      <c r="O190" s="1417"/>
      <c r="P190" s="1417"/>
      <c r="Q190" s="1417"/>
      <c r="R190" s="1417">
        <v>8286.51</v>
      </c>
      <c r="S190" s="1417"/>
      <c r="T190" s="1417"/>
      <c r="V190" s="1417">
        <v>8286.51</v>
      </c>
      <c r="W190" s="1417"/>
    </row>
    <row r="191" spans="1:23" ht="1.5" customHeight="1" x14ac:dyDescent="0.25"/>
    <row r="192" spans="1:23" ht="11.25" customHeight="1" x14ac:dyDescent="0.25">
      <c r="A192" s="1418" t="s">
        <v>2038</v>
      </c>
      <c r="B192" s="1418"/>
      <c r="C192" s="1418"/>
      <c r="E192" s="1418" t="s">
        <v>2036</v>
      </c>
      <c r="F192" s="1418"/>
      <c r="G192" s="1418"/>
      <c r="H192" s="1418"/>
      <c r="I192" s="1418"/>
      <c r="J192" s="1418"/>
      <c r="K192" s="1417">
        <v>0</v>
      </c>
      <c r="L192" s="1417"/>
      <c r="N192" s="1417">
        <v>0</v>
      </c>
      <c r="O192" s="1417"/>
      <c r="P192" s="1417"/>
      <c r="Q192" s="1417"/>
      <c r="R192" s="1417">
        <v>145021.47</v>
      </c>
      <c r="S192" s="1417"/>
      <c r="T192" s="1417"/>
      <c r="V192" s="1417">
        <v>145021.47</v>
      </c>
      <c r="W192" s="1417"/>
    </row>
    <row r="193" spans="1:23" ht="5.25" customHeight="1" x14ac:dyDescent="0.25"/>
    <row r="194" spans="1:23" ht="1.5" customHeight="1" x14ac:dyDescent="0.25"/>
    <row r="195" spans="1:23" ht="10.5" customHeight="1" x14ac:dyDescent="0.25">
      <c r="A195" s="1418" t="s">
        <v>2030</v>
      </c>
      <c r="B195" s="1418"/>
      <c r="C195" s="1418"/>
      <c r="E195" s="1418" t="s">
        <v>631</v>
      </c>
      <c r="F195" s="1418"/>
      <c r="G195" s="1418"/>
      <c r="H195" s="1418"/>
      <c r="I195" s="1418"/>
      <c r="J195" s="1418"/>
      <c r="K195" s="1417">
        <v>0</v>
      </c>
      <c r="L195" s="1417"/>
      <c r="N195" s="1417">
        <v>484843.93</v>
      </c>
      <c r="O195" s="1417"/>
      <c r="P195" s="1417"/>
      <c r="Q195" s="1417"/>
      <c r="R195" s="1417">
        <v>1440037.81</v>
      </c>
      <c r="S195" s="1417"/>
      <c r="T195" s="1417"/>
      <c r="V195" s="1417">
        <v>1924881.74</v>
      </c>
      <c r="W195" s="1417"/>
    </row>
    <row r="196" spans="1:23" ht="12.75" hidden="1" customHeight="1" x14ac:dyDescent="0.25"/>
    <row r="197" spans="1:23" ht="12" customHeight="1" x14ac:dyDescent="0.25">
      <c r="A197" s="1418" t="s">
        <v>2031</v>
      </c>
      <c r="B197" s="1418"/>
      <c r="C197" s="1418"/>
      <c r="E197" s="1418" t="s">
        <v>641</v>
      </c>
      <c r="F197" s="1418"/>
      <c r="G197" s="1418"/>
      <c r="H197" s="1418"/>
      <c r="I197" s="1418"/>
      <c r="J197" s="1418"/>
      <c r="K197" s="1417">
        <v>0</v>
      </c>
      <c r="L197" s="1417"/>
      <c r="N197" s="1417">
        <v>103036.31</v>
      </c>
      <c r="O197" s="1417"/>
      <c r="P197" s="1417"/>
      <c r="Q197" s="1417"/>
      <c r="R197" s="1417">
        <v>258236.94</v>
      </c>
      <c r="S197" s="1417"/>
      <c r="T197" s="1417"/>
      <c r="V197" s="1417">
        <v>361273.25</v>
      </c>
      <c r="W197" s="1417"/>
    </row>
    <row r="198" spans="1:23" ht="1.5" customHeight="1" x14ac:dyDescent="0.25"/>
    <row r="199" spans="1:23" ht="11.25" customHeight="1" x14ac:dyDescent="0.25">
      <c r="A199" s="1418" t="s">
        <v>11708</v>
      </c>
      <c r="B199" s="1418"/>
      <c r="C199" s="1418"/>
      <c r="E199" s="1418" t="s">
        <v>1973</v>
      </c>
      <c r="F199" s="1418"/>
      <c r="G199" s="1418"/>
      <c r="H199" s="1418"/>
      <c r="I199" s="1418"/>
      <c r="J199" s="1418"/>
      <c r="K199" s="1417">
        <v>0</v>
      </c>
      <c r="L199" s="1417"/>
      <c r="N199" s="1417">
        <v>103036.31</v>
      </c>
      <c r="O199" s="1417"/>
      <c r="P199" s="1417"/>
      <c r="Q199" s="1417"/>
      <c r="R199" s="1417">
        <v>258236.94</v>
      </c>
      <c r="S199" s="1417"/>
      <c r="T199" s="1417"/>
      <c r="V199" s="1417">
        <v>361273.25</v>
      </c>
      <c r="W199" s="1417"/>
    </row>
    <row r="200" spans="1:23" ht="12.75" hidden="1" customHeight="1" x14ac:dyDescent="0.25"/>
    <row r="201" spans="1:23" ht="12" customHeight="1" x14ac:dyDescent="0.25">
      <c r="A201" s="1418" t="s">
        <v>11709</v>
      </c>
      <c r="B201" s="1418"/>
      <c r="C201" s="1418"/>
      <c r="K201" s="1417">
        <v>0</v>
      </c>
      <c r="L201" s="1417"/>
      <c r="N201" s="1417">
        <v>0</v>
      </c>
      <c r="O201" s="1417"/>
      <c r="P201" s="1417"/>
      <c r="Q201" s="1417"/>
      <c r="R201" s="1417">
        <v>11993.65</v>
      </c>
      <c r="S201" s="1417"/>
      <c r="T201" s="1417"/>
      <c r="V201" s="1417">
        <v>11993.65</v>
      </c>
      <c r="W201" s="1417"/>
    </row>
    <row r="202" spans="1:23" ht="1.5" customHeight="1" x14ac:dyDescent="0.25"/>
    <row r="203" spans="1:23" ht="11.25" customHeight="1" x14ac:dyDescent="0.25">
      <c r="A203" s="1418" t="s">
        <v>11710</v>
      </c>
      <c r="B203" s="1418"/>
      <c r="C203" s="1418"/>
      <c r="E203" s="1418" t="s">
        <v>1973</v>
      </c>
      <c r="F203" s="1418"/>
      <c r="G203" s="1418"/>
      <c r="H203" s="1418"/>
      <c r="I203" s="1418"/>
      <c r="J203" s="1418"/>
      <c r="K203" s="1417">
        <v>0</v>
      </c>
      <c r="L203" s="1417"/>
      <c r="N203" s="1417">
        <v>0</v>
      </c>
      <c r="O203" s="1417"/>
      <c r="P203" s="1417"/>
      <c r="Q203" s="1417"/>
      <c r="R203" s="1417">
        <v>11993.65</v>
      </c>
      <c r="S203" s="1417"/>
      <c r="T203" s="1417"/>
      <c r="V203" s="1417">
        <v>11993.65</v>
      </c>
      <c r="W203" s="1417"/>
    </row>
    <row r="204" spans="1:23" ht="12.75" hidden="1" customHeight="1" x14ac:dyDescent="0.25"/>
    <row r="205" spans="1:23" ht="12" customHeight="1" x14ac:dyDescent="0.25">
      <c r="A205" s="1418" t="s">
        <v>11711</v>
      </c>
      <c r="B205" s="1418"/>
      <c r="C205" s="1418"/>
      <c r="E205" s="1418" t="s">
        <v>11712</v>
      </c>
      <c r="F205" s="1418"/>
      <c r="G205" s="1418"/>
      <c r="H205" s="1418"/>
      <c r="I205" s="1418"/>
      <c r="J205" s="1418"/>
      <c r="K205" s="1417">
        <v>0</v>
      </c>
      <c r="L205" s="1417"/>
      <c r="N205" s="1417">
        <v>368178.48</v>
      </c>
      <c r="O205" s="1417"/>
      <c r="P205" s="1417"/>
      <c r="Q205" s="1417"/>
      <c r="R205" s="1417">
        <v>1153452.25</v>
      </c>
      <c r="S205" s="1417"/>
      <c r="T205" s="1417"/>
      <c r="V205" s="1417">
        <v>1521630.73</v>
      </c>
      <c r="W205" s="1417"/>
    </row>
    <row r="206" spans="1:23" ht="1.5" customHeight="1" x14ac:dyDescent="0.25"/>
    <row r="207" spans="1:23" ht="11.25" customHeight="1" x14ac:dyDescent="0.25">
      <c r="A207" s="1418" t="s">
        <v>11713</v>
      </c>
      <c r="B207" s="1418"/>
      <c r="C207" s="1418"/>
      <c r="E207" s="1418" t="s">
        <v>2032</v>
      </c>
      <c r="F207" s="1418"/>
      <c r="G207" s="1418"/>
      <c r="H207" s="1418"/>
      <c r="I207" s="1418"/>
      <c r="J207" s="1418"/>
      <c r="K207" s="1417">
        <v>0</v>
      </c>
      <c r="L207" s="1417"/>
      <c r="N207" s="1417">
        <v>253606.39999999999</v>
      </c>
      <c r="O207" s="1417"/>
      <c r="P207" s="1417"/>
      <c r="Q207" s="1417"/>
      <c r="R207" s="1417">
        <v>615701.82999999996</v>
      </c>
      <c r="S207" s="1417"/>
      <c r="T207" s="1417"/>
      <c r="V207" s="1417">
        <v>869308.23</v>
      </c>
      <c r="W207" s="1417"/>
    </row>
    <row r="208" spans="1:23" ht="1.5" customHeight="1" x14ac:dyDescent="0.25"/>
    <row r="209" spans="1:23" ht="11.25" customHeight="1" x14ac:dyDescent="0.25">
      <c r="A209" s="1418" t="s">
        <v>11714</v>
      </c>
      <c r="B209" s="1418"/>
      <c r="C209" s="1418"/>
      <c r="E209" s="1418" t="s">
        <v>11715</v>
      </c>
      <c r="F209" s="1418"/>
      <c r="G209" s="1418"/>
      <c r="H209" s="1418"/>
      <c r="I209" s="1418"/>
      <c r="J209" s="1418"/>
      <c r="K209" s="1417">
        <v>0</v>
      </c>
      <c r="L209" s="1417"/>
      <c r="N209" s="1417">
        <v>8286.51</v>
      </c>
      <c r="O209" s="1417"/>
      <c r="P209" s="1417"/>
      <c r="Q209" s="1417"/>
      <c r="R209" s="1417">
        <v>527748.42000000004</v>
      </c>
      <c r="S209" s="1417"/>
      <c r="T209" s="1417"/>
      <c r="V209" s="1417">
        <v>536034.93000000005</v>
      </c>
      <c r="W209" s="1417"/>
    </row>
    <row r="210" spans="1:23" ht="1.5" customHeight="1" x14ac:dyDescent="0.25"/>
    <row r="211" spans="1:23" ht="11.25" customHeight="1" x14ac:dyDescent="0.25">
      <c r="A211" s="1418" t="s">
        <v>11716</v>
      </c>
      <c r="B211" s="1418"/>
      <c r="C211" s="1418"/>
      <c r="E211" s="1418" t="s">
        <v>1977</v>
      </c>
      <c r="F211" s="1418"/>
      <c r="G211" s="1418"/>
      <c r="H211" s="1418"/>
      <c r="I211" s="1418"/>
      <c r="J211" s="1418"/>
      <c r="K211" s="1417">
        <v>0</v>
      </c>
      <c r="L211" s="1417"/>
      <c r="N211" s="1417">
        <v>106285.57</v>
      </c>
      <c r="O211" s="1417"/>
      <c r="P211" s="1417"/>
      <c r="Q211" s="1417"/>
      <c r="R211" s="1417">
        <v>10000</v>
      </c>
      <c r="S211" s="1417"/>
      <c r="T211" s="1417"/>
      <c r="V211" s="1417">
        <v>116285.57</v>
      </c>
      <c r="W211" s="1417"/>
    </row>
    <row r="212" spans="1:23" ht="1.5" customHeight="1" x14ac:dyDescent="0.25"/>
    <row r="213" spans="1:23" ht="11.25" customHeight="1" x14ac:dyDescent="0.25">
      <c r="A213" s="1418" t="s">
        <v>11717</v>
      </c>
      <c r="B213" s="1418"/>
      <c r="C213" s="1418"/>
      <c r="E213" s="1418" t="s">
        <v>1979</v>
      </c>
      <c r="F213" s="1418"/>
      <c r="G213" s="1418"/>
      <c r="H213" s="1418"/>
      <c r="I213" s="1418"/>
      <c r="J213" s="1418"/>
      <c r="K213" s="1417">
        <v>0</v>
      </c>
      <c r="L213" s="1417"/>
      <c r="N213" s="1417">
        <v>0</v>
      </c>
      <c r="O213" s="1417"/>
      <c r="P213" s="1417"/>
      <c r="Q213" s="1417"/>
      <c r="R213" s="1417">
        <v>2</v>
      </c>
      <c r="S213" s="1417"/>
      <c r="T213" s="1417"/>
      <c r="V213" s="1417">
        <v>2</v>
      </c>
      <c r="W213" s="1417"/>
    </row>
    <row r="214" spans="1:23" ht="12.75" hidden="1" customHeight="1" x14ac:dyDescent="0.25"/>
    <row r="215" spans="1:23" ht="12" customHeight="1" x14ac:dyDescent="0.25">
      <c r="A215" s="1418" t="s">
        <v>11718</v>
      </c>
      <c r="B215" s="1418"/>
      <c r="C215" s="1418"/>
      <c r="E215" s="1418" t="s">
        <v>700</v>
      </c>
      <c r="F215" s="1418"/>
      <c r="G215" s="1418"/>
      <c r="H215" s="1418"/>
      <c r="I215" s="1418"/>
      <c r="J215" s="1418"/>
      <c r="K215" s="1417">
        <v>0</v>
      </c>
      <c r="L215" s="1417"/>
      <c r="N215" s="1417">
        <v>13629.14</v>
      </c>
      <c r="O215" s="1417"/>
      <c r="P215" s="1417"/>
      <c r="Q215" s="1417"/>
      <c r="R215" s="1417">
        <v>16354.97</v>
      </c>
      <c r="S215" s="1417"/>
      <c r="T215" s="1417"/>
      <c r="V215" s="1417">
        <v>29984.11</v>
      </c>
      <c r="W215" s="1417"/>
    </row>
    <row r="216" spans="1:23" ht="1.5" customHeight="1" x14ac:dyDescent="0.25"/>
    <row r="217" spans="1:23" ht="11.25" customHeight="1" x14ac:dyDescent="0.25">
      <c r="A217" s="1418" t="s">
        <v>11719</v>
      </c>
      <c r="B217" s="1418"/>
      <c r="C217" s="1418"/>
      <c r="E217" s="1418" t="s">
        <v>11720</v>
      </c>
      <c r="F217" s="1418"/>
      <c r="G217" s="1418"/>
      <c r="H217" s="1418"/>
      <c r="I217" s="1418"/>
      <c r="J217" s="1418"/>
      <c r="K217" s="1417">
        <v>0</v>
      </c>
      <c r="L217" s="1417"/>
      <c r="N217" s="1417">
        <v>13629.14</v>
      </c>
      <c r="O217" s="1417"/>
      <c r="P217" s="1417"/>
      <c r="Q217" s="1417"/>
      <c r="R217" s="1417">
        <v>16354.97</v>
      </c>
      <c r="S217" s="1417"/>
      <c r="T217" s="1417"/>
      <c r="V217" s="1417">
        <v>29984.11</v>
      </c>
      <c r="W217" s="1417"/>
    </row>
    <row r="218" spans="1:23" ht="5.25" customHeight="1" x14ac:dyDescent="0.25"/>
    <row r="219" spans="1:23" ht="1.5" customHeight="1" x14ac:dyDescent="0.25"/>
    <row r="220" spans="1:23" ht="10.5" customHeight="1" x14ac:dyDescent="0.25">
      <c r="A220" s="1418" t="s">
        <v>2001</v>
      </c>
      <c r="B220" s="1418"/>
      <c r="C220" s="1418"/>
      <c r="E220" s="1418" t="s">
        <v>637</v>
      </c>
      <c r="F220" s="1418"/>
      <c r="G220" s="1418"/>
      <c r="H220" s="1418"/>
      <c r="I220" s="1418"/>
      <c r="J220" s="1418"/>
      <c r="K220" s="1417">
        <v>0</v>
      </c>
      <c r="L220" s="1417"/>
      <c r="N220" s="1417">
        <v>116215.16</v>
      </c>
      <c r="O220" s="1417"/>
      <c r="P220" s="1417"/>
      <c r="Q220" s="1417"/>
      <c r="R220" s="1417">
        <v>577263.99</v>
      </c>
      <c r="S220" s="1417"/>
      <c r="T220" s="1417"/>
      <c r="V220" s="1417">
        <v>693479.15</v>
      </c>
      <c r="W220" s="1417"/>
    </row>
    <row r="221" spans="1:23" ht="12.75" hidden="1" customHeight="1" x14ac:dyDescent="0.25"/>
    <row r="222" spans="1:23" ht="12" customHeight="1" x14ac:dyDescent="0.25">
      <c r="A222" s="1418" t="s">
        <v>2002</v>
      </c>
      <c r="B222" s="1418"/>
      <c r="C222" s="1418"/>
      <c r="E222" s="1418" t="s">
        <v>675</v>
      </c>
      <c r="F222" s="1418"/>
      <c r="G222" s="1418"/>
      <c r="H222" s="1418"/>
      <c r="I222" s="1418"/>
      <c r="J222" s="1418"/>
      <c r="K222" s="1417">
        <v>0</v>
      </c>
      <c r="L222" s="1417"/>
      <c r="N222" s="1417">
        <v>116215.16</v>
      </c>
      <c r="O222" s="1417"/>
      <c r="P222" s="1417"/>
      <c r="Q222" s="1417"/>
      <c r="R222" s="1417">
        <v>577263.99</v>
      </c>
      <c r="S222" s="1417"/>
      <c r="T222" s="1417"/>
      <c r="V222" s="1417">
        <v>693479.15</v>
      </c>
      <c r="W222" s="1417"/>
    </row>
    <row r="223" spans="1:23" ht="1.5" customHeight="1" x14ac:dyDescent="0.25"/>
    <row r="224" spans="1:23" ht="11.25" customHeight="1" x14ac:dyDescent="0.25">
      <c r="A224" s="1418" t="s">
        <v>2003</v>
      </c>
      <c r="B224" s="1418"/>
      <c r="C224" s="1418"/>
      <c r="E224" s="1418" t="s">
        <v>11721</v>
      </c>
      <c r="F224" s="1418"/>
      <c r="G224" s="1418"/>
      <c r="H224" s="1418"/>
      <c r="I224" s="1418"/>
      <c r="J224" s="1418"/>
      <c r="K224" s="1417">
        <v>0</v>
      </c>
      <c r="L224" s="1417"/>
      <c r="N224" s="1417">
        <v>116215.16</v>
      </c>
      <c r="O224" s="1417"/>
      <c r="P224" s="1417"/>
      <c r="Q224" s="1417"/>
      <c r="R224" s="1417">
        <v>577263.99</v>
      </c>
      <c r="S224" s="1417"/>
      <c r="T224" s="1417"/>
      <c r="V224" s="1417">
        <v>693479.15</v>
      </c>
      <c r="W224" s="1417"/>
    </row>
    <row r="225" spans="1:23" ht="5.25" customHeight="1" x14ac:dyDescent="0.25"/>
    <row r="226" spans="1:23" ht="1.5" customHeight="1" x14ac:dyDescent="0.25"/>
    <row r="227" spans="1:23" ht="10.5" customHeight="1" x14ac:dyDescent="0.25">
      <c r="A227" s="1418" t="s">
        <v>2023</v>
      </c>
      <c r="B227" s="1418"/>
      <c r="C227" s="1418"/>
      <c r="E227" s="1418" t="s">
        <v>638</v>
      </c>
      <c r="F227" s="1418"/>
      <c r="G227" s="1418"/>
      <c r="H227" s="1418"/>
      <c r="I227" s="1418"/>
      <c r="J227" s="1418"/>
      <c r="K227" s="1417">
        <v>0</v>
      </c>
      <c r="L227" s="1417"/>
      <c r="N227" s="1417">
        <v>5408.05</v>
      </c>
      <c r="O227" s="1417"/>
      <c r="P227" s="1417"/>
      <c r="Q227" s="1417"/>
      <c r="R227" s="1417">
        <v>251126.8</v>
      </c>
      <c r="S227" s="1417"/>
      <c r="T227" s="1417"/>
      <c r="V227" s="1417">
        <v>256534.85</v>
      </c>
      <c r="W227" s="1417"/>
    </row>
    <row r="228" spans="1:23" ht="12.75" hidden="1" customHeight="1" x14ac:dyDescent="0.25"/>
    <row r="229" spans="1:23" ht="12" customHeight="1" x14ac:dyDescent="0.25">
      <c r="A229" s="1418" t="s">
        <v>11722</v>
      </c>
      <c r="B229" s="1418"/>
      <c r="C229" s="1418"/>
      <c r="E229" s="1418" t="s">
        <v>641</v>
      </c>
      <c r="F229" s="1418"/>
      <c r="G229" s="1418"/>
      <c r="H229" s="1418"/>
      <c r="I229" s="1418"/>
      <c r="J229" s="1418"/>
      <c r="K229" s="1417">
        <v>0</v>
      </c>
      <c r="L229" s="1417"/>
      <c r="N229" s="1417">
        <v>5408.05</v>
      </c>
      <c r="O229" s="1417"/>
      <c r="P229" s="1417"/>
      <c r="Q229" s="1417"/>
      <c r="R229" s="1417">
        <v>40080.29</v>
      </c>
      <c r="S229" s="1417"/>
      <c r="T229" s="1417"/>
      <c r="V229" s="1417">
        <v>45488.34</v>
      </c>
      <c r="W229" s="1417"/>
    </row>
    <row r="230" spans="1:23" ht="1.5" customHeight="1" x14ac:dyDescent="0.25"/>
    <row r="231" spans="1:23" ht="11.25" customHeight="1" x14ac:dyDescent="0.25">
      <c r="A231" s="1418" t="s">
        <v>11723</v>
      </c>
      <c r="B231" s="1418"/>
      <c r="C231" s="1418"/>
      <c r="E231" s="1418" t="s">
        <v>1973</v>
      </c>
      <c r="F231" s="1418"/>
      <c r="G231" s="1418"/>
      <c r="H231" s="1418"/>
      <c r="I231" s="1418"/>
      <c r="J231" s="1418"/>
      <c r="K231" s="1417">
        <v>0</v>
      </c>
      <c r="L231" s="1417"/>
      <c r="N231" s="1417">
        <v>5408.05</v>
      </c>
      <c r="O231" s="1417"/>
      <c r="P231" s="1417"/>
      <c r="Q231" s="1417"/>
      <c r="R231" s="1417">
        <v>40080.29</v>
      </c>
      <c r="S231" s="1417"/>
      <c r="T231" s="1417"/>
      <c r="V231" s="1417">
        <v>45488.34</v>
      </c>
      <c r="W231" s="1417"/>
    </row>
    <row r="232" spans="1:23" ht="12.75" hidden="1" customHeight="1" x14ac:dyDescent="0.25"/>
    <row r="233" spans="1:23" ht="12" customHeight="1" x14ac:dyDescent="0.25">
      <c r="A233" s="1418" t="s">
        <v>11724</v>
      </c>
      <c r="B233" s="1418"/>
      <c r="C233" s="1418"/>
      <c r="E233" s="1418" t="s">
        <v>11725</v>
      </c>
      <c r="F233" s="1418"/>
      <c r="G233" s="1418"/>
      <c r="H233" s="1418"/>
      <c r="I233" s="1418"/>
      <c r="J233" s="1418"/>
      <c r="K233" s="1417">
        <v>0</v>
      </c>
      <c r="L233" s="1417"/>
      <c r="N233" s="1417">
        <v>0</v>
      </c>
      <c r="O233" s="1417"/>
      <c r="P233" s="1417"/>
      <c r="Q233" s="1417"/>
      <c r="R233" s="1417">
        <v>142502.16</v>
      </c>
      <c r="S233" s="1417"/>
      <c r="T233" s="1417"/>
      <c r="V233" s="1417">
        <v>142502.16</v>
      </c>
      <c r="W233" s="1417"/>
    </row>
    <row r="234" spans="1:23" ht="1.5" customHeight="1" x14ac:dyDescent="0.25"/>
    <row r="235" spans="1:23" ht="11.25" customHeight="1" x14ac:dyDescent="0.25">
      <c r="A235" s="1418" t="s">
        <v>11726</v>
      </c>
      <c r="B235" s="1418"/>
      <c r="C235" s="1418"/>
      <c r="E235" s="1418" t="s">
        <v>2022</v>
      </c>
      <c r="F235" s="1418"/>
      <c r="G235" s="1418"/>
      <c r="H235" s="1418"/>
      <c r="I235" s="1418"/>
      <c r="J235" s="1418"/>
      <c r="K235" s="1417">
        <v>0</v>
      </c>
      <c r="L235" s="1417"/>
      <c r="N235" s="1417">
        <v>0</v>
      </c>
      <c r="O235" s="1417"/>
      <c r="P235" s="1417"/>
      <c r="Q235" s="1417"/>
      <c r="R235" s="1417">
        <v>142502.16</v>
      </c>
      <c r="S235" s="1417"/>
      <c r="T235" s="1417"/>
      <c r="V235" s="1417">
        <v>142502.16</v>
      </c>
      <c r="W235" s="1417"/>
    </row>
    <row r="236" spans="1:23" ht="12.75" hidden="1" customHeight="1" x14ac:dyDescent="0.25"/>
    <row r="237" spans="1:23" ht="12" customHeight="1" x14ac:dyDescent="0.25">
      <c r="A237" s="1418" t="s">
        <v>2024</v>
      </c>
      <c r="B237" s="1418"/>
      <c r="C237" s="1418"/>
      <c r="E237" s="1418" t="s">
        <v>730</v>
      </c>
      <c r="F237" s="1418"/>
      <c r="G237" s="1418"/>
      <c r="H237" s="1418"/>
      <c r="I237" s="1418"/>
      <c r="J237" s="1418"/>
      <c r="K237" s="1417">
        <v>0</v>
      </c>
      <c r="L237" s="1417"/>
      <c r="N237" s="1417">
        <v>0</v>
      </c>
      <c r="O237" s="1417"/>
      <c r="P237" s="1417"/>
      <c r="Q237" s="1417"/>
      <c r="R237" s="1417">
        <v>68544.350000000006</v>
      </c>
      <c r="S237" s="1417"/>
      <c r="T237" s="1417"/>
      <c r="V237" s="1417">
        <v>68544.350000000006</v>
      </c>
      <c r="W237" s="1417"/>
    </row>
    <row r="238" spans="1:23" ht="1.5" customHeight="1" x14ac:dyDescent="0.25"/>
    <row r="239" spans="1:23" ht="11.25" customHeight="1" x14ac:dyDescent="0.25">
      <c r="A239" s="1418" t="s">
        <v>2025</v>
      </c>
      <c r="B239" s="1418"/>
      <c r="C239" s="1418"/>
      <c r="E239" s="1418" t="s">
        <v>2026</v>
      </c>
      <c r="F239" s="1418"/>
      <c r="G239" s="1418"/>
      <c r="H239" s="1418"/>
      <c r="I239" s="1418"/>
      <c r="J239" s="1418"/>
      <c r="K239" s="1417">
        <v>0</v>
      </c>
      <c r="L239" s="1417"/>
      <c r="N239" s="1417">
        <v>0</v>
      </c>
      <c r="O239" s="1417"/>
      <c r="P239" s="1417"/>
      <c r="Q239" s="1417"/>
      <c r="R239" s="1417">
        <v>68544.350000000006</v>
      </c>
      <c r="S239" s="1417"/>
      <c r="T239" s="1417"/>
      <c r="V239" s="1417">
        <v>68544.350000000006</v>
      </c>
      <c r="W239" s="1417"/>
    </row>
    <row r="240" spans="1:23" ht="5.25" customHeight="1" x14ac:dyDescent="0.25"/>
    <row r="241" spans="1:23" ht="1.5" customHeight="1" x14ac:dyDescent="0.25"/>
    <row r="242" spans="1:23" ht="10.5" customHeight="1" x14ac:dyDescent="0.25">
      <c r="A242" s="1418" t="s">
        <v>1995</v>
      </c>
      <c r="B242" s="1418"/>
      <c r="C242" s="1418"/>
      <c r="E242" s="1418" t="s">
        <v>639</v>
      </c>
      <c r="F242" s="1418"/>
      <c r="G242" s="1418"/>
      <c r="H242" s="1418"/>
      <c r="I242" s="1418"/>
      <c r="J242" s="1418"/>
      <c r="K242" s="1417">
        <v>383338.67</v>
      </c>
      <c r="L242" s="1417"/>
      <c r="N242" s="1417">
        <v>0</v>
      </c>
      <c r="O242" s="1417"/>
      <c r="P242" s="1417"/>
      <c r="Q242" s="1417"/>
      <c r="R242" s="1417">
        <v>0</v>
      </c>
      <c r="S242" s="1417"/>
      <c r="T242" s="1417"/>
      <c r="V242" s="1417">
        <v>383338.67</v>
      </c>
      <c r="W242" s="1417"/>
    </row>
    <row r="243" spans="1:23" ht="12.75" hidden="1" customHeight="1" x14ac:dyDescent="0.25"/>
    <row r="244" spans="1:23" ht="12" customHeight="1" x14ac:dyDescent="0.25">
      <c r="A244" s="1418" t="s">
        <v>1996</v>
      </c>
      <c r="B244" s="1418"/>
      <c r="C244" s="1418"/>
      <c r="E244" s="1418" t="s">
        <v>656</v>
      </c>
      <c r="F244" s="1418"/>
      <c r="G244" s="1418"/>
      <c r="H244" s="1418"/>
      <c r="I244" s="1418"/>
      <c r="J244" s="1418"/>
      <c r="K244" s="1417">
        <v>383338.67</v>
      </c>
      <c r="L244" s="1417"/>
      <c r="N244" s="1417">
        <v>0</v>
      </c>
      <c r="O244" s="1417"/>
      <c r="P244" s="1417"/>
      <c r="Q244" s="1417"/>
      <c r="R244" s="1417">
        <v>0</v>
      </c>
      <c r="S244" s="1417"/>
      <c r="T244" s="1417"/>
      <c r="V244" s="1417">
        <v>383338.67</v>
      </c>
      <c r="W244" s="1417"/>
    </row>
    <row r="245" spans="1:23" ht="1.5" customHeight="1" x14ac:dyDescent="0.25"/>
    <row r="246" spans="1:23" ht="11.25" customHeight="1" x14ac:dyDescent="0.25">
      <c r="A246" s="1418" t="s">
        <v>1996</v>
      </c>
      <c r="B246" s="1418"/>
      <c r="C246" s="1418"/>
      <c r="K246" s="1417">
        <v>383338.67</v>
      </c>
      <c r="L246" s="1417"/>
      <c r="N246" s="1417">
        <v>0</v>
      </c>
      <c r="O246" s="1417"/>
      <c r="P246" s="1417"/>
      <c r="Q246" s="1417"/>
      <c r="R246" s="1417">
        <v>0</v>
      </c>
      <c r="S246" s="1417"/>
      <c r="T246" s="1417"/>
      <c r="V246" s="1417">
        <v>383338.67</v>
      </c>
      <c r="W246" s="1417"/>
    </row>
    <row r="247" spans="1:23" ht="5.25" customHeight="1" x14ac:dyDescent="0.25"/>
    <row r="248" spans="1:23" ht="1.5" customHeight="1" x14ac:dyDescent="0.25"/>
    <row r="249" spans="1:23" ht="10.5" customHeight="1" x14ac:dyDescent="0.25">
      <c r="A249" s="1418" t="s">
        <v>2049</v>
      </c>
      <c r="B249" s="1418"/>
      <c r="C249" s="1418"/>
      <c r="E249" s="1418" t="s">
        <v>139</v>
      </c>
      <c r="F249" s="1418"/>
      <c r="G249" s="1418"/>
      <c r="H249" s="1418"/>
      <c r="I249" s="1418"/>
      <c r="J249" s="1418"/>
      <c r="K249" s="1417">
        <v>0</v>
      </c>
      <c r="L249" s="1417"/>
      <c r="N249" s="1417">
        <v>0</v>
      </c>
      <c r="O249" s="1417"/>
      <c r="P249" s="1417"/>
      <c r="Q249" s="1417"/>
      <c r="R249" s="1417">
        <v>183000</v>
      </c>
      <c r="S249" s="1417"/>
      <c r="T249" s="1417"/>
      <c r="V249" s="1417">
        <v>183000</v>
      </c>
      <c r="W249" s="1417"/>
    </row>
    <row r="250" spans="1:23" ht="12.75" hidden="1" customHeight="1" x14ac:dyDescent="0.25"/>
    <row r="251" spans="1:23" ht="12" customHeight="1" x14ac:dyDescent="0.25">
      <c r="A251" s="1418" t="s">
        <v>2050</v>
      </c>
      <c r="B251" s="1418"/>
      <c r="C251" s="1418"/>
      <c r="E251" s="1418" t="s">
        <v>139</v>
      </c>
      <c r="F251" s="1418"/>
      <c r="G251" s="1418"/>
      <c r="H251" s="1418"/>
      <c r="I251" s="1418"/>
      <c r="J251" s="1418"/>
      <c r="K251" s="1417">
        <v>0</v>
      </c>
      <c r="L251" s="1417"/>
      <c r="N251" s="1417">
        <v>0</v>
      </c>
      <c r="O251" s="1417"/>
      <c r="P251" s="1417"/>
      <c r="Q251" s="1417"/>
      <c r="R251" s="1417">
        <v>183000</v>
      </c>
      <c r="S251" s="1417"/>
      <c r="T251" s="1417"/>
      <c r="V251" s="1417">
        <v>183000</v>
      </c>
      <c r="W251" s="1417"/>
    </row>
    <row r="252" spans="1:23" ht="1.5" customHeight="1" x14ac:dyDescent="0.25"/>
    <row r="253" spans="1:23" ht="11.25" customHeight="1" x14ac:dyDescent="0.25">
      <c r="A253" s="1418" t="s">
        <v>11727</v>
      </c>
      <c r="B253" s="1418"/>
      <c r="C253" s="1418"/>
      <c r="E253" s="1418" t="s">
        <v>1973</v>
      </c>
      <c r="F253" s="1418"/>
      <c r="G253" s="1418"/>
      <c r="H253" s="1418"/>
      <c r="I253" s="1418"/>
      <c r="J253" s="1418"/>
      <c r="K253" s="1417">
        <v>0</v>
      </c>
      <c r="L253" s="1417"/>
      <c r="N253" s="1417">
        <v>0</v>
      </c>
      <c r="O253" s="1417"/>
      <c r="P253" s="1417"/>
      <c r="Q253" s="1417"/>
      <c r="R253" s="1417">
        <v>183000</v>
      </c>
      <c r="S253" s="1417"/>
      <c r="T253" s="1417"/>
      <c r="V253" s="1417">
        <v>183000</v>
      </c>
      <c r="W253" s="1417"/>
    </row>
    <row r="254" spans="1:23" ht="5.25" customHeight="1" x14ac:dyDescent="0.25"/>
    <row r="255" spans="1:23" ht="5.25" customHeight="1" x14ac:dyDescent="0.25"/>
    <row r="256" spans="1:23" ht="15" customHeight="1" x14ac:dyDescent="0.25">
      <c r="F256" s="1420" t="s">
        <v>0</v>
      </c>
      <c r="G256" s="1420"/>
      <c r="H256" s="1420"/>
      <c r="K256" s="1425">
        <v>383338.67</v>
      </c>
      <c r="L256" s="1425"/>
      <c r="N256" s="1425">
        <v>1414939.41</v>
      </c>
      <c r="O256" s="1425"/>
      <c r="P256" s="1425"/>
      <c r="Q256" s="1425"/>
      <c r="R256" s="1425">
        <v>16501721.92</v>
      </c>
      <c r="S256" s="1425"/>
      <c r="T256" s="1425"/>
      <c r="V256" s="1425">
        <v>18300000</v>
      </c>
      <c r="W256" s="1425"/>
    </row>
    <row r="257" ht="15" customHeight="1" x14ac:dyDescent="0.25"/>
    <row r="258" ht="9.75" customHeight="1" x14ac:dyDescent="0.25"/>
    <row r="259" ht="91.5" customHeight="1" x14ac:dyDescent="0.25"/>
    <row r="260" ht="409.6" customHeight="1" x14ac:dyDescent="0.25"/>
    <row r="261" ht="19.5" customHeight="1" x14ac:dyDescent="0.25"/>
  </sheetData>
  <mergeCells count="700">
    <mergeCell ref="A233:C233"/>
    <mergeCell ref="E233:J233"/>
    <mergeCell ref="K233:L233"/>
    <mergeCell ref="N233:Q233"/>
    <mergeCell ref="R233:T233"/>
    <mergeCell ref="V233:W233"/>
    <mergeCell ref="K249:L249"/>
    <mergeCell ref="N249:Q249"/>
    <mergeCell ref="A231:C231"/>
    <mergeCell ref="E231:J231"/>
    <mergeCell ref="K231:L231"/>
    <mergeCell ref="N231:Q231"/>
    <mergeCell ref="R231:T231"/>
    <mergeCell ref="V231:W231"/>
    <mergeCell ref="A246:C246"/>
    <mergeCell ref="K246:L246"/>
    <mergeCell ref="A244:C244"/>
    <mergeCell ref="E244:J244"/>
    <mergeCell ref="K244:L244"/>
    <mergeCell ref="N244:Q244"/>
    <mergeCell ref="R244:T244"/>
    <mergeCell ref="V244:W244"/>
    <mergeCell ref="A229:C229"/>
    <mergeCell ref="E229:J229"/>
    <mergeCell ref="K229:L229"/>
    <mergeCell ref="N229:Q229"/>
    <mergeCell ref="R229:T229"/>
    <mergeCell ref="V229:W229"/>
    <mergeCell ref="A137:C137"/>
    <mergeCell ref="E137:J137"/>
    <mergeCell ref="K137:L137"/>
    <mergeCell ref="N137:Q137"/>
    <mergeCell ref="R137:T137"/>
    <mergeCell ref="V137:W137"/>
    <mergeCell ref="A146:C146"/>
    <mergeCell ref="E146:J146"/>
    <mergeCell ref="K146:L146"/>
    <mergeCell ref="N146:Q146"/>
    <mergeCell ref="E215:J215"/>
    <mergeCell ref="K215:L215"/>
    <mergeCell ref="N215:Q215"/>
    <mergeCell ref="A222:C222"/>
    <mergeCell ref="E222:J222"/>
    <mergeCell ref="K222:L222"/>
    <mergeCell ref="N222:Q222"/>
    <mergeCell ref="R199:T199"/>
    <mergeCell ref="A124:C124"/>
    <mergeCell ref="E124:J124"/>
    <mergeCell ref="K124:L124"/>
    <mergeCell ref="N124:Q124"/>
    <mergeCell ref="R124:T124"/>
    <mergeCell ref="V124:W124"/>
    <mergeCell ref="R126:T126"/>
    <mergeCell ref="V126:W126"/>
    <mergeCell ref="A135:C135"/>
    <mergeCell ref="E135:J135"/>
    <mergeCell ref="K135:L135"/>
    <mergeCell ref="N135:Q135"/>
    <mergeCell ref="R135:T135"/>
    <mergeCell ref="V135:W135"/>
    <mergeCell ref="A126:C126"/>
    <mergeCell ref="E126:J126"/>
    <mergeCell ref="K126:L126"/>
    <mergeCell ref="N126:Q126"/>
    <mergeCell ref="R134:T134"/>
    <mergeCell ref="V134:W134"/>
    <mergeCell ref="A132:C132"/>
    <mergeCell ref="E132:J132"/>
    <mergeCell ref="K132:L132"/>
    <mergeCell ref="N132:Q132"/>
    <mergeCell ref="A118:C118"/>
    <mergeCell ref="E118:J118"/>
    <mergeCell ref="K118:L118"/>
    <mergeCell ref="N118:Q118"/>
    <mergeCell ref="A120:C120"/>
    <mergeCell ref="E120:J120"/>
    <mergeCell ref="K120:L120"/>
    <mergeCell ref="N120:Q120"/>
    <mergeCell ref="A122:C122"/>
    <mergeCell ref="E122:J122"/>
    <mergeCell ref="K122:L122"/>
    <mergeCell ref="N122:Q122"/>
    <mergeCell ref="A106:C106"/>
    <mergeCell ref="E106:J106"/>
    <mergeCell ref="K106:L106"/>
    <mergeCell ref="N106:Q106"/>
    <mergeCell ref="A114:C114"/>
    <mergeCell ref="E114:J114"/>
    <mergeCell ref="K114:L114"/>
    <mergeCell ref="N114:Q114"/>
    <mergeCell ref="A112:C112"/>
    <mergeCell ref="E112:J112"/>
    <mergeCell ref="A85:C85"/>
    <mergeCell ref="E85:J85"/>
    <mergeCell ref="K85:L85"/>
    <mergeCell ref="N85:Q85"/>
    <mergeCell ref="A87:C87"/>
    <mergeCell ref="E87:J87"/>
    <mergeCell ref="K87:L87"/>
    <mergeCell ref="N87:Q87"/>
    <mergeCell ref="A98:C98"/>
    <mergeCell ref="E98:J98"/>
    <mergeCell ref="K98:L98"/>
    <mergeCell ref="N98:Q98"/>
    <mergeCell ref="A79:C79"/>
    <mergeCell ref="E79:J79"/>
    <mergeCell ref="K79:L79"/>
    <mergeCell ref="N79:Q79"/>
    <mergeCell ref="A81:C81"/>
    <mergeCell ref="E81:J81"/>
    <mergeCell ref="K81:L81"/>
    <mergeCell ref="N81:Q81"/>
    <mergeCell ref="A83:C83"/>
    <mergeCell ref="E83:J83"/>
    <mergeCell ref="K83:L83"/>
    <mergeCell ref="N83:Q83"/>
    <mergeCell ref="E75:J75"/>
    <mergeCell ref="K75:L75"/>
    <mergeCell ref="N75:Q75"/>
    <mergeCell ref="R75:T75"/>
    <mergeCell ref="V75:W75"/>
    <mergeCell ref="E77:J77"/>
    <mergeCell ref="K77:L77"/>
    <mergeCell ref="N77:Q77"/>
    <mergeCell ref="R77:T77"/>
    <mergeCell ref="V77:W77"/>
    <mergeCell ref="V60:W60"/>
    <mergeCell ref="R62:T62"/>
    <mergeCell ref="V62:W62"/>
    <mergeCell ref="A58:C58"/>
    <mergeCell ref="E58:J58"/>
    <mergeCell ref="K58:L58"/>
    <mergeCell ref="N58:Q58"/>
    <mergeCell ref="A60:C60"/>
    <mergeCell ref="E60:J60"/>
    <mergeCell ref="A71:C71"/>
    <mergeCell ref="E71:J71"/>
    <mergeCell ref="K71:L71"/>
    <mergeCell ref="N71:Q71"/>
    <mergeCell ref="R71:T71"/>
    <mergeCell ref="V71:W71"/>
    <mergeCell ref="A73:C73"/>
    <mergeCell ref="E73:J73"/>
    <mergeCell ref="K73:L73"/>
    <mergeCell ref="N73:Q73"/>
    <mergeCell ref="R73:T73"/>
    <mergeCell ref="V73:W73"/>
    <mergeCell ref="A52:C52"/>
    <mergeCell ref="E52:J52"/>
    <mergeCell ref="K52:L52"/>
    <mergeCell ref="N52:Q52"/>
    <mergeCell ref="R52:T52"/>
    <mergeCell ref="V52:W52"/>
    <mergeCell ref="A54:C54"/>
    <mergeCell ref="E54:J54"/>
    <mergeCell ref="K54:L54"/>
    <mergeCell ref="N54:Q54"/>
    <mergeCell ref="R54:T54"/>
    <mergeCell ref="V54:W54"/>
    <mergeCell ref="A25:C25"/>
    <mergeCell ref="E25:J25"/>
    <mergeCell ref="K25:L25"/>
    <mergeCell ref="N25:Q25"/>
    <mergeCell ref="A27:C27"/>
    <mergeCell ref="E27:J27"/>
    <mergeCell ref="K27:L27"/>
    <mergeCell ref="N27:Q27"/>
    <mergeCell ref="R27:T27"/>
    <mergeCell ref="E31:J31"/>
    <mergeCell ref="K31:L31"/>
    <mergeCell ref="N31:Q31"/>
    <mergeCell ref="R31:T31"/>
    <mergeCell ref="A42:C42"/>
    <mergeCell ref="E42:J42"/>
    <mergeCell ref="K42:L42"/>
    <mergeCell ref="N42:Q42"/>
    <mergeCell ref="R42:T42"/>
    <mergeCell ref="A31:C31"/>
    <mergeCell ref="A37:C37"/>
    <mergeCell ref="E37:J37"/>
    <mergeCell ref="K37:L37"/>
    <mergeCell ref="N37:Q37"/>
    <mergeCell ref="A39:C39"/>
    <mergeCell ref="E39:J39"/>
    <mergeCell ref="K39:L39"/>
    <mergeCell ref="N39:Q39"/>
    <mergeCell ref="A19:C19"/>
    <mergeCell ref="E19:J19"/>
    <mergeCell ref="K19:L19"/>
    <mergeCell ref="N19:Q19"/>
    <mergeCell ref="A21:C21"/>
    <mergeCell ref="E21:J21"/>
    <mergeCell ref="K21:L21"/>
    <mergeCell ref="N21:Q21"/>
    <mergeCell ref="A23:C23"/>
    <mergeCell ref="E23:J23"/>
    <mergeCell ref="K23:L23"/>
    <mergeCell ref="N23:Q23"/>
    <mergeCell ref="A29:C29"/>
    <mergeCell ref="E29:J29"/>
    <mergeCell ref="K29:L29"/>
    <mergeCell ref="N29:Q29"/>
    <mergeCell ref="R29:T29"/>
    <mergeCell ref="V29:W29"/>
    <mergeCell ref="R249:T249"/>
    <mergeCell ref="V249:W249"/>
    <mergeCell ref="A249:C249"/>
    <mergeCell ref="E249:J249"/>
    <mergeCell ref="A239:C239"/>
    <mergeCell ref="E239:J239"/>
    <mergeCell ref="K239:L239"/>
    <mergeCell ref="N239:Q239"/>
    <mergeCell ref="N246:Q246"/>
    <mergeCell ref="R246:T246"/>
    <mergeCell ref="V246:W246"/>
    <mergeCell ref="R215:T215"/>
    <mergeCell ref="V215:W215"/>
    <mergeCell ref="R220:T220"/>
    <mergeCell ref="V220:W220"/>
    <mergeCell ref="R222:T222"/>
    <mergeCell ref="V222:W222"/>
    <mergeCell ref="A215:C215"/>
    <mergeCell ref="R256:T256"/>
    <mergeCell ref="V256:W256"/>
    <mergeCell ref="A108:C108"/>
    <mergeCell ref="E108:J108"/>
    <mergeCell ref="K108:L108"/>
    <mergeCell ref="N108:Q108"/>
    <mergeCell ref="R108:T108"/>
    <mergeCell ref="V108:W108"/>
    <mergeCell ref="A110:C110"/>
    <mergeCell ref="E110:J110"/>
    <mergeCell ref="K110:L110"/>
    <mergeCell ref="N110:Q110"/>
    <mergeCell ref="R110:T110"/>
    <mergeCell ref="V110:W110"/>
    <mergeCell ref="R114:T114"/>
    <mergeCell ref="V114:W114"/>
    <mergeCell ref="A116:C116"/>
    <mergeCell ref="E116:J116"/>
    <mergeCell ref="K116:L116"/>
    <mergeCell ref="N116:Q116"/>
    <mergeCell ref="R239:T239"/>
    <mergeCell ref="V239:W239"/>
    <mergeCell ref="R237:T237"/>
    <mergeCell ref="V237:W237"/>
    <mergeCell ref="V199:W199"/>
    <mergeCell ref="R211:T211"/>
    <mergeCell ref="V211:W211"/>
    <mergeCell ref="R213:T213"/>
    <mergeCell ref="V213:W213"/>
    <mergeCell ref="A213:C213"/>
    <mergeCell ref="E213:J213"/>
    <mergeCell ref="K213:L213"/>
    <mergeCell ref="N213:Q213"/>
    <mergeCell ref="A199:C199"/>
    <mergeCell ref="E199:J199"/>
    <mergeCell ref="K199:L199"/>
    <mergeCell ref="N199:Q199"/>
    <mergeCell ref="A211:C211"/>
    <mergeCell ref="E211:J211"/>
    <mergeCell ref="K211:L211"/>
    <mergeCell ref="N211:Q211"/>
    <mergeCell ref="A201:C201"/>
    <mergeCell ref="K201:L201"/>
    <mergeCell ref="N201:Q201"/>
    <mergeCell ref="R201:T201"/>
    <mergeCell ref="V201:W201"/>
    <mergeCell ref="A209:C209"/>
    <mergeCell ref="E209:J209"/>
    <mergeCell ref="R190:T190"/>
    <mergeCell ref="V190:W190"/>
    <mergeCell ref="R192:T192"/>
    <mergeCell ref="V192:W192"/>
    <mergeCell ref="A192:C192"/>
    <mergeCell ref="E192:J192"/>
    <mergeCell ref="K192:L192"/>
    <mergeCell ref="N192:Q192"/>
    <mergeCell ref="A186:C186"/>
    <mergeCell ref="E186:J186"/>
    <mergeCell ref="K186:L186"/>
    <mergeCell ref="N186:Q186"/>
    <mergeCell ref="R186:T186"/>
    <mergeCell ref="A190:C190"/>
    <mergeCell ref="E190:J190"/>
    <mergeCell ref="K190:L190"/>
    <mergeCell ref="N190:Q190"/>
    <mergeCell ref="V188:W188"/>
    <mergeCell ref="K188:L188"/>
    <mergeCell ref="N188:Q188"/>
    <mergeCell ref="A150:C150"/>
    <mergeCell ref="E150:J150"/>
    <mergeCell ref="K150:L150"/>
    <mergeCell ref="N150:Q150"/>
    <mergeCell ref="R150:T150"/>
    <mergeCell ref="V150:W150"/>
    <mergeCell ref="R165:T165"/>
    <mergeCell ref="V165:W165"/>
    <mergeCell ref="R175:T175"/>
    <mergeCell ref="V175:W175"/>
    <mergeCell ref="A159:C159"/>
    <mergeCell ref="E159:J159"/>
    <mergeCell ref="K159:L159"/>
    <mergeCell ref="N159:Q159"/>
    <mergeCell ref="R159:T159"/>
    <mergeCell ref="V159:W159"/>
    <mergeCell ref="A172:C172"/>
    <mergeCell ref="E172:J172"/>
    <mergeCell ref="K172:L172"/>
    <mergeCell ref="N172:Q172"/>
    <mergeCell ref="R172:T172"/>
    <mergeCell ref="A152:C152"/>
    <mergeCell ref="E152:J152"/>
    <mergeCell ref="K152:L152"/>
    <mergeCell ref="A143:C143"/>
    <mergeCell ref="E143:J143"/>
    <mergeCell ref="K143:L143"/>
    <mergeCell ref="N143:Q143"/>
    <mergeCell ref="R143:T143"/>
    <mergeCell ref="V143:W143"/>
    <mergeCell ref="R146:T146"/>
    <mergeCell ref="V146:W146"/>
    <mergeCell ref="R148:T148"/>
    <mergeCell ref="V148:W148"/>
    <mergeCell ref="A148:C148"/>
    <mergeCell ref="E148:J148"/>
    <mergeCell ref="K148:L148"/>
    <mergeCell ref="N148:Q148"/>
    <mergeCell ref="A134:C134"/>
    <mergeCell ref="E134:J134"/>
    <mergeCell ref="K134:L134"/>
    <mergeCell ref="N134:Q134"/>
    <mergeCell ref="R106:T106"/>
    <mergeCell ref="V106:W106"/>
    <mergeCell ref="R116:T116"/>
    <mergeCell ref="V116:W116"/>
    <mergeCell ref="R118:T118"/>
    <mergeCell ref="V118:W118"/>
    <mergeCell ref="R120:T120"/>
    <mergeCell ref="V120:W120"/>
    <mergeCell ref="R132:T132"/>
    <mergeCell ref="V132:W132"/>
    <mergeCell ref="R122:T122"/>
    <mergeCell ref="V122:W122"/>
    <mergeCell ref="K112:L112"/>
    <mergeCell ref="N112:Q112"/>
    <mergeCell ref="R112:T112"/>
    <mergeCell ref="V112:W112"/>
    <mergeCell ref="A128:C128"/>
    <mergeCell ref="E128:J128"/>
    <mergeCell ref="K128:L128"/>
    <mergeCell ref="N128:Q128"/>
    <mergeCell ref="R102:T102"/>
    <mergeCell ref="A95:C95"/>
    <mergeCell ref="E95:J95"/>
    <mergeCell ref="K95:L95"/>
    <mergeCell ref="N95:Q95"/>
    <mergeCell ref="R95:T95"/>
    <mergeCell ref="R98:T98"/>
    <mergeCell ref="A100:C100"/>
    <mergeCell ref="E100:J100"/>
    <mergeCell ref="K100:L100"/>
    <mergeCell ref="N100:Q100"/>
    <mergeCell ref="R100:T100"/>
    <mergeCell ref="A102:C102"/>
    <mergeCell ref="E102:J102"/>
    <mergeCell ref="K102:L102"/>
    <mergeCell ref="N102:Q102"/>
    <mergeCell ref="A56:C56"/>
    <mergeCell ref="E56:J56"/>
    <mergeCell ref="K56:L56"/>
    <mergeCell ref="N56:Q56"/>
    <mergeCell ref="R56:T56"/>
    <mergeCell ref="K60:L60"/>
    <mergeCell ref="N60:Q60"/>
    <mergeCell ref="A62:C62"/>
    <mergeCell ref="E62:J62"/>
    <mergeCell ref="K62:L62"/>
    <mergeCell ref="N62:Q62"/>
    <mergeCell ref="R60:T60"/>
    <mergeCell ref="A44:C44"/>
    <mergeCell ref="E44:J44"/>
    <mergeCell ref="K44:L44"/>
    <mergeCell ref="N44:Q44"/>
    <mergeCell ref="R44:T44"/>
    <mergeCell ref="A50:C50"/>
    <mergeCell ref="E50:J50"/>
    <mergeCell ref="K50:L50"/>
    <mergeCell ref="N50:Q50"/>
    <mergeCell ref="R50:T50"/>
    <mergeCell ref="A46:C46"/>
    <mergeCell ref="E46:J46"/>
    <mergeCell ref="K46:L46"/>
    <mergeCell ref="N46:Q46"/>
    <mergeCell ref="R46:T46"/>
    <mergeCell ref="A48:C48"/>
    <mergeCell ref="E48:J48"/>
    <mergeCell ref="K48:L48"/>
    <mergeCell ref="N48:Q48"/>
    <mergeCell ref="R48:T48"/>
    <mergeCell ref="R16:T16"/>
    <mergeCell ref="V16:W16"/>
    <mergeCell ref="R19:T19"/>
    <mergeCell ref="V19:W19"/>
    <mergeCell ref="R21:T21"/>
    <mergeCell ref="V21:W21"/>
    <mergeCell ref="R23:T23"/>
    <mergeCell ref="V23:W23"/>
    <mergeCell ref="R58:T58"/>
    <mergeCell ref="R25:T25"/>
    <mergeCell ref="V25:W25"/>
    <mergeCell ref="V31:W31"/>
    <mergeCell ref="V42:W42"/>
    <mergeCell ref="V27:W27"/>
    <mergeCell ref="V44:W44"/>
    <mergeCell ref="V46:W46"/>
    <mergeCell ref="V48:W48"/>
    <mergeCell ref="V50:W50"/>
    <mergeCell ref="V56:W56"/>
    <mergeCell ref="V58:W58"/>
    <mergeCell ref="F256:H256"/>
    <mergeCell ref="K256:L256"/>
    <mergeCell ref="N256:Q256"/>
    <mergeCell ref="V186:W186"/>
    <mergeCell ref="A16:C16"/>
    <mergeCell ref="E16:J16"/>
    <mergeCell ref="K16:L16"/>
    <mergeCell ref="N16:Q16"/>
    <mergeCell ref="A33:C33"/>
    <mergeCell ref="E33:J33"/>
    <mergeCell ref="K33:L33"/>
    <mergeCell ref="N33:Q33"/>
    <mergeCell ref="R33:T33"/>
    <mergeCell ref="V33:W33"/>
    <mergeCell ref="A35:C35"/>
    <mergeCell ref="E35:J35"/>
    <mergeCell ref="K35:L35"/>
    <mergeCell ref="R37:T37"/>
    <mergeCell ref="V37:W37"/>
    <mergeCell ref="R39:T39"/>
    <mergeCell ref="V39:W39"/>
    <mergeCell ref="N35:Q35"/>
    <mergeCell ref="R35:T35"/>
    <mergeCell ref="V35:W35"/>
    <mergeCell ref="K253:L253"/>
    <mergeCell ref="N253:Q253"/>
    <mergeCell ref="R253:T253"/>
    <mergeCell ref="V253:W253"/>
    <mergeCell ref="A251:C251"/>
    <mergeCell ref="E251:J251"/>
    <mergeCell ref="K251:L251"/>
    <mergeCell ref="N251:Q251"/>
    <mergeCell ref="R251:T251"/>
    <mergeCell ref="V251:W251"/>
    <mergeCell ref="A253:C253"/>
    <mergeCell ref="E253:J253"/>
    <mergeCell ref="A67:C67"/>
    <mergeCell ref="E67:J67"/>
    <mergeCell ref="K67:L67"/>
    <mergeCell ref="N67:Q67"/>
    <mergeCell ref="R67:T67"/>
    <mergeCell ref="V67:W67"/>
    <mergeCell ref="A69:C69"/>
    <mergeCell ref="E69:J69"/>
    <mergeCell ref="K69:L69"/>
    <mergeCell ref="N69:Q69"/>
    <mergeCell ref="R69:T69"/>
    <mergeCell ref="V69:W69"/>
    <mergeCell ref="R79:T79"/>
    <mergeCell ref="V79:W79"/>
    <mergeCell ref="R81:T81"/>
    <mergeCell ref="V81:W81"/>
    <mergeCell ref="R83:T83"/>
    <mergeCell ref="V83:W83"/>
    <mergeCell ref="A242:C242"/>
    <mergeCell ref="E242:J242"/>
    <mergeCell ref="K242:L242"/>
    <mergeCell ref="N242:Q242"/>
    <mergeCell ref="R242:T242"/>
    <mergeCell ref="V242:W242"/>
    <mergeCell ref="A235:C235"/>
    <mergeCell ref="E235:J235"/>
    <mergeCell ref="K235:L235"/>
    <mergeCell ref="N235:Q235"/>
    <mergeCell ref="R235:T235"/>
    <mergeCell ref="V235:W235"/>
    <mergeCell ref="A237:C237"/>
    <mergeCell ref="E237:J237"/>
    <mergeCell ref="K237:L237"/>
    <mergeCell ref="N237:Q237"/>
    <mergeCell ref="E227:J227"/>
    <mergeCell ref="K227:L227"/>
    <mergeCell ref="N227:Q227"/>
    <mergeCell ref="R227:T227"/>
    <mergeCell ref="V227:W227"/>
    <mergeCell ref="A224:C224"/>
    <mergeCell ref="E224:J224"/>
    <mergeCell ref="K224:L224"/>
    <mergeCell ref="N224:Q224"/>
    <mergeCell ref="R224:T224"/>
    <mergeCell ref="V224:W224"/>
    <mergeCell ref="A227:C227"/>
    <mergeCell ref="A217:C217"/>
    <mergeCell ref="E217:J217"/>
    <mergeCell ref="K217:L217"/>
    <mergeCell ref="N217:Q217"/>
    <mergeCell ref="R217:T217"/>
    <mergeCell ref="V217:W217"/>
    <mergeCell ref="A220:C220"/>
    <mergeCell ref="E220:J220"/>
    <mergeCell ref="K220:L220"/>
    <mergeCell ref="N220:Q220"/>
    <mergeCell ref="K209:L209"/>
    <mergeCell ref="N209:Q209"/>
    <mergeCell ref="R209:T209"/>
    <mergeCell ref="V209:W209"/>
    <mergeCell ref="A207:C207"/>
    <mergeCell ref="E207:J207"/>
    <mergeCell ref="K207:L207"/>
    <mergeCell ref="N207:Q207"/>
    <mergeCell ref="R207:T207"/>
    <mergeCell ref="V207:W207"/>
    <mergeCell ref="A205:C205"/>
    <mergeCell ref="E205:J205"/>
    <mergeCell ref="K205:L205"/>
    <mergeCell ref="N205:Q205"/>
    <mergeCell ref="R205:T205"/>
    <mergeCell ref="V205:W205"/>
    <mergeCell ref="A203:C203"/>
    <mergeCell ref="E203:J203"/>
    <mergeCell ref="K203:L203"/>
    <mergeCell ref="N203:Q203"/>
    <mergeCell ref="R203:T203"/>
    <mergeCell ref="V203:W203"/>
    <mergeCell ref="V195:W195"/>
    <mergeCell ref="A197:C197"/>
    <mergeCell ref="E197:J197"/>
    <mergeCell ref="K197:L197"/>
    <mergeCell ref="N197:Q197"/>
    <mergeCell ref="R197:T197"/>
    <mergeCell ref="V197:W197"/>
    <mergeCell ref="A195:C195"/>
    <mergeCell ref="E195:J195"/>
    <mergeCell ref="K195:L195"/>
    <mergeCell ref="N195:Q195"/>
    <mergeCell ref="R195:T195"/>
    <mergeCell ref="A157:C157"/>
    <mergeCell ref="E157:J157"/>
    <mergeCell ref="K157:L157"/>
    <mergeCell ref="N157:Q157"/>
    <mergeCell ref="R157:T157"/>
    <mergeCell ref="V157:W157"/>
    <mergeCell ref="A161:C161"/>
    <mergeCell ref="E161:J161"/>
    <mergeCell ref="K161:L161"/>
    <mergeCell ref="N161:Q161"/>
    <mergeCell ref="R161:T161"/>
    <mergeCell ref="V161:W161"/>
    <mergeCell ref="A163:C163"/>
    <mergeCell ref="E163:J163"/>
    <mergeCell ref="K163:L163"/>
    <mergeCell ref="N163:Q163"/>
    <mergeCell ref="R163:T163"/>
    <mergeCell ref="V163:W163"/>
    <mergeCell ref="A165:C165"/>
    <mergeCell ref="E165:J165"/>
    <mergeCell ref="K165:L165"/>
    <mergeCell ref="N165:Q165"/>
    <mergeCell ref="N152:Q152"/>
    <mergeCell ref="R152:T152"/>
    <mergeCell ref="V152:W152"/>
    <mergeCell ref="A154:C154"/>
    <mergeCell ref="E154:J154"/>
    <mergeCell ref="K154:L154"/>
    <mergeCell ref="N154:Q154"/>
    <mergeCell ref="R154:T154"/>
    <mergeCell ref="V154:W154"/>
    <mergeCell ref="A139:C139"/>
    <mergeCell ref="E139:J139"/>
    <mergeCell ref="K139:L139"/>
    <mergeCell ref="N139:Q139"/>
    <mergeCell ref="R139:T139"/>
    <mergeCell ref="V139:W139"/>
    <mergeCell ref="A141:C141"/>
    <mergeCell ref="E141:J141"/>
    <mergeCell ref="K141:L141"/>
    <mergeCell ref="N141:Q141"/>
    <mergeCell ref="R141:T141"/>
    <mergeCell ref="V141:W141"/>
    <mergeCell ref="R128:T128"/>
    <mergeCell ref="V128:W128"/>
    <mergeCell ref="A130:C130"/>
    <mergeCell ref="E130:J130"/>
    <mergeCell ref="K130:L130"/>
    <mergeCell ref="N130:Q130"/>
    <mergeCell ref="R130:T130"/>
    <mergeCell ref="V130:W130"/>
    <mergeCell ref="A93:C93"/>
    <mergeCell ref="E93:J93"/>
    <mergeCell ref="K93:L93"/>
    <mergeCell ref="N93:Q93"/>
    <mergeCell ref="R93:T93"/>
    <mergeCell ref="V93:W93"/>
    <mergeCell ref="V102:W102"/>
    <mergeCell ref="V95:W95"/>
    <mergeCell ref="R104:T104"/>
    <mergeCell ref="V104:W104"/>
    <mergeCell ref="V98:W98"/>
    <mergeCell ref="V100:W100"/>
    <mergeCell ref="A104:C104"/>
    <mergeCell ref="E104:J104"/>
    <mergeCell ref="K104:L104"/>
    <mergeCell ref="N104:Q104"/>
    <mergeCell ref="A1:Q2"/>
    <mergeCell ref="N9:P9"/>
    <mergeCell ref="A12:C12"/>
    <mergeCell ref="E12:J12"/>
    <mergeCell ref="K12:L12"/>
    <mergeCell ref="N12:Q12"/>
    <mergeCell ref="A14:C14"/>
    <mergeCell ref="E14:J14"/>
    <mergeCell ref="K14:L14"/>
    <mergeCell ref="N14:Q14"/>
    <mergeCell ref="A3:W3"/>
    <mergeCell ref="A6:W6"/>
    <mergeCell ref="K9:L9"/>
    <mergeCell ref="A9:J9"/>
    <mergeCell ref="R9:T9"/>
    <mergeCell ref="R12:T12"/>
    <mergeCell ref="V12:W12"/>
    <mergeCell ref="R14:T14"/>
    <mergeCell ref="V14:W14"/>
    <mergeCell ref="K64:L64"/>
    <mergeCell ref="N64:Q64"/>
    <mergeCell ref="R64:T64"/>
    <mergeCell ref="V64:W64"/>
    <mergeCell ref="A89:C89"/>
    <mergeCell ref="E89:J89"/>
    <mergeCell ref="K89:L89"/>
    <mergeCell ref="N89:Q89"/>
    <mergeCell ref="A91:C91"/>
    <mergeCell ref="E91:J91"/>
    <mergeCell ref="K91:L91"/>
    <mergeCell ref="N91:Q91"/>
    <mergeCell ref="R91:T91"/>
    <mergeCell ref="V91:W91"/>
    <mergeCell ref="A64:C64"/>
    <mergeCell ref="E64:J64"/>
    <mergeCell ref="R85:T85"/>
    <mergeCell ref="V85:W85"/>
    <mergeCell ref="R87:T87"/>
    <mergeCell ref="V87:W87"/>
    <mergeCell ref="R89:T89"/>
    <mergeCell ref="V89:W89"/>
    <mergeCell ref="A77:C77"/>
    <mergeCell ref="A75:C75"/>
    <mergeCell ref="A168:C168"/>
    <mergeCell ref="E168:J168"/>
    <mergeCell ref="K168:L168"/>
    <mergeCell ref="N168:Q168"/>
    <mergeCell ref="R168:T168"/>
    <mergeCell ref="V168:W168"/>
    <mergeCell ref="A170:C170"/>
    <mergeCell ref="E170:J170"/>
    <mergeCell ref="K170:L170"/>
    <mergeCell ref="N170:Q170"/>
    <mergeCell ref="R170:T170"/>
    <mergeCell ref="V170:W170"/>
    <mergeCell ref="V179:W179"/>
    <mergeCell ref="V184:W184"/>
    <mergeCell ref="A182:C182"/>
    <mergeCell ref="E182:J182"/>
    <mergeCell ref="K182:L182"/>
    <mergeCell ref="N182:Q182"/>
    <mergeCell ref="R182:T182"/>
    <mergeCell ref="V182:W182"/>
    <mergeCell ref="R188:T188"/>
    <mergeCell ref="E184:J184"/>
    <mergeCell ref="K184:L184"/>
    <mergeCell ref="N184:Q184"/>
    <mergeCell ref="R184:T184"/>
    <mergeCell ref="R179:T179"/>
    <mergeCell ref="A184:C184"/>
    <mergeCell ref="A179:C179"/>
    <mergeCell ref="E179:J179"/>
    <mergeCell ref="K179:L179"/>
    <mergeCell ref="N179:Q179"/>
    <mergeCell ref="A188:C188"/>
    <mergeCell ref="E188:J188"/>
    <mergeCell ref="V172:W172"/>
    <mergeCell ref="A175:C175"/>
    <mergeCell ref="E175:J175"/>
    <mergeCell ref="K175:L175"/>
    <mergeCell ref="N175:Q175"/>
    <mergeCell ref="A177:C177"/>
    <mergeCell ref="E177:J177"/>
    <mergeCell ref="K177:L177"/>
    <mergeCell ref="N177:Q177"/>
    <mergeCell ref="R177:T177"/>
    <mergeCell ref="V177:W177"/>
  </mergeCells>
  <pageMargins left="0.51181102362204722" right="0.51181102362204722" top="0.98425196850393704" bottom="0.78740157480314965" header="0.31496062992125984" footer="0.31496062992125984"/>
  <pageSetup paperSize="9" scale="60" orientation="portrait" verticalDpi="300" r:id="rId1"/>
  <headerFooter>
    <oddHeader>&amp;L                                                                                    &amp;G&amp;C&amp;"Vivaldi,Regular"&amp;16Estado do Rio Grande do Sul
&amp;14Prefeitura Municipal de Chuvisca
&amp;12Secretaria Municipal da Fazenda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9"/>
  <sheetViews>
    <sheetView topLeftCell="A37" zoomScale="90" zoomScaleNormal="90" workbookViewId="0">
      <selection activeCell="J71" sqref="J71"/>
    </sheetView>
  </sheetViews>
  <sheetFormatPr defaultRowHeight="12.75" x14ac:dyDescent="0.25"/>
  <cols>
    <col min="1" max="1" width="3.140625" style="1210" customWidth="1"/>
    <col min="2" max="2" width="15.42578125" style="1215" customWidth="1"/>
    <col min="3" max="3" width="66" style="1210" customWidth="1"/>
    <col min="4" max="4" width="35.42578125" style="1210" customWidth="1"/>
    <col min="5" max="5" width="16.140625" style="1216" customWidth="1"/>
    <col min="6" max="6" width="25.42578125" style="1210" customWidth="1"/>
    <col min="7" max="7" width="2" style="1210" customWidth="1"/>
    <col min="8" max="8" width="13.140625" style="1210" customWidth="1"/>
    <col min="9" max="9" width="6.28515625" style="1210" customWidth="1"/>
    <col min="10" max="10" width="20.5703125" style="1210" customWidth="1"/>
    <col min="11" max="256" width="6.85546875" style="1210" customWidth="1"/>
    <col min="257" max="257" width="3.140625" style="1210" customWidth="1"/>
    <col min="258" max="258" width="15.42578125" style="1210" customWidth="1"/>
    <col min="259" max="259" width="66" style="1210" customWidth="1"/>
    <col min="260" max="260" width="35.42578125" style="1210" customWidth="1"/>
    <col min="261" max="261" width="16.140625" style="1210" customWidth="1"/>
    <col min="262" max="262" width="25.42578125" style="1210" customWidth="1"/>
    <col min="263" max="263" width="2" style="1210" customWidth="1"/>
    <col min="264" max="264" width="13.140625" style="1210" customWidth="1"/>
    <col min="265" max="265" width="6.28515625" style="1210" customWidth="1"/>
    <col min="266" max="266" width="20.5703125" style="1210" customWidth="1"/>
    <col min="267" max="512" width="6.85546875" style="1210" customWidth="1"/>
    <col min="513" max="513" width="3.140625" style="1210" customWidth="1"/>
    <col min="514" max="514" width="15.42578125" style="1210" customWidth="1"/>
    <col min="515" max="515" width="66" style="1210" customWidth="1"/>
    <col min="516" max="516" width="35.42578125" style="1210" customWidth="1"/>
    <col min="517" max="517" width="16.140625" style="1210" customWidth="1"/>
    <col min="518" max="518" width="25.42578125" style="1210" customWidth="1"/>
    <col min="519" max="519" width="2" style="1210" customWidth="1"/>
    <col min="520" max="520" width="13.140625" style="1210" customWidth="1"/>
    <col min="521" max="521" width="6.28515625" style="1210" customWidth="1"/>
    <col min="522" max="522" width="20.5703125" style="1210" customWidth="1"/>
    <col min="523" max="768" width="6.85546875" style="1210" customWidth="1"/>
    <col min="769" max="769" width="3.140625" style="1210" customWidth="1"/>
    <col min="770" max="770" width="15.42578125" style="1210" customWidth="1"/>
    <col min="771" max="771" width="66" style="1210" customWidth="1"/>
    <col min="772" max="772" width="35.42578125" style="1210" customWidth="1"/>
    <col min="773" max="773" width="16.140625" style="1210" customWidth="1"/>
    <col min="774" max="774" width="25.42578125" style="1210" customWidth="1"/>
    <col min="775" max="775" width="2" style="1210" customWidth="1"/>
    <col min="776" max="776" width="13.140625" style="1210" customWidth="1"/>
    <col min="777" max="777" width="6.28515625" style="1210" customWidth="1"/>
    <col min="778" max="778" width="20.5703125" style="1210" customWidth="1"/>
    <col min="779" max="1024" width="6.85546875" style="1210" customWidth="1"/>
    <col min="1025" max="1025" width="3.140625" style="1210" customWidth="1"/>
    <col min="1026" max="1026" width="15.42578125" style="1210" customWidth="1"/>
    <col min="1027" max="1027" width="66" style="1210" customWidth="1"/>
    <col min="1028" max="1028" width="35.42578125" style="1210" customWidth="1"/>
    <col min="1029" max="1029" width="16.140625" style="1210" customWidth="1"/>
    <col min="1030" max="1030" width="25.42578125" style="1210" customWidth="1"/>
    <col min="1031" max="1031" width="2" style="1210" customWidth="1"/>
    <col min="1032" max="1032" width="13.140625" style="1210" customWidth="1"/>
    <col min="1033" max="1033" width="6.28515625" style="1210" customWidth="1"/>
    <col min="1034" max="1034" width="20.5703125" style="1210" customWidth="1"/>
    <col min="1035" max="1280" width="6.85546875" style="1210" customWidth="1"/>
    <col min="1281" max="1281" width="3.140625" style="1210" customWidth="1"/>
    <col min="1282" max="1282" width="15.42578125" style="1210" customWidth="1"/>
    <col min="1283" max="1283" width="66" style="1210" customWidth="1"/>
    <col min="1284" max="1284" width="35.42578125" style="1210" customWidth="1"/>
    <col min="1285" max="1285" width="16.140625" style="1210" customWidth="1"/>
    <col min="1286" max="1286" width="25.42578125" style="1210" customWidth="1"/>
    <col min="1287" max="1287" width="2" style="1210" customWidth="1"/>
    <col min="1288" max="1288" width="13.140625" style="1210" customWidth="1"/>
    <col min="1289" max="1289" width="6.28515625" style="1210" customWidth="1"/>
    <col min="1290" max="1290" width="20.5703125" style="1210" customWidth="1"/>
    <col min="1291" max="1536" width="6.85546875" style="1210" customWidth="1"/>
    <col min="1537" max="1537" width="3.140625" style="1210" customWidth="1"/>
    <col min="1538" max="1538" width="15.42578125" style="1210" customWidth="1"/>
    <col min="1539" max="1539" width="66" style="1210" customWidth="1"/>
    <col min="1540" max="1540" width="35.42578125" style="1210" customWidth="1"/>
    <col min="1541" max="1541" width="16.140625" style="1210" customWidth="1"/>
    <col min="1542" max="1542" width="25.42578125" style="1210" customWidth="1"/>
    <col min="1543" max="1543" width="2" style="1210" customWidth="1"/>
    <col min="1544" max="1544" width="13.140625" style="1210" customWidth="1"/>
    <col min="1545" max="1545" width="6.28515625" style="1210" customWidth="1"/>
    <col min="1546" max="1546" width="20.5703125" style="1210" customWidth="1"/>
    <col min="1547" max="1792" width="6.85546875" style="1210" customWidth="1"/>
    <col min="1793" max="1793" width="3.140625" style="1210" customWidth="1"/>
    <col min="1794" max="1794" width="15.42578125" style="1210" customWidth="1"/>
    <col min="1795" max="1795" width="66" style="1210" customWidth="1"/>
    <col min="1796" max="1796" width="35.42578125" style="1210" customWidth="1"/>
    <col min="1797" max="1797" width="16.140625" style="1210" customWidth="1"/>
    <col min="1798" max="1798" width="25.42578125" style="1210" customWidth="1"/>
    <col min="1799" max="1799" width="2" style="1210" customWidth="1"/>
    <col min="1800" max="1800" width="13.140625" style="1210" customWidth="1"/>
    <col min="1801" max="1801" width="6.28515625" style="1210" customWidth="1"/>
    <col min="1802" max="1802" width="20.5703125" style="1210" customWidth="1"/>
    <col min="1803" max="2048" width="6.85546875" style="1210" customWidth="1"/>
    <col min="2049" max="2049" width="3.140625" style="1210" customWidth="1"/>
    <col min="2050" max="2050" width="15.42578125" style="1210" customWidth="1"/>
    <col min="2051" max="2051" width="66" style="1210" customWidth="1"/>
    <col min="2052" max="2052" width="35.42578125" style="1210" customWidth="1"/>
    <col min="2053" max="2053" width="16.140625" style="1210" customWidth="1"/>
    <col min="2054" max="2054" width="25.42578125" style="1210" customWidth="1"/>
    <col min="2055" max="2055" width="2" style="1210" customWidth="1"/>
    <col min="2056" max="2056" width="13.140625" style="1210" customWidth="1"/>
    <col min="2057" max="2057" width="6.28515625" style="1210" customWidth="1"/>
    <col min="2058" max="2058" width="20.5703125" style="1210" customWidth="1"/>
    <col min="2059" max="2304" width="6.85546875" style="1210" customWidth="1"/>
    <col min="2305" max="2305" width="3.140625" style="1210" customWidth="1"/>
    <col min="2306" max="2306" width="15.42578125" style="1210" customWidth="1"/>
    <col min="2307" max="2307" width="66" style="1210" customWidth="1"/>
    <col min="2308" max="2308" width="35.42578125" style="1210" customWidth="1"/>
    <col min="2309" max="2309" width="16.140625" style="1210" customWidth="1"/>
    <col min="2310" max="2310" width="25.42578125" style="1210" customWidth="1"/>
    <col min="2311" max="2311" width="2" style="1210" customWidth="1"/>
    <col min="2312" max="2312" width="13.140625" style="1210" customWidth="1"/>
    <col min="2313" max="2313" width="6.28515625" style="1210" customWidth="1"/>
    <col min="2314" max="2314" width="20.5703125" style="1210" customWidth="1"/>
    <col min="2315" max="2560" width="6.85546875" style="1210" customWidth="1"/>
    <col min="2561" max="2561" width="3.140625" style="1210" customWidth="1"/>
    <col min="2562" max="2562" width="15.42578125" style="1210" customWidth="1"/>
    <col min="2563" max="2563" width="66" style="1210" customWidth="1"/>
    <col min="2564" max="2564" width="35.42578125" style="1210" customWidth="1"/>
    <col min="2565" max="2565" width="16.140625" style="1210" customWidth="1"/>
    <col min="2566" max="2566" width="25.42578125" style="1210" customWidth="1"/>
    <col min="2567" max="2567" width="2" style="1210" customWidth="1"/>
    <col min="2568" max="2568" width="13.140625" style="1210" customWidth="1"/>
    <col min="2569" max="2569" width="6.28515625" style="1210" customWidth="1"/>
    <col min="2570" max="2570" width="20.5703125" style="1210" customWidth="1"/>
    <col min="2571" max="2816" width="6.85546875" style="1210" customWidth="1"/>
    <col min="2817" max="2817" width="3.140625" style="1210" customWidth="1"/>
    <col min="2818" max="2818" width="15.42578125" style="1210" customWidth="1"/>
    <col min="2819" max="2819" width="66" style="1210" customWidth="1"/>
    <col min="2820" max="2820" width="35.42578125" style="1210" customWidth="1"/>
    <col min="2821" max="2821" width="16.140625" style="1210" customWidth="1"/>
    <col min="2822" max="2822" width="25.42578125" style="1210" customWidth="1"/>
    <col min="2823" max="2823" width="2" style="1210" customWidth="1"/>
    <col min="2824" max="2824" width="13.140625" style="1210" customWidth="1"/>
    <col min="2825" max="2825" width="6.28515625" style="1210" customWidth="1"/>
    <col min="2826" max="2826" width="20.5703125" style="1210" customWidth="1"/>
    <col min="2827" max="3072" width="6.85546875" style="1210" customWidth="1"/>
    <col min="3073" max="3073" width="3.140625" style="1210" customWidth="1"/>
    <col min="3074" max="3074" width="15.42578125" style="1210" customWidth="1"/>
    <col min="3075" max="3075" width="66" style="1210" customWidth="1"/>
    <col min="3076" max="3076" width="35.42578125" style="1210" customWidth="1"/>
    <col min="3077" max="3077" width="16.140625" style="1210" customWidth="1"/>
    <col min="3078" max="3078" width="25.42578125" style="1210" customWidth="1"/>
    <col min="3079" max="3079" width="2" style="1210" customWidth="1"/>
    <col min="3080" max="3080" width="13.140625" style="1210" customWidth="1"/>
    <col min="3081" max="3081" width="6.28515625" style="1210" customWidth="1"/>
    <col min="3082" max="3082" width="20.5703125" style="1210" customWidth="1"/>
    <col min="3083" max="3328" width="6.85546875" style="1210" customWidth="1"/>
    <col min="3329" max="3329" width="3.140625" style="1210" customWidth="1"/>
    <col min="3330" max="3330" width="15.42578125" style="1210" customWidth="1"/>
    <col min="3331" max="3331" width="66" style="1210" customWidth="1"/>
    <col min="3332" max="3332" width="35.42578125" style="1210" customWidth="1"/>
    <col min="3333" max="3333" width="16.140625" style="1210" customWidth="1"/>
    <col min="3334" max="3334" width="25.42578125" style="1210" customWidth="1"/>
    <col min="3335" max="3335" width="2" style="1210" customWidth="1"/>
    <col min="3336" max="3336" width="13.140625" style="1210" customWidth="1"/>
    <col min="3337" max="3337" width="6.28515625" style="1210" customWidth="1"/>
    <col min="3338" max="3338" width="20.5703125" style="1210" customWidth="1"/>
    <col min="3339" max="3584" width="6.85546875" style="1210" customWidth="1"/>
    <col min="3585" max="3585" width="3.140625" style="1210" customWidth="1"/>
    <col min="3586" max="3586" width="15.42578125" style="1210" customWidth="1"/>
    <col min="3587" max="3587" width="66" style="1210" customWidth="1"/>
    <col min="3588" max="3588" width="35.42578125" style="1210" customWidth="1"/>
    <col min="3589" max="3589" width="16.140625" style="1210" customWidth="1"/>
    <col min="3590" max="3590" width="25.42578125" style="1210" customWidth="1"/>
    <col min="3591" max="3591" width="2" style="1210" customWidth="1"/>
    <col min="3592" max="3592" width="13.140625" style="1210" customWidth="1"/>
    <col min="3593" max="3593" width="6.28515625" style="1210" customWidth="1"/>
    <col min="3594" max="3594" width="20.5703125" style="1210" customWidth="1"/>
    <col min="3595" max="3840" width="6.85546875" style="1210" customWidth="1"/>
    <col min="3841" max="3841" width="3.140625" style="1210" customWidth="1"/>
    <col min="3842" max="3842" width="15.42578125" style="1210" customWidth="1"/>
    <col min="3843" max="3843" width="66" style="1210" customWidth="1"/>
    <col min="3844" max="3844" width="35.42578125" style="1210" customWidth="1"/>
    <col min="3845" max="3845" width="16.140625" style="1210" customWidth="1"/>
    <col min="3846" max="3846" width="25.42578125" style="1210" customWidth="1"/>
    <col min="3847" max="3847" width="2" style="1210" customWidth="1"/>
    <col min="3848" max="3848" width="13.140625" style="1210" customWidth="1"/>
    <col min="3849" max="3849" width="6.28515625" style="1210" customWidth="1"/>
    <col min="3850" max="3850" width="20.5703125" style="1210" customWidth="1"/>
    <col min="3851" max="4096" width="6.85546875" style="1210" customWidth="1"/>
    <col min="4097" max="4097" width="3.140625" style="1210" customWidth="1"/>
    <col min="4098" max="4098" width="15.42578125" style="1210" customWidth="1"/>
    <col min="4099" max="4099" width="66" style="1210" customWidth="1"/>
    <col min="4100" max="4100" width="35.42578125" style="1210" customWidth="1"/>
    <col min="4101" max="4101" width="16.140625" style="1210" customWidth="1"/>
    <col min="4102" max="4102" width="25.42578125" style="1210" customWidth="1"/>
    <col min="4103" max="4103" width="2" style="1210" customWidth="1"/>
    <col min="4104" max="4104" width="13.140625" style="1210" customWidth="1"/>
    <col min="4105" max="4105" width="6.28515625" style="1210" customWidth="1"/>
    <col min="4106" max="4106" width="20.5703125" style="1210" customWidth="1"/>
    <col min="4107" max="4352" width="6.85546875" style="1210" customWidth="1"/>
    <col min="4353" max="4353" width="3.140625" style="1210" customWidth="1"/>
    <col min="4354" max="4354" width="15.42578125" style="1210" customWidth="1"/>
    <col min="4355" max="4355" width="66" style="1210" customWidth="1"/>
    <col min="4356" max="4356" width="35.42578125" style="1210" customWidth="1"/>
    <col min="4357" max="4357" width="16.140625" style="1210" customWidth="1"/>
    <col min="4358" max="4358" width="25.42578125" style="1210" customWidth="1"/>
    <col min="4359" max="4359" width="2" style="1210" customWidth="1"/>
    <col min="4360" max="4360" width="13.140625" style="1210" customWidth="1"/>
    <col min="4361" max="4361" width="6.28515625" style="1210" customWidth="1"/>
    <col min="4362" max="4362" width="20.5703125" style="1210" customWidth="1"/>
    <col min="4363" max="4608" width="6.85546875" style="1210" customWidth="1"/>
    <col min="4609" max="4609" width="3.140625" style="1210" customWidth="1"/>
    <col min="4610" max="4610" width="15.42578125" style="1210" customWidth="1"/>
    <col min="4611" max="4611" width="66" style="1210" customWidth="1"/>
    <col min="4612" max="4612" width="35.42578125" style="1210" customWidth="1"/>
    <col min="4613" max="4613" width="16.140625" style="1210" customWidth="1"/>
    <col min="4614" max="4614" width="25.42578125" style="1210" customWidth="1"/>
    <col min="4615" max="4615" width="2" style="1210" customWidth="1"/>
    <col min="4616" max="4616" width="13.140625" style="1210" customWidth="1"/>
    <col min="4617" max="4617" width="6.28515625" style="1210" customWidth="1"/>
    <col min="4618" max="4618" width="20.5703125" style="1210" customWidth="1"/>
    <col min="4619" max="4864" width="6.85546875" style="1210" customWidth="1"/>
    <col min="4865" max="4865" width="3.140625" style="1210" customWidth="1"/>
    <col min="4866" max="4866" width="15.42578125" style="1210" customWidth="1"/>
    <col min="4867" max="4867" width="66" style="1210" customWidth="1"/>
    <col min="4868" max="4868" width="35.42578125" style="1210" customWidth="1"/>
    <col min="4869" max="4869" width="16.140625" style="1210" customWidth="1"/>
    <col min="4870" max="4870" width="25.42578125" style="1210" customWidth="1"/>
    <col min="4871" max="4871" width="2" style="1210" customWidth="1"/>
    <col min="4872" max="4872" width="13.140625" style="1210" customWidth="1"/>
    <col min="4873" max="4873" width="6.28515625" style="1210" customWidth="1"/>
    <col min="4874" max="4874" width="20.5703125" style="1210" customWidth="1"/>
    <col min="4875" max="5120" width="6.85546875" style="1210" customWidth="1"/>
    <col min="5121" max="5121" width="3.140625" style="1210" customWidth="1"/>
    <col min="5122" max="5122" width="15.42578125" style="1210" customWidth="1"/>
    <col min="5123" max="5123" width="66" style="1210" customWidth="1"/>
    <col min="5124" max="5124" width="35.42578125" style="1210" customWidth="1"/>
    <col min="5125" max="5125" width="16.140625" style="1210" customWidth="1"/>
    <col min="5126" max="5126" width="25.42578125" style="1210" customWidth="1"/>
    <col min="5127" max="5127" width="2" style="1210" customWidth="1"/>
    <col min="5128" max="5128" width="13.140625" style="1210" customWidth="1"/>
    <col min="5129" max="5129" width="6.28515625" style="1210" customWidth="1"/>
    <col min="5130" max="5130" width="20.5703125" style="1210" customWidth="1"/>
    <col min="5131" max="5376" width="6.85546875" style="1210" customWidth="1"/>
    <col min="5377" max="5377" width="3.140625" style="1210" customWidth="1"/>
    <col min="5378" max="5378" width="15.42578125" style="1210" customWidth="1"/>
    <col min="5379" max="5379" width="66" style="1210" customWidth="1"/>
    <col min="5380" max="5380" width="35.42578125" style="1210" customWidth="1"/>
    <col min="5381" max="5381" width="16.140625" style="1210" customWidth="1"/>
    <col min="5382" max="5382" width="25.42578125" style="1210" customWidth="1"/>
    <col min="5383" max="5383" width="2" style="1210" customWidth="1"/>
    <col min="5384" max="5384" width="13.140625" style="1210" customWidth="1"/>
    <col min="5385" max="5385" width="6.28515625" style="1210" customWidth="1"/>
    <col min="5386" max="5386" width="20.5703125" style="1210" customWidth="1"/>
    <col min="5387" max="5632" width="6.85546875" style="1210" customWidth="1"/>
    <col min="5633" max="5633" width="3.140625" style="1210" customWidth="1"/>
    <col min="5634" max="5634" width="15.42578125" style="1210" customWidth="1"/>
    <col min="5635" max="5635" width="66" style="1210" customWidth="1"/>
    <col min="5636" max="5636" width="35.42578125" style="1210" customWidth="1"/>
    <col min="5637" max="5637" width="16.140625" style="1210" customWidth="1"/>
    <col min="5638" max="5638" width="25.42578125" style="1210" customWidth="1"/>
    <col min="5639" max="5639" width="2" style="1210" customWidth="1"/>
    <col min="5640" max="5640" width="13.140625" style="1210" customWidth="1"/>
    <col min="5641" max="5641" width="6.28515625" style="1210" customWidth="1"/>
    <col min="5642" max="5642" width="20.5703125" style="1210" customWidth="1"/>
    <col min="5643" max="5888" width="6.85546875" style="1210" customWidth="1"/>
    <col min="5889" max="5889" width="3.140625" style="1210" customWidth="1"/>
    <col min="5890" max="5890" width="15.42578125" style="1210" customWidth="1"/>
    <col min="5891" max="5891" width="66" style="1210" customWidth="1"/>
    <col min="5892" max="5892" width="35.42578125" style="1210" customWidth="1"/>
    <col min="5893" max="5893" width="16.140625" style="1210" customWidth="1"/>
    <col min="5894" max="5894" width="25.42578125" style="1210" customWidth="1"/>
    <col min="5895" max="5895" width="2" style="1210" customWidth="1"/>
    <col min="5896" max="5896" width="13.140625" style="1210" customWidth="1"/>
    <col min="5897" max="5897" width="6.28515625" style="1210" customWidth="1"/>
    <col min="5898" max="5898" width="20.5703125" style="1210" customWidth="1"/>
    <col min="5899" max="6144" width="6.85546875" style="1210" customWidth="1"/>
    <col min="6145" max="6145" width="3.140625" style="1210" customWidth="1"/>
    <col min="6146" max="6146" width="15.42578125" style="1210" customWidth="1"/>
    <col min="6147" max="6147" width="66" style="1210" customWidth="1"/>
    <col min="6148" max="6148" width="35.42578125" style="1210" customWidth="1"/>
    <col min="6149" max="6149" width="16.140625" style="1210" customWidth="1"/>
    <col min="6150" max="6150" width="25.42578125" style="1210" customWidth="1"/>
    <col min="6151" max="6151" width="2" style="1210" customWidth="1"/>
    <col min="6152" max="6152" width="13.140625" style="1210" customWidth="1"/>
    <col min="6153" max="6153" width="6.28515625" style="1210" customWidth="1"/>
    <col min="6154" max="6154" width="20.5703125" style="1210" customWidth="1"/>
    <col min="6155" max="6400" width="6.85546875" style="1210" customWidth="1"/>
    <col min="6401" max="6401" width="3.140625" style="1210" customWidth="1"/>
    <col min="6402" max="6402" width="15.42578125" style="1210" customWidth="1"/>
    <col min="6403" max="6403" width="66" style="1210" customWidth="1"/>
    <col min="6404" max="6404" width="35.42578125" style="1210" customWidth="1"/>
    <col min="6405" max="6405" width="16.140625" style="1210" customWidth="1"/>
    <col min="6406" max="6406" width="25.42578125" style="1210" customWidth="1"/>
    <col min="6407" max="6407" width="2" style="1210" customWidth="1"/>
    <col min="6408" max="6408" width="13.140625" style="1210" customWidth="1"/>
    <col min="6409" max="6409" width="6.28515625" style="1210" customWidth="1"/>
    <col min="6410" max="6410" width="20.5703125" style="1210" customWidth="1"/>
    <col min="6411" max="6656" width="6.85546875" style="1210" customWidth="1"/>
    <col min="6657" max="6657" width="3.140625" style="1210" customWidth="1"/>
    <col min="6658" max="6658" width="15.42578125" style="1210" customWidth="1"/>
    <col min="6659" max="6659" width="66" style="1210" customWidth="1"/>
    <col min="6660" max="6660" width="35.42578125" style="1210" customWidth="1"/>
    <col min="6661" max="6661" width="16.140625" style="1210" customWidth="1"/>
    <col min="6662" max="6662" width="25.42578125" style="1210" customWidth="1"/>
    <col min="6663" max="6663" width="2" style="1210" customWidth="1"/>
    <col min="6664" max="6664" width="13.140625" style="1210" customWidth="1"/>
    <col min="6665" max="6665" width="6.28515625" style="1210" customWidth="1"/>
    <col min="6666" max="6666" width="20.5703125" style="1210" customWidth="1"/>
    <col min="6667" max="6912" width="6.85546875" style="1210" customWidth="1"/>
    <col min="6913" max="6913" width="3.140625" style="1210" customWidth="1"/>
    <col min="6914" max="6914" width="15.42578125" style="1210" customWidth="1"/>
    <col min="6915" max="6915" width="66" style="1210" customWidth="1"/>
    <col min="6916" max="6916" width="35.42578125" style="1210" customWidth="1"/>
    <col min="6917" max="6917" width="16.140625" style="1210" customWidth="1"/>
    <col min="6918" max="6918" width="25.42578125" style="1210" customWidth="1"/>
    <col min="6919" max="6919" width="2" style="1210" customWidth="1"/>
    <col min="6920" max="6920" width="13.140625" style="1210" customWidth="1"/>
    <col min="6921" max="6921" width="6.28515625" style="1210" customWidth="1"/>
    <col min="6922" max="6922" width="20.5703125" style="1210" customWidth="1"/>
    <col min="6923" max="7168" width="6.85546875" style="1210" customWidth="1"/>
    <col min="7169" max="7169" width="3.140625" style="1210" customWidth="1"/>
    <col min="7170" max="7170" width="15.42578125" style="1210" customWidth="1"/>
    <col min="7171" max="7171" width="66" style="1210" customWidth="1"/>
    <col min="7172" max="7172" width="35.42578125" style="1210" customWidth="1"/>
    <col min="7173" max="7173" width="16.140625" style="1210" customWidth="1"/>
    <col min="7174" max="7174" width="25.42578125" style="1210" customWidth="1"/>
    <col min="7175" max="7175" width="2" style="1210" customWidth="1"/>
    <col min="7176" max="7176" width="13.140625" style="1210" customWidth="1"/>
    <col min="7177" max="7177" width="6.28515625" style="1210" customWidth="1"/>
    <col min="7178" max="7178" width="20.5703125" style="1210" customWidth="1"/>
    <col min="7179" max="7424" width="6.85546875" style="1210" customWidth="1"/>
    <col min="7425" max="7425" width="3.140625" style="1210" customWidth="1"/>
    <col min="7426" max="7426" width="15.42578125" style="1210" customWidth="1"/>
    <col min="7427" max="7427" width="66" style="1210" customWidth="1"/>
    <col min="7428" max="7428" width="35.42578125" style="1210" customWidth="1"/>
    <col min="7429" max="7429" width="16.140625" style="1210" customWidth="1"/>
    <col min="7430" max="7430" width="25.42578125" style="1210" customWidth="1"/>
    <col min="7431" max="7431" width="2" style="1210" customWidth="1"/>
    <col min="7432" max="7432" width="13.140625" style="1210" customWidth="1"/>
    <col min="7433" max="7433" width="6.28515625" style="1210" customWidth="1"/>
    <col min="7434" max="7434" width="20.5703125" style="1210" customWidth="1"/>
    <col min="7435" max="7680" width="6.85546875" style="1210" customWidth="1"/>
    <col min="7681" max="7681" width="3.140625" style="1210" customWidth="1"/>
    <col min="7682" max="7682" width="15.42578125" style="1210" customWidth="1"/>
    <col min="7683" max="7683" width="66" style="1210" customWidth="1"/>
    <col min="7684" max="7684" width="35.42578125" style="1210" customWidth="1"/>
    <col min="7685" max="7685" width="16.140625" style="1210" customWidth="1"/>
    <col min="7686" max="7686" width="25.42578125" style="1210" customWidth="1"/>
    <col min="7687" max="7687" width="2" style="1210" customWidth="1"/>
    <col min="7688" max="7688" width="13.140625" style="1210" customWidth="1"/>
    <col min="7689" max="7689" width="6.28515625" style="1210" customWidth="1"/>
    <col min="7690" max="7690" width="20.5703125" style="1210" customWidth="1"/>
    <col min="7691" max="7936" width="6.85546875" style="1210" customWidth="1"/>
    <col min="7937" max="7937" width="3.140625" style="1210" customWidth="1"/>
    <col min="7938" max="7938" width="15.42578125" style="1210" customWidth="1"/>
    <col min="7939" max="7939" width="66" style="1210" customWidth="1"/>
    <col min="7940" max="7940" width="35.42578125" style="1210" customWidth="1"/>
    <col min="7941" max="7941" width="16.140625" style="1210" customWidth="1"/>
    <col min="7942" max="7942" width="25.42578125" style="1210" customWidth="1"/>
    <col min="7943" max="7943" width="2" style="1210" customWidth="1"/>
    <col min="7944" max="7944" width="13.140625" style="1210" customWidth="1"/>
    <col min="7945" max="7945" width="6.28515625" style="1210" customWidth="1"/>
    <col min="7946" max="7946" width="20.5703125" style="1210" customWidth="1"/>
    <col min="7947" max="8192" width="6.85546875" style="1210" customWidth="1"/>
    <col min="8193" max="8193" width="3.140625" style="1210" customWidth="1"/>
    <col min="8194" max="8194" width="15.42578125" style="1210" customWidth="1"/>
    <col min="8195" max="8195" width="66" style="1210" customWidth="1"/>
    <col min="8196" max="8196" width="35.42578125" style="1210" customWidth="1"/>
    <col min="8197" max="8197" width="16.140625" style="1210" customWidth="1"/>
    <col min="8198" max="8198" width="25.42578125" style="1210" customWidth="1"/>
    <col min="8199" max="8199" width="2" style="1210" customWidth="1"/>
    <col min="8200" max="8200" width="13.140625" style="1210" customWidth="1"/>
    <col min="8201" max="8201" width="6.28515625" style="1210" customWidth="1"/>
    <col min="8202" max="8202" width="20.5703125" style="1210" customWidth="1"/>
    <col min="8203" max="8448" width="6.85546875" style="1210" customWidth="1"/>
    <col min="8449" max="8449" width="3.140625" style="1210" customWidth="1"/>
    <col min="8450" max="8450" width="15.42578125" style="1210" customWidth="1"/>
    <col min="8451" max="8451" width="66" style="1210" customWidth="1"/>
    <col min="8452" max="8452" width="35.42578125" style="1210" customWidth="1"/>
    <col min="8453" max="8453" width="16.140625" style="1210" customWidth="1"/>
    <col min="8454" max="8454" width="25.42578125" style="1210" customWidth="1"/>
    <col min="8455" max="8455" width="2" style="1210" customWidth="1"/>
    <col min="8456" max="8456" width="13.140625" style="1210" customWidth="1"/>
    <col min="8457" max="8457" width="6.28515625" style="1210" customWidth="1"/>
    <col min="8458" max="8458" width="20.5703125" style="1210" customWidth="1"/>
    <col min="8459" max="8704" width="6.85546875" style="1210" customWidth="1"/>
    <col min="8705" max="8705" width="3.140625" style="1210" customWidth="1"/>
    <col min="8706" max="8706" width="15.42578125" style="1210" customWidth="1"/>
    <col min="8707" max="8707" width="66" style="1210" customWidth="1"/>
    <col min="8708" max="8708" width="35.42578125" style="1210" customWidth="1"/>
    <col min="8709" max="8709" width="16.140625" style="1210" customWidth="1"/>
    <col min="8710" max="8710" width="25.42578125" style="1210" customWidth="1"/>
    <col min="8711" max="8711" width="2" style="1210" customWidth="1"/>
    <col min="8712" max="8712" width="13.140625" style="1210" customWidth="1"/>
    <col min="8713" max="8713" width="6.28515625" style="1210" customWidth="1"/>
    <col min="8714" max="8714" width="20.5703125" style="1210" customWidth="1"/>
    <col min="8715" max="8960" width="6.85546875" style="1210" customWidth="1"/>
    <col min="8961" max="8961" width="3.140625" style="1210" customWidth="1"/>
    <col min="8962" max="8962" width="15.42578125" style="1210" customWidth="1"/>
    <col min="8963" max="8963" width="66" style="1210" customWidth="1"/>
    <col min="8964" max="8964" width="35.42578125" style="1210" customWidth="1"/>
    <col min="8965" max="8965" width="16.140625" style="1210" customWidth="1"/>
    <col min="8966" max="8966" width="25.42578125" style="1210" customWidth="1"/>
    <col min="8967" max="8967" width="2" style="1210" customWidth="1"/>
    <col min="8968" max="8968" width="13.140625" style="1210" customWidth="1"/>
    <col min="8969" max="8969" width="6.28515625" style="1210" customWidth="1"/>
    <col min="8970" max="8970" width="20.5703125" style="1210" customWidth="1"/>
    <col min="8971" max="9216" width="6.85546875" style="1210" customWidth="1"/>
    <col min="9217" max="9217" width="3.140625" style="1210" customWidth="1"/>
    <col min="9218" max="9218" width="15.42578125" style="1210" customWidth="1"/>
    <col min="9219" max="9219" width="66" style="1210" customWidth="1"/>
    <col min="9220" max="9220" width="35.42578125" style="1210" customWidth="1"/>
    <col min="9221" max="9221" width="16.140625" style="1210" customWidth="1"/>
    <col min="9222" max="9222" width="25.42578125" style="1210" customWidth="1"/>
    <col min="9223" max="9223" width="2" style="1210" customWidth="1"/>
    <col min="9224" max="9224" width="13.140625" style="1210" customWidth="1"/>
    <col min="9225" max="9225" width="6.28515625" style="1210" customWidth="1"/>
    <col min="9226" max="9226" width="20.5703125" style="1210" customWidth="1"/>
    <col min="9227" max="9472" width="6.85546875" style="1210" customWidth="1"/>
    <col min="9473" max="9473" width="3.140625" style="1210" customWidth="1"/>
    <col min="9474" max="9474" width="15.42578125" style="1210" customWidth="1"/>
    <col min="9475" max="9475" width="66" style="1210" customWidth="1"/>
    <col min="9476" max="9476" width="35.42578125" style="1210" customWidth="1"/>
    <col min="9477" max="9477" width="16.140625" style="1210" customWidth="1"/>
    <col min="9478" max="9478" width="25.42578125" style="1210" customWidth="1"/>
    <col min="9479" max="9479" width="2" style="1210" customWidth="1"/>
    <col min="9480" max="9480" width="13.140625" style="1210" customWidth="1"/>
    <col min="9481" max="9481" width="6.28515625" style="1210" customWidth="1"/>
    <col min="9482" max="9482" width="20.5703125" style="1210" customWidth="1"/>
    <col min="9483" max="9728" width="6.85546875" style="1210" customWidth="1"/>
    <col min="9729" max="9729" width="3.140625" style="1210" customWidth="1"/>
    <col min="9730" max="9730" width="15.42578125" style="1210" customWidth="1"/>
    <col min="9731" max="9731" width="66" style="1210" customWidth="1"/>
    <col min="9732" max="9732" width="35.42578125" style="1210" customWidth="1"/>
    <col min="9733" max="9733" width="16.140625" style="1210" customWidth="1"/>
    <col min="9734" max="9734" width="25.42578125" style="1210" customWidth="1"/>
    <col min="9735" max="9735" width="2" style="1210" customWidth="1"/>
    <col min="9736" max="9736" width="13.140625" style="1210" customWidth="1"/>
    <col min="9737" max="9737" width="6.28515625" style="1210" customWidth="1"/>
    <col min="9738" max="9738" width="20.5703125" style="1210" customWidth="1"/>
    <col min="9739" max="9984" width="6.85546875" style="1210" customWidth="1"/>
    <col min="9985" max="9985" width="3.140625" style="1210" customWidth="1"/>
    <col min="9986" max="9986" width="15.42578125" style="1210" customWidth="1"/>
    <col min="9987" max="9987" width="66" style="1210" customWidth="1"/>
    <col min="9988" max="9988" width="35.42578125" style="1210" customWidth="1"/>
    <col min="9989" max="9989" width="16.140625" style="1210" customWidth="1"/>
    <col min="9990" max="9990" width="25.42578125" style="1210" customWidth="1"/>
    <col min="9991" max="9991" width="2" style="1210" customWidth="1"/>
    <col min="9992" max="9992" width="13.140625" style="1210" customWidth="1"/>
    <col min="9993" max="9993" width="6.28515625" style="1210" customWidth="1"/>
    <col min="9994" max="9994" width="20.5703125" style="1210" customWidth="1"/>
    <col min="9995" max="10240" width="6.85546875" style="1210" customWidth="1"/>
    <col min="10241" max="10241" width="3.140625" style="1210" customWidth="1"/>
    <col min="10242" max="10242" width="15.42578125" style="1210" customWidth="1"/>
    <col min="10243" max="10243" width="66" style="1210" customWidth="1"/>
    <col min="10244" max="10244" width="35.42578125" style="1210" customWidth="1"/>
    <col min="10245" max="10245" width="16.140625" style="1210" customWidth="1"/>
    <col min="10246" max="10246" width="25.42578125" style="1210" customWidth="1"/>
    <col min="10247" max="10247" width="2" style="1210" customWidth="1"/>
    <col min="10248" max="10248" width="13.140625" style="1210" customWidth="1"/>
    <col min="10249" max="10249" width="6.28515625" style="1210" customWidth="1"/>
    <col min="10250" max="10250" width="20.5703125" style="1210" customWidth="1"/>
    <col min="10251" max="10496" width="6.85546875" style="1210" customWidth="1"/>
    <col min="10497" max="10497" width="3.140625" style="1210" customWidth="1"/>
    <col min="10498" max="10498" width="15.42578125" style="1210" customWidth="1"/>
    <col min="10499" max="10499" width="66" style="1210" customWidth="1"/>
    <col min="10500" max="10500" width="35.42578125" style="1210" customWidth="1"/>
    <col min="10501" max="10501" width="16.140625" style="1210" customWidth="1"/>
    <col min="10502" max="10502" width="25.42578125" style="1210" customWidth="1"/>
    <col min="10503" max="10503" width="2" style="1210" customWidth="1"/>
    <col min="10504" max="10504" width="13.140625" style="1210" customWidth="1"/>
    <col min="10505" max="10505" width="6.28515625" style="1210" customWidth="1"/>
    <col min="10506" max="10506" width="20.5703125" style="1210" customWidth="1"/>
    <col min="10507" max="10752" width="6.85546875" style="1210" customWidth="1"/>
    <col min="10753" max="10753" width="3.140625" style="1210" customWidth="1"/>
    <col min="10754" max="10754" width="15.42578125" style="1210" customWidth="1"/>
    <col min="10755" max="10755" width="66" style="1210" customWidth="1"/>
    <col min="10756" max="10756" width="35.42578125" style="1210" customWidth="1"/>
    <col min="10757" max="10757" width="16.140625" style="1210" customWidth="1"/>
    <col min="10758" max="10758" width="25.42578125" style="1210" customWidth="1"/>
    <col min="10759" max="10759" width="2" style="1210" customWidth="1"/>
    <col min="10760" max="10760" width="13.140625" style="1210" customWidth="1"/>
    <col min="10761" max="10761" width="6.28515625" style="1210" customWidth="1"/>
    <col min="10762" max="10762" width="20.5703125" style="1210" customWidth="1"/>
    <col min="10763" max="11008" width="6.85546875" style="1210" customWidth="1"/>
    <col min="11009" max="11009" width="3.140625" style="1210" customWidth="1"/>
    <col min="11010" max="11010" width="15.42578125" style="1210" customWidth="1"/>
    <col min="11011" max="11011" width="66" style="1210" customWidth="1"/>
    <col min="11012" max="11012" width="35.42578125" style="1210" customWidth="1"/>
    <col min="11013" max="11013" width="16.140625" style="1210" customWidth="1"/>
    <col min="11014" max="11014" width="25.42578125" style="1210" customWidth="1"/>
    <col min="11015" max="11015" width="2" style="1210" customWidth="1"/>
    <col min="11016" max="11016" width="13.140625" style="1210" customWidth="1"/>
    <col min="11017" max="11017" width="6.28515625" style="1210" customWidth="1"/>
    <col min="11018" max="11018" width="20.5703125" style="1210" customWidth="1"/>
    <col min="11019" max="11264" width="6.85546875" style="1210" customWidth="1"/>
    <col min="11265" max="11265" width="3.140625" style="1210" customWidth="1"/>
    <col min="11266" max="11266" width="15.42578125" style="1210" customWidth="1"/>
    <col min="11267" max="11267" width="66" style="1210" customWidth="1"/>
    <col min="11268" max="11268" width="35.42578125" style="1210" customWidth="1"/>
    <col min="11269" max="11269" width="16.140625" style="1210" customWidth="1"/>
    <col min="11270" max="11270" width="25.42578125" style="1210" customWidth="1"/>
    <col min="11271" max="11271" width="2" style="1210" customWidth="1"/>
    <col min="11272" max="11272" width="13.140625" style="1210" customWidth="1"/>
    <col min="11273" max="11273" width="6.28515625" style="1210" customWidth="1"/>
    <col min="11274" max="11274" width="20.5703125" style="1210" customWidth="1"/>
    <col min="11275" max="11520" width="6.85546875" style="1210" customWidth="1"/>
    <col min="11521" max="11521" width="3.140625" style="1210" customWidth="1"/>
    <col min="11522" max="11522" width="15.42578125" style="1210" customWidth="1"/>
    <col min="11523" max="11523" width="66" style="1210" customWidth="1"/>
    <col min="11524" max="11524" width="35.42578125" style="1210" customWidth="1"/>
    <col min="11525" max="11525" width="16.140625" style="1210" customWidth="1"/>
    <col min="11526" max="11526" width="25.42578125" style="1210" customWidth="1"/>
    <col min="11527" max="11527" width="2" style="1210" customWidth="1"/>
    <col min="11528" max="11528" width="13.140625" style="1210" customWidth="1"/>
    <col min="11529" max="11529" width="6.28515625" style="1210" customWidth="1"/>
    <col min="11530" max="11530" width="20.5703125" style="1210" customWidth="1"/>
    <col min="11531" max="11776" width="6.85546875" style="1210" customWidth="1"/>
    <col min="11777" max="11777" width="3.140625" style="1210" customWidth="1"/>
    <col min="11778" max="11778" width="15.42578125" style="1210" customWidth="1"/>
    <col min="11779" max="11779" width="66" style="1210" customWidth="1"/>
    <col min="11780" max="11780" width="35.42578125" style="1210" customWidth="1"/>
    <col min="11781" max="11781" width="16.140625" style="1210" customWidth="1"/>
    <col min="11782" max="11782" width="25.42578125" style="1210" customWidth="1"/>
    <col min="11783" max="11783" width="2" style="1210" customWidth="1"/>
    <col min="11784" max="11784" width="13.140625" style="1210" customWidth="1"/>
    <col min="11785" max="11785" width="6.28515625" style="1210" customWidth="1"/>
    <col min="11786" max="11786" width="20.5703125" style="1210" customWidth="1"/>
    <col min="11787" max="12032" width="6.85546875" style="1210" customWidth="1"/>
    <col min="12033" max="12033" width="3.140625" style="1210" customWidth="1"/>
    <col min="12034" max="12034" width="15.42578125" style="1210" customWidth="1"/>
    <col min="12035" max="12035" width="66" style="1210" customWidth="1"/>
    <col min="12036" max="12036" width="35.42578125" style="1210" customWidth="1"/>
    <col min="12037" max="12037" width="16.140625" style="1210" customWidth="1"/>
    <col min="12038" max="12038" width="25.42578125" style="1210" customWidth="1"/>
    <col min="12039" max="12039" width="2" style="1210" customWidth="1"/>
    <col min="12040" max="12040" width="13.140625" style="1210" customWidth="1"/>
    <col min="12041" max="12041" width="6.28515625" style="1210" customWidth="1"/>
    <col min="12042" max="12042" width="20.5703125" style="1210" customWidth="1"/>
    <col min="12043" max="12288" width="6.85546875" style="1210" customWidth="1"/>
    <col min="12289" max="12289" width="3.140625" style="1210" customWidth="1"/>
    <col min="12290" max="12290" width="15.42578125" style="1210" customWidth="1"/>
    <col min="12291" max="12291" width="66" style="1210" customWidth="1"/>
    <col min="12292" max="12292" width="35.42578125" style="1210" customWidth="1"/>
    <col min="12293" max="12293" width="16.140625" style="1210" customWidth="1"/>
    <col min="12294" max="12294" width="25.42578125" style="1210" customWidth="1"/>
    <col min="12295" max="12295" width="2" style="1210" customWidth="1"/>
    <col min="12296" max="12296" width="13.140625" style="1210" customWidth="1"/>
    <col min="12297" max="12297" width="6.28515625" style="1210" customWidth="1"/>
    <col min="12298" max="12298" width="20.5703125" style="1210" customWidth="1"/>
    <col min="12299" max="12544" width="6.85546875" style="1210" customWidth="1"/>
    <col min="12545" max="12545" width="3.140625" style="1210" customWidth="1"/>
    <col min="12546" max="12546" width="15.42578125" style="1210" customWidth="1"/>
    <col min="12547" max="12547" width="66" style="1210" customWidth="1"/>
    <col min="12548" max="12548" width="35.42578125" style="1210" customWidth="1"/>
    <col min="12549" max="12549" width="16.140625" style="1210" customWidth="1"/>
    <col min="12550" max="12550" width="25.42578125" style="1210" customWidth="1"/>
    <col min="12551" max="12551" width="2" style="1210" customWidth="1"/>
    <col min="12552" max="12552" width="13.140625" style="1210" customWidth="1"/>
    <col min="12553" max="12553" width="6.28515625" style="1210" customWidth="1"/>
    <col min="12554" max="12554" width="20.5703125" style="1210" customWidth="1"/>
    <col min="12555" max="12800" width="6.85546875" style="1210" customWidth="1"/>
    <col min="12801" max="12801" width="3.140625" style="1210" customWidth="1"/>
    <col min="12802" max="12802" width="15.42578125" style="1210" customWidth="1"/>
    <col min="12803" max="12803" width="66" style="1210" customWidth="1"/>
    <col min="12804" max="12804" width="35.42578125" style="1210" customWidth="1"/>
    <col min="12805" max="12805" width="16.140625" style="1210" customWidth="1"/>
    <col min="12806" max="12806" width="25.42578125" style="1210" customWidth="1"/>
    <col min="12807" max="12807" width="2" style="1210" customWidth="1"/>
    <col min="12808" max="12808" width="13.140625" style="1210" customWidth="1"/>
    <col min="12809" max="12809" width="6.28515625" style="1210" customWidth="1"/>
    <col min="12810" max="12810" width="20.5703125" style="1210" customWidth="1"/>
    <col min="12811" max="13056" width="6.85546875" style="1210" customWidth="1"/>
    <col min="13057" max="13057" width="3.140625" style="1210" customWidth="1"/>
    <col min="13058" max="13058" width="15.42578125" style="1210" customWidth="1"/>
    <col min="13059" max="13059" width="66" style="1210" customWidth="1"/>
    <col min="13060" max="13060" width="35.42578125" style="1210" customWidth="1"/>
    <col min="13061" max="13061" width="16.140625" style="1210" customWidth="1"/>
    <col min="13062" max="13062" width="25.42578125" style="1210" customWidth="1"/>
    <col min="13063" max="13063" width="2" style="1210" customWidth="1"/>
    <col min="13064" max="13064" width="13.140625" style="1210" customWidth="1"/>
    <col min="13065" max="13065" width="6.28515625" style="1210" customWidth="1"/>
    <col min="13066" max="13066" width="20.5703125" style="1210" customWidth="1"/>
    <col min="13067" max="13312" width="6.85546875" style="1210" customWidth="1"/>
    <col min="13313" max="13313" width="3.140625" style="1210" customWidth="1"/>
    <col min="13314" max="13314" width="15.42578125" style="1210" customWidth="1"/>
    <col min="13315" max="13315" width="66" style="1210" customWidth="1"/>
    <col min="13316" max="13316" width="35.42578125" style="1210" customWidth="1"/>
    <col min="13317" max="13317" width="16.140625" style="1210" customWidth="1"/>
    <col min="13318" max="13318" width="25.42578125" style="1210" customWidth="1"/>
    <col min="13319" max="13319" width="2" style="1210" customWidth="1"/>
    <col min="13320" max="13320" width="13.140625" style="1210" customWidth="1"/>
    <col min="13321" max="13321" width="6.28515625" style="1210" customWidth="1"/>
    <col min="13322" max="13322" width="20.5703125" style="1210" customWidth="1"/>
    <col min="13323" max="13568" width="6.85546875" style="1210" customWidth="1"/>
    <col min="13569" max="13569" width="3.140625" style="1210" customWidth="1"/>
    <col min="13570" max="13570" width="15.42578125" style="1210" customWidth="1"/>
    <col min="13571" max="13571" width="66" style="1210" customWidth="1"/>
    <col min="13572" max="13572" width="35.42578125" style="1210" customWidth="1"/>
    <col min="13573" max="13573" width="16.140625" style="1210" customWidth="1"/>
    <col min="13574" max="13574" width="25.42578125" style="1210" customWidth="1"/>
    <col min="13575" max="13575" width="2" style="1210" customWidth="1"/>
    <col min="13576" max="13576" width="13.140625" style="1210" customWidth="1"/>
    <col min="13577" max="13577" width="6.28515625" style="1210" customWidth="1"/>
    <col min="13578" max="13578" width="20.5703125" style="1210" customWidth="1"/>
    <col min="13579" max="13824" width="6.85546875" style="1210" customWidth="1"/>
    <col min="13825" max="13825" width="3.140625" style="1210" customWidth="1"/>
    <col min="13826" max="13826" width="15.42578125" style="1210" customWidth="1"/>
    <col min="13827" max="13827" width="66" style="1210" customWidth="1"/>
    <col min="13828" max="13828" width="35.42578125" style="1210" customWidth="1"/>
    <col min="13829" max="13829" width="16.140625" style="1210" customWidth="1"/>
    <col min="13830" max="13830" width="25.42578125" style="1210" customWidth="1"/>
    <col min="13831" max="13831" width="2" style="1210" customWidth="1"/>
    <col min="13832" max="13832" width="13.140625" style="1210" customWidth="1"/>
    <col min="13833" max="13833" width="6.28515625" style="1210" customWidth="1"/>
    <col min="13834" max="13834" width="20.5703125" style="1210" customWidth="1"/>
    <col min="13835" max="14080" width="6.85546875" style="1210" customWidth="1"/>
    <col min="14081" max="14081" width="3.140625" style="1210" customWidth="1"/>
    <col min="14082" max="14082" width="15.42578125" style="1210" customWidth="1"/>
    <col min="14083" max="14083" width="66" style="1210" customWidth="1"/>
    <col min="14084" max="14084" width="35.42578125" style="1210" customWidth="1"/>
    <col min="14085" max="14085" width="16.140625" style="1210" customWidth="1"/>
    <col min="14086" max="14086" width="25.42578125" style="1210" customWidth="1"/>
    <col min="14087" max="14087" width="2" style="1210" customWidth="1"/>
    <col min="14088" max="14088" width="13.140625" style="1210" customWidth="1"/>
    <col min="14089" max="14089" width="6.28515625" style="1210" customWidth="1"/>
    <col min="14090" max="14090" width="20.5703125" style="1210" customWidth="1"/>
    <col min="14091" max="14336" width="6.85546875" style="1210" customWidth="1"/>
    <col min="14337" max="14337" width="3.140625" style="1210" customWidth="1"/>
    <col min="14338" max="14338" width="15.42578125" style="1210" customWidth="1"/>
    <col min="14339" max="14339" width="66" style="1210" customWidth="1"/>
    <col min="14340" max="14340" width="35.42578125" style="1210" customWidth="1"/>
    <col min="14341" max="14341" width="16.140625" style="1210" customWidth="1"/>
    <col min="14342" max="14342" width="25.42578125" style="1210" customWidth="1"/>
    <col min="14343" max="14343" width="2" style="1210" customWidth="1"/>
    <col min="14344" max="14344" width="13.140625" style="1210" customWidth="1"/>
    <col min="14345" max="14345" width="6.28515625" style="1210" customWidth="1"/>
    <col min="14346" max="14346" width="20.5703125" style="1210" customWidth="1"/>
    <col min="14347" max="14592" width="6.85546875" style="1210" customWidth="1"/>
    <col min="14593" max="14593" width="3.140625" style="1210" customWidth="1"/>
    <col min="14594" max="14594" width="15.42578125" style="1210" customWidth="1"/>
    <col min="14595" max="14595" width="66" style="1210" customWidth="1"/>
    <col min="14596" max="14596" width="35.42578125" style="1210" customWidth="1"/>
    <col min="14597" max="14597" width="16.140625" style="1210" customWidth="1"/>
    <col min="14598" max="14598" width="25.42578125" style="1210" customWidth="1"/>
    <col min="14599" max="14599" width="2" style="1210" customWidth="1"/>
    <col min="14600" max="14600" width="13.140625" style="1210" customWidth="1"/>
    <col min="14601" max="14601" width="6.28515625" style="1210" customWidth="1"/>
    <col min="14602" max="14602" width="20.5703125" style="1210" customWidth="1"/>
    <col min="14603" max="14848" width="6.85546875" style="1210" customWidth="1"/>
    <col min="14849" max="14849" width="3.140625" style="1210" customWidth="1"/>
    <col min="14850" max="14850" width="15.42578125" style="1210" customWidth="1"/>
    <col min="14851" max="14851" width="66" style="1210" customWidth="1"/>
    <col min="14852" max="14852" width="35.42578125" style="1210" customWidth="1"/>
    <col min="14853" max="14853" width="16.140625" style="1210" customWidth="1"/>
    <col min="14854" max="14854" width="25.42578125" style="1210" customWidth="1"/>
    <col min="14855" max="14855" width="2" style="1210" customWidth="1"/>
    <col min="14856" max="14856" width="13.140625" style="1210" customWidth="1"/>
    <col min="14857" max="14857" width="6.28515625" style="1210" customWidth="1"/>
    <col min="14858" max="14858" width="20.5703125" style="1210" customWidth="1"/>
    <col min="14859" max="15104" width="6.85546875" style="1210" customWidth="1"/>
    <col min="15105" max="15105" width="3.140625" style="1210" customWidth="1"/>
    <col min="15106" max="15106" width="15.42578125" style="1210" customWidth="1"/>
    <col min="15107" max="15107" width="66" style="1210" customWidth="1"/>
    <col min="15108" max="15108" width="35.42578125" style="1210" customWidth="1"/>
    <col min="15109" max="15109" width="16.140625" style="1210" customWidth="1"/>
    <col min="15110" max="15110" width="25.42578125" style="1210" customWidth="1"/>
    <col min="15111" max="15111" width="2" style="1210" customWidth="1"/>
    <col min="15112" max="15112" width="13.140625" style="1210" customWidth="1"/>
    <col min="15113" max="15113" width="6.28515625" style="1210" customWidth="1"/>
    <col min="15114" max="15114" width="20.5703125" style="1210" customWidth="1"/>
    <col min="15115" max="15360" width="6.85546875" style="1210" customWidth="1"/>
    <col min="15361" max="15361" width="3.140625" style="1210" customWidth="1"/>
    <col min="15362" max="15362" width="15.42578125" style="1210" customWidth="1"/>
    <col min="15363" max="15363" width="66" style="1210" customWidth="1"/>
    <col min="15364" max="15364" width="35.42578125" style="1210" customWidth="1"/>
    <col min="15365" max="15365" width="16.140625" style="1210" customWidth="1"/>
    <col min="15366" max="15366" width="25.42578125" style="1210" customWidth="1"/>
    <col min="15367" max="15367" width="2" style="1210" customWidth="1"/>
    <col min="15368" max="15368" width="13.140625" style="1210" customWidth="1"/>
    <col min="15369" max="15369" width="6.28515625" style="1210" customWidth="1"/>
    <col min="15370" max="15370" width="20.5703125" style="1210" customWidth="1"/>
    <col min="15371" max="15616" width="6.85546875" style="1210" customWidth="1"/>
    <col min="15617" max="15617" width="3.140625" style="1210" customWidth="1"/>
    <col min="15618" max="15618" width="15.42578125" style="1210" customWidth="1"/>
    <col min="15619" max="15619" width="66" style="1210" customWidth="1"/>
    <col min="15620" max="15620" width="35.42578125" style="1210" customWidth="1"/>
    <col min="15621" max="15621" width="16.140625" style="1210" customWidth="1"/>
    <col min="15622" max="15622" width="25.42578125" style="1210" customWidth="1"/>
    <col min="15623" max="15623" width="2" style="1210" customWidth="1"/>
    <col min="15624" max="15624" width="13.140625" style="1210" customWidth="1"/>
    <col min="15625" max="15625" width="6.28515625" style="1210" customWidth="1"/>
    <col min="15626" max="15626" width="20.5703125" style="1210" customWidth="1"/>
    <col min="15627" max="15872" width="6.85546875" style="1210" customWidth="1"/>
    <col min="15873" max="15873" width="3.140625" style="1210" customWidth="1"/>
    <col min="15874" max="15874" width="15.42578125" style="1210" customWidth="1"/>
    <col min="15875" max="15875" width="66" style="1210" customWidth="1"/>
    <col min="15876" max="15876" width="35.42578125" style="1210" customWidth="1"/>
    <col min="15877" max="15877" width="16.140625" style="1210" customWidth="1"/>
    <col min="15878" max="15878" width="25.42578125" style="1210" customWidth="1"/>
    <col min="15879" max="15879" width="2" style="1210" customWidth="1"/>
    <col min="15880" max="15880" width="13.140625" style="1210" customWidth="1"/>
    <col min="15881" max="15881" width="6.28515625" style="1210" customWidth="1"/>
    <col min="15882" max="15882" width="20.5703125" style="1210" customWidth="1"/>
    <col min="15883" max="16128" width="6.85546875" style="1210" customWidth="1"/>
    <col min="16129" max="16129" width="3.140625" style="1210" customWidth="1"/>
    <col min="16130" max="16130" width="15.42578125" style="1210" customWidth="1"/>
    <col min="16131" max="16131" width="66" style="1210" customWidth="1"/>
    <col min="16132" max="16132" width="35.42578125" style="1210" customWidth="1"/>
    <col min="16133" max="16133" width="16.140625" style="1210" customWidth="1"/>
    <col min="16134" max="16134" width="25.42578125" style="1210" customWidth="1"/>
    <col min="16135" max="16135" width="2" style="1210" customWidth="1"/>
    <col min="16136" max="16136" width="13.140625" style="1210" customWidth="1"/>
    <col min="16137" max="16137" width="6.28515625" style="1210" customWidth="1"/>
    <col min="16138" max="16138" width="20.5703125" style="1210" customWidth="1"/>
    <col min="16139" max="16384" width="6.85546875" style="1210" customWidth="1"/>
  </cols>
  <sheetData>
    <row r="1" spans="2:24" ht="15" customHeight="1" x14ac:dyDescent="0.25">
      <c r="B1" s="1207"/>
      <c r="C1" s="1208"/>
      <c r="D1" s="1208"/>
      <c r="E1" s="1209"/>
      <c r="F1" s="1208"/>
      <c r="G1" s="1208"/>
      <c r="H1" s="1208"/>
      <c r="J1" s="1211"/>
    </row>
    <row r="2" spans="2:24" ht="15" customHeight="1" x14ac:dyDescent="0.25">
      <c r="B2" s="1421" t="s">
        <v>11847</v>
      </c>
      <c r="C2" s="1421"/>
      <c r="D2" s="1421"/>
      <c r="E2" s="1421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  <c r="Q2" s="1120"/>
      <c r="R2" s="1120"/>
      <c r="S2" s="1120"/>
      <c r="T2" s="1120"/>
      <c r="U2" s="1120"/>
      <c r="V2" s="1120"/>
      <c r="W2" s="1120"/>
      <c r="X2" s="1120"/>
    </row>
    <row r="3" spans="2:24" ht="15" customHeight="1" x14ac:dyDescent="0.25">
      <c r="B3" s="1212"/>
      <c r="C3" s="1213"/>
      <c r="D3" s="1213"/>
      <c r="E3" s="1214"/>
      <c r="F3" s="1213"/>
    </row>
    <row r="4" spans="2:24" ht="15" customHeight="1" x14ac:dyDescent="0.25"/>
    <row r="5" spans="2:24" s="1220" customFormat="1" ht="46.5" customHeight="1" x14ac:dyDescent="0.25">
      <c r="B5" s="1217" t="s">
        <v>11863</v>
      </c>
      <c r="C5" s="1218" t="s">
        <v>6221</v>
      </c>
      <c r="D5" s="1218" t="s">
        <v>34</v>
      </c>
      <c r="E5" s="1219" t="s">
        <v>235</v>
      </c>
    </row>
    <row r="6" spans="2:24" s="1220" customFormat="1" ht="15" customHeight="1" x14ac:dyDescent="0.25">
      <c r="B6" s="1217">
        <v>1</v>
      </c>
      <c r="C6" s="1220" t="s">
        <v>1987</v>
      </c>
      <c r="D6" s="1221">
        <f>D7</f>
        <v>727283.89</v>
      </c>
      <c r="E6" s="1222">
        <f>D6/D$49</f>
        <v>3.9742289071038245E-2</v>
      </c>
    </row>
    <row r="7" spans="2:24" s="1224" customFormat="1" ht="15" customHeight="1" x14ac:dyDescent="0.25">
      <c r="B7" s="1223">
        <v>1</v>
      </c>
      <c r="C7" s="1224" t="s">
        <v>1987</v>
      </c>
      <c r="D7" s="1225">
        <v>727283.89</v>
      </c>
      <c r="E7" s="1226">
        <f>D7/D$49</f>
        <v>3.9742289071038245E-2</v>
      </c>
    </row>
    <row r="8" spans="2:24" ht="15" customHeight="1" x14ac:dyDescent="0.25">
      <c r="D8" s="1227"/>
    </row>
    <row r="9" spans="2:24" s="1220" customFormat="1" ht="15" customHeight="1" x14ac:dyDescent="0.25">
      <c r="B9" s="1217">
        <v>2</v>
      </c>
      <c r="C9" s="1220" t="s">
        <v>6230</v>
      </c>
      <c r="D9" s="1221">
        <f>SUM(D10:D21)</f>
        <v>6589590.1200000001</v>
      </c>
      <c r="E9" s="1222">
        <f>D9/D$49</f>
        <v>0.36008689180327863</v>
      </c>
    </row>
    <row r="10" spans="2:24" s="1224" customFormat="1" ht="15" customHeight="1" x14ac:dyDescent="0.25">
      <c r="B10" s="1223">
        <v>1</v>
      </c>
      <c r="C10" s="1224" t="s">
        <v>111</v>
      </c>
      <c r="D10" s="1225">
        <v>678801.84</v>
      </c>
      <c r="E10" s="1226">
        <f>D10/D$49</f>
        <v>3.7092996721311465E-2</v>
      </c>
    </row>
    <row r="11" spans="2:24" s="1224" customFormat="1" ht="15" customHeight="1" x14ac:dyDescent="0.25">
      <c r="B11" s="1223">
        <v>2</v>
      </c>
      <c r="C11" s="1224" t="s">
        <v>432</v>
      </c>
      <c r="D11" s="1225">
        <v>564878.18000000005</v>
      </c>
      <c r="E11" s="1226">
        <f t="shared" ref="E11:E21" si="0">D11/D$49</f>
        <v>3.0867660109289614E-2</v>
      </c>
    </row>
    <row r="12" spans="2:24" s="1224" customFormat="1" ht="15" customHeight="1" x14ac:dyDescent="0.25">
      <c r="B12" s="1223">
        <v>3</v>
      </c>
      <c r="C12" s="1224" t="s">
        <v>433</v>
      </c>
      <c r="D12" s="1225">
        <v>731601.78</v>
      </c>
      <c r="E12" s="1226">
        <f t="shared" si="0"/>
        <v>3.9978239344262291E-2</v>
      </c>
    </row>
    <row r="13" spans="2:24" s="1224" customFormat="1" ht="15" customHeight="1" x14ac:dyDescent="0.25">
      <c r="B13" s="1223">
        <v>4</v>
      </c>
      <c r="C13" s="1224" t="s">
        <v>1193</v>
      </c>
      <c r="D13" s="1225">
        <v>1846010.48</v>
      </c>
      <c r="E13" s="1226">
        <f t="shared" si="0"/>
        <v>0.10087488961748632</v>
      </c>
    </row>
    <row r="14" spans="2:24" s="1224" customFormat="1" ht="15" customHeight="1" x14ac:dyDescent="0.25">
      <c r="B14" s="1223">
        <v>5</v>
      </c>
      <c r="C14" s="1224" t="s">
        <v>11864</v>
      </c>
      <c r="D14" s="1225">
        <v>373266.9</v>
      </c>
      <c r="E14" s="1226">
        <f t="shared" si="0"/>
        <v>2.0397098360655733E-2</v>
      </c>
    </row>
    <row r="15" spans="2:24" s="1224" customFormat="1" ht="15" customHeight="1" x14ac:dyDescent="0.25">
      <c r="B15" s="1223">
        <v>6</v>
      </c>
      <c r="C15" s="1224" t="s">
        <v>11859</v>
      </c>
      <c r="D15" s="1225">
        <v>1521630.73</v>
      </c>
      <c r="E15" s="1226">
        <f t="shared" si="0"/>
        <v>8.314922021857922E-2</v>
      </c>
    </row>
    <row r="16" spans="2:24" s="1224" customFormat="1" ht="15" customHeight="1" x14ac:dyDescent="0.25">
      <c r="B16" s="1223">
        <v>7</v>
      </c>
      <c r="C16" s="1224" t="s">
        <v>11865</v>
      </c>
      <c r="D16" s="1225">
        <v>175271.2</v>
      </c>
      <c r="E16" s="1226">
        <f t="shared" si="0"/>
        <v>9.5776612021857919E-3</v>
      </c>
    </row>
    <row r="17" spans="2:5" s="1224" customFormat="1" ht="15" customHeight="1" x14ac:dyDescent="0.25">
      <c r="B17" s="1223">
        <v>8</v>
      </c>
      <c r="C17" s="1224" t="s">
        <v>11785</v>
      </c>
      <c r="D17" s="1225">
        <v>1502</v>
      </c>
      <c r="E17" s="1226">
        <f t="shared" si="0"/>
        <v>8.2076502732240418E-5</v>
      </c>
    </row>
    <row r="18" spans="2:5" s="1224" customFormat="1" ht="15" customHeight="1" x14ac:dyDescent="0.25">
      <c r="B18" s="1223">
        <v>9</v>
      </c>
      <c r="C18" s="1224" t="s">
        <v>11866</v>
      </c>
      <c r="D18" s="1225">
        <v>125287.34</v>
      </c>
      <c r="E18" s="1226">
        <f t="shared" si="0"/>
        <v>6.8463027322404352E-3</v>
      </c>
    </row>
    <row r="19" spans="2:5" s="1224" customFormat="1" ht="15" customHeight="1" x14ac:dyDescent="0.25">
      <c r="B19" s="1223">
        <v>10</v>
      </c>
      <c r="C19" s="1224" t="s">
        <v>11867</v>
      </c>
      <c r="D19" s="1225">
        <v>383338.67</v>
      </c>
      <c r="E19" s="1226">
        <f t="shared" si="0"/>
        <v>2.0947468306010925E-2</v>
      </c>
    </row>
    <row r="20" spans="2:5" s="1224" customFormat="1" ht="15" customHeight="1" x14ac:dyDescent="0.25">
      <c r="B20" s="1223">
        <v>11</v>
      </c>
      <c r="C20" s="1224" t="s">
        <v>6971</v>
      </c>
      <c r="D20" s="1225">
        <v>183000</v>
      </c>
      <c r="E20" s="1226">
        <f t="shared" si="0"/>
        <v>9.9999999999999985E-3</v>
      </c>
    </row>
    <row r="21" spans="2:5" s="1224" customFormat="1" ht="15" customHeight="1" x14ac:dyDescent="0.25">
      <c r="B21" s="1223">
        <v>12</v>
      </c>
      <c r="C21" s="1224" t="s">
        <v>7898</v>
      </c>
      <c r="D21" s="1225">
        <v>5001</v>
      </c>
      <c r="E21" s="1226">
        <f t="shared" si="0"/>
        <v>2.7327868852459011E-4</v>
      </c>
    </row>
    <row r="22" spans="2:5" ht="15" customHeight="1" x14ac:dyDescent="0.25">
      <c r="D22" s="1227"/>
    </row>
    <row r="23" spans="2:5" s="1220" customFormat="1" ht="15" customHeight="1" x14ac:dyDescent="0.25">
      <c r="B23" s="1217">
        <v>3</v>
      </c>
      <c r="C23" s="1220" t="s">
        <v>11868</v>
      </c>
      <c r="D23" s="1221">
        <f>SUM(D24:D32)</f>
        <v>5941884.2800000012</v>
      </c>
      <c r="E23" s="1222">
        <f>D23/D$49</f>
        <v>0.32469313005464479</v>
      </c>
    </row>
    <row r="24" spans="2:5" s="1224" customFormat="1" ht="15" customHeight="1" x14ac:dyDescent="0.25">
      <c r="B24" s="1223">
        <v>1</v>
      </c>
      <c r="C24" s="1224" t="s">
        <v>11869</v>
      </c>
      <c r="D24" s="1225">
        <v>1284906.3799999999</v>
      </c>
      <c r="E24" s="1226">
        <f>D24/D$49</f>
        <v>7.0213463387978126E-2</v>
      </c>
    </row>
    <row r="25" spans="2:5" s="1224" customFormat="1" ht="15" customHeight="1" x14ac:dyDescent="0.25">
      <c r="B25" s="1223">
        <v>2</v>
      </c>
      <c r="C25" s="1224" t="s">
        <v>11870</v>
      </c>
      <c r="D25" s="1225">
        <v>2979286.36</v>
      </c>
      <c r="E25" s="1226">
        <f t="shared" ref="E25:E32" si="1">D25/D$49</f>
        <v>0.1628025333333333</v>
      </c>
    </row>
    <row r="26" spans="2:5" s="1224" customFormat="1" ht="15" customHeight="1" x14ac:dyDescent="0.25">
      <c r="B26" s="1223">
        <v>3</v>
      </c>
      <c r="C26" s="1224" t="s">
        <v>11871</v>
      </c>
      <c r="D26" s="1225">
        <v>405736.28</v>
      </c>
      <c r="E26" s="1226">
        <f t="shared" si="1"/>
        <v>2.2171381420765024E-2</v>
      </c>
    </row>
    <row r="27" spans="2:5" s="1224" customFormat="1" ht="15" customHeight="1" x14ac:dyDescent="0.25">
      <c r="B27" s="1223">
        <v>4</v>
      </c>
      <c r="C27" s="1224" t="s">
        <v>11872</v>
      </c>
      <c r="D27" s="1225">
        <v>463257.87</v>
      </c>
      <c r="E27" s="1226">
        <f t="shared" si="1"/>
        <v>2.5314637704918028E-2</v>
      </c>
    </row>
    <row r="28" spans="2:5" s="1224" customFormat="1" ht="15" customHeight="1" x14ac:dyDescent="0.25">
      <c r="B28" s="1223">
        <v>5</v>
      </c>
      <c r="C28" s="1224" t="s">
        <v>11873</v>
      </c>
      <c r="D28" s="1225">
        <v>149572.53</v>
      </c>
      <c r="E28" s="1226">
        <f t="shared" si="1"/>
        <v>8.1733622950819658E-3</v>
      </c>
    </row>
    <row r="29" spans="2:5" s="1224" customFormat="1" ht="15" customHeight="1" x14ac:dyDescent="0.25">
      <c r="B29" s="1223">
        <v>6</v>
      </c>
      <c r="C29" s="1224" t="s">
        <v>11874</v>
      </c>
      <c r="D29" s="1225">
        <v>115612.72</v>
      </c>
      <c r="E29" s="1226">
        <f t="shared" si="1"/>
        <v>6.3176349726775946E-3</v>
      </c>
    </row>
    <row r="30" spans="2:5" s="1224" customFormat="1" ht="15" customHeight="1" x14ac:dyDescent="0.25">
      <c r="B30" s="1223">
        <v>7</v>
      </c>
      <c r="C30" s="1224" t="s">
        <v>11875</v>
      </c>
      <c r="D30" s="1225">
        <v>286977.28999999998</v>
      </c>
      <c r="E30" s="1226">
        <f t="shared" si="1"/>
        <v>1.5681819125683057E-2</v>
      </c>
    </row>
    <row r="31" spans="2:5" s="1224" customFormat="1" ht="15" customHeight="1" x14ac:dyDescent="0.25">
      <c r="B31" s="1223">
        <v>8</v>
      </c>
      <c r="C31" s="1224" t="s">
        <v>11876</v>
      </c>
      <c r="D31" s="1225">
        <v>114032.69</v>
      </c>
      <c r="E31" s="1226">
        <f t="shared" si="1"/>
        <v>6.2312945355191248E-3</v>
      </c>
    </row>
    <row r="32" spans="2:5" s="1224" customFormat="1" ht="15" customHeight="1" x14ac:dyDescent="0.25">
      <c r="B32" s="1223">
        <v>9</v>
      </c>
      <c r="C32" s="1224" t="s">
        <v>11877</v>
      </c>
      <c r="D32" s="1225">
        <v>142502.16</v>
      </c>
      <c r="E32" s="1226">
        <f t="shared" si="1"/>
        <v>7.7870032786885235E-3</v>
      </c>
    </row>
    <row r="33" spans="2:5" ht="15" customHeight="1" x14ac:dyDescent="0.25">
      <c r="D33" s="1227"/>
    </row>
    <row r="34" spans="2:5" s="1220" customFormat="1" ht="15" customHeight="1" x14ac:dyDescent="0.25">
      <c r="B34" s="1217">
        <v>4</v>
      </c>
      <c r="C34" s="1220" t="s">
        <v>919</v>
      </c>
      <c r="D34" s="1221">
        <f>SUM(D35:D39)</f>
        <v>4138085.04</v>
      </c>
      <c r="E34" s="1222">
        <f>D34/D$49</f>
        <v>0.22612486557377046</v>
      </c>
    </row>
    <row r="35" spans="2:5" s="1224" customFormat="1" ht="15" customHeight="1" x14ac:dyDescent="0.25">
      <c r="B35" s="1223">
        <v>1</v>
      </c>
      <c r="C35" s="1224" t="s">
        <v>11850</v>
      </c>
      <c r="D35" s="1225">
        <v>543919.48</v>
      </c>
      <c r="E35" s="1226">
        <f>D35/D$49</f>
        <v>2.9722375956284144E-2</v>
      </c>
    </row>
    <row r="36" spans="2:5" s="1224" customFormat="1" ht="15" customHeight="1" x14ac:dyDescent="0.25">
      <c r="B36" s="1223">
        <v>2</v>
      </c>
      <c r="C36" s="1224" t="s">
        <v>11851</v>
      </c>
      <c r="D36" s="1225">
        <v>2610777.77</v>
      </c>
      <c r="E36" s="1226">
        <f t="shared" ref="E36:E39" si="2">D36/D$49</f>
        <v>0.14266545191256827</v>
      </c>
    </row>
    <row r="37" spans="2:5" s="1224" customFormat="1" ht="15" customHeight="1" x14ac:dyDescent="0.25">
      <c r="B37" s="1223">
        <v>3</v>
      </c>
      <c r="C37" s="1224" t="s">
        <v>11852</v>
      </c>
      <c r="D37" s="1225">
        <v>649362.38</v>
      </c>
      <c r="E37" s="1226">
        <f t="shared" si="2"/>
        <v>3.5484283060109284E-2</v>
      </c>
    </row>
    <row r="38" spans="2:5" s="1224" customFormat="1" ht="15" customHeight="1" x14ac:dyDescent="0.25">
      <c r="B38" s="1223">
        <v>4</v>
      </c>
      <c r="C38" s="1224" t="s">
        <v>11853</v>
      </c>
      <c r="D38" s="1225">
        <v>328464.68</v>
      </c>
      <c r="E38" s="1226">
        <f t="shared" si="2"/>
        <v>1.7948889617486335E-2</v>
      </c>
    </row>
    <row r="39" spans="2:5" s="1224" customFormat="1" ht="15" customHeight="1" x14ac:dyDescent="0.25">
      <c r="B39" s="1223">
        <v>5</v>
      </c>
      <c r="C39" s="1224" t="s">
        <v>11854</v>
      </c>
      <c r="D39" s="1225">
        <v>5560.73</v>
      </c>
      <c r="E39" s="1226">
        <f t="shared" si="2"/>
        <v>3.0386502732240427E-4</v>
      </c>
    </row>
    <row r="40" spans="2:5" ht="15" customHeight="1" x14ac:dyDescent="0.25">
      <c r="D40" s="1227"/>
    </row>
    <row r="41" spans="2:5" s="1220" customFormat="1" ht="15" customHeight="1" x14ac:dyDescent="0.25">
      <c r="B41" s="1217">
        <v>5</v>
      </c>
      <c r="C41" s="1220" t="s">
        <v>11855</v>
      </c>
      <c r="D41" s="1221">
        <f>SUM(D42:D47)</f>
        <v>903156.67</v>
      </c>
      <c r="E41" s="1222">
        <f>D41/D$49</f>
        <v>4.9352823497267752E-2</v>
      </c>
    </row>
    <row r="42" spans="2:5" s="1224" customFormat="1" ht="15" customHeight="1" x14ac:dyDescent="0.25">
      <c r="B42" s="1223">
        <v>1</v>
      </c>
      <c r="C42" s="1224" t="s">
        <v>11878</v>
      </c>
      <c r="D42" s="1225">
        <v>533445.26</v>
      </c>
      <c r="E42" s="1226">
        <f>D42/D$49</f>
        <v>2.9150014207650267E-2</v>
      </c>
    </row>
    <row r="43" spans="2:5" s="1224" customFormat="1" ht="15" customHeight="1" x14ac:dyDescent="0.25">
      <c r="B43" s="1223">
        <v>2</v>
      </c>
      <c r="C43" s="1224" t="s">
        <v>11856</v>
      </c>
      <c r="D43" s="1225">
        <v>146154.65</v>
      </c>
      <c r="E43" s="1226">
        <f t="shared" ref="E43:E47" si="3">D43/D$49</f>
        <v>7.9865928961748607E-3</v>
      </c>
    </row>
    <row r="44" spans="2:5" s="1224" customFormat="1" ht="15" customHeight="1" x14ac:dyDescent="0.25">
      <c r="B44" s="1223">
        <v>3</v>
      </c>
      <c r="C44" s="1224" t="s">
        <v>11857</v>
      </c>
      <c r="D44" s="1225">
        <v>12406.4</v>
      </c>
      <c r="E44" s="1226">
        <f t="shared" si="3"/>
        <v>6.7794535519125673E-4</v>
      </c>
    </row>
    <row r="45" spans="2:5" s="1224" customFormat="1" ht="15" customHeight="1" x14ac:dyDescent="0.25">
      <c r="B45" s="1223">
        <v>4</v>
      </c>
      <c r="C45" s="1224" t="s">
        <v>11858</v>
      </c>
      <c r="D45" s="1225">
        <v>200028.92</v>
      </c>
      <c r="E45" s="1226">
        <f t="shared" si="3"/>
        <v>1.0930542076502731E-2</v>
      </c>
    </row>
    <row r="46" spans="2:5" s="1224" customFormat="1" ht="15" customHeight="1" x14ac:dyDescent="0.25">
      <c r="B46" s="1223">
        <v>5</v>
      </c>
      <c r="C46" s="1224" t="s">
        <v>11879</v>
      </c>
      <c r="D46" s="1225">
        <v>5560.73</v>
      </c>
      <c r="E46" s="1226">
        <f t="shared" si="3"/>
        <v>3.0386502732240427E-4</v>
      </c>
    </row>
    <row r="47" spans="2:5" s="1224" customFormat="1" ht="15" customHeight="1" x14ac:dyDescent="0.25">
      <c r="B47" s="1223">
        <v>6</v>
      </c>
      <c r="C47" s="1224" t="s">
        <v>11880</v>
      </c>
      <c r="D47" s="1225">
        <v>5560.71</v>
      </c>
      <c r="E47" s="1226">
        <f t="shared" si="3"/>
        <v>3.0386393442622945E-4</v>
      </c>
    </row>
    <row r="48" spans="2:5" ht="15" customHeight="1" x14ac:dyDescent="0.25">
      <c r="D48" s="1227"/>
    </row>
    <row r="49" spans="2:5" ht="15" customHeight="1" x14ac:dyDescent="0.25">
      <c r="B49" s="1229"/>
      <c r="C49" s="1229" t="s">
        <v>11881</v>
      </c>
      <c r="D49" s="1228">
        <f>D6+D9+D23+D34+D41</f>
        <v>18300000.000000004</v>
      </c>
      <c r="E49" s="1222">
        <f>D49/D$49</f>
        <v>1</v>
      </c>
    </row>
  </sheetData>
  <mergeCells count="1">
    <mergeCell ref="B2:E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topLeftCell="A25" workbookViewId="0">
      <selection activeCell="H23" sqref="H23"/>
    </sheetView>
  </sheetViews>
  <sheetFormatPr defaultColWidth="4.140625" defaultRowHeight="12.95" customHeight="1" x14ac:dyDescent="0.25"/>
  <cols>
    <col min="1" max="1" width="2.28515625" style="251" customWidth="1"/>
    <col min="2" max="2" width="43.7109375" style="251" customWidth="1"/>
    <col min="3" max="3" width="22.28515625" style="251" customWidth="1"/>
    <col min="4" max="4" width="24" style="251" customWidth="1"/>
    <col min="5" max="5" width="22" style="251" customWidth="1"/>
    <col min="6" max="229" width="6.85546875" style="251" customWidth="1"/>
    <col min="230" max="230" width="1.28515625" style="251" customWidth="1"/>
    <col min="231" max="232" width="1.85546875" style="251" customWidth="1"/>
    <col min="233" max="233" width="16.28515625" style="251" customWidth="1"/>
    <col min="234" max="234" width="14.5703125" style="251" customWidth="1"/>
    <col min="235" max="235" width="3.42578125" style="251" customWidth="1"/>
    <col min="236" max="236" width="11.5703125" style="251" customWidth="1"/>
    <col min="237" max="237" width="3" style="251" customWidth="1"/>
    <col min="238" max="238" width="2.42578125" style="251" customWidth="1"/>
    <col min="239" max="239" width="9.5703125" style="251" customWidth="1"/>
    <col min="240" max="240" width="4.28515625" style="251" customWidth="1"/>
    <col min="241" max="241" width="3.140625" style="251" customWidth="1"/>
    <col min="242" max="242" width="1.42578125" style="251" customWidth="1"/>
    <col min="243" max="16384" width="4.140625" style="251"/>
  </cols>
  <sheetData>
    <row r="1" spans="2:5" ht="21.75" customHeight="1" x14ac:dyDescent="0.25">
      <c r="B1" s="1427" t="s">
        <v>11860</v>
      </c>
      <c r="C1" s="1427"/>
      <c r="D1" s="1427"/>
      <c r="E1" s="1427"/>
    </row>
    <row r="3" spans="2:5" ht="24" customHeight="1" x14ac:dyDescent="0.25">
      <c r="B3" s="1426" t="s">
        <v>2072</v>
      </c>
      <c r="C3" s="1426"/>
      <c r="D3" s="1426"/>
      <c r="E3" s="1426"/>
    </row>
    <row r="4" spans="2:5" s="160" customFormat="1" ht="10.5" customHeight="1" thickBot="1" x14ac:dyDescent="0.3"/>
    <row r="5" spans="2:5" s="160" customFormat="1" ht="15" customHeight="1" x14ac:dyDescent="0.25">
      <c r="B5" s="1037" t="s">
        <v>215</v>
      </c>
      <c r="C5" s="252" t="s">
        <v>2131</v>
      </c>
      <c r="D5" s="252" t="s">
        <v>11738</v>
      </c>
      <c r="E5" s="253" t="s">
        <v>75</v>
      </c>
    </row>
    <row r="6" spans="2:5" s="160" customFormat="1" ht="15" customHeight="1" x14ac:dyDescent="0.25">
      <c r="B6" s="1038" t="s">
        <v>2051</v>
      </c>
      <c r="C6" s="1039">
        <v>8343125.1699999999</v>
      </c>
      <c r="D6" s="1039">
        <v>11273222.08</v>
      </c>
      <c r="E6" s="1040">
        <v>19616347.25</v>
      </c>
    </row>
    <row r="7" spans="2:5" s="160" customFormat="1" ht="15" customHeight="1" x14ac:dyDescent="0.25">
      <c r="B7" s="1041" t="s">
        <v>1958</v>
      </c>
      <c r="C7" s="1042">
        <v>267279.2</v>
      </c>
      <c r="D7" s="1042">
        <v>246862.51</v>
      </c>
      <c r="E7" s="1043">
        <v>514141.71</v>
      </c>
    </row>
    <row r="8" spans="2:5" s="160" customFormat="1" ht="15" customHeight="1" x14ac:dyDescent="0.25">
      <c r="B8" s="1041" t="s">
        <v>2052</v>
      </c>
      <c r="C8" s="1042">
        <v>0</v>
      </c>
      <c r="D8" s="1042">
        <v>0</v>
      </c>
      <c r="E8" s="1043">
        <v>0</v>
      </c>
    </row>
    <row r="9" spans="2:5" s="160" customFormat="1" ht="15" customHeight="1" x14ac:dyDescent="0.25">
      <c r="B9" s="1041" t="s">
        <v>252</v>
      </c>
      <c r="C9" s="1042">
        <v>29773.16</v>
      </c>
      <c r="D9" s="1042">
        <v>59289.83</v>
      </c>
      <c r="E9" s="1043">
        <v>89062.99</v>
      </c>
    </row>
    <row r="10" spans="2:5" s="160" customFormat="1" ht="15" customHeight="1" x14ac:dyDescent="0.25">
      <c r="B10" s="1041" t="s">
        <v>2053</v>
      </c>
      <c r="C10" s="1042">
        <v>0</v>
      </c>
      <c r="D10" s="1042">
        <v>0</v>
      </c>
      <c r="E10" s="1043">
        <v>0</v>
      </c>
    </row>
    <row r="11" spans="2:5" s="160" customFormat="1" ht="15" customHeight="1" x14ac:dyDescent="0.25">
      <c r="B11" s="1041" t="s">
        <v>2054</v>
      </c>
      <c r="C11" s="1042">
        <v>0</v>
      </c>
      <c r="D11" s="1042">
        <v>0</v>
      </c>
      <c r="E11" s="1043">
        <v>0</v>
      </c>
    </row>
    <row r="12" spans="2:5" s="160" customFormat="1" ht="15" customHeight="1" x14ac:dyDescent="0.25">
      <c r="B12" s="1041" t="s">
        <v>1733</v>
      </c>
      <c r="C12" s="1042">
        <v>87283.25</v>
      </c>
      <c r="D12" s="1042">
        <v>0</v>
      </c>
      <c r="E12" s="1043">
        <v>87283.25</v>
      </c>
    </row>
    <row r="13" spans="2:5" s="160" customFormat="1" ht="15" customHeight="1" x14ac:dyDescent="0.25">
      <c r="B13" s="1041" t="s">
        <v>1748</v>
      </c>
      <c r="C13" s="1042">
        <v>7266108.9400000004</v>
      </c>
      <c r="D13" s="1042">
        <v>10963612.42</v>
      </c>
      <c r="E13" s="1043">
        <v>18229721.359999999</v>
      </c>
    </row>
    <row r="14" spans="2:5" s="160" customFormat="1" ht="15" customHeight="1" x14ac:dyDescent="0.25">
      <c r="B14" s="1041" t="s">
        <v>1805</v>
      </c>
      <c r="C14" s="1042">
        <v>692680.62</v>
      </c>
      <c r="D14" s="1042">
        <v>3457.32</v>
      </c>
      <c r="E14" s="1043">
        <v>696137.94</v>
      </c>
    </row>
    <row r="15" spans="2:5" s="160" customFormat="1" ht="15" customHeight="1" x14ac:dyDescent="0.25">
      <c r="B15" s="1038" t="s">
        <v>2055</v>
      </c>
      <c r="C15" s="1039">
        <v>4500</v>
      </c>
      <c r="D15" s="1039">
        <v>1055100</v>
      </c>
      <c r="E15" s="1040">
        <v>1059600</v>
      </c>
    </row>
    <row r="16" spans="2:5" s="160" customFormat="1" ht="15" customHeight="1" x14ac:dyDescent="0.25">
      <c r="B16" s="1041" t="s">
        <v>2056</v>
      </c>
      <c r="C16" s="1042">
        <v>0</v>
      </c>
      <c r="D16" s="1042">
        <v>0</v>
      </c>
      <c r="E16" s="1043">
        <v>0</v>
      </c>
    </row>
    <row r="17" spans="2:5" s="160" customFormat="1" ht="15" customHeight="1" x14ac:dyDescent="0.25">
      <c r="B17" s="1041" t="s">
        <v>2057</v>
      </c>
      <c r="C17" s="1042">
        <v>4000</v>
      </c>
      <c r="D17" s="1042">
        <v>0</v>
      </c>
      <c r="E17" s="1043">
        <v>4000</v>
      </c>
    </row>
    <row r="18" spans="2:5" s="160" customFormat="1" ht="15" customHeight="1" x14ac:dyDescent="0.25">
      <c r="B18" s="1041" t="s">
        <v>2058</v>
      </c>
      <c r="C18" s="1042">
        <v>0</v>
      </c>
      <c r="D18" s="1042">
        <v>0</v>
      </c>
      <c r="E18" s="1043">
        <v>0</v>
      </c>
    </row>
    <row r="19" spans="2:5" s="160" customFormat="1" ht="15" customHeight="1" x14ac:dyDescent="0.25">
      <c r="B19" s="1041" t="s">
        <v>2059</v>
      </c>
      <c r="C19" s="1042">
        <v>0</v>
      </c>
      <c r="D19" s="1042">
        <v>1039000</v>
      </c>
      <c r="E19" s="1043">
        <v>1039000</v>
      </c>
    </row>
    <row r="20" spans="2:5" s="160" customFormat="1" ht="15" customHeight="1" x14ac:dyDescent="0.25">
      <c r="B20" s="1041" t="s">
        <v>1874</v>
      </c>
      <c r="C20" s="1042">
        <v>500</v>
      </c>
      <c r="D20" s="1042">
        <v>16100</v>
      </c>
      <c r="E20" s="1043">
        <v>16600</v>
      </c>
    </row>
    <row r="21" spans="2:5" s="160" customFormat="1" ht="15" customHeight="1" x14ac:dyDescent="0.25">
      <c r="B21" s="1038" t="s">
        <v>2060</v>
      </c>
      <c r="C21" s="1039">
        <v>0</v>
      </c>
      <c r="D21" s="1039">
        <v>0</v>
      </c>
      <c r="E21" s="1040">
        <v>0</v>
      </c>
    </row>
    <row r="22" spans="2:5" s="160" customFormat="1" ht="15" customHeight="1" x14ac:dyDescent="0.25">
      <c r="B22" s="1041" t="s">
        <v>11728</v>
      </c>
      <c r="C22" s="1042">
        <v>0</v>
      </c>
      <c r="D22" s="1042">
        <v>0</v>
      </c>
      <c r="E22" s="1043">
        <v>0</v>
      </c>
    </row>
    <row r="23" spans="2:5" s="160" customFormat="1" ht="15" customHeight="1" x14ac:dyDescent="0.25">
      <c r="B23" s="1041" t="s">
        <v>11729</v>
      </c>
      <c r="C23" s="1042">
        <v>0</v>
      </c>
      <c r="D23" s="1042">
        <v>0</v>
      </c>
      <c r="E23" s="1043">
        <v>0</v>
      </c>
    </row>
    <row r="24" spans="2:5" s="160" customFormat="1" ht="15" customHeight="1" x14ac:dyDescent="0.25">
      <c r="B24" s="1041" t="s">
        <v>11730</v>
      </c>
      <c r="C24" s="1042">
        <v>0</v>
      </c>
      <c r="D24" s="1042">
        <v>0</v>
      </c>
      <c r="E24" s="1043">
        <v>0</v>
      </c>
    </row>
    <row r="25" spans="2:5" s="160" customFormat="1" ht="15" customHeight="1" x14ac:dyDescent="0.25">
      <c r="B25" s="1038" t="s">
        <v>2061</v>
      </c>
      <c r="C25" s="1039">
        <v>0</v>
      </c>
      <c r="D25" s="1039">
        <v>0</v>
      </c>
      <c r="E25" s="1040">
        <v>0</v>
      </c>
    </row>
    <row r="26" spans="2:5" s="160" customFormat="1" ht="15" customHeight="1" x14ac:dyDescent="0.25">
      <c r="B26" s="1041" t="s">
        <v>11731</v>
      </c>
      <c r="C26" s="1042">
        <v>0</v>
      </c>
      <c r="D26" s="1042">
        <v>0</v>
      </c>
      <c r="E26" s="1043">
        <v>0</v>
      </c>
    </row>
    <row r="27" spans="2:5" s="160" customFormat="1" ht="15" customHeight="1" x14ac:dyDescent="0.25">
      <c r="B27" s="1041" t="s">
        <v>11732</v>
      </c>
      <c r="C27" s="1042">
        <v>0</v>
      </c>
      <c r="D27" s="1042">
        <v>0</v>
      </c>
      <c r="E27" s="1043">
        <v>0</v>
      </c>
    </row>
    <row r="28" spans="2:5" s="160" customFormat="1" ht="15" customHeight="1" x14ac:dyDescent="0.25">
      <c r="B28" s="1041" t="s">
        <v>11733</v>
      </c>
      <c r="C28" s="1042">
        <v>0</v>
      </c>
      <c r="D28" s="1042">
        <v>0</v>
      </c>
      <c r="E28" s="1043">
        <v>0</v>
      </c>
    </row>
    <row r="29" spans="2:5" s="160" customFormat="1" ht="15" customHeight="1" x14ac:dyDescent="0.25">
      <c r="B29" s="1041" t="s">
        <v>1874</v>
      </c>
      <c r="C29" s="1042">
        <v>0</v>
      </c>
      <c r="D29" s="1042">
        <v>0</v>
      </c>
      <c r="E29" s="1043">
        <v>0</v>
      </c>
    </row>
    <row r="30" spans="2:5" s="160" customFormat="1" ht="15" customHeight="1" x14ac:dyDescent="0.25">
      <c r="B30" s="1038" t="s">
        <v>2062</v>
      </c>
      <c r="C30" s="1039">
        <v>0</v>
      </c>
      <c r="D30" s="1039">
        <v>0</v>
      </c>
      <c r="E30" s="1040">
        <v>0</v>
      </c>
    </row>
    <row r="31" spans="2:5" s="160" customFormat="1" ht="15" customHeight="1" x14ac:dyDescent="0.25">
      <c r="B31" s="1041" t="s">
        <v>11734</v>
      </c>
      <c r="C31" s="1042">
        <v>0</v>
      </c>
      <c r="D31" s="1042">
        <v>0</v>
      </c>
      <c r="E31" s="1043">
        <v>0</v>
      </c>
    </row>
    <row r="32" spans="2:5" s="160" customFormat="1" ht="15" customHeight="1" x14ac:dyDescent="0.25">
      <c r="B32" s="1041" t="s">
        <v>2064</v>
      </c>
      <c r="C32" s="1042">
        <v>0</v>
      </c>
      <c r="D32" s="1042">
        <v>0</v>
      </c>
      <c r="E32" s="1043">
        <v>0</v>
      </c>
    </row>
    <row r="33" spans="2:5" s="160" customFormat="1" ht="15" customHeight="1" x14ac:dyDescent="0.25">
      <c r="B33" s="1041" t="s">
        <v>2065</v>
      </c>
      <c r="C33" s="1042">
        <v>0</v>
      </c>
      <c r="D33" s="1042">
        <v>0</v>
      </c>
      <c r="E33" s="1043">
        <v>0</v>
      </c>
    </row>
    <row r="34" spans="2:5" s="160" customFormat="1" ht="15" customHeight="1" x14ac:dyDescent="0.25">
      <c r="B34" s="1041" t="s">
        <v>11735</v>
      </c>
      <c r="C34" s="1042">
        <v>0</v>
      </c>
      <c r="D34" s="1042">
        <v>0</v>
      </c>
      <c r="E34" s="1043">
        <v>0</v>
      </c>
    </row>
    <row r="35" spans="2:5" s="160" customFormat="1" ht="15" customHeight="1" x14ac:dyDescent="0.25">
      <c r="B35" s="1041" t="s">
        <v>2067</v>
      </c>
      <c r="C35" s="1042">
        <v>0</v>
      </c>
      <c r="D35" s="1042">
        <v>0</v>
      </c>
      <c r="E35" s="1043">
        <v>0</v>
      </c>
    </row>
    <row r="36" spans="2:5" s="160" customFormat="1" ht="15" customHeight="1" x14ac:dyDescent="0.25">
      <c r="B36" s="1041" t="s">
        <v>11736</v>
      </c>
      <c r="C36" s="1042">
        <v>0</v>
      </c>
      <c r="D36" s="1042">
        <v>0</v>
      </c>
      <c r="E36" s="1043">
        <v>0</v>
      </c>
    </row>
    <row r="37" spans="2:5" s="160" customFormat="1" ht="15" customHeight="1" x14ac:dyDescent="0.25">
      <c r="B37" s="1041" t="s">
        <v>2069</v>
      </c>
      <c r="C37" s="1042">
        <v>0</v>
      </c>
      <c r="D37" s="1042">
        <v>0</v>
      </c>
      <c r="E37" s="1043">
        <v>0</v>
      </c>
    </row>
    <row r="38" spans="2:5" s="160" customFormat="1" ht="15" customHeight="1" x14ac:dyDescent="0.25">
      <c r="B38" s="1038" t="s">
        <v>2062</v>
      </c>
      <c r="C38" s="1039">
        <v>-1108</v>
      </c>
      <c r="D38" s="1039">
        <v>2374839.25</v>
      </c>
      <c r="E38" s="1040">
        <v>-2375947.25</v>
      </c>
    </row>
    <row r="39" spans="2:5" s="160" customFormat="1" ht="15" customHeight="1" x14ac:dyDescent="0.25">
      <c r="B39" s="1041" t="s">
        <v>2070</v>
      </c>
      <c r="C39" s="1042">
        <v>-1108</v>
      </c>
      <c r="D39" s="1042">
        <v>-1092</v>
      </c>
      <c r="E39" s="1043">
        <v>-2200</v>
      </c>
    </row>
    <row r="40" spans="2:5" s="160" customFormat="1" ht="15" customHeight="1" x14ac:dyDescent="0.25">
      <c r="B40" s="1041" t="s">
        <v>11737</v>
      </c>
      <c r="C40" s="1042">
        <v>0</v>
      </c>
      <c r="D40" s="1042">
        <v>2373747.25</v>
      </c>
      <c r="E40" s="1043">
        <v>-2373747.25</v>
      </c>
    </row>
    <row r="41" spans="2:5" s="160" customFormat="1" ht="15" customHeight="1" thickBot="1" x14ac:dyDescent="0.3">
      <c r="B41" s="1044" t="s">
        <v>40</v>
      </c>
      <c r="C41" s="1045">
        <v>8346517.1699999999</v>
      </c>
      <c r="D41" s="1045">
        <v>9953482.8300000001</v>
      </c>
      <c r="E41" s="1046">
        <v>18300000</v>
      </c>
    </row>
  </sheetData>
  <mergeCells count="2">
    <mergeCell ref="B3:E3"/>
    <mergeCell ref="B1:E1"/>
  </mergeCells>
  <phoneticPr fontId="46" type="noConversion"/>
  <pageMargins left="0.31496062992125984" right="0.31496062992125984" top="0.78740157480314965" bottom="0.78740157480314965" header="0.31496062992125984" footer="0.31496062992125984"/>
  <pageSetup paperSize="9" scale="80" orientation="portrait" verticalDpi="72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0"/>
  <sheetViews>
    <sheetView topLeftCell="A52" workbookViewId="0">
      <selection activeCell="G15" sqref="G15"/>
    </sheetView>
  </sheetViews>
  <sheetFormatPr defaultRowHeight="15.75" x14ac:dyDescent="0.25"/>
  <cols>
    <col min="1" max="1" width="1.140625" style="1096" customWidth="1"/>
    <col min="2" max="2" width="2" style="1096" customWidth="1"/>
    <col min="3" max="3" width="10.7109375" style="1096" customWidth="1"/>
    <col min="4" max="4" width="7.42578125" style="1096" customWidth="1"/>
    <col min="5" max="5" width="18" style="1096" customWidth="1"/>
    <col min="6" max="6" width="18.85546875" style="1096" customWidth="1"/>
    <col min="7" max="17" width="14.85546875" style="1096" customWidth="1"/>
    <col min="18" max="226" width="6.85546875" style="1096" customWidth="1"/>
    <col min="227" max="227" width="1.140625" style="1096" customWidth="1"/>
    <col min="228" max="228" width="2" style="1096" customWidth="1"/>
    <col min="229" max="230" width="1.7109375" style="1096" customWidth="1"/>
    <col min="231" max="231" width="1.42578125" style="1096" customWidth="1"/>
    <col min="232" max="232" width="1.140625" style="1096" customWidth="1"/>
    <col min="233" max="233" width="1" style="1096" customWidth="1"/>
    <col min="234" max="234" width="4.85546875" style="1096" customWidth="1"/>
    <col min="235" max="235" width="2.7109375" style="1096" customWidth="1"/>
    <col min="236" max="236" width="1.42578125" style="1096" customWidth="1"/>
    <col min="237" max="237" width="2.5703125" style="1096" customWidth="1"/>
    <col min="238" max="238" width="3" style="1096" customWidth="1"/>
    <col min="239" max="239" width="6.7109375" style="1096" customWidth="1"/>
    <col min="240" max="240" width="4.28515625" style="1096" customWidth="1"/>
    <col min="241" max="241" width="3.42578125" style="1096" customWidth="1"/>
    <col min="242" max="242" width="1.28515625" style="1096" customWidth="1"/>
    <col min="243" max="243" width="1.5703125" style="1096" customWidth="1"/>
    <col min="244" max="244" width="2.28515625" style="1096" customWidth="1"/>
    <col min="245" max="245" width="1" style="1096" customWidth="1"/>
    <col min="246" max="246" width="1.42578125" style="1096" customWidth="1"/>
    <col min="247" max="247" width="2.140625" style="1096" customWidth="1"/>
    <col min="248" max="248" width="11.5703125" style="1096" customWidth="1"/>
    <col min="249" max="249" width="7" style="1096" customWidth="1"/>
    <col min="250" max="250" width="1.28515625" style="1096" customWidth="1"/>
    <col min="251" max="251" width="1.140625" style="1096" customWidth="1"/>
    <col min="252" max="252" width="1" style="1096" customWidth="1"/>
    <col min="253" max="253" width="1.5703125" style="1096" customWidth="1"/>
    <col min="254" max="254" width="5.28515625" style="1096" customWidth="1"/>
    <col min="255" max="255" width="1.140625" style="1096" customWidth="1"/>
    <col min="256" max="256" width="11.85546875" style="1096" customWidth="1"/>
    <col min="257" max="258" width="1.140625" style="1096" customWidth="1"/>
    <col min="259" max="259" width="1" style="1096" customWidth="1"/>
    <col min="260" max="260" width="1.140625" style="1096" customWidth="1"/>
    <col min="261" max="261" width="2.85546875" style="1096" customWidth="1"/>
    <col min="262" max="262" width="2.140625" style="1096" customWidth="1"/>
    <col min="263" max="263" width="3.42578125" style="1096" customWidth="1"/>
    <col min="264" max="264" width="9" style="1096" customWidth="1"/>
    <col min="265" max="265" width="1.5703125" style="1096" customWidth="1"/>
    <col min="266" max="266" width="1" style="1096" customWidth="1"/>
    <col min="267" max="267" width="1.140625" style="1096" customWidth="1"/>
    <col min="268" max="482" width="6.85546875" style="1096" customWidth="1"/>
    <col min="483" max="483" width="1.140625" style="1096" customWidth="1"/>
    <col min="484" max="484" width="2" style="1096" customWidth="1"/>
    <col min="485" max="486" width="1.7109375" style="1096" customWidth="1"/>
    <col min="487" max="487" width="1.42578125" style="1096" customWidth="1"/>
    <col min="488" max="488" width="1.140625" style="1096" customWidth="1"/>
    <col min="489" max="489" width="1" style="1096" customWidth="1"/>
    <col min="490" max="490" width="4.85546875" style="1096" customWidth="1"/>
    <col min="491" max="491" width="2.7109375" style="1096" customWidth="1"/>
    <col min="492" max="492" width="1.42578125" style="1096" customWidth="1"/>
    <col min="493" max="493" width="2.5703125" style="1096" customWidth="1"/>
    <col min="494" max="494" width="3" style="1096" customWidth="1"/>
    <col min="495" max="495" width="6.7109375" style="1096" customWidth="1"/>
    <col min="496" max="496" width="4.28515625" style="1096" customWidth="1"/>
    <col min="497" max="497" width="3.42578125" style="1096" customWidth="1"/>
    <col min="498" max="498" width="1.28515625" style="1096" customWidth="1"/>
    <col min="499" max="499" width="1.5703125" style="1096" customWidth="1"/>
    <col min="500" max="500" width="2.28515625" style="1096" customWidth="1"/>
    <col min="501" max="501" width="1" style="1096" customWidth="1"/>
    <col min="502" max="502" width="1.42578125" style="1096" customWidth="1"/>
    <col min="503" max="503" width="2.140625" style="1096" customWidth="1"/>
    <col min="504" max="504" width="11.5703125" style="1096" customWidth="1"/>
    <col min="505" max="505" width="7" style="1096" customWidth="1"/>
    <col min="506" max="506" width="1.28515625" style="1096" customWidth="1"/>
    <col min="507" max="507" width="1.140625" style="1096" customWidth="1"/>
    <col min="508" max="508" width="1" style="1096" customWidth="1"/>
    <col min="509" max="509" width="1.5703125" style="1096" customWidth="1"/>
    <col min="510" max="510" width="5.28515625" style="1096" customWidth="1"/>
    <col min="511" max="511" width="1.140625" style="1096" customWidth="1"/>
    <col min="512" max="512" width="11.85546875" style="1096" customWidth="1"/>
    <col min="513" max="514" width="1.140625" style="1096" customWidth="1"/>
    <col min="515" max="515" width="1" style="1096" customWidth="1"/>
    <col min="516" max="516" width="1.140625" style="1096" customWidth="1"/>
    <col min="517" max="517" width="2.85546875" style="1096" customWidth="1"/>
    <col min="518" max="518" width="2.140625" style="1096" customWidth="1"/>
    <col min="519" max="519" width="3.42578125" style="1096" customWidth="1"/>
    <col min="520" max="520" width="9" style="1096" customWidth="1"/>
    <col min="521" max="521" width="1.5703125" style="1096" customWidth="1"/>
    <col min="522" max="522" width="1" style="1096" customWidth="1"/>
    <col min="523" max="523" width="1.140625" style="1096" customWidth="1"/>
    <col min="524" max="738" width="6.85546875" style="1096" customWidth="1"/>
    <col min="739" max="739" width="1.140625" style="1096" customWidth="1"/>
    <col min="740" max="740" width="2" style="1096" customWidth="1"/>
    <col min="741" max="742" width="1.7109375" style="1096" customWidth="1"/>
    <col min="743" max="743" width="1.42578125" style="1096" customWidth="1"/>
    <col min="744" max="744" width="1.140625" style="1096" customWidth="1"/>
    <col min="745" max="745" width="1" style="1096" customWidth="1"/>
    <col min="746" max="746" width="4.85546875" style="1096" customWidth="1"/>
    <col min="747" max="747" width="2.7109375" style="1096" customWidth="1"/>
    <col min="748" max="748" width="1.42578125" style="1096" customWidth="1"/>
    <col min="749" max="749" width="2.5703125" style="1096" customWidth="1"/>
    <col min="750" max="750" width="3" style="1096" customWidth="1"/>
    <col min="751" max="751" width="6.7109375" style="1096" customWidth="1"/>
    <col min="752" max="752" width="4.28515625" style="1096" customWidth="1"/>
    <col min="753" max="753" width="3.42578125" style="1096" customWidth="1"/>
    <col min="754" max="754" width="1.28515625" style="1096" customWidth="1"/>
    <col min="755" max="755" width="1.5703125" style="1096" customWidth="1"/>
    <col min="756" max="756" width="2.28515625" style="1096" customWidth="1"/>
    <col min="757" max="757" width="1" style="1096" customWidth="1"/>
    <col min="758" max="758" width="1.42578125" style="1096" customWidth="1"/>
    <col min="759" max="759" width="2.140625" style="1096" customWidth="1"/>
    <col min="760" max="760" width="11.5703125" style="1096" customWidth="1"/>
    <col min="761" max="761" width="7" style="1096" customWidth="1"/>
    <col min="762" max="762" width="1.28515625" style="1096" customWidth="1"/>
    <col min="763" max="763" width="1.140625" style="1096" customWidth="1"/>
    <col min="764" max="764" width="1" style="1096" customWidth="1"/>
    <col min="765" max="765" width="1.5703125" style="1096" customWidth="1"/>
    <col min="766" max="766" width="5.28515625" style="1096" customWidth="1"/>
    <col min="767" max="767" width="1.140625" style="1096" customWidth="1"/>
    <col min="768" max="768" width="11.85546875" style="1096" customWidth="1"/>
    <col min="769" max="770" width="1.140625" style="1096" customWidth="1"/>
    <col min="771" max="771" width="1" style="1096" customWidth="1"/>
    <col min="772" max="772" width="1.140625" style="1096" customWidth="1"/>
    <col min="773" max="773" width="2.85546875" style="1096" customWidth="1"/>
    <col min="774" max="774" width="2.140625" style="1096" customWidth="1"/>
    <col min="775" max="775" width="3.42578125" style="1096" customWidth="1"/>
    <col min="776" max="776" width="9" style="1096" customWidth="1"/>
    <col min="777" max="777" width="1.5703125" style="1096" customWidth="1"/>
    <col min="778" max="778" width="1" style="1096" customWidth="1"/>
    <col min="779" max="779" width="1.140625" style="1096" customWidth="1"/>
    <col min="780" max="994" width="6.85546875" style="1096" customWidth="1"/>
    <col min="995" max="995" width="1.140625" style="1096" customWidth="1"/>
    <col min="996" max="996" width="2" style="1096" customWidth="1"/>
    <col min="997" max="998" width="1.7109375" style="1096" customWidth="1"/>
    <col min="999" max="999" width="1.42578125" style="1096" customWidth="1"/>
    <col min="1000" max="1000" width="1.140625" style="1096" customWidth="1"/>
    <col min="1001" max="1001" width="1" style="1096" customWidth="1"/>
    <col min="1002" max="1002" width="4.85546875" style="1096" customWidth="1"/>
    <col min="1003" max="1003" width="2.7109375" style="1096" customWidth="1"/>
    <col min="1004" max="1004" width="1.42578125" style="1096" customWidth="1"/>
    <col min="1005" max="1005" width="2.5703125" style="1096" customWidth="1"/>
    <col min="1006" max="1006" width="3" style="1096" customWidth="1"/>
    <col min="1007" max="1007" width="6.7109375" style="1096" customWidth="1"/>
    <col min="1008" max="1008" width="4.28515625" style="1096" customWidth="1"/>
    <col min="1009" max="1009" width="3.42578125" style="1096" customWidth="1"/>
    <col min="1010" max="1010" width="1.28515625" style="1096" customWidth="1"/>
    <col min="1011" max="1011" width="1.5703125" style="1096" customWidth="1"/>
    <col min="1012" max="1012" width="2.28515625" style="1096" customWidth="1"/>
    <col min="1013" max="1013" width="1" style="1096" customWidth="1"/>
    <col min="1014" max="1014" width="1.42578125" style="1096" customWidth="1"/>
    <col min="1015" max="1015" width="2.140625" style="1096" customWidth="1"/>
    <col min="1016" max="1016" width="11.5703125" style="1096" customWidth="1"/>
    <col min="1017" max="1017" width="7" style="1096" customWidth="1"/>
    <col min="1018" max="1018" width="1.28515625" style="1096" customWidth="1"/>
    <col min="1019" max="1019" width="1.140625" style="1096" customWidth="1"/>
    <col min="1020" max="1020" width="1" style="1096" customWidth="1"/>
    <col min="1021" max="1021" width="1.5703125" style="1096" customWidth="1"/>
    <col min="1022" max="1022" width="5.28515625" style="1096" customWidth="1"/>
    <col min="1023" max="1023" width="1.140625" style="1096" customWidth="1"/>
    <col min="1024" max="1024" width="11.85546875" style="1096" customWidth="1"/>
    <col min="1025" max="1026" width="1.140625" style="1096" customWidth="1"/>
    <col min="1027" max="1027" width="1" style="1096" customWidth="1"/>
    <col min="1028" max="1028" width="1.140625" style="1096" customWidth="1"/>
    <col min="1029" max="1029" width="2.85546875" style="1096" customWidth="1"/>
    <col min="1030" max="1030" width="2.140625" style="1096" customWidth="1"/>
    <col min="1031" max="1031" width="3.42578125" style="1096" customWidth="1"/>
    <col min="1032" max="1032" width="9" style="1096" customWidth="1"/>
    <col min="1033" max="1033" width="1.5703125" style="1096" customWidth="1"/>
    <col min="1034" max="1034" width="1" style="1096" customWidth="1"/>
    <col min="1035" max="1035" width="1.140625" style="1096" customWidth="1"/>
    <col min="1036" max="1250" width="6.85546875" style="1096" customWidth="1"/>
    <col min="1251" max="1251" width="1.140625" style="1096" customWidth="1"/>
    <col min="1252" max="1252" width="2" style="1096" customWidth="1"/>
    <col min="1253" max="1254" width="1.7109375" style="1096" customWidth="1"/>
    <col min="1255" max="1255" width="1.42578125" style="1096" customWidth="1"/>
    <col min="1256" max="1256" width="1.140625" style="1096" customWidth="1"/>
    <col min="1257" max="1257" width="1" style="1096" customWidth="1"/>
    <col min="1258" max="1258" width="4.85546875" style="1096" customWidth="1"/>
    <col min="1259" max="1259" width="2.7109375" style="1096" customWidth="1"/>
    <col min="1260" max="1260" width="1.42578125" style="1096" customWidth="1"/>
    <col min="1261" max="1261" width="2.5703125" style="1096" customWidth="1"/>
    <col min="1262" max="1262" width="3" style="1096" customWidth="1"/>
    <col min="1263" max="1263" width="6.7109375" style="1096" customWidth="1"/>
    <col min="1264" max="1264" width="4.28515625" style="1096" customWidth="1"/>
    <col min="1265" max="1265" width="3.42578125" style="1096" customWidth="1"/>
    <col min="1266" max="1266" width="1.28515625" style="1096" customWidth="1"/>
    <col min="1267" max="1267" width="1.5703125" style="1096" customWidth="1"/>
    <col min="1268" max="1268" width="2.28515625" style="1096" customWidth="1"/>
    <col min="1269" max="1269" width="1" style="1096" customWidth="1"/>
    <col min="1270" max="1270" width="1.42578125" style="1096" customWidth="1"/>
    <col min="1271" max="1271" width="2.140625" style="1096" customWidth="1"/>
    <col min="1272" max="1272" width="11.5703125" style="1096" customWidth="1"/>
    <col min="1273" max="1273" width="7" style="1096" customWidth="1"/>
    <col min="1274" max="1274" width="1.28515625" style="1096" customWidth="1"/>
    <col min="1275" max="1275" width="1.140625" style="1096" customWidth="1"/>
    <col min="1276" max="1276" width="1" style="1096" customWidth="1"/>
    <col min="1277" max="1277" width="1.5703125" style="1096" customWidth="1"/>
    <col min="1278" max="1278" width="5.28515625" style="1096" customWidth="1"/>
    <col min="1279" max="1279" width="1.140625" style="1096" customWidth="1"/>
    <col min="1280" max="1280" width="11.85546875" style="1096" customWidth="1"/>
    <col min="1281" max="1282" width="1.140625" style="1096" customWidth="1"/>
    <col min="1283" max="1283" width="1" style="1096" customWidth="1"/>
    <col min="1284" max="1284" width="1.140625" style="1096" customWidth="1"/>
    <col min="1285" max="1285" width="2.85546875" style="1096" customWidth="1"/>
    <col min="1286" max="1286" width="2.140625" style="1096" customWidth="1"/>
    <col min="1287" max="1287" width="3.42578125" style="1096" customWidth="1"/>
    <col min="1288" max="1288" width="9" style="1096" customWidth="1"/>
    <col min="1289" max="1289" width="1.5703125" style="1096" customWidth="1"/>
    <col min="1290" max="1290" width="1" style="1096" customWidth="1"/>
    <col min="1291" max="1291" width="1.140625" style="1096" customWidth="1"/>
    <col min="1292" max="1506" width="6.85546875" style="1096" customWidth="1"/>
    <col min="1507" max="1507" width="1.140625" style="1096" customWidth="1"/>
    <col min="1508" max="1508" width="2" style="1096" customWidth="1"/>
    <col min="1509" max="1510" width="1.7109375" style="1096" customWidth="1"/>
    <col min="1511" max="1511" width="1.42578125" style="1096" customWidth="1"/>
    <col min="1512" max="1512" width="1.140625" style="1096" customWidth="1"/>
    <col min="1513" max="1513" width="1" style="1096" customWidth="1"/>
    <col min="1514" max="1514" width="4.85546875" style="1096" customWidth="1"/>
    <col min="1515" max="1515" width="2.7109375" style="1096" customWidth="1"/>
    <col min="1516" max="1516" width="1.42578125" style="1096" customWidth="1"/>
    <col min="1517" max="1517" width="2.5703125" style="1096" customWidth="1"/>
    <col min="1518" max="1518" width="3" style="1096" customWidth="1"/>
    <col min="1519" max="1519" width="6.7109375" style="1096" customWidth="1"/>
    <col min="1520" max="1520" width="4.28515625" style="1096" customWidth="1"/>
    <col min="1521" max="1521" width="3.42578125" style="1096" customWidth="1"/>
    <col min="1522" max="1522" width="1.28515625" style="1096" customWidth="1"/>
    <col min="1523" max="1523" width="1.5703125" style="1096" customWidth="1"/>
    <col min="1524" max="1524" width="2.28515625" style="1096" customWidth="1"/>
    <col min="1525" max="1525" width="1" style="1096" customWidth="1"/>
    <col min="1526" max="1526" width="1.42578125" style="1096" customWidth="1"/>
    <col min="1527" max="1527" width="2.140625" style="1096" customWidth="1"/>
    <col min="1528" max="1528" width="11.5703125" style="1096" customWidth="1"/>
    <col min="1529" max="1529" width="7" style="1096" customWidth="1"/>
    <col min="1530" max="1530" width="1.28515625" style="1096" customWidth="1"/>
    <col min="1531" max="1531" width="1.140625" style="1096" customWidth="1"/>
    <col min="1532" max="1532" width="1" style="1096" customWidth="1"/>
    <col min="1533" max="1533" width="1.5703125" style="1096" customWidth="1"/>
    <col min="1534" max="1534" width="5.28515625" style="1096" customWidth="1"/>
    <col min="1535" max="1535" width="1.140625" style="1096" customWidth="1"/>
    <col min="1536" max="1536" width="11.85546875" style="1096" customWidth="1"/>
    <col min="1537" max="1538" width="1.140625" style="1096" customWidth="1"/>
    <col min="1539" max="1539" width="1" style="1096" customWidth="1"/>
    <col min="1540" max="1540" width="1.140625" style="1096" customWidth="1"/>
    <col min="1541" max="1541" width="2.85546875" style="1096" customWidth="1"/>
    <col min="1542" max="1542" width="2.140625" style="1096" customWidth="1"/>
    <col min="1543" max="1543" width="3.42578125" style="1096" customWidth="1"/>
    <col min="1544" max="1544" width="9" style="1096" customWidth="1"/>
    <col min="1545" max="1545" width="1.5703125" style="1096" customWidth="1"/>
    <col min="1546" max="1546" width="1" style="1096" customWidth="1"/>
    <col min="1547" max="1547" width="1.140625" style="1096" customWidth="1"/>
    <col min="1548" max="1762" width="6.85546875" style="1096" customWidth="1"/>
    <col min="1763" max="1763" width="1.140625" style="1096" customWidth="1"/>
    <col min="1764" max="1764" width="2" style="1096" customWidth="1"/>
    <col min="1765" max="1766" width="1.7109375" style="1096" customWidth="1"/>
    <col min="1767" max="1767" width="1.42578125" style="1096" customWidth="1"/>
    <col min="1768" max="1768" width="1.140625" style="1096" customWidth="1"/>
    <col min="1769" max="1769" width="1" style="1096" customWidth="1"/>
    <col min="1770" max="1770" width="4.85546875" style="1096" customWidth="1"/>
    <col min="1771" max="1771" width="2.7109375" style="1096" customWidth="1"/>
    <col min="1772" max="1772" width="1.42578125" style="1096" customWidth="1"/>
    <col min="1773" max="1773" width="2.5703125" style="1096" customWidth="1"/>
    <col min="1774" max="1774" width="3" style="1096" customWidth="1"/>
    <col min="1775" max="1775" width="6.7109375" style="1096" customWidth="1"/>
    <col min="1776" max="1776" width="4.28515625" style="1096" customWidth="1"/>
    <col min="1777" max="1777" width="3.42578125" style="1096" customWidth="1"/>
    <col min="1778" max="1778" width="1.28515625" style="1096" customWidth="1"/>
    <col min="1779" max="1779" width="1.5703125" style="1096" customWidth="1"/>
    <col min="1780" max="1780" width="2.28515625" style="1096" customWidth="1"/>
    <col min="1781" max="1781" width="1" style="1096" customWidth="1"/>
    <col min="1782" max="1782" width="1.42578125" style="1096" customWidth="1"/>
    <col min="1783" max="1783" width="2.140625" style="1096" customWidth="1"/>
    <col min="1784" max="1784" width="11.5703125" style="1096" customWidth="1"/>
    <col min="1785" max="1785" width="7" style="1096" customWidth="1"/>
    <col min="1786" max="1786" width="1.28515625" style="1096" customWidth="1"/>
    <col min="1787" max="1787" width="1.140625" style="1096" customWidth="1"/>
    <col min="1788" max="1788" width="1" style="1096" customWidth="1"/>
    <col min="1789" max="1789" width="1.5703125" style="1096" customWidth="1"/>
    <col min="1790" max="1790" width="5.28515625" style="1096" customWidth="1"/>
    <col min="1791" max="1791" width="1.140625" style="1096" customWidth="1"/>
    <col min="1792" max="1792" width="11.85546875" style="1096" customWidth="1"/>
    <col min="1793" max="1794" width="1.140625" style="1096" customWidth="1"/>
    <col min="1795" max="1795" width="1" style="1096" customWidth="1"/>
    <col min="1796" max="1796" width="1.140625" style="1096" customWidth="1"/>
    <col min="1797" max="1797" width="2.85546875" style="1096" customWidth="1"/>
    <col min="1798" max="1798" width="2.140625" style="1096" customWidth="1"/>
    <col min="1799" max="1799" width="3.42578125" style="1096" customWidth="1"/>
    <col min="1800" max="1800" width="9" style="1096" customWidth="1"/>
    <col min="1801" max="1801" width="1.5703125" style="1096" customWidth="1"/>
    <col min="1802" max="1802" width="1" style="1096" customWidth="1"/>
    <col min="1803" max="1803" width="1.140625" style="1096" customWidth="1"/>
    <col min="1804" max="2018" width="6.85546875" style="1096" customWidth="1"/>
    <col min="2019" max="2019" width="1.140625" style="1096" customWidth="1"/>
    <col min="2020" max="2020" width="2" style="1096" customWidth="1"/>
    <col min="2021" max="2022" width="1.7109375" style="1096" customWidth="1"/>
    <col min="2023" max="2023" width="1.42578125" style="1096" customWidth="1"/>
    <col min="2024" max="2024" width="1.140625" style="1096" customWidth="1"/>
    <col min="2025" max="2025" width="1" style="1096" customWidth="1"/>
    <col min="2026" max="2026" width="4.85546875" style="1096" customWidth="1"/>
    <col min="2027" max="2027" width="2.7109375" style="1096" customWidth="1"/>
    <col min="2028" max="2028" width="1.42578125" style="1096" customWidth="1"/>
    <col min="2029" max="2029" width="2.5703125" style="1096" customWidth="1"/>
    <col min="2030" max="2030" width="3" style="1096" customWidth="1"/>
    <col min="2031" max="2031" width="6.7109375" style="1096" customWidth="1"/>
    <col min="2032" max="2032" width="4.28515625" style="1096" customWidth="1"/>
    <col min="2033" max="2033" width="3.42578125" style="1096" customWidth="1"/>
    <col min="2034" max="2034" width="1.28515625" style="1096" customWidth="1"/>
    <col min="2035" max="2035" width="1.5703125" style="1096" customWidth="1"/>
    <col min="2036" max="2036" width="2.28515625" style="1096" customWidth="1"/>
    <col min="2037" max="2037" width="1" style="1096" customWidth="1"/>
    <col min="2038" max="2038" width="1.42578125" style="1096" customWidth="1"/>
    <col min="2039" max="2039" width="2.140625" style="1096" customWidth="1"/>
    <col min="2040" max="2040" width="11.5703125" style="1096" customWidth="1"/>
    <col min="2041" max="2041" width="7" style="1096" customWidth="1"/>
    <col min="2042" max="2042" width="1.28515625" style="1096" customWidth="1"/>
    <col min="2043" max="2043" width="1.140625" style="1096" customWidth="1"/>
    <col min="2044" max="2044" width="1" style="1096" customWidth="1"/>
    <col min="2045" max="2045" width="1.5703125" style="1096" customWidth="1"/>
    <col min="2046" max="2046" width="5.28515625" style="1096" customWidth="1"/>
    <col min="2047" max="2047" width="1.140625" style="1096" customWidth="1"/>
    <col min="2048" max="2048" width="11.85546875" style="1096" customWidth="1"/>
    <col min="2049" max="2050" width="1.140625" style="1096" customWidth="1"/>
    <col min="2051" max="2051" width="1" style="1096" customWidth="1"/>
    <col min="2052" max="2052" width="1.140625" style="1096" customWidth="1"/>
    <col min="2053" max="2053" width="2.85546875" style="1096" customWidth="1"/>
    <col min="2054" max="2054" width="2.140625" style="1096" customWidth="1"/>
    <col min="2055" max="2055" width="3.42578125" style="1096" customWidth="1"/>
    <col min="2056" max="2056" width="9" style="1096" customWidth="1"/>
    <col min="2057" max="2057" width="1.5703125" style="1096" customWidth="1"/>
    <col min="2058" max="2058" width="1" style="1096" customWidth="1"/>
    <col min="2059" max="2059" width="1.140625" style="1096" customWidth="1"/>
    <col min="2060" max="2274" width="6.85546875" style="1096" customWidth="1"/>
    <col min="2275" max="2275" width="1.140625" style="1096" customWidth="1"/>
    <col min="2276" max="2276" width="2" style="1096" customWidth="1"/>
    <col min="2277" max="2278" width="1.7109375" style="1096" customWidth="1"/>
    <col min="2279" max="2279" width="1.42578125" style="1096" customWidth="1"/>
    <col min="2280" max="2280" width="1.140625" style="1096" customWidth="1"/>
    <col min="2281" max="2281" width="1" style="1096" customWidth="1"/>
    <col min="2282" max="2282" width="4.85546875" style="1096" customWidth="1"/>
    <col min="2283" max="2283" width="2.7109375" style="1096" customWidth="1"/>
    <col min="2284" max="2284" width="1.42578125" style="1096" customWidth="1"/>
    <col min="2285" max="2285" width="2.5703125" style="1096" customWidth="1"/>
    <col min="2286" max="2286" width="3" style="1096" customWidth="1"/>
    <col min="2287" max="2287" width="6.7109375" style="1096" customWidth="1"/>
    <col min="2288" max="2288" width="4.28515625" style="1096" customWidth="1"/>
    <col min="2289" max="2289" width="3.42578125" style="1096" customWidth="1"/>
    <col min="2290" max="2290" width="1.28515625" style="1096" customWidth="1"/>
    <col min="2291" max="2291" width="1.5703125" style="1096" customWidth="1"/>
    <col min="2292" max="2292" width="2.28515625" style="1096" customWidth="1"/>
    <col min="2293" max="2293" width="1" style="1096" customWidth="1"/>
    <col min="2294" max="2294" width="1.42578125" style="1096" customWidth="1"/>
    <col min="2295" max="2295" width="2.140625" style="1096" customWidth="1"/>
    <col min="2296" max="2296" width="11.5703125" style="1096" customWidth="1"/>
    <col min="2297" max="2297" width="7" style="1096" customWidth="1"/>
    <col min="2298" max="2298" width="1.28515625" style="1096" customWidth="1"/>
    <col min="2299" max="2299" width="1.140625" style="1096" customWidth="1"/>
    <col min="2300" max="2300" width="1" style="1096" customWidth="1"/>
    <col min="2301" max="2301" width="1.5703125" style="1096" customWidth="1"/>
    <col min="2302" max="2302" width="5.28515625" style="1096" customWidth="1"/>
    <col min="2303" max="2303" width="1.140625" style="1096" customWidth="1"/>
    <col min="2304" max="2304" width="11.85546875" style="1096" customWidth="1"/>
    <col min="2305" max="2306" width="1.140625" style="1096" customWidth="1"/>
    <col min="2307" max="2307" width="1" style="1096" customWidth="1"/>
    <col min="2308" max="2308" width="1.140625" style="1096" customWidth="1"/>
    <col min="2309" max="2309" width="2.85546875" style="1096" customWidth="1"/>
    <col min="2310" max="2310" width="2.140625" style="1096" customWidth="1"/>
    <col min="2311" max="2311" width="3.42578125" style="1096" customWidth="1"/>
    <col min="2312" max="2312" width="9" style="1096" customWidth="1"/>
    <col min="2313" max="2313" width="1.5703125" style="1096" customWidth="1"/>
    <col min="2314" max="2314" width="1" style="1096" customWidth="1"/>
    <col min="2315" max="2315" width="1.140625" style="1096" customWidth="1"/>
    <col min="2316" max="2530" width="6.85546875" style="1096" customWidth="1"/>
    <col min="2531" max="2531" width="1.140625" style="1096" customWidth="1"/>
    <col min="2532" max="2532" width="2" style="1096" customWidth="1"/>
    <col min="2533" max="2534" width="1.7109375" style="1096" customWidth="1"/>
    <col min="2535" max="2535" width="1.42578125" style="1096" customWidth="1"/>
    <col min="2536" max="2536" width="1.140625" style="1096" customWidth="1"/>
    <col min="2537" max="2537" width="1" style="1096" customWidth="1"/>
    <col min="2538" max="2538" width="4.85546875" style="1096" customWidth="1"/>
    <col min="2539" max="2539" width="2.7109375" style="1096" customWidth="1"/>
    <col min="2540" max="2540" width="1.42578125" style="1096" customWidth="1"/>
    <col min="2541" max="2541" width="2.5703125" style="1096" customWidth="1"/>
    <col min="2542" max="2542" width="3" style="1096" customWidth="1"/>
    <col min="2543" max="2543" width="6.7109375" style="1096" customWidth="1"/>
    <col min="2544" max="2544" width="4.28515625" style="1096" customWidth="1"/>
    <col min="2545" max="2545" width="3.42578125" style="1096" customWidth="1"/>
    <col min="2546" max="2546" width="1.28515625" style="1096" customWidth="1"/>
    <col min="2547" max="2547" width="1.5703125" style="1096" customWidth="1"/>
    <col min="2548" max="2548" width="2.28515625" style="1096" customWidth="1"/>
    <col min="2549" max="2549" width="1" style="1096" customWidth="1"/>
    <col min="2550" max="2550" width="1.42578125" style="1096" customWidth="1"/>
    <col min="2551" max="2551" width="2.140625" style="1096" customWidth="1"/>
    <col min="2552" max="2552" width="11.5703125" style="1096" customWidth="1"/>
    <col min="2553" max="2553" width="7" style="1096" customWidth="1"/>
    <col min="2554" max="2554" width="1.28515625" style="1096" customWidth="1"/>
    <col min="2555" max="2555" width="1.140625" style="1096" customWidth="1"/>
    <col min="2556" max="2556" width="1" style="1096" customWidth="1"/>
    <col min="2557" max="2557" width="1.5703125" style="1096" customWidth="1"/>
    <col min="2558" max="2558" width="5.28515625" style="1096" customWidth="1"/>
    <col min="2559" max="2559" width="1.140625" style="1096" customWidth="1"/>
    <col min="2560" max="2560" width="11.85546875" style="1096" customWidth="1"/>
    <col min="2561" max="2562" width="1.140625" style="1096" customWidth="1"/>
    <col min="2563" max="2563" width="1" style="1096" customWidth="1"/>
    <col min="2564" max="2564" width="1.140625" style="1096" customWidth="1"/>
    <col min="2565" max="2565" width="2.85546875" style="1096" customWidth="1"/>
    <col min="2566" max="2566" width="2.140625" style="1096" customWidth="1"/>
    <col min="2567" max="2567" width="3.42578125" style="1096" customWidth="1"/>
    <col min="2568" max="2568" width="9" style="1096" customWidth="1"/>
    <col min="2569" max="2569" width="1.5703125" style="1096" customWidth="1"/>
    <col min="2570" max="2570" width="1" style="1096" customWidth="1"/>
    <col min="2571" max="2571" width="1.140625" style="1096" customWidth="1"/>
    <col min="2572" max="2786" width="6.85546875" style="1096" customWidth="1"/>
    <col min="2787" max="2787" width="1.140625" style="1096" customWidth="1"/>
    <col min="2788" max="2788" width="2" style="1096" customWidth="1"/>
    <col min="2789" max="2790" width="1.7109375" style="1096" customWidth="1"/>
    <col min="2791" max="2791" width="1.42578125" style="1096" customWidth="1"/>
    <col min="2792" max="2792" width="1.140625" style="1096" customWidth="1"/>
    <col min="2793" max="2793" width="1" style="1096" customWidth="1"/>
    <col min="2794" max="2794" width="4.85546875" style="1096" customWidth="1"/>
    <col min="2795" max="2795" width="2.7109375" style="1096" customWidth="1"/>
    <col min="2796" max="2796" width="1.42578125" style="1096" customWidth="1"/>
    <col min="2797" max="2797" width="2.5703125" style="1096" customWidth="1"/>
    <col min="2798" max="2798" width="3" style="1096" customWidth="1"/>
    <col min="2799" max="2799" width="6.7109375" style="1096" customWidth="1"/>
    <col min="2800" max="2800" width="4.28515625" style="1096" customWidth="1"/>
    <col min="2801" max="2801" width="3.42578125" style="1096" customWidth="1"/>
    <col min="2802" max="2802" width="1.28515625" style="1096" customWidth="1"/>
    <col min="2803" max="2803" width="1.5703125" style="1096" customWidth="1"/>
    <col min="2804" max="2804" width="2.28515625" style="1096" customWidth="1"/>
    <col min="2805" max="2805" width="1" style="1096" customWidth="1"/>
    <col min="2806" max="2806" width="1.42578125" style="1096" customWidth="1"/>
    <col min="2807" max="2807" width="2.140625" style="1096" customWidth="1"/>
    <col min="2808" max="2808" width="11.5703125" style="1096" customWidth="1"/>
    <col min="2809" max="2809" width="7" style="1096" customWidth="1"/>
    <col min="2810" max="2810" width="1.28515625" style="1096" customWidth="1"/>
    <col min="2811" max="2811" width="1.140625" style="1096" customWidth="1"/>
    <col min="2812" max="2812" width="1" style="1096" customWidth="1"/>
    <col min="2813" max="2813" width="1.5703125" style="1096" customWidth="1"/>
    <col min="2814" max="2814" width="5.28515625" style="1096" customWidth="1"/>
    <col min="2815" max="2815" width="1.140625" style="1096" customWidth="1"/>
    <col min="2816" max="2816" width="11.85546875" style="1096" customWidth="1"/>
    <col min="2817" max="2818" width="1.140625" style="1096" customWidth="1"/>
    <col min="2819" max="2819" width="1" style="1096" customWidth="1"/>
    <col min="2820" max="2820" width="1.140625" style="1096" customWidth="1"/>
    <col min="2821" max="2821" width="2.85546875" style="1096" customWidth="1"/>
    <col min="2822" max="2822" width="2.140625" style="1096" customWidth="1"/>
    <col min="2823" max="2823" width="3.42578125" style="1096" customWidth="1"/>
    <col min="2824" max="2824" width="9" style="1096" customWidth="1"/>
    <col min="2825" max="2825" width="1.5703125" style="1096" customWidth="1"/>
    <col min="2826" max="2826" width="1" style="1096" customWidth="1"/>
    <col min="2827" max="2827" width="1.140625" style="1096" customWidth="1"/>
    <col min="2828" max="3042" width="6.85546875" style="1096" customWidth="1"/>
    <col min="3043" max="3043" width="1.140625" style="1096" customWidth="1"/>
    <col min="3044" max="3044" width="2" style="1096" customWidth="1"/>
    <col min="3045" max="3046" width="1.7109375" style="1096" customWidth="1"/>
    <col min="3047" max="3047" width="1.42578125" style="1096" customWidth="1"/>
    <col min="3048" max="3048" width="1.140625" style="1096" customWidth="1"/>
    <col min="3049" max="3049" width="1" style="1096" customWidth="1"/>
    <col min="3050" max="3050" width="4.85546875" style="1096" customWidth="1"/>
    <col min="3051" max="3051" width="2.7109375" style="1096" customWidth="1"/>
    <col min="3052" max="3052" width="1.42578125" style="1096" customWidth="1"/>
    <col min="3053" max="3053" width="2.5703125" style="1096" customWidth="1"/>
    <col min="3054" max="3054" width="3" style="1096" customWidth="1"/>
    <col min="3055" max="3055" width="6.7109375" style="1096" customWidth="1"/>
    <col min="3056" max="3056" width="4.28515625" style="1096" customWidth="1"/>
    <col min="3057" max="3057" width="3.42578125" style="1096" customWidth="1"/>
    <col min="3058" max="3058" width="1.28515625" style="1096" customWidth="1"/>
    <col min="3059" max="3059" width="1.5703125" style="1096" customWidth="1"/>
    <col min="3060" max="3060" width="2.28515625" style="1096" customWidth="1"/>
    <col min="3061" max="3061" width="1" style="1096" customWidth="1"/>
    <col min="3062" max="3062" width="1.42578125" style="1096" customWidth="1"/>
    <col min="3063" max="3063" width="2.140625" style="1096" customWidth="1"/>
    <col min="3064" max="3064" width="11.5703125" style="1096" customWidth="1"/>
    <col min="3065" max="3065" width="7" style="1096" customWidth="1"/>
    <col min="3066" max="3066" width="1.28515625" style="1096" customWidth="1"/>
    <col min="3067" max="3067" width="1.140625" style="1096" customWidth="1"/>
    <col min="3068" max="3068" width="1" style="1096" customWidth="1"/>
    <col min="3069" max="3069" width="1.5703125" style="1096" customWidth="1"/>
    <col min="3070" max="3070" width="5.28515625" style="1096" customWidth="1"/>
    <col min="3071" max="3071" width="1.140625" style="1096" customWidth="1"/>
    <col min="3072" max="3072" width="11.85546875" style="1096" customWidth="1"/>
    <col min="3073" max="3074" width="1.140625" style="1096" customWidth="1"/>
    <col min="3075" max="3075" width="1" style="1096" customWidth="1"/>
    <col min="3076" max="3076" width="1.140625" style="1096" customWidth="1"/>
    <col min="3077" max="3077" width="2.85546875" style="1096" customWidth="1"/>
    <col min="3078" max="3078" width="2.140625" style="1096" customWidth="1"/>
    <col min="3079" max="3079" width="3.42578125" style="1096" customWidth="1"/>
    <col min="3080" max="3080" width="9" style="1096" customWidth="1"/>
    <col min="3081" max="3081" width="1.5703125" style="1096" customWidth="1"/>
    <col min="3082" max="3082" width="1" style="1096" customWidth="1"/>
    <col min="3083" max="3083" width="1.140625" style="1096" customWidth="1"/>
    <col min="3084" max="3298" width="6.85546875" style="1096" customWidth="1"/>
    <col min="3299" max="3299" width="1.140625" style="1096" customWidth="1"/>
    <col min="3300" max="3300" width="2" style="1096" customWidth="1"/>
    <col min="3301" max="3302" width="1.7109375" style="1096" customWidth="1"/>
    <col min="3303" max="3303" width="1.42578125" style="1096" customWidth="1"/>
    <col min="3304" max="3304" width="1.140625" style="1096" customWidth="1"/>
    <col min="3305" max="3305" width="1" style="1096" customWidth="1"/>
    <col min="3306" max="3306" width="4.85546875" style="1096" customWidth="1"/>
    <col min="3307" max="3307" width="2.7109375" style="1096" customWidth="1"/>
    <col min="3308" max="3308" width="1.42578125" style="1096" customWidth="1"/>
    <col min="3309" max="3309" width="2.5703125" style="1096" customWidth="1"/>
    <col min="3310" max="3310" width="3" style="1096" customWidth="1"/>
    <col min="3311" max="3311" width="6.7109375" style="1096" customWidth="1"/>
    <col min="3312" max="3312" width="4.28515625" style="1096" customWidth="1"/>
    <col min="3313" max="3313" width="3.42578125" style="1096" customWidth="1"/>
    <col min="3314" max="3314" width="1.28515625" style="1096" customWidth="1"/>
    <col min="3315" max="3315" width="1.5703125" style="1096" customWidth="1"/>
    <col min="3316" max="3316" width="2.28515625" style="1096" customWidth="1"/>
    <col min="3317" max="3317" width="1" style="1096" customWidth="1"/>
    <col min="3318" max="3318" width="1.42578125" style="1096" customWidth="1"/>
    <col min="3319" max="3319" width="2.140625" style="1096" customWidth="1"/>
    <col min="3320" max="3320" width="11.5703125" style="1096" customWidth="1"/>
    <col min="3321" max="3321" width="7" style="1096" customWidth="1"/>
    <col min="3322" max="3322" width="1.28515625" style="1096" customWidth="1"/>
    <col min="3323" max="3323" width="1.140625" style="1096" customWidth="1"/>
    <col min="3324" max="3324" width="1" style="1096" customWidth="1"/>
    <col min="3325" max="3325" width="1.5703125" style="1096" customWidth="1"/>
    <col min="3326" max="3326" width="5.28515625" style="1096" customWidth="1"/>
    <col min="3327" max="3327" width="1.140625" style="1096" customWidth="1"/>
    <col min="3328" max="3328" width="11.85546875" style="1096" customWidth="1"/>
    <col min="3329" max="3330" width="1.140625" style="1096" customWidth="1"/>
    <col min="3331" max="3331" width="1" style="1096" customWidth="1"/>
    <col min="3332" max="3332" width="1.140625" style="1096" customWidth="1"/>
    <col min="3333" max="3333" width="2.85546875" style="1096" customWidth="1"/>
    <col min="3334" max="3334" width="2.140625" style="1096" customWidth="1"/>
    <col min="3335" max="3335" width="3.42578125" style="1096" customWidth="1"/>
    <col min="3336" max="3336" width="9" style="1096" customWidth="1"/>
    <col min="3337" max="3337" width="1.5703125" style="1096" customWidth="1"/>
    <col min="3338" max="3338" width="1" style="1096" customWidth="1"/>
    <col min="3339" max="3339" width="1.140625" style="1096" customWidth="1"/>
    <col min="3340" max="3554" width="6.85546875" style="1096" customWidth="1"/>
    <col min="3555" max="3555" width="1.140625" style="1096" customWidth="1"/>
    <col min="3556" max="3556" width="2" style="1096" customWidth="1"/>
    <col min="3557" max="3558" width="1.7109375" style="1096" customWidth="1"/>
    <col min="3559" max="3559" width="1.42578125" style="1096" customWidth="1"/>
    <col min="3560" max="3560" width="1.140625" style="1096" customWidth="1"/>
    <col min="3561" max="3561" width="1" style="1096" customWidth="1"/>
    <col min="3562" max="3562" width="4.85546875" style="1096" customWidth="1"/>
    <col min="3563" max="3563" width="2.7109375" style="1096" customWidth="1"/>
    <col min="3564" max="3564" width="1.42578125" style="1096" customWidth="1"/>
    <col min="3565" max="3565" width="2.5703125" style="1096" customWidth="1"/>
    <col min="3566" max="3566" width="3" style="1096" customWidth="1"/>
    <col min="3567" max="3567" width="6.7109375" style="1096" customWidth="1"/>
    <col min="3568" max="3568" width="4.28515625" style="1096" customWidth="1"/>
    <col min="3569" max="3569" width="3.42578125" style="1096" customWidth="1"/>
    <col min="3570" max="3570" width="1.28515625" style="1096" customWidth="1"/>
    <col min="3571" max="3571" width="1.5703125" style="1096" customWidth="1"/>
    <col min="3572" max="3572" width="2.28515625" style="1096" customWidth="1"/>
    <col min="3573" max="3573" width="1" style="1096" customWidth="1"/>
    <col min="3574" max="3574" width="1.42578125" style="1096" customWidth="1"/>
    <col min="3575" max="3575" width="2.140625" style="1096" customWidth="1"/>
    <col min="3576" max="3576" width="11.5703125" style="1096" customWidth="1"/>
    <col min="3577" max="3577" width="7" style="1096" customWidth="1"/>
    <col min="3578" max="3578" width="1.28515625" style="1096" customWidth="1"/>
    <col min="3579" max="3579" width="1.140625" style="1096" customWidth="1"/>
    <col min="3580" max="3580" width="1" style="1096" customWidth="1"/>
    <col min="3581" max="3581" width="1.5703125" style="1096" customWidth="1"/>
    <col min="3582" max="3582" width="5.28515625" style="1096" customWidth="1"/>
    <col min="3583" max="3583" width="1.140625" style="1096" customWidth="1"/>
    <col min="3584" max="3584" width="11.85546875" style="1096" customWidth="1"/>
    <col min="3585" max="3586" width="1.140625" style="1096" customWidth="1"/>
    <col min="3587" max="3587" width="1" style="1096" customWidth="1"/>
    <col min="3588" max="3588" width="1.140625" style="1096" customWidth="1"/>
    <col min="3589" max="3589" width="2.85546875" style="1096" customWidth="1"/>
    <col min="3590" max="3590" width="2.140625" style="1096" customWidth="1"/>
    <col min="3591" max="3591" width="3.42578125" style="1096" customWidth="1"/>
    <col min="3592" max="3592" width="9" style="1096" customWidth="1"/>
    <col min="3593" max="3593" width="1.5703125" style="1096" customWidth="1"/>
    <col min="3594" max="3594" width="1" style="1096" customWidth="1"/>
    <col min="3595" max="3595" width="1.140625" style="1096" customWidth="1"/>
    <col min="3596" max="3810" width="6.85546875" style="1096" customWidth="1"/>
    <col min="3811" max="3811" width="1.140625" style="1096" customWidth="1"/>
    <col min="3812" max="3812" width="2" style="1096" customWidth="1"/>
    <col min="3813" max="3814" width="1.7109375" style="1096" customWidth="1"/>
    <col min="3815" max="3815" width="1.42578125" style="1096" customWidth="1"/>
    <col min="3816" max="3816" width="1.140625" style="1096" customWidth="1"/>
    <col min="3817" max="3817" width="1" style="1096" customWidth="1"/>
    <col min="3818" max="3818" width="4.85546875" style="1096" customWidth="1"/>
    <col min="3819" max="3819" width="2.7109375" style="1096" customWidth="1"/>
    <col min="3820" max="3820" width="1.42578125" style="1096" customWidth="1"/>
    <col min="3821" max="3821" width="2.5703125" style="1096" customWidth="1"/>
    <col min="3822" max="3822" width="3" style="1096" customWidth="1"/>
    <col min="3823" max="3823" width="6.7109375" style="1096" customWidth="1"/>
    <col min="3824" max="3824" width="4.28515625" style="1096" customWidth="1"/>
    <col min="3825" max="3825" width="3.42578125" style="1096" customWidth="1"/>
    <col min="3826" max="3826" width="1.28515625" style="1096" customWidth="1"/>
    <col min="3827" max="3827" width="1.5703125" style="1096" customWidth="1"/>
    <col min="3828" max="3828" width="2.28515625" style="1096" customWidth="1"/>
    <col min="3829" max="3829" width="1" style="1096" customWidth="1"/>
    <col min="3830" max="3830" width="1.42578125" style="1096" customWidth="1"/>
    <col min="3831" max="3831" width="2.140625" style="1096" customWidth="1"/>
    <col min="3832" max="3832" width="11.5703125" style="1096" customWidth="1"/>
    <col min="3833" max="3833" width="7" style="1096" customWidth="1"/>
    <col min="3834" max="3834" width="1.28515625" style="1096" customWidth="1"/>
    <col min="3835" max="3835" width="1.140625" style="1096" customWidth="1"/>
    <col min="3836" max="3836" width="1" style="1096" customWidth="1"/>
    <col min="3837" max="3837" width="1.5703125" style="1096" customWidth="1"/>
    <col min="3838" max="3838" width="5.28515625" style="1096" customWidth="1"/>
    <col min="3839" max="3839" width="1.140625" style="1096" customWidth="1"/>
    <col min="3840" max="3840" width="11.85546875" style="1096" customWidth="1"/>
    <col min="3841" max="3842" width="1.140625" style="1096" customWidth="1"/>
    <col min="3843" max="3843" width="1" style="1096" customWidth="1"/>
    <col min="3844" max="3844" width="1.140625" style="1096" customWidth="1"/>
    <col min="3845" max="3845" width="2.85546875" style="1096" customWidth="1"/>
    <col min="3846" max="3846" width="2.140625" style="1096" customWidth="1"/>
    <col min="3847" max="3847" width="3.42578125" style="1096" customWidth="1"/>
    <col min="3848" max="3848" width="9" style="1096" customWidth="1"/>
    <col min="3849" max="3849" width="1.5703125" style="1096" customWidth="1"/>
    <col min="3850" max="3850" width="1" style="1096" customWidth="1"/>
    <col min="3851" max="3851" width="1.140625" style="1096" customWidth="1"/>
    <col min="3852" max="4066" width="6.85546875" style="1096" customWidth="1"/>
    <col min="4067" max="4067" width="1.140625" style="1096" customWidth="1"/>
    <col min="4068" max="4068" width="2" style="1096" customWidth="1"/>
    <col min="4069" max="4070" width="1.7109375" style="1096" customWidth="1"/>
    <col min="4071" max="4071" width="1.42578125" style="1096" customWidth="1"/>
    <col min="4072" max="4072" width="1.140625" style="1096" customWidth="1"/>
    <col min="4073" max="4073" width="1" style="1096" customWidth="1"/>
    <col min="4074" max="4074" width="4.85546875" style="1096" customWidth="1"/>
    <col min="4075" max="4075" width="2.7109375" style="1096" customWidth="1"/>
    <col min="4076" max="4076" width="1.42578125" style="1096" customWidth="1"/>
    <col min="4077" max="4077" width="2.5703125" style="1096" customWidth="1"/>
    <col min="4078" max="4078" width="3" style="1096" customWidth="1"/>
    <col min="4079" max="4079" width="6.7109375" style="1096" customWidth="1"/>
    <col min="4080" max="4080" width="4.28515625" style="1096" customWidth="1"/>
    <col min="4081" max="4081" width="3.42578125" style="1096" customWidth="1"/>
    <col min="4082" max="4082" width="1.28515625" style="1096" customWidth="1"/>
    <col min="4083" max="4083" width="1.5703125" style="1096" customWidth="1"/>
    <col min="4084" max="4084" width="2.28515625" style="1096" customWidth="1"/>
    <col min="4085" max="4085" width="1" style="1096" customWidth="1"/>
    <col min="4086" max="4086" width="1.42578125" style="1096" customWidth="1"/>
    <col min="4087" max="4087" width="2.140625" style="1096" customWidth="1"/>
    <col min="4088" max="4088" width="11.5703125" style="1096" customWidth="1"/>
    <col min="4089" max="4089" width="7" style="1096" customWidth="1"/>
    <col min="4090" max="4090" width="1.28515625" style="1096" customWidth="1"/>
    <col min="4091" max="4091" width="1.140625" style="1096" customWidth="1"/>
    <col min="4092" max="4092" width="1" style="1096" customWidth="1"/>
    <col min="4093" max="4093" width="1.5703125" style="1096" customWidth="1"/>
    <col min="4094" max="4094" width="5.28515625" style="1096" customWidth="1"/>
    <col min="4095" max="4095" width="1.140625" style="1096" customWidth="1"/>
    <col min="4096" max="4096" width="11.85546875" style="1096" customWidth="1"/>
    <col min="4097" max="4098" width="1.140625" style="1096" customWidth="1"/>
    <col min="4099" max="4099" width="1" style="1096" customWidth="1"/>
    <col min="4100" max="4100" width="1.140625" style="1096" customWidth="1"/>
    <col min="4101" max="4101" width="2.85546875" style="1096" customWidth="1"/>
    <col min="4102" max="4102" width="2.140625" style="1096" customWidth="1"/>
    <col min="4103" max="4103" width="3.42578125" style="1096" customWidth="1"/>
    <col min="4104" max="4104" width="9" style="1096" customWidth="1"/>
    <col min="4105" max="4105" width="1.5703125" style="1096" customWidth="1"/>
    <col min="4106" max="4106" width="1" style="1096" customWidth="1"/>
    <col min="4107" max="4107" width="1.140625" style="1096" customWidth="1"/>
    <col min="4108" max="4322" width="6.85546875" style="1096" customWidth="1"/>
    <col min="4323" max="4323" width="1.140625" style="1096" customWidth="1"/>
    <col min="4324" max="4324" width="2" style="1096" customWidth="1"/>
    <col min="4325" max="4326" width="1.7109375" style="1096" customWidth="1"/>
    <col min="4327" max="4327" width="1.42578125" style="1096" customWidth="1"/>
    <col min="4328" max="4328" width="1.140625" style="1096" customWidth="1"/>
    <col min="4329" max="4329" width="1" style="1096" customWidth="1"/>
    <col min="4330" max="4330" width="4.85546875" style="1096" customWidth="1"/>
    <col min="4331" max="4331" width="2.7109375" style="1096" customWidth="1"/>
    <col min="4332" max="4332" width="1.42578125" style="1096" customWidth="1"/>
    <col min="4333" max="4333" width="2.5703125" style="1096" customWidth="1"/>
    <col min="4334" max="4334" width="3" style="1096" customWidth="1"/>
    <col min="4335" max="4335" width="6.7109375" style="1096" customWidth="1"/>
    <col min="4336" max="4336" width="4.28515625" style="1096" customWidth="1"/>
    <col min="4337" max="4337" width="3.42578125" style="1096" customWidth="1"/>
    <col min="4338" max="4338" width="1.28515625" style="1096" customWidth="1"/>
    <col min="4339" max="4339" width="1.5703125" style="1096" customWidth="1"/>
    <col min="4340" max="4340" width="2.28515625" style="1096" customWidth="1"/>
    <col min="4341" max="4341" width="1" style="1096" customWidth="1"/>
    <col min="4342" max="4342" width="1.42578125" style="1096" customWidth="1"/>
    <col min="4343" max="4343" width="2.140625" style="1096" customWidth="1"/>
    <col min="4344" max="4344" width="11.5703125" style="1096" customWidth="1"/>
    <col min="4345" max="4345" width="7" style="1096" customWidth="1"/>
    <col min="4346" max="4346" width="1.28515625" style="1096" customWidth="1"/>
    <col min="4347" max="4347" width="1.140625" style="1096" customWidth="1"/>
    <col min="4348" max="4348" width="1" style="1096" customWidth="1"/>
    <col min="4349" max="4349" width="1.5703125" style="1096" customWidth="1"/>
    <col min="4350" max="4350" width="5.28515625" style="1096" customWidth="1"/>
    <col min="4351" max="4351" width="1.140625" style="1096" customWidth="1"/>
    <col min="4352" max="4352" width="11.85546875" style="1096" customWidth="1"/>
    <col min="4353" max="4354" width="1.140625" style="1096" customWidth="1"/>
    <col min="4355" max="4355" width="1" style="1096" customWidth="1"/>
    <col min="4356" max="4356" width="1.140625" style="1096" customWidth="1"/>
    <col min="4357" max="4357" width="2.85546875" style="1096" customWidth="1"/>
    <col min="4358" max="4358" width="2.140625" style="1096" customWidth="1"/>
    <col min="4359" max="4359" width="3.42578125" style="1096" customWidth="1"/>
    <col min="4360" max="4360" width="9" style="1096" customWidth="1"/>
    <col min="4361" max="4361" width="1.5703125" style="1096" customWidth="1"/>
    <col min="4362" max="4362" width="1" style="1096" customWidth="1"/>
    <col min="4363" max="4363" width="1.140625" style="1096" customWidth="1"/>
    <col min="4364" max="4578" width="6.85546875" style="1096" customWidth="1"/>
    <col min="4579" max="4579" width="1.140625" style="1096" customWidth="1"/>
    <col min="4580" max="4580" width="2" style="1096" customWidth="1"/>
    <col min="4581" max="4582" width="1.7109375" style="1096" customWidth="1"/>
    <col min="4583" max="4583" width="1.42578125" style="1096" customWidth="1"/>
    <col min="4584" max="4584" width="1.140625" style="1096" customWidth="1"/>
    <col min="4585" max="4585" width="1" style="1096" customWidth="1"/>
    <col min="4586" max="4586" width="4.85546875" style="1096" customWidth="1"/>
    <col min="4587" max="4587" width="2.7109375" style="1096" customWidth="1"/>
    <col min="4588" max="4588" width="1.42578125" style="1096" customWidth="1"/>
    <col min="4589" max="4589" width="2.5703125" style="1096" customWidth="1"/>
    <col min="4590" max="4590" width="3" style="1096" customWidth="1"/>
    <col min="4591" max="4591" width="6.7109375" style="1096" customWidth="1"/>
    <col min="4592" max="4592" width="4.28515625" style="1096" customWidth="1"/>
    <col min="4593" max="4593" width="3.42578125" style="1096" customWidth="1"/>
    <col min="4594" max="4594" width="1.28515625" style="1096" customWidth="1"/>
    <col min="4595" max="4595" width="1.5703125" style="1096" customWidth="1"/>
    <col min="4596" max="4596" width="2.28515625" style="1096" customWidth="1"/>
    <col min="4597" max="4597" width="1" style="1096" customWidth="1"/>
    <col min="4598" max="4598" width="1.42578125" style="1096" customWidth="1"/>
    <col min="4599" max="4599" width="2.140625" style="1096" customWidth="1"/>
    <col min="4600" max="4600" width="11.5703125" style="1096" customWidth="1"/>
    <col min="4601" max="4601" width="7" style="1096" customWidth="1"/>
    <col min="4602" max="4602" width="1.28515625" style="1096" customWidth="1"/>
    <col min="4603" max="4603" width="1.140625" style="1096" customWidth="1"/>
    <col min="4604" max="4604" width="1" style="1096" customWidth="1"/>
    <col min="4605" max="4605" width="1.5703125" style="1096" customWidth="1"/>
    <col min="4606" max="4606" width="5.28515625" style="1096" customWidth="1"/>
    <col min="4607" max="4607" width="1.140625" style="1096" customWidth="1"/>
    <col min="4608" max="4608" width="11.85546875" style="1096" customWidth="1"/>
    <col min="4609" max="4610" width="1.140625" style="1096" customWidth="1"/>
    <col min="4611" max="4611" width="1" style="1096" customWidth="1"/>
    <col min="4612" max="4612" width="1.140625" style="1096" customWidth="1"/>
    <col min="4613" max="4613" width="2.85546875" style="1096" customWidth="1"/>
    <col min="4614" max="4614" width="2.140625" style="1096" customWidth="1"/>
    <col min="4615" max="4615" width="3.42578125" style="1096" customWidth="1"/>
    <col min="4616" max="4616" width="9" style="1096" customWidth="1"/>
    <col min="4617" max="4617" width="1.5703125" style="1096" customWidth="1"/>
    <col min="4618" max="4618" width="1" style="1096" customWidth="1"/>
    <col min="4619" max="4619" width="1.140625" style="1096" customWidth="1"/>
    <col min="4620" max="4834" width="6.85546875" style="1096" customWidth="1"/>
    <col min="4835" max="4835" width="1.140625" style="1096" customWidth="1"/>
    <col min="4836" max="4836" width="2" style="1096" customWidth="1"/>
    <col min="4837" max="4838" width="1.7109375" style="1096" customWidth="1"/>
    <col min="4839" max="4839" width="1.42578125" style="1096" customWidth="1"/>
    <col min="4840" max="4840" width="1.140625" style="1096" customWidth="1"/>
    <col min="4841" max="4841" width="1" style="1096" customWidth="1"/>
    <col min="4842" max="4842" width="4.85546875" style="1096" customWidth="1"/>
    <col min="4843" max="4843" width="2.7109375" style="1096" customWidth="1"/>
    <col min="4844" max="4844" width="1.42578125" style="1096" customWidth="1"/>
    <col min="4845" max="4845" width="2.5703125" style="1096" customWidth="1"/>
    <col min="4846" max="4846" width="3" style="1096" customWidth="1"/>
    <col min="4847" max="4847" width="6.7109375" style="1096" customWidth="1"/>
    <col min="4848" max="4848" width="4.28515625" style="1096" customWidth="1"/>
    <col min="4849" max="4849" width="3.42578125" style="1096" customWidth="1"/>
    <col min="4850" max="4850" width="1.28515625" style="1096" customWidth="1"/>
    <col min="4851" max="4851" width="1.5703125" style="1096" customWidth="1"/>
    <col min="4852" max="4852" width="2.28515625" style="1096" customWidth="1"/>
    <col min="4853" max="4853" width="1" style="1096" customWidth="1"/>
    <col min="4854" max="4854" width="1.42578125" style="1096" customWidth="1"/>
    <col min="4855" max="4855" width="2.140625" style="1096" customWidth="1"/>
    <col min="4856" max="4856" width="11.5703125" style="1096" customWidth="1"/>
    <col min="4857" max="4857" width="7" style="1096" customWidth="1"/>
    <col min="4858" max="4858" width="1.28515625" style="1096" customWidth="1"/>
    <col min="4859" max="4859" width="1.140625" style="1096" customWidth="1"/>
    <col min="4860" max="4860" width="1" style="1096" customWidth="1"/>
    <col min="4861" max="4861" width="1.5703125" style="1096" customWidth="1"/>
    <col min="4862" max="4862" width="5.28515625" style="1096" customWidth="1"/>
    <col min="4863" max="4863" width="1.140625" style="1096" customWidth="1"/>
    <col min="4864" max="4864" width="11.85546875" style="1096" customWidth="1"/>
    <col min="4865" max="4866" width="1.140625" style="1096" customWidth="1"/>
    <col min="4867" max="4867" width="1" style="1096" customWidth="1"/>
    <col min="4868" max="4868" width="1.140625" style="1096" customWidth="1"/>
    <col min="4869" max="4869" width="2.85546875" style="1096" customWidth="1"/>
    <col min="4870" max="4870" width="2.140625" style="1096" customWidth="1"/>
    <col min="4871" max="4871" width="3.42578125" style="1096" customWidth="1"/>
    <col min="4872" max="4872" width="9" style="1096" customWidth="1"/>
    <col min="4873" max="4873" width="1.5703125" style="1096" customWidth="1"/>
    <col min="4874" max="4874" width="1" style="1096" customWidth="1"/>
    <col min="4875" max="4875" width="1.140625" style="1096" customWidth="1"/>
    <col min="4876" max="5090" width="6.85546875" style="1096" customWidth="1"/>
    <col min="5091" max="5091" width="1.140625" style="1096" customWidth="1"/>
    <col min="5092" max="5092" width="2" style="1096" customWidth="1"/>
    <col min="5093" max="5094" width="1.7109375" style="1096" customWidth="1"/>
    <col min="5095" max="5095" width="1.42578125" style="1096" customWidth="1"/>
    <col min="5096" max="5096" width="1.140625" style="1096" customWidth="1"/>
    <col min="5097" max="5097" width="1" style="1096" customWidth="1"/>
    <col min="5098" max="5098" width="4.85546875" style="1096" customWidth="1"/>
    <col min="5099" max="5099" width="2.7109375" style="1096" customWidth="1"/>
    <col min="5100" max="5100" width="1.42578125" style="1096" customWidth="1"/>
    <col min="5101" max="5101" width="2.5703125" style="1096" customWidth="1"/>
    <col min="5102" max="5102" width="3" style="1096" customWidth="1"/>
    <col min="5103" max="5103" width="6.7109375" style="1096" customWidth="1"/>
    <col min="5104" max="5104" width="4.28515625" style="1096" customWidth="1"/>
    <col min="5105" max="5105" width="3.42578125" style="1096" customWidth="1"/>
    <col min="5106" max="5106" width="1.28515625" style="1096" customWidth="1"/>
    <col min="5107" max="5107" width="1.5703125" style="1096" customWidth="1"/>
    <col min="5108" max="5108" width="2.28515625" style="1096" customWidth="1"/>
    <col min="5109" max="5109" width="1" style="1096" customWidth="1"/>
    <col min="5110" max="5110" width="1.42578125" style="1096" customWidth="1"/>
    <col min="5111" max="5111" width="2.140625" style="1096" customWidth="1"/>
    <col min="5112" max="5112" width="11.5703125" style="1096" customWidth="1"/>
    <col min="5113" max="5113" width="7" style="1096" customWidth="1"/>
    <col min="5114" max="5114" width="1.28515625" style="1096" customWidth="1"/>
    <col min="5115" max="5115" width="1.140625" style="1096" customWidth="1"/>
    <col min="5116" max="5116" width="1" style="1096" customWidth="1"/>
    <col min="5117" max="5117" width="1.5703125" style="1096" customWidth="1"/>
    <col min="5118" max="5118" width="5.28515625" style="1096" customWidth="1"/>
    <col min="5119" max="5119" width="1.140625" style="1096" customWidth="1"/>
    <col min="5120" max="5120" width="11.85546875" style="1096" customWidth="1"/>
    <col min="5121" max="5122" width="1.140625" style="1096" customWidth="1"/>
    <col min="5123" max="5123" width="1" style="1096" customWidth="1"/>
    <col min="5124" max="5124" width="1.140625" style="1096" customWidth="1"/>
    <col min="5125" max="5125" width="2.85546875" style="1096" customWidth="1"/>
    <col min="5126" max="5126" width="2.140625" style="1096" customWidth="1"/>
    <col min="5127" max="5127" width="3.42578125" style="1096" customWidth="1"/>
    <col min="5128" max="5128" width="9" style="1096" customWidth="1"/>
    <col min="5129" max="5129" width="1.5703125" style="1096" customWidth="1"/>
    <col min="5130" max="5130" width="1" style="1096" customWidth="1"/>
    <col min="5131" max="5131" width="1.140625" style="1096" customWidth="1"/>
    <col min="5132" max="5346" width="6.85546875" style="1096" customWidth="1"/>
    <col min="5347" max="5347" width="1.140625" style="1096" customWidth="1"/>
    <col min="5348" max="5348" width="2" style="1096" customWidth="1"/>
    <col min="5349" max="5350" width="1.7109375" style="1096" customWidth="1"/>
    <col min="5351" max="5351" width="1.42578125" style="1096" customWidth="1"/>
    <col min="5352" max="5352" width="1.140625" style="1096" customWidth="1"/>
    <col min="5353" max="5353" width="1" style="1096" customWidth="1"/>
    <col min="5354" max="5354" width="4.85546875" style="1096" customWidth="1"/>
    <col min="5355" max="5355" width="2.7109375" style="1096" customWidth="1"/>
    <col min="5356" max="5356" width="1.42578125" style="1096" customWidth="1"/>
    <col min="5357" max="5357" width="2.5703125" style="1096" customWidth="1"/>
    <col min="5358" max="5358" width="3" style="1096" customWidth="1"/>
    <col min="5359" max="5359" width="6.7109375" style="1096" customWidth="1"/>
    <col min="5360" max="5360" width="4.28515625" style="1096" customWidth="1"/>
    <col min="5361" max="5361" width="3.42578125" style="1096" customWidth="1"/>
    <col min="5362" max="5362" width="1.28515625" style="1096" customWidth="1"/>
    <col min="5363" max="5363" width="1.5703125" style="1096" customWidth="1"/>
    <col min="5364" max="5364" width="2.28515625" style="1096" customWidth="1"/>
    <col min="5365" max="5365" width="1" style="1096" customWidth="1"/>
    <col min="5366" max="5366" width="1.42578125" style="1096" customWidth="1"/>
    <col min="5367" max="5367" width="2.140625" style="1096" customWidth="1"/>
    <col min="5368" max="5368" width="11.5703125" style="1096" customWidth="1"/>
    <col min="5369" max="5369" width="7" style="1096" customWidth="1"/>
    <col min="5370" max="5370" width="1.28515625" style="1096" customWidth="1"/>
    <col min="5371" max="5371" width="1.140625" style="1096" customWidth="1"/>
    <col min="5372" max="5372" width="1" style="1096" customWidth="1"/>
    <col min="5373" max="5373" width="1.5703125" style="1096" customWidth="1"/>
    <col min="5374" max="5374" width="5.28515625" style="1096" customWidth="1"/>
    <col min="5375" max="5375" width="1.140625" style="1096" customWidth="1"/>
    <col min="5376" max="5376" width="11.85546875" style="1096" customWidth="1"/>
    <col min="5377" max="5378" width="1.140625" style="1096" customWidth="1"/>
    <col min="5379" max="5379" width="1" style="1096" customWidth="1"/>
    <col min="5380" max="5380" width="1.140625" style="1096" customWidth="1"/>
    <col min="5381" max="5381" width="2.85546875" style="1096" customWidth="1"/>
    <col min="5382" max="5382" width="2.140625" style="1096" customWidth="1"/>
    <col min="5383" max="5383" width="3.42578125" style="1096" customWidth="1"/>
    <col min="5384" max="5384" width="9" style="1096" customWidth="1"/>
    <col min="5385" max="5385" width="1.5703125" style="1096" customWidth="1"/>
    <col min="5386" max="5386" width="1" style="1096" customWidth="1"/>
    <col min="5387" max="5387" width="1.140625" style="1096" customWidth="1"/>
    <col min="5388" max="5602" width="6.85546875" style="1096" customWidth="1"/>
    <col min="5603" max="5603" width="1.140625" style="1096" customWidth="1"/>
    <col min="5604" max="5604" width="2" style="1096" customWidth="1"/>
    <col min="5605" max="5606" width="1.7109375" style="1096" customWidth="1"/>
    <col min="5607" max="5607" width="1.42578125" style="1096" customWidth="1"/>
    <col min="5608" max="5608" width="1.140625" style="1096" customWidth="1"/>
    <col min="5609" max="5609" width="1" style="1096" customWidth="1"/>
    <col min="5610" max="5610" width="4.85546875" style="1096" customWidth="1"/>
    <col min="5611" max="5611" width="2.7109375" style="1096" customWidth="1"/>
    <col min="5612" max="5612" width="1.42578125" style="1096" customWidth="1"/>
    <col min="5613" max="5613" width="2.5703125" style="1096" customWidth="1"/>
    <col min="5614" max="5614" width="3" style="1096" customWidth="1"/>
    <col min="5615" max="5615" width="6.7109375" style="1096" customWidth="1"/>
    <col min="5616" max="5616" width="4.28515625" style="1096" customWidth="1"/>
    <col min="5617" max="5617" width="3.42578125" style="1096" customWidth="1"/>
    <col min="5618" max="5618" width="1.28515625" style="1096" customWidth="1"/>
    <col min="5619" max="5619" width="1.5703125" style="1096" customWidth="1"/>
    <col min="5620" max="5620" width="2.28515625" style="1096" customWidth="1"/>
    <col min="5621" max="5621" width="1" style="1096" customWidth="1"/>
    <col min="5622" max="5622" width="1.42578125" style="1096" customWidth="1"/>
    <col min="5623" max="5623" width="2.140625" style="1096" customWidth="1"/>
    <col min="5624" max="5624" width="11.5703125" style="1096" customWidth="1"/>
    <col min="5625" max="5625" width="7" style="1096" customWidth="1"/>
    <col min="5626" max="5626" width="1.28515625" style="1096" customWidth="1"/>
    <col min="5627" max="5627" width="1.140625" style="1096" customWidth="1"/>
    <col min="5628" max="5628" width="1" style="1096" customWidth="1"/>
    <col min="5629" max="5629" width="1.5703125" style="1096" customWidth="1"/>
    <col min="5630" max="5630" width="5.28515625" style="1096" customWidth="1"/>
    <col min="5631" max="5631" width="1.140625" style="1096" customWidth="1"/>
    <col min="5632" max="5632" width="11.85546875" style="1096" customWidth="1"/>
    <col min="5633" max="5634" width="1.140625" style="1096" customWidth="1"/>
    <col min="5635" max="5635" width="1" style="1096" customWidth="1"/>
    <col min="5636" max="5636" width="1.140625" style="1096" customWidth="1"/>
    <col min="5637" max="5637" width="2.85546875" style="1096" customWidth="1"/>
    <col min="5638" max="5638" width="2.140625" style="1096" customWidth="1"/>
    <col min="5639" max="5639" width="3.42578125" style="1096" customWidth="1"/>
    <col min="5640" max="5640" width="9" style="1096" customWidth="1"/>
    <col min="5641" max="5641" width="1.5703125" style="1096" customWidth="1"/>
    <col min="5642" max="5642" width="1" style="1096" customWidth="1"/>
    <col min="5643" max="5643" width="1.140625" style="1096" customWidth="1"/>
    <col min="5644" max="5858" width="6.85546875" style="1096" customWidth="1"/>
    <col min="5859" max="5859" width="1.140625" style="1096" customWidth="1"/>
    <col min="5860" max="5860" width="2" style="1096" customWidth="1"/>
    <col min="5861" max="5862" width="1.7109375" style="1096" customWidth="1"/>
    <col min="5863" max="5863" width="1.42578125" style="1096" customWidth="1"/>
    <col min="5864" max="5864" width="1.140625" style="1096" customWidth="1"/>
    <col min="5865" max="5865" width="1" style="1096" customWidth="1"/>
    <col min="5866" max="5866" width="4.85546875" style="1096" customWidth="1"/>
    <col min="5867" max="5867" width="2.7109375" style="1096" customWidth="1"/>
    <col min="5868" max="5868" width="1.42578125" style="1096" customWidth="1"/>
    <col min="5869" max="5869" width="2.5703125" style="1096" customWidth="1"/>
    <col min="5870" max="5870" width="3" style="1096" customWidth="1"/>
    <col min="5871" max="5871" width="6.7109375" style="1096" customWidth="1"/>
    <col min="5872" max="5872" width="4.28515625" style="1096" customWidth="1"/>
    <col min="5873" max="5873" width="3.42578125" style="1096" customWidth="1"/>
    <col min="5874" max="5874" width="1.28515625" style="1096" customWidth="1"/>
    <col min="5875" max="5875" width="1.5703125" style="1096" customWidth="1"/>
    <col min="5876" max="5876" width="2.28515625" style="1096" customWidth="1"/>
    <col min="5877" max="5877" width="1" style="1096" customWidth="1"/>
    <col min="5878" max="5878" width="1.42578125" style="1096" customWidth="1"/>
    <col min="5879" max="5879" width="2.140625" style="1096" customWidth="1"/>
    <col min="5880" max="5880" width="11.5703125" style="1096" customWidth="1"/>
    <col min="5881" max="5881" width="7" style="1096" customWidth="1"/>
    <col min="5882" max="5882" width="1.28515625" style="1096" customWidth="1"/>
    <col min="5883" max="5883" width="1.140625" style="1096" customWidth="1"/>
    <col min="5884" max="5884" width="1" style="1096" customWidth="1"/>
    <col min="5885" max="5885" width="1.5703125" style="1096" customWidth="1"/>
    <col min="5886" max="5886" width="5.28515625" style="1096" customWidth="1"/>
    <col min="5887" max="5887" width="1.140625" style="1096" customWidth="1"/>
    <col min="5888" max="5888" width="11.85546875" style="1096" customWidth="1"/>
    <col min="5889" max="5890" width="1.140625" style="1096" customWidth="1"/>
    <col min="5891" max="5891" width="1" style="1096" customWidth="1"/>
    <col min="5892" max="5892" width="1.140625" style="1096" customWidth="1"/>
    <col min="5893" max="5893" width="2.85546875" style="1096" customWidth="1"/>
    <col min="5894" max="5894" width="2.140625" style="1096" customWidth="1"/>
    <col min="5895" max="5895" width="3.42578125" style="1096" customWidth="1"/>
    <col min="5896" max="5896" width="9" style="1096" customWidth="1"/>
    <col min="5897" max="5897" width="1.5703125" style="1096" customWidth="1"/>
    <col min="5898" max="5898" width="1" style="1096" customWidth="1"/>
    <col min="5899" max="5899" width="1.140625" style="1096" customWidth="1"/>
    <col min="5900" max="6114" width="6.85546875" style="1096" customWidth="1"/>
    <col min="6115" max="6115" width="1.140625" style="1096" customWidth="1"/>
    <col min="6116" max="6116" width="2" style="1096" customWidth="1"/>
    <col min="6117" max="6118" width="1.7109375" style="1096" customWidth="1"/>
    <col min="6119" max="6119" width="1.42578125" style="1096" customWidth="1"/>
    <col min="6120" max="6120" width="1.140625" style="1096" customWidth="1"/>
    <col min="6121" max="6121" width="1" style="1096" customWidth="1"/>
    <col min="6122" max="6122" width="4.85546875" style="1096" customWidth="1"/>
    <col min="6123" max="6123" width="2.7109375" style="1096" customWidth="1"/>
    <col min="6124" max="6124" width="1.42578125" style="1096" customWidth="1"/>
    <col min="6125" max="6125" width="2.5703125" style="1096" customWidth="1"/>
    <col min="6126" max="6126" width="3" style="1096" customWidth="1"/>
    <col min="6127" max="6127" width="6.7109375" style="1096" customWidth="1"/>
    <col min="6128" max="6128" width="4.28515625" style="1096" customWidth="1"/>
    <col min="6129" max="6129" width="3.42578125" style="1096" customWidth="1"/>
    <col min="6130" max="6130" width="1.28515625" style="1096" customWidth="1"/>
    <col min="6131" max="6131" width="1.5703125" style="1096" customWidth="1"/>
    <col min="6132" max="6132" width="2.28515625" style="1096" customWidth="1"/>
    <col min="6133" max="6133" width="1" style="1096" customWidth="1"/>
    <col min="6134" max="6134" width="1.42578125" style="1096" customWidth="1"/>
    <col min="6135" max="6135" width="2.140625" style="1096" customWidth="1"/>
    <col min="6136" max="6136" width="11.5703125" style="1096" customWidth="1"/>
    <col min="6137" max="6137" width="7" style="1096" customWidth="1"/>
    <col min="6138" max="6138" width="1.28515625" style="1096" customWidth="1"/>
    <col min="6139" max="6139" width="1.140625" style="1096" customWidth="1"/>
    <col min="6140" max="6140" width="1" style="1096" customWidth="1"/>
    <col min="6141" max="6141" width="1.5703125" style="1096" customWidth="1"/>
    <col min="6142" max="6142" width="5.28515625" style="1096" customWidth="1"/>
    <col min="6143" max="6143" width="1.140625" style="1096" customWidth="1"/>
    <col min="6144" max="6144" width="11.85546875" style="1096" customWidth="1"/>
    <col min="6145" max="6146" width="1.140625" style="1096" customWidth="1"/>
    <col min="6147" max="6147" width="1" style="1096" customWidth="1"/>
    <col min="6148" max="6148" width="1.140625" style="1096" customWidth="1"/>
    <col min="6149" max="6149" width="2.85546875" style="1096" customWidth="1"/>
    <col min="6150" max="6150" width="2.140625" style="1096" customWidth="1"/>
    <col min="6151" max="6151" width="3.42578125" style="1096" customWidth="1"/>
    <col min="6152" max="6152" width="9" style="1096" customWidth="1"/>
    <col min="6153" max="6153" width="1.5703125" style="1096" customWidth="1"/>
    <col min="6154" max="6154" width="1" style="1096" customWidth="1"/>
    <col min="6155" max="6155" width="1.140625" style="1096" customWidth="1"/>
    <col min="6156" max="6370" width="6.85546875" style="1096" customWidth="1"/>
    <col min="6371" max="6371" width="1.140625" style="1096" customWidth="1"/>
    <col min="6372" max="6372" width="2" style="1096" customWidth="1"/>
    <col min="6373" max="6374" width="1.7109375" style="1096" customWidth="1"/>
    <col min="6375" max="6375" width="1.42578125" style="1096" customWidth="1"/>
    <col min="6376" max="6376" width="1.140625" style="1096" customWidth="1"/>
    <col min="6377" max="6377" width="1" style="1096" customWidth="1"/>
    <col min="6378" max="6378" width="4.85546875" style="1096" customWidth="1"/>
    <col min="6379" max="6379" width="2.7109375" style="1096" customWidth="1"/>
    <col min="6380" max="6380" width="1.42578125" style="1096" customWidth="1"/>
    <col min="6381" max="6381" width="2.5703125" style="1096" customWidth="1"/>
    <col min="6382" max="6382" width="3" style="1096" customWidth="1"/>
    <col min="6383" max="6383" width="6.7109375" style="1096" customWidth="1"/>
    <col min="6384" max="6384" width="4.28515625" style="1096" customWidth="1"/>
    <col min="6385" max="6385" width="3.42578125" style="1096" customWidth="1"/>
    <col min="6386" max="6386" width="1.28515625" style="1096" customWidth="1"/>
    <col min="6387" max="6387" width="1.5703125" style="1096" customWidth="1"/>
    <col min="6388" max="6388" width="2.28515625" style="1096" customWidth="1"/>
    <col min="6389" max="6389" width="1" style="1096" customWidth="1"/>
    <col min="6390" max="6390" width="1.42578125" style="1096" customWidth="1"/>
    <col min="6391" max="6391" width="2.140625" style="1096" customWidth="1"/>
    <col min="6392" max="6392" width="11.5703125" style="1096" customWidth="1"/>
    <col min="6393" max="6393" width="7" style="1096" customWidth="1"/>
    <col min="6394" max="6394" width="1.28515625" style="1096" customWidth="1"/>
    <col min="6395" max="6395" width="1.140625" style="1096" customWidth="1"/>
    <col min="6396" max="6396" width="1" style="1096" customWidth="1"/>
    <col min="6397" max="6397" width="1.5703125" style="1096" customWidth="1"/>
    <col min="6398" max="6398" width="5.28515625" style="1096" customWidth="1"/>
    <col min="6399" max="6399" width="1.140625" style="1096" customWidth="1"/>
    <col min="6400" max="6400" width="11.85546875" style="1096" customWidth="1"/>
    <col min="6401" max="6402" width="1.140625" style="1096" customWidth="1"/>
    <col min="6403" max="6403" width="1" style="1096" customWidth="1"/>
    <col min="6404" max="6404" width="1.140625" style="1096" customWidth="1"/>
    <col min="6405" max="6405" width="2.85546875" style="1096" customWidth="1"/>
    <col min="6406" max="6406" width="2.140625" style="1096" customWidth="1"/>
    <col min="6407" max="6407" width="3.42578125" style="1096" customWidth="1"/>
    <col min="6408" max="6408" width="9" style="1096" customWidth="1"/>
    <col min="6409" max="6409" width="1.5703125" style="1096" customWidth="1"/>
    <col min="6410" max="6410" width="1" style="1096" customWidth="1"/>
    <col min="6411" max="6411" width="1.140625" style="1096" customWidth="1"/>
    <col min="6412" max="6626" width="6.85546875" style="1096" customWidth="1"/>
    <col min="6627" max="6627" width="1.140625" style="1096" customWidth="1"/>
    <col min="6628" max="6628" width="2" style="1096" customWidth="1"/>
    <col min="6629" max="6630" width="1.7109375" style="1096" customWidth="1"/>
    <col min="6631" max="6631" width="1.42578125" style="1096" customWidth="1"/>
    <col min="6632" max="6632" width="1.140625" style="1096" customWidth="1"/>
    <col min="6633" max="6633" width="1" style="1096" customWidth="1"/>
    <col min="6634" max="6634" width="4.85546875" style="1096" customWidth="1"/>
    <col min="6635" max="6635" width="2.7109375" style="1096" customWidth="1"/>
    <col min="6636" max="6636" width="1.42578125" style="1096" customWidth="1"/>
    <col min="6637" max="6637" width="2.5703125" style="1096" customWidth="1"/>
    <col min="6638" max="6638" width="3" style="1096" customWidth="1"/>
    <col min="6639" max="6639" width="6.7109375" style="1096" customWidth="1"/>
    <col min="6640" max="6640" width="4.28515625" style="1096" customWidth="1"/>
    <col min="6641" max="6641" width="3.42578125" style="1096" customWidth="1"/>
    <col min="6642" max="6642" width="1.28515625" style="1096" customWidth="1"/>
    <col min="6643" max="6643" width="1.5703125" style="1096" customWidth="1"/>
    <col min="6644" max="6644" width="2.28515625" style="1096" customWidth="1"/>
    <col min="6645" max="6645" width="1" style="1096" customWidth="1"/>
    <col min="6646" max="6646" width="1.42578125" style="1096" customWidth="1"/>
    <col min="6647" max="6647" width="2.140625" style="1096" customWidth="1"/>
    <col min="6648" max="6648" width="11.5703125" style="1096" customWidth="1"/>
    <col min="6649" max="6649" width="7" style="1096" customWidth="1"/>
    <col min="6650" max="6650" width="1.28515625" style="1096" customWidth="1"/>
    <col min="6651" max="6651" width="1.140625" style="1096" customWidth="1"/>
    <col min="6652" max="6652" width="1" style="1096" customWidth="1"/>
    <col min="6653" max="6653" width="1.5703125" style="1096" customWidth="1"/>
    <col min="6654" max="6654" width="5.28515625" style="1096" customWidth="1"/>
    <col min="6655" max="6655" width="1.140625" style="1096" customWidth="1"/>
    <col min="6656" max="6656" width="11.85546875" style="1096" customWidth="1"/>
    <col min="6657" max="6658" width="1.140625" style="1096" customWidth="1"/>
    <col min="6659" max="6659" width="1" style="1096" customWidth="1"/>
    <col min="6660" max="6660" width="1.140625" style="1096" customWidth="1"/>
    <col min="6661" max="6661" width="2.85546875" style="1096" customWidth="1"/>
    <col min="6662" max="6662" width="2.140625" style="1096" customWidth="1"/>
    <col min="6663" max="6663" width="3.42578125" style="1096" customWidth="1"/>
    <col min="6664" max="6664" width="9" style="1096" customWidth="1"/>
    <col min="6665" max="6665" width="1.5703125" style="1096" customWidth="1"/>
    <col min="6666" max="6666" width="1" style="1096" customWidth="1"/>
    <col min="6667" max="6667" width="1.140625" style="1096" customWidth="1"/>
    <col min="6668" max="6882" width="6.85546875" style="1096" customWidth="1"/>
    <col min="6883" max="6883" width="1.140625" style="1096" customWidth="1"/>
    <col min="6884" max="6884" width="2" style="1096" customWidth="1"/>
    <col min="6885" max="6886" width="1.7109375" style="1096" customWidth="1"/>
    <col min="6887" max="6887" width="1.42578125" style="1096" customWidth="1"/>
    <col min="6888" max="6888" width="1.140625" style="1096" customWidth="1"/>
    <col min="6889" max="6889" width="1" style="1096" customWidth="1"/>
    <col min="6890" max="6890" width="4.85546875" style="1096" customWidth="1"/>
    <col min="6891" max="6891" width="2.7109375" style="1096" customWidth="1"/>
    <col min="6892" max="6892" width="1.42578125" style="1096" customWidth="1"/>
    <col min="6893" max="6893" width="2.5703125" style="1096" customWidth="1"/>
    <col min="6894" max="6894" width="3" style="1096" customWidth="1"/>
    <col min="6895" max="6895" width="6.7109375" style="1096" customWidth="1"/>
    <col min="6896" max="6896" width="4.28515625" style="1096" customWidth="1"/>
    <col min="6897" max="6897" width="3.42578125" style="1096" customWidth="1"/>
    <col min="6898" max="6898" width="1.28515625" style="1096" customWidth="1"/>
    <col min="6899" max="6899" width="1.5703125" style="1096" customWidth="1"/>
    <col min="6900" max="6900" width="2.28515625" style="1096" customWidth="1"/>
    <col min="6901" max="6901" width="1" style="1096" customWidth="1"/>
    <col min="6902" max="6902" width="1.42578125" style="1096" customWidth="1"/>
    <col min="6903" max="6903" width="2.140625" style="1096" customWidth="1"/>
    <col min="6904" max="6904" width="11.5703125" style="1096" customWidth="1"/>
    <col min="6905" max="6905" width="7" style="1096" customWidth="1"/>
    <col min="6906" max="6906" width="1.28515625" style="1096" customWidth="1"/>
    <col min="6907" max="6907" width="1.140625" style="1096" customWidth="1"/>
    <col min="6908" max="6908" width="1" style="1096" customWidth="1"/>
    <col min="6909" max="6909" width="1.5703125" style="1096" customWidth="1"/>
    <col min="6910" max="6910" width="5.28515625" style="1096" customWidth="1"/>
    <col min="6911" max="6911" width="1.140625" style="1096" customWidth="1"/>
    <col min="6912" max="6912" width="11.85546875" style="1096" customWidth="1"/>
    <col min="6913" max="6914" width="1.140625" style="1096" customWidth="1"/>
    <col min="6915" max="6915" width="1" style="1096" customWidth="1"/>
    <col min="6916" max="6916" width="1.140625" style="1096" customWidth="1"/>
    <col min="6917" max="6917" width="2.85546875" style="1096" customWidth="1"/>
    <col min="6918" max="6918" width="2.140625" style="1096" customWidth="1"/>
    <col min="6919" max="6919" width="3.42578125" style="1096" customWidth="1"/>
    <col min="6920" max="6920" width="9" style="1096" customWidth="1"/>
    <col min="6921" max="6921" width="1.5703125" style="1096" customWidth="1"/>
    <col min="6922" max="6922" width="1" style="1096" customWidth="1"/>
    <col min="6923" max="6923" width="1.140625" style="1096" customWidth="1"/>
    <col min="6924" max="7138" width="6.85546875" style="1096" customWidth="1"/>
    <col min="7139" max="7139" width="1.140625" style="1096" customWidth="1"/>
    <col min="7140" max="7140" width="2" style="1096" customWidth="1"/>
    <col min="7141" max="7142" width="1.7109375" style="1096" customWidth="1"/>
    <col min="7143" max="7143" width="1.42578125" style="1096" customWidth="1"/>
    <col min="7144" max="7144" width="1.140625" style="1096" customWidth="1"/>
    <col min="7145" max="7145" width="1" style="1096" customWidth="1"/>
    <col min="7146" max="7146" width="4.85546875" style="1096" customWidth="1"/>
    <col min="7147" max="7147" width="2.7109375" style="1096" customWidth="1"/>
    <col min="7148" max="7148" width="1.42578125" style="1096" customWidth="1"/>
    <col min="7149" max="7149" width="2.5703125" style="1096" customWidth="1"/>
    <col min="7150" max="7150" width="3" style="1096" customWidth="1"/>
    <col min="7151" max="7151" width="6.7109375" style="1096" customWidth="1"/>
    <col min="7152" max="7152" width="4.28515625" style="1096" customWidth="1"/>
    <col min="7153" max="7153" width="3.42578125" style="1096" customWidth="1"/>
    <col min="7154" max="7154" width="1.28515625" style="1096" customWidth="1"/>
    <col min="7155" max="7155" width="1.5703125" style="1096" customWidth="1"/>
    <col min="7156" max="7156" width="2.28515625" style="1096" customWidth="1"/>
    <col min="7157" max="7157" width="1" style="1096" customWidth="1"/>
    <col min="7158" max="7158" width="1.42578125" style="1096" customWidth="1"/>
    <col min="7159" max="7159" width="2.140625" style="1096" customWidth="1"/>
    <col min="7160" max="7160" width="11.5703125" style="1096" customWidth="1"/>
    <col min="7161" max="7161" width="7" style="1096" customWidth="1"/>
    <col min="7162" max="7162" width="1.28515625" style="1096" customWidth="1"/>
    <col min="7163" max="7163" width="1.140625" style="1096" customWidth="1"/>
    <col min="7164" max="7164" width="1" style="1096" customWidth="1"/>
    <col min="7165" max="7165" width="1.5703125" style="1096" customWidth="1"/>
    <col min="7166" max="7166" width="5.28515625" style="1096" customWidth="1"/>
    <col min="7167" max="7167" width="1.140625" style="1096" customWidth="1"/>
    <col min="7168" max="7168" width="11.85546875" style="1096" customWidth="1"/>
    <col min="7169" max="7170" width="1.140625" style="1096" customWidth="1"/>
    <col min="7171" max="7171" width="1" style="1096" customWidth="1"/>
    <col min="7172" max="7172" width="1.140625" style="1096" customWidth="1"/>
    <col min="7173" max="7173" width="2.85546875" style="1096" customWidth="1"/>
    <col min="7174" max="7174" width="2.140625" style="1096" customWidth="1"/>
    <col min="7175" max="7175" width="3.42578125" style="1096" customWidth="1"/>
    <col min="7176" max="7176" width="9" style="1096" customWidth="1"/>
    <col min="7177" max="7177" width="1.5703125" style="1096" customWidth="1"/>
    <col min="7178" max="7178" width="1" style="1096" customWidth="1"/>
    <col min="7179" max="7179" width="1.140625" style="1096" customWidth="1"/>
    <col min="7180" max="7394" width="6.85546875" style="1096" customWidth="1"/>
    <col min="7395" max="7395" width="1.140625" style="1096" customWidth="1"/>
    <col min="7396" max="7396" width="2" style="1096" customWidth="1"/>
    <col min="7397" max="7398" width="1.7109375" style="1096" customWidth="1"/>
    <col min="7399" max="7399" width="1.42578125" style="1096" customWidth="1"/>
    <col min="7400" max="7400" width="1.140625" style="1096" customWidth="1"/>
    <col min="7401" max="7401" width="1" style="1096" customWidth="1"/>
    <col min="7402" max="7402" width="4.85546875" style="1096" customWidth="1"/>
    <col min="7403" max="7403" width="2.7109375" style="1096" customWidth="1"/>
    <col min="7404" max="7404" width="1.42578125" style="1096" customWidth="1"/>
    <col min="7405" max="7405" width="2.5703125" style="1096" customWidth="1"/>
    <col min="7406" max="7406" width="3" style="1096" customWidth="1"/>
    <col min="7407" max="7407" width="6.7109375" style="1096" customWidth="1"/>
    <col min="7408" max="7408" width="4.28515625" style="1096" customWidth="1"/>
    <col min="7409" max="7409" width="3.42578125" style="1096" customWidth="1"/>
    <col min="7410" max="7410" width="1.28515625" style="1096" customWidth="1"/>
    <col min="7411" max="7411" width="1.5703125" style="1096" customWidth="1"/>
    <col min="7412" max="7412" width="2.28515625" style="1096" customWidth="1"/>
    <col min="7413" max="7413" width="1" style="1096" customWidth="1"/>
    <col min="7414" max="7414" width="1.42578125" style="1096" customWidth="1"/>
    <col min="7415" max="7415" width="2.140625" style="1096" customWidth="1"/>
    <col min="7416" max="7416" width="11.5703125" style="1096" customWidth="1"/>
    <col min="7417" max="7417" width="7" style="1096" customWidth="1"/>
    <col min="7418" max="7418" width="1.28515625" style="1096" customWidth="1"/>
    <col min="7419" max="7419" width="1.140625" style="1096" customWidth="1"/>
    <col min="7420" max="7420" width="1" style="1096" customWidth="1"/>
    <col min="7421" max="7421" width="1.5703125" style="1096" customWidth="1"/>
    <col min="7422" max="7422" width="5.28515625" style="1096" customWidth="1"/>
    <col min="7423" max="7423" width="1.140625" style="1096" customWidth="1"/>
    <col min="7424" max="7424" width="11.85546875" style="1096" customWidth="1"/>
    <col min="7425" max="7426" width="1.140625" style="1096" customWidth="1"/>
    <col min="7427" max="7427" width="1" style="1096" customWidth="1"/>
    <col min="7428" max="7428" width="1.140625" style="1096" customWidth="1"/>
    <col min="7429" max="7429" width="2.85546875" style="1096" customWidth="1"/>
    <col min="7430" max="7430" width="2.140625" style="1096" customWidth="1"/>
    <col min="7431" max="7431" width="3.42578125" style="1096" customWidth="1"/>
    <col min="7432" max="7432" width="9" style="1096" customWidth="1"/>
    <col min="7433" max="7433" width="1.5703125" style="1096" customWidth="1"/>
    <col min="7434" max="7434" width="1" style="1096" customWidth="1"/>
    <col min="7435" max="7435" width="1.140625" style="1096" customWidth="1"/>
    <col min="7436" max="7650" width="6.85546875" style="1096" customWidth="1"/>
    <col min="7651" max="7651" width="1.140625" style="1096" customWidth="1"/>
    <col min="7652" max="7652" width="2" style="1096" customWidth="1"/>
    <col min="7653" max="7654" width="1.7109375" style="1096" customWidth="1"/>
    <col min="7655" max="7655" width="1.42578125" style="1096" customWidth="1"/>
    <col min="7656" max="7656" width="1.140625" style="1096" customWidth="1"/>
    <col min="7657" max="7657" width="1" style="1096" customWidth="1"/>
    <col min="7658" max="7658" width="4.85546875" style="1096" customWidth="1"/>
    <col min="7659" max="7659" width="2.7109375" style="1096" customWidth="1"/>
    <col min="7660" max="7660" width="1.42578125" style="1096" customWidth="1"/>
    <col min="7661" max="7661" width="2.5703125" style="1096" customWidth="1"/>
    <col min="7662" max="7662" width="3" style="1096" customWidth="1"/>
    <col min="7663" max="7663" width="6.7109375" style="1096" customWidth="1"/>
    <col min="7664" max="7664" width="4.28515625" style="1096" customWidth="1"/>
    <col min="7665" max="7665" width="3.42578125" style="1096" customWidth="1"/>
    <col min="7666" max="7666" width="1.28515625" style="1096" customWidth="1"/>
    <col min="7667" max="7667" width="1.5703125" style="1096" customWidth="1"/>
    <col min="7668" max="7668" width="2.28515625" style="1096" customWidth="1"/>
    <col min="7669" max="7669" width="1" style="1096" customWidth="1"/>
    <col min="7670" max="7670" width="1.42578125" style="1096" customWidth="1"/>
    <col min="7671" max="7671" width="2.140625" style="1096" customWidth="1"/>
    <col min="7672" max="7672" width="11.5703125" style="1096" customWidth="1"/>
    <col min="7673" max="7673" width="7" style="1096" customWidth="1"/>
    <col min="7674" max="7674" width="1.28515625" style="1096" customWidth="1"/>
    <col min="7675" max="7675" width="1.140625" style="1096" customWidth="1"/>
    <col min="7676" max="7676" width="1" style="1096" customWidth="1"/>
    <col min="7677" max="7677" width="1.5703125" style="1096" customWidth="1"/>
    <col min="7678" max="7678" width="5.28515625" style="1096" customWidth="1"/>
    <col min="7679" max="7679" width="1.140625" style="1096" customWidth="1"/>
    <col min="7680" max="7680" width="11.85546875" style="1096" customWidth="1"/>
    <col min="7681" max="7682" width="1.140625" style="1096" customWidth="1"/>
    <col min="7683" max="7683" width="1" style="1096" customWidth="1"/>
    <col min="7684" max="7684" width="1.140625" style="1096" customWidth="1"/>
    <col min="7685" max="7685" width="2.85546875" style="1096" customWidth="1"/>
    <col min="7686" max="7686" width="2.140625" style="1096" customWidth="1"/>
    <col min="7687" max="7687" width="3.42578125" style="1096" customWidth="1"/>
    <col min="7688" max="7688" width="9" style="1096" customWidth="1"/>
    <col min="7689" max="7689" width="1.5703125" style="1096" customWidth="1"/>
    <col min="7690" max="7690" width="1" style="1096" customWidth="1"/>
    <col min="7691" max="7691" width="1.140625" style="1096" customWidth="1"/>
    <col min="7692" max="7906" width="6.85546875" style="1096" customWidth="1"/>
    <col min="7907" max="7907" width="1.140625" style="1096" customWidth="1"/>
    <col min="7908" max="7908" width="2" style="1096" customWidth="1"/>
    <col min="7909" max="7910" width="1.7109375" style="1096" customWidth="1"/>
    <col min="7911" max="7911" width="1.42578125" style="1096" customWidth="1"/>
    <col min="7912" max="7912" width="1.140625" style="1096" customWidth="1"/>
    <col min="7913" max="7913" width="1" style="1096" customWidth="1"/>
    <col min="7914" max="7914" width="4.85546875" style="1096" customWidth="1"/>
    <col min="7915" max="7915" width="2.7109375" style="1096" customWidth="1"/>
    <col min="7916" max="7916" width="1.42578125" style="1096" customWidth="1"/>
    <col min="7917" max="7917" width="2.5703125" style="1096" customWidth="1"/>
    <col min="7918" max="7918" width="3" style="1096" customWidth="1"/>
    <col min="7919" max="7919" width="6.7109375" style="1096" customWidth="1"/>
    <col min="7920" max="7920" width="4.28515625" style="1096" customWidth="1"/>
    <col min="7921" max="7921" width="3.42578125" style="1096" customWidth="1"/>
    <col min="7922" max="7922" width="1.28515625" style="1096" customWidth="1"/>
    <col min="7923" max="7923" width="1.5703125" style="1096" customWidth="1"/>
    <col min="7924" max="7924" width="2.28515625" style="1096" customWidth="1"/>
    <col min="7925" max="7925" width="1" style="1096" customWidth="1"/>
    <col min="7926" max="7926" width="1.42578125" style="1096" customWidth="1"/>
    <col min="7927" max="7927" width="2.140625" style="1096" customWidth="1"/>
    <col min="7928" max="7928" width="11.5703125" style="1096" customWidth="1"/>
    <col min="7929" max="7929" width="7" style="1096" customWidth="1"/>
    <col min="7930" max="7930" width="1.28515625" style="1096" customWidth="1"/>
    <col min="7931" max="7931" width="1.140625" style="1096" customWidth="1"/>
    <col min="7932" max="7932" width="1" style="1096" customWidth="1"/>
    <col min="7933" max="7933" width="1.5703125" style="1096" customWidth="1"/>
    <col min="7934" max="7934" width="5.28515625" style="1096" customWidth="1"/>
    <col min="7935" max="7935" width="1.140625" style="1096" customWidth="1"/>
    <col min="7936" max="7936" width="11.85546875" style="1096" customWidth="1"/>
    <col min="7937" max="7938" width="1.140625" style="1096" customWidth="1"/>
    <col min="7939" max="7939" width="1" style="1096" customWidth="1"/>
    <col min="7940" max="7940" width="1.140625" style="1096" customWidth="1"/>
    <col min="7941" max="7941" width="2.85546875" style="1096" customWidth="1"/>
    <col min="7942" max="7942" width="2.140625" style="1096" customWidth="1"/>
    <col min="7943" max="7943" width="3.42578125" style="1096" customWidth="1"/>
    <col min="7944" max="7944" width="9" style="1096" customWidth="1"/>
    <col min="7945" max="7945" width="1.5703125" style="1096" customWidth="1"/>
    <col min="7946" max="7946" width="1" style="1096" customWidth="1"/>
    <col min="7947" max="7947" width="1.140625" style="1096" customWidth="1"/>
    <col min="7948" max="8162" width="6.85546875" style="1096" customWidth="1"/>
    <col min="8163" max="8163" width="1.140625" style="1096" customWidth="1"/>
    <col min="8164" max="8164" width="2" style="1096" customWidth="1"/>
    <col min="8165" max="8166" width="1.7109375" style="1096" customWidth="1"/>
    <col min="8167" max="8167" width="1.42578125" style="1096" customWidth="1"/>
    <col min="8168" max="8168" width="1.140625" style="1096" customWidth="1"/>
    <col min="8169" max="8169" width="1" style="1096" customWidth="1"/>
    <col min="8170" max="8170" width="4.85546875" style="1096" customWidth="1"/>
    <col min="8171" max="8171" width="2.7109375" style="1096" customWidth="1"/>
    <col min="8172" max="8172" width="1.42578125" style="1096" customWidth="1"/>
    <col min="8173" max="8173" width="2.5703125" style="1096" customWidth="1"/>
    <col min="8174" max="8174" width="3" style="1096" customWidth="1"/>
    <col min="8175" max="8175" width="6.7109375" style="1096" customWidth="1"/>
    <col min="8176" max="8176" width="4.28515625" style="1096" customWidth="1"/>
    <col min="8177" max="8177" width="3.42578125" style="1096" customWidth="1"/>
    <col min="8178" max="8178" width="1.28515625" style="1096" customWidth="1"/>
    <col min="8179" max="8179" width="1.5703125" style="1096" customWidth="1"/>
    <col min="8180" max="8180" width="2.28515625" style="1096" customWidth="1"/>
    <col min="8181" max="8181" width="1" style="1096" customWidth="1"/>
    <col min="8182" max="8182" width="1.42578125" style="1096" customWidth="1"/>
    <col min="8183" max="8183" width="2.140625" style="1096" customWidth="1"/>
    <col min="8184" max="8184" width="11.5703125" style="1096" customWidth="1"/>
    <col min="8185" max="8185" width="7" style="1096" customWidth="1"/>
    <col min="8186" max="8186" width="1.28515625" style="1096" customWidth="1"/>
    <col min="8187" max="8187" width="1.140625" style="1096" customWidth="1"/>
    <col min="8188" max="8188" width="1" style="1096" customWidth="1"/>
    <col min="8189" max="8189" width="1.5703125" style="1096" customWidth="1"/>
    <col min="8190" max="8190" width="5.28515625" style="1096" customWidth="1"/>
    <col min="8191" max="8191" width="1.140625" style="1096" customWidth="1"/>
    <col min="8192" max="8192" width="11.85546875" style="1096" customWidth="1"/>
    <col min="8193" max="8194" width="1.140625" style="1096" customWidth="1"/>
    <col min="8195" max="8195" width="1" style="1096" customWidth="1"/>
    <col min="8196" max="8196" width="1.140625" style="1096" customWidth="1"/>
    <col min="8197" max="8197" width="2.85546875" style="1096" customWidth="1"/>
    <col min="8198" max="8198" width="2.140625" style="1096" customWidth="1"/>
    <col min="8199" max="8199" width="3.42578125" style="1096" customWidth="1"/>
    <col min="8200" max="8200" width="9" style="1096" customWidth="1"/>
    <col min="8201" max="8201" width="1.5703125" style="1096" customWidth="1"/>
    <col min="8202" max="8202" width="1" style="1096" customWidth="1"/>
    <col min="8203" max="8203" width="1.140625" style="1096" customWidth="1"/>
    <col min="8204" max="8418" width="6.85546875" style="1096" customWidth="1"/>
    <col min="8419" max="8419" width="1.140625" style="1096" customWidth="1"/>
    <col min="8420" max="8420" width="2" style="1096" customWidth="1"/>
    <col min="8421" max="8422" width="1.7109375" style="1096" customWidth="1"/>
    <col min="8423" max="8423" width="1.42578125" style="1096" customWidth="1"/>
    <col min="8424" max="8424" width="1.140625" style="1096" customWidth="1"/>
    <col min="8425" max="8425" width="1" style="1096" customWidth="1"/>
    <col min="8426" max="8426" width="4.85546875" style="1096" customWidth="1"/>
    <col min="8427" max="8427" width="2.7109375" style="1096" customWidth="1"/>
    <col min="8428" max="8428" width="1.42578125" style="1096" customWidth="1"/>
    <col min="8429" max="8429" width="2.5703125" style="1096" customWidth="1"/>
    <col min="8430" max="8430" width="3" style="1096" customWidth="1"/>
    <col min="8431" max="8431" width="6.7109375" style="1096" customWidth="1"/>
    <col min="8432" max="8432" width="4.28515625" style="1096" customWidth="1"/>
    <col min="8433" max="8433" width="3.42578125" style="1096" customWidth="1"/>
    <col min="8434" max="8434" width="1.28515625" style="1096" customWidth="1"/>
    <col min="8435" max="8435" width="1.5703125" style="1096" customWidth="1"/>
    <col min="8436" max="8436" width="2.28515625" style="1096" customWidth="1"/>
    <col min="8437" max="8437" width="1" style="1096" customWidth="1"/>
    <col min="8438" max="8438" width="1.42578125" style="1096" customWidth="1"/>
    <col min="8439" max="8439" width="2.140625" style="1096" customWidth="1"/>
    <col min="8440" max="8440" width="11.5703125" style="1096" customWidth="1"/>
    <col min="8441" max="8441" width="7" style="1096" customWidth="1"/>
    <col min="8442" max="8442" width="1.28515625" style="1096" customWidth="1"/>
    <col min="8443" max="8443" width="1.140625" style="1096" customWidth="1"/>
    <col min="8444" max="8444" width="1" style="1096" customWidth="1"/>
    <col min="8445" max="8445" width="1.5703125" style="1096" customWidth="1"/>
    <col min="8446" max="8446" width="5.28515625" style="1096" customWidth="1"/>
    <col min="8447" max="8447" width="1.140625" style="1096" customWidth="1"/>
    <col min="8448" max="8448" width="11.85546875" style="1096" customWidth="1"/>
    <col min="8449" max="8450" width="1.140625" style="1096" customWidth="1"/>
    <col min="8451" max="8451" width="1" style="1096" customWidth="1"/>
    <col min="8452" max="8452" width="1.140625" style="1096" customWidth="1"/>
    <col min="8453" max="8453" width="2.85546875" style="1096" customWidth="1"/>
    <col min="8454" max="8454" width="2.140625" style="1096" customWidth="1"/>
    <col min="8455" max="8455" width="3.42578125" style="1096" customWidth="1"/>
    <col min="8456" max="8456" width="9" style="1096" customWidth="1"/>
    <col min="8457" max="8457" width="1.5703125" style="1096" customWidth="1"/>
    <col min="8458" max="8458" width="1" style="1096" customWidth="1"/>
    <col min="8459" max="8459" width="1.140625" style="1096" customWidth="1"/>
    <col min="8460" max="8674" width="6.85546875" style="1096" customWidth="1"/>
    <col min="8675" max="8675" width="1.140625" style="1096" customWidth="1"/>
    <col min="8676" max="8676" width="2" style="1096" customWidth="1"/>
    <col min="8677" max="8678" width="1.7109375" style="1096" customWidth="1"/>
    <col min="8679" max="8679" width="1.42578125" style="1096" customWidth="1"/>
    <col min="8680" max="8680" width="1.140625" style="1096" customWidth="1"/>
    <col min="8681" max="8681" width="1" style="1096" customWidth="1"/>
    <col min="8682" max="8682" width="4.85546875" style="1096" customWidth="1"/>
    <col min="8683" max="8683" width="2.7109375" style="1096" customWidth="1"/>
    <col min="8684" max="8684" width="1.42578125" style="1096" customWidth="1"/>
    <col min="8685" max="8685" width="2.5703125" style="1096" customWidth="1"/>
    <col min="8686" max="8686" width="3" style="1096" customWidth="1"/>
    <col min="8687" max="8687" width="6.7109375" style="1096" customWidth="1"/>
    <col min="8688" max="8688" width="4.28515625" style="1096" customWidth="1"/>
    <col min="8689" max="8689" width="3.42578125" style="1096" customWidth="1"/>
    <col min="8690" max="8690" width="1.28515625" style="1096" customWidth="1"/>
    <col min="8691" max="8691" width="1.5703125" style="1096" customWidth="1"/>
    <col min="8692" max="8692" width="2.28515625" style="1096" customWidth="1"/>
    <col min="8693" max="8693" width="1" style="1096" customWidth="1"/>
    <col min="8694" max="8694" width="1.42578125" style="1096" customWidth="1"/>
    <col min="8695" max="8695" width="2.140625" style="1096" customWidth="1"/>
    <col min="8696" max="8696" width="11.5703125" style="1096" customWidth="1"/>
    <col min="8697" max="8697" width="7" style="1096" customWidth="1"/>
    <col min="8698" max="8698" width="1.28515625" style="1096" customWidth="1"/>
    <col min="8699" max="8699" width="1.140625" style="1096" customWidth="1"/>
    <col min="8700" max="8700" width="1" style="1096" customWidth="1"/>
    <col min="8701" max="8701" width="1.5703125" style="1096" customWidth="1"/>
    <col min="8702" max="8702" width="5.28515625" style="1096" customWidth="1"/>
    <col min="8703" max="8703" width="1.140625" style="1096" customWidth="1"/>
    <col min="8704" max="8704" width="11.85546875" style="1096" customWidth="1"/>
    <col min="8705" max="8706" width="1.140625" style="1096" customWidth="1"/>
    <col min="8707" max="8707" width="1" style="1096" customWidth="1"/>
    <col min="8708" max="8708" width="1.140625" style="1096" customWidth="1"/>
    <col min="8709" max="8709" width="2.85546875" style="1096" customWidth="1"/>
    <col min="8710" max="8710" width="2.140625" style="1096" customWidth="1"/>
    <col min="8711" max="8711" width="3.42578125" style="1096" customWidth="1"/>
    <col min="8712" max="8712" width="9" style="1096" customWidth="1"/>
    <col min="8713" max="8713" width="1.5703125" style="1096" customWidth="1"/>
    <col min="8714" max="8714" width="1" style="1096" customWidth="1"/>
    <col min="8715" max="8715" width="1.140625" style="1096" customWidth="1"/>
    <col min="8716" max="8930" width="6.85546875" style="1096" customWidth="1"/>
    <col min="8931" max="8931" width="1.140625" style="1096" customWidth="1"/>
    <col min="8932" max="8932" width="2" style="1096" customWidth="1"/>
    <col min="8933" max="8934" width="1.7109375" style="1096" customWidth="1"/>
    <col min="8935" max="8935" width="1.42578125" style="1096" customWidth="1"/>
    <col min="8936" max="8936" width="1.140625" style="1096" customWidth="1"/>
    <col min="8937" max="8937" width="1" style="1096" customWidth="1"/>
    <col min="8938" max="8938" width="4.85546875" style="1096" customWidth="1"/>
    <col min="8939" max="8939" width="2.7109375" style="1096" customWidth="1"/>
    <col min="8940" max="8940" width="1.42578125" style="1096" customWidth="1"/>
    <col min="8941" max="8941" width="2.5703125" style="1096" customWidth="1"/>
    <col min="8942" max="8942" width="3" style="1096" customWidth="1"/>
    <col min="8943" max="8943" width="6.7109375" style="1096" customWidth="1"/>
    <col min="8944" max="8944" width="4.28515625" style="1096" customWidth="1"/>
    <col min="8945" max="8945" width="3.42578125" style="1096" customWidth="1"/>
    <col min="8946" max="8946" width="1.28515625" style="1096" customWidth="1"/>
    <col min="8947" max="8947" width="1.5703125" style="1096" customWidth="1"/>
    <col min="8948" max="8948" width="2.28515625" style="1096" customWidth="1"/>
    <col min="8949" max="8949" width="1" style="1096" customWidth="1"/>
    <col min="8950" max="8950" width="1.42578125" style="1096" customWidth="1"/>
    <col min="8951" max="8951" width="2.140625" style="1096" customWidth="1"/>
    <col min="8952" max="8952" width="11.5703125" style="1096" customWidth="1"/>
    <col min="8953" max="8953" width="7" style="1096" customWidth="1"/>
    <col min="8954" max="8954" width="1.28515625" style="1096" customWidth="1"/>
    <col min="8955" max="8955" width="1.140625" style="1096" customWidth="1"/>
    <col min="8956" max="8956" width="1" style="1096" customWidth="1"/>
    <col min="8957" max="8957" width="1.5703125" style="1096" customWidth="1"/>
    <col min="8958" max="8958" width="5.28515625" style="1096" customWidth="1"/>
    <col min="8959" max="8959" width="1.140625" style="1096" customWidth="1"/>
    <col min="8960" max="8960" width="11.85546875" style="1096" customWidth="1"/>
    <col min="8961" max="8962" width="1.140625" style="1096" customWidth="1"/>
    <col min="8963" max="8963" width="1" style="1096" customWidth="1"/>
    <col min="8964" max="8964" width="1.140625" style="1096" customWidth="1"/>
    <col min="8965" max="8965" width="2.85546875" style="1096" customWidth="1"/>
    <col min="8966" max="8966" width="2.140625" style="1096" customWidth="1"/>
    <col min="8967" max="8967" width="3.42578125" style="1096" customWidth="1"/>
    <col min="8968" max="8968" width="9" style="1096" customWidth="1"/>
    <col min="8969" max="8969" width="1.5703125" style="1096" customWidth="1"/>
    <col min="8970" max="8970" width="1" style="1096" customWidth="1"/>
    <col min="8971" max="8971" width="1.140625" style="1096" customWidth="1"/>
    <col min="8972" max="9186" width="6.85546875" style="1096" customWidth="1"/>
    <col min="9187" max="9187" width="1.140625" style="1096" customWidth="1"/>
    <col min="9188" max="9188" width="2" style="1096" customWidth="1"/>
    <col min="9189" max="9190" width="1.7109375" style="1096" customWidth="1"/>
    <col min="9191" max="9191" width="1.42578125" style="1096" customWidth="1"/>
    <col min="9192" max="9192" width="1.140625" style="1096" customWidth="1"/>
    <col min="9193" max="9193" width="1" style="1096" customWidth="1"/>
    <col min="9194" max="9194" width="4.85546875" style="1096" customWidth="1"/>
    <col min="9195" max="9195" width="2.7109375" style="1096" customWidth="1"/>
    <col min="9196" max="9196" width="1.42578125" style="1096" customWidth="1"/>
    <col min="9197" max="9197" width="2.5703125" style="1096" customWidth="1"/>
    <col min="9198" max="9198" width="3" style="1096" customWidth="1"/>
    <col min="9199" max="9199" width="6.7109375" style="1096" customWidth="1"/>
    <col min="9200" max="9200" width="4.28515625" style="1096" customWidth="1"/>
    <col min="9201" max="9201" width="3.42578125" style="1096" customWidth="1"/>
    <col min="9202" max="9202" width="1.28515625" style="1096" customWidth="1"/>
    <col min="9203" max="9203" width="1.5703125" style="1096" customWidth="1"/>
    <col min="9204" max="9204" width="2.28515625" style="1096" customWidth="1"/>
    <col min="9205" max="9205" width="1" style="1096" customWidth="1"/>
    <col min="9206" max="9206" width="1.42578125" style="1096" customWidth="1"/>
    <col min="9207" max="9207" width="2.140625" style="1096" customWidth="1"/>
    <col min="9208" max="9208" width="11.5703125" style="1096" customWidth="1"/>
    <col min="9209" max="9209" width="7" style="1096" customWidth="1"/>
    <col min="9210" max="9210" width="1.28515625" style="1096" customWidth="1"/>
    <col min="9211" max="9211" width="1.140625" style="1096" customWidth="1"/>
    <col min="9212" max="9212" width="1" style="1096" customWidth="1"/>
    <col min="9213" max="9213" width="1.5703125" style="1096" customWidth="1"/>
    <col min="9214" max="9214" width="5.28515625" style="1096" customWidth="1"/>
    <col min="9215" max="9215" width="1.140625" style="1096" customWidth="1"/>
    <col min="9216" max="9216" width="11.85546875" style="1096" customWidth="1"/>
    <col min="9217" max="9218" width="1.140625" style="1096" customWidth="1"/>
    <col min="9219" max="9219" width="1" style="1096" customWidth="1"/>
    <col min="9220" max="9220" width="1.140625" style="1096" customWidth="1"/>
    <col min="9221" max="9221" width="2.85546875" style="1096" customWidth="1"/>
    <col min="9222" max="9222" width="2.140625" style="1096" customWidth="1"/>
    <col min="9223" max="9223" width="3.42578125" style="1096" customWidth="1"/>
    <col min="9224" max="9224" width="9" style="1096" customWidth="1"/>
    <col min="9225" max="9225" width="1.5703125" style="1096" customWidth="1"/>
    <col min="9226" max="9226" width="1" style="1096" customWidth="1"/>
    <col min="9227" max="9227" width="1.140625" style="1096" customWidth="1"/>
    <col min="9228" max="9442" width="6.85546875" style="1096" customWidth="1"/>
    <col min="9443" max="9443" width="1.140625" style="1096" customWidth="1"/>
    <col min="9444" max="9444" width="2" style="1096" customWidth="1"/>
    <col min="9445" max="9446" width="1.7109375" style="1096" customWidth="1"/>
    <col min="9447" max="9447" width="1.42578125" style="1096" customWidth="1"/>
    <col min="9448" max="9448" width="1.140625" style="1096" customWidth="1"/>
    <col min="9449" max="9449" width="1" style="1096" customWidth="1"/>
    <col min="9450" max="9450" width="4.85546875" style="1096" customWidth="1"/>
    <col min="9451" max="9451" width="2.7109375" style="1096" customWidth="1"/>
    <col min="9452" max="9452" width="1.42578125" style="1096" customWidth="1"/>
    <col min="9453" max="9453" width="2.5703125" style="1096" customWidth="1"/>
    <col min="9454" max="9454" width="3" style="1096" customWidth="1"/>
    <col min="9455" max="9455" width="6.7109375" style="1096" customWidth="1"/>
    <col min="9456" max="9456" width="4.28515625" style="1096" customWidth="1"/>
    <col min="9457" max="9457" width="3.42578125" style="1096" customWidth="1"/>
    <col min="9458" max="9458" width="1.28515625" style="1096" customWidth="1"/>
    <col min="9459" max="9459" width="1.5703125" style="1096" customWidth="1"/>
    <col min="9460" max="9460" width="2.28515625" style="1096" customWidth="1"/>
    <col min="9461" max="9461" width="1" style="1096" customWidth="1"/>
    <col min="9462" max="9462" width="1.42578125" style="1096" customWidth="1"/>
    <col min="9463" max="9463" width="2.140625" style="1096" customWidth="1"/>
    <col min="9464" max="9464" width="11.5703125" style="1096" customWidth="1"/>
    <col min="9465" max="9465" width="7" style="1096" customWidth="1"/>
    <col min="9466" max="9466" width="1.28515625" style="1096" customWidth="1"/>
    <col min="9467" max="9467" width="1.140625" style="1096" customWidth="1"/>
    <col min="9468" max="9468" width="1" style="1096" customWidth="1"/>
    <col min="9469" max="9469" width="1.5703125" style="1096" customWidth="1"/>
    <col min="9470" max="9470" width="5.28515625" style="1096" customWidth="1"/>
    <col min="9471" max="9471" width="1.140625" style="1096" customWidth="1"/>
    <col min="9472" max="9472" width="11.85546875" style="1096" customWidth="1"/>
    <col min="9473" max="9474" width="1.140625" style="1096" customWidth="1"/>
    <col min="9475" max="9475" width="1" style="1096" customWidth="1"/>
    <col min="9476" max="9476" width="1.140625" style="1096" customWidth="1"/>
    <col min="9477" max="9477" width="2.85546875" style="1096" customWidth="1"/>
    <col min="9478" max="9478" width="2.140625" style="1096" customWidth="1"/>
    <col min="9479" max="9479" width="3.42578125" style="1096" customWidth="1"/>
    <col min="9480" max="9480" width="9" style="1096" customWidth="1"/>
    <col min="9481" max="9481" width="1.5703125" style="1096" customWidth="1"/>
    <col min="9482" max="9482" width="1" style="1096" customWidth="1"/>
    <col min="9483" max="9483" width="1.140625" style="1096" customWidth="1"/>
    <col min="9484" max="9698" width="6.85546875" style="1096" customWidth="1"/>
    <col min="9699" max="9699" width="1.140625" style="1096" customWidth="1"/>
    <col min="9700" max="9700" width="2" style="1096" customWidth="1"/>
    <col min="9701" max="9702" width="1.7109375" style="1096" customWidth="1"/>
    <col min="9703" max="9703" width="1.42578125" style="1096" customWidth="1"/>
    <col min="9704" max="9704" width="1.140625" style="1096" customWidth="1"/>
    <col min="9705" max="9705" width="1" style="1096" customWidth="1"/>
    <col min="9706" max="9706" width="4.85546875" style="1096" customWidth="1"/>
    <col min="9707" max="9707" width="2.7109375" style="1096" customWidth="1"/>
    <col min="9708" max="9708" width="1.42578125" style="1096" customWidth="1"/>
    <col min="9709" max="9709" width="2.5703125" style="1096" customWidth="1"/>
    <col min="9710" max="9710" width="3" style="1096" customWidth="1"/>
    <col min="9711" max="9711" width="6.7109375" style="1096" customWidth="1"/>
    <col min="9712" max="9712" width="4.28515625" style="1096" customWidth="1"/>
    <col min="9713" max="9713" width="3.42578125" style="1096" customWidth="1"/>
    <col min="9714" max="9714" width="1.28515625" style="1096" customWidth="1"/>
    <col min="9715" max="9715" width="1.5703125" style="1096" customWidth="1"/>
    <col min="9716" max="9716" width="2.28515625" style="1096" customWidth="1"/>
    <col min="9717" max="9717" width="1" style="1096" customWidth="1"/>
    <col min="9718" max="9718" width="1.42578125" style="1096" customWidth="1"/>
    <col min="9719" max="9719" width="2.140625" style="1096" customWidth="1"/>
    <col min="9720" max="9720" width="11.5703125" style="1096" customWidth="1"/>
    <col min="9721" max="9721" width="7" style="1096" customWidth="1"/>
    <col min="9722" max="9722" width="1.28515625" style="1096" customWidth="1"/>
    <col min="9723" max="9723" width="1.140625" style="1096" customWidth="1"/>
    <col min="9724" max="9724" width="1" style="1096" customWidth="1"/>
    <col min="9725" max="9725" width="1.5703125" style="1096" customWidth="1"/>
    <col min="9726" max="9726" width="5.28515625" style="1096" customWidth="1"/>
    <col min="9727" max="9727" width="1.140625" style="1096" customWidth="1"/>
    <col min="9728" max="9728" width="11.85546875" style="1096" customWidth="1"/>
    <col min="9729" max="9730" width="1.140625" style="1096" customWidth="1"/>
    <col min="9731" max="9731" width="1" style="1096" customWidth="1"/>
    <col min="9732" max="9732" width="1.140625" style="1096" customWidth="1"/>
    <col min="9733" max="9733" width="2.85546875" style="1096" customWidth="1"/>
    <col min="9734" max="9734" width="2.140625" style="1096" customWidth="1"/>
    <col min="9735" max="9735" width="3.42578125" style="1096" customWidth="1"/>
    <col min="9736" max="9736" width="9" style="1096" customWidth="1"/>
    <col min="9737" max="9737" width="1.5703125" style="1096" customWidth="1"/>
    <col min="9738" max="9738" width="1" style="1096" customWidth="1"/>
    <col min="9739" max="9739" width="1.140625" style="1096" customWidth="1"/>
    <col min="9740" max="9954" width="6.85546875" style="1096" customWidth="1"/>
    <col min="9955" max="9955" width="1.140625" style="1096" customWidth="1"/>
    <col min="9956" max="9956" width="2" style="1096" customWidth="1"/>
    <col min="9957" max="9958" width="1.7109375" style="1096" customWidth="1"/>
    <col min="9959" max="9959" width="1.42578125" style="1096" customWidth="1"/>
    <col min="9960" max="9960" width="1.140625" style="1096" customWidth="1"/>
    <col min="9961" max="9961" width="1" style="1096" customWidth="1"/>
    <col min="9962" max="9962" width="4.85546875" style="1096" customWidth="1"/>
    <col min="9963" max="9963" width="2.7109375" style="1096" customWidth="1"/>
    <col min="9964" max="9964" width="1.42578125" style="1096" customWidth="1"/>
    <col min="9965" max="9965" width="2.5703125" style="1096" customWidth="1"/>
    <col min="9966" max="9966" width="3" style="1096" customWidth="1"/>
    <col min="9967" max="9967" width="6.7109375" style="1096" customWidth="1"/>
    <col min="9968" max="9968" width="4.28515625" style="1096" customWidth="1"/>
    <col min="9969" max="9969" width="3.42578125" style="1096" customWidth="1"/>
    <col min="9970" max="9970" width="1.28515625" style="1096" customWidth="1"/>
    <col min="9971" max="9971" width="1.5703125" style="1096" customWidth="1"/>
    <col min="9972" max="9972" width="2.28515625" style="1096" customWidth="1"/>
    <col min="9973" max="9973" width="1" style="1096" customWidth="1"/>
    <col min="9974" max="9974" width="1.42578125" style="1096" customWidth="1"/>
    <col min="9975" max="9975" width="2.140625" style="1096" customWidth="1"/>
    <col min="9976" max="9976" width="11.5703125" style="1096" customWidth="1"/>
    <col min="9977" max="9977" width="7" style="1096" customWidth="1"/>
    <col min="9978" max="9978" width="1.28515625" style="1096" customWidth="1"/>
    <col min="9979" max="9979" width="1.140625" style="1096" customWidth="1"/>
    <col min="9980" max="9980" width="1" style="1096" customWidth="1"/>
    <col min="9981" max="9981" width="1.5703125" style="1096" customWidth="1"/>
    <col min="9982" max="9982" width="5.28515625" style="1096" customWidth="1"/>
    <col min="9983" max="9983" width="1.140625" style="1096" customWidth="1"/>
    <col min="9984" max="9984" width="11.85546875" style="1096" customWidth="1"/>
    <col min="9985" max="9986" width="1.140625" style="1096" customWidth="1"/>
    <col min="9987" max="9987" width="1" style="1096" customWidth="1"/>
    <col min="9988" max="9988" width="1.140625" style="1096" customWidth="1"/>
    <col min="9989" max="9989" width="2.85546875" style="1096" customWidth="1"/>
    <col min="9990" max="9990" width="2.140625" style="1096" customWidth="1"/>
    <col min="9991" max="9991" width="3.42578125" style="1096" customWidth="1"/>
    <col min="9992" max="9992" width="9" style="1096" customWidth="1"/>
    <col min="9993" max="9993" width="1.5703125" style="1096" customWidth="1"/>
    <col min="9994" max="9994" width="1" style="1096" customWidth="1"/>
    <col min="9995" max="9995" width="1.140625" style="1096" customWidth="1"/>
    <col min="9996" max="10210" width="6.85546875" style="1096" customWidth="1"/>
    <col min="10211" max="10211" width="1.140625" style="1096" customWidth="1"/>
    <col min="10212" max="10212" width="2" style="1096" customWidth="1"/>
    <col min="10213" max="10214" width="1.7109375" style="1096" customWidth="1"/>
    <col min="10215" max="10215" width="1.42578125" style="1096" customWidth="1"/>
    <col min="10216" max="10216" width="1.140625" style="1096" customWidth="1"/>
    <col min="10217" max="10217" width="1" style="1096" customWidth="1"/>
    <col min="10218" max="10218" width="4.85546875" style="1096" customWidth="1"/>
    <col min="10219" max="10219" width="2.7109375" style="1096" customWidth="1"/>
    <col min="10220" max="10220" width="1.42578125" style="1096" customWidth="1"/>
    <col min="10221" max="10221" width="2.5703125" style="1096" customWidth="1"/>
    <col min="10222" max="10222" width="3" style="1096" customWidth="1"/>
    <col min="10223" max="10223" width="6.7109375" style="1096" customWidth="1"/>
    <col min="10224" max="10224" width="4.28515625" style="1096" customWidth="1"/>
    <col min="10225" max="10225" width="3.42578125" style="1096" customWidth="1"/>
    <col min="10226" max="10226" width="1.28515625" style="1096" customWidth="1"/>
    <col min="10227" max="10227" width="1.5703125" style="1096" customWidth="1"/>
    <col min="10228" max="10228" width="2.28515625" style="1096" customWidth="1"/>
    <col min="10229" max="10229" width="1" style="1096" customWidth="1"/>
    <col min="10230" max="10230" width="1.42578125" style="1096" customWidth="1"/>
    <col min="10231" max="10231" width="2.140625" style="1096" customWidth="1"/>
    <col min="10232" max="10232" width="11.5703125" style="1096" customWidth="1"/>
    <col min="10233" max="10233" width="7" style="1096" customWidth="1"/>
    <col min="10234" max="10234" width="1.28515625" style="1096" customWidth="1"/>
    <col min="10235" max="10235" width="1.140625" style="1096" customWidth="1"/>
    <col min="10236" max="10236" width="1" style="1096" customWidth="1"/>
    <col min="10237" max="10237" width="1.5703125" style="1096" customWidth="1"/>
    <col min="10238" max="10238" width="5.28515625" style="1096" customWidth="1"/>
    <col min="10239" max="10239" width="1.140625" style="1096" customWidth="1"/>
    <col min="10240" max="10240" width="11.85546875" style="1096" customWidth="1"/>
    <col min="10241" max="10242" width="1.140625" style="1096" customWidth="1"/>
    <col min="10243" max="10243" width="1" style="1096" customWidth="1"/>
    <col min="10244" max="10244" width="1.140625" style="1096" customWidth="1"/>
    <col min="10245" max="10245" width="2.85546875" style="1096" customWidth="1"/>
    <col min="10246" max="10246" width="2.140625" style="1096" customWidth="1"/>
    <col min="10247" max="10247" width="3.42578125" style="1096" customWidth="1"/>
    <col min="10248" max="10248" width="9" style="1096" customWidth="1"/>
    <col min="10249" max="10249" width="1.5703125" style="1096" customWidth="1"/>
    <col min="10250" max="10250" width="1" style="1096" customWidth="1"/>
    <col min="10251" max="10251" width="1.140625" style="1096" customWidth="1"/>
    <col min="10252" max="10466" width="6.85546875" style="1096" customWidth="1"/>
    <col min="10467" max="10467" width="1.140625" style="1096" customWidth="1"/>
    <col min="10468" max="10468" width="2" style="1096" customWidth="1"/>
    <col min="10469" max="10470" width="1.7109375" style="1096" customWidth="1"/>
    <col min="10471" max="10471" width="1.42578125" style="1096" customWidth="1"/>
    <col min="10472" max="10472" width="1.140625" style="1096" customWidth="1"/>
    <col min="10473" max="10473" width="1" style="1096" customWidth="1"/>
    <col min="10474" max="10474" width="4.85546875" style="1096" customWidth="1"/>
    <col min="10475" max="10475" width="2.7109375" style="1096" customWidth="1"/>
    <col min="10476" max="10476" width="1.42578125" style="1096" customWidth="1"/>
    <col min="10477" max="10477" width="2.5703125" style="1096" customWidth="1"/>
    <col min="10478" max="10478" width="3" style="1096" customWidth="1"/>
    <col min="10479" max="10479" width="6.7109375" style="1096" customWidth="1"/>
    <col min="10480" max="10480" width="4.28515625" style="1096" customWidth="1"/>
    <col min="10481" max="10481" width="3.42578125" style="1096" customWidth="1"/>
    <col min="10482" max="10482" width="1.28515625" style="1096" customWidth="1"/>
    <col min="10483" max="10483" width="1.5703125" style="1096" customWidth="1"/>
    <col min="10484" max="10484" width="2.28515625" style="1096" customWidth="1"/>
    <col min="10485" max="10485" width="1" style="1096" customWidth="1"/>
    <col min="10486" max="10486" width="1.42578125" style="1096" customWidth="1"/>
    <col min="10487" max="10487" width="2.140625" style="1096" customWidth="1"/>
    <col min="10488" max="10488" width="11.5703125" style="1096" customWidth="1"/>
    <col min="10489" max="10489" width="7" style="1096" customWidth="1"/>
    <col min="10490" max="10490" width="1.28515625" style="1096" customWidth="1"/>
    <col min="10491" max="10491" width="1.140625" style="1096" customWidth="1"/>
    <col min="10492" max="10492" width="1" style="1096" customWidth="1"/>
    <col min="10493" max="10493" width="1.5703125" style="1096" customWidth="1"/>
    <col min="10494" max="10494" width="5.28515625" style="1096" customWidth="1"/>
    <col min="10495" max="10495" width="1.140625" style="1096" customWidth="1"/>
    <col min="10496" max="10496" width="11.85546875" style="1096" customWidth="1"/>
    <col min="10497" max="10498" width="1.140625" style="1096" customWidth="1"/>
    <col min="10499" max="10499" width="1" style="1096" customWidth="1"/>
    <col min="10500" max="10500" width="1.140625" style="1096" customWidth="1"/>
    <col min="10501" max="10501" width="2.85546875" style="1096" customWidth="1"/>
    <col min="10502" max="10502" width="2.140625" style="1096" customWidth="1"/>
    <col min="10503" max="10503" width="3.42578125" style="1096" customWidth="1"/>
    <col min="10504" max="10504" width="9" style="1096" customWidth="1"/>
    <col min="10505" max="10505" width="1.5703125" style="1096" customWidth="1"/>
    <col min="10506" max="10506" width="1" style="1096" customWidth="1"/>
    <col min="10507" max="10507" width="1.140625" style="1096" customWidth="1"/>
    <col min="10508" max="10722" width="6.85546875" style="1096" customWidth="1"/>
    <col min="10723" max="10723" width="1.140625" style="1096" customWidth="1"/>
    <col min="10724" max="10724" width="2" style="1096" customWidth="1"/>
    <col min="10725" max="10726" width="1.7109375" style="1096" customWidth="1"/>
    <col min="10727" max="10727" width="1.42578125" style="1096" customWidth="1"/>
    <col min="10728" max="10728" width="1.140625" style="1096" customWidth="1"/>
    <col min="10729" max="10729" width="1" style="1096" customWidth="1"/>
    <col min="10730" max="10730" width="4.85546875" style="1096" customWidth="1"/>
    <col min="10731" max="10731" width="2.7109375" style="1096" customWidth="1"/>
    <col min="10732" max="10732" width="1.42578125" style="1096" customWidth="1"/>
    <col min="10733" max="10733" width="2.5703125" style="1096" customWidth="1"/>
    <col min="10734" max="10734" width="3" style="1096" customWidth="1"/>
    <col min="10735" max="10735" width="6.7109375" style="1096" customWidth="1"/>
    <col min="10736" max="10736" width="4.28515625" style="1096" customWidth="1"/>
    <col min="10737" max="10737" width="3.42578125" style="1096" customWidth="1"/>
    <col min="10738" max="10738" width="1.28515625" style="1096" customWidth="1"/>
    <col min="10739" max="10739" width="1.5703125" style="1096" customWidth="1"/>
    <col min="10740" max="10740" width="2.28515625" style="1096" customWidth="1"/>
    <col min="10741" max="10741" width="1" style="1096" customWidth="1"/>
    <col min="10742" max="10742" width="1.42578125" style="1096" customWidth="1"/>
    <col min="10743" max="10743" width="2.140625" style="1096" customWidth="1"/>
    <col min="10744" max="10744" width="11.5703125" style="1096" customWidth="1"/>
    <col min="10745" max="10745" width="7" style="1096" customWidth="1"/>
    <col min="10746" max="10746" width="1.28515625" style="1096" customWidth="1"/>
    <col min="10747" max="10747" width="1.140625" style="1096" customWidth="1"/>
    <col min="10748" max="10748" width="1" style="1096" customWidth="1"/>
    <col min="10749" max="10749" width="1.5703125" style="1096" customWidth="1"/>
    <col min="10750" max="10750" width="5.28515625" style="1096" customWidth="1"/>
    <col min="10751" max="10751" width="1.140625" style="1096" customWidth="1"/>
    <col min="10752" max="10752" width="11.85546875" style="1096" customWidth="1"/>
    <col min="10753" max="10754" width="1.140625" style="1096" customWidth="1"/>
    <col min="10755" max="10755" width="1" style="1096" customWidth="1"/>
    <col min="10756" max="10756" width="1.140625" style="1096" customWidth="1"/>
    <col min="10757" max="10757" width="2.85546875" style="1096" customWidth="1"/>
    <col min="10758" max="10758" width="2.140625" style="1096" customWidth="1"/>
    <col min="10759" max="10759" width="3.42578125" style="1096" customWidth="1"/>
    <col min="10760" max="10760" width="9" style="1096" customWidth="1"/>
    <col min="10761" max="10761" width="1.5703125" style="1096" customWidth="1"/>
    <col min="10762" max="10762" width="1" style="1096" customWidth="1"/>
    <col min="10763" max="10763" width="1.140625" style="1096" customWidth="1"/>
    <col min="10764" max="10978" width="6.85546875" style="1096" customWidth="1"/>
    <col min="10979" max="10979" width="1.140625" style="1096" customWidth="1"/>
    <col min="10980" max="10980" width="2" style="1096" customWidth="1"/>
    <col min="10981" max="10982" width="1.7109375" style="1096" customWidth="1"/>
    <col min="10983" max="10983" width="1.42578125" style="1096" customWidth="1"/>
    <col min="10984" max="10984" width="1.140625" style="1096" customWidth="1"/>
    <col min="10985" max="10985" width="1" style="1096" customWidth="1"/>
    <col min="10986" max="10986" width="4.85546875" style="1096" customWidth="1"/>
    <col min="10987" max="10987" width="2.7109375" style="1096" customWidth="1"/>
    <col min="10988" max="10988" width="1.42578125" style="1096" customWidth="1"/>
    <col min="10989" max="10989" width="2.5703125" style="1096" customWidth="1"/>
    <col min="10990" max="10990" width="3" style="1096" customWidth="1"/>
    <col min="10991" max="10991" width="6.7109375" style="1096" customWidth="1"/>
    <col min="10992" max="10992" width="4.28515625" style="1096" customWidth="1"/>
    <col min="10993" max="10993" width="3.42578125" style="1096" customWidth="1"/>
    <col min="10994" max="10994" width="1.28515625" style="1096" customWidth="1"/>
    <col min="10995" max="10995" width="1.5703125" style="1096" customWidth="1"/>
    <col min="10996" max="10996" width="2.28515625" style="1096" customWidth="1"/>
    <col min="10997" max="10997" width="1" style="1096" customWidth="1"/>
    <col min="10998" max="10998" width="1.42578125" style="1096" customWidth="1"/>
    <col min="10999" max="10999" width="2.140625" style="1096" customWidth="1"/>
    <col min="11000" max="11000" width="11.5703125" style="1096" customWidth="1"/>
    <col min="11001" max="11001" width="7" style="1096" customWidth="1"/>
    <col min="11002" max="11002" width="1.28515625" style="1096" customWidth="1"/>
    <col min="11003" max="11003" width="1.140625" style="1096" customWidth="1"/>
    <col min="11004" max="11004" width="1" style="1096" customWidth="1"/>
    <col min="11005" max="11005" width="1.5703125" style="1096" customWidth="1"/>
    <col min="11006" max="11006" width="5.28515625" style="1096" customWidth="1"/>
    <col min="11007" max="11007" width="1.140625" style="1096" customWidth="1"/>
    <col min="11008" max="11008" width="11.85546875" style="1096" customWidth="1"/>
    <col min="11009" max="11010" width="1.140625" style="1096" customWidth="1"/>
    <col min="11011" max="11011" width="1" style="1096" customWidth="1"/>
    <col min="11012" max="11012" width="1.140625" style="1096" customWidth="1"/>
    <col min="11013" max="11013" width="2.85546875" style="1096" customWidth="1"/>
    <col min="11014" max="11014" width="2.140625" style="1096" customWidth="1"/>
    <col min="11015" max="11015" width="3.42578125" style="1096" customWidth="1"/>
    <col min="11016" max="11016" width="9" style="1096" customWidth="1"/>
    <col min="11017" max="11017" width="1.5703125" style="1096" customWidth="1"/>
    <col min="11018" max="11018" width="1" style="1096" customWidth="1"/>
    <col min="11019" max="11019" width="1.140625" style="1096" customWidth="1"/>
    <col min="11020" max="11234" width="6.85546875" style="1096" customWidth="1"/>
    <col min="11235" max="11235" width="1.140625" style="1096" customWidth="1"/>
    <col min="11236" max="11236" width="2" style="1096" customWidth="1"/>
    <col min="11237" max="11238" width="1.7109375" style="1096" customWidth="1"/>
    <col min="11239" max="11239" width="1.42578125" style="1096" customWidth="1"/>
    <col min="11240" max="11240" width="1.140625" style="1096" customWidth="1"/>
    <col min="11241" max="11241" width="1" style="1096" customWidth="1"/>
    <col min="11242" max="11242" width="4.85546875" style="1096" customWidth="1"/>
    <col min="11243" max="11243" width="2.7109375" style="1096" customWidth="1"/>
    <col min="11244" max="11244" width="1.42578125" style="1096" customWidth="1"/>
    <col min="11245" max="11245" width="2.5703125" style="1096" customWidth="1"/>
    <col min="11246" max="11246" width="3" style="1096" customWidth="1"/>
    <col min="11247" max="11247" width="6.7109375" style="1096" customWidth="1"/>
    <col min="11248" max="11248" width="4.28515625" style="1096" customWidth="1"/>
    <col min="11249" max="11249" width="3.42578125" style="1096" customWidth="1"/>
    <col min="11250" max="11250" width="1.28515625" style="1096" customWidth="1"/>
    <col min="11251" max="11251" width="1.5703125" style="1096" customWidth="1"/>
    <col min="11252" max="11252" width="2.28515625" style="1096" customWidth="1"/>
    <col min="11253" max="11253" width="1" style="1096" customWidth="1"/>
    <col min="11254" max="11254" width="1.42578125" style="1096" customWidth="1"/>
    <col min="11255" max="11255" width="2.140625" style="1096" customWidth="1"/>
    <col min="11256" max="11256" width="11.5703125" style="1096" customWidth="1"/>
    <col min="11257" max="11257" width="7" style="1096" customWidth="1"/>
    <col min="11258" max="11258" width="1.28515625" style="1096" customWidth="1"/>
    <col min="11259" max="11259" width="1.140625" style="1096" customWidth="1"/>
    <col min="11260" max="11260" width="1" style="1096" customWidth="1"/>
    <col min="11261" max="11261" width="1.5703125" style="1096" customWidth="1"/>
    <col min="11262" max="11262" width="5.28515625" style="1096" customWidth="1"/>
    <col min="11263" max="11263" width="1.140625" style="1096" customWidth="1"/>
    <col min="11264" max="11264" width="11.85546875" style="1096" customWidth="1"/>
    <col min="11265" max="11266" width="1.140625" style="1096" customWidth="1"/>
    <col min="11267" max="11267" width="1" style="1096" customWidth="1"/>
    <col min="11268" max="11268" width="1.140625" style="1096" customWidth="1"/>
    <col min="11269" max="11269" width="2.85546875" style="1096" customWidth="1"/>
    <col min="11270" max="11270" width="2.140625" style="1096" customWidth="1"/>
    <col min="11271" max="11271" width="3.42578125" style="1096" customWidth="1"/>
    <col min="11272" max="11272" width="9" style="1096" customWidth="1"/>
    <col min="11273" max="11273" width="1.5703125" style="1096" customWidth="1"/>
    <col min="11274" max="11274" width="1" style="1096" customWidth="1"/>
    <col min="11275" max="11275" width="1.140625" style="1096" customWidth="1"/>
    <col min="11276" max="11490" width="6.85546875" style="1096" customWidth="1"/>
    <col min="11491" max="11491" width="1.140625" style="1096" customWidth="1"/>
    <col min="11492" max="11492" width="2" style="1096" customWidth="1"/>
    <col min="11493" max="11494" width="1.7109375" style="1096" customWidth="1"/>
    <col min="11495" max="11495" width="1.42578125" style="1096" customWidth="1"/>
    <col min="11496" max="11496" width="1.140625" style="1096" customWidth="1"/>
    <col min="11497" max="11497" width="1" style="1096" customWidth="1"/>
    <col min="11498" max="11498" width="4.85546875" style="1096" customWidth="1"/>
    <col min="11499" max="11499" width="2.7109375" style="1096" customWidth="1"/>
    <col min="11500" max="11500" width="1.42578125" style="1096" customWidth="1"/>
    <col min="11501" max="11501" width="2.5703125" style="1096" customWidth="1"/>
    <col min="11502" max="11502" width="3" style="1096" customWidth="1"/>
    <col min="11503" max="11503" width="6.7109375" style="1096" customWidth="1"/>
    <col min="11504" max="11504" width="4.28515625" style="1096" customWidth="1"/>
    <col min="11505" max="11505" width="3.42578125" style="1096" customWidth="1"/>
    <col min="11506" max="11506" width="1.28515625" style="1096" customWidth="1"/>
    <col min="11507" max="11507" width="1.5703125" style="1096" customWidth="1"/>
    <col min="11508" max="11508" width="2.28515625" style="1096" customWidth="1"/>
    <col min="11509" max="11509" width="1" style="1096" customWidth="1"/>
    <col min="11510" max="11510" width="1.42578125" style="1096" customWidth="1"/>
    <col min="11511" max="11511" width="2.140625" style="1096" customWidth="1"/>
    <col min="11512" max="11512" width="11.5703125" style="1096" customWidth="1"/>
    <col min="11513" max="11513" width="7" style="1096" customWidth="1"/>
    <col min="11514" max="11514" width="1.28515625" style="1096" customWidth="1"/>
    <col min="11515" max="11515" width="1.140625" style="1096" customWidth="1"/>
    <col min="11516" max="11516" width="1" style="1096" customWidth="1"/>
    <col min="11517" max="11517" width="1.5703125" style="1096" customWidth="1"/>
    <col min="11518" max="11518" width="5.28515625" style="1096" customWidth="1"/>
    <col min="11519" max="11519" width="1.140625" style="1096" customWidth="1"/>
    <col min="11520" max="11520" width="11.85546875" style="1096" customWidth="1"/>
    <col min="11521" max="11522" width="1.140625" style="1096" customWidth="1"/>
    <col min="11523" max="11523" width="1" style="1096" customWidth="1"/>
    <col min="11524" max="11524" width="1.140625" style="1096" customWidth="1"/>
    <col min="11525" max="11525" width="2.85546875" style="1096" customWidth="1"/>
    <col min="11526" max="11526" width="2.140625" style="1096" customWidth="1"/>
    <col min="11527" max="11527" width="3.42578125" style="1096" customWidth="1"/>
    <col min="11528" max="11528" width="9" style="1096" customWidth="1"/>
    <col min="11529" max="11529" width="1.5703125" style="1096" customWidth="1"/>
    <col min="11530" max="11530" width="1" style="1096" customWidth="1"/>
    <col min="11531" max="11531" width="1.140625" style="1096" customWidth="1"/>
    <col min="11532" max="11746" width="6.85546875" style="1096" customWidth="1"/>
    <col min="11747" max="11747" width="1.140625" style="1096" customWidth="1"/>
    <col min="11748" max="11748" width="2" style="1096" customWidth="1"/>
    <col min="11749" max="11750" width="1.7109375" style="1096" customWidth="1"/>
    <col min="11751" max="11751" width="1.42578125" style="1096" customWidth="1"/>
    <col min="11752" max="11752" width="1.140625" style="1096" customWidth="1"/>
    <col min="11753" max="11753" width="1" style="1096" customWidth="1"/>
    <col min="11754" max="11754" width="4.85546875" style="1096" customWidth="1"/>
    <col min="11755" max="11755" width="2.7109375" style="1096" customWidth="1"/>
    <col min="11756" max="11756" width="1.42578125" style="1096" customWidth="1"/>
    <col min="11757" max="11757" width="2.5703125" style="1096" customWidth="1"/>
    <col min="11758" max="11758" width="3" style="1096" customWidth="1"/>
    <col min="11759" max="11759" width="6.7109375" style="1096" customWidth="1"/>
    <col min="11760" max="11760" width="4.28515625" style="1096" customWidth="1"/>
    <col min="11761" max="11761" width="3.42578125" style="1096" customWidth="1"/>
    <col min="11762" max="11762" width="1.28515625" style="1096" customWidth="1"/>
    <col min="11763" max="11763" width="1.5703125" style="1096" customWidth="1"/>
    <col min="11764" max="11764" width="2.28515625" style="1096" customWidth="1"/>
    <col min="11765" max="11765" width="1" style="1096" customWidth="1"/>
    <col min="11766" max="11766" width="1.42578125" style="1096" customWidth="1"/>
    <col min="11767" max="11767" width="2.140625" style="1096" customWidth="1"/>
    <col min="11768" max="11768" width="11.5703125" style="1096" customWidth="1"/>
    <col min="11769" max="11769" width="7" style="1096" customWidth="1"/>
    <col min="11770" max="11770" width="1.28515625" style="1096" customWidth="1"/>
    <col min="11771" max="11771" width="1.140625" style="1096" customWidth="1"/>
    <col min="11772" max="11772" width="1" style="1096" customWidth="1"/>
    <col min="11773" max="11773" width="1.5703125" style="1096" customWidth="1"/>
    <col min="11774" max="11774" width="5.28515625" style="1096" customWidth="1"/>
    <col min="11775" max="11775" width="1.140625" style="1096" customWidth="1"/>
    <col min="11776" max="11776" width="11.85546875" style="1096" customWidth="1"/>
    <col min="11777" max="11778" width="1.140625" style="1096" customWidth="1"/>
    <col min="11779" max="11779" width="1" style="1096" customWidth="1"/>
    <col min="11780" max="11780" width="1.140625" style="1096" customWidth="1"/>
    <col min="11781" max="11781" width="2.85546875" style="1096" customWidth="1"/>
    <col min="11782" max="11782" width="2.140625" style="1096" customWidth="1"/>
    <col min="11783" max="11783" width="3.42578125" style="1096" customWidth="1"/>
    <col min="11784" max="11784" width="9" style="1096" customWidth="1"/>
    <col min="11785" max="11785" width="1.5703125" style="1096" customWidth="1"/>
    <col min="11786" max="11786" width="1" style="1096" customWidth="1"/>
    <col min="11787" max="11787" width="1.140625" style="1096" customWidth="1"/>
    <col min="11788" max="12002" width="6.85546875" style="1096" customWidth="1"/>
    <col min="12003" max="12003" width="1.140625" style="1096" customWidth="1"/>
    <col min="12004" max="12004" width="2" style="1096" customWidth="1"/>
    <col min="12005" max="12006" width="1.7109375" style="1096" customWidth="1"/>
    <col min="12007" max="12007" width="1.42578125" style="1096" customWidth="1"/>
    <col min="12008" max="12008" width="1.140625" style="1096" customWidth="1"/>
    <col min="12009" max="12009" width="1" style="1096" customWidth="1"/>
    <col min="12010" max="12010" width="4.85546875" style="1096" customWidth="1"/>
    <col min="12011" max="12011" width="2.7109375" style="1096" customWidth="1"/>
    <col min="12012" max="12012" width="1.42578125" style="1096" customWidth="1"/>
    <col min="12013" max="12013" width="2.5703125" style="1096" customWidth="1"/>
    <col min="12014" max="12014" width="3" style="1096" customWidth="1"/>
    <col min="12015" max="12015" width="6.7109375" style="1096" customWidth="1"/>
    <col min="12016" max="12016" width="4.28515625" style="1096" customWidth="1"/>
    <col min="12017" max="12017" width="3.42578125" style="1096" customWidth="1"/>
    <col min="12018" max="12018" width="1.28515625" style="1096" customWidth="1"/>
    <col min="12019" max="12019" width="1.5703125" style="1096" customWidth="1"/>
    <col min="12020" max="12020" width="2.28515625" style="1096" customWidth="1"/>
    <col min="12021" max="12021" width="1" style="1096" customWidth="1"/>
    <col min="12022" max="12022" width="1.42578125" style="1096" customWidth="1"/>
    <col min="12023" max="12023" width="2.140625" style="1096" customWidth="1"/>
    <col min="12024" max="12024" width="11.5703125" style="1096" customWidth="1"/>
    <col min="12025" max="12025" width="7" style="1096" customWidth="1"/>
    <col min="12026" max="12026" width="1.28515625" style="1096" customWidth="1"/>
    <col min="12027" max="12027" width="1.140625" style="1096" customWidth="1"/>
    <col min="12028" max="12028" width="1" style="1096" customWidth="1"/>
    <col min="12029" max="12029" width="1.5703125" style="1096" customWidth="1"/>
    <col min="12030" max="12030" width="5.28515625" style="1096" customWidth="1"/>
    <col min="12031" max="12031" width="1.140625" style="1096" customWidth="1"/>
    <col min="12032" max="12032" width="11.85546875" style="1096" customWidth="1"/>
    <col min="12033" max="12034" width="1.140625" style="1096" customWidth="1"/>
    <col min="12035" max="12035" width="1" style="1096" customWidth="1"/>
    <col min="12036" max="12036" width="1.140625" style="1096" customWidth="1"/>
    <col min="12037" max="12037" width="2.85546875" style="1096" customWidth="1"/>
    <col min="12038" max="12038" width="2.140625" style="1096" customWidth="1"/>
    <col min="12039" max="12039" width="3.42578125" style="1096" customWidth="1"/>
    <col min="12040" max="12040" width="9" style="1096" customWidth="1"/>
    <col min="12041" max="12041" width="1.5703125" style="1096" customWidth="1"/>
    <col min="12042" max="12042" width="1" style="1096" customWidth="1"/>
    <col min="12043" max="12043" width="1.140625" style="1096" customWidth="1"/>
    <col min="12044" max="12258" width="6.85546875" style="1096" customWidth="1"/>
    <col min="12259" max="12259" width="1.140625" style="1096" customWidth="1"/>
    <col min="12260" max="12260" width="2" style="1096" customWidth="1"/>
    <col min="12261" max="12262" width="1.7109375" style="1096" customWidth="1"/>
    <col min="12263" max="12263" width="1.42578125" style="1096" customWidth="1"/>
    <col min="12264" max="12264" width="1.140625" style="1096" customWidth="1"/>
    <col min="12265" max="12265" width="1" style="1096" customWidth="1"/>
    <col min="12266" max="12266" width="4.85546875" style="1096" customWidth="1"/>
    <col min="12267" max="12267" width="2.7109375" style="1096" customWidth="1"/>
    <col min="12268" max="12268" width="1.42578125" style="1096" customWidth="1"/>
    <col min="12269" max="12269" width="2.5703125" style="1096" customWidth="1"/>
    <col min="12270" max="12270" width="3" style="1096" customWidth="1"/>
    <col min="12271" max="12271" width="6.7109375" style="1096" customWidth="1"/>
    <col min="12272" max="12272" width="4.28515625" style="1096" customWidth="1"/>
    <col min="12273" max="12273" width="3.42578125" style="1096" customWidth="1"/>
    <col min="12274" max="12274" width="1.28515625" style="1096" customWidth="1"/>
    <col min="12275" max="12275" width="1.5703125" style="1096" customWidth="1"/>
    <col min="12276" max="12276" width="2.28515625" style="1096" customWidth="1"/>
    <col min="12277" max="12277" width="1" style="1096" customWidth="1"/>
    <col min="12278" max="12278" width="1.42578125" style="1096" customWidth="1"/>
    <col min="12279" max="12279" width="2.140625" style="1096" customWidth="1"/>
    <col min="12280" max="12280" width="11.5703125" style="1096" customWidth="1"/>
    <col min="12281" max="12281" width="7" style="1096" customWidth="1"/>
    <col min="12282" max="12282" width="1.28515625" style="1096" customWidth="1"/>
    <col min="12283" max="12283" width="1.140625" style="1096" customWidth="1"/>
    <col min="12284" max="12284" width="1" style="1096" customWidth="1"/>
    <col min="12285" max="12285" width="1.5703125" style="1096" customWidth="1"/>
    <col min="12286" max="12286" width="5.28515625" style="1096" customWidth="1"/>
    <col min="12287" max="12287" width="1.140625" style="1096" customWidth="1"/>
    <col min="12288" max="12288" width="11.85546875" style="1096" customWidth="1"/>
    <col min="12289" max="12290" width="1.140625" style="1096" customWidth="1"/>
    <col min="12291" max="12291" width="1" style="1096" customWidth="1"/>
    <col min="12292" max="12292" width="1.140625" style="1096" customWidth="1"/>
    <col min="12293" max="12293" width="2.85546875" style="1096" customWidth="1"/>
    <col min="12294" max="12294" width="2.140625" style="1096" customWidth="1"/>
    <col min="12295" max="12295" width="3.42578125" style="1096" customWidth="1"/>
    <col min="12296" max="12296" width="9" style="1096" customWidth="1"/>
    <col min="12297" max="12297" width="1.5703125" style="1096" customWidth="1"/>
    <col min="12298" max="12298" width="1" style="1096" customWidth="1"/>
    <col min="12299" max="12299" width="1.140625" style="1096" customWidth="1"/>
    <col min="12300" max="12514" width="6.85546875" style="1096" customWidth="1"/>
    <col min="12515" max="12515" width="1.140625" style="1096" customWidth="1"/>
    <col min="12516" max="12516" width="2" style="1096" customWidth="1"/>
    <col min="12517" max="12518" width="1.7109375" style="1096" customWidth="1"/>
    <col min="12519" max="12519" width="1.42578125" style="1096" customWidth="1"/>
    <col min="12520" max="12520" width="1.140625" style="1096" customWidth="1"/>
    <col min="12521" max="12521" width="1" style="1096" customWidth="1"/>
    <col min="12522" max="12522" width="4.85546875" style="1096" customWidth="1"/>
    <col min="12523" max="12523" width="2.7109375" style="1096" customWidth="1"/>
    <col min="12524" max="12524" width="1.42578125" style="1096" customWidth="1"/>
    <col min="12525" max="12525" width="2.5703125" style="1096" customWidth="1"/>
    <col min="12526" max="12526" width="3" style="1096" customWidth="1"/>
    <col min="12527" max="12527" width="6.7109375" style="1096" customWidth="1"/>
    <col min="12528" max="12528" width="4.28515625" style="1096" customWidth="1"/>
    <col min="12529" max="12529" width="3.42578125" style="1096" customWidth="1"/>
    <col min="12530" max="12530" width="1.28515625" style="1096" customWidth="1"/>
    <col min="12531" max="12531" width="1.5703125" style="1096" customWidth="1"/>
    <col min="12532" max="12532" width="2.28515625" style="1096" customWidth="1"/>
    <col min="12533" max="12533" width="1" style="1096" customWidth="1"/>
    <col min="12534" max="12534" width="1.42578125" style="1096" customWidth="1"/>
    <col min="12535" max="12535" width="2.140625" style="1096" customWidth="1"/>
    <col min="12536" max="12536" width="11.5703125" style="1096" customWidth="1"/>
    <col min="12537" max="12537" width="7" style="1096" customWidth="1"/>
    <col min="12538" max="12538" width="1.28515625" style="1096" customWidth="1"/>
    <col min="12539" max="12539" width="1.140625" style="1096" customWidth="1"/>
    <col min="12540" max="12540" width="1" style="1096" customWidth="1"/>
    <col min="12541" max="12541" width="1.5703125" style="1096" customWidth="1"/>
    <col min="12542" max="12542" width="5.28515625" style="1096" customWidth="1"/>
    <col min="12543" max="12543" width="1.140625" style="1096" customWidth="1"/>
    <col min="12544" max="12544" width="11.85546875" style="1096" customWidth="1"/>
    <col min="12545" max="12546" width="1.140625" style="1096" customWidth="1"/>
    <col min="12547" max="12547" width="1" style="1096" customWidth="1"/>
    <col min="12548" max="12548" width="1.140625" style="1096" customWidth="1"/>
    <col min="12549" max="12549" width="2.85546875" style="1096" customWidth="1"/>
    <col min="12550" max="12550" width="2.140625" style="1096" customWidth="1"/>
    <col min="12551" max="12551" width="3.42578125" style="1096" customWidth="1"/>
    <col min="12552" max="12552" width="9" style="1096" customWidth="1"/>
    <col min="12553" max="12553" width="1.5703125" style="1096" customWidth="1"/>
    <col min="12554" max="12554" width="1" style="1096" customWidth="1"/>
    <col min="12555" max="12555" width="1.140625" style="1096" customWidth="1"/>
    <col min="12556" max="12770" width="6.85546875" style="1096" customWidth="1"/>
    <col min="12771" max="12771" width="1.140625" style="1096" customWidth="1"/>
    <col min="12772" max="12772" width="2" style="1096" customWidth="1"/>
    <col min="12773" max="12774" width="1.7109375" style="1096" customWidth="1"/>
    <col min="12775" max="12775" width="1.42578125" style="1096" customWidth="1"/>
    <col min="12776" max="12776" width="1.140625" style="1096" customWidth="1"/>
    <col min="12777" max="12777" width="1" style="1096" customWidth="1"/>
    <col min="12778" max="12778" width="4.85546875" style="1096" customWidth="1"/>
    <col min="12779" max="12779" width="2.7109375" style="1096" customWidth="1"/>
    <col min="12780" max="12780" width="1.42578125" style="1096" customWidth="1"/>
    <col min="12781" max="12781" width="2.5703125" style="1096" customWidth="1"/>
    <col min="12782" max="12782" width="3" style="1096" customWidth="1"/>
    <col min="12783" max="12783" width="6.7109375" style="1096" customWidth="1"/>
    <col min="12784" max="12784" width="4.28515625" style="1096" customWidth="1"/>
    <col min="12785" max="12785" width="3.42578125" style="1096" customWidth="1"/>
    <col min="12786" max="12786" width="1.28515625" style="1096" customWidth="1"/>
    <col min="12787" max="12787" width="1.5703125" style="1096" customWidth="1"/>
    <col min="12788" max="12788" width="2.28515625" style="1096" customWidth="1"/>
    <col min="12789" max="12789" width="1" style="1096" customWidth="1"/>
    <col min="12790" max="12790" width="1.42578125" style="1096" customWidth="1"/>
    <col min="12791" max="12791" width="2.140625" style="1096" customWidth="1"/>
    <col min="12792" max="12792" width="11.5703125" style="1096" customWidth="1"/>
    <col min="12793" max="12793" width="7" style="1096" customWidth="1"/>
    <col min="12794" max="12794" width="1.28515625" style="1096" customWidth="1"/>
    <col min="12795" max="12795" width="1.140625" style="1096" customWidth="1"/>
    <col min="12796" max="12796" width="1" style="1096" customWidth="1"/>
    <col min="12797" max="12797" width="1.5703125" style="1096" customWidth="1"/>
    <col min="12798" max="12798" width="5.28515625" style="1096" customWidth="1"/>
    <col min="12799" max="12799" width="1.140625" style="1096" customWidth="1"/>
    <col min="12800" max="12800" width="11.85546875" style="1096" customWidth="1"/>
    <col min="12801" max="12802" width="1.140625" style="1096" customWidth="1"/>
    <col min="12803" max="12803" width="1" style="1096" customWidth="1"/>
    <col min="12804" max="12804" width="1.140625" style="1096" customWidth="1"/>
    <col min="12805" max="12805" width="2.85546875" style="1096" customWidth="1"/>
    <col min="12806" max="12806" width="2.140625" style="1096" customWidth="1"/>
    <col min="12807" max="12807" width="3.42578125" style="1096" customWidth="1"/>
    <col min="12808" max="12808" width="9" style="1096" customWidth="1"/>
    <col min="12809" max="12809" width="1.5703125" style="1096" customWidth="1"/>
    <col min="12810" max="12810" width="1" style="1096" customWidth="1"/>
    <col min="12811" max="12811" width="1.140625" style="1096" customWidth="1"/>
    <col min="12812" max="13026" width="6.85546875" style="1096" customWidth="1"/>
    <col min="13027" max="13027" width="1.140625" style="1096" customWidth="1"/>
    <col min="13028" max="13028" width="2" style="1096" customWidth="1"/>
    <col min="13029" max="13030" width="1.7109375" style="1096" customWidth="1"/>
    <col min="13031" max="13031" width="1.42578125" style="1096" customWidth="1"/>
    <col min="13032" max="13032" width="1.140625" style="1096" customWidth="1"/>
    <col min="13033" max="13033" width="1" style="1096" customWidth="1"/>
    <col min="13034" max="13034" width="4.85546875" style="1096" customWidth="1"/>
    <col min="13035" max="13035" width="2.7109375" style="1096" customWidth="1"/>
    <col min="13036" max="13036" width="1.42578125" style="1096" customWidth="1"/>
    <col min="13037" max="13037" width="2.5703125" style="1096" customWidth="1"/>
    <col min="13038" max="13038" width="3" style="1096" customWidth="1"/>
    <col min="13039" max="13039" width="6.7109375" style="1096" customWidth="1"/>
    <col min="13040" max="13040" width="4.28515625" style="1096" customWidth="1"/>
    <col min="13041" max="13041" width="3.42578125" style="1096" customWidth="1"/>
    <col min="13042" max="13042" width="1.28515625" style="1096" customWidth="1"/>
    <col min="13043" max="13043" width="1.5703125" style="1096" customWidth="1"/>
    <col min="13044" max="13044" width="2.28515625" style="1096" customWidth="1"/>
    <col min="13045" max="13045" width="1" style="1096" customWidth="1"/>
    <col min="13046" max="13046" width="1.42578125" style="1096" customWidth="1"/>
    <col min="13047" max="13047" width="2.140625" style="1096" customWidth="1"/>
    <col min="13048" max="13048" width="11.5703125" style="1096" customWidth="1"/>
    <col min="13049" max="13049" width="7" style="1096" customWidth="1"/>
    <col min="13050" max="13050" width="1.28515625" style="1096" customWidth="1"/>
    <col min="13051" max="13051" width="1.140625" style="1096" customWidth="1"/>
    <col min="13052" max="13052" width="1" style="1096" customWidth="1"/>
    <col min="13053" max="13053" width="1.5703125" style="1096" customWidth="1"/>
    <col min="13054" max="13054" width="5.28515625" style="1096" customWidth="1"/>
    <col min="13055" max="13055" width="1.140625" style="1096" customWidth="1"/>
    <col min="13056" max="13056" width="11.85546875" style="1096" customWidth="1"/>
    <col min="13057" max="13058" width="1.140625" style="1096" customWidth="1"/>
    <col min="13059" max="13059" width="1" style="1096" customWidth="1"/>
    <col min="13060" max="13060" width="1.140625" style="1096" customWidth="1"/>
    <col min="13061" max="13061" width="2.85546875" style="1096" customWidth="1"/>
    <col min="13062" max="13062" width="2.140625" style="1096" customWidth="1"/>
    <col min="13063" max="13063" width="3.42578125" style="1096" customWidth="1"/>
    <col min="13064" max="13064" width="9" style="1096" customWidth="1"/>
    <col min="13065" max="13065" width="1.5703125" style="1096" customWidth="1"/>
    <col min="13066" max="13066" width="1" style="1096" customWidth="1"/>
    <col min="13067" max="13067" width="1.140625" style="1096" customWidth="1"/>
    <col min="13068" max="13282" width="6.85546875" style="1096" customWidth="1"/>
    <col min="13283" max="13283" width="1.140625" style="1096" customWidth="1"/>
    <col min="13284" max="13284" width="2" style="1096" customWidth="1"/>
    <col min="13285" max="13286" width="1.7109375" style="1096" customWidth="1"/>
    <col min="13287" max="13287" width="1.42578125" style="1096" customWidth="1"/>
    <col min="13288" max="13288" width="1.140625" style="1096" customWidth="1"/>
    <col min="13289" max="13289" width="1" style="1096" customWidth="1"/>
    <col min="13290" max="13290" width="4.85546875" style="1096" customWidth="1"/>
    <col min="13291" max="13291" width="2.7109375" style="1096" customWidth="1"/>
    <col min="13292" max="13292" width="1.42578125" style="1096" customWidth="1"/>
    <col min="13293" max="13293" width="2.5703125" style="1096" customWidth="1"/>
    <col min="13294" max="13294" width="3" style="1096" customWidth="1"/>
    <col min="13295" max="13295" width="6.7109375" style="1096" customWidth="1"/>
    <col min="13296" max="13296" width="4.28515625" style="1096" customWidth="1"/>
    <col min="13297" max="13297" width="3.42578125" style="1096" customWidth="1"/>
    <col min="13298" max="13298" width="1.28515625" style="1096" customWidth="1"/>
    <col min="13299" max="13299" width="1.5703125" style="1096" customWidth="1"/>
    <col min="13300" max="13300" width="2.28515625" style="1096" customWidth="1"/>
    <col min="13301" max="13301" width="1" style="1096" customWidth="1"/>
    <col min="13302" max="13302" width="1.42578125" style="1096" customWidth="1"/>
    <col min="13303" max="13303" width="2.140625" style="1096" customWidth="1"/>
    <col min="13304" max="13304" width="11.5703125" style="1096" customWidth="1"/>
    <col min="13305" max="13305" width="7" style="1096" customWidth="1"/>
    <col min="13306" max="13306" width="1.28515625" style="1096" customWidth="1"/>
    <col min="13307" max="13307" width="1.140625" style="1096" customWidth="1"/>
    <col min="13308" max="13308" width="1" style="1096" customWidth="1"/>
    <col min="13309" max="13309" width="1.5703125" style="1096" customWidth="1"/>
    <col min="13310" max="13310" width="5.28515625" style="1096" customWidth="1"/>
    <col min="13311" max="13311" width="1.140625" style="1096" customWidth="1"/>
    <col min="13312" max="13312" width="11.85546875" style="1096" customWidth="1"/>
    <col min="13313" max="13314" width="1.140625" style="1096" customWidth="1"/>
    <col min="13315" max="13315" width="1" style="1096" customWidth="1"/>
    <col min="13316" max="13316" width="1.140625" style="1096" customWidth="1"/>
    <col min="13317" max="13317" width="2.85546875" style="1096" customWidth="1"/>
    <col min="13318" max="13318" width="2.140625" style="1096" customWidth="1"/>
    <col min="13319" max="13319" width="3.42578125" style="1096" customWidth="1"/>
    <col min="13320" max="13320" width="9" style="1096" customWidth="1"/>
    <col min="13321" max="13321" width="1.5703125" style="1096" customWidth="1"/>
    <col min="13322" max="13322" width="1" style="1096" customWidth="1"/>
    <col min="13323" max="13323" width="1.140625" style="1096" customWidth="1"/>
    <col min="13324" max="13538" width="6.85546875" style="1096" customWidth="1"/>
    <col min="13539" max="13539" width="1.140625" style="1096" customWidth="1"/>
    <col min="13540" max="13540" width="2" style="1096" customWidth="1"/>
    <col min="13541" max="13542" width="1.7109375" style="1096" customWidth="1"/>
    <col min="13543" max="13543" width="1.42578125" style="1096" customWidth="1"/>
    <col min="13544" max="13544" width="1.140625" style="1096" customWidth="1"/>
    <col min="13545" max="13545" width="1" style="1096" customWidth="1"/>
    <col min="13546" max="13546" width="4.85546875" style="1096" customWidth="1"/>
    <col min="13547" max="13547" width="2.7109375" style="1096" customWidth="1"/>
    <col min="13548" max="13548" width="1.42578125" style="1096" customWidth="1"/>
    <col min="13549" max="13549" width="2.5703125" style="1096" customWidth="1"/>
    <col min="13550" max="13550" width="3" style="1096" customWidth="1"/>
    <col min="13551" max="13551" width="6.7109375" style="1096" customWidth="1"/>
    <col min="13552" max="13552" width="4.28515625" style="1096" customWidth="1"/>
    <col min="13553" max="13553" width="3.42578125" style="1096" customWidth="1"/>
    <col min="13554" max="13554" width="1.28515625" style="1096" customWidth="1"/>
    <col min="13555" max="13555" width="1.5703125" style="1096" customWidth="1"/>
    <col min="13556" max="13556" width="2.28515625" style="1096" customWidth="1"/>
    <col min="13557" max="13557" width="1" style="1096" customWidth="1"/>
    <col min="13558" max="13558" width="1.42578125" style="1096" customWidth="1"/>
    <col min="13559" max="13559" width="2.140625" style="1096" customWidth="1"/>
    <col min="13560" max="13560" width="11.5703125" style="1096" customWidth="1"/>
    <col min="13561" max="13561" width="7" style="1096" customWidth="1"/>
    <col min="13562" max="13562" width="1.28515625" style="1096" customWidth="1"/>
    <col min="13563" max="13563" width="1.140625" style="1096" customWidth="1"/>
    <col min="13564" max="13564" width="1" style="1096" customWidth="1"/>
    <col min="13565" max="13565" width="1.5703125" style="1096" customWidth="1"/>
    <col min="13566" max="13566" width="5.28515625" style="1096" customWidth="1"/>
    <col min="13567" max="13567" width="1.140625" style="1096" customWidth="1"/>
    <col min="13568" max="13568" width="11.85546875" style="1096" customWidth="1"/>
    <col min="13569" max="13570" width="1.140625" style="1096" customWidth="1"/>
    <col min="13571" max="13571" width="1" style="1096" customWidth="1"/>
    <col min="13572" max="13572" width="1.140625" style="1096" customWidth="1"/>
    <col min="13573" max="13573" width="2.85546875" style="1096" customWidth="1"/>
    <col min="13574" max="13574" width="2.140625" style="1096" customWidth="1"/>
    <col min="13575" max="13575" width="3.42578125" style="1096" customWidth="1"/>
    <col min="13576" max="13576" width="9" style="1096" customWidth="1"/>
    <col min="13577" max="13577" width="1.5703125" style="1096" customWidth="1"/>
    <col min="13578" max="13578" width="1" style="1096" customWidth="1"/>
    <col min="13579" max="13579" width="1.140625" style="1096" customWidth="1"/>
    <col min="13580" max="13794" width="6.85546875" style="1096" customWidth="1"/>
    <col min="13795" max="13795" width="1.140625" style="1096" customWidth="1"/>
    <col min="13796" max="13796" width="2" style="1096" customWidth="1"/>
    <col min="13797" max="13798" width="1.7109375" style="1096" customWidth="1"/>
    <col min="13799" max="13799" width="1.42578125" style="1096" customWidth="1"/>
    <col min="13800" max="13800" width="1.140625" style="1096" customWidth="1"/>
    <col min="13801" max="13801" width="1" style="1096" customWidth="1"/>
    <col min="13802" max="13802" width="4.85546875" style="1096" customWidth="1"/>
    <col min="13803" max="13803" width="2.7109375" style="1096" customWidth="1"/>
    <col min="13804" max="13804" width="1.42578125" style="1096" customWidth="1"/>
    <col min="13805" max="13805" width="2.5703125" style="1096" customWidth="1"/>
    <col min="13806" max="13806" width="3" style="1096" customWidth="1"/>
    <col min="13807" max="13807" width="6.7109375" style="1096" customWidth="1"/>
    <col min="13808" max="13808" width="4.28515625" style="1096" customWidth="1"/>
    <col min="13809" max="13809" width="3.42578125" style="1096" customWidth="1"/>
    <col min="13810" max="13810" width="1.28515625" style="1096" customWidth="1"/>
    <col min="13811" max="13811" width="1.5703125" style="1096" customWidth="1"/>
    <col min="13812" max="13812" width="2.28515625" style="1096" customWidth="1"/>
    <col min="13813" max="13813" width="1" style="1096" customWidth="1"/>
    <col min="13814" max="13814" width="1.42578125" style="1096" customWidth="1"/>
    <col min="13815" max="13815" width="2.140625" style="1096" customWidth="1"/>
    <col min="13816" max="13816" width="11.5703125" style="1096" customWidth="1"/>
    <col min="13817" max="13817" width="7" style="1096" customWidth="1"/>
    <col min="13818" max="13818" width="1.28515625" style="1096" customWidth="1"/>
    <col min="13819" max="13819" width="1.140625" style="1096" customWidth="1"/>
    <col min="13820" max="13820" width="1" style="1096" customWidth="1"/>
    <col min="13821" max="13821" width="1.5703125" style="1096" customWidth="1"/>
    <col min="13822" max="13822" width="5.28515625" style="1096" customWidth="1"/>
    <col min="13823" max="13823" width="1.140625" style="1096" customWidth="1"/>
    <col min="13824" max="13824" width="11.85546875" style="1096" customWidth="1"/>
    <col min="13825" max="13826" width="1.140625" style="1096" customWidth="1"/>
    <col min="13827" max="13827" width="1" style="1096" customWidth="1"/>
    <col min="13828" max="13828" width="1.140625" style="1096" customWidth="1"/>
    <col min="13829" max="13829" width="2.85546875" style="1096" customWidth="1"/>
    <col min="13830" max="13830" width="2.140625" style="1096" customWidth="1"/>
    <col min="13831" max="13831" width="3.42578125" style="1096" customWidth="1"/>
    <col min="13832" max="13832" width="9" style="1096" customWidth="1"/>
    <col min="13833" max="13833" width="1.5703125" style="1096" customWidth="1"/>
    <col min="13834" max="13834" width="1" style="1096" customWidth="1"/>
    <col min="13835" max="13835" width="1.140625" style="1096" customWidth="1"/>
    <col min="13836" max="14050" width="6.85546875" style="1096" customWidth="1"/>
    <col min="14051" max="14051" width="1.140625" style="1096" customWidth="1"/>
    <col min="14052" max="14052" width="2" style="1096" customWidth="1"/>
    <col min="14053" max="14054" width="1.7109375" style="1096" customWidth="1"/>
    <col min="14055" max="14055" width="1.42578125" style="1096" customWidth="1"/>
    <col min="14056" max="14056" width="1.140625" style="1096" customWidth="1"/>
    <col min="14057" max="14057" width="1" style="1096" customWidth="1"/>
    <col min="14058" max="14058" width="4.85546875" style="1096" customWidth="1"/>
    <col min="14059" max="14059" width="2.7109375" style="1096" customWidth="1"/>
    <col min="14060" max="14060" width="1.42578125" style="1096" customWidth="1"/>
    <col min="14061" max="14061" width="2.5703125" style="1096" customWidth="1"/>
    <col min="14062" max="14062" width="3" style="1096" customWidth="1"/>
    <col min="14063" max="14063" width="6.7109375" style="1096" customWidth="1"/>
    <col min="14064" max="14064" width="4.28515625" style="1096" customWidth="1"/>
    <col min="14065" max="14065" width="3.42578125" style="1096" customWidth="1"/>
    <col min="14066" max="14066" width="1.28515625" style="1096" customWidth="1"/>
    <col min="14067" max="14067" width="1.5703125" style="1096" customWidth="1"/>
    <col min="14068" max="14068" width="2.28515625" style="1096" customWidth="1"/>
    <col min="14069" max="14069" width="1" style="1096" customWidth="1"/>
    <col min="14070" max="14070" width="1.42578125" style="1096" customWidth="1"/>
    <col min="14071" max="14071" width="2.140625" style="1096" customWidth="1"/>
    <col min="14072" max="14072" width="11.5703125" style="1096" customWidth="1"/>
    <col min="14073" max="14073" width="7" style="1096" customWidth="1"/>
    <col min="14074" max="14074" width="1.28515625" style="1096" customWidth="1"/>
    <col min="14075" max="14075" width="1.140625" style="1096" customWidth="1"/>
    <col min="14076" max="14076" width="1" style="1096" customWidth="1"/>
    <col min="14077" max="14077" width="1.5703125" style="1096" customWidth="1"/>
    <col min="14078" max="14078" width="5.28515625" style="1096" customWidth="1"/>
    <col min="14079" max="14079" width="1.140625" style="1096" customWidth="1"/>
    <col min="14080" max="14080" width="11.85546875" style="1096" customWidth="1"/>
    <col min="14081" max="14082" width="1.140625" style="1096" customWidth="1"/>
    <col min="14083" max="14083" width="1" style="1096" customWidth="1"/>
    <col min="14084" max="14084" width="1.140625" style="1096" customWidth="1"/>
    <col min="14085" max="14085" width="2.85546875" style="1096" customWidth="1"/>
    <col min="14086" max="14086" width="2.140625" style="1096" customWidth="1"/>
    <col min="14087" max="14087" width="3.42578125" style="1096" customWidth="1"/>
    <col min="14088" max="14088" width="9" style="1096" customWidth="1"/>
    <col min="14089" max="14089" width="1.5703125" style="1096" customWidth="1"/>
    <col min="14090" max="14090" width="1" style="1096" customWidth="1"/>
    <col min="14091" max="14091" width="1.140625" style="1096" customWidth="1"/>
    <col min="14092" max="14306" width="6.85546875" style="1096" customWidth="1"/>
    <col min="14307" max="14307" width="1.140625" style="1096" customWidth="1"/>
    <col min="14308" max="14308" width="2" style="1096" customWidth="1"/>
    <col min="14309" max="14310" width="1.7109375" style="1096" customWidth="1"/>
    <col min="14311" max="14311" width="1.42578125" style="1096" customWidth="1"/>
    <col min="14312" max="14312" width="1.140625" style="1096" customWidth="1"/>
    <col min="14313" max="14313" width="1" style="1096" customWidth="1"/>
    <col min="14314" max="14314" width="4.85546875" style="1096" customWidth="1"/>
    <col min="14315" max="14315" width="2.7109375" style="1096" customWidth="1"/>
    <col min="14316" max="14316" width="1.42578125" style="1096" customWidth="1"/>
    <col min="14317" max="14317" width="2.5703125" style="1096" customWidth="1"/>
    <col min="14318" max="14318" width="3" style="1096" customWidth="1"/>
    <col min="14319" max="14319" width="6.7109375" style="1096" customWidth="1"/>
    <col min="14320" max="14320" width="4.28515625" style="1096" customWidth="1"/>
    <col min="14321" max="14321" width="3.42578125" style="1096" customWidth="1"/>
    <col min="14322" max="14322" width="1.28515625" style="1096" customWidth="1"/>
    <col min="14323" max="14323" width="1.5703125" style="1096" customWidth="1"/>
    <col min="14324" max="14324" width="2.28515625" style="1096" customWidth="1"/>
    <col min="14325" max="14325" width="1" style="1096" customWidth="1"/>
    <col min="14326" max="14326" width="1.42578125" style="1096" customWidth="1"/>
    <col min="14327" max="14327" width="2.140625" style="1096" customWidth="1"/>
    <col min="14328" max="14328" width="11.5703125" style="1096" customWidth="1"/>
    <col min="14329" max="14329" width="7" style="1096" customWidth="1"/>
    <col min="14330" max="14330" width="1.28515625" style="1096" customWidth="1"/>
    <col min="14331" max="14331" width="1.140625" style="1096" customWidth="1"/>
    <col min="14332" max="14332" width="1" style="1096" customWidth="1"/>
    <col min="14333" max="14333" width="1.5703125" style="1096" customWidth="1"/>
    <col min="14334" max="14334" width="5.28515625" style="1096" customWidth="1"/>
    <col min="14335" max="14335" width="1.140625" style="1096" customWidth="1"/>
    <col min="14336" max="14336" width="11.85546875" style="1096" customWidth="1"/>
    <col min="14337" max="14338" width="1.140625" style="1096" customWidth="1"/>
    <col min="14339" max="14339" width="1" style="1096" customWidth="1"/>
    <col min="14340" max="14340" width="1.140625" style="1096" customWidth="1"/>
    <col min="14341" max="14341" width="2.85546875" style="1096" customWidth="1"/>
    <col min="14342" max="14342" width="2.140625" style="1096" customWidth="1"/>
    <col min="14343" max="14343" width="3.42578125" style="1096" customWidth="1"/>
    <col min="14344" max="14344" width="9" style="1096" customWidth="1"/>
    <col min="14345" max="14345" width="1.5703125" style="1096" customWidth="1"/>
    <col min="14346" max="14346" width="1" style="1096" customWidth="1"/>
    <col min="14347" max="14347" width="1.140625" style="1096" customWidth="1"/>
    <col min="14348" max="14562" width="6.85546875" style="1096" customWidth="1"/>
    <col min="14563" max="14563" width="1.140625" style="1096" customWidth="1"/>
    <col min="14564" max="14564" width="2" style="1096" customWidth="1"/>
    <col min="14565" max="14566" width="1.7109375" style="1096" customWidth="1"/>
    <col min="14567" max="14567" width="1.42578125" style="1096" customWidth="1"/>
    <col min="14568" max="14568" width="1.140625" style="1096" customWidth="1"/>
    <col min="14569" max="14569" width="1" style="1096" customWidth="1"/>
    <col min="14570" max="14570" width="4.85546875" style="1096" customWidth="1"/>
    <col min="14571" max="14571" width="2.7109375" style="1096" customWidth="1"/>
    <col min="14572" max="14572" width="1.42578125" style="1096" customWidth="1"/>
    <col min="14573" max="14573" width="2.5703125" style="1096" customWidth="1"/>
    <col min="14574" max="14574" width="3" style="1096" customWidth="1"/>
    <col min="14575" max="14575" width="6.7109375" style="1096" customWidth="1"/>
    <col min="14576" max="14576" width="4.28515625" style="1096" customWidth="1"/>
    <col min="14577" max="14577" width="3.42578125" style="1096" customWidth="1"/>
    <col min="14578" max="14578" width="1.28515625" style="1096" customWidth="1"/>
    <col min="14579" max="14579" width="1.5703125" style="1096" customWidth="1"/>
    <col min="14580" max="14580" width="2.28515625" style="1096" customWidth="1"/>
    <col min="14581" max="14581" width="1" style="1096" customWidth="1"/>
    <col min="14582" max="14582" width="1.42578125" style="1096" customWidth="1"/>
    <col min="14583" max="14583" width="2.140625" style="1096" customWidth="1"/>
    <col min="14584" max="14584" width="11.5703125" style="1096" customWidth="1"/>
    <col min="14585" max="14585" width="7" style="1096" customWidth="1"/>
    <col min="14586" max="14586" width="1.28515625" style="1096" customWidth="1"/>
    <col min="14587" max="14587" width="1.140625" style="1096" customWidth="1"/>
    <col min="14588" max="14588" width="1" style="1096" customWidth="1"/>
    <col min="14589" max="14589" width="1.5703125" style="1096" customWidth="1"/>
    <col min="14590" max="14590" width="5.28515625" style="1096" customWidth="1"/>
    <col min="14591" max="14591" width="1.140625" style="1096" customWidth="1"/>
    <col min="14592" max="14592" width="11.85546875" style="1096" customWidth="1"/>
    <col min="14593" max="14594" width="1.140625" style="1096" customWidth="1"/>
    <col min="14595" max="14595" width="1" style="1096" customWidth="1"/>
    <col min="14596" max="14596" width="1.140625" style="1096" customWidth="1"/>
    <col min="14597" max="14597" width="2.85546875" style="1096" customWidth="1"/>
    <col min="14598" max="14598" width="2.140625" style="1096" customWidth="1"/>
    <col min="14599" max="14599" width="3.42578125" style="1096" customWidth="1"/>
    <col min="14600" max="14600" width="9" style="1096" customWidth="1"/>
    <col min="14601" max="14601" width="1.5703125" style="1096" customWidth="1"/>
    <col min="14602" max="14602" width="1" style="1096" customWidth="1"/>
    <col min="14603" max="14603" width="1.140625" style="1096" customWidth="1"/>
    <col min="14604" max="14818" width="6.85546875" style="1096" customWidth="1"/>
    <col min="14819" max="14819" width="1.140625" style="1096" customWidth="1"/>
    <col min="14820" max="14820" width="2" style="1096" customWidth="1"/>
    <col min="14821" max="14822" width="1.7109375" style="1096" customWidth="1"/>
    <col min="14823" max="14823" width="1.42578125" style="1096" customWidth="1"/>
    <col min="14824" max="14824" width="1.140625" style="1096" customWidth="1"/>
    <col min="14825" max="14825" width="1" style="1096" customWidth="1"/>
    <col min="14826" max="14826" width="4.85546875" style="1096" customWidth="1"/>
    <col min="14827" max="14827" width="2.7109375" style="1096" customWidth="1"/>
    <col min="14828" max="14828" width="1.42578125" style="1096" customWidth="1"/>
    <col min="14829" max="14829" width="2.5703125" style="1096" customWidth="1"/>
    <col min="14830" max="14830" width="3" style="1096" customWidth="1"/>
    <col min="14831" max="14831" width="6.7109375" style="1096" customWidth="1"/>
    <col min="14832" max="14832" width="4.28515625" style="1096" customWidth="1"/>
    <col min="14833" max="14833" width="3.42578125" style="1096" customWidth="1"/>
    <col min="14834" max="14834" width="1.28515625" style="1096" customWidth="1"/>
    <col min="14835" max="14835" width="1.5703125" style="1096" customWidth="1"/>
    <col min="14836" max="14836" width="2.28515625" style="1096" customWidth="1"/>
    <col min="14837" max="14837" width="1" style="1096" customWidth="1"/>
    <col min="14838" max="14838" width="1.42578125" style="1096" customWidth="1"/>
    <col min="14839" max="14839" width="2.140625" style="1096" customWidth="1"/>
    <col min="14840" max="14840" width="11.5703125" style="1096" customWidth="1"/>
    <col min="14841" max="14841" width="7" style="1096" customWidth="1"/>
    <col min="14842" max="14842" width="1.28515625" style="1096" customWidth="1"/>
    <col min="14843" max="14843" width="1.140625" style="1096" customWidth="1"/>
    <col min="14844" max="14844" width="1" style="1096" customWidth="1"/>
    <col min="14845" max="14845" width="1.5703125" style="1096" customWidth="1"/>
    <col min="14846" max="14846" width="5.28515625" style="1096" customWidth="1"/>
    <col min="14847" max="14847" width="1.140625" style="1096" customWidth="1"/>
    <col min="14848" max="14848" width="11.85546875" style="1096" customWidth="1"/>
    <col min="14849" max="14850" width="1.140625" style="1096" customWidth="1"/>
    <col min="14851" max="14851" width="1" style="1096" customWidth="1"/>
    <col min="14852" max="14852" width="1.140625" style="1096" customWidth="1"/>
    <col min="14853" max="14853" width="2.85546875" style="1096" customWidth="1"/>
    <col min="14854" max="14854" width="2.140625" style="1096" customWidth="1"/>
    <col min="14855" max="14855" width="3.42578125" style="1096" customWidth="1"/>
    <col min="14856" max="14856" width="9" style="1096" customWidth="1"/>
    <col min="14857" max="14857" width="1.5703125" style="1096" customWidth="1"/>
    <col min="14858" max="14858" width="1" style="1096" customWidth="1"/>
    <col min="14859" max="14859" width="1.140625" style="1096" customWidth="1"/>
    <col min="14860" max="15074" width="6.85546875" style="1096" customWidth="1"/>
    <col min="15075" max="15075" width="1.140625" style="1096" customWidth="1"/>
    <col min="15076" max="15076" width="2" style="1096" customWidth="1"/>
    <col min="15077" max="15078" width="1.7109375" style="1096" customWidth="1"/>
    <col min="15079" max="15079" width="1.42578125" style="1096" customWidth="1"/>
    <col min="15080" max="15080" width="1.140625" style="1096" customWidth="1"/>
    <col min="15081" max="15081" width="1" style="1096" customWidth="1"/>
    <col min="15082" max="15082" width="4.85546875" style="1096" customWidth="1"/>
    <col min="15083" max="15083" width="2.7109375" style="1096" customWidth="1"/>
    <col min="15084" max="15084" width="1.42578125" style="1096" customWidth="1"/>
    <col min="15085" max="15085" width="2.5703125" style="1096" customWidth="1"/>
    <col min="15086" max="15086" width="3" style="1096" customWidth="1"/>
    <col min="15087" max="15087" width="6.7109375" style="1096" customWidth="1"/>
    <col min="15088" max="15088" width="4.28515625" style="1096" customWidth="1"/>
    <col min="15089" max="15089" width="3.42578125" style="1096" customWidth="1"/>
    <col min="15090" max="15090" width="1.28515625" style="1096" customWidth="1"/>
    <col min="15091" max="15091" width="1.5703125" style="1096" customWidth="1"/>
    <col min="15092" max="15092" width="2.28515625" style="1096" customWidth="1"/>
    <col min="15093" max="15093" width="1" style="1096" customWidth="1"/>
    <col min="15094" max="15094" width="1.42578125" style="1096" customWidth="1"/>
    <col min="15095" max="15095" width="2.140625" style="1096" customWidth="1"/>
    <col min="15096" max="15096" width="11.5703125" style="1096" customWidth="1"/>
    <col min="15097" max="15097" width="7" style="1096" customWidth="1"/>
    <col min="15098" max="15098" width="1.28515625" style="1096" customWidth="1"/>
    <col min="15099" max="15099" width="1.140625" style="1096" customWidth="1"/>
    <col min="15100" max="15100" width="1" style="1096" customWidth="1"/>
    <col min="15101" max="15101" width="1.5703125" style="1096" customWidth="1"/>
    <col min="15102" max="15102" width="5.28515625" style="1096" customWidth="1"/>
    <col min="15103" max="15103" width="1.140625" style="1096" customWidth="1"/>
    <col min="15104" max="15104" width="11.85546875" style="1096" customWidth="1"/>
    <col min="15105" max="15106" width="1.140625" style="1096" customWidth="1"/>
    <col min="15107" max="15107" width="1" style="1096" customWidth="1"/>
    <col min="15108" max="15108" width="1.140625" style="1096" customWidth="1"/>
    <col min="15109" max="15109" width="2.85546875" style="1096" customWidth="1"/>
    <col min="15110" max="15110" width="2.140625" style="1096" customWidth="1"/>
    <col min="15111" max="15111" width="3.42578125" style="1096" customWidth="1"/>
    <col min="15112" max="15112" width="9" style="1096" customWidth="1"/>
    <col min="15113" max="15113" width="1.5703125" style="1096" customWidth="1"/>
    <col min="15114" max="15114" width="1" style="1096" customWidth="1"/>
    <col min="15115" max="15115" width="1.140625" style="1096" customWidth="1"/>
    <col min="15116" max="15330" width="6.85546875" style="1096" customWidth="1"/>
    <col min="15331" max="15331" width="1.140625" style="1096" customWidth="1"/>
    <col min="15332" max="15332" width="2" style="1096" customWidth="1"/>
    <col min="15333" max="15334" width="1.7109375" style="1096" customWidth="1"/>
    <col min="15335" max="15335" width="1.42578125" style="1096" customWidth="1"/>
    <col min="15336" max="15336" width="1.140625" style="1096" customWidth="1"/>
    <col min="15337" max="15337" width="1" style="1096" customWidth="1"/>
    <col min="15338" max="15338" width="4.85546875" style="1096" customWidth="1"/>
    <col min="15339" max="15339" width="2.7109375" style="1096" customWidth="1"/>
    <col min="15340" max="15340" width="1.42578125" style="1096" customWidth="1"/>
    <col min="15341" max="15341" width="2.5703125" style="1096" customWidth="1"/>
    <col min="15342" max="15342" width="3" style="1096" customWidth="1"/>
    <col min="15343" max="15343" width="6.7109375" style="1096" customWidth="1"/>
    <col min="15344" max="15344" width="4.28515625" style="1096" customWidth="1"/>
    <col min="15345" max="15345" width="3.42578125" style="1096" customWidth="1"/>
    <col min="15346" max="15346" width="1.28515625" style="1096" customWidth="1"/>
    <col min="15347" max="15347" width="1.5703125" style="1096" customWidth="1"/>
    <col min="15348" max="15348" width="2.28515625" style="1096" customWidth="1"/>
    <col min="15349" max="15349" width="1" style="1096" customWidth="1"/>
    <col min="15350" max="15350" width="1.42578125" style="1096" customWidth="1"/>
    <col min="15351" max="15351" width="2.140625" style="1096" customWidth="1"/>
    <col min="15352" max="15352" width="11.5703125" style="1096" customWidth="1"/>
    <col min="15353" max="15353" width="7" style="1096" customWidth="1"/>
    <col min="15354" max="15354" width="1.28515625" style="1096" customWidth="1"/>
    <col min="15355" max="15355" width="1.140625" style="1096" customWidth="1"/>
    <col min="15356" max="15356" width="1" style="1096" customWidth="1"/>
    <col min="15357" max="15357" width="1.5703125" style="1096" customWidth="1"/>
    <col min="15358" max="15358" width="5.28515625" style="1096" customWidth="1"/>
    <col min="15359" max="15359" width="1.140625" style="1096" customWidth="1"/>
    <col min="15360" max="15360" width="11.85546875" style="1096" customWidth="1"/>
    <col min="15361" max="15362" width="1.140625" style="1096" customWidth="1"/>
    <col min="15363" max="15363" width="1" style="1096" customWidth="1"/>
    <col min="15364" max="15364" width="1.140625" style="1096" customWidth="1"/>
    <col min="15365" max="15365" width="2.85546875" style="1096" customWidth="1"/>
    <col min="15366" max="15366" width="2.140625" style="1096" customWidth="1"/>
    <col min="15367" max="15367" width="3.42578125" style="1096" customWidth="1"/>
    <col min="15368" max="15368" width="9" style="1096" customWidth="1"/>
    <col min="15369" max="15369" width="1.5703125" style="1096" customWidth="1"/>
    <col min="15370" max="15370" width="1" style="1096" customWidth="1"/>
    <col min="15371" max="15371" width="1.140625" style="1096" customWidth="1"/>
    <col min="15372" max="15586" width="6.85546875" style="1096" customWidth="1"/>
    <col min="15587" max="15587" width="1.140625" style="1096" customWidth="1"/>
    <col min="15588" max="15588" width="2" style="1096" customWidth="1"/>
    <col min="15589" max="15590" width="1.7109375" style="1096" customWidth="1"/>
    <col min="15591" max="15591" width="1.42578125" style="1096" customWidth="1"/>
    <col min="15592" max="15592" width="1.140625" style="1096" customWidth="1"/>
    <col min="15593" max="15593" width="1" style="1096" customWidth="1"/>
    <col min="15594" max="15594" width="4.85546875" style="1096" customWidth="1"/>
    <col min="15595" max="15595" width="2.7109375" style="1096" customWidth="1"/>
    <col min="15596" max="15596" width="1.42578125" style="1096" customWidth="1"/>
    <col min="15597" max="15597" width="2.5703125" style="1096" customWidth="1"/>
    <col min="15598" max="15598" width="3" style="1096" customWidth="1"/>
    <col min="15599" max="15599" width="6.7109375" style="1096" customWidth="1"/>
    <col min="15600" max="15600" width="4.28515625" style="1096" customWidth="1"/>
    <col min="15601" max="15601" width="3.42578125" style="1096" customWidth="1"/>
    <col min="15602" max="15602" width="1.28515625" style="1096" customWidth="1"/>
    <col min="15603" max="15603" width="1.5703125" style="1096" customWidth="1"/>
    <col min="15604" max="15604" width="2.28515625" style="1096" customWidth="1"/>
    <col min="15605" max="15605" width="1" style="1096" customWidth="1"/>
    <col min="15606" max="15606" width="1.42578125" style="1096" customWidth="1"/>
    <col min="15607" max="15607" width="2.140625" style="1096" customWidth="1"/>
    <col min="15608" max="15608" width="11.5703125" style="1096" customWidth="1"/>
    <col min="15609" max="15609" width="7" style="1096" customWidth="1"/>
    <col min="15610" max="15610" width="1.28515625" style="1096" customWidth="1"/>
    <col min="15611" max="15611" width="1.140625" style="1096" customWidth="1"/>
    <col min="15612" max="15612" width="1" style="1096" customWidth="1"/>
    <col min="15613" max="15613" width="1.5703125" style="1096" customWidth="1"/>
    <col min="15614" max="15614" width="5.28515625" style="1096" customWidth="1"/>
    <col min="15615" max="15615" width="1.140625" style="1096" customWidth="1"/>
    <col min="15616" max="15616" width="11.85546875" style="1096" customWidth="1"/>
    <col min="15617" max="15618" width="1.140625" style="1096" customWidth="1"/>
    <col min="15619" max="15619" width="1" style="1096" customWidth="1"/>
    <col min="15620" max="15620" width="1.140625" style="1096" customWidth="1"/>
    <col min="15621" max="15621" width="2.85546875" style="1096" customWidth="1"/>
    <col min="15622" max="15622" width="2.140625" style="1096" customWidth="1"/>
    <col min="15623" max="15623" width="3.42578125" style="1096" customWidth="1"/>
    <col min="15624" max="15624" width="9" style="1096" customWidth="1"/>
    <col min="15625" max="15625" width="1.5703125" style="1096" customWidth="1"/>
    <col min="15626" max="15626" width="1" style="1096" customWidth="1"/>
    <col min="15627" max="15627" width="1.140625" style="1096" customWidth="1"/>
    <col min="15628" max="15842" width="6.85546875" style="1096" customWidth="1"/>
    <col min="15843" max="15843" width="1.140625" style="1096" customWidth="1"/>
    <col min="15844" max="15844" width="2" style="1096" customWidth="1"/>
    <col min="15845" max="15846" width="1.7109375" style="1096" customWidth="1"/>
    <col min="15847" max="15847" width="1.42578125" style="1096" customWidth="1"/>
    <col min="15848" max="15848" width="1.140625" style="1096" customWidth="1"/>
    <col min="15849" max="15849" width="1" style="1096" customWidth="1"/>
    <col min="15850" max="15850" width="4.85546875" style="1096" customWidth="1"/>
    <col min="15851" max="15851" width="2.7109375" style="1096" customWidth="1"/>
    <col min="15852" max="15852" width="1.42578125" style="1096" customWidth="1"/>
    <col min="15853" max="15853" width="2.5703125" style="1096" customWidth="1"/>
    <col min="15854" max="15854" width="3" style="1096" customWidth="1"/>
    <col min="15855" max="15855" width="6.7109375" style="1096" customWidth="1"/>
    <col min="15856" max="15856" width="4.28515625" style="1096" customWidth="1"/>
    <col min="15857" max="15857" width="3.42578125" style="1096" customWidth="1"/>
    <col min="15858" max="15858" width="1.28515625" style="1096" customWidth="1"/>
    <col min="15859" max="15859" width="1.5703125" style="1096" customWidth="1"/>
    <col min="15860" max="15860" width="2.28515625" style="1096" customWidth="1"/>
    <col min="15861" max="15861" width="1" style="1096" customWidth="1"/>
    <col min="15862" max="15862" width="1.42578125" style="1096" customWidth="1"/>
    <col min="15863" max="15863" width="2.140625" style="1096" customWidth="1"/>
    <col min="15864" max="15864" width="11.5703125" style="1096" customWidth="1"/>
    <col min="15865" max="15865" width="7" style="1096" customWidth="1"/>
    <col min="15866" max="15866" width="1.28515625" style="1096" customWidth="1"/>
    <col min="15867" max="15867" width="1.140625" style="1096" customWidth="1"/>
    <col min="15868" max="15868" width="1" style="1096" customWidth="1"/>
    <col min="15869" max="15869" width="1.5703125" style="1096" customWidth="1"/>
    <col min="15870" max="15870" width="5.28515625" style="1096" customWidth="1"/>
    <col min="15871" max="15871" width="1.140625" style="1096" customWidth="1"/>
    <col min="15872" max="15872" width="11.85546875" style="1096" customWidth="1"/>
    <col min="15873" max="15874" width="1.140625" style="1096" customWidth="1"/>
    <col min="15875" max="15875" width="1" style="1096" customWidth="1"/>
    <col min="15876" max="15876" width="1.140625" style="1096" customWidth="1"/>
    <col min="15877" max="15877" width="2.85546875" style="1096" customWidth="1"/>
    <col min="15878" max="15878" width="2.140625" style="1096" customWidth="1"/>
    <col min="15879" max="15879" width="3.42578125" style="1096" customWidth="1"/>
    <col min="15880" max="15880" width="9" style="1096" customWidth="1"/>
    <col min="15881" max="15881" width="1.5703125" style="1096" customWidth="1"/>
    <col min="15882" max="15882" width="1" style="1096" customWidth="1"/>
    <col min="15883" max="15883" width="1.140625" style="1096" customWidth="1"/>
    <col min="15884" max="16098" width="6.85546875" style="1096" customWidth="1"/>
    <col min="16099" max="16099" width="1.140625" style="1096" customWidth="1"/>
    <col min="16100" max="16100" width="2" style="1096" customWidth="1"/>
    <col min="16101" max="16102" width="1.7109375" style="1096" customWidth="1"/>
    <col min="16103" max="16103" width="1.42578125" style="1096" customWidth="1"/>
    <col min="16104" max="16104" width="1.140625" style="1096" customWidth="1"/>
    <col min="16105" max="16105" width="1" style="1096" customWidth="1"/>
    <col min="16106" max="16106" width="4.85546875" style="1096" customWidth="1"/>
    <col min="16107" max="16107" width="2.7109375" style="1096" customWidth="1"/>
    <col min="16108" max="16108" width="1.42578125" style="1096" customWidth="1"/>
    <col min="16109" max="16109" width="2.5703125" style="1096" customWidth="1"/>
    <col min="16110" max="16110" width="3" style="1096" customWidth="1"/>
    <col min="16111" max="16111" width="6.7109375" style="1096" customWidth="1"/>
    <col min="16112" max="16112" width="4.28515625" style="1096" customWidth="1"/>
    <col min="16113" max="16113" width="3.42578125" style="1096" customWidth="1"/>
    <col min="16114" max="16114" width="1.28515625" style="1096" customWidth="1"/>
    <col min="16115" max="16115" width="1.5703125" style="1096" customWidth="1"/>
    <col min="16116" max="16116" width="2.28515625" style="1096" customWidth="1"/>
    <col min="16117" max="16117" width="1" style="1096" customWidth="1"/>
    <col min="16118" max="16118" width="1.42578125" style="1096" customWidth="1"/>
    <col min="16119" max="16119" width="2.140625" style="1096" customWidth="1"/>
    <col min="16120" max="16120" width="11.5703125" style="1096" customWidth="1"/>
    <col min="16121" max="16121" width="7" style="1096" customWidth="1"/>
    <col min="16122" max="16122" width="1.28515625" style="1096" customWidth="1"/>
    <col min="16123" max="16123" width="1.140625" style="1096" customWidth="1"/>
    <col min="16124" max="16124" width="1" style="1096" customWidth="1"/>
    <col min="16125" max="16125" width="1.5703125" style="1096" customWidth="1"/>
    <col min="16126" max="16126" width="5.28515625" style="1096" customWidth="1"/>
    <col min="16127" max="16127" width="1.140625" style="1096" customWidth="1"/>
    <col min="16128" max="16128" width="11.85546875" style="1096" customWidth="1"/>
    <col min="16129" max="16130" width="1.140625" style="1096" customWidth="1"/>
    <col min="16131" max="16131" width="1" style="1096" customWidth="1"/>
    <col min="16132" max="16132" width="1.140625" style="1096" customWidth="1"/>
    <col min="16133" max="16133" width="2.85546875" style="1096" customWidth="1"/>
    <col min="16134" max="16134" width="2.140625" style="1096" customWidth="1"/>
    <col min="16135" max="16135" width="3.42578125" style="1096" customWidth="1"/>
    <col min="16136" max="16136" width="9" style="1096" customWidth="1"/>
    <col min="16137" max="16137" width="1.5703125" style="1096" customWidth="1"/>
    <col min="16138" max="16138" width="1" style="1096" customWidth="1"/>
    <col min="16139" max="16139" width="1.140625" style="1096" customWidth="1"/>
    <col min="16140" max="16384" width="6.85546875" style="1096" customWidth="1"/>
  </cols>
  <sheetData>
    <row r="1" spans="2:8" s="1059" customFormat="1" ht="21" x14ac:dyDescent="0.35">
      <c r="B1" s="1099" t="s">
        <v>5834</v>
      </c>
      <c r="C1" s="1099"/>
      <c r="D1" s="1099"/>
      <c r="E1" s="1099"/>
      <c r="F1" s="1099"/>
      <c r="G1" s="1099"/>
      <c r="H1" s="1099"/>
    </row>
    <row r="2" spans="2:8" s="1059" customFormat="1" ht="21" x14ac:dyDescent="0.35">
      <c r="B2" s="1058"/>
      <c r="C2" s="1058"/>
      <c r="D2" s="1058"/>
      <c r="E2" s="1058"/>
    </row>
    <row r="3" spans="2:8" s="1059" customFormat="1" ht="21" x14ac:dyDescent="0.35">
      <c r="B3" s="1099" t="s">
        <v>11842</v>
      </c>
      <c r="C3" s="1099"/>
      <c r="D3" s="1099"/>
      <c r="E3" s="1099"/>
      <c r="F3" s="1099"/>
      <c r="G3" s="1099"/>
      <c r="H3" s="1099"/>
    </row>
    <row r="5" spans="2:8" x14ac:dyDescent="0.25">
      <c r="C5" s="1429" t="s">
        <v>11861</v>
      </c>
      <c r="D5" s="1429"/>
      <c r="E5" s="1429"/>
      <c r="F5" s="1429"/>
    </row>
    <row r="6" spans="2:8" x14ac:dyDescent="0.25">
      <c r="C6" s="1134"/>
      <c r="D6" s="1134"/>
      <c r="E6" s="1134"/>
      <c r="F6" s="1134"/>
    </row>
    <row r="7" spans="2:8" ht="15" customHeight="1" x14ac:dyDescent="0.25">
      <c r="C7" s="1428" t="s">
        <v>11843</v>
      </c>
      <c r="D7" s="1428"/>
      <c r="E7" s="1428"/>
      <c r="F7" s="1428"/>
      <c r="G7" s="1095"/>
      <c r="H7" s="1095"/>
    </row>
    <row r="8" spans="2:8" ht="15" customHeight="1" x14ac:dyDescent="0.25">
      <c r="C8" s="1124"/>
      <c r="D8" s="1124"/>
      <c r="E8" s="1124"/>
      <c r="F8" s="1124"/>
      <c r="G8" s="1095"/>
      <c r="H8" s="1095"/>
    </row>
    <row r="9" spans="2:8" ht="15" customHeight="1" x14ac:dyDescent="0.25">
      <c r="C9" s="1428" t="s">
        <v>11844</v>
      </c>
      <c r="D9" s="1428"/>
      <c r="E9" s="1428"/>
      <c r="F9" s="1095" t="s">
        <v>178</v>
      </c>
      <c r="G9" s="1095"/>
      <c r="H9" s="1095"/>
    </row>
    <row r="10" spans="2:8" ht="15.75" customHeight="1" x14ac:dyDescent="0.25">
      <c r="C10" s="1098" t="s">
        <v>11794</v>
      </c>
      <c r="D10" s="1106">
        <v>1</v>
      </c>
      <c r="E10" s="1107" t="s">
        <v>11795</v>
      </c>
      <c r="F10" s="1097">
        <f>'RECEITA E DESP. POR RECURSO'!AB8</f>
        <v>8346517.1699999999</v>
      </c>
      <c r="G10" s="1097"/>
      <c r="H10" s="1097"/>
    </row>
    <row r="11" spans="2:8" ht="15.75" customHeight="1" x14ac:dyDescent="0.25">
      <c r="C11" s="1098" t="s">
        <v>11794</v>
      </c>
      <c r="D11" s="1106">
        <v>20</v>
      </c>
      <c r="E11" s="1107" t="s">
        <v>11796</v>
      </c>
      <c r="F11" s="1097">
        <f>'RECEITA E DESP. POR RECURSO'!AB9</f>
        <v>1233302.32</v>
      </c>
      <c r="G11" s="1097"/>
      <c r="H11" s="1097"/>
    </row>
    <row r="12" spans="2:8" ht="15.75" customHeight="1" x14ac:dyDescent="0.25">
      <c r="C12" s="1098" t="s">
        <v>11794</v>
      </c>
      <c r="D12" s="1106">
        <v>31</v>
      </c>
      <c r="E12" s="1107" t="s">
        <v>11797</v>
      </c>
      <c r="F12" s="1097">
        <f>'RECEITA E DESP. POR RECURSO'!AB10</f>
        <v>2898568.9</v>
      </c>
      <c r="G12" s="1097"/>
      <c r="H12" s="1097"/>
    </row>
    <row r="13" spans="2:8" ht="15.75" customHeight="1" x14ac:dyDescent="0.25">
      <c r="C13" s="1098" t="s">
        <v>11794</v>
      </c>
      <c r="D13" s="1106">
        <v>40</v>
      </c>
      <c r="E13" s="1107" t="s">
        <v>11798</v>
      </c>
      <c r="F13" s="1097">
        <f>'RECEITA E DESP. POR RECURSO'!AB11</f>
        <v>3093294.11</v>
      </c>
      <c r="G13" s="1097"/>
      <c r="H13" s="1097"/>
    </row>
    <row r="14" spans="2:8" ht="15.75" customHeight="1" x14ac:dyDescent="0.25">
      <c r="C14" s="1098" t="s">
        <v>11794</v>
      </c>
      <c r="D14" s="1106">
        <v>1009</v>
      </c>
      <c r="E14" s="1107" t="s">
        <v>11799</v>
      </c>
      <c r="F14" s="1097">
        <f>'RECEITA E DESP. POR RECURSO'!AB12</f>
        <v>47378.26</v>
      </c>
      <c r="G14" s="1097"/>
      <c r="H14" s="1097"/>
    </row>
    <row r="15" spans="2:8" ht="15.75" customHeight="1" x14ac:dyDescent="0.25">
      <c r="C15" s="1098" t="s">
        <v>11794</v>
      </c>
      <c r="D15" s="1106">
        <v>1011</v>
      </c>
      <c r="E15" s="1107" t="s">
        <v>11800</v>
      </c>
      <c r="F15" s="1097">
        <f>'RECEITA E DESP. POR RECURSO'!AB13</f>
        <v>279468.08</v>
      </c>
      <c r="G15" s="1097"/>
      <c r="H15" s="1097"/>
    </row>
    <row r="16" spans="2:8" ht="15.75" customHeight="1" x14ac:dyDescent="0.25">
      <c r="C16" s="1098" t="s">
        <v>11794</v>
      </c>
      <c r="D16" s="1106">
        <v>1013</v>
      </c>
      <c r="E16" s="1107" t="s">
        <v>11801</v>
      </c>
      <c r="F16" s="1097">
        <v>375635.28</v>
      </c>
      <c r="G16" s="1097"/>
      <c r="H16" s="1097"/>
    </row>
    <row r="17" spans="3:8" ht="15.75" customHeight="1" x14ac:dyDescent="0.25">
      <c r="C17" s="1098" t="s">
        <v>11794</v>
      </c>
      <c r="D17" s="1106">
        <v>1048</v>
      </c>
      <c r="E17" s="1107" t="s">
        <v>20</v>
      </c>
      <c r="F17" s="1097">
        <v>25094.18</v>
      </c>
      <c r="G17" s="1097"/>
      <c r="H17" s="1097"/>
    </row>
    <row r="18" spans="3:8" ht="15.75" customHeight="1" x14ac:dyDescent="0.25">
      <c r="C18" s="1098" t="s">
        <v>11794</v>
      </c>
      <c r="D18" s="1106">
        <v>1049</v>
      </c>
      <c r="E18" s="1107" t="s">
        <v>11802</v>
      </c>
      <c r="F18" s="1097">
        <v>131410.53</v>
      </c>
      <c r="G18" s="1097"/>
      <c r="H18" s="1097"/>
    </row>
    <row r="19" spans="3:8" ht="15.75" customHeight="1" x14ac:dyDescent="0.25">
      <c r="C19" s="1098" t="s">
        <v>11794</v>
      </c>
      <c r="D19" s="1106">
        <v>1053</v>
      </c>
      <c r="E19" s="1107" t="s">
        <v>11803</v>
      </c>
      <c r="F19" s="1097">
        <v>1500</v>
      </c>
      <c r="G19" s="1097"/>
      <c r="H19" s="1097"/>
    </row>
    <row r="20" spans="3:8" ht="15.75" customHeight="1" x14ac:dyDescent="0.25">
      <c r="C20" s="1098" t="s">
        <v>11794</v>
      </c>
      <c r="D20" s="1106">
        <v>1073</v>
      </c>
      <c r="E20" s="1107" t="s">
        <v>11804</v>
      </c>
      <c r="F20" s="1097">
        <v>2017.53</v>
      </c>
      <c r="G20" s="1097"/>
      <c r="H20" s="1097"/>
    </row>
    <row r="21" spans="3:8" ht="15.75" customHeight="1" x14ac:dyDescent="0.25">
      <c r="C21" s="1098" t="s">
        <v>11794</v>
      </c>
      <c r="D21" s="1106">
        <v>1074</v>
      </c>
      <c r="E21" s="1107" t="s">
        <v>50</v>
      </c>
      <c r="F21" s="1097">
        <v>2789.6</v>
      </c>
      <c r="G21" s="1097"/>
      <c r="H21" s="1097"/>
    </row>
    <row r="22" spans="3:8" ht="15.75" customHeight="1" x14ac:dyDescent="0.25">
      <c r="C22" s="1098" t="s">
        <v>11794</v>
      </c>
      <c r="D22" s="1106">
        <v>1076</v>
      </c>
      <c r="E22" s="1098" t="s">
        <v>11805</v>
      </c>
      <c r="F22" s="1097">
        <v>5000</v>
      </c>
      <c r="G22" s="1097"/>
      <c r="H22" s="1097"/>
    </row>
    <row r="23" spans="3:8" ht="15.75" customHeight="1" x14ac:dyDescent="0.25">
      <c r="C23" s="1098" t="s">
        <v>11794</v>
      </c>
      <c r="D23" s="1106">
        <v>1087</v>
      </c>
      <c r="E23" s="1107" t="s">
        <v>11806</v>
      </c>
      <c r="F23" s="1097">
        <v>100659.37</v>
      </c>
      <c r="G23" s="1097"/>
      <c r="H23" s="1097"/>
    </row>
    <row r="24" spans="3:8" ht="15.75" customHeight="1" x14ac:dyDescent="0.25">
      <c r="C24" s="1098" t="s">
        <v>11794</v>
      </c>
      <c r="D24" s="1106">
        <v>1091</v>
      </c>
      <c r="E24" s="1107" t="s">
        <v>11807</v>
      </c>
      <c r="F24" s="1097">
        <v>1000</v>
      </c>
      <c r="G24" s="1097"/>
      <c r="H24" s="1097"/>
    </row>
    <row r="25" spans="3:8" ht="15.75" customHeight="1" x14ac:dyDescent="0.25">
      <c r="C25" s="1098" t="s">
        <v>11794</v>
      </c>
      <c r="D25" s="1106">
        <v>1099</v>
      </c>
      <c r="E25" s="1107" t="s">
        <v>11808</v>
      </c>
      <c r="F25" s="1097">
        <v>179.61</v>
      </c>
      <c r="G25" s="1097"/>
      <c r="H25" s="1097"/>
    </row>
    <row r="26" spans="3:8" ht="15.75" customHeight="1" x14ac:dyDescent="0.25">
      <c r="C26" s="1098" t="s">
        <v>11794</v>
      </c>
      <c r="D26" s="1106">
        <v>1106</v>
      </c>
      <c r="E26" s="1107" t="s">
        <v>11809</v>
      </c>
      <c r="F26" s="1097">
        <v>166.17</v>
      </c>
      <c r="G26" s="1097"/>
      <c r="H26" s="1097"/>
    </row>
    <row r="27" spans="3:8" ht="15.75" customHeight="1" x14ac:dyDescent="0.25">
      <c r="C27" s="1098" t="s">
        <v>11794</v>
      </c>
      <c r="D27" s="1106">
        <v>1109</v>
      </c>
      <c r="E27" s="1107" t="s">
        <v>11810</v>
      </c>
      <c r="F27" s="1097">
        <v>57363.12</v>
      </c>
      <c r="G27" s="1097"/>
      <c r="H27" s="1097"/>
    </row>
    <row r="28" spans="3:8" ht="15.75" customHeight="1" x14ac:dyDescent="0.25">
      <c r="C28" s="1098" t="s">
        <v>11794</v>
      </c>
      <c r="D28" s="1106">
        <v>1110</v>
      </c>
      <c r="E28" s="1107" t="s">
        <v>741</v>
      </c>
      <c r="F28" s="1097">
        <v>54060.62</v>
      </c>
      <c r="G28" s="1097"/>
      <c r="H28" s="1097"/>
    </row>
    <row r="29" spans="3:8" ht="15.75" customHeight="1" x14ac:dyDescent="0.25">
      <c r="C29" s="1098" t="s">
        <v>11794</v>
      </c>
      <c r="D29" s="1106">
        <v>1127</v>
      </c>
      <c r="E29" s="1107" t="s">
        <v>11811</v>
      </c>
      <c r="F29" s="1097">
        <v>5000</v>
      </c>
      <c r="G29" s="1097"/>
      <c r="H29" s="1097"/>
    </row>
    <row r="30" spans="3:8" ht="15.75" customHeight="1" x14ac:dyDescent="0.25">
      <c r="C30" s="1098" t="s">
        <v>11794</v>
      </c>
      <c r="D30" s="1106">
        <v>1128</v>
      </c>
      <c r="E30" s="1107" t="s">
        <v>11812</v>
      </c>
      <c r="F30" s="1097">
        <v>6395.36</v>
      </c>
      <c r="G30" s="1097"/>
      <c r="H30" s="1097"/>
    </row>
    <row r="31" spans="3:8" ht="15.75" customHeight="1" x14ac:dyDescent="0.25">
      <c r="C31" s="1098" t="s">
        <v>11794</v>
      </c>
      <c r="D31" s="1106">
        <v>1143</v>
      </c>
      <c r="E31" s="1107" t="s">
        <v>11813</v>
      </c>
      <c r="F31" s="1097">
        <v>100</v>
      </c>
      <c r="G31" s="1097"/>
      <c r="H31" s="1097"/>
    </row>
    <row r="32" spans="3:8" ht="15.75" customHeight="1" x14ac:dyDescent="0.25">
      <c r="C32" s="1098" t="s">
        <v>11794</v>
      </c>
      <c r="D32" s="1106">
        <v>1144</v>
      </c>
      <c r="E32" s="1107" t="s">
        <v>11814</v>
      </c>
      <c r="F32" s="1097">
        <v>500</v>
      </c>
      <c r="G32" s="1097"/>
      <c r="H32" s="1097"/>
    </row>
    <row r="33" spans="3:8" ht="15.75" customHeight="1" x14ac:dyDescent="0.25">
      <c r="C33" s="1098" t="s">
        <v>11794</v>
      </c>
      <c r="D33" s="1106">
        <v>1146</v>
      </c>
      <c r="E33" s="1098" t="s">
        <v>11815</v>
      </c>
      <c r="F33" s="1097">
        <v>3060.62</v>
      </c>
      <c r="G33" s="1097"/>
      <c r="H33" s="1097"/>
    </row>
    <row r="34" spans="3:8" ht="15.75" customHeight="1" x14ac:dyDescent="0.25">
      <c r="C34" s="1098" t="s">
        <v>11794</v>
      </c>
      <c r="D34" s="1106">
        <v>1149</v>
      </c>
      <c r="E34" s="1107" t="s">
        <v>6582</v>
      </c>
      <c r="F34" s="1097">
        <v>27993.25</v>
      </c>
      <c r="G34" s="1097"/>
      <c r="H34" s="1097"/>
    </row>
    <row r="35" spans="3:8" ht="15.75" customHeight="1" x14ac:dyDescent="0.25">
      <c r="C35" s="1098" t="s">
        <v>11794</v>
      </c>
      <c r="D35" s="1106">
        <v>1152</v>
      </c>
      <c r="E35" s="1107" t="s">
        <v>11816</v>
      </c>
      <c r="F35" s="1097">
        <v>10060.620000000001</v>
      </c>
      <c r="G35" s="1097"/>
      <c r="H35" s="1097"/>
    </row>
    <row r="36" spans="3:8" ht="15.75" customHeight="1" x14ac:dyDescent="0.25">
      <c r="C36" s="1098" t="s">
        <v>11794</v>
      </c>
      <c r="D36" s="1106">
        <v>1153</v>
      </c>
      <c r="E36" s="1107" t="s">
        <v>11817</v>
      </c>
      <c r="F36" s="1097">
        <v>15060.62</v>
      </c>
      <c r="G36" s="1097"/>
      <c r="H36" s="1097"/>
    </row>
    <row r="37" spans="3:8" ht="15.75" customHeight="1" x14ac:dyDescent="0.25">
      <c r="C37" s="1098" t="s">
        <v>11794</v>
      </c>
      <c r="D37" s="1106">
        <v>1155</v>
      </c>
      <c r="E37" s="1107" t="s">
        <v>11818</v>
      </c>
      <c r="F37" s="1097">
        <v>25060.62</v>
      </c>
      <c r="G37" s="1097"/>
      <c r="H37" s="1097"/>
    </row>
    <row r="38" spans="3:8" ht="15.75" customHeight="1" x14ac:dyDescent="0.25">
      <c r="C38" s="1098" t="s">
        <v>11794</v>
      </c>
      <c r="D38" s="1106">
        <v>1156</v>
      </c>
      <c r="E38" s="1107" t="s">
        <v>11819</v>
      </c>
      <c r="F38" s="1097">
        <v>234200</v>
      </c>
      <c r="G38" s="1097"/>
      <c r="H38" s="1097"/>
    </row>
    <row r="39" spans="3:8" ht="15.75" customHeight="1" x14ac:dyDescent="0.25">
      <c r="C39" s="1098" t="s">
        <v>11794</v>
      </c>
      <c r="D39" s="1106">
        <v>1157</v>
      </c>
      <c r="E39" s="1107" t="s">
        <v>11820</v>
      </c>
      <c r="F39" s="1097">
        <v>100100</v>
      </c>
      <c r="G39" s="1097"/>
      <c r="H39" s="1097"/>
    </row>
    <row r="40" spans="3:8" ht="15.75" customHeight="1" x14ac:dyDescent="0.25">
      <c r="C40" s="1098" t="s">
        <v>11794</v>
      </c>
      <c r="D40" s="1106">
        <v>1158</v>
      </c>
      <c r="E40" s="1107" t="s">
        <v>11821</v>
      </c>
      <c r="F40" s="1097">
        <v>30100</v>
      </c>
      <c r="G40" s="1097"/>
      <c r="H40" s="1097"/>
    </row>
    <row r="41" spans="3:8" ht="15.75" customHeight="1" x14ac:dyDescent="0.25">
      <c r="C41" s="1098" t="s">
        <v>11794</v>
      </c>
      <c r="D41" s="1106">
        <v>1159</v>
      </c>
      <c r="E41" s="1098" t="s">
        <v>11822</v>
      </c>
      <c r="F41" s="1097">
        <v>133400</v>
      </c>
      <c r="G41" s="1097"/>
      <c r="H41" s="1097"/>
    </row>
    <row r="42" spans="3:8" ht="15.75" customHeight="1" x14ac:dyDescent="0.25">
      <c r="C42" s="1098" t="s">
        <v>11794</v>
      </c>
      <c r="D42" s="1106">
        <v>1160</v>
      </c>
      <c r="E42" s="1098" t="s">
        <v>11823</v>
      </c>
      <c r="F42" s="1097">
        <v>100100</v>
      </c>
      <c r="G42" s="1097"/>
      <c r="H42" s="1097"/>
    </row>
    <row r="43" spans="3:8" ht="15.75" customHeight="1" x14ac:dyDescent="0.25">
      <c r="C43" s="1098" t="s">
        <v>11794</v>
      </c>
      <c r="D43" s="1106">
        <v>4011</v>
      </c>
      <c r="E43" s="1107" t="s">
        <v>11824</v>
      </c>
      <c r="F43" s="1097">
        <v>155111.04999999999</v>
      </c>
      <c r="G43" s="1097"/>
      <c r="H43" s="1097"/>
    </row>
    <row r="44" spans="3:8" ht="15.75" customHeight="1" x14ac:dyDescent="0.25">
      <c r="C44" s="1098" t="s">
        <v>11794</v>
      </c>
      <c r="D44" s="1106">
        <v>4050</v>
      </c>
      <c r="E44" s="1107" t="s">
        <v>11825</v>
      </c>
      <c r="F44" s="1097">
        <v>10794.64</v>
      </c>
      <c r="G44" s="1097"/>
      <c r="H44" s="1097"/>
    </row>
    <row r="45" spans="3:8" ht="15.75" customHeight="1" x14ac:dyDescent="0.25">
      <c r="C45" s="1098" t="s">
        <v>11794</v>
      </c>
      <c r="D45" s="1106">
        <v>4051</v>
      </c>
      <c r="E45" s="1107" t="s">
        <v>11826</v>
      </c>
      <c r="F45" s="1097">
        <v>9912.2900000000009</v>
      </c>
      <c r="G45" s="1097"/>
      <c r="H45" s="1097"/>
    </row>
    <row r="46" spans="3:8" ht="15.75" customHeight="1" x14ac:dyDescent="0.25">
      <c r="C46" s="1098" t="s">
        <v>11794</v>
      </c>
      <c r="D46" s="1106">
        <v>4070</v>
      </c>
      <c r="E46" s="1107" t="s">
        <v>11827</v>
      </c>
      <c r="F46" s="1097">
        <v>158221.25</v>
      </c>
      <c r="G46" s="1097"/>
      <c r="H46" s="1097"/>
    </row>
    <row r="47" spans="3:8" ht="15.75" customHeight="1" x14ac:dyDescent="0.25">
      <c r="C47" s="1098" t="s">
        <v>11794</v>
      </c>
      <c r="D47" s="1106">
        <v>4090</v>
      </c>
      <c r="E47" s="1107" t="s">
        <v>11828</v>
      </c>
      <c r="F47" s="1097">
        <v>35408.61</v>
      </c>
      <c r="G47" s="1097"/>
      <c r="H47" s="1097"/>
    </row>
    <row r="48" spans="3:8" ht="15.75" customHeight="1" x14ac:dyDescent="0.25">
      <c r="C48" s="1098" t="s">
        <v>11794</v>
      </c>
      <c r="D48" s="1106">
        <v>4190</v>
      </c>
      <c r="E48" s="1107" t="s">
        <v>11829</v>
      </c>
      <c r="F48" s="1097">
        <v>3508.54</v>
      </c>
      <c r="G48" s="1097"/>
      <c r="H48" s="1097"/>
    </row>
    <row r="49" spans="3:9" ht="15.75" customHeight="1" x14ac:dyDescent="0.25">
      <c r="C49" s="1098" t="s">
        <v>11794</v>
      </c>
      <c r="D49" s="1106">
        <v>4241</v>
      </c>
      <c r="E49" s="1107" t="s">
        <v>11830</v>
      </c>
      <c r="F49" s="1097">
        <v>35200</v>
      </c>
      <c r="G49" s="1097"/>
      <c r="H49" s="1097"/>
    </row>
    <row r="50" spans="3:9" ht="15.75" customHeight="1" x14ac:dyDescent="0.25">
      <c r="C50" s="1098" t="s">
        <v>11794</v>
      </c>
      <c r="D50" s="1106">
        <v>4292</v>
      </c>
      <c r="E50" s="1098" t="s">
        <v>11831</v>
      </c>
      <c r="F50" s="1097">
        <v>115100</v>
      </c>
      <c r="G50" s="1097"/>
      <c r="H50" s="1097"/>
    </row>
    <row r="51" spans="3:9" ht="15.75" customHeight="1" x14ac:dyDescent="0.25">
      <c r="C51" s="1098" t="s">
        <v>11794</v>
      </c>
      <c r="D51" s="1106">
        <v>4293</v>
      </c>
      <c r="E51" s="1107" t="s">
        <v>11832</v>
      </c>
      <c r="F51" s="1097">
        <v>90400</v>
      </c>
      <c r="G51" s="1097"/>
      <c r="H51" s="1097"/>
      <c r="I51" s="1097"/>
    </row>
    <row r="52" spans="3:9" ht="15.75" customHeight="1" x14ac:dyDescent="0.25">
      <c r="C52" s="1098" t="s">
        <v>11794</v>
      </c>
      <c r="D52" s="1106">
        <v>4295</v>
      </c>
      <c r="E52" s="1107" t="s">
        <v>11833</v>
      </c>
      <c r="F52" s="1097">
        <v>35100</v>
      </c>
      <c r="G52" s="1097"/>
      <c r="H52" s="1097"/>
      <c r="I52" s="1097"/>
    </row>
    <row r="53" spans="3:9" ht="15.75" customHeight="1" x14ac:dyDescent="0.25">
      <c r="C53" s="1098" t="s">
        <v>11794</v>
      </c>
      <c r="D53" s="1106">
        <v>4510</v>
      </c>
      <c r="E53" s="1107" t="s">
        <v>11834</v>
      </c>
      <c r="F53" s="1097">
        <v>130037.27</v>
      </c>
      <c r="G53" s="1097"/>
      <c r="H53" s="1097"/>
      <c r="I53" s="1097"/>
    </row>
    <row r="54" spans="3:9" ht="15.75" customHeight="1" x14ac:dyDescent="0.25">
      <c r="C54" s="1098" t="s">
        <v>11794</v>
      </c>
      <c r="D54" s="1106">
        <v>4580</v>
      </c>
      <c r="E54" s="1107" t="s">
        <v>11835</v>
      </c>
      <c r="F54" s="1097">
        <v>24448.58</v>
      </c>
      <c r="G54" s="1097"/>
      <c r="H54" s="1097"/>
      <c r="I54" s="1097"/>
    </row>
    <row r="55" spans="3:9" ht="15.75" customHeight="1" x14ac:dyDescent="0.25">
      <c r="C55" s="1098" t="s">
        <v>11794</v>
      </c>
      <c r="D55" s="1106">
        <v>4770</v>
      </c>
      <c r="E55" s="1107" t="s">
        <v>11836</v>
      </c>
      <c r="F55" s="1097">
        <v>23721.83</v>
      </c>
      <c r="G55" s="1097"/>
      <c r="H55" s="1097"/>
      <c r="I55" s="1097"/>
    </row>
    <row r="56" spans="3:9" ht="15.75" customHeight="1" x14ac:dyDescent="0.25">
      <c r="C56" s="1098" t="s">
        <v>11794</v>
      </c>
      <c r="D56" s="1106">
        <v>4911</v>
      </c>
      <c r="E56" s="1107" t="s">
        <v>11837</v>
      </c>
      <c r="F56" s="1097">
        <v>300</v>
      </c>
      <c r="G56" s="1097"/>
      <c r="H56" s="1097"/>
      <c r="I56" s="1097"/>
    </row>
    <row r="57" spans="3:9" ht="15.75" customHeight="1" x14ac:dyDescent="0.25">
      <c r="C57" s="1098" t="s">
        <v>11794</v>
      </c>
      <c r="D57" s="1106">
        <v>4931</v>
      </c>
      <c r="E57" s="1098" t="s">
        <v>11838</v>
      </c>
      <c r="F57" s="1097">
        <v>1000</v>
      </c>
      <c r="G57" s="1097"/>
      <c r="H57" s="1097"/>
      <c r="I57" s="1097"/>
    </row>
    <row r="58" spans="3:9" ht="15.75" customHeight="1" x14ac:dyDescent="0.25">
      <c r="C58" s="1098" t="s">
        <v>11794</v>
      </c>
      <c r="D58" s="1106">
        <v>4935</v>
      </c>
      <c r="E58" s="1098" t="s">
        <v>11839</v>
      </c>
      <c r="F58" s="1097">
        <v>75100</v>
      </c>
      <c r="G58" s="1097"/>
      <c r="H58" s="1097"/>
      <c r="I58" s="1097"/>
    </row>
    <row r="59" spans="3:9" ht="15.75" customHeight="1" x14ac:dyDescent="0.25">
      <c r="C59" s="1098" t="s">
        <v>11794</v>
      </c>
      <c r="D59" s="1106">
        <v>4940</v>
      </c>
      <c r="E59" s="1107" t="s">
        <v>3817</v>
      </c>
      <c r="F59" s="1097">
        <v>50100</v>
      </c>
      <c r="G59" s="1097"/>
      <c r="H59" s="1097"/>
      <c r="I59" s="1097"/>
    </row>
    <row r="60" spans="3:9" ht="15.75" customHeight="1" x14ac:dyDescent="0.25">
      <c r="C60" s="1428" t="s">
        <v>11840</v>
      </c>
      <c r="D60" s="1428"/>
      <c r="E60" s="1428"/>
      <c r="F60" s="1108">
        <f>SUM(F10:H59)</f>
        <v>18299999.999999985</v>
      </c>
      <c r="G60" s="1108"/>
      <c r="H60" s="1108"/>
      <c r="I60" s="1097"/>
    </row>
  </sheetData>
  <mergeCells count="4">
    <mergeCell ref="C7:F7"/>
    <mergeCell ref="C9:E9"/>
    <mergeCell ref="C60:E60"/>
    <mergeCell ref="C5:F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topLeftCell="A46" workbookViewId="0">
      <selection activeCell="A38" sqref="A38:D51"/>
    </sheetView>
  </sheetViews>
  <sheetFormatPr defaultColWidth="21" defaultRowHeight="13.5" customHeight="1" x14ac:dyDescent="0.25"/>
  <cols>
    <col min="1" max="1" width="46.85546875" style="236" customWidth="1"/>
    <col min="2" max="3" width="21" style="236"/>
    <col min="4" max="4" width="22.85546875" style="236" customWidth="1"/>
    <col min="5" max="16384" width="21" style="236"/>
  </cols>
  <sheetData>
    <row r="1" spans="1:5" ht="13.5" customHeight="1" x14ac:dyDescent="0.25">
      <c r="A1" s="1431" t="s">
        <v>11862</v>
      </c>
      <c r="B1" s="1431"/>
      <c r="C1" s="1431"/>
      <c r="D1" s="1431"/>
      <c r="E1" s="254"/>
    </row>
    <row r="2" spans="1:5" ht="13.5" customHeight="1" x14ac:dyDescent="0.25">
      <c r="A2" s="255"/>
      <c r="B2" s="255"/>
      <c r="C2" s="255"/>
      <c r="D2" s="255"/>
      <c r="E2" s="254"/>
    </row>
    <row r="3" spans="1:5" ht="13.5" customHeight="1" x14ac:dyDescent="0.25">
      <c r="A3" s="1430" t="s">
        <v>2082</v>
      </c>
      <c r="B3" s="1430"/>
      <c r="C3" s="1430"/>
      <c r="D3" s="1430"/>
      <c r="E3" s="256"/>
    </row>
    <row r="4" spans="1:5" ht="13.5" customHeight="1" thickBot="1" x14ac:dyDescent="0.3">
      <c r="A4" s="257"/>
      <c r="B4" s="257"/>
      <c r="C4" s="257"/>
      <c r="D4" s="257"/>
      <c r="E4" s="256"/>
    </row>
    <row r="5" spans="1:5" s="235" customFormat="1" ht="13.5" customHeight="1" x14ac:dyDescent="0.25">
      <c r="A5" s="258" t="s">
        <v>215</v>
      </c>
      <c r="B5" s="259" t="s">
        <v>145</v>
      </c>
      <c r="C5" s="259" t="s">
        <v>146</v>
      </c>
      <c r="D5" s="260" t="s">
        <v>75</v>
      </c>
    </row>
    <row r="6" spans="1:5" ht="13.5" customHeight="1" x14ac:dyDescent="0.25">
      <c r="A6" s="261" t="s">
        <v>2051</v>
      </c>
      <c r="B6" s="1100">
        <f>SUM(B7:B14)</f>
        <v>16021185.08</v>
      </c>
      <c r="C6" s="1100">
        <f>SUM(C7:C14)</f>
        <v>3595162.1700000004</v>
      </c>
      <c r="D6" s="1101">
        <f>C6+B6</f>
        <v>19616347.25</v>
      </c>
    </row>
    <row r="7" spans="1:5" ht="13.5" customHeight="1" x14ac:dyDescent="0.25">
      <c r="A7" s="262" t="s">
        <v>1958</v>
      </c>
      <c r="B7" s="1102">
        <v>400205.17</v>
      </c>
      <c r="C7" s="1102">
        <v>113936.54</v>
      </c>
      <c r="D7" s="1103">
        <v>514141.71</v>
      </c>
    </row>
    <row r="8" spans="1:5" ht="13.5" customHeight="1" x14ac:dyDescent="0.25">
      <c r="A8" s="262" t="s">
        <v>2052</v>
      </c>
      <c r="B8" s="1102">
        <v>0</v>
      </c>
      <c r="C8" s="1102">
        <v>0</v>
      </c>
      <c r="D8" s="1103">
        <v>0</v>
      </c>
    </row>
    <row r="9" spans="1:5" ht="13.5" customHeight="1" x14ac:dyDescent="0.25">
      <c r="A9" s="262" t="s">
        <v>252</v>
      </c>
      <c r="B9" s="1102">
        <v>80840.160000000003</v>
      </c>
      <c r="C9" s="1102">
        <v>8222.83</v>
      </c>
      <c r="D9" s="1103">
        <v>89062.99</v>
      </c>
    </row>
    <row r="10" spans="1:5" ht="13.5" customHeight="1" x14ac:dyDescent="0.25">
      <c r="A10" s="262" t="s">
        <v>2053</v>
      </c>
      <c r="B10" s="1102">
        <v>0</v>
      </c>
      <c r="C10" s="1102">
        <v>0</v>
      </c>
      <c r="D10" s="1103">
        <v>0</v>
      </c>
    </row>
    <row r="11" spans="1:5" ht="13.5" customHeight="1" x14ac:dyDescent="0.25">
      <c r="A11" s="262" t="s">
        <v>2054</v>
      </c>
      <c r="B11" s="1102">
        <v>0</v>
      </c>
      <c r="C11" s="1102">
        <v>0</v>
      </c>
      <c r="D11" s="1103">
        <v>0</v>
      </c>
    </row>
    <row r="12" spans="1:5" ht="13.5" customHeight="1" x14ac:dyDescent="0.25">
      <c r="A12" s="262" t="s">
        <v>1733</v>
      </c>
      <c r="B12" s="1102">
        <v>87283.25</v>
      </c>
      <c r="C12" s="1102">
        <v>0</v>
      </c>
      <c r="D12" s="1103">
        <v>87283.25</v>
      </c>
    </row>
    <row r="13" spans="1:5" ht="13.5" customHeight="1" x14ac:dyDescent="0.25">
      <c r="A13" s="262" t="s">
        <v>1748</v>
      </c>
      <c r="B13" s="1102">
        <v>14758329.41</v>
      </c>
      <c r="C13" s="1102">
        <v>3471391.95</v>
      </c>
      <c r="D13" s="1103">
        <v>18229721.359999999</v>
      </c>
    </row>
    <row r="14" spans="1:5" ht="13.5" customHeight="1" x14ac:dyDescent="0.25">
      <c r="A14" s="262" t="s">
        <v>1805</v>
      </c>
      <c r="B14" s="1102">
        <v>694527.09</v>
      </c>
      <c r="C14" s="1102">
        <v>1610.85</v>
      </c>
      <c r="D14" s="1103">
        <v>696137.94</v>
      </c>
    </row>
    <row r="15" spans="1:5" ht="13.5" customHeight="1" x14ac:dyDescent="0.25">
      <c r="A15" s="261" t="s">
        <v>2055</v>
      </c>
      <c r="B15" s="1100">
        <f>SUM(B16:B20)</f>
        <v>607500</v>
      </c>
      <c r="C15" s="1100">
        <f>SUM(C16:C20)</f>
        <v>452100</v>
      </c>
      <c r="D15" s="1101">
        <f>C15+B15</f>
        <v>1059600</v>
      </c>
    </row>
    <row r="16" spans="1:5" ht="13.5" customHeight="1" x14ac:dyDescent="0.25">
      <c r="A16" s="262" t="s">
        <v>2056</v>
      </c>
      <c r="B16" s="1102">
        <v>0</v>
      </c>
      <c r="C16" s="1102">
        <v>0</v>
      </c>
      <c r="D16" s="1103">
        <v>0</v>
      </c>
    </row>
    <row r="17" spans="1:5" ht="13.5" customHeight="1" x14ac:dyDescent="0.25">
      <c r="A17" s="262" t="s">
        <v>2057</v>
      </c>
      <c r="B17" s="1102">
        <v>4000</v>
      </c>
      <c r="C17" s="1102">
        <v>0</v>
      </c>
      <c r="D17" s="1103">
        <v>4000</v>
      </c>
    </row>
    <row r="18" spans="1:5" ht="13.5" customHeight="1" x14ac:dyDescent="0.25">
      <c r="A18" s="262" t="s">
        <v>2058</v>
      </c>
      <c r="B18" s="1102">
        <v>0</v>
      </c>
      <c r="C18" s="1102">
        <v>0</v>
      </c>
      <c r="D18" s="1103">
        <v>0</v>
      </c>
    </row>
    <row r="19" spans="1:5" ht="13.5" customHeight="1" x14ac:dyDescent="0.25">
      <c r="A19" s="262" t="s">
        <v>2059</v>
      </c>
      <c r="B19" s="1102">
        <v>589000</v>
      </c>
      <c r="C19" s="1102">
        <v>450000</v>
      </c>
      <c r="D19" s="1103">
        <v>1039000</v>
      </c>
    </row>
    <row r="20" spans="1:5" ht="13.5" customHeight="1" x14ac:dyDescent="0.25">
      <c r="A20" s="262" t="s">
        <v>1874</v>
      </c>
      <c r="B20" s="1102">
        <v>14500</v>
      </c>
      <c r="C20" s="1102">
        <v>2100</v>
      </c>
      <c r="D20" s="1103">
        <v>16600</v>
      </c>
    </row>
    <row r="21" spans="1:5" s="235" customFormat="1" ht="13.5" customHeight="1" x14ac:dyDescent="0.25">
      <c r="A21" s="261" t="s">
        <v>2060</v>
      </c>
      <c r="B21" s="1100">
        <v>0</v>
      </c>
      <c r="C21" s="1100">
        <v>0</v>
      </c>
      <c r="D21" s="1101">
        <v>0</v>
      </c>
    </row>
    <row r="22" spans="1:5" s="235" customFormat="1" ht="13.5" customHeight="1" x14ac:dyDescent="0.25">
      <c r="A22" s="261" t="s">
        <v>2061</v>
      </c>
      <c r="B22" s="1100">
        <v>0</v>
      </c>
      <c r="C22" s="1100">
        <v>0</v>
      </c>
      <c r="D22" s="1101">
        <v>0</v>
      </c>
      <c r="E22" s="1047"/>
    </row>
    <row r="23" spans="1:5" ht="13.5" customHeight="1" x14ac:dyDescent="0.25">
      <c r="A23" s="261" t="s">
        <v>2062</v>
      </c>
      <c r="B23" s="1100">
        <f>SUM(B24:B30)</f>
        <v>0</v>
      </c>
      <c r="C23" s="1100">
        <f>SUM(C24:C30)</f>
        <v>0</v>
      </c>
      <c r="D23" s="1101">
        <f>C23+B23</f>
        <v>0</v>
      </c>
    </row>
    <row r="24" spans="1:5" ht="13.5" customHeight="1" x14ac:dyDescent="0.25">
      <c r="A24" s="262" t="s">
        <v>2063</v>
      </c>
      <c r="B24" s="1102">
        <v>0</v>
      </c>
      <c r="C24" s="1102">
        <v>0</v>
      </c>
      <c r="D24" s="1103">
        <v>0</v>
      </c>
    </row>
    <row r="25" spans="1:5" ht="13.5" customHeight="1" x14ac:dyDescent="0.25">
      <c r="A25" s="262" t="s">
        <v>2064</v>
      </c>
      <c r="B25" s="1102">
        <v>0</v>
      </c>
      <c r="C25" s="1102">
        <v>0</v>
      </c>
      <c r="D25" s="1103">
        <v>0</v>
      </c>
    </row>
    <row r="26" spans="1:5" ht="13.5" customHeight="1" x14ac:dyDescent="0.25">
      <c r="A26" s="262" t="s">
        <v>2065</v>
      </c>
      <c r="B26" s="1102">
        <v>0</v>
      </c>
      <c r="C26" s="1102">
        <v>0</v>
      </c>
      <c r="D26" s="1103">
        <v>0</v>
      </c>
    </row>
    <row r="27" spans="1:5" ht="13.5" customHeight="1" x14ac:dyDescent="0.25">
      <c r="A27" s="262" t="s">
        <v>2066</v>
      </c>
      <c r="B27" s="1102">
        <v>0</v>
      </c>
      <c r="C27" s="1102">
        <v>0</v>
      </c>
      <c r="D27" s="1103">
        <v>0</v>
      </c>
    </row>
    <row r="28" spans="1:5" ht="13.5" customHeight="1" x14ac:dyDescent="0.25">
      <c r="A28" s="262" t="s">
        <v>2067</v>
      </c>
      <c r="B28" s="1102">
        <v>0</v>
      </c>
      <c r="C28" s="1102">
        <v>0</v>
      </c>
      <c r="D28" s="1103">
        <v>0</v>
      </c>
    </row>
    <row r="29" spans="1:5" ht="13.5" customHeight="1" x14ac:dyDescent="0.25">
      <c r="A29" s="262" t="s">
        <v>2068</v>
      </c>
      <c r="B29" s="1102">
        <v>0</v>
      </c>
      <c r="C29" s="1102">
        <v>0</v>
      </c>
      <c r="D29" s="1103">
        <v>0</v>
      </c>
    </row>
    <row r="30" spans="1:5" ht="13.5" customHeight="1" x14ac:dyDescent="0.25">
      <c r="A30" s="262" t="s">
        <v>2069</v>
      </c>
      <c r="B30" s="1102">
        <v>0</v>
      </c>
      <c r="C30" s="1102">
        <v>0</v>
      </c>
      <c r="D30" s="1103">
        <v>0</v>
      </c>
    </row>
    <row r="31" spans="1:5" ht="13.5" customHeight="1" x14ac:dyDescent="0.25">
      <c r="A31" s="261" t="s">
        <v>2062</v>
      </c>
      <c r="B31" s="1100">
        <f>SUM(B32:B33)</f>
        <v>2375443.25</v>
      </c>
      <c r="C31" s="1100">
        <f>SUM(C32:C33)</f>
        <v>504</v>
      </c>
      <c r="D31" s="1101">
        <f>C31+B31</f>
        <v>2375947.25</v>
      </c>
    </row>
    <row r="32" spans="1:5" ht="13.5" customHeight="1" x14ac:dyDescent="0.25">
      <c r="A32" s="262" t="s">
        <v>2070</v>
      </c>
      <c r="B32" s="1102">
        <v>1696</v>
      </c>
      <c r="C32" s="1102">
        <v>504</v>
      </c>
      <c r="D32" s="1103">
        <v>2200</v>
      </c>
    </row>
    <row r="33" spans="1:4" ht="13.5" customHeight="1" x14ac:dyDescent="0.25">
      <c r="A33" s="262" t="s">
        <v>2071</v>
      </c>
      <c r="B33" s="1102">
        <v>2373747.25</v>
      </c>
      <c r="C33" s="1102">
        <v>0</v>
      </c>
      <c r="D33" s="1103">
        <v>2373747.25</v>
      </c>
    </row>
    <row r="34" spans="1:4" s="235" customFormat="1" ht="13.5" customHeight="1" thickBot="1" x14ac:dyDescent="0.3">
      <c r="A34" s="263" t="s">
        <v>2073</v>
      </c>
      <c r="B34" s="1104">
        <f>B6+B15-B23-B31</f>
        <v>14253241.83</v>
      </c>
      <c r="C34" s="1104">
        <f>C6+C15-C23-C31</f>
        <v>4046758.1700000004</v>
      </c>
      <c r="D34" s="1105">
        <f>D6+D15-D23-D31</f>
        <v>18300000</v>
      </c>
    </row>
    <row r="35" spans="1:4" ht="13.5" customHeight="1" x14ac:dyDescent="0.25">
      <c r="A35" s="237"/>
      <c r="B35" s="264"/>
      <c r="C35" s="264"/>
      <c r="D35" s="264"/>
    </row>
    <row r="36" spans="1:4" s="237" customFormat="1" ht="13.5" customHeight="1" x14ac:dyDescent="0.25">
      <c r="B36" s="238"/>
      <c r="C36" s="238"/>
      <c r="D36" s="238"/>
    </row>
    <row r="37" spans="1:4" ht="13.5" customHeight="1" thickBot="1" x14ac:dyDescent="0.3">
      <c r="A37" s="237"/>
      <c r="B37" s="238"/>
      <c r="C37" s="238"/>
      <c r="D37" s="238"/>
    </row>
    <row r="38" spans="1:4" ht="13.5" customHeight="1" x14ac:dyDescent="0.25">
      <c r="A38" s="258" t="s">
        <v>215</v>
      </c>
      <c r="B38" s="265" t="s">
        <v>145</v>
      </c>
      <c r="C38" s="265" t="s">
        <v>146</v>
      </c>
      <c r="D38" s="266" t="s">
        <v>75</v>
      </c>
    </row>
    <row r="39" spans="1:4" ht="13.5" customHeight="1" x14ac:dyDescent="0.25">
      <c r="A39" s="267" t="s">
        <v>2074</v>
      </c>
      <c r="B39" s="1048">
        <f>SUM(B40:B42)</f>
        <v>12363465.57</v>
      </c>
      <c r="C39" s="1048">
        <f>SUM(C40:C42)</f>
        <v>3363050.54</v>
      </c>
      <c r="D39" s="1049">
        <f>C39+B39</f>
        <v>15726516.109999999</v>
      </c>
    </row>
    <row r="40" spans="1:4" ht="13.5" customHeight="1" x14ac:dyDescent="0.25">
      <c r="A40" s="268" t="s">
        <v>2075</v>
      </c>
      <c r="B40" s="1050">
        <v>6600507.9800000004</v>
      </c>
      <c r="C40" s="1050">
        <v>2087532.44</v>
      </c>
      <c r="D40" s="1051">
        <f>B40+C40</f>
        <v>8688040.4199999999</v>
      </c>
    </row>
    <row r="41" spans="1:4" ht="13.5" customHeight="1" x14ac:dyDescent="0.25">
      <c r="A41" s="268" t="s">
        <v>2076</v>
      </c>
      <c r="B41" s="1050">
        <v>1.0900000000000001</v>
      </c>
      <c r="C41" s="1050">
        <v>0</v>
      </c>
      <c r="D41" s="1051">
        <f>B41+C41</f>
        <v>1.0900000000000001</v>
      </c>
    </row>
    <row r="42" spans="1:4" ht="13.5" customHeight="1" x14ac:dyDescent="0.25">
      <c r="A42" s="268" t="s">
        <v>94</v>
      </c>
      <c r="B42" s="1050">
        <v>5762956.5</v>
      </c>
      <c r="C42" s="1050">
        <v>1275518.1000000001</v>
      </c>
      <c r="D42" s="1051">
        <v>7038474.5999999996</v>
      </c>
    </row>
    <row r="43" spans="1:4" ht="13.5" customHeight="1" x14ac:dyDescent="0.25">
      <c r="A43" s="267" t="s">
        <v>2077</v>
      </c>
      <c r="B43" s="1048">
        <f>SUM(B44:B46)</f>
        <v>1706776.26</v>
      </c>
      <c r="C43" s="1048">
        <f>SUM(C44:C46)</f>
        <v>683707.63</v>
      </c>
      <c r="D43" s="1049">
        <f>C43+B43</f>
        <v>2390483.89</v>
      </c>
    </row>
    <row r="44" spans="1:4" ht="13.5" customHeight="1" x14ac:dyDescent="0.25">
      <c r="A44" s="268" t="s">
        <v>95</v>
      </c>
      <c r="B44" s="1050">
        <v>1706775.17</v>
      </c>
      <c r="C44" s="1050">
        <v>683707.63</v>
      </c>
      <c r="D44" s="1051">
        <v>2390482.7999999998</v>
      </c>
    </row>
    <row r="45" spans="1:4" ht="13.5" customHeight="1" x14ac:dyDescent="0.25">
      <c r="A45" s="268" t="s">
        <v>2078</v>
      </c>
      <c r="B45" s="1050">
        <v>0</v>
      </c>
      <c r="C45" s="1050">
        <v>0</v>
      </c>
      <c r="D45" s="1051">
        <v>0</v>
      </c>
    </row>
    <row r="46" spans="1:4" ht="13.5" customHeight="1" x14ac:dyDescent="0.25">
      <c r="A46" s="268" t="s">
        <v>2079</v>
      </c>
      <c r="B46" s="1050">
        <v>1.0900000000000001</v>
      </c>
      <c r="C46" s="1050">
        <v>0</v>
      </c>
      <c r="D46" s="1051">
        <f>B46+C46</f>
        <v>1.0900000000000001</v>
      </c>
    </row>
    <row r="47" spans="1:4" ht="13.5" customHeight="1" x14ac:dyDescent="0.25">
      <c r="A47" s="267" t="s">
        <v>2080</v>
      </c>
      <c r="B47" s="1048">
        <f>B48</f>
        <v>0</v>
      </c>
      <c r="C47" s="1048">
        <f>C48</f>
        <v>0</v>
      </c>
      <c r="D47" s="1049">
        <f>C47+B47</f>
        <v>0</v>
      </c>
    </row>
    <row r="48" spans="1:4" ht="13.5" customHeight="1" x14ac:dyDescent="0.25">
      <c r="A48" s="268" t="s">
        <v>2081</v>
      </c>
      <c r="B48" s="1050">
        <v>0</v>
      </c>
      <c r="C48" s="1050">
        <v>0</v>
      </c>
      <c r="D48" s="1051">
        <v>0</v>
      </c>
    </row>
    <row r="49" spans="1:4" ht="13.5" customHeight="1" x14ac:dyDescent="0.25">
      <c r="A49" s="267" t="s">
        <v>2080</v>
      </c>
      <c r="B49" s="1048">
        <f>B50</f>
        <v>183000</v>
      </c>
      <c r="C49" s="1048">
        <f>C50</f>
        <v>0</v>
      </c>
      <c r="D49" s="1049">
        <f>C49+B49</f>
        <v>183000</v>
      </c>
    </row>
    <row r="50" spans="1:4" ht="13.5" customHeight="1" x14ac:dyDescent="0.25">
      <c r="A50" s="268" t="s">
        <v>988</v>
      </c>
      <c r="B50" s="1050">
        <v>183000</v>
      </c>
      <c r="C50" s="1050">
        <v>0</v>
      </c>
      <c r="D50" s="1051">
        <v>183000</v>
      </c>
    </row>
    <row r="51" spans="1:4" ht="13.5" customHeight="1" thickBot="1" x14ac:dyDescent="0.3">
      <c r="A51" s="269" t="s">
        <v>2073</v>
      </c>
      <c r="B51" s="1052">
        <f>B39+B43-B47+B49</f>
        <v>14253241.83</v>
      </c>
      <c r="C51" s="1052">
        <f>C39+C43-C47-C49</f>
        <v>4046758.17</v>
      </c>
      <c r="D51" s="1053">
        <f>D39+D43-D47+D49</f>
        <v>18300000</v>
      </c>
    </row>
    <row r="54" spans="1:4" ht="13.5" customHeight="1" x14ac:dyDescent="0.25">
      <c r="B54" s="1054"/>
      <c r="D54" s="1054"/>
    </row>
  </sheetData>
  <mergeCells count="2">
    <mergeCell ref="A3:D3"/>
    <mergeCell ref="A1:D1"/>
  </mergeCells>
  <phoneticPr fontId="46" type="noConversion"/>
  <pageMargins left="0.51181102362204722" right="0.51181102362204722" top="0.78740157480314965" bottom="0.78740157480314965" header="0.31496062992125984" footer="0.31496062992125984"/>
  <pageSetup paperSize="9" scale="7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14"/>
  <sheetViews>
    <sheetView workbookViewId="0">
      <selection activeCell="G26" sqref="G26"/>
    </sheetView>
  </sheetViews>
  <sheetFormatPr defaultRowHeight="15" x14ac:dyDescent="0.25"/>
  <cols>
    <col min="1" max="1" width="34.7109375" customWidth="1"/>
    <col min="2" max="2" width="17.28515625" style="796" customWidth="1"/>
  </cols>
  <sheetData>
    <row r="5" spans="1:2" x14ac:dyDescent="0.25">
      <c r="A5" t="s">
        <v>11889</v>
      </c>
    </row>
    <row r="6" spans="1:2" x14ac:dyDescent="0.25">
      <c r="A6" t="s">
        <v>11891</v>
      </c>
      <c r="B6" s="796">
        <f>'DEM. DA DIVIDA FUNDADA'!E11</f>
        <v>0</v>
      </c>
    </row>
    <row r="7" spans="1:2" x14ac:dyDescent="0.25">
      <c r="A7" t="s">
        <v>11882</v>
      </c>
      <c r="B7" s="796">
        <f>B8-B9-B10</f>
        <v>1018800.68</v>
      </c>
    </row>
    <row r="8" spans="1:2" x14ac:dyDescent="0.25">
      <c r="A8" t="s">
        <v>11883</v>
      </c>
      <c r="B8" s="796">
        <f>'DEM. DA DIVIDA FUNDADA'!E10</f>
        <v>1018800.68</v>
      </c>
    </row>
    <row r="9" spans="1:2" x14ac:dyDescent="0.25">
      <c r="A9" t="s">
        <v>11884</v>
      </c>
      <c r="B9" s="796">
        <f>[2]Dívida!$J$12</f>
        <v>0</v>
      </c>
    </row>
    <row r="10" spans="1:2" x14ac:dyDescent="0.25">
      <c r="A10" t="s">
        <v>11885</v>
      </c>
      <c r="B10" s="796">
        <v>0</v>
      </c>
    </row>
    <row r="11" spans="1:2" x14ac:dyDescent="0.25">
      <c r="A11" s="1231" t="s">
        <v>11890</v>
      </c>
      <c r="B11" s="796">
        <f>B6-B7</f>
        <v>-1018800.68</v>
      </c>
    </row>
    <row r="12" spans="1:2" x14ac:dyDescent="0.25">
      <c r="A12" s="1231" t="s">
        <v>11886</v>
      </c>
      <c r="B12" s="796">
        <v>0</v>
      </c>
    </row>
    <row r="13" spans="1:2" x14ac:dyDescent="0.25">
      <c r="A13" s="1231" t="s">
        <v>11887</v>
      </c>
      <c r="B13" s="796">
        <v>0</v>
      </c>
    </row>
    <row r="14" spans="1:2" x14ac:dyDescent="0.25">
      <c r="A14" s="1231" t="s">
        <v>11888</v>
      </c>
      <c r="B14" s="796">
        <f>B11</f>
        <v>-1018800.68</v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zoomScale="80" zoomScaleNormal="80" workbookViewId="0">
      <selection activeCell="G35" sqref="G35"/>
    </sheetView>
  </sheetViews>
  <sheetFormatPr defaultRowHeight="15" customHeight="1" x14ac:dyDescent="0.25"/>
  <cols>
    <col min="1" max="1" width="5" style="1059" customWidth="1"/>
    <col min="2" max="2" width="26.42578125" customWidth="1"/>
    <col min="3" max="3" width="31.7109375" customWidth="1"/>
    <col min="4" max="4" width="32.7109375" customWidth="1"/>
  </cols>
  <sheetData>
    <row r="1" spans="2:4" ht="18.75" customHeight="1" x14ac:dyDescent="0.25">
      <c r="B1" s="1329" t="str">
        <f>'CADASTRO BASE RECEITA '!A1</f>
        <v>PROPOSTA ORÇAMENTÁRIA PARA 2016</v>
      </c>
      <c r="C1" s="1329"/>
      <c r="D1" s="1329"/>
    </row>
    <row r="2" spans="2:4" ht="15" customHeight="1" x14ac:dyDescent="0.25">
      <c r="B2" s="1326"/>
      <c r="C2" s="1326"/>
      <c r="D2" s="1326"/>
    </row>
    <row r="3" spans="2:4" ht="15" customHeight="1" x14ac:dyDescent="0.25">
      <c r="B3" s="1348" t="s">
        <v>72</v>
      </c>
      <c r="C3" s="1348"/>
      <c r="D3" s="1348"/>
    </row>
    <row r="4" spans="2:4" ht="15" customHeight="1" x14ac:dyDescent="0.25">
      <c r="B4" s="1432" t="s">
        <v>61</v>
      </c>
      <c r="C4" s="1432"/>
      <c r="D4" s="1432"/>
    </row>
    <row r="5" spans="2:4" ht="15" customHeight="1" thickBot="1" x14ac:dyDescent="0.3">
      <c r="B5" s="1435" t="s">
        <v>62</v>
      </c>
      <c r="C5" s="1435"/>
      <c r="D5" s="1435"/>
    </row>
    <row r="6" spans="2:4" ht="32.25" customHeight="1" thickTop="1" x14ac:dyDescent="0.25">
      <c r="B6" s="53" t="s">
        <v>11</v>
      </c>
      <c r="C6" s="54" t="s">
        <v>11739</v>
      </c>
      <c r="D6" s="44" t="s">
        <v>144</v>
      </c>
    </row>
    <row r="7" spans="2:4" ht="15" customHeight="1" x14ac:dyDescent="0.25">
      <c r="B7" s="45" t="s">
        <v>63</v>
      </c>
      <c r="C7" s="241">
        <v>19428024</v>
      </c>
      <c r="D7" s="242">
        <f>'ORCAMENTO RECEITA ANALITICO'!H444</f>
        <v>18300000.003991172</v>
      </c>
    </row>
    <row r="8" spans="2:4" s="29" customFormat="1" ht="15" customHeight="1" x14ac:dyDescent="0.25">
      <c r="B8" s="47" t="s">
        <v>64</v>
      </c>
      <c r="C8" s="243">
        <v>19335278</v>
      </c>
      <c r="D8" s="240">
        <f>D7-'ORCAMENTO RECEITA ANALITICO'!H64</f>
        <v>18210937.017664418</v>
      </c>
    </row>
    <row r="9" spans="2:4" ht="15" customHeight="1" x14ac:dyDescent="0.25">
      <c r="B9" s="45" t="s">
        <v>65</v>
      </c>
      <c r="C9" s="241">
        <v>19428024</v>
      </c>
      <c r="D9" s="242">
        <v>18300000</v>
      </c>
    </row>
    <row r="10" spans="2:4" s="29" customFormat="1" ht="15" customHeight="1" x14ac:dyDescent="0.25">
      <c r="B10" s="47" t="s">
        <v>66</v>
      </c>
      <c r="C10" s="243">
        <v>19428024</v>
      </c>
      <c r="D10" s="240">
        <f>D9-'ART.4º ORC FISC E SEG SOC'!D41-'ART.4º ORC FISC E SEG SOC'!D46</f>
        <v>18299997.82</v>
      </c>
    </row>
    <row r="11" spans="2:4" ht="15" customHeight="1" thickBot="1" x14ac:dyDescent="0.3">
      <c r="B11" s="48" t="s">
        <v>67</v>
      </c>
      <c r="C11" s="244">
        <f>C8-C10</f>
        <v>-92746</v>
      </c>
      <c r="D11" s="245">
        <f>D8-D10</f>
        <v>-89060.802335582674</v>
      </c>
    </row>
    <row r="12" spans="2:4" ht="15" customHeight="1" thickTop="1" x14ac:dyDescent="0.25">
      <c r="B12" s="36"/>
    </row>
    <row r="13" spans="2:4" ht="15" customHeight="1" thickBot="1" x14ac:dyDescent="0.3">
      <c r="B13" s="1435" t="s">
        <v>68</v>
      </c>
      <c r="C13" s="1435"/>
      <c r="D13" s="1435"/>
    </row>
    <row r="14" spans="2:4" ht="36" customHeight="1" thickTop="1" x14ac:dyDescent="0.25">
      <c r="B14" s="53" t="s">
        <v>11</v>
      </c>
      <c r="C14" s="54" t="s">
        <v>11740</v>
      </c>
      <c r="D14" s="44" t="s">
        <v>144</v>
      </c>
    </row>
    <row r="15" spans="2:4" ht="15" customHeight="1" x14ac:dyDescent="0.25">
      <c r="B15" s="45" t="s">
        <v>63</v>
      </c>
      <c r="C15" s="49">
        <v>0</v>
      </c>
      <c r="D15" s="42">
        <v>0</v>
      </c>
    </row>
    <row r="16" spans="2:4" ht="15" customHeight="1" x14ac:dyDescent="0.25">
      <c r="B16" s="45" t="s">
        <v>64</v>
      </c>
      <c r="C16" s="49">
        <v>0</v>
      </c>
      <c r="D16" s="42">
        <v>0</v>
      </c>
    </row>
    <row r="17" spans="2:4" ht="15" customHeight="1" x14ac:dyDescent="0.25">
      <c r="B17" s="45" t="s">
        <v>65</v>
      </c>
      <c r="C17" s="49">
        <v>0</v>
      </c>
      <c r="D17" s="42">
        <v>0</v>
      </c>
    </row>
    <row r="18" spans="2:4" ht="15" customHeight="1" x14ac:dyDescent="0.25">
      <c r="B18" s="45" t="s">
        <v>66</v>
      </c>
      <c r="C18" s="49">
        <v>0</v>
      </c>
      <c r="D18" s="42">
        <v>0</v>
      </c>
    </row>
    <row r="19" spans="2:4" ht="15" customHeight="1" thickBot="1" x14ac:dyDescent="0.3">
      <c r="B19" s="46" t="s">
        <v>67</v>
      </c>
      <c r="C19" s="50">
        <v>0</v>
      </c>
      <c r="D19" s="43">
        <v>0</v>
      </c>
    </row>
    <row r="20" spans="2:4" ht="15" customHeight="1" thickTop="1" x14ac:dyDescent="0.25">
      <c r="B20" s="36"/>
    </row>
    <row r="21" spans="2:4" ht="15" customHeight="1" thickBot="1" x14ac:dyDescent="0.3">
      <c r="B21" s="1435" t="s">
        <v>69</v>
      </c>
      <c r="C21" s="1435"/>
      <c r="D21" s="1435"/>
    </row>
    <row r="22" spans="2:4" ht="39" customHeight="1" thickTop="1" x14ac:dyDescent="0.25">
      <c r="B22" s="53" t="s">
        <v>11</v>
      </c>
      <c r="C22" s="54" t="s">
        <v>11740</v>
      </c>
      <c r="D22" s="44" t="s">
        <v>144</v>
      </c>
    </row>
    <row r="23" spans="2:4" ht="15" customHeight="1" x14ac:dyDescent="0.25">
      <c r="B23" s="45" t="s">
        <v>63</v>
      </c>
      <c r="C23" s="51">
        <f t="shared" ref="C23:D27" si="0">C7+C15</f>
        <v>19428024</v>
      </c>
      <c r="D23" s="52">
        <f t="shared" si="0"/>
        <v>18300000.003991172</v>
      </c>
    </row>
    <row r="24" spans="2:4" s="29" customFormat="1" ht="15" customHeight="1" x14ac:dyDescent="0.25">
      <c r="B24" s="47" t="s">
        <v>64</v>
      </c>
      <c r="C24" s="106">
        <f t="shared" si="0"/>
        <v>19335278</v>
      </c>
      <c r="D24" s="107">
        <f>D8+D16</f>
        <v>18210937.017664418</v>
      </c>
    </row>
    <row r="25" spans="2:4" ht="15" customHeight="1" x14ac:dyDescent="0.25">
      <c r="B25" s="45" t="s">
        <v>65</v>
      </c>
      <c r="C25" s="51">
        <f t="shared" si="0"/>
        <v>19428024</v>
      </c>
      <c r="D25" s="52">
        <f t="shared" si="0"/>
        <v>18300000</v>
      </c>
    </row>
    <row r="26" spans="2:4" s="29" customFormat="1" ht="15" customHeight="1" x14ac:dyDescent="0.25">
      <c r="B26" s="47" t="s">
        <v>66</v>
      </c>
      <c r="C26" s="106">
        <f t="shared" si="0"/>
        <v>19428024</v>
      </c>
      <c r="D26" s="107">
        <f t="shared" si="0"/>
        <v>18299997.82</v>
      </c>
    </row>
    <row r="27" spans="2:4" s="29" customFormat="1" ht="15" customHeight="1" thickBot="1" x14ac:dyDescent="0.3">
      <c r="B27" s="48" t="s">
        <v>67</v>
      </c>
      <c r="C27" s="108">
        <f t="shared" si="0"/>
        <v>-92746</v>
      </c>
      <c r="D27" s="109">
        <f>D11+D19</f>
        <v>-89060.802335582674</v>
      </c>
    </row>
    <row r="28" spans="2:4" ht="15" customHeight="1" thickTop="1" x14ac:dyDescent="0.25">
      <c r="B28" s="37"/>
    </row>
    <row r="29" spans="2:4" ht="15" customHeight="1" x14ac:dyDescent="0.25">
      <c r="B29" s="1434" t="s">
        <v>70</v>
      </c>
      <c r="C29" s="1434"/>
      <c r="D29" s="1434"/>
    </row>
    <row r="30" spans="2:4" ht="55.5" customHeight="1" x14ac:dyDescent="0.25">
      <c r="B30" s="1433" t="s">
        <v>71</v>
      </c>
      <c r="C30" s="1433"/>
      <c r="D30" s="1433"/>
    </row>
    <row r="31" spans="2:4" ht="50.25" customHeight="1" x14ac:dyDescent="0.25">
      <c r="B31" s="1433" t="s">
        <v>73</v>
      </c>
      <c r="C31" s="1433"/>
      <c r="D31" s="1433"/>
    </row>
  </sheetData>
  <mergeCells count="10">
    <mergeCell ref="B1:D1"/>
    <mergeCell ref="B2:D2"/>
    <mergeCell ref="B3:D3"/>
    <mergeCell ref="B4:D4"/>
    <mergeCell ref="B31:D31"/>
    <mergeCell ref="B29:D29"/>
    <mergeCell ref="B5:D5"/>
    <mergeCell ref="B13:D13"/>
    <mergeCell ref="B21:D21"/>
    <mergeCell ref="B30:D30"/>
  </mergeCells>
  <phoneticPr fontId="46" type="noConversion"/>
  <pageMargins left="0.511811024" right="0.511811024" top="0.78740157499999996" bottom="0.78740157499999996" header="0.31496062000000002" footer="0.31496062000000002"/>
  <pageSetup paperSize="9" orientation="portrait" verticalDpi="72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tabSelected="1" zoomScale="80" zoomScaleNormal="80" workbookViewId="0">
      <selection activeCell="AH22" sqref="AH22"/>
    </sheetView>
  </sheetViews>
  <sheetFormatPr defaultColWidth="6.85546875" defaultRowHeight="12.75" customHeight="1" x14ac:dyDescent="0.25"/>
  <cols>
    <col min="1" max="1" width="1.28515625" style="1110" customWidth="1"/>
    <col min="2" max="2" width="1.140625" style="1110" customWidth="1"/>
    <col min="3" max="3" width="2.28515625" style="1110" customWidth="1"/>
    <col min="4" max="4" width="17.42578125" style="1110" customWidth="1"/>
    <col min="5" max="5" width="11" style="1110" customWidth="1"/>
    <col min="6" max="6" width="2.42578125" style="1110" customWidth="1"/>
    <col min="7" max="7" width="3.42578125" style="1110" customWidth="1"/>
    <col min="8" max="8" width="2.42578125" style="1110" customWidth="1"/>
    <col min="9" max="9" width="3.42578125" style="1110" customWidth="1"/>
    <col min="10" max="10" width="2" style="1110" customWidth="1"/>
    <col min="11" max="11" width="1.5703125" style="1110" customWidth="1"/>
    <col min="12" max="12" width="3.5703125" style="1110" customWidth="1"/>
    <col min="13" max="13" width="17.85546875" style="1110" customWidth="1"/>
    <col min="14" max="14" width="3.5703125" style="1110" customWidth="1"/>
    <col min="15" max="15" width="1.140625" style="1110" customWidth="1"/>
    <col min="16" max="16" width="2.42578125" style="1110" customWidth="1"/>
    <col min="17" max="17" width="2.140625" style="1110" customWidth="1"/>
    <col min="18" max="18" width="4.42578125" style="1110" customWidth="1"/>
    <col min="19" max="19" width="5.7109375" style="1110" customWidth="1"/>
    <col min="20" max="20" width="7.7109375" style="1110" customWidth="1"/>
    <col min="21" max="21" width="2.7109375" style="1110" customWidth="1"/>
    <col min="22" max="22" width="1" style="1110" customWidth="1"/>
    <col min="23" max="23" width="17.5703125" style="1110" customWidth="1"/>
    <col min="24" max="24" width="1" style="1110" customWidth="1"/>
    <col min="25" max="16384" width="6.85546875" style="1110"/>
  </cols>
  <sheetData>
    <row r="1" spans="1:27" s="1135" customFormat="1" ht="15" customHeight="1" x14ac:dyDescent="0.3">
      <c r="A1" s="1455" t="s">
        <v>2228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455"/>
      <c r="M1" s="1455"/>
      <c r="N1" s="1455"/>
      <c r="O1" s="1455"/>
      <c r="P1" s="1455"/>
      <c r="Q1" s="1455"/>
      <c r="R1" s="1455"/>
      <c r="S1" s="1455"/>
      <c r="T1" s="1455"/>
      <c r="U1" s="1455"/>
      <c r="V1" s="1455"/>
      <c r="W1" s="1455"/>
      <c r="X1" s="1455"/>
      <c r="Y1" s="1455"/>
      <c r="Z1" s="1455"/>
      <c r="AA1" s="1455"/>
    </row>
    <row r="3" spans="1:27" ht="15" customHeight="1" x14ac:dyDescent="0.25">
      <c r="B3" s="1462" t="s">
        <v>143</v>
      </c>
      <c r="C3" s="1462"/>
      <c r="D3" s="1462"/>
      <c r="E3" s="1462"/>
      <c r="F3" s="1462"/>
      <c r="G3" s="1462"/>
      <c r="H3" s="1462"/>
      <c r="I3" s="1462"/>
      <c r="J3" s="1462"/>
      <c r="K3" s="1462"/>
      <c r="L3" s="1462"/>
      <c r="M3" s="1462"/>
      <c r="N3" s="1462"/>
      <c r="O3" s="1462"/>
      <c r="P3" s="1462"/>
      <c r="Q3" s="1462"/>
      <c r="R3" s="1462"/>
      <c r="S3" s="1462"/>
      <c r="T3" s="1462"/>
      <c r="U3" s="1462"/>
      <c r="V3" s="1462"/>
      <c r="W3" s="1462"/>
      <c r="X3" s="1462"/>
    </row>
    <row r="4" spans="1:27" ht="15" customHeight="1" x14ac:dyDescent="0.25">
      <c r="B4" s="1136"/>
      <c r="C4" s="1462" t="s">
        <v>80</v>
      </c>
      <c r="D4" s="1462"/>
      <c r="E4" s="1462"/>
      <c r="F4" s="1462"/>
      <c r="G4" s="1462"/>
      <c r="H4" s="1462"/>
      <c r="I4" s="1462"/>
      <c r="J4" s="1462"/>
      <c r="K4" s="1462"/>
      <c r="L4" s="1462"/>
      <c r="M4" s="1462"/>
      <c r="N4" s="1462"/>
      <c r="O4" s="1462"/>
      <c r="P4" s="1462"/>
      <c r="Q4" s="1462"/>
      <c r="R4" s="1462"/>
      <c r="S4" s="1462"/>
      <c r="T4" s="1462"/>
      <c r="U4" s="1462"/>
      <c r="V4" s="1462"/>
      <c r="W4" s="1462"/>
      <c r="X4" s="1136"/>
    </row>
    <row r="5" spans="1:27" ht="13.5" customHeight="1" thickBot="1" x14ac:dyDescent="0.3"/>
    <row r="6" spans="1:27" ht="12.75" customHeight="1" thickTop="1" x14ac:dyDescent="0.25">
      <c r="C6" s="1436" t="s">
        <v>2083</v>
      </c>
      <c r="D6" s="1437"/>
      <c r="E6" s="1437"/>
      <c r="F6" s="1137"/>
      <c r="G6" s="1137"/>
      <c r="H6" s="1137"/>
      <c r="I6" s="1137"/>
      <c r="J6" s="1137"/>
      <c r="K6" s="1137"/>
      <c r="L6" s="1138"/>
      <c r="M6" s="1139" t="s">
        <v>191</v>
      </c>
      <c r="N6" s="1137"/>
      <c r="O6" s="1140"/>
      <c r="P6" s="1438" t="s">
        <v>2097</v>
      </c>
      <c r="Q6" s="1439"/>
      <c r="R6" s="1439"/>
      <c r="S6" s="1439"/>
      <c r="T6" s="1439"/>
      <c r="U6" s="1140"/>
      <c r="V6" s="1137"/>
      <c r="W6" s="1437" t="s">
        <v>2084</v>
      </c>
      <c r="X6" s="1440"/>
    </row>
    <row r="7" spans="1:27" ht="12.75" customHeight="1" x14ac:dyDescent="0.25">
      <c r="C7" s="1141"/>
      <c r="D7" s="1142"/>
      <c r="E7" s="1142"/>
      <c r="F7" s="1142"/>
      <c r="G7" s="1142"/>
      <c r="H7" s="1142"/>
      <c r="I7" s="1142"/>
      <c r="J7" s="1142"/>
      <c r="K7" s="1142"/>
      <c r="L7" s="1143"/>
      <c r="M7" s="1144"/>
      <c r="N7" s="1144"/>
      <c r="O7" s="1145"/>
      <c r="P7" s="1143"/>
      <c r="Q7" s="1144"/>
      <c r="R7" s="1144"/>
      <c r="S7" s="1144"/>
      <c r="T7" s="1144"/>
      <c r="U7" s="1145"/>
      <c r="V7" s="1144"/>
      <c r="W7" s="1144"/>
      <c r="X7" s="1146"/>
    </row>
    <row r="8" spans="1:27" ht="12.75" customHeight="1" x14ac:dyDescent="0.25">
      <c r="C8" s="1441" t="s">
        <v>246</v>
      </c>
      <c r="D8" s="1442"/>
      <c r="E8" s="1442"/>
      <c r="F8" s="1442"/>
      <c r="G8" s="1442"/>
      <c r="H8" s="1442"/>
      <c r="I8" s="1442"/>
      <c r="J8" s="1142"/>
      <c r="K8" s="1142"/>
      <c r="L8" s="1443">
        <f>'ORCAMENTO RECEITA ANALITICO'!H10</f>
        <v>28474.875129555647</v>
      </c>
      <c r="M8" s="1444"/>
      <c r="N8" s="1144"/>
      <c r="O8" s="1145"/>
      <c r="P8" s="1143"/>
      <c r="Q8" s="1444">
        <f>L8*28%</f>
        <v>7972.965036275582</v>
      </c>
      <c r="R8" s="1444"/>
      <c r="S8" s="1444"/>
      <c r="T8" s="1444"/>
      <c r="U8" s="1145"/>
      <c r="V8" s="1144"/>
      <c r="W8" s="1444">
        <v>4569.7596000000003</v>
      </c>
      <c r="X8" s="1445"/>
    </row>
    <row r="9" spans="1:27" ht="12.75" customHeight="1" x14ac:dyDescent="0.25">
      <c r="C9" s="1141"/>
      <c r="D9" s="1142"/>
      <c r="E9" s="1142"/>
      <c r="F9" s="1142"/>
      <c r="G9" s="1142"/>
      <c r="H9" s="1142"/>
      <c r="I9" s="1142"/>
      <c r="J9" s="1142"/>
      <c r="K9" s="1142"/>
      <c r="L9" s="1143"/>
      <c r="M9" s="1144"/>
      <c r="N9" s="1144"/>
      <c r="O9" s="1145"/>
      <c r="P9" s="1143"/>
      <c r="Q9" s="1144"/>
      <c r="R9" s="1144"/>
      <c r="S9" s="1144"/>
      <c r="T9" s="1144"/>
      <c r="U9" s="1145"/>
      <c r="V9" s="1144"/>
      <c r="W9" s="1144"/>
      <c r="X9" s="1146"/>
    </row>
    <row r="10" spans="1:27" ht="12.75" customHeight="1" x14ac:dyDescent="0.25">
      <c r="C10" s="1441" t="s">
        <v>248</v>
      </c>
      <c r="D10" s="1442"/>
      <c r="E10" s="1442"/>
      <c r="F10" s="1442"/>
      <c r="G10" s="1442"/>
      <c r="H10" s="1442"/>
      <c r="I10" s="1442"/>
      <c r="J10" s="1142"/>
      <c r="K10" s="1142"/>
      <c r="L10" s="1443">
        <f>'ORCAMENTO RECEITA ANALITICO'!H24</f>
        <v>64176.4706734188</v>
      </c>
      <c r="M10" s="1444"/>
      <c r="N10" s="1144"/>
      <c r="O10" s="1145"/>
      <c r="P10" s="1143"/>
      <c r="Q10" s="1444">
        <f>L10*28%</f>
        <v>17969.411788557267</v>
      </c>
      <c r="R10" s="1444"/>
      <c r="S10" s="1444"/>
      <c r="T10" s="1444"/>
      <c r="U10" s="1145"/>
      <c r="V10" s="1144"/>
      <c r="W10" s="1444">
        <v>20864.617200000001</v>
      </c>
      <c r="X10" s="1445"/>
    </row>
    <row r="11" spans="1:27" ht="12.75" customHeight="1" x14ac:dyDescent="0.25">
      <c r="C11" s="1141"/>
      <c r="D11" s="1142"/>
      <c r="E11" s="1142"/>
      <c r="F11" s="1142"/>
      <c r="G11" s="1142"/>
      <c r="H11" s="1142"/>
      <c r="I11" s="1142"/>
      <c r="J11" s="1142"/>
      <c r="K11" s="1142"/>
      <c r="L11" s="1143"/>
      <c r="M11" s="1144"/>
      <c r="N11" s="1144"/>
      <c r="O11" s="1145"/>
      <c r="P11" s="1143"/>
      <c r="Q11" s="1144"/>
      <c r="R11" s="1144"/>
      <c r="S11" s="1144"/>
      <c r="T11" s="1144"/>
      <c r="U11" s="1145"/>
      <c r="V11" s="1144"/>
      <c r="W11" s="1144"/>
      <c r="X11" s="1146"/>
    </row>
    <row r="12" spans="1:27" ht="12.75" customHeight="1" x14ac:dyDescent="0.25">
      <c r="C12" s="1441" t="s">
        <v>2085</v>
      </c>
      <c r="D12" s="1442"/>
      <c r="E12" s="1442"/>
      <c r="F12" s="1442"/>
      <c r="G12" s="1442"/>
      <c r="H12" s="1442"/>
      <c r="I12" s="1442"/>
      <c r="J12" s="1142"/>
      <c r="K12" s="1142"/>
      <c r="L12" s="1443">
        <f>'ORCAMENTO RECEITA ANALITICO'!H29</f>
        <v>156341.12779148447</v>
      </c>
      <c r="M12" s="1444"/>
      <c r="N12" s="1144"/>
      <c r="O12" s="1145"/>
      <c r="P12" s="1143"/>
      <c r="Q12" s="1444">
        <f>L12*28%</f>
        <v>43775.515781615657</v>
      </c>
      <c r="R12" s="1444"/>
      <c r="S12" s="1444"/>
      <c r="T12" s="1444"/>
      <c r="U12" s="1145"/>
      <c r="V12" s="1144"/>
      <c r="W12" s="1444">
        <v>45887.1224</v>
      </c>
      <c r="X12" s="1445"/>
    </row>
    <row r="13" spans="1:27" ht="12.75" customHeight="1" x14ac:dyDescent="0.25">
      <c r="C13" s="1141"/>
      <c r="D13" s="1142"/>
      <c r="E13" s="1142"/>
      <c r="F13" s="1142"/>
      <c r="G13" s="1142"/>
      <c r="H13" s="1142"/>
      <c r="I13" s="1142"/>
      <c r="J13" s="1142"/>
      <c r="K13" s="1142"/>
      <c r="L13" s="1143"/>
      <c r="M13" s="1144"/>
      <c r="N13" s="1144"/>
      <c r="O13" s="1145"/>
      <c r="P13" s="1143"/>
      <c r="Q13" s="1144"/>
      <c r="R13" s="1144"/>
      <c r="S13" s="1144"/>
      <c r="T13" s="1144"/>
      <c r="U13" s="1145"/>
      <c r="V13" s="1144"/>
      <c r="W13" s="1144"/>
      <c r="X13" s="1146"/>
    </row>
    <row r="14" spans="1:27" ht="12.75" customHeight="1" x14ac:dyDescent="0.25">
      <c r="C14" s="1441" t="s">
        <v>2086</v>
      </c>
      <c r="D14" s="1442"/>
      <c r="E14" s="1442"/>
      <c r="F14" s="1442"/>
      <c r="G14" s="1442"/>
      <c r="H14" s="1442"/>
      <c r="I14" s="1442"/>
      <c r="J14" s="1142"/>
      <c r="K14" s="1142"/>
      <c r="L14" s="1443">
        <f>'ORCAMENTO RECEITA ANALITICO'!H15</f>
        <v>225743.12080148098</v>
      </c>
      <c r="M14" s="1444"/>
      <c r="N14" s="1144"/>
      <c r="O14" s="1145"/>
      <c r="P14" s="1143"/>
      <c r="Q14" s="1444">
        <f>L14*28%</f>
        <v>63208.073824414678</v>
      </c>
      <c r="R14" s="1444"/>
      <c r="S14" s="1444"/>
      <c r="T14" s="1444"/>
      <c r="U14" s="1145"/>
      <c r="V14" s="1144"/>
      <c r="W14" s="1444">
        <v>47728.85</v>
      </c>
      <c r="X14" s="1445"/>
    </row>
    <row r="15" spans="1:27" ht="12.75" customHeight="1" x14ac:dyDescent="0.25">
      <c r="C15" s="1141"/>
      <c r="D15" s="1142"/>
      <c r="E15" s="1142"/>
      <c r="F15" s="1142"/>
      <c r="G15" s="1142"/>
      <c r="H15" s="1142"/>
      <c r="I15" s="1142"/>
      <c r="J15" s="1142"/>
      <c r="K15" s="1142"/>
      <c r="L15" s="1143"/>
      <c r="M15" s="1144"/>
      <c r="N15" s="1144"/>
      <c r="O15" s="1145"/>
      <c r="P15" s="1143"/>
      <c r="Q15" s="1144"/>
      <c r="R15" s="1144"/>
      <c r="S15" s="1144"/>
      <c r="T15" s="1144"/>
      <c r="U15" s="1145"/>
      <c r="V15" s="1144"/>
      <c r="W15" s="1144"/>
      <c r="X15" s="1146"/>
    </row>
    <row r="16" spans="1:27" ht="12.75" customHeight="1" x14ac:dyDescent="0.25">
      <c r="C16" s="1441" t="s">
        <v>2087</v>
      </c>
      <c r="D16" s="1442"/>
      <c r="E16" s="1442"/>
      <c r="F16" s="1442"/>
      <c r="G16" s="1442"/>
      <c r="H16" s="1442"/>
      <c r="I16" s="1442"/>
      <c r="J16" s="1142"/>
      <c r="K16" s="1142"/>
      <c r="L16" s="1443">
        <v>4661.3999999999996</v>
      </c>
      <c r="M16" s="1444"/>
      <c r="N16" s="1144"/>
      <c r="O16" s="1145"/>
      <c r="P16" s="1143"/>
      <c r="Q16" s="1444">
        <f>L16*28%</f>
        <v>1305.192</v>
      </c>
      <c r="R16" s="1444"/>
      <c r="S16" s="1444"/>
      <c r="T16" s="1444"/>
      <c r="U16" s="1145"/>
      <c r="V16" s="1144"/>
      <c r="W16" s="1444">
        <v>1305.192</v>
      </c>
      <c r="X16" s="1445"/>
    </row>
    <row r="17" spans="3:24" ht="12.75" customHeight="1" x14ac:dyDescent="0.25">
      <c r="C17" s="1141"/>
      <c r="D17" s="1142"/>
      <c r="E17" s="1142"/>
      <c r="F17" s="1142"/>
      <c r="G17" s="1142"/>
      <c r="H17" s="1142"/>
      <c r="I17" s="1142"/>
      <c r="J17" s="1142"/>
      <c r="K17" s="1142"/>
      <c r="L17" s="1143"/>
      <c r="M17" s="1144"/>
      <c r="N17" s="1144"/>
      <c r="O17" s="1145"/>
      <c r="P17" s="1143"/>
      <c r="Q17" s="1144"/>
      <c r="R17" s="1144"/>
      <c r="S17" s="1144"/>
      <c r="T17" s="1144"/>
      <c r="U17" s="1145"/>
      <c r="V17" s="1144"/>
      <c r="W17" s="1144"/>
      <c r="X17" s="1146"/>
    </row>
    <row r="18" spans="3:24" ht="12.75" customHeight="1" x14ac:dyDescent="0.25">
      <c r="C18" s="1441" t="s">
        <v>2088</v>
      </c>
      <c r="D18" s="1442"/>
      <c r="E18" s="1442"/>
      <c r="F18" s="1442"/>
      <c r="G18" s="1442"/>
      <c r="H18" s="1442"/>
      <c r="I18" s="1442"/>
      <c r="J18" s="1142"/>
      <c r="K18" s="1142"/>
      <c r="L18" s="1443">
        <v>287.95999999999998</v>
      </c>
      <c r="M18" s="1444"/>
      <c r="N18" s="1144"/>
      <c r="O18" s="1145"/>
      <c r="P18" s="1143"/>
      <c r="Q18" s="1444">
        <f>L18*28%</f>
        <v>80.628799999999998</v>
      </c>
      <c r="R18" s="1444"/>
      <c r="S18" s="1444"/>
      <c r="T18" s="1444"/>
      <c r="U18" s="1145"/>
      <c r="V18" s="1144"/>
      <c r="W18" s="1444">
        <v>80.63</v>
      </c>
      <c r="X18" s="1445"/>
    </row>
    <row r="19" spans="3:24" ht="12.75" customHeight="1" x14ac:dyDescent="0.25">
      <c r="C19" s="1141"/>
      <c r="D19" s="1142"/>
      <c r="E19" s="1142"/>
      <c r="F19" s="1142"/>
      <c r="G19" s="1142"/>
      <c r="H19" s="1142"/>
      <c r="I19" s="1142"/>
      <c r="J19" s="1142"/>
      <c r="K19" s="1142"/>
      <c r="L19" s="1143"/>
      <c r="M19" s="1144"/>
      <c r="N19" s="1144"/>
      <c r="O19" s="1145"/>
      <c r="P19" s="1143"/>
      <c r="Q19" s="1144"/>
      <c r="R19" s="1144"/>
      <c r="S19" s="1144"/>
      <c r="T19" s="1144"/>
      <c r="U19" s="1145"/>
      <c r="V19" s="1144"/>
      <c r="W19" s="1144"/>
      <c r="X19" s="1146"/>
    </row>
    <row r="20" spans="3:24" ht="12.75" customHeight="1" x14ac:dyDescent="0.25">
      <c r="C20" s="1441" t="s">
        <v>239</v>
      </c>
      <c r="D20" s="1442"/>
      <c r="E20" s="1442"/>
      <c r="F20" s="1442"/>
      <c r="G20" s="1442"/>
      <c r="H20" s="1442"/>
      <c r="I20" s="1442"/>
      <c r="J20" s="1142"/>
      <c r="K20" s="1142"/>
      <c r="L20" s="1443">
        <f>'ORCAMENTO RECEITA ANALITICO'!H142</f>
        <v>6985256</v>
      </c>
      <c r="M20" s="1444"/>
      <c r="N20" s="1144"/>
      <c r="O20" s="1145"/>
      <c r="P20" s="1143"/>
      <c r="Q20" s="1444">
        <f>L20*28%</f>
        <v>1955871.6800000002</v>
      </c>
      <c r="R20" s="1444"/>
      <c r="S20" s="1444"/>
      <c r="T20" s="1444"/>
      <c r="U20" s="1145"/>
      <c r="V20" s="1144"/>
      <c r="W20" s="1444">
        <v>1682579.5336000002</v>
      </c>
      <c r="X20" s="1445"/>
    </row>
    <row r="21" spans="3:24" ht="12.75" customHeight="1" x14ac:dyDescent="0.25">
      <c r="C21" s="1141"/>
      <c r="D21" s="1142"/>
      <c r="E21" s="1142"/>
      <c r="F21" s="1142"/>
      <c r="G21" s="1142"/>
      <c r="H21" s="1142"/>
      <c r="I21" s="1142"/>
      <c r="J21" s="1142"/>
      <c r="K21" s="1142"/>
      <c r="L21" s="1143"/>
      <c r="M21" s="1144"/>
      <c r="N21" s="1144"/>
      <c r="O21" s="1145"/>
      <c r="P21" s="1143"/>
      <c r="Q21" s="1144"/>
      <c r="R21" s="1144"/>
      <c r="S21" s="1144"/>
      <c r="T21" s="1144"/>
      <c r="U21" s="1145"/>
      <c r="V21" s="1144"/>
      <c r="W21" s="1144"/>
      <c r="X21" s="1146"/>
    </row>
    <row r="22" spans="3:24" ht="12.75" customHeight="1" x14ac:dyDescent="0.25">
      <c r="C22" s="1441" t="s">
        <v>238</v>
      </c>
      <c r="D22" s="1442"/>
      <c r="E22" s="1442"/>
      <c r="F22" s="1442"/>
      <c r="G22" s="1442"/>
      <c r="H22" s="1442"/>
      <c r="I22" s="1442"/>
      <c r="J22" s="1142"/>
      <c r="K22" s="1142"/>
      <c r="L22" s="1443">
        <f>'ORCAMENTO RECEITA ANALITICO'!H155</f>
        <v>593.29349374999993</v>
      </c>
      <c r="M22" s="1444"/>
      <c r="N22" s="1144"/>
      <c r="O22" s="1145"/>
      <c r="P22" s="1143"/>
      <c r="Q22" s="1444">
        <f>L22*28%</f>
        <v>166.12217824999999</v>
      </c>
      <c r="R22" s="1444"/>
      <c r="S22" s="1444"/>
      <c r="T22" s="1444"/>
      <c r="U22" s="1145"/>
      <c r="V22" s="1144"/>
      <c r="W22" s="1444">
        <v>170.54240000000001</v>
      </c>
      <c r="X22" s="1445"/>
    </row>
    <row r="23" spans="3:24" ht="12.75" customHeight="1" x14ac:dyDescent="0.25">
      <c r="C23" s="1141"/>
      <c r="D23" s="1142"/>
      <c r="E23" s="1142"/>
      <c r="F23" s="1142"/>
      <c r="G23" s="1142"/>
      <c r="H23" s="1142"/>
      <c r="I23" s="1142"/>
      <c r="J23" s="1142"/>
      <c r="K23" s="1142"/>
      <c r="L23" s="1143"/>
      <c r="M23" s="1144"/>
      <c r="N23" s="1144"/>
      <c r="O23" s="1145"/>
      <c r="P23" s="1143"/>
      <c r="Q23" s="1144"/>
      <c r="R23" s="1144"/>
      <c r="S23" s="1144"/>
      <c r="T23" s="1144"/>
      <c r="U23" s="1145"/>
      <c r="V23" s="1144"/>
      <c r="W23" s="1144"/>
      <c r="X23" s="1146"/>
    </row>
    <row r="24" spans="3:24" ht="12.75" customHeight="1" x14ac:dyDescent="0.25">
      <c r="C24" s="1441" t="s">
        <v>17</v>
      </c>
      <c r="D24" s="1442"/>
      <c r="E24" s="1442"/>
      <c r="F24" s="1442"/>
      <c r="G24" s="1442"/>
      <c r="H24" s="1442"/>
      <c r="I24" s="1442"/>
      <c r="J24" s="1142"/>
      <c r="K24" s="1142"/>
      <c r="L24" s="1443">
        <f>'ORCAMENTO RECEITA ANALITICO'!H182</f>
        <v>24599.272915156555</v>
      </c>
      <c r="M24" s="1444"/>
      <c r="N24" s="1144"/>
      <c r="O24" s="1145"/>
      <c r="P24" s="1143"/>
      <c r="Q24" s="1444">
        <f>L24*28%</f>
        <v>6887.7964162438357</v>
      </c>
      <c r="R24" s="1444"/>
      <c r="S24" s="1444"/>
      <c r="T24" s="1444"/>
      <c r="U24" s="1145"/>
      <c r="V24" s="1144"/>
      <c r="W24" s="1444">
        <v>7327.5859999999993</v>
      </c>
      <c r="X24" s="1445"/>
    </row>
    <row r="25" spans="3:24" ht="12.75" customHeight="1" x14ac:dyDescent="0.25">
      <c r="C25" s="1141"/>
      <c r="D25" s="1142"/>
      <c r="E25" s="1142"/>
      <c r="F25" s="1142"/>
      <c r="G25" s="1142"/>
      <c r="H25" s="1142"/>
      <c r="I25" s="1142"/>
      <c r="J25" s="1142"/>
      <c r="K25" s="1142"/>
      <c r="L25" s="1143"/>
      <c r="M25" s="1144"/>
      <c r="N25" s="1144"/>
      <c r="O25" s="1145"/>
      <c r="P25" s="1143"/>
      <c r="Q25" s="1144"/>
      <c r="R25" s="1144"/>
      <c r="S25" s="1144"/>
      <c r="T25" s="1144"/>
      <c r="U25" s="1145"/>
      <c r="V25" s="1144"/>
      <c r="W25" s="1144"/>
      <c r="X25" s="1146"/>
    </row>
    <row r="26" spans="3:24" ht="12.75" customHeight="1" x14ac:dyDescent="0.25">
      <c r="C26" s="1441" t="s">
        <v>19</v>
      </c>
      <c r="D26" s="1442"/>
      <c r="E26" s="1442"/>
      <c r="F26" s="1442"/>
      <c r="G26" s="1442"/>
      <c r="H26" s="1442"/>
      <c r="I26" s="1442"/>
      <c r="J26" s="1142"/>
      <c r="K26" s="1142"/>
      <c r="L26" s="1443">
        <f>'ORCAMENTO RECEITA ANALITICO'!H192</f>
        <v>4476652.7626842177</v>
      </c>
      <c r="M26" s="1444"/>
      <c r="N26" s="1144"/>
      <c r="O26" s="1145"/>
      <c r="P26" s="1143"/>
      <c r="Q26" s="1444">
        <f>L26*28%</f>
        <v>1253462.773551581</v>
      </c>
      <c r="R26" s="1444"/>
      <c r="S26" s="1444"/>
      <c r="T26" s="1444"/>
      <c r="U26" s="1145"/>
      <c r="V26" s="1144"/>
      <c r="W26" s="1444">
        <v>1051834.5907999999</v>
      </c>
      <c r="X26" s="1445"/>
    </row>
    <row r="27" spans="3:24" ht="12.75" customHeight="1" x14ac:dyDescent="0.25">
      <c r="C27" s="1141"/>
      <c r="D27" s="1142"/>
      <c r="E27" s="1142"/>
      <c r="F27" s="1142"/>
      <c r="G27" s="1142"/>
      <c r="H27" s="1142"/>
      <c r="I27" s="1142"/>
      <c r="J27" s="1142"/>
      <c r="K27" s="1142"/>
      <c r="L27" s="1143"/>
      <c r="M27" s="1144"/>
      <c r="N27" s="1144"/>
      <c r="O27" s="1145"/>
      <c r="P27" s="1143"/>
      <c r="Q27" s="1144"/>
      <c r="R27" s="1144"/>
      <c r="S27" s="1144"/>
      <c r="T27" s="1144"/>
      <c r="U27" s="1145"/>
      <c r="V27" s="1144"/>
      <c r="W27" s="1144"/>
      <c r="X27" s="1146"/>
    </row>
    <row r="28" spans="3:24" ht="12.75" customHeight="1" x14ac:dyDescent="0.25">
      <c r="C28" s="1441" t="s">
        <v>237</v>
      </c>
      <c r="D28" s="1442"/>
      <c r="E28" s="1442"/>
      <c r="F28" s="1442"/>
      <c r="G28" s="1442"/>
      <c r="H28" s="1442"/>
      <c r="I28" s="1442"/>
      <c r="J28" s="1142"/>
      <c r="K28" s="1142"/>
      <c r="L28" s="1443">
        <f>'ORCAMENTO RECEITA ANALITICO'!H197</f>
        <v>297408.21263460768</v>
      </c>
      <c r="M28" s="1444"/>
      <c r="N28" s="1144"/>
      <c r="O28" s="1145"/>
      <c r="P28" s="1143"/>
      <c r="Q28" s="1444">
        <f>L28*28%</f>
        <v>83274.299537690153</v>
      </c>
      <c r="R28" s="1444"/>
      <c r="S28" s="1444"/>
      <c r="T28" s="1444"/>
      <c r="U28" s="1145"/>
      <c r="V28" s="1144"/>
      <c r="W28" s="1444">
        <v>67003.484800000006</v>
      </c>
      <c r="X28" s="1445"/>
    </row>
    <row r="29" spans="3:24" ht="12.75" customHeight="1" x14ac:dyDescent="0.25">
      <c r="C29" s="1141"/>
      <c r="D29" s="1142"/>
      <c r="E29" s="1142"/>
      <c r="F29" s="1142"/>
      <c r="G29" s="1142"/>
      <c r="H29" s="1142"/>
      <c r="I29" s="1142"/>
      <c r="J29" s="1142"/>
      <c r="K29" s="1142"/>
      <c r="L29" s="1143"/>
      <c r="M29" s="1144"/>
      <c r="N29" s="1144"/>
      <c r="O29" s="1145"/>
      <c r="P29" s="1143"/>
      <c r="Q29" s="1144"/>
      <c r="R29" s="1144"/>
      <c r="S29" s="1144"/>
      <c r="T29" s="1144"/>
      <c r="U29" s="1145"/>
      <c r="V29" s="1144"/>
      <c r="W29" s="1144"/>
      <c r="X29" s="1146"/>
    </row>
    <row r="30" spans="3:24" ht="12.75" customHeight="1" x14ac:dyDescent="0.25">
      <c r="C30" s="1441" t="s">
        <v>2089</v>
      </c>
      <c r="D30" s="1442"/>
      <c r="E30" s="1442"/>
      <c r="F30" s="1442"/>
      <c r="G30" s="1442"/>
      <c r="H30" s="1442"/>
      <c r="I30" s="1442"/>
      <c r="J30" s="1142"/>
      <c r="K30" s="1142"/>
      <c r="L30" s="1443">
        <f>'ORCAMENTO RECEITA ANALITICO'!H202</f>
        <v>84226.859054954286</v>
      </c>
      <c r="M30" s="1444"/>
      <c r="N30" s="1144"/>
      <c r="O30" s="1145"/>
      <c r="P30" s="1143"/>
      <c r="Q30" s="1444">
        <f>L30*28%</f>
        <v>23583.520535387201</v>
      </c>
      <c r="R30" s="1444"/>
      <c r="S30" s="1444"/>
      <c r="T30" s="1444"/>
      <c r="U30" s="1145"/>
      <c r="V30" s="1144"/>
      <c r="W30" s="1444">
        <v>15123.0268</v>
      </c>
      <c r="X30" s="1445"/>
    </row>
    <row r="31" spans="3:24" ht="12.75" customHeight="1" x14ac:dyDescent="0.25">
      <c r="C31" s="1141"/>
      <c r="D31" s="1142"/>
      <c r="E31" s="1142"/>
      <c r="F31" s="1142"/>
      <c r="G31" s="1142"/>
      <c r="H31" s="1142"/>
      <c r="I31" s="1142"/>
      <c r="J31" s="1142"/>
      <c r="K31" s="1142"/>
      <c r="L31" s="1143"/>
      <c r="M31" s="1144"/>
      <c r="N31" s="1144"/>
      <c r="O31" s="1145"/>
      <c r="P31" s="1143"/>
      <c r="Q31" s="1144"/>
      <c r="R31" s="1144"/>
      <c r="S31" s="1144"/>
      <c r="T31" s="1144"/>
      <c r="U31" s="1145"/>
      <c r="V31" s="1144"/>
      <c r="W31" s="1144"/>
      <c r="X31" s="1146"/>
    </row>
    <row r="32" spans="3:24" ht="12.75" customHeight="1" x14ac:dyDescent="0.25">
      <c r="C32" s="1441" t="s">
        <v>2090</v>
      </c>
      <c r="D32" s="1442"/>
      <c r="E32" s="1442"/>
      <c r="F32" s="1442"/>
      <c r="G32" s="1442"/>
      <c r="H32" s="1442"/>
      <c r="I32" s="1442"/>
      <c r="J32" s="1142"/>
      <c r="K32" s="1142"/>
      <c r="L32" s="1443">
        <v>2100</v>
      </c>
      <c r="M32" s="1444"/>
      <c r="N32" s="1144"/>
      <c r="O32" s="1145"/>
      <c r="P32" s="1143"/>
      <c r="Q32" s="1444">
        <f>L32*28%</f>
        <v>588</v>
      </c>
      <c r="R32" s="1444"/>
      <c r="S32" s="1444"/>
      <c r="T32" s="1444"/>
      <c r="U32" s="1145"/>
      <c r="V32" s="1144"/>
      <c r="W32" s="1444">
        <v>588</v>
      </c>
      <c r="X32" s="1445"/>
    </row>
    <row r="33" spans="3:24" ht="12.75" customHeight="1" x14ac:dyDescent="0.25">
      <c r="C33" s="1141"/>
      <c r="D33" s="1142"/>
      <c r="E33" s="1142"/>
      <c r="F33" s="1142"/>
      <c r="G33" s="1142"/>
      <c r="H33" s="1142"/>
      <c r="I33" s="1142"/>
      <c r="J33" s="1142"/>
      <c r="K33" s="1142"/>
      <c r="L33" s="1143"/>
      <c r="M33" s="1144"/>
      <c r="N33" s="1144"/>
      <c r="O33" s="1145"/>
      <c r="P33" s="1143"/>
      <c r="Q33" s="1144"/>
      <c r="R33" s="1144"/>
      <c r="S33" s="1144"/>
      <c r="T33" s="1144"/>
      <c r="U33" s="1145"/>
      <c r="V33" s="1144"/>
      <c r="W33" s="1144"/>
      <c r="X33" s="1146"/>
    </row>
    <row r="34" spans="3:24" ht="12.75" customHeight="1" x14ac:dyDescent="0.25">
      <c r="C34" s="1441" t="s">
        <v>2091</v>
      </c>
      <c r="D34" s="1442"/>
      <c r="E34" s="1442"/>
      <c r="F34" s="1442"/>
      <c r="G34" s="1442"/>
      <c r="H34" s="1442"/>
      <c r="I34" s="1442"/>
      <c r="J34" s="1142"/>
      <c r="K34" s="1142"/>
      <c r="L34" s="1443">
        <v>0</v>
      </c>
      <c r="M34" s="1444"/>
      <c r="N34" s="1144"/>
      <c r="O34" s="1145"/>
      <c r="P34" s="1143"/>
      <c r="Q34" s="1444">
        <v>0</v>
      </c>
      <c r="R34" s="1444"/>
      <c r="S34" s="1444"/>
      <c r="T34" s="1444"/>
      <c r="U34" s="1145"/>
      <c r="V34" s="1144"/>
      <c r="W34" s="1444">
        <v>0</v>
      </c>
      <c r="X34" s="1445"/>
    </row>
    <row r="35" spans="3:24" ht="12.75" customHeight="1" x14ac:dyDescent="0.25">
      <c r="C35" s="1141"/>
      <c r="D35" s="1142"/>
      <c r="E35" s="1142"/>
      <c r="F35" s="1142"/>
      <c r="G35" s="1142"/>
      <c r="H35" s="1142"/>
      <c r="I35" s="1142"/>
      <c r="J35" s="1142"/>
      <c r="K35" s="1142"/>
      <c r="L35" s="1143"/>
      <c r="M35" s="1144"/>
      <c r="N35" s="1144"/>
      <c r="O35" s="1145"/>
      <c r="P35" s="1143"/>
      <c r="Q35" s="1144"/>
      <c r="R35" s="1144"/>
      <c r="S35" s="1144"/>
      <c r="T35" s="1144"/>
      <c r="U35" s="1145"/>
      <c r="V35" s="1144"/>
      <c r="W35" s="1144"/>
      <c r="X35" s="1146"/>
    </row>
    <row r="36" spans="3:24" ht="12.75" customHeight="1" x14ac:dyDescent="0.25">
      <c r="C36" s="1141" t="s">
        <v>2096</v>
      </c>
      <c r="D36" s="1142"/>
      <c r="E36" s="1142"/>
      <c r="F36" s="1142"/>
      <c r="G36" s="1142"/>
      <c r="H36" s="1142"/>
      <c r="I36" s="1142"/>
      <c r="J36" s="1142"/>
      <c r="K36" s="1142"/>
      <c r="L36" s="1443">
        <v>3448.53</v>
      </c>
      <c r="M36" s="1444"/>
      <c r="N36" s="1144"/>
      <c r="O36" s="1145"/>
      <c r="P36" s="1143"/>
      <c r="Q36" s="1444">
        <v>3448.53</v>
      </c>
      <c r="R36" s="1444"/>
      <c r="S36" s="1444"/>
      <c r="T36" s="1444"/>
      <c r="U36" s="1145"/>
      <c r="V36" s="1144"/>
      <c r="W36" s="1444">
        <v>3448.53</v>
      </c>
      <c r="X36" s="1445"/>
    </row>
    <row r="37" spans="3:24" ht="12.75" customHeight="1" x14ac:dyDescent="0.25">
      <c r="C37" s="1141"/>
      <c r="D37" s="1142"/>
      <c r="E37" s="1142"/>
      <c r="F37" s="1142"/>
      <c r="G37" s="1142"/>
      <c r="H37" s="1142"/>
      <c r="I37" s="1142"/>
      <c r="J37" s="1142"/>
      <c r="K37" s="1142"/>
      <c r="L37" s="1143"/>
      <c r="M37" s="1144"/>
      <c r="N37" s="1144"/>
      <c r="O37" s="1145"/>
      <c r="P37" s="1143"/>
      <c r="Q37" s="1144"/>
      <c r="R37" s="1144"/>
      <c r="S37" s="1144"/>
      <c r="T37" s="1144"/>
      <c r="U37" s="1145"/>
      <c r="V37" s="1144"/>
      <c r="W37" s="1144"/>
      <c r="X37" s="1146"/>
    </row>
    <row r="38" spans="3:24" ht="12.75" customHeight="1" thickBot="1" x14ac:dyDescent="0.3">
      <c r="C38" s="1447" t="s">
        <v>2098</v>
      </c>
      <c r="D38" s="1448"/>
      <c r="E38" s="1448"/>
      <c r="F38" s="1448"/>
      <c r="G38" s="1448"/>
      <c r="H38" s="1448"/>
      <c r="I38" s="1448"/>
      <c r="J38" s="1147"/>
      <c r="K38" s="1147"/>
      <c r="L38" s="1449">
        <v>5242.4399999999996</v>
      </c>
      <c r="M38" s="1450"/>
      <c r="N38" s="1148"/>
      <c r="O38" s="1149"/>
      <c r="P38" s="1150"/>
      <c r="Q38" s="1450">
        <v>5242.4399999999996</v>
      </c>
      <c r="R38" s="1450"/>
      <c r="S38" s="1450"/>
      <c r="T38" s="1450"/>
      <c r="U38" s="1149"/>
      <c r="V38" s="1148"/>
      <c r="W38" s="1450">
        <v>5242.4399999999996</v>
      </c>
      <c r="X38" s="1454"/>
    </row>
    <row r="39" spans="3:24" ht="12.75" customHeight="1" thickTop="1" x14ac:dyDescent="0.25">
      <c r="C39" s="1151"/>
      <c r="D39" s="1152"/>
      <c r="E39" s="1152"/>
      <c r="F39" s="1152"/>
      <c r="G39" s="1152"/>
      <c r="H39" s="1152"/>
      <c r="I39" s="1152"/>
      <c r="J39" s="1152"/>
      <c r="K39" s="1152"/>
      <c r="L39" s="1153"/>
      <c r="M39" s="1154"/>
      <c r="N39" s="1154"/>
      <c r="O39" s="1155"/>
      <c r="P39" s="1154"/>
      <c r="Q39" s="1154"/>
      <c r="R39" s="1154"/>
      <c r="S39" s="1154"/>
      <c r="T39" s="1154"/>
      <c r="U39" s="1154"/>
      <c r="V39" s="1153"/>
      <c r="W39" s="1154"/>
      <c r="X39" s="1156"/>
    </row>
    <row r="40" spans="3:24" ht="12.75" customHeight="1" thickBot="1" x14ac:dyDescent="0.3">
      <c r="C40" s="1157"/>
      <c r="D40" s="1147"/>
      <c r="E40" s="1446" t="s">
        <v>2092</v>
      </c>
      <c r="F40" s="1446"/>
      <c r="G40" s="1446"/>
      <c r="H40" s="1446"/>
      <c r="I40" s="1147"/>
      <c r="J40" s="1147"/>
      <c r="K40" s="1147"/>
      <c r="L40" s="1451">
        <f>SUM(L7:M30)-L32-L34+L38+L36</f>
        <v>12355012.325178625</v>
      </c>
      <c r="M40" s="1452"/>
      <c r="N40" s="1148"/>
      <c r="O40" s="1149"/>
      <c r="P40" s="1148"/>
      <c r="Q40" s="1452">
        <f>SUM(Q8:T30)-Q32-Q34+Q38+Q36</f>
        <v>3465660.9494500156</v>
      </c>
      <c r="R40" s="1452"/>
      <c r="S40" s="1452"/>
      <c r="T40" s="1452"/>
      <c r="U40" s="1148"/>
      <c r="V40" s="1150"/>
      <c r="W40" s="1452">
        <f>SUM(W7:X30)-W32-W34+W38+W36</f>
        <v>2952577.9055999997</v>
      </c>
      <c r="X40" s="1453"/>
    </row>
    <row r="41" spans="3:24" ht="12.75" customHeight="1" thickTop="1" x14ac:dyDescent="0.25"/>
    <row r="42" spans="3:24" ht="12.75" customHeight="1" thickBot="1" x14ac:dyDescent="0.3"/>
    <row r="43" spans="3:24" ht="12.75" customHeight="1" thickTop="1" x14ac:dyDescent="0.25">
      <c r="C43" s="1463" t="s">
        <v>2093</v>
      </c>
      <c r="D43" s="1464"/>
      <c r="E43" s="1464"/>
      <c r="F43" s="1464"/>
      <c r="G43" s="1152"/>
      <c r="H43" s="1152"/>
      <c r="I43" s="1456" t="s">
        <v>2095</v>
      </c>
      <c r="J43" s="1457"/>
      <c r="K43" s="1457"/>
      <c r="L43" s="1457"/>
      <c r="M43" s="1457"/>
      <c r="N43" s="1457"/>
      <c r="O43" s="1457"/>
      <c r="P43" s="1457"/>
      <c r="Q43" s="1457"/>
      <c r="R43" s="1457"/>
      <c r="S43" s="1457"/>
      <c r="T43" s="1457"/>
      <c r="U43" s="1457"/>
      <c r="V43" s="1457"/>
      <c r="W43" s="1457"/>
      <c r="X43" s="1458"/>
    </row>
    <row r="44" spans="3:24" ht="12.75" customHeight="1" thickBot="1" x14ac:dyDescent="0.3">
      <c r="C44" s="1158"/>
      <c r="D44" s="1159"/>
      <c r="E44" s="1465" t="s">
        <v>2094</v>
      </c>
      <c r="F44" s="1465"/>
      <c r="G44" s="1465"/>
      <c r="H44" s="1465"/>
      <c r="I44" s="1459">
        <f>'RECEITA E DESP. POR RECURSO'!AB11</f>
        <v>3093294.11</v>
      </c>
      <c r="J44" s="1460"/>
      <c r="K44" s="1460"/>
      <c r="L44" s="1460"/>
      <c r="M44" s="1460"/>
      <c r="N44" s="1460"/>
      <c r="O44" s="1460"/>
      <c r="P44" s="1460"/>
      <c r="Q44" s="1460"/>
      <c r="R44" s="1460"/>
      <c r="S44" s="1460"/>
      <c r="T44" s="1460"/>
      <c r="U44" s="1460"/>
      <c r="V44" s="1460"/>
      <c r="W44" s="1460"/>
      <c r="X44" s="1461"/>
    </row>
    <row r="45" spans="3:24" ht="12.75" customHeight="1" thickTop="1" x14ac:dyDescent="0.25"/>
    <row r="46" spans="3:24" ht="5.25" customHeight="1" x14ac:dyDescent="0.25"/>
    <row r="47" spans="3:24" ht="15" customHeight="1" x14ac:dyDescent="0.25"/>
    <row r="48" spans="3:24" ht="15" customHeight="1" x14ac:dyDescent="0.25">
      <c r="W48" s="1160"/>
    </row>
    <row r="49" ht="12" customHeight="1" x14ac:dyDescent="0.25"/>
  </sheetData>
  <mergeCells count="77">
    <mergeCell ref="A1:AA1"/>
    <mergeCell ref="I43:X43"/>
    <mergeCell ref="I44:X44"/>
    <mergeCell ref="L36:M36"/>
    <mergeCell ref="Q36:T36"/>
    <mergeCell ref="W36:X36"/>
    <mergeCell ref="C4:W4"/>
    <mergeCell ref="C43:F43"/>
    <mergeCell ref="E44:H44"/>
    <mergeCell ref="B3:X3"/>
    <mergeCell ref="W32:X32"/>
    <mergeCell ref="C34:I34"/>
    <mergeCell ref="L34:M34"/>
    <mergeCell ref="Q34:T34"/>
    <mergeCell ref="W34:X34"/>
    <mergeCell ref="C30:I30"/>
    <mergeCell ref="Q30:T30"/>
    <mergeCell ref="W30:X30"/>
    <mergeCell ref="L40:M40"/>
    <mergeCell ref="Q40:T40"/>
    <mergeCell ref="W40:X40"/>
    <mergeCell ref="W38:X38"/>
    <mergeCell ref="E40:H40"/>
    <mergeCell ref="C26:I26"/>
    <mergeCell ref="L26:M26"/>
    <mergeCell ref="Q26:T26"/>
    <mergeCell ref="W26:X26"/>
    <mergeCell ref="C28:I28"/>
    <mergeCell ref="L28:M28"/>
    <mergeCell ref="Q28:T28"/>
    <mergeCell ref="W28:X28"/>
    <mergeCell ref="C32:I32"/>
    <mergeCell ref="L32:M32"/>
    <mergeCell ref="Q32:T32"/>
    <mergeCell ref="C38:I38"/>
    <mergeCell ref="L38:M38"/>
    <mergeCell ref="Q38:T38"/>
    <mergeCell ref="L30:M30"/>
    <mergeCell ref="C22:I22"/>
    <mergeCell ref="L22:M22"/>
    <mergeCell ref="Q22:T22"/>
    <mergeCell ref="W22:X22"/>
    <mergeCell ref="C24:I24"/>
    <mergeCell ref="L24:M24"/>
    <mergeCell ref="Q24:T24"/>
    <mergeCell ref="W24:X24"/>
    <mergeCell ref="C18:I18"/>
    <mergeCell ref="L18:M18"/>
    <mergeCell ref="Q18:T18"/>
    <mergeCell ref="W18:X18"/>
    <mergeCell ref="C20:I20"/>
    <mergeCell ref="L20:M20"/>
    <mergeCell ref="Q20:T20"/>
    <mergeCell ref="W20:X20"/>
    <mergeCell ref="C14:I14"/>
    <mergeCell ref="L14:M14"/>
    <mergeCell ref="Q14:T14"/>
    <mergeCell ref="W14:X14"/>
    <mergeCell ref="C16:I16"/>
    <mergeCell ref="L16:M16"/>
    <mergeCell ref="Q16:T16"/>
    <mergeCell ref="W16:X16"/>
    <mergeCell ref="C10:I10"/>
    <mergeCell ref="L10:M10"/>
    <mergeCell ref="Q10:T10"/>
    <mergeCell ref="W10:X10"/>
    <mergeCell ref="C12:I12"/>
    <mergeCell ref="L12:M12"/>
    <mergeCell ref="Q12:T12"/>
    <mergeCell ref="W12:X12"/>
    <mergeCell ref="C6:E6"/>
    <mergeCell ref="P6:T6"/>
    <mergeCell ref="W6:X6"/>
    <mergeCell ref="C8:I8"/>
    <mergeCell ref="L8:M8"/>
    <mergeCell ref="Q8:T8"/>
    <mergeCell ref="W8:X8"/>
  </mergeCells>
  <pageMargins left="0.51181102362204722" right="0.51181102362204722" top="0.78740157480314965" bottom="0.78740157480314965" header="0.31496062992125984" footer="0.31496062992125984"/>
  <pageSetup paperSize="9" scale="75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1"/>
  <sheetViews>
    <sheetView zoomScale="80" zoomScaleNormal="80" workbookViewId="0">
      <selection activeCell="O19" sqref="O19"/>
    </sheetView>
  </sheetViews>
  <sheetFormatPr defaultRowHeight="20.100000000000001" customHeight="1" x14ac:dyDescent="0.25"/>
  <cols>
    <col min="1" max="1" width="3.85546875" style="1161" customWidth="1"/>
    <col min="2" max="2" width="33.28515625" style="1161" customWidth="1"/>
    <col min="3" max="3" width="13.7109375" style="1161" customWidth="1"/>
    <col min="4" max="5" width="13.140625" style="1161" customWidth="1"/>
    <col min="6" max="6" width="12.7109375" style="1161" customWidth="1"/>
    <col min="7" max="7" width="14.140625" style="1161" customWidth="1"/>
    <col min="8" max="16384" width="9.140625" style="1161"/>
  </cols>
  <sheetData>
    <row r="1" spans="2:7" ht="20.100000000000001" customHeight="1" x14ac:dyDescent="0.25">
      <c r="B1" s="1467" t="str">
        <f>'CADASTRO BASE RECEITA '!A$1</f>
        <v>PROPOSTA ORÇAMENTÁRIA PARA 2016</v>
      </c>
      <c r="C1" s="1467"/>
      <c r="D1" s="1467"/>
      <c r="E1" s="1467"/>
      <c r="F1" s="1467"/>
      <c r="G1" s="1467"/>
    </row>
    <row r="2" spans="2:7" ht="20.100000000000001" customHeight="1" x14ac:dyDescent="0.25">
      <c r="B2" s="1162"/>
      <c r="G2" s="1163"/>
    </row>
    <row r="3" spans="2:7" ht="20.100000000000001" customHeight="1" thickBot="1" x14ac:dyDescent="0.3">
      <c r="B3" s="1466" t="s">
        <v>82</v>
      </c>
      <c r="C3" s="1466"/>
      <c r="D3" s="1466"/>
      <c r="E3" s="1466"/>
      <c r="F3" s="1466"/>
      <c r="G3" s="1466"/>
    </row>
    <row r="4" spans="2:7" ht="22.5" customHeight="1" thickTop="1" x14ac:dyDescent="0.25">
      <c r="B4" s="1164" t="s">
        <v>215</v>
      </c>
      <c r="C4" s="1165" t="s">
        <v>11780</v>
      </c>
      <c r="D4" s="1165" t="s">
        <v>11781</v>
      </c>
      <c r="E4" s="1165" t="s">
        <v>11782</v>
      </c>
      <c r="F4" s="1165" t="s">
        <v>11783</v>
      </c>
      <c r="G4" s="1166" t="s">
        <v>11784</v>
      </c>
    </row>
    <row r="5" spans="2:7" ht="20.100000000000001" customHeight="1" x14ac:dyDescent="0.25">
      <c r="B5" s="1167" t="s">
        <v>216</v>
      </c>
      <c r="C5" s="1168">
        <f>SUM(C6:C13)</f>
        <v>13736513.129999999</v>
      </c>
      <c r="D5" s="1168">
        <f>SUM(D6:D13)</f>
        <v>14815035.969999999</v>
      </c>
      <c r="E5" s="1168">
        <f>SUM(E6:E13)</f>
        <v>10121183.359999999</v>
      </c>
      <c r="F5" s="1168">
        <f>SUM(F6:F13)</f>
        <v>15181775.040000001</v>
      </c>
      <c r="G5" s="1169">
        <f>SUM(G6:G13)+0.02</f>
        <v>19616347.26329257</v>
      </c>
    </row>
    <row r="6" spans="2:7" ht="20.100000000000001" customHeight="1" x14ac:dyDescent="0.25">
      <c r="B6" s="1170" t="s">
        <v>217</v>
      </c>
      <c r="C6" s="1171">
        <f>'CADASTRO BASE RECEITA '!C7</f>
        <v>449604.78</v>
      </c>
      <c r="D6" s="1171">
        <f>'CADASTRO BASE RECEITA '!D7</f>
        <v>492598.84</v>
      </c>
      <c r="E6" s="1171">
        <f>'CADASTRO BASE RECEITA '!E7</f>
        <v>287238.08</v>
      </c>
      <c r="F6" s="1171">
        <f>'CADASTRO BASE RECEITA '!F7</f>
        <v>430857.12</v>
      </c>
      <c r="G6" s="1172">
        <f>'ANEXO I ART.2ºLOA '!E7</f>
        <v>514141.71</v>
      </c>
    </row>
    <row r="7" spans="2:7" ht="20.100000000000001" customHeight="1" x14ac:dyDescent="0.25">
      <c r="B7" s="1170" t="s">
        <v>218</v>
      </c>
      <c r="C7" s="1171">
        <f>'CADASTRO BASE RECEITA '!C8</f>
        <v>0</v>
      </c>
      <c r="D7" s="1171">
        <f>'CADASTRO BASE RECEITA '!D8</f>
        <v>0</v>
      </c>
      <c r="E7" s="1171">
        <f>'CADASTRO BASE RECEITA '!E8</f>
        <v>0</v>
      </c>
      <c r="F7" s="1171">
        <f>'CADASTRO BASE RECEITA '!F8</f>
        <v>0</v>
      </c>
      <c r="G7" s="1172">
        <f>'ART.4º ORC FISC E SEG SOC'!D8</f>
        <v>0</v>
      </c>
    </row>
    <row r="8" spans="2:7" ht="20.100000000000001" customHeight="1" x14ac:dyDescent="0.25">
      <c r="B8" s="1170" t="s">
        <v>219</v>
      </c>
      <c r="C8" s="1171">
        <f>'CADASTRO BASE RECEITA '!C9</f>
        <v>55089.07</v>
      </c>
      <c r="D8" s="1171">
        <f>'CADASTRO BASE RECEITA '!D9</f>
        <v>84814.37</v>
      </c>
      <c r="E8" s="1171">
        <f>'CADASTRO BASE RECEITA '!E9</f>
        <v>63323.83</v>
      </c>
      <c r="F8" s="1171">
        <f>'CADASTRO BASE RECEITA '!F9</f>
        <v>94985.744999999995</v>
      </c>
      <c r="G8" s="1172">
        <f>'ART.4º ORC FISC E SEG SOC'!D9</f>
        <v>89062.99</v>
      </c>
    </row>
    <row r="9" spans="2:7" ht="20.100000000000001" customHeight="1" x14ac:dyDescent="0.25">
      <c r="B9" s="1170" t="s">
        <v>220</v>
      </c>
      <c r="C9" s="1171">
        <f>'CADASTRO BASE RECEITA '!C10</f>
        <v>0</v>
      </c>
      <c r="D9" s="1171">
        <f>'CADASTRO BASE RECEITA '!D10</f>
        <v>0</v>
      </c>
      <c r="E9" s="1171">
        <f>'CADASTRO BASE RECEITA '!E10</f>
        <v>0</v>
      </c>
      <c r="F9" s="1171">
        <f>'CADASTRO BASE RECEITA '!F10</f>
        <v>0</v>
      </c>
      <c r="G9" s="1172">
        <v>0</v>
      </c>
    </row>
    <row r="10" spans="2:7" ht="20.100000000000001" customHeight="1" x14ac:dyDescent="0.25">
      <c r="B10" s="1170" t="s">
        <v>221</v>
      </c>
      <c r="C10" s="1171">
        <f>'CADASTRO BASE RECEITA '!C11</f>
        <v>0</v>
      </c>
      <c r="D10" s="1171">
        <f>'CADASTRO BASE RECEITA '!D11</f>
        <v>0</v>
      </c>
      <c r="E10" s="1171">
        <f>'CADASTRO BASE RECEITA '!E11</f>
        <v>0</v>
      </c>
      <c r="F10" s="1171">
        <f>'CADASTRO BASE RECEITA '!F11</f>
        <v>0</v>
      </c>
      <c r="G10" s="1172">
        <v>0</v>
      </c>
    </row>
    <row r="11" spans="2:7" ht="20.100000000000001" customHeight="1" x14ac:dyDescent="0.25">
      <c r="B11" s="1170" t="s">
        <v>222</v>
      </c>
      <c r="C11" s="1171">
        <f>'CADASTRO BASE RECEITA '!C12</f>
        <v>75156.490000000005</v>
      </c>
      <c r="D11" s="1171">
        <f>'CADASTRO BASE RECEITA '!D12</f>
        <v>135503.47</v>
      </c>
      <c r="E11" s="1171">
        <f>'CADASTRO BASE RECEITA '!E12</f>
        <v>46371.86</v>
      </c>
      <c r="F11" s="1171">
        <f>'CADASTRO BASE RECEITA '!F12</f>
        <v>69557.790000000008</v>
      </c>
      <c r="G11" s="1172">
        <f>'ORCAMENTO RECEITA ANALITICO'!H111</f>
        <v>87283.253858353739</v>
      </c>
    </row>
    <row r="12" spans="2:7" ht="20.100000000000001" customHeight="1" x14ac:dyDescent="0.25">
      <c r="B12" s="1170" t="s">
        <v>223</v>
      </c>
      <c r="C12" s="1171">
        <f>'CADASTRO BASE RECEITA '!C13</f>
        <v>12885662.43</v>
      </c>
      <c r="D12" s="1171">
        <f>'CADASTRO BASE RECEITA '!D13</f>
        <v>13891100.52</v>
      </c>
      <c r="E12" s="1171">
        <f>'CADASTRO BASE RECEITA '!E13</f>
        <v>9507958.9000000004</v>
      </c>
      <c r="F12" s="1171">
        <f>'CADASTRO BASE RECEITA '!F13</f>
        <v>14261938.350000001</v>
      </c>
      <c r="G12" s="1172">
        <f>'ORCAMENTO RECEITA ANALITICO'!H138</f>
        <v>18229721.361564483</v>
      </c>
    </row>
    <row r="13" spans="2:7" ht="20.100000000000001" customHeight="1" x14ac:dyDescent="0.25">
      <c r="B13" s="1170" t="s">
        <v>224</v>
      </c>
      <c r="C13" s="1171">
        <f>'CADASTRO BASE RECEITA '!C14</f>
        <v>271000.36</v>
      </c>
      <c r="D13" s="1171">
        <f>'CADASTRO BASE RECEITA '!D14</f>
        <v>211018.77</v>
      </c>
      <c r="E13" s="1171">
        <f>'CADASTRO BASE RECEITA '!E14</f>
        <v>216290.69</v>
      </c>
      <c r="F13" s="1171">
        <f>'CADASTRO BASE RECEITA '!F14</f>
        <v>324436.03500000003</v>
      </c>
      <c r="G13" s="1172">
        <f>'ORCAMENTO RECEITA ANALITICO'!H252</f>
        <v>696137.92786973482</v>
      </c>
    </row>
    <row r="14" spans="2:7" ht="20.100000000000001" customHeight="1" x14ac:dyDescent="0.25">
      <c r="B14" s="1167" t="s">
        <v>225</v>
      </c>
      <c r="C14" s="1168">
        <f>SUM(C15:C19)</f>
        <v>388180.32000000007</v>
      </c>
      <c r="D14" s="1168">
        <f>SUM(D15:D19)</f>
        <v>619514.81000000006</v>
      </c>
      <c r="E14" s="1168">
        <f>SUM(E15:E19)</f>
        <v>292841.08999999997</v>
      </c>
      <c r="F14" s="1168">
        <f>SUM(F15:F19)</f>
        <v>439261.63500000001</v>
      </c>
      <c r="G14" s="1169">
        <f>SUM(G15:G19)</f>
        <v>1059600</v>
      </c>
    </row>
    <row r="15" spans="2:7" ht="20.100000000000001" customHeight="1" x14ac:dyDescent="0.25">
      <c r="B15" s="1170" t="s">
        <v>226</v>
      </c>
      <c r="C15" s="1171">
        <f>'CADASTRO BASE RECEITA '!C16</f>
        <v>0</v>
      </c>
      <c r="D15" s="1171">
        <f>'CADASTRO BASE RECEITA '!D16</f>
        <v>0</v>
      </c>
      <c r="E15" s="1171">
        <f>'CADASTRO BASE RECEITA '!E16</f>
        <v>0</v>
      </c>
      <c r="F15" s="1171">
        <f>'CADASTRO BASE RECEITA '!F16</f>
        <v>0</v>
      </c>
      <c r="G15" s="1172">
        <v>0</v>
      </c>
    </row>
    <row r="16" spans="2:7" ht="20.100000000000001" customHeight="1" x14ac:dyDescent="0.25">
      <c r="B16" s="1170" t="s">
        <v>227</v>
      </c>
      <c r="C16" s="1171">
        <f>'CADASTRO BASE RECEITA '!C17</f>
        <v>47509.2</v>
      </c>
      <c r="D16" s="1171">
        <f>'CADASTRO BASE RECEITA '!D17</f>
        <v>102750</v>
      </c>
      <c r="E16" s="1171">
        <f>'CADASTRO BASE RECEITA '!E17</f>
        <v>0</v>
      </c>
      <c r="F16" s="1171">
        <f>'CADASTRO BASE RECEITA '!F17</f>
        <v>0</v>
      </c>
      <c r="G16" s="1172">
        <f>'ORCAMENTO RECEITA ANALITICO'!H351</f>
        <v>4000</v>
      </c>
    </row>
    <row r="17" spans="2:7" ht="20.100000000000001" customHeight="1" x14ac:dyDescent="0.25">
      <c r="B17" s="1170" t="s">
        <v>228</v>
      </c>
      <c r="C17" s="1171">
        <f>'CADASTRO BASE RECEITA '!C18</f>
        <v>0</v>
      </c>
      <c r="D17" s="1171">
        <f>'CADASTRO BASE RECEITA '!D18</f>
        <v>0</v>
      </c>
      <c r="E17" s="1171">
        <f>'CADASTRO BASE RECEITA '!E18</f>
        <v>0</v>
      </c>
      <c r="F17" s="1171">
        <f>'CADASTRO BASE RECEITA '!F18</f>
        <v>0</v>
      </c>
      <c r="G17" s="1172">
        <v>0</v>
      </c>
    </row>
    <row r="18" spans="2:7" ht="20.100000000000001" customHeight="1" x14ac:dyDescent="0.25">
      <c r="B18" s="1170" t="s">
        <v>229</v>
      </c>
      <c r="C18" s="1171">
        <f>'CADASTRO BASE RECEITA '!C19</f>
        <v>319076.59000000003</v>
      </c>
      <c r="D18" s="1171">
        <f>'CADASTRO BASE RECEITA '!D19</f>
        <v>468253.75</v>
      </c>
      <c r="E18" s="1171">
        <f>'CADASTRO BASE RECEITA '!E19</f>
        <v>250000</v>
      </c>
      <c r="F18" s="1171">
        <f>'CADASTRO BASE RECEITA '!F19</f>
        <v>375000</v>
      </c>
      <c r="G18" s="1172">
        <f>'ORCAMENTO RECEITA ANALITICO'!H357</f>
        <v>1039000</v>
      </c>
    </row>
    <row r="19" spans="2:7" ht="20.100000000000001" customHeight="1" x14ac:dyDescent="0.25">
      <c r="B19" s="1170" t="s">
        <v>230</v>
      </c>
      <c r="C19" s="1171">
        <f>'CADASTRO BASE RECEITA '!C20</f>
        <v>21594.53</v>
      </c>
      <c r="D19" s="1171">
        <f>'CADASTRO BASE RECEITA '!D20</f>
        <v>48511.06</v>
      </c>
      <c r="E19" s="1171">
        <f>'CADASTRO BASE RECEITA '!E20</f>
        <v>42841.09</v>
      </c>
      <c r="F19" s="1171">
        <f>'CADASTRO BASE RECEITA '!F20</f>
        <v>64261.634999999995</v>
      </c>
      <c r="G19" s="1172">
        <f>'ORCAMENTO RECEITA ANALITICO'!H384</f>
        <v>16600</v>
      </c>
    </row>
    <row r="20" spans="2:7" ht="28.5" customHeight="1" x14ac:dyDescent="0.25">
      <c r="B20" s="1167" t="s">
        <v>142</v>
      </c>
      <c r="C20" s="1168">
        <f>SUM(C21:C23)</f>
        <v>0</v>
      </c>
      <c r="D20" s="1168">
        <f>SUM(D21:D23)</f>
        <v>0</v>
      </c>
      <c r="E20" s="1168">
        <f>SUM(E21:E23)</f>
        <v>0</v>
      </c>
      <c r="F20" s="1168">
        <f>SUM(F21:F23)</f>
        <v>0</v>
      </c>
      <c r="G20" s="1169">
        <f>SUM(G21:G23)</f>
        <v>0</v>
      </c>
    </row>
    <row r="21" spans="2:7" ht="20.100000000000001" customHeight="1" x14ac:dyDescent="0.25">
      <c r="B21" s="1170" t="s">
        <v>218</v>
      </c>
      <c r="C21" s="1171">
        <f>'CADASTRO BASE RECEITA '!C22</f>
        <v>0</v>
      </c>
      <c r="D21" s="1171">
        <f>'CADASTRO BASE RECEITA '!D22</f>
        <v>0</v>
      </c>
      <c r="E21" s="1171">
        <f>'CADASTRO BASE RECEITA '!E22</f>
        <v>0</v>
      </c>
      <c r="F21" s="1171">
        <f>'CADASTRO BASE RECEITA '!F22</f>
        <v>0</v>
      </c>
      <c r="G21" s="1172">
        <v>0</v>
      </c>
    </row>
    <row r="22" spans="2:7" ht="20.100000000000001" customHeight="1" x14ac:dyDescent="0.25">
      <c r="B22" s="1170" t="s">
        <v>219</v>
      </c>
      <c r="C22" s="1171">
        <f>'CADASTRO BASE RECEITA '!C23</f>
        <v>0</v>
      </c>
      <c r="D22" s="1171">
        <f>'CADASTRO BASE RECEITA '!D23</f>
        <v>0</v>
      </c>
      <c r="E22" s="1171">
        <f>'CADASTRO BASE RECEITA '!E23</f>
        <v>0</v>
      </c>
      <c r="F22" s="1171">
        <f>'CADASTRO BASE RECEITA '!F23</f>
        <v>0</v>
      </c>
      <c r="G22" s="1172">
        <v>0</v>
      </c>
    </row>
    <row r="23" spans="2:7" ht="20.100000000000001" customHeight="1" x14ac:dyDescent="0.25">
      <c r="B23" s="1170" t="s">
        <v>224</v>
      </c>
      <c r="C23" s="1171">
        <f>'CADASTRO BASE RECEITA '!C24</f>
        <v>0</v>
      </c>
      <c r="D23" s="1171">
        <f>'CADASTRO BASE RECEITA '!D24</f>
        <v>0</v>
      </c>
      <c r="E23" s="1171">
        <f>'CADASTRO BASE RECEITA '!E24</f>
        <v>0</v>
      </c>
      <c r="F23" s="1171">
        <f>'CADASTRO BASE RECEITA '!F24</f>
        <v>0</v>
      </c>
      <c r="G23" s="1172">
        <v>0</v>
      </c>
    </row>
    <row r="24" spans="2:7" ht="29.25" customHeight="1" x14ac:dyDescent="0.25">
      <c r="B24" s="1167" t="s">
        <v>81</v>
      </c>
      <c r="C24" s="1168">
        <f>SUM(C25:C27)</f>
        <v>0</v>
      </c>
      <c r="D24" s="1168">
        <f>SUM(D25:D27)</f>
        <v>0</v>
      </c>
      <c r="E24" s="1168">
        <f>SUM(E25:E27)</f>
        <v>0</v>
      </c>
      <c r="F24" s="1168">
        <f>SUM(F25:F27)</f>
        <v>0</v>
      </c>
      <c r="G24" s="1169">
        <f>SUM(G25:G27)</f>
        <v>0</v>
      </c>
    </row>
    <row r="25" spans="2:7" ht="20.100000000000001" customHeight="1" x14ac:dyDescent="0.25">
      <c r="B25" s="1170" t="s">
        <v>227</v>
      </c>
      <c r="C25" s="1171">
        <f>'CADASTRO BASE RECEITA '!C26</f>
        <v>0</v>
      </c>
      <c r="D25" s="1171">
        <f>'CADASTRO BASE RECEITA '!D26</f>
        <v>0</v>
      </c>
      <c r="E25" s="1171">
        <f>'CADASTRO BASE RECEITA '!E26</f>
        <v>0</v>
      </c>
      <c r="F25" s="1171">
        <f>'CADASTRO BASE RECEITA '!F26</f>
        <v>0</v>
      </c>
      <c r="G25" s="1172">
        <v>0</v>
      </c>
    </row>
    <row r="26" spans="2:7" ht="20.100000000000001" customHeight="1" x14ac:dyDescent="0.25">
      <c r="B26" s="1170" t="s">
        <v>228</v>
      </c>
      <c r="C26" s="1171">
        <f>'CADASTRO BASE RECEITA '!C27</f>
        <v>0</v>
      </c>
      <c r="D26" s="1171">
        <f>'CADASTRO BASE RECEITA '!D27</f>
        <v>0</v>
      </c>
      <c r="E26" s="1171">
        <f>'CADASTRO BASE RECEITA '!E27</f>
        <v>0</v>
      </c>
      <c r="F26" s="1171">
        <f>'CADASTRO BASE RECEITA '!F27</f>
        <v>0</v>
      </c>
      <c r="G26" s="1172">
        <v>0</v>
      </c>
    </row>
    <row r="27" spans="2:7" ht="20.100000000000001" customHeight="1" x14ac:dyDescent="0.25">
      <c r="B27" s="1170" t="s">
        <v>230</v>
      </c>
      <c r="C27" s="1171">
        <f>'CADASTRO BASE RECEITA '!C28</f>
        <v>0</v>
      </c>
      <c r="D27" s="1171">
        <f>'CADASTRO BASE RECEITA '!D28</f>
        <v>0</v>
      </c>
      <c r="E27" s="1171">
        <f>'CADASTRO BASE RECEITA '!E28</f>
        <v>0</v>
      </c>
      <c r="F27" s="1171">
        <f>'CADASTRO BASE RECEITA '!F28</f>
        <v>0</v>
      </c>
      <c r="G27" s="1172">
        <v>0</v>
      </c>
    </row>
    <row r="28" spans="2:7" ht="20.100000000000001" customHeight="1" x14ac:dyDescent="0.25">
      <c r="B28" s="1167" t="s">
        <v>231</v>
      </c>
      <c r="C28" s="1168">
        <f>'CADASTRO BASE RECEITA '!C29</f>
        <v>1788811.36</v>
      </c>
      <c r="D28" s="1168">
        <f>'CADASTRO BASE RECEITA '!D29</f>
        <v>1922108.55</v>
      </c>
      <c r="E28" s="1168">
        <f>'CADASTRO BASE RECEITA '!E29</f>
        <v>1355291.45</v>
      </c>
      <c r="F28" s="1168">
        <f>'CADASTRO BASE RECEITA '!F29</f>
        <v>1807055.2666666666</v>
      </c>
      <c r="G28" s="1172">
        <f>'ORCAMENTO RECEITA ANALITICO'!H415</f>
        <v>2375947.2701565372</v>
      </c>
    </row>
    <row r="29" spans="2:7" ht="20.100000000000001" customHeight="1" thickBot="1" x14ac:dyDescent="0.3">
      <c r="B29" s="1173" t="s">
        <v>232</v>
      </c>
      <c r="C29" s="1174">
        <f>C5+C14+C20+C24-C28</f>
        <v>12335882.09</v>
      </c>
      <c r="D29" s="1174">
        <f>D5+D14+D20+D24-D28</f>
        <v>13512442.229999999</v>
      </c>
      <c r="E29" s="1174">
        <f>E5+E14+E20+E24-E28</f>
        <v>9058733</v>
      </c>
      <c r="F29" s="1174">
        <f>F5+F14+F20+F24-F28</f>
        <v>13813981.408333335</v>
      </c>
      <c r="G29" s="1175">
        <f>G5+G14+G20+G24-G28+0.01</f>
        <v>18300000.003136035</v>
      </c>
    </row>
    <row r="30" spans="2:7" ht="20.100000000000001" customHeight="1" thickTop="1" x14ac:dyDescent="0.25">
      <c r="B30" s="1176"/>
    </row>
    <row r="31" spans="2:7" ht="20.100000000000001" customHeight="1" x14ac:dyDescent="0.25">
      <c r="B31" s="1177"/>
    </row>
  </sheetData>
  <mergeCells count="2">
    <mergeCell ref="B3:G3"/>
    <mergeCell ref="B1:G1"/>
  </mergeCells>
  <phoneticPr fontId="46" type="noConversion"/>
  <pageMargins left="0.51181102362204722" right="0.51181102362204722" top="0.78740157480314965" bottom="0.78740157480314965" header="0.31496062992125984" footer="0.31496062992125984"/>
  <pageSetup paperSize="9" scale="90" orientation="portrait" verticalDpi="7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view="pageLayout" topLeftCell="B1" zoomScaleNormal="100" workbookViewId="0">
      <selection activeCell="A4" sqref="A4:H4"/>
    </sheetView>
  </sheetViews>
  <sheetFormatPr defaultRowHeight="15" x14ac:dyDescent="0.25"/>
  <cols>
    <col min="1" max="1" width="29" customWidth="1"/>
    <col min="2" max="2" width="19.85546875" customWidth="1"/>
    <col min="3" max="3" width="20.28515625" customWidth="1"/>
    <col min="4" max="4" width="19.85546875" customWidth="1"/>
    <col min="5" max="5" width="11.7109375" customWidth="1"/>
    <col min="6" max="6" width="20.5703125" customWidth="1"/>
    <col min="7" max="7" width="11.85546875" customWidth="1"/>
    <col min="8" max="8" width="11.28515625" customWidth="1"/>
    <col min="10" max="10" width="10.85546875" customWidth="1"/>
  </cols>
  <sheetData>
    <row r="1" spans="1:9" s="11" customFormat="1" ht="21" x14ac:dyDescent="0.35">
      <c r="A1" s="1253" t="str">
        <f>'CADASTRO BASE RECEITA '!A1</f>
        <v>PROPOSTA ORÇAMENTÁRIA PARA 2016</v>
      </c>
      <c r="B1" s="1253"/>
      <c r="C1" s="1253"/>
      <c r="D1" s="1253"/>
      <c r="E1" s="1253"/>
      <c r="F1" s="1253"/>
      <c r="G1" s="1253"/>
      <c r="H1" s="1253"/>
      <c r="I1" s="10"/>
    </row>
    <row r="2" spans="1:9" s="11" customFormat="1" ht="21" x14ac:dyDescent="0.35">
      <c r="A2" s="8"/>
      <c r="B2" s="9"/>
      <c r="C2" s="10"/>
      <c r="D2" s="10"/>
      <c r="E2" s="10"/>
      <c r="F2" s="10"/>
      <c r="G2" s="10"/>
      <c r="H2" s="10"/>
      <c r="I2" s="10"/>
    </row>
    <row r="3" spans="1:9" ht="15.75" x14ac:dyDescent="0.25">
      <c r="A3" s="1254" t="s">
        <v>233</v>
      </c>
      <c r="B3" s="1254"/>
      <c r="C3" s="1254"/>
      <c r="D3" s="1254"/>
      <c r="E3" s="1254"/>
      <c r="F3" s="1254"/>
      <c r="G3" s="1254"/>
      <c r="H3" s="1254"/>
      <c r="I3" s="103"/>
    </row>
    <row r="4" spans="1:9" ht="15.75" x14ac:dyDescent="0.25">
      <c r="A4" s="1254" t="s">
        <v>2239</v>
      </c>
      <c r="B4" s="1254"/>
      <c r="C4" s="1254"/>
      <c r="D4" s="1254"/>
      <c r="E4" s="1254"/>
      <c r="F4" s="1254"/>
      <c r="G4" s="1254"/>
      <c r="H4" s="1254"/>
      <c r="I4" s="103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s="18" customFormat="1" ht="15.75" x14ac:dyDescent="0.25">
      <c r="A6" s="1255" t="s">
        <v>21</v>
      </c>
      <c r="B6" s="324">
        <v>2012</v>
      </c>
      <c r="C6" s="324">
        <v>2013</v>
      </c>
      <c r="D6" s="324">
        <v>2014</v>
      </c>
      <c r="E6" s="310" t="s">
        <v>236</v>
      </c>
      <c r="F6" s="310">
        <v>2015</v>
      </c>
      <c r="G6" s="1256" t="s">
        <v>236</v>
      </c>
      <c r="H6" s="1256"/>
    </row>
    <row r="7" spans="1:9" s="18" customFormat="1" ht="15.75" x14ac:dyDescent="0.25">
      <c r="A7" s="1255"/>
      <c r="B7" s="325" t="s">
        <v>23</v>
      </c>
      <c r="C7" s="325" t="s">
        <v>23</v>
      </c>
      <c r="D7" s="325" t="s">
        <v>23</v>
      </c>
      <c r="E7" s="310" t="s">
        <v>235</v>
      </c>
      <c r="F7" s="310" t="s">
        <v>213</v>
      </c>
      <c r="G7" s="324" t="s">
        <v>235</v>
      </c>
      <c r="H7" s="310" t="s">
        <v>235</v>
      </c>
    </row>
    <row r="8" spans="1:9" s="18" customFormat="1" ht="15.75" x14ac:dyDescent="0.25">
      <c r="A8" s="330" t="s">
        <v>249</v>
      </c>
      <c r="B8" s="331">
        <f>SUM(B9:B16)</f>
        <v>12910153.609999999</v>
      </c>
      <c r="C8" s="331">
        <f>SUM(C9:C16)</f>
        <v>13736513.129999999</v>
      </c>
      <c r="D8" s="331">
        <f>SUM(D9:D16)</f>
        <v>14815035.969999999</v>
      </c>
      <c r="E8" s="332">
        <f>(((C8-B8)/B8)+(D8-C8)/C8)/2</f>
        <v>7.1261766788170117E-2</v>
      </c>
      <c r="F8" s="333">
        <f>SUM(F9:F16)</f>
        <v>15181775.040000001</v>
      </c>
      <c r="G8" s="332">
        <f>((((C8-B8)/B8)+(D8-C8)/C8)+((F8-D8)/D8)/3)</f>
        <v>0.15077503947306653</v>
      </c>
      <c r="H8" s="334">
        <f>(G8+E8)/2</f>
        <v>0.11101840313061832</v>
      </c>
    </row>
    <row r="9" spans="1:9" s="18" customFormat="1" ht="15.75" x14ac:dyDescent="0.25">
      <c r="A9" s="326" t="s">
        <v>217</v>
      </c>
      <c r="B9" s="327">
        <f>'CADASTRO BASE RECEITA '!B7</f>
        <v>281087.34999999998</v>
      </c>
      <c r="C9" s="327">
        <f>'CADASTRO BASE RECEITA '!C7</f>
        <v>449604.78</v>
      </c>
      <c r="D9" s="327">
        <f>'CADASTRO BASE RECEITA '!D7</f>
        <v>492598.84</v>
      </c>
      <c r="E9" s="328">
        <f>(((C9-B9)/B9)+(D9-C9)/C9)/2</f>
        <v>0.34757306719279835</v>
      </c>
      <c r="F9" s="327">
        <f>'CADASTRO BASE RECEITA '!F7</f>
        <v>430857.12</v>
      </c>
      <c r="G9" s="328">
        <f>((((C9-B9)/B9)+(D9-C9)/C9)+((F9-D9)/D9)/3)</f>
        <v>0.65336655298558088</v>
      </c>
      <c r="H9" s="329">
        <f>(G9+E9)/2</f>
        <v>0.50046981008918956</v>
      </c>
    </row>
    <row r="10" spans="1:9" s="18" customFormat="1" ht="15.75" x14ac:dyDescent="0.25">
      <c r="A10" s="326" t="s">
        <v>218</v>
      </c>
      <c r="B10" s="327">
        <f>'CADASTRO BASE RECEITA '!B8</f>
        <v>0</v>
      </c>
      <c r="C10" s="327">
        <f>'CADASTRO BASE RECEITA '!C8</f>
        <v>0</v>
      </c>
      <c r="D10" s="327">
        <f>'CADASTRO BASE RECEITA '!D8</f>
        <v>0</v>
      </c>
      <c r="E10" s="328">
        <v>0</v>
      </c>
      <c r="F10" s="327">
        <f>'CADASTRO BASE RECEITA '!F8</f>
        <v>0</v>
      </c>
      <c r="G10" s="328">
        <v>0</v>
      </c>
      <c r="H10" s="329">
        <f t="shared" ref="H10:H23" si="0">(G10+E10)/2</f>
        <v>0</v>
      </c>
    </row>
    <row r="11" spans="1:9" s="18" customFormat="1" ht="15.75" x14ac:dyDescent="0.25">
      <c r="A11" s="326" t="s">
        <v>219</v>
      </c>
      <c r="B11" s="327">
        <f>'CADASTRO BASE RECEITA '!B9</f>
        <v>84234.43</v>
      </c>
      <c r="C11" s="327">
        <f>'CADASTRO BASE RECEITA '!C9</f>
        <v>55089.07</v>
      </c>
      <c r="D11" s="327">
        <f>'CADASTRO BASE RECEITA '!D9</f>
        <v>84814.37</v>
      </c>
      <c r="E11" s="328">
        <f t="shared" ref="E11:E16" si="1">(((C11-B11)/B11)+(D11-C11)/C11)/2</f>
        <v>9.6791614914224972E-2</v>
      </c>
      <c r="F11" s="327">
        <f>'CADASTRO BASE RECEITA '!F9</f>
        <v>94985.744999999995</v>
      </c>
      <c r="G11" s="328">
        <f t="shared" ref="G11:G16" si="2">((((C11-B11)/B11)+(D11-C11)/C11)+((F11-D11)/D11)/3)</f>
        <v>0.23355827572377799</v>
      </c>
      <c r="H11" s="329">
        <f t="shared" si="0"/>
        <v>0.16517494531900148</v>
      </c>
    </row>
    <row r="12" spans="1:9" s="18" customFormat="1" ht="15.75" x14ac:dyDescent="0.25">
      <c r="A12" s="326" t="s">
        <v>220</v>
      </c>
      <c r="B12" s="327">
        <f>'CADASTRO BASE RECEITA '!B10</f>
        <v>0</v>
      </c>
      <c r="C12" s="327">
        <f>'CADASTRO BASE RECEITA '!C10</f>
        <v>0</v>
      </c>
      <c r="D12" s="327">
        <f>'CADASTRO BASE RECEITA '!D10</f>
        <v>0</v>
      </c>
      <c r="E12" s="328">
        <v>0</v>
      </c>
      <c r="F12" s="327">
        <f>'CADASTRO BASE RECEITA '!F10</f>
        <v>0</v>
      </c>
      <c r="G12" s="328">
        <v>0</v>
      </c>
      <c r="H12" s="329">
        <f t="shared" si="0"/>
        <v>0</v>
      </c>
    </row>
    <row r="13" spans="1:9" s="18" customFormat="1" ht="15.75" x14ac:dyDescent="0.25">
      <c r="A13" s="326" t="s">
        <v>221</v>
      </c>
      <c r="B13" s="327">
        <f>'CADASTRO BASE RECEITA '!B11</f>
        <v>0</v>
      </c>
      <c r="C13" s="327">
        <f>'CADASTRO BASE RECEITA '!C11</f>
        <v>0</v>
      </c>
      <c r="D13" s="327">
        <f>'CADASTRO BASE RECEITA '!D11</f>
        <v>0</v>
      </c>
      <c r="E13" s="328">
        <v>0</v>
      </c>
      <c r="F13" s="327">
        <f>'CADASTRO BASE RECEITA '!F11</f>
        <v>0</v>
      </c>
      <c r="G13" s="328">
        <v>0</v>
      </c>
      <c r="H13" s="329">
        <f t="shared" si="0"/>
        <v>0</v>
      </c>
    </row>
    <row r="14" spans="1:9" s="18" customFormat="1" ht="15.75" x14ac:dyDescent="0.25">
      <c r="A14" s="326" t="s">
        <v>222</v>
      </c>
      <c r="B14" s="327">
        <f>'CADASTRO BASE RECEITA '!B12</f>
        <v>75127.350000000006</v>
      </c>
      <c r="C14" s="327">
        <f>'CADASTRO BASE RECEITA '!C12</f>
        <v>75156.490000000005</v>
      </c>
      <c r="D14" s="327">
        <f>'CADASTRO BASE RECEITA '!D12</f>
        <v>135503.47</v>
      </c>
      <c r="E14" s="328">
        <f t="shared" si="1"/>
        <v>0.40166944533113103</v>
      </c>
      <c r="F14" s="327">
        <f>'CADASTRO BASE RECEITA '!F12</f>
        <v>69557.790000000008</v>
      </c>
      <c r="G14" s="328">
        <f t="shared" si="2"/>
        <v>0.64111504994930224</v>
      </c>
      <c r="H14" s="329">
        <f t="shared" si="0"/>
        <v>0.52139224764021663</v>
      </c>
    </row>
    <row r="15" spans="1:9" s="18" customFormat="1" ht="15.75" x14ac:dyDescent="0.25">
      <c r="A15" s="326" t="s">
        <v>223</v>
      </c>
      <c r="B15" s="327">
        <f>'CADASTRO BASE RECEITA '!B13</f>
        <v>12281083.279999999</v>
      </c>
      <c r="C15" s="327">
        <f>'CADASTRO BASE RECEITA '!C13</f>
        <v>12885662.43</v>
      </c>
      <c r="D15" s="327">
        <f>'CADASTRO BASE RECEITA '!D13</f>
        <v>13891100.52</v>
      </c>
      <c r="E15" s="328">
        <f t="shared" si="1"/>
        <v>6.3628073675037006E-2</v>
      </c>
      <c r="F15" s="327">
        <f>'CADASTRO BASE RECEITA '!F13</f>
        <v>14261938.350000001</v>
      </c>
      <c r="G15" s="328">
        <f t="shared" si="2"/>
        <v>0.13615483826531335</v>
      </c>
      <c r="H15" s="329">
        <f t="shared" si="0"/>
        <v>9.989145597017518E-2</v>
      </c>
    </row>
    <row r="16" spans="1:9" s="18" customFormat="1" ht="15.75" x14ac:dyDescent="0.25">
      <c r="A16" s="326" t="s">
        <v>224</v>
      </c>
      <c r="B16" s="327">
        <f>'CADASTRO BASE RECEITA '!B14</f>
        <v>188621.2</v>
      </c>
      <c r="C16" s="327">
        <f>'CADASTRO BASE RECEITA '!C14</f>
        <v>271000.36</v>
      </c>
      <c r="D16" s="327">
        <f>'CADASTRO BASE RECEITA '!D14</f>
        <v>211018.77</v>
      </c>
      <c r="E16" s="328">
        <f t="shared" si="1"/>
        <v>0.10770496073801414</v>
      </c>
      <c r="F16" s="327">
        <f>'CADASTRO BASE RECEITA '!F14</f>
        <v>324436.03500000003</v>
      </c>
      <c r="G16" s="328">
        <f t="shared" si="2"/>
        <v>0.3945681783457845</v>
      </c>
      <c r="H16" s="329">
        <f t="shared" si="0"/>
        <v>0.25113656954189933</v>
      </c>
    </row>
    <row r="17" spans="1:9" s="20" customFormat="1" ht="15.75" x14ac:dyDescent="0.25">
      <c r="A17" s="330" t="s">
        <v>250</v>
      </c>
      <c r="B17" s="335">
        <f>SUM(B18:B22)</f>
        <v>554161.94999999995</v>
      </c>
      <c r="C17" s="335">
        <f>SUM(C18:C22)</f>
        <v>388180.32000000007</v>
      </c>
      <c r="D17" s="335">
        <f>SUM(D18:D22)</f>
        <v>619514.81000000006</v>
      </c>
      <c r="E17" s="332">
        <f>(((C17-B17)/B17)+(D17-C17)/C17)/2</f>
        <v>0.14821383925328865</v>
      </c>
      <c r="F17" s="335">
        <f>SUM(F18:F22)</f>
        <v>439261.63500000001</v>
      </c>
      <c r="G17" s="332">
        <f>((((C17-B17)/B17)+(D17-C17)/C17)+((F17-D17)/D17)/3)</f>
        <v>0.1994414714025588</v>
      </c>
      <c r="H17" s="334">
        <f t="shared" si="0"/>
        <v>0.17382765532792371</v>
      </c>
    </row>
    <row r="18" spans="1:9" s="18" customFormat="1" ht="15.75" x14ac:dyDescent="0.25">
      <c r="A18" s="326" t="s">
        <v>226</v>
      </c>
      <c r="B18" s="327">
        <f>'CADASTRO BASE RECEITA '!B16</f>
        <v>0</v>
      </c>
      <c r="C18" s="327">
        <f>'CADASTRO BASE RECEITA '!C16</f>
        <v>0</v>
      </c>
      <c r="D18" s="327">
        <f>'CADASTRO BASE RECEITA '!D16</f>
        <v>0</v>
      </c>
      <c r="E18" s="328">
        <v>0</v>
      </c>
      <c r="F18" s="327">
        <f>'CADASTRO BASE RECEITA '!F16</f>
        <v>0</v>
      </c>
      <c r="G18" s="328">
        <v>0</v>
      </c>
      <c r="H18" s="329">
        <f t="shared" si="0"/>
        <v>0</v>
      </c>
    </row>
    <row r="19" spans="1:9" s="18" customFormat="1" ht="15.75" x14ac:dyDescent="0.25">
      <c r="A19" s="326" t="s">
        <v>227</v>
      </c>
      <c r="B19" s="327">
        <f>'CADASTRO BASE RECEITA '!B17</f>
        <v>0</v>
      </c>
      <c r="C19" s="327">
        <f>'CADASTRO BASE RECEITA '!C17</f>
        <v>47509.2</v>
      </c>
      <c r="D19" s="327">
        <f>'CADASTRO BASE RECEITA '!D17</f>
        <v>102750</v>
      </c>
      <c r="E19" s="328">
        <f ca="1">IF(E19&gt;=0,(((C19-B19)/B19)+(D19-C19)/C19)/2)</f>
        <v>0</v>
      </c>
      <c r="F19" s="327">
        <f>'CADASTRO BASE RECEITA '!F17</f>
        <v>0</v>
      </c>
      <c r="G19" s="328">
        <v>0</v>
      </c>
      <c r="H19" s="329">
        <f ca="1">IF(H19&gt;=0,(G19+E19)/2)</f>
        <v>0</v>
      </c>
    </row>
    <row r="20" spans="1:9" s="18" customFormat="1" ht="15.75" x14ac:dyDescent="0.25">
      <c r="A20" s="326" t="s">
        <v>228</v>
      </c>
      <c r="B20" s="327">
        <f>'CADASTRO BASE RECEITA '!B18</f>
        <v>0</v>
      </c>
      <c r="C20" s="327">
        <f>'CADASTRO BASE RECEITA '!C18</f>
        <v>0</v>
      </c>
      <c r="D20" s="327">
        <f>'CADASTRO BASE RECEITA '!D18</f>
        <v>0</v>
      </c>
      <c r="E20" s="328">
        <v>0</v>
      </c>
      <c r="F20" s="327">
        <f>'CADASTRO BASE RECEITA '!F18</f>
        <v>0</v>
      </c>
      <c r="G20" s="328">
        <v>0</v>
      </c>
      <c r="H20" s="329">
        <f t="shared" si="0"/>
        <v>0</v>
      </c>
    </row>
    <row r="21" spans="1:9" s="18" customFormat="1" ht="15.75" x14ac:dyDescent="0.25">
      <c r="A21" s="326" t="s">
        <v>229</v>
      </c>
      <c r="B21" s="327">
        <f>'CADASTRO BASE RECEITA '!B19</f>
        <v>539362</v>
      </c>
      <c r="C21" s="327">
        <f>'CADASTRO BASE RECEITA '!C19</f>
        <v>319076.59000000003</v>
      </c>
      <c r="D21" s="327">
        <f>'CADASTRO BASE RECEITA '!D19</f>
        <v>468253.75</v>
      </c>
      <c r="E21" s="328">
        <f>(((C21-B21)/B21)+(D21-C21)/C21)/2</f>
        <v>2.9554633026421473E-2</v>
      </c>
      <c r="F21" s="327">
        <f>'CADASTRO BASE RECEITA '!F19</f>
        <v>375000</v>
      </c>
      <c r="G21" s="328">
        <f>((((C21-B21)/B21)+(D21-C21)/C21)+((F21-D21)/D21)/3)</f>
        <v>-7.2747903126070546E-3</v>
      </c>
      <c r="H21" s="329">
        <f t="shared" si="0"/>
        <v>1.1139921356907209E-2</v>
      </c>
    </row>
    <row r="22" spans="1:9" s="18" customFormat="1" ht="15.75" x14ac:dyDescent="0.25">
      <c r="A22" s="326" t="s">
        <v>230</v>
      </c>
      <c r="B22" s="327">
        <f>'CADASTRO BASE RECEITA '!B20</f>
        <v>14799.95</v>
      </c>
      <c r="C22" s="327">
        <f>'CADASTRO BASE RECEITA '!C20</f>
        <v>21594.53</v>
      </c>
      <c r="D22" s="327">
        <f>'CADASTRO BASE RECEITA '!D20</f>
        <v>48511.06</v>
      </c>
      <c r="E22" s="328">
        <f>(((C22-B22)/B22)+(D22-C22)/C22)/2</f>
        <v>0.85277304731896408</v>
      </c>
      <c r="F22" s="327">
        <f>'CADASTRO BASE RECEITA '!F20</f>
        <v>64261.634999999995</v>
      </c>
      <c r="G22" s="328">
        <f>((((C22-B22)/B22)+(D22-C22)/C22)+((F22-D22)/D22)/3)</f>
        <v>1.8137727890590905</v>
      </c>
      <c r="H22" s="329">
        <f t="shared" si="0"/>
        <v>1.3332729181890273</v>
      </c>
    </row>
    <row r="23" spans="1:9" s="18" customFormat="1" ht="18" customHeight="1" x14ac:dyDescent="0.25">
      <c r="A23" s="336" t="s">
        <v>231</v>
      </c>
      <c r="B23" s="337">
        <f>'CADASTRO BASE RECEITA '!B29</f>
        <v>1705249.92</v>
      </c>
      <c r="C23" s="337">
        <f>'CADASTRO BASE RECEITA '!C29</f>
        <v>1788811.36</v>
      </c>
      <c r="D23" s="337">
        <f>'CADASTRO BASE RECEITA '!D29</f>
        <v>1922108.55</v>
      </c>
      <c r="E23" s="338">
        <f>(((C23-B23)/B23)+(D23-C23)/C23)/2</f>
        <v>6.1759823034776208E-2</v>
      </c>
      <c r="F23" s="337">
        <f>'CADASTRO BASE RECEITA '!F29</f>
        <v>1807055.2666666666</v>
      </c>
      <c r="G23" s="338">
        <f>((((C23-B23)/B23)+(D23-C23)/C23)+((F23-D23)/D23)/3)</f>
        <v>0.1035670297386774</v>
      </c>
      <c r="H23" s="339">
        <f t="shared" si="0"/>
        <v>8.2663426386726802E-2</v>
      </c>
    </row>
    <row r="24" spans="1:9" s="18" customFormat="1" ht="15.75" x14ac:dyDescent="0.25">
      <c r="A24" s="330" t="s">
        <v>244</v>
      </c>
      <c r="B24" s="335">
        <f>B8+B17-B23</f>
        <v>11759065.639999999</v>
      </c>
      <c r="C24" s="335">
        <f>C8+C17-C23</f>
        <v>12335882.09</v>
      </c>
      <c r="D24" s="335">
        <f>D8+D17-D23</f>
        <v>13512442.229999999</v>
      </c>
      <c r="E24" s="332">
        <f>(((C24-B24)/B24)+(D24-C24)/C24)/2</f>
        <v>7.2214986550021204E-2</v>
      </c>
      <c r="F24" s="335">
        <f>F8+F17-F23</f>
        <v>13813981.408333335</v>
      </c>
      <c r="G24" s="332">
        <f>((((C24-B24)/B24)+(D24-C24)/C24)+((F24-D24)/D24)/3)</f>
        <v>0.15186852919031665</v>
      </c>
      <c r="H24" s="334">
        <f>(G24+E24)/2</f>
        <v>0.11204175787016893</v>
      </c>
    </row>
    <row r="25" spans="1:9" x14ac:dyDescent="0.25">
      <c r="A25" s="7"/>
      <c r="B25" s="3"/>
      <c r="C25" s="3"/>
      <c r="D25" s="3"/>
      <c r="E25" s="3"/>
      <c r="F25" s="3"/>
      <c r="G25" s="3"/>
      <c r="H25" s="3"/>
      <c r="I25" s="3"/>
    </row>
    <row r="26" spans="1:9" x14ac:dyDescent="0.25">
      <c r="E26" s="30"/>
    </row>
    <row r="27" spans="1:9" x14ac:dyDescent="0.25">
      <c r="A27" s="1252"/>
      <c r="B27" s="1252"/>
      <c r="C27" s="1252"/>
      <c r="D27" s="1252"/>
      <c r="E27" s="1252"/>
      <c r="F27" s="1252"/>
      <c r="G27" s="1252"/>
      <c r="H27" s="1252"/>
    </row>
    <row r="28" spans="1:9" x14ac:dyDescent="0.25">
      <c r="A28" s="1252"/>
      <c r="B28" s="1252"/>
      <c r="C28" s="1252"/>
      <c r="D28" s="1252"/>
      <c r="E28" s="1252"/>
      <c r="F28" s="1252"/>
      <c r="G28" s="1252"/>
      <c r="H28" s="1252"/>
    </row>
    <row r="29" spans="1:9" x14ac:dyDescent="0.25">
      <c r="A29" s="1252"/>
      <c r="B29" s="1252"/>
    </row>
    <row r="30" spans="1:9" x14ac:dyDescent="0.25">
      <c r="F30" s="30"/>
    </row>
  </sheetData>
  <mergeCells count="12">
    <mergeCell ref="A28:B28"/>
    <mergeCell ref="A1:H1"/>
    <mergeCell ref="A29:B29"/>
    <mergeCell ref="A6:A7"/>
    <mergeCell ref="G27:H27"/>
    <mergeCell ref="G28:H28"/>
    <mergeCell ref="C28:F28"/>
    <mergeCell ref="C27:F27"/>
    <mergeCell ref="G6:H6"/>
    <mergeCell ref="A3:H3"/>
    <mergeCell ref="A4:H4"/>
    <mergeCell ref="A27:B27"/>
  </mergeCells>
  <phoneticPr fontId="46" type="noConversion"/>
  <printOptions horizontalCentered="1"/>
  <pageMargins left="0.11811023622047245" right="0.11811023622047245" top="1.3779527559055118" bottom="0.78740157480314965" header="0.31496062992125984" footer="0.31496062992125984"/>
  <pageSetup paperSize="9" scale="95" orientation="landscape" r:id="rId1"/>
  <headerFooter>
    <oddHeader>&amp;L                            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1"/>
  <sheetViews>
    <sheetView zoomScale="80" zoomScaleNormal="80" workbookViewId="0">
      <selection sqref="A1:XFD1048576"/>
    </sheetView>
  </sheetViews>
  <sheetFormatPr defaultRowHeight="24.95" customHeight="1" x14ac:dyDescent="0.25"/>
  <cols>
    <col min="1" max="1" width="4.28515625" style="1161" customWidth="1"/>
    <col min="2" max="2" width="43.140625" style="1161" customWidth="1"/>
    <col min="3" max="4" width="14.85546875" style="1161" customWidth="1"/>
    <col min="5" max="5" width="12.85546875" style="1161" customWidth="1"/>
    <col min="6" max="6" width="16.7109375" style="1161" customWidth="1"/>
    <col min="7" max="16384" width="9.140625" style="1161"/>
  </cols>
  <sheetData>
    <row r="1" spans="2:6" ht="24.95" customHeight="1" x14ac:dyDescent="0.25">
      <c r="B1" s="1467" t="str">
        <f>'CADASTRO BASE RECEITA '!A$1</f>
        <v>PROPOSTA ORÇAMENTÁRIA PARA 2016</v>
      </c>
      <c r="C1" s="1467"/>
      <c r="D1" s="1467"/>
      <c r="E1" s="1467"/>
      <c r="F1" s="1467"/>
    </row>
    <row r="2" spans="2:6" ht="35.25" customHeight="1" x14ac:dyDescent="0.25">
      <c r="B2" s="1480" t="s">
        <v>928</v>
      </c>
      <c r="C2" s="1480"/>
      <c r="D2" s="1480"/>
      <c r="E2" s="1480"/>
      <c r="F2" s="1480"/>
    </row>
    <row r="3" spans="2:6" ht="16.5" customHeight="1" x14ac:dyDescent="0.25">
      <c r="B3" s="1481" t="s">
        <v>83</v>
      </c>
      <c r="C3" s="1481"/>
      <c r="D3" s="1481"/>
      <c r="E3" s="1481"/>
      <c r="F3" s="1481"/>
    </row>
    <row r="4" spans="2:6" ht="24.95" customHeight="1" thickBot="1" x14ac:dyDescent="0.3">
      <c r="B4" s="1488" t="s">
        <v>926</v>
      </c>
      <c r="C4" s="1488"/>
      <c r="D4" s="1488"/>
      <c r="E4" s="1488"/>
      <c r="F4" s="1488"/>
    </row>
    <row r="5" spans="2:6" ht="24.95" customHeight="1" thickTop="1" x14ac:dyDescent="0.25">
      <c r="B5" s="1178" t="s">
        <v>171</v>
      </c>
      <c r="C5" s="1179" t="s">
        <v>172</v>
      </c>
      <c r="D5" s="1179" t="s">
        <v>173</v>
      </c>
      <c r="E5" s="1180" t="s">
        <v>921</v>
      </c>
      <c r="F5" s="1181" t="s">
        <v>174</v>
      </c>
    </row>
    <row r="6" spans="2:6" ht="24.95" customHeight="1" x14ac:dyDescent="0.25">
      <c r="B6" s="1182"/>
      <c r="C6" s="1183"/>
      <c r="D6" s="1183"/>
      <c r="E6" s="1183"/>
      <c r="F6" s="1184"/>
    </row>
    <row r="7" spans="2:6" ht="24.95" customHeight="1" x14ac:dyDescent="0.25">
      <c r="B7" s="1182"/>
      <c r="C7" s="1183"/>
      <c r="D7" s="1183"/>
      <c r="E7" s="1183"/>
      <c r="F7" s="1184"/>
    </row>
    <row r="8" spans="2:6" ht="24.95" customHeight="1" x14ac:dyDescent="0.25">
      <c r="B8" s="1182"/>
      <c r="C8" s="1183"/>
      <c r="D8" s="1183"/>
      <c r="E8" s="1183"/>
      <c r="F8" s="1184"/>
    </row>
    <row r="9" spans="2:6" ht="24.95" customHeight="1" thickBot="1" x14ac:dyDescent="0.3">
      <c r="B9" s="1185"/>
      <c r="C9" s="1186"/>
      <c r="D9" s="1186"/>
      <c r="E9" s="1186"/>
      <c r="F9" s="1187"/>
    </row>
    <row r="10" spans="2:6" ht="24.95" customHeight="1" thickTop="1" thickBot="1" x14ac:dyDescent="0.3"/>
    <row r="11" spans="2:6" ht="24.95" customHeight="1" thickTop="1" x14ac:dyDescent="0.25">
      <c r="B11" s="1485" t="s">
        <v>927</v>
      </c>
      <c r="C11" s="1486"/>
      <c r="D11" s="1486"/>
      <c r="E11" s="1486"/>
      <c r="F11" s="1487"/>
    </row>
    <row r="12" spans="2:6" ht="24.95" customHeight="1" x14ac:dyDescent="0.25">
      <c r="B12" s="1484" t="s">
        <v>84</v>
      </c>
      <c r="C12" s="1482"/>
      <c r="D12" s="1482"/>
      <c r="E12" s="1482" t="s">
        <v>11741</v>
      </c>
      <c r="F12" s="1483"/>
    </row>
    <row r="13" spans="2:6" ht="24.95" customHeight="1" x14ac:dyDescent="0.25">
      <c r="B13" s="1478" t="s">
        <v>85</v>
      </c>
      <c r="C13" s="1479"/>
      <c r="D13" s="1479"/>
      <c r="E13" s="1474">
        <f>E14+E15-E16</f>
        <v>16367915.801407948</v>
      </c>
      <c r="F13" s="1475"/>
    </row>
    <row r="14" spans="2:6" ht="24.95" customHeight="1" x14ac:dyDescent="0.25">
      <c r="B14" s="1468" t="s">
        <v>86</v>
      </c>
      <c r="C14" s="1469"/>
      <c r="D14" s="1469"/>
      <c r="E14" s="1472">
        <f>'Dem evolucao rec. por fonte'!G6</f>
        <v>514141.71</v>
      </c>
      <c r="F14" s="1473"/>
    </row>
    <row r="15" spans="2:6" ht="24.95" customHeight="1" x14ac:dyDescent="0.25">
      <c r="B15" s="1468" t="s">
        <v>87</v>
      </c>
      <c r="C15" s="1469"/>
      <c r="D15" s="1469"/>
      <c r="E15" s="1472">
        <f>'ORCAMENTO RECEITA ANALITICO'!H138</f>
        <v>18229721.361564483</v>
      </c>
      <c r="F15" s="1473"/>
    </row>
    <row r="16" spans="2:6" ht="24.95" customHeight="1" x14ac:dyDescent="0.25">
      <c r="B16" s="1468" t="s">
        <v>88</v>
      </c>
      <c r="C16" s="1469"/>
      <c r="D16" s="1469"/>
      <c r="E16" s="1472">
        <f>'ORCAMENTO RECEITA ANALITICO'!H415</f>
        <v>2375947.2701565372</v>
      </c>
      <c r="F16" s="1473"/>
    </row>
    <row r="17" spans="2:6" ht="24.95" customHeight="1" x14ac:dyDescent="0.25">
      <c r="B17" s="1478" t="s">
        <v>89</v>
      </c>
      <c r="C17" s="1479"/>
      <c r="D17" s="1479"/>
      <c r="E17" s="1474">
        <f>E18+E19</f>
        <v>15726515.02</v>
      </c>
      <c r="F17" s="1475"/>
    </row>
    <row r="18" spans="2:6" ht="24.95" customHeight="1" x14ac:dyDescent="0.25">
      <c r="B18" s="1468" t="s">
        <v>90</v>
      </c>
      <c r="C18" s="1469"/>
      <c r="D18" s="1469"/>
      <c r="E18" s="1472">
        <f>'ART.4º ORC FISC E SEG SOC'!D40</f>
        <v>8688040.4199999999</v>
      </c>
      <c r="F18" s="1473"/>
    </row>
    <row r="19" spans="2:6" ht="24.95" customHeight="1" x14ac:dyDescent="0.25">
      <c r="B19" s="1468" t="s">
        <v>91</v>
      </c>
      <c r="C19" s="1469"/>
      <c r="D19" s="1469"/>
      <c r="E19" s="1472">
        <f>'ART.4º ORC FISC E SEG SOC'!D42</f>
        <v>7038474.5999999996</v>
      </c>
      <c r="F19" s="1473"/>
    </row>
    <row r="20" spans="2:6" ht="24.95" customHeight="1" thickBot="1" x14ac:dyDescent="0.3">
      <c r="B20" s="1470" t="s">
        <v>92</v>
      </c>
      <c r="C20" s="1471"/>
      <c r="D20" s="1471"/>
      <c r="E20" s="1476">
        <f>E13-E17</f>
        <v>641400.78140794858</v>
      </c>
      <c r="F20" s="1477"/>
    </row>
    <row r="21" spans="2:6" ht="24.95" customHeight="1" thickTop="1" x14ac:dyDescent="0.25"/>
  </sheetData>
  <mergeCells count="23">
    <mergeCell ref="B1:F1"/>
    <mergeCell ref="B2:F2"/>
    <mergeCell ref="B3:F3"/>
    <mergeCell ref="B15:D15"/>
    <mergeCell ref="E12:F12"/>
    <mergeCell ref="E13:F13"/>
    <mergeCell ref="E14:F14"/>
    <mergeCell ref="B12:D12"/>
    <mergeCell ref="B13:D13"/>
    <mergeCell ref="B14:D14"/>
    <mergeCell ref="B11:F11"/>
    <mergeCell ref="B4:F4"/>
    <mergeCell ref="B19:D19"/>
    <mergeCell ref="B20:D20"/>
    <mergeCell ref="E15:F15"/>
    <mergeCell ref="E16:F16"/>
    <mergeCell ref="E17:F17"/>
    <mergeCell ref="E18:F18"/>
    <mergeCell ref="E19:F19"/>
    <mergeCell ref="E20:F20"/>
    <mergeCell ref="B16:D16"/>
    <mergeCell ref="B17:D17"/>
    <mergeCell ref="B18:D18"/>
  </mergeCells>
  <phoneticPr fontId="46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verticalDpi="72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7"/>
  <sheetViews>
    <sheetView zoomScale="80" zoomScaleNormal="80" workbookViewId="0">
      <selection sqref="A1:XFD1048576"/>
    </sheetView>
  </sheetViews>
  <sheetFormatPr defaultColWidth="5.7109375" defaultRowHeight="20.100000000000001" customHeight="1" x14ac:dyDescent="0.25"/>
  <cols>
    <col min="1" max="1" width="3.5703125" style="1161" customWidth="1"/>
    <col min="2" max="2" width="56.140625" style="1161" customWidth="1"/>
    <col min="3" max="3" width="20.140625" style="1161" customWidth="1"/>
    <col min="4" max="4" width="8.85546875" style="1161" customWidth="1"/>
    <col min="5" max="5" width="17.28515625" style="1161" customWidth="1"/>
    <col min="6" max="6" width="8.28515625" style="1161" customWidth="1"/>
    <col min="7" max="16384" width="5.7109375" style="1161"/>
  </cols>
  <sheetData>
    <row r="1" spans="2:6" ht="20.100000000000001" customHeight="1" x14ac:dyDescent="0.25">
      <c r="B1" s="1467" t="str">
        <f>'CADASTRO BASE RECEITA '!A$1</f>
        <v>PROPOSTA ORÇAMENTÁRIA PARA 2016</v>
      </c>
      <c r="C1" s="1467"/>
      <c r="D1" s="1467"/>
      <c r="E1" s="1467"/>
      <c r="F1" s="1467"/>
    </row>
    <row r="2" spans="2:6" ht="20.100000000000001" customHeight="1" x14ac:dyDescent="0.25">
      <c r="B2" s="1481" t="s">
        <v>147</v>
      </c>
      <c r="C2" s="1481"/>
      <c r="D2" s="1481"/>
      <c r="E2" s="1481"/>
      <c r="F2" s="1481"/>
    </row>
    <row r="3" spans="2:6" ht="20.100000000000001" customHeight="1" thickBot="1" x14ac:dyDescent="0.3">
      <c r="B3" s="1481" t="s">
        <v>148</v>
      </c>
      <c r="C3" s="1481"/>
      <c r="D3" s="1481"/>
      <c r="E3" s="1481"/>
      <c r="F3" s="1481"/>
    </row>
    <row r="4" spans="2:6" ht="20.100000000000001" customHeight="1" thickTop="1" x14ac:dyDescent="0.25">
      <c r="B4" s="1493" t="s">
        <v>149</v>
      </c>
      <c r="C4" s="1494"/>
      <c r="D4" s="1503" t="s">
        <v>11605</v>
      </c>
      <c r="E4" s="1504"/>
      <c r="F4" s="1505"/>
    </row>
    <row r="5" spans="2:6" s="1188" customFormat="1" ht="20.100000000000001" customHeight="1" x14ac:dyDescent="0.25">
      <c r="B5" s="1495" t="s">
        <v>150</v>
      </c>
      <c r="C5" s="1496"/>
      <c r="D5" s="1491">
        <f>'ORCAMENTO RECEITA ANALITICO'!H6+0.01</f>
        <v>19616347.254147708</v>
      </c>
      <c r="E5" s="1491"/>
      <c r="F5" s="1492"/>
    </row>
    <row r="6" spans="2:6" ht="20.100000000000001" customHeight="1" x14ac:dyDescent="0.25">
      <c r="B6" s="1501" t="s">
        <v>151</v>
      </c>
      <c r="C6" s="1502"/>
      <c r="D6" s="1499">
        <f>'ORCAMENTO RECEITA ANALITICO'!H16</f>
        <v>199743.80257224158</v>
      </c>
      <c r="E6" s="1499"/>
      <c r="F6" s="1500"/>
    </row>
    <row r="7" spans="2:6" ht="20.100000000000001" customHeight="1" x14ac:dyDescent="0.25">
      <c r="B7" s="1501" t="s">
        <v>152</v>
      </c>
      <c r="C7" s="1502"/>
      <c r="D7" s="1499">
        <v>0</v>
      </c>
      <c r="E7" s="1499"/>
      <c r="F7" s="1500"/>
    </row>
    <row r="8" spans="2:6" ht="20.100000000000001" customHeight="1" x14ac:dyDescent="0.25">
      <c r="B8" s="1501" t="s">
        <v>153</v>
      </c>
      <c r="C8" s="1502"/>
      <c r="D8" s="1499">
        <v>0</v>
      </c>
      <c r="E8" s="1499"/>
      <c r="F8" s="1500"/>
    </row>
    <row r="9" spans="2:6" ht="20.100000000000001" customHeight="1" x14ac:dyDescent="0.25">
      <c r="B9" s="1501" t="s">
        <v>154</v>
      </c>
      <c r="C9" s="1502"/>
      <c r="D9" s="1499">
        <v>0</v>
      </c>
      <c r="E9" s="1499"/>
      <c r="F9" s="1500"/>
    </row>
    <row r="10" spans="2:6" ht="20.100000000000001" customHeight="1" x14ac:dyDescent="0.25">
      <c r="B10" s="1501" t="s">
        <v>155</v>
      </c>
      <c r="C10" s="1502"/>
      <c r="D10" s="1499">
        <f>'ORCAMENTO RECEITA ANALITICO'!H223</f>
        <v>2869377.8099999996</v>
      </c>
      <c r="E10" s="1499"/>
      <c r="F10" s="1500"/>
    </row>
    <row r="11" spans="2:6" ht="20.100000000000001" customHeight="1" x14ac:dyDescent="0.25">
      <c r="B11" s="1501" t="s">
        <v>156</v>
      </c>
      <c r="C11" s="1502"/>
      <c r="D11" s="1499">
        <v>0</v>
      </c>
      <c r="E11" s="1499"/>
      <c r="F11" s="1500"/>
    </row>
    <row r="12" spans="2:6" s="1188" customFormat="1" ht="20.100000000000001" customHeight="1" x14ac:dyDescent="0.25">
      <c r="B12" s="1495" t="s">
        <v>157</v>
      </c>
      <c r="C12" s="1496"/>
      <c r="D12" s="1491">
        <f>D5-D6-D7-D8-D9-D10-D11</f>
        <v>16547225.641575467</v>
      </c>
      <c r="E12" s="1491"/>
      <c r="F12" s="1492"/>
    </row>
    <row r="13" spans="2:6" s="1188" customFormat="1" ht="20.100000000000001" customHeight="1" x14ac:dyDescent="0.25">
      <c r="B13" s="1495" t="s">
        <v>158</v>
      </c>
      <c r="C13" s="1496"/>
      <c r="D13" s="1491">
        <f>D12*54%</f>
        <v>8935501.8464507535</v>
      </c>
      <c r="E13" s="1491"/>
      <c r="F13" s="1492"/>
    </row>
    <row r="14" spans="2:6" s="1188" customFormat="1" ht="20.100000000000001" customHeight="1" x14ac:dyDescent="0.25">
      <c r="B14" s="1495" t="s">
        <v>159</v>
      </c>
      <c r="C14" s="1496"/>
      <c r="D14" s="1491">
        <f>D12*51.3%</f>
        <v>8488726.754128214</v>
      </c>
      <c r="E14" s="1491"/>
      <c r="F14" s="1492"/>
    </row>
    <row r="15" spans="2:6" s="1188" customFormat="1" ht="20.100000000000001" customHeight="1" x14ac:dyDescent="0.25">
      <c r="B15" s="1495" t="s">
        <v>160</v>
      </c>
      <c r="C15" s="1496"/>
      <c r="D15" s="1491">
        <f>D12*6%</f>
        <v>992833.53849452792</v>
      </c>
      <c r="E15" s="1491"/>
      <c r="F15" s="1492"/>
    </row>
    <row r="16" spans="2:6" s="1188" customFormat="1" ht="20.100000000000001" customHeight="1" thickBot="1" x14ac:dyDescent="0.3">
      <c r="B16" s="1497" t="s">
        <v>161</v>
      </c>
      <c r="C16" s="1498"/>
      <c r="D16" s="1489">
        <f>D12*5.7%</f>
        <v>943191.86156980169</v>
      </c>
      <c r="E16" s="1489"/>
      <c r="F16" s="1490"/>
    </row>
    <row r="17" spans="2:6" ht="20.100000000000001" customHeight="1" thickTop="1" thickBot="1" x14ac:dyDescent="0.3"/>
    <row r="18" spans="2:6" ht="28.5" customHeight="1" thickTop="1" x14ac:dyDescent="0.25">
      <c r="B18" s="1189" t="s">
        <v>162</v>
      </c>
      <c r="C18" s="1190" t="s">
        <v>11742</v>
      </c>
      <c r="D18" s="1191" t="s">
        <v>211</v>
      </c>
      <c r="E18" s="1190" t="s">
        <v>11743</v>
      </c>
      <c r="F18" s="1192" t="s">
        <v>211</v>
      </c>
    </row>
    <row r="19" spans="2:6" s="1188" customFormat="1" ht="21.75" customHeight="1" x14ac:dyDescent="0.25">
      <c r="B19" s="1193" t="s">
        <v>163</v>
      </c>
      <c r="C19" s="1194">
        <f>8158664.68</f>
        <v>8158664.6799999997</v>
      </c>
      <c r="D19" s="1195">
        <f t="shared" ref="D19:D25" si="0">C19/D$12</f>
        <v>0.49305332849883171</v>
      </c>
      <c r="E19" s="1194">
        <f>529375.74</f>
        <v>529375.74</v>
      </c>
      <c r="F19" s="1196">
        <f>E19/D$12</f>
        <v>3.1991812492719353E-2</v>
      </c>
    </row>
    <row r="20" spans="2:6" ht="20.100000000000001" customHeight="1" x14ac:dyDescent="0.25">
      <c r="B20" s="1197" t="s">
        <v>164</v>
      </c>
      <c r="C20" s="1198">
        <v>0</v>
      </c>
      <c r="D20" s="1199">
        <f t="shared" si="0"/>
        <v>0</v>
      </c>
      <c r="E20" s="1198">
        <v>0</v>
      </c>
      <c r="F20" s="1200">
        <f t="shared" ref="F20:F25" si="1">E20/D$12</f>
        <v>0</v>
      </c>
    </row>
    <row r="21" spans="2:6" ht="20.100000000000001" customHeight="1" x14ac:dyDescent="0.25">
      <c r="B21" s="1197" t="s">
        <v>165</v>
      </c>
      <c r="C21" s="1198">
        <f>'ORCAMENTO RECEITA ANALITICO'!H16</f>
        <v>199743.80257224158</v>
      </c>
      <c r="D21" s="1199">
        <f t="shared" si="0"/>
        <v>1.2071135482094261E-2</v>
      </c>
      <c r="E21" s="1198">
        <v>0</v>
      </c>
      <c r="F21" s="1200">
        <f t="shared" si="1"/>
        <v>0</v>
      </c>
    </row>
    <row r="22" spans="2:6" ht="20.100000000000001" customHeight="1" x14ac:dyDescent="0.25">
      <c r="B22" s="1197" t="s">
        <v>166</v>
      </c>
      <c r="C22" s="1198">
        <v>0</v>
      </c>
      <c r="D22" s="1199">
        <f t="shared" si="0"/>
        <v>0</v>
      </c>
      <c r="E22" s="1198">
        <v>0</v>
      </c>
      <c r="F22" s="1200">
        <f t="shared" si="1"/>
        <v>0</v>
      </c>
    </row>
    <row r="23" spans="2:6" ht="20.100000000000001" customHeight="1" x14ac:dyDescent="0.25">
      <c r="B23" s="1197" t="s">
        <v>167</v>
      </c>
      <c r="C23" s="1198">
        <v>0</v>
      </c>
      <c r="D23" s="1199">
        <f t="shared" si="0"/>
        <v>0</v>
      </c>
      <c r="E23" s="1198">
        <v>0</v>
      </c>
      <c r="F23" s="1200">
        <f t="shared" si="1"/>
        <v>0</v>
      </c>
    </row>
    <row r="24" spans="2:6" ht="20.100000000000001" customHeight="1" x14ac:dyDescent="0.25">
      <c r="B24" s="1197" t="s">
        <v>168</v>
      </c>
      <c r="C24" s="1198">
        <f>75499.05+51604.06+80717.46+10656.57+80056.24+11374.34+25078.73</f>
        <v>334986.45</v>
      </c>
      <c r="D24" s="1199">
        <f t="shared" si="0"/>
        <v>2.0244266758430801E-2</v>
      </c>
      <c r="E24" s="1198">
        <f>'ORÇAMENTO LEG.'!I165+'ORÇAMENTO LEG.'!I168</f>
        <v>20293.925501339967</v>
      </c>
      <c r="F24" s="1200">
        <f t="shared" si="1"/>
        <v>1.2264246551609709E-3</v>
      </c>
    </row>
    <row r="25" spans="2:6" ht="20.100000000000001" customHeight="1" thickBot="1" x14ac:dyDescent="0.3">
      <c r="B25" s="1201" t="s">
        <v>169</v>
      </c>
      <c r="C25" s="1202">
        <f>C19-C20-C21-C22-C23-C24</f>
        <v>7623934.4274277575</v>
      </c>
      <c r="D25" s="1203">
        <f t="shared" si="0"/>
        <v>0.46073792625830662</v>
      </c>
      <c r="E25" s="1202">
        <f>E19-E20-E21-E22-E23-E24</f>
        <v>509081.81449866004</v>
      </c>
      <c r="F25" s="1204">
        <f t="shared" si="1"/>
        <v>3.0765387837558382E-2</v>
      </c>
    </row>
    <row r="26" spans="2:6" ht="20.100000000000001" customHeight="1" thickTop="1" x14ac:dyDescent="0.25"/>
    <row r="27" spans="2:6" ht="20.100000000000001" customHeight="1" x14ac:dyDescent="0.25">
      <c r="C27" s="1205"/>
    </row>
  </sheetData>
  <mergeCells count="29">
    <mergeCell ref="D8:F8"/>
    <mergeCell ref="B14:C14"/>
    <mergeCell ref="B15:C15"/>
    <mergeCell ref="B8:C8"/>
    <mergeCell ref="B9:C9"/>
    <mergeCell ref="D10:F10"/>
    <mergeCell ref="B1:F1"/>
    <mergeCell ref="D4:F4"/>
    <mergeCell ref="B6:C6"/>
    <mergeCell ref="B7:C7"/>
    <mergeCell ref="D7:F7"/>
    <mergeCell ref="D6:F6"/>
    <mergeCell ref="B2:F2"/>
    <mergeCell ref="D16:F16"/>
    <mergeCell ref="B3:F3"/>
    <mergeCell ref="D13:F13"/>
    <mergeCell ref="D14:F14"/>
    <mergeCell ref="B4:C4"/>
    <mergeCell ref="B5:C5"/>
    <mergeCell ref="D5:F5"/>
    <mergeCell ref="B16:C16"/>
    <mergeCell ref="B13:C13"/>
    <mergeCell ref="D15:F15"/>
    <mergeCell ref="D11:F11"/>
    <mergeCell ref="D12:F12"/>
    <mergeCell ref="B10:C10"/>
    <mergeCell ref="B11:C11"/>
    <mergeCell ref="D9:F9"/>
    <mergeCell ref="B12:C12"/>
  </mergeCells>
  <phoneticPr fontId="46" type="noConversion"/>
  <pageMargins left="0.11811023622047245" right="0.11811023622047245" top="0.78740157480314965" bottom="0.78740157480314965" header="0.31496062992125984" footer="0.31496062992125984"/>
  <pageSetup paperSize="9" scale="85" orientation="portrait" verticalDpi="72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sqref="A1:XFD1048576"/>
    </sheetView>
  </sheetViews>
  <sheetFormatPr defaultRowHeight="20.100000000000001" customHeight="1" x14ac:dyDescent="0.25"/>
  <cols>
    <col min="1" max="1" width="4.5703125" style="1059" customWidth="1"/>
    <col min="2" max="2" width="18.42578125" customWidth="1"/>
    <col min="3" max="3" width="15.5703125" customWidth="1"/>
    <col min="4" max="4" width="16" customWidth="1"/>
    <col min="5" max="5" width="15.42578125" customWidth="1"/>
    <col min="6" max="6" width="20.85546875" customWidth="1"/>
  </cols>
  <sheetData>
    <row r="1" spans="2:6" ht="20.100000000000001" customHeight="1" x14ac:dyDescent="0.25">
      <c r="B1" s="1348" t="str">
        <f>'CADASTRO BASE RECEITA '!A$1</f>
        <v>PROPOSTA ORÇAMENTÁRIA PARA 2016</v>
      </c>
      <c r="C1" s="1348"/>
      <c r="D1" s="1348"/>
      <c r="E1" s="1348"/>
      <c r="F1" s="1348"/>
    </row>
    <row r="2" spans="2:6" ht="20.100000000000001" customHeight="1" x14ac:dyDescent="0.25">
      <c r="B2" s="1348" t="s">
        <v>170</v>
      </c>
      <c r="C2" s="1348"/>
      <c r="D2" s="1348"/>
      <c r="E2" s="1348"/>
      <c r="F2" s="1348"/>
    </row>
    <row r="3" spans="2:6" ht="20.100000000000001" customHeight="1" x14ac:dyDescent="0.25">
      <c r="B3" s="1432" t="s">
        <v>83</v>
      </c>
      <c r="C3" s="1432"/>
      <c r="D3" s="1432"/>
      <c r="E3" s="1432"/>
      <c r="F3" s="1432"/>
    </row>
    <row r="4" spans="2:6" ht="20.100000000000001" customHeight="1" thickBot="1" x14ac:dyDescent="0.3"/>
    <row r="5" spans="2:6" ht="42" customHeight="1" thickTop="1" x14ac:dyDescent="0.25">
      <c r="B5" s="55" t="s">
        <v>171</v>
      </c>
      <c r="C5" s="56" t="s">
        <v>172</v>
      </c>
      <c r="D5" s="56" t="s">
        <v>173</v>
      </c>
      <c r="E5" s="119" t="s">
        <v>11744</v>
      </c>
      <c r="F5" s="57" t="s">
        <v>174</v>
      </c>
    </row>
    <row r="6" spans="2:6" ht="20.100000000000001" customHeight="1" x14ac:dyDescent="0.25">
      <c r="B6" s="58"/>
      <c r="C6" s="59"/>
      <c r="D6" s="59"/>
      <c r="E6" s="59"/>
      <c r="F6" s="60"/>
    </row>
    <row r="7" spans="2:6" ht="20.100000000000001" customHeight="1" x14ac:dyDescent="0.25">
      <c r="B7" s="58"/>
      <c r="C7" s="59"/>
      <c r="D7" s="59"/>
      <c r="E7" s="59"/>
      <c r="F7" s="60"/>
    </row>
    <row r="8" spans="2:6" ht="20.100000000000001" customHeight="1" x14ac:dyDescent="0.25">
      <c r="B8" s="58"/>
      <c r="C8" s="59"/>
      <c r="D8" s="59"/>
      <c r="E8" s="59"/>
      <c r="F8" s="60"/>
    </row>
    <row r="9" spans="2:6" ht="20.100000000000001" customHeight="1" x14ac:dyDescent="0.25">
      <c r="B9" s="58"/>
      <c r="C9" s="59"/>
      <c r="D9" s="59"/>
      <c r="E9" s="59"/>
      <c r="F9" s="60"/>
    </row>
    <row r="10" spans="2:6" ht="20.100000000000001" customHeight="1" x14ac:dyDescent="0.25">
      <c r="B10" s="58"/>
      <c r="C10" s="59"/>
      <c r="D10" s="59"/>
      <c r="E10" s="59"/>
      <c r="F10" s="60"/>
    </row>
    <row r="11" spans="2:6" ht="20.100000000000001" customHeight="1" x14ac:dyDescent="0.25">
      <c r="B11" s="58"/>
      <c r="C11" s="59"/>
      <c r="D11" s="59"/>
      <c r="E11" s="59"/>
      <c r="F11" s="60"/>
    </row>
    <row r="12" spans="2:6" ht="20.100000000000001" customHeight="1" x14ac:dyDescent="0.25">
      <c r="B12" s="58"/>
      <c r="C12" s="59"/>
      <c r="D12" s="59"/>
      <c r="E12" s="59"/>
      <c r="F12" s="60"/>
    </row>
    <row r="13" spans="2:6" ht="20.100000000000001" customHeight="1" x14ac:dyDescent="0.25">
      <c r="B13" s="58"/>
      <c r="C13" s="59"/>
      <c r="D13" s="59"/>
      <c r="E13" s="59"/>
      <c r="F13" s="60"/>
    </row>
    <row r="14" spans="2:6" ht="20.100000000000001" customHeight="1" thickBot="1" x14ac:dyDescent="0.3">
      <c r="B14" s="61" t="s">
        <v>40</v>
      </c>
      <c r="C14" s="62"/>
      <c r="D14" s="62"/>
      <c r="E14" s="62"/>
      <c r="F14" s="63"/>
    </row>
    <row r="15" spans="2:6" ht="20.100000000000001" customHeight="1" thickTop="1" x14ac:dyDescent="0.25"/>
  </sheetData>
  <mergeCells count="3">
    <mergeCell ref="B1:F1"/>
    <mergeCell ref="B3:F3"/>
    <mergeCell ref="B2:F2"/>
  </mergeCells>
  <phoneticPr fontId="46" type="noConversion"/>
  <pageMargins left="0.511811024" right="0.511811024" top="0.78740157499999996" bottom="0.78740157499999996" header="0.31496062000000002" footer="0.31496062000000002"/>
  <pageSetup paperSize="9" orientation="portrait" verticalDpi="72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9"/>
  <sheetViews>
    <sheetView zoomScaleNormal="100" workbookViewId="0">
      <selection sqref="A1:XFD1048576"/>
    </sheetView>
  </sheetViews>
  <sheetFormatPr defaultColWidth="6.85546875" defaultRowHeight="12.75" customHeight="1" x14ac:dyDescent="0.25"/>
  <cols>
    <col min="1" max="1" width="1.140625" style="1110" customWidth="1"/>
    <col min="2" max="2" width="1" style="1110" customWidth="1"/>
    <col min="3" max="3" width="7.28515625" style="1110" customWidth="1"/>
    <col min="4" max="4" width="1.140625" style="1110" customWidth="1"/>
    <col min="5" max="5" width="5.5703125" style="1110" customWidth="1"/>
    <col min="6" max="6" width="1.140625" style="1110" customWidth="1"/>
    <col min="7" max="7" width="1.28515625" style="1110" customWidth="1"/>
    <col min="8" max="8" width="2.28515625" style="1110" customWidth="1"/>
    <col min="9" max="9" width="11.5703125" style="1110" customWidth="1"/>
    <col min="10" max="10" width="1.5703125" style="1110" customWidth="1"/>
    <col min="11" max="11" width="2.5703125" style="1110" customWidth="1"/>
    <col min="12" max="12" width="11.42578125" style="1110" customWidth="1"/>
    <col min="13" max="13" width="2" style="1110" customWidth="1"/>
    <col min="14" max="14" width="13.28515625" style="1110" customWidth="1"/>
    <col min="15" max="15" width="2.28515625" style="1110" customWidth="1"/>
    <col min="16" max="16" width="1.140625" style="1110" customWidth="1"/>
    <col min="17" max="17" width="7.28515625" style="1110" customWidth="1"/>
    <col min="18" max="18" width="1.42578125" style="1110" customWidth="1"/>
    <col min="19" max="19" width="4.7109375" style="1110" customWidth="1"/>
    <col min="20" max="20" width="4.5703125" style="1110" customWidth="1"/>
    <col min="21" max="21" width="2.28515625" style="1110" customWidth="1"/>
    <col min="22" max="22" width="3.42578125" style="1110" customWidth="1"/>
    <col min="23" max="23" width="1" style="1110" customWidth="1"/>
    <col min="24" max="24" width="1.42578125" style="1110" customWidth="1"/>
    <col min="25" max="25" width="1.7109375" style="1110" customWidth="1"/>
    <col min="26" max="26" width="2" style="1110" customWidth="1"/>
    <col min="27" max="27" width="1.140625" style="1110" customWidth="1"/>
    <col min="28" max="28" width="4.5703125" style="1110" customWidth="1"/>
    <col min="29" max="29" width="7.140625" style="1110" customWidth="1"/>
    <col min="30" max="30" width="3.5703125" style="1110" customWidth="1"/>
    <col min="31" max="31" width="2" style="1110" customWidth="1"/>
    <col min="32" max="32" width="5.140625" style="1110" customWidth="1"/>
    <col min="33" max="33" width="10.85546875" style="1110" customWidth="1"/>
    <col min="34" max="34" width="1" style="1110" customWidth="1"/>
    <col min="35" max="35" width="1.140625" style="1110" customWidth="1"/>
    <col min="36" max="36" width="1.7109375" style="1110" customWidth="1"/>
    <col min="37" max="37" width="5.85546875" style="1110" customWidth="1"/>
    <col min="38" max="16384" width="6.85546875" style="1110"/>
  </cols>
  <sheetData>
    <row r="1" spans="1:33" s="1109" customFormat="1" ht="15" customHeight="1" x14ac:dyDescent="0.25">
      <c r="A1" s="1512" t="str">
        <f>'CADASTRO BASE RECEITA '!A$1</f>
        <v>PROPOSTA ORÇAMENTÁRIA PARA 2016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  <c r="Y1" s="1512"/>
      <c r="Z1" s="1512"/>
      <c r="AA1" s="1512"/>
      <c r="AB1" s="1512"/>
      <c r="AC1" s="1512"/>
      <c r="AD1" s="1512"/>
      <c r="AE1" s="1512"/>
      <c r="AF1" s="1512"/>
      <c r="AG1" s="1512"/>
    </row>
    <row r="2" spans="1:33" s="1109" customFormat="1" ht="15" customHeight="1" x14ac:dyDescent="0.25">
      <c r="A2" s="1512"/>
      <c r="B2" s="1512"/>
      <c r="C2" s="1512"/>
      <c r="D2" s="1512"/>
      <c r="E2" s="1206"/>
    </row>
    <row r="3" spans="1:33" s="1109" customFormat="1" ht="15" customHeight="1" x14ac:dyDescent="0.25">
      <c r="A3" s="1512" t="s">
        <v>177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2"/>
      <c r="Z3" s="1512"/>
      <c r="AA3" s="1512"/>
      <c r="AB3" s="1512"/>
      <c r="AC3" s="1512"/>
      <c r="AD3" s="1512"/>
      <c r="AE3" s="1512"/>
      <c r="AF3" s="1512"/>
      <c r="AG3" s="1512"/>
    </row>
    <row r="4" spans="1:33" s="1109" customFormat="1" ht="15" customHeight="1" x14ac:dyDescent="0.25">
      <c r="A4" s="1512" t="s">
        <v>183</v>
      </c>
      <c r="B4" s="1512"/>
      <c r="C4" s="1512"/>
      <c r="D4" s="1512"/>
      <c r="E4" s="1512"/>
      <c r="F4" s="1512"/>
      <c r="G4" s="1512"/>
      <c r="H4" s="1512"/>
      <c r="I4" s="1512"/>
      <c r="J4" s="1512"/>
      <c r="K4" s="1512"/>
      <c r="L4" s="1512"/>
      <c r="M4" s="1512"/>
      <c r="N4" s="1512"/>
      <c r="O4" s="1512"/>
      <c r="P4" s="1512"/>
      <c r="Q4" s="1512"/>
      <c r="R4" s="1512"/>
      <c r="S4" s="1512"/>
      <c r="T4" s="1512"/>
      <c r="U4" s="1512"/>
      <c r="V4" s="1512"/>
      <c r="W4" s="1512"/>
      <c r="X4" s="1512"/>
      <c r="Y4" s="1512"/>
      <c r="Z4" s="1512"/>
      <c r="AA4" s="1512"/>
      <c r="AB4" s="1512"/>
      <c r="AC4" s="1512"/>
      <c r="AD4" s="1512"/>
      <c r="AE4" s="1512"/>
      <c r="AF4" s="1512"/>
      <c r="AG4" s="1512"/>
    </row>
    <row r="5" spans="1:33" s="1109" customFormat="1" ht="15" customHeight="1" x14ac:dyDescent="0.2">
      <c r="A5" s="1513" t="s">
        <v>11845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</row>
    <row r="6" spans="1:33" ht="12" customHeight="1" x14ac:dyDescent="0.25"/>
    <row r="7" spans="1:33" ht="12" customHeight="1" x14ac:dyDescent="0.25"/>
    <row r="8" spans="1:33" ht="1.5" customHeight="1" x14ac:dyDescent="0.25"/>
    <row r="9" spans="1:33" ht="11.25" customHeight="1" x14ac:dyDescent="0.25">
      <c r="C9" s="1424" t="s">
        <v>2099</v>
      </c>
      <c r="D9" s="1424"/>
      <c r="E9" s="1424"/>
      <c r="I9" s="1424" t="s">
        <v>2100</v>
      </c>
      <c r="J9" s="1424"/>
      <c r="K9" s="1424"/>
      <c r="L9" s="1424"/>
      <c r="M9" s="1424"/>
      <c r="S9" s="1420" t="s">
        <v>2101</v>
      </c>
      <c r="T9" s="1420"/>
      <c r="U9" s="1420"/>
      <c r="V9" s="1420"/>
      <c r="AA9" s="1420" t="s">
        <v>2102</v>
      </c>
      <c r="AB9" s="1420"/>
      <c r="AC9" s="1420"/>
      <c r="AF9" s="1420" t="s">
        <v>2103</v>
      </c>
      <c r="AG9" s="1420"/>
    </row>
    <row r="10" spans="1:33" ht="0.75" customHeight="1" x14ac:dyDescent="0.25"/>
    <row r="11" spans="1:33" ht="13.5" customHeight="1" x14ac:dyDescent="0.25">
      <c r="C11" s="182" t="s">
        <v>1986</v>
      </c>
      <c r="E11" s="1511">
        <v>4</v>
      </c>
      <c r="F11" s="1511"/>
      <c r="H11" s="1506" t="s">
        <v>919</v>
      </c>
      <c r="I11" s="1506"/>
      <c r="J11" s="1506"/>
      <c r="K11" s="1506"/>
      <c r="L11" s="1506"/>
      <c r="M11" s="1506"/>
      <c r="N11" s="1506"/>
      <c r="O11" s="1506"/>
      <c r="P11" s="1506"/>
      <c r="Q11" s="1506"/>
    </row>
    <row r="12" spans="1:33" ht="12" customHeight="1" x14ac:dyDescent="0.25">
      <c r="C12" s="182" t="s">
        <v>458</v>
      </c>
      <c r="E12" s="1511">
        <v>1</v>
      </c>
      <c r="F12" s="1511"/>
      <c r="H12" s="1506" t="s">
        <v>11850</v>
      </c>
      <c r="I12" s="1506"/>
      <c r="J12" s="1506"/>
      <c r="K12" s="1506"/>
      <c r="L12" s="1506"/>
      <c r="M12" s="1506"/>
      <c r="N12" s="1506"/>
      <c r="O12" s="1506"/>
      <c r="P12" s="1506"/>
      <c r="Q12" s="1506"/>
    </row>
    <row r="13" spans="1:33" ht="1.5" customHeight="1" x14ac:dyDescent="0.25"/>
    <row r="14" spans="1:33" ht="10.5" customHeight="1" x14ac:dyDescent="0.25">
      <c r="C14" s="1506" t="s">
        <v>2104</v>
      </c>
      <c r="D14" s="1506"/>
      <c r="E14" s="1506"/>
      <c r="F14" s="1506"/>
      <c r="G14" s="1506"/>
      <c r="H14" s="1506"/>
      <c r="I14" s="1510" t="s">
        <v>2105</v>
      </c>
      <c r="J14" s="1510"/>
      <c r="K14" s="1510"/>
      <c r="L14" s="1510"/>
      <c r="M14" s="1510"/>
      <c r="N14" s="1510"/>
      <c r="O14" s="1510"/>
      <c r="P14" s="1510"/>
      <c r="Q14" s="1510"/>
      <c r="AF14" s="1507">
        <v>506542.94</v>
      </c>
      <c r="AG14" s="1507"/>
    </row>
    <row r="15" spans="1:33" ht="0.75" customHeight="1" x14ac:dyDescent="0.25"/>
    <row r="16" spans="1:33" ht="11.25" customHeight="1" x14ac:dyDescent="0.25">
      <c r="C16" s="1506" t="s">
        <v>2106</v>
      </c>
      <c r="D16" s="1506"/>
      <c r="E16" s="1506"/>
      <c r="F16" s="1506"/>
      <c r="G16" s="1506"/>
      <c r="H16" s="1506"/>
      <c r="I16" s="1510" t="s">
        <v>2075</v>
      </c>
      <c r="J16" s="1510"/>
      <c r="K16" s="1510"/>
      <c r="L16" s="1510"/>
      <c r="M16" s="1510"/>
      <c r="N16" s="1510"/>
      <c r="O16" s="1510"/>
      <c r="P16" s="1510"/>
      <c r="Q16" s="1510"/>
      <c r="Z16" s="1507">
        <v>425231.14</v>
      </c>
      <c r="AA16" s="1507"/>
      <c r="AB16" s="1507"/>
      <c r="AC16" s="1507"/>
    </row>
    <row r="17" spans="3:29" ht="1.5" customHeight="1" x14ac:dyDescent="0.25"/>
    <row r="18" spans="3:29" ht="11.25" customHeight="1" x14ac:dyDescent="0.25">
      <c r="C18" s="1506" t="s">
        <v>2107</v>
      </c>
      <c r="D18" s="1506"/>
      <c r="E18" s="1506"/>
      <c r="F18" s="1506"/>
      <c r="G18" s="1506"/>
      <c r="H18" s="1506"/>
      <c r="I18" s="1510" t="s">
        <v>2108</v>
      </c>
      <c r="J18" s="1510"/>
      <c r="K18" s="1510"/>
      <c r="L18" s="1510"/>
      <c r="M18" s="1510"/>
      <c r="N18" s="1510"/>
      <c r="O18" s="1510"/>
      <c r="P18" s="1510"/>
      <c r="Q18" s="1510"/>
      <c r="S18" s="1507">
        <v>425231.14</v>
      </c>
      <c r="T18" s="1507"/>
      <c r="U18" s="1507"/>
      <c r="V18" s="1507"/>
    </row>
    <row r="19" spans="3:29" ht="1.5" customHeight="1" x14ac:dyDescent="0.25"/>
    <row r="20" spans="3:29" ht="10.5" customHeight="1" x14ac:dyDescent="0.25">
      <c r="C20" s="1506" t="s">
        <v>6253</v>
      </c>
      <c r="D20" s="1506"/>
      <c r="E20" s="1506"/>
      <c r="F20" s="1506"/>
      <c r="G20" s="1506"/>
      <c r="H20" s="1506"/>
      <c r="I20" s="1510" t="s">
        <v>1012</v>
      </c>
      <c r="J20" s="1510"/>
      <c r="K20" s="1510"/>
      <c r="L20" s="1510"/>
      <c r="M20" s="1510"/>
      <c r="N20" s="1510"/>
      <c r="O20" s="1510"/>
      <c r="P20" s="1510"/>
      <c r="Q20" s="1510"/>
      <c r="S20" s="1507">
        <v>38732.47</v>
      </c>
      <c r="T20" s="1507"/>
      <c r="U20" s="1507"/>
      <c r="V20" s="1507"/>
    </row>
    <row r="21" spans="3:29" ht="1.5" customHeight="1" x14ac:dyDescent="0.25"/>
    <row r="22" spans="3:29" ht="10.5" customHeight="1" x14ac:dyDescent="0.25">
      <c r="C22" s="1506" t="s">
        <v>6258</v>
      </c>
      <c r="D22" s="1506"/>
      <c r="E22" s="1506"/>
      <c r="F22" s="1506"/>
      <c r="G22" s="1506"/>
      <c r="H22" s="1506"/>
      <c r="I22" s="1510" t="s">
        <v>1020</v>
      </c>
      <c r="J22" s="1510"/>
      <c r="K22" s="1510"/>
      <c r="L22" s="1510"/>
      <c r="M22" s="1510"/>
      <c r="N22" s="1510"/>
      <c r="O22" s="1510"/>
      <c r="P22" s="1510"/>
      <c r="Q22" s="1510"/>
      <c r="S22" s="1507">
        <v>10656.67</v>
      </c>
      <c r="T22" s="1507"/>
      <c r="U22" s="1507"/>
      <c r="V22" s="1507"/>
    </row>
    <row r="23" spans="3:29" ht="1.5" customHeight="1" x14ac:dyDescent="0.25"/>
    <row r="24" spans="3:29" ht="10.5" customHeight="1" x14ac:dyDescent="0.25">
      <c r="C24" s="1506" t="s">
        <v>6236</v>
      </c>
      <c r="D24" s="1506"/>
      <c r="E24" s="1506"/>
      <c r="F24" s="1506"/>
      <c r="G24" s="1506"/>
      <c r="H24" s="1506"/>
      <c r="I24" s="1510" t="s">
        <v>1009</v>
      </c>
      <c r="J24" s="1510"/>
      <c r="K24" s="1510"/>
      <c r="L24" s="1510"/>
      <c r="M24" s="1510"/>
      <c r="N24" s="1510"/>
      <c r="O24" s="1510"/>
      <c r="P24" s="1510"/>
      <c r="Q24" s="1510"/>
      <c r="S24" s="1507">
        <v>287282.03000000003</v>
      </c>
      <c r="T24" s="1507"/>
      <c r="U24" s="1507"/>
      <c r="V24" s="1507"/>
    </row>
    <row r="25" spans="3:29" ht="1.5" customHeight="1" x14ac:dyDescent="0.25"/>
    <row r="26" spans="3:29" ht="10.5" customHeight="1" x14ac:dyDescent="0.25">
      <c r="C26" s="1506" t="s">
        <v>6237</v>
      </c>
      <c r="D26" s="1506"/>
      <c r="E26" s="1506"/>
      <c r="F26" s="1506"/>
      <c r="G26" s="1506"/>
      <c r="H26" s="1506"/>
      <c r="I26" s="1510" t="s">
        <v>1011</v>
      </c>
      <c r="J26" s="1510"/>
      <c r="K26" s="1510"/>
      <c r="L26" s="1510"/>
      <c r="M26" s="1510"/>
      <c r="N26" s="1510"/>
      <c r="O26" s="1510"/>
      <c r="P26" s="1510"/>
      <c r="Q26" s="1510"/>
      <c r="S26" s="1507">
        <v>72277</v>
      </c>
      <c r="T26" s="1507"/>
      <c r="U26" s="1507"/>
      <c r="V26" s="1507"/>
    </row>
    <row r="27" spans="3:29" ht="1.5" customHeight="1" x14ac:dyDescent="0.25"/>
    <row r="28" spans="3:29" ht="10.5" customHeight="1" x14ac:dyDescent="0.25">
      <c r="C28" s="1506" t="s">
        <v>6238</v>
      </c>
      <c r="D28" s="1506"/>
      <c r="E28" s="1506"/>
      <c r="F28" s="1506"/>
      <c r="G28" s="1506"/>
      <c r="H28" s="1506"/>
      <c r="I28" s="1510" t="s">
        <v>1005</v>
      </c>
      <c r="J28" s="1510"/>
      <c r="K28" s="1510"/>
      <c r="L28" s="1510"/>
      <c r="M28" s="1510"/>
      <c r="N28" s="1510"/>
      <c r="O28" s="1510"/>
      <c r="P28" s="1510"/>
      <c r="Q28" s="1510"/>
      <c r="S28" s="1507">
        <v>16282.97</v>
      </c>
      <c r="T28" s="1507"/>
      <c r="U28" s="1507"/>
      <c r="V28" s="1507"/>
    </row>
    <row r="29" spans="3:29" ht="0.75" customHeight="1" x14ac:dyDescent="0.25"/>
    <row r="30" spans="3:29" ht="11.25" customHeight="1" x14ac:dyDescent="0.25">
      <c r="C30" s="1506" t="s">
        <v>2109</v>
      </c>
      <c r="D30" s="1506"/>
      <c r="E30" s="1506"/>
      <c r="F30" s="1506"/>
      <c r="G30" s="1506"/>
      <c r="H30" s="1506"/>
      <c r="I30" s="1510" t="s">
        <v>94</v>
      </c>
      <c r="J30" s="1510"/>
      <c r="K30" s="1510"/>
      <c r="L30" s="1510"/>
      <c r="M30" s="1510"/>
      <c r="N30" s="1510"/>
      <c r="O30" s="1510"/>
      <c r="P30" s="1510"/>
      <c r="Q30" s="1510"/>
      <c r="Z30" s="1507">
        <v>81311.8</v>
      </c>
      <c r="AA30" s="1507"/>
      <c r="AB30" s="1507"/>
      <c r="AC30" s="1507"/>
    </row>
    <row r="31" spans="3:29" ht="1.5" customHeight="1" x14ac:dyDescent="0.25"/>
    <row r="32" spans="3:29" ht="11.25" customHeight="1" x14ac:dyDescent="0.25">
      <c r="C32" s="1506" t="s">
        <v>2110</v>
      </c>
      <c r="D32" s="1506"/>
      <c r="E32" s="1506"/>
      <c r="F32" s="1506"/>
      <c r="G32" s="1506"/>
      <c r="H32" s="1506"/>
      <c r="I32" s="1510" t="s">
        <v>6250</v>
      </c>
      <c r="J32" s="1510"/>
      <c r="K32" s="1510"/>
      <c r="L32" s="1510"/>
      <c r="M32" s="1510"/>
      <c r="N32" s="1510"/>
      <c r="O32" s="1510"/>
      <c r="P32" s="1510"/>
      <c r="Q32" s="1510"/>
      <c r="S32" s="1507">
        <v>6541.99</v>
      </c>
      <c r="T32" s="1507"/>
      <c r="U32" s="1507"/>
      <c r="V32" s="1507"/>
    </row>
    <row r="33" spans="3:22" ht="1.5" customHeight="1" x14ac:dyDescent="0.25"/>
    <row r="34" spans="3:22" ht="10.5" customHeight="1" x14ac:dyDescent="0.25">
      <c r="C34" s="1506" t="s">
        <v>2110</v>
      </c>
      <c r="D34" s="1506"/>
      <c r="E34" s="1506"/>
      <c r="F34" s="1506"/>
      <c r="G34" s="1506"/>
      <c r="H34" s="1506"/>
      <c r="I34" s="1510" t="s">
        <v>6250</v>
      </c>
      <c r="J34" s="1510"/>
      <c r="K34" s="1510"/>
      <c r="L34" s="1510"/>
      <c r="M34" s="1510"/>
      <c r="N34" s="1510"/>
      <c r="O34" s="1510"/>
      <c r="P34" s="1510"/>
      <c r="Q34" s="1510"/>
      <c r="S34" s="1507">
        <v>6541.99</v>
      </c>
      <c r="T34" s="1507"/>
      <c r="U34" s="1507"/>
      <c r="V34" s="1507"/>
    </row>
    <row r="35" spans="3:22" ht="1.5" customHeight="1" x14ac:dyDescent="0.25"/>
    <row r="36" spans="3:22" ht="11.25" customHeight="1" x14ac:dyDescent="0.25">
      <c r="C36" s="1506" t="s">
        <v>2111</v>
      </c>
      <c r="D36" s="1506"/>
      <c r="E36" s="1506"/>
      <c r="F36" s="1506"/>
      <c r="G36" s="1506"/>
      <c r="H36" s="1506"/>
      <c r="I36" s="1510" t="s">
        <v>2108</v>
      </c>
      <c r="J36" s="1510"/>
      <c r="K36" s="1510"/>
      <c r="L36" s="1510"/>
      <c r="M36" s="1510"/>
      <c r="N36" s="1510"/>
      <c r="O36" s="1510"/>
      <c r="P36" s="1510"/>
      <c r="Q36" s="1510"/>
      <c r="S36" s="1507">
        <v>67137.490000000005</v>
      </c>
      <c r="T36" s="1507"/>
      <c r="U36" s="1507"/>
      <c r="V36" s="1507"/>
    </row>
    <row r="37" spans="3:22" ht="1.5" customHeight="1" x14ac:dyDescent="0.25"/>
    <row r="38" spans="3:22" ht="10.5" customHeight="1" x14ac:dyDescent="0.25">
      <c r="C38" s="1506" t="s">
        <v>6240</v>
      </c>
      <c r="D38" s="1506"/>
      <c r="E38" s="1506"/>
      <c r="F38" s="1506"/>
      <c r="G38" s="1506"/>
      <c r="H38" s="1506"/>
      <c r="I38" s="1510" t="s">
        <v>1046</v>
      </c>
      <c r="J38" s="1510"/>
      <c r="K38" s="1510"/>
      <c r="L38" s="1510"/>
      <c r="M38" s="1510"/>
      <c r="N38" s="1510"/>
      <c r="O38" s="1510"/>
      <c r="P38" s="1510"/>
      <c r="Q38" s="1510"/>
      <c r="S38" s="1507">
        <v>15065.78</v>
      </c>
      <c r="T38" s="1507"/>
      <c r="U38" s="1507"/>
      <c r="V38" s="1507"/>
    </row>
    <row r="39" spans="3:22" ht="1.5" customHeight="1" x14ac:dyDescent="0.25"/>
    <row r="40" spans="3:22" ht="10.5" customHeight="1" x14ac:dyDescent="0.25">
      <c r="C40" s="1506" t="s">
        <v>6241</v>
      </c>
      <c r="D40" s="1506"/>
      <c r="E40" s="1506"/>
      <c r="F40" s="1506"/>
      <c r="G40" s="1506"/>
      <c r="H40" s="1506"/>
      <c r="I40" s="1510" t="s">
        <v>996</v>
      </c>
      <c r="J40" s="1510"/>
      <c r="K40" s="1510"/>
      <c r="L40" s="1510"/>
      <c r="M40" s="1510"/>
      <c r="N40" s="1510"/>
      <c r="O40" s="1510"/>
      <c r="P40" s="1510"/>
      <c r="Q40" s="1510"/>
      <c r="S40" s="1507">
        <v>11427.87</v>
      </c>
      <c r="T40" s="1507"/>
      <c r="U40" s="1507"/>
      <c r="V40" s="1507"/>
    </row>
    <row r="41" spans="3:22" ht="1.5" customHeight="1" x14ac:dyDescent="0.25"/>
    <row r="42" spans="3:22" ht="10.5" customHeight="1" x14ac:dyDescent="0.25">
      <c r="C42" s="1506" t="s">
        <v>6242</v>
      </c>
      <c r="D42" s="1506"/>
      <c r="E42" s="1506"/>
      <c r="F42" s="1506"/>
      <c r="G42" s="1506"/>
      <c r="H42" s="1506"/>
      <c r="I42" s="1510" t="s">
        <v>1021</v>
      </c>
      <c r="J42" s="1510"/>
      <c r="K42" s="1510"/>
      <c r="L42" s="1510"/>
      <c r="M42" s="1510"/>
      <c r="N42" s="1510"/>
      <c r="O42" s="1510"/>
      <c r="P42" s="1510"/>
      <c r="Q42" s="1510"/>
      <c r="S42" s="1507">
        <v>545.16999999999996</v>
      </c>
      <c r="T42" s="1507"/>
      <c r="U42" s="1507"/>
      <c r="V42" s="1507"/>
    </row>
    <row r="43" spans="3:22" ht="1.5" customHeight="1" x14ac:dyDescent="0.25"/>
    <row r="44" spans="3:22" ht="10.5" customHeight="1" x14ac:dyDescent="0.25">
      <c r="C44" s="1506" t="s">
        <v>6243</v>
      </c>
      <c r="D44" s="1506"/>
      <c r="E44" s="1506"/>
      <c r="F44" s="1506"/>
      <c r="G44" s="1506"/>
      <c r="H44" s="1506"/>
      <c r="I44" s="1510" t="s">
        <v>1044</v>
      </c>
      <c r="J44" s="1510"/>
      <c r="K44" s="1510"/>
      <c r="L44" s="1510"/>
      <c r="M44" s="1510"/>
      <c r="N44" s="1510"/>
      <c r="O44" s="1510"/>
      <c r="P44" s="1510"/>
      <c r="Q44" s="1510"/>
      <c r="S44" s="1507">
        <v>545.16999999999996</v>
      </c>
      <c r="T44" s="1507"/>
      <c r="U44" s="1507"/>
      <c r="V44" s="1507"/>
    </row>
    <row r="45" spans="3:22" ht="1.5" customHeight="1" x14ac:dyDescent="0.25"/>
    <row r="46" spans="3:22" ht="10.5" customHeight="1" x14ac:dyDescent="0.25">
      <c r="C46" s="1506" t="s">
        <v>6254</v>
      </c>
      <c r="D46" s="1506"/>
      <c r="E46" s="1506"/>
      <c r="F46" s="1506"/>
      <c r="G46" s="1506"/>
      <c r="H46" s="1506"/>
      <c r="I46" s="1510" t="s">
        <v>1260</v>
      </c>
      <c r="J46" s="1510"/>
      <c r="K46" s="1510"/>
      <c r="L46" s="1510"/>
      <c r="M46" s="1510"/>
      <c r="N46" s="1510"/>
      <c r="O46" s="1510"/>
      <c r="P46" s="1510"/>
      <c r="Q46" s="1510"/>
      <c r="S46" s="1507">
        <v>1635.5</v>
      </c>
      <c r="T46" s="1507"/>
      <c r="U46" s="1507"/>
      <c r="V46" s="1507"/>
    </row>
    <row r="47" spans="3:22" ht="1.5" customHeight="1" x14ac:dyDescent="0.25"/>
    <row r="48" spans="3:22" ht="10.5" customHeight="1" x14ac:dyDescent="0.25">
      <c r="C48" s="1506" t="s">
        <v>6244</v>
      </c>
      <c r="D48" s="1506"/>
      <c r="E48" s="1506"/>
      <c r="F48" s="1506"/>
      <c r="G48" s="1506"/>
      <c r="H48" s="1506"/>
      <c r="I48" s="1510" t="s">
        <v>993</v>
      </c>
      <c r="J48" s="1510"/>
      <c r="K48" s="1510"/>
      <c r="L48" s="1510"/>
      <c r="M48" s="1510"/>
      <c r="N48" s="1510"/>
      <c r="O48" s="1510"/>
      <c r="P48" s="1510"/>
      <c r="Q48" s="1510"/>
      <c r="S48" s="1507">
        <v>5533.43</v>
      </c>
      <c r="T48" s="1507"/>
      <c r="U48" s="1507"/>
      <c r="V48" s="1507"/>
    </row>
    <row r="49" spans="3:33" ht="1.5" customHeight="1" x14ac:dyDescent="0.25"/>
    <row r="50" spans="3:33" ht="10.5" customHeight="1" x14ac:dyDescent="0.25">
      <c r="C50" s="1506" t="s">
        <v>6245</v>
      </c>
      <c r="D50" s="1506"/>
      <c r="E50" s="1506"/>
      <c r="F50" s="1506"/>
      <c r="G50" s="1506"/>
      <c r="H50" s="1506"/>
      <c r="I50" s="1510" t="s">
        <v>6307</v>
      </c>
      <c r="J50" s="1510"/>
      <c r="K50" s="1510"/>
      <c r="L50" s="1510"/>
      <c r="M50" s="1510"/>
      <c r="N50" s="1510"/>
      <c r="O50" s="1510"/>
      <c r="P50" s="1510"/>
      <c r="Q50" s="1510"/>
      <c r="S50" s="1507">
        <v>24229.29</v>
      </c>
      <c r="T50" s="1507"/>
      <c r="U50" s="1507"/>
      <c r="V50" s="1507"/>
    </row>
    <row r="51" spans="3:33" ht="1.5" customHeight="1" x14ac:dyDescent="0.25"/>
    <row r="52" spans="3:33" ht="10.5" customHeight="1" x14ac:dyDescent="0.25">
      <c r="C52" s="1506" t="s">
        <v>6231</v>
      </c>
      <c r="D52" s="1506"/>
      <c r="E52" s="1506"/>
      <c r="F52" s="1506"/>
      <c r="G52" s="1506"/>
      <c r="H52" s="1506"/>
      <c r="I52" s="1510" t="s">
        <v>990</v>
      </c>
      <c r="J52" s="1510"/>
      <c r="K52" s="1510"/>
      <c r="L52" s="1510"/>
      <c r="M52" s="1510"/>
      <c r="N52" s="1510"/>
      <c r="O52" s="1510"/>
      <c r="P52" s="1510"/>
      <c r="Q52" s="1510"/>
      <c r="S52" s="1507">
        <v>2109.79</v>
      </c>
      <c r="T52" s="1507"/>
      <c r="U52" s="1507"/>
      <c r="V52" s="1507"/>
    </row>
    <row r="53" spans="3:33" ht="1.5" customHeight="1" x14ac:dyDescent="0.25"/>
    <row r="54" spans="3:33" ht="10.5" customHeight="1" x14ac:dyDescent="0.25">
      <c r="C54" s="1506" t="s">
        <v>6247</v>
      </c>
      <c r="D54" s="1506"/>
      <c r="E54" s="1506"/>
      <c r="F54" s="1506"/>
      <c r="G54" s="1506"/>
      <c r="H54" s="1506"/>
      <c r="I54" s="1510" t="s">
        <v>6042</v>
      </c>
      <c r="J54" s="1510"/>
      <c r="K54" s="1510"/>
      <c r="L54" s="1510"/>
      <c r="M54" s="1510"/>
      <c r="N54" s="1510"/>
      <c r="O54" s="1510"/>
      <c r="P54" s="1510"/>
      <c r="Q54" s="1510"/>
      <c r="S54" s="1507">
        <v>5007.05</v>
      </c>
      <c r="T54" s="1507"/>
      <c r="U54" s="1507"/>
      <c r="V54" s="1507"/>
    </row>
    <row r="55" spans="3:33" ht="1.5" customHeight="1" x14ac:dyDescent="0.25"/>
    <row r="56" spans="3:33" ht="10.5" customHeight="1" x14ac:dyDescent="0.25">
      <c r="C56" s="1506" t="s">
        <v>6248</v>
      </c>
      <c r="D56" s="1506"/>
      <c r="E56" s="1506"/>
      <c r="F56" s="1506"/>
      <c r="G56" s="1506"/>
      <c r="H56" s="1506"/>
      <c r="I56" s="1510" t="s">
        <v>985</v>
      </c>
      <c r="J56" s="1510"/>
      <c r="K56" s="1510"/>
      <c r="L56" s="1510"/>
      <c r="M56" s="1510"/>
      <c r="N56" s="1510"/>
      <c r="O56" s="1510"/>
      <c r="P56" s="1510"/>
      <c r="Q56" s="1510"/>
      <c r="S56" s="1507">
        <v>1038.44</v>
      </c>
      <c r="T56" s="1507"/>
      <c r="U56" s="1507"/>
      <c r="V56" s="1507"/>
    </row>
    <row r="57" spans="3:33" ht="1.5" customHeight="1" x14ac:dyDescent="0.25"/>
    <row r="58" spans="3:33" ht="11.25" customHeight="1" x14ac:dyDescent="0.25">
      <c r="C58" s="1506" t="s">
        <v>6416</v>
      </c>
      <c r="D58" s="1506"/>
      <c r="E58" s="1506"/>
      <c r="F58" s="1506"/>
      <c r="G58" s="1506"/>
      <c r="H58" s="1506"/>
      <c r="I58" s="1510" t="s">
        <v>6417</v>
      </c>
      <c r="J58" s="1510"/>
      <c r="K58" s="1510"/>
      <c r="L58" s="1510"/>
      <c r="M58" s="1510"/>
      <c r="N58" s="1510"/>
      <c r="O58" s="1510"/>
      <c r="P58" s="1510"/>
      <c r="Q58" s="1510"/>
      <c r="S58" s="1507">
        <v>7632.32</v>
      </c>
      <c r="T58" s="1507"/>
      <c r="U58" s="1507"/>
      <c r="V58" s="1507"/>
    </row>
    <row r="59" spans="3:33" ht="1.5" customHeight="1" x14ac:dyDescent="0.25"/>
    <row r="60" spans="3:33" ht="10.5" customHeight="1" x14ac:dyDescent="0.25">
      <c r="C60" s="1506" t="s">
        <v>6256</v>
      </c>
      <c r="D60" s="1506"/>
      <c r="E60" s="1506"/>
      <c r="F60" s="1506"/>
      <c r="G60" s="1506"/>
      <c r="H60" s="1506"/>
      <c r="I60" s="1510" t="s">
        <v>996</v>
      </c>
      <c r="J60" s="1510"/>
      <c r="K60" s="1510"/>
      <c r="L60" s="1510"/>
      <c r="M60" s="1510"/>
      <c r="N60" s="1510"/>
      <c r="O60" s="1510"/>
      <c r="P60" s="1510"/>
      <c r="Q60" s="1510"/>
      <c r="S60" s="1507">
        <v>7632.32</v>
      </c>
      <c r="T60" s="1507"/>
      <c r="U60" s="1507"/>
      <c r="V60" s="1507"/>
    </row>
    <row r="61" spans="3:33" ht="9" customHeight="1" x14ac:dyDescent="0.25"/>
    <row r="62" spans="3:33" ht="1.5" customHeight="1" x14ac:dyDescent="0.25"/>
    <row r="63" spans="3:33" ht="10.5" customHeight="1" x14ac:dyDescent="0.25">
      <c r="C63" s="1506" t="s">
        <v>2112</v>
      </c>
      <c r="D63" s="1506"/>
      <c r="E63" s="1506"/>
      <c r="F63" s="1506"/>
      <c r="G63" s="1506"/>
      <c r="H63" s="1506"/>
      <c r="I63" s="1510" t="s">
        <v>2113</v>
      </c>
      <c r="J63" s="1510"/>
      <c r="K63" s="1510"/>
      <c r="L63" s="1510"/>
      <c r="M63" s="1510"/>
      <c r="N63" s="1510"/>
      <c r="O63" s="1510"/>
      <c r="P63" s="1510"/>
      <c r="Q63" s="1510"/>
      <c r="AF63" s="1507">
        <v>37376.54</v>
      </c>
      <c r="AG63" s="1507"/>
    </row>
    <row r="64" spans="3:33" ht="0.75" customHeight="1" x14ac:dyDescent="0.25"/>
    <row r="65" spans="3:33" ht="11.25" customHeight="1" x14ac:dyDescent="0.25">
      <c r="C65" s="1506" t="s">
        <v>2114</v>
      </c>
      <c r="D65" s="1506"/>
      <c r="E65" s="1506"/>
      <c r="F65" s="1506"/>
      <c r="G65" s="1506"/>
      <c r="H65" s="1506"/>
      <c r="I65" s="1510" t="s">
        <v>95</v>
      </c>
      <c r="J65" s="1510"/>
      <c r="K65" s="1510"/>
      <c r="L65" s="1510"/>
      <c r="M65" s="1510"/>
      <c r="N65" s="1510"/>
      <c r="O65" s="1510"/>
      <c r="P65" s="1510"/>
      <c r="Q65" s="1510"/>
      <c r="Z65" s="1507">
        <v>37376.54</v>
      </c>
      <c r="AA65" s="1507"/>
      <c r="AB65" s="1507"/>
      <c r="AC65" s="1507"/>
    </row>
    <row r="66" spans="3:33" ht="1.5" customHeight="1" x14ac:dyDescent="0.25"/>
    <row r="67" spans="3:33" ht="11.25" customHeight="1" x14ac:dyDescent="0.25">
      <c r="C67" s="1506" t="s">
        <v>2115</v>
      </c>
      <c r="D67" s="1506"/>
      <c r="E67" s="1506"/>
      <c r="F67" s="1506"/>
      <c r="G67" s="1506"/>
      <c r="H67" s="1506"/>
      <c r="I67" s="1510" t="s">
        <v>2108</v>
      </c>
      <c r="J67" s="1510"/>
      <c r="K67" s="1510"/>
      <c r="L67" s="1510"/>
      <c r="M67" s="1510"/>
      <c r="N67" s="1510"/>
      <c r="O67" s="1510"/>
      <c r="P67" s="1510"/>
      <c r="Q67" s="1510"/>
      <c r="S67" s="1507">
        <v>37376.54</v>
      </c>
      <c r="T67" s="1507"/>
      <c r="U67" s="1507"/>
      <c r="V67" s="1507"/>
    </row>
    <row r="68" spans="3:33" ht="1.5" customHeight="1" x14ac:dyDescent="0.25"/>
    <row r="69" spans="3:33" ht="10.5" customHeight="1" x14ac:dyDescent="0.25">
      <c r="C69" s="1506" t="s">
        <v>6232</v>
      </c>
      <c r="D69" s="1506"/>
      <c r="E69" s="1506"/>
      <c r="F69" s="1506"/>
      <c r="G69" s="1506"/>
      <c r="H69" s="1506"/>
      <c r="I69" s="1510" t="s">
        <v>996</v>
      </c>
      <c r="J69" s="1510"/>
      <c r="K69" s="1510"/>
      <c r="L69" s="1510"/>
      <c r="M69" s="1510"/>
      <c r="N69" s="1510"/>
      <c r="O69" s="1510"/>
      <c r="P69" s="1510"/>
      <c r="Q69" s="1510"/>
      <c r="S69" s="1507">
        <v>5919.7</v>
      </c>
      <c r="T69" s="1507"/>
      <c r="U69" s="1507"/>
      <c r="V69" s="1507"/>
    </row>
    <row r="70" spans="3:33" ht="1.5" customHeight="1" x14ac:dyDescent="0.25"/>
    <row r="71" spans="3:33" ht="10.5" customHeight="1" x14ac:dyDescent="0.25">
      <c r="C71" s="1506" t="s">
        <v>6233</v>
      </c>
      <c r="D71" s="1506"/>
      <c r="E71" s="1506"/>
      <c r="F71" s="1506"/>
      <c r="G71" s="1506"/>
      <c r="H71" s="1506"/>
      <c r="I71" s="1510" t="s">
        <v>993</v>
      </c>
      <c r="J71" s="1510"/>
      <c r="K71" s="1510"/>
      <c r="L71" s="1510"/>
      <c r="M71" s="1510"/>
      <c r="N71" s="1510"/>
      <c r="O71" s="1510"/>
      <c r="P71" s="1510"/>
      <c r="Q71" s="1510"/>
      <c r="S71" s="1507">
        <v>5015.53</v>
      </c>
      <c r="T71" s="1507"/>
      <c r="U71" s="1507"/>
      <c r="V71" s="1507"/>
    </row>
    <row r="72" spans="3:33" ht="1.5" customHeight="1" x14ac:dyDescent="0.25"/>
    <row r="73" spans="3:33" ht="10.5" customHeight="1" x14ac:dyDescent="0.25">
      <c r="C73" s="1506" t="s">
        <v>6234</v>
      </c>
      <c r="D73" s="1506"/>
      <c r="E73" s="1506"/>
      <c r="F73" s="1506"/>
      <c r="G73" s="1506"/>
      <c r="H73" s="1506"/>
      <c r="I73" s="1510" t="s">
        <v>1053</v>
      </c>
      <c r="J73" s="1510"/>
      <c r="K73" s="1510"/>
      <c r="L73" s="1510"/>
      <c r="M73" s="1510"/>
      <c r="N73" s="1510"/>
      <c r="O73" s="1510"/>
      <c r="P73" s="1510"/>
      <c r="Q73" s="1510"/>
      <c r="S73" s="1507">
        <v>5451.66</v>
      </c>
      <c r="T73" s="1507"/>
      <c r="U73" s="1507"/>
      <c r="V73" s="1507"/>
    </row>
    <row r="74" spans="3:33" ht="1.5" customHeight="1" x14ac:dyDescent="0.25"/>
    <row r="75" spans="3:33" ht="10.5" customHeight="1" x14ac:dyDescent="0.25">
      <c r="C75" s="1506" t="s">
        <v>6251</v>
      </c>
      <c r="D75" s="1506"/>
      <c r="E75" s="1506"/>
      <c r="F75" s="1506"/>
      <c r="G75" s="1506"/>
      <c r="H75" s="1506"/>
      <c r="I75" s="1510" t="s">
        <v>1029</v>
      </c>
      <c r="J75" s="1510"/>
      <c r="K75" s="1510"/>
      <c r="L75" s="1510"/>
      <c r="M75" s="1510"/>
      <c r="N75" s="1510"/>
      <c r="O75" s="1510"/>
      <c r="P75" s="1510"/>
      <c r="Q75" s="1510"/>
      <c r="S75" s="1507">
        <v>5451.66</v>
      </c>
      <c r="T75" s="1507"/>
      <c r="U75" s="1507"/>
      <c r="V75" s="1507"/>
    </row>
    <row r="76" spans="3:33" ht="1.5" customHeight="1" x14ac:dyDescent="0.25"/>
    <row r="77" spans="3:33" ht="10.5" customHeight="1" x14ac:dyDescent="0.25">
      <c r="C77" s="1506" t="s">
        <v>6235</v>
      </c>
      <c r="D77" s="1506"/>
      <c r="E77" s="1506"/>
      <c r="F77" s="1506"/>
      <c r="G77" s="1506"/>
      <c r="H77" s="1506"/>
      <c r="I77" s="1510" t="s">
        <v>997</v>
      </c>
      <c r="J77" s="1510"/>
      <c r="K77" s="1510"/>
      <c r="L77" s="1510"/>
      <c r="M77" s="1510"/>
      <c r="N77" s="1510"/>
      <c r="O77" s="1510"/>
      <c r="P77" s="1510"/>
      <c r="Q77" s="1510"/>
      <c r="S77" s="1507">
        <v>15537.99</v>
      </c>
      <c r="T77" s="1507"/>
      <c r="U77" s="1507"/>
      <c r="V77" s="1507"/>
    </row>
    <row r="78" spans="3:33" ht="9" customHeight="1" x14ac:dyDescent="0.25"/>
    <row r="79" spans="3:33" ht="4.5" customHeight="1" x14ac:dyDescent="0.25"/>
    <row r="80" spans="3:33" ht="12" customHeight="1" x14ac:dyDescent="0.25">
      <c r="P80" s="1420" t="s">
        <v>2116</v>
      </c>
      <c r="Q80" s="1420"/>
      <c r="R80" s="1420"/>
      <c r="S80" s="1420"/>
      <c r="T80" s="1420"/>
      <c r="U80" s="1420"/>
      <c r="V80" s="1420"/>
      <c r="W80" s="1420"/>
      <c r="AE80" s="1425">
        <v>543919.48</v>
      </c>
      <c r="AF80" s="1425"/>
      <c r="AG80" s="1425"/>
    </row>
    <row r="81" spans="3:33" ht="6.75" customHeight="1" x14ac:dyDescent="0.25"/>
    <row r="82" spans="3:33" ht="0.75" customHeight="1" x14ac:dyDescent="0.25"/>
    <row r="83" spans="3:33" ht="13.5" customHeight="1" x14ac:dyDescent="0.25">
      <c r="C83" s="182" t="s">
        <v>1986</v>
      </c>
      <c r="E83" s="1511">
        <v>4</v>
      </c>
      <c r="F83" s="1511"/>
      <c r="H83" s="1506" t="s">
        <v>919</v>
      </c>
      <c r="I83" s="1506"/>
      <c r="J83" s="1506"/>
      <c r="K83" s="1506"/>
      <c r="L83" s="1506"/>
      <c r="M83" s="1506"/>
      <c r="N83" s="1506"/>
      <c r="O83" s="1506"/>
      <c r="P83" s="1506"/>
      <c r="Q83" s="1506"/>
    </row>
    <row r="84" spans="3:33" ht="12" customHeight="1" x14ac:dyDescent="0.25">
      <c r="C84" s="182" t="s">
        <v>458</v>
      </c>
      <c r="E84" s="1511">
        <v>2</v>
      </c>
      <c r="F84" s="1511"/>
      <c r="H84" s="1506" t="s">
        <v>11851</v>
      </c>
      <c r="I84" s="1506"/>
      <c r="J84" s="1506"/>
      <c r="K84" s="1506"/>
      <c r="L84" s="1506"/>
      <c r="M84" s="1506"/>
      <c r="N84" s="1506"/>
      <c r="O84" s="1506"/>
      <c r="P84" s="1506"/>
      <c r="Q84" s="1506"/>
    </row>
    <row r="85" spans="3:33" ht="1.5" customHeight="1" x14ac:dyDescent="0.25"/>
    <row r="86" spans="3:33" ht="10.5" customHeight="1" x14ac:dyDescent="0.25">
      <c r="C86" s="1506" t="s">
        <v>2104</v>
      </c>
      <c r="D86" s="1506"/>
      <c r="E86" s="1506"/>
      <c r="F86" s="1506"/>
      <c r="G86" s="1506"/>
      <c r="H86" s="1506"/>
      <c r="I86" s="1510" t="s">
        <v>2105</v>
      </c>
      <c r="J86" s="1510"/>
      <c r="K86" s="1510"/>
      <c r="L86" s="1510"/>
      <c r="M86" s="1510"/>
      <c r="N86" s="1510"/>
      <c r="O86" s="1510"/>
      <c r="P86" s="1510"/>
      <c r="Q86" s="1510"/>
      <c r="AF86" s="1507">
        <v>2401115.7799999998</v>
      </c>
      <c r="AG86" s="1507"/>
    </row>
    <row r="87" spans="3:33" ht="0.75" customHeight="1" x14ac:dyDescent="0.25"/>
    <row r="88" spans="3:33" ht="11.25" customHeight="1" x14ac:dyDescent="0.25">
      <c r="C88" s="1506" t="s">
        <v>2106</v>
      </c>
      <c r="D88" s="1506"/>
      <c r="E88" s="1506"/>
      <c r="F88" s="1506"/>
      <c r="G88" s="1506"/>
      <c r="H88" s="1506"/>
      <c r="I88" s="1510" t="s">
        <v>2075</v>
      </c>
      <c r="J88" s="1510"/>
      <c r="K88" s="1510"/>
      <c r="L88" s="1510"/>
      <c r="M88" s="1510"/>
      <c r="N88" s="1510"/>
      <c r="O88" s="1510"/>
      <c r="P88" s="1510"/>
      <c r="Q88" s="1510"/>
      <c r="Z88" s="1507">
        <v>1620960.14</v>
      </c>
      <c r="AA88" s="1507"/>
      <c r="AB88" s="1507"/>
      <c r="AC88" s="1507"/>
    </row>
    <row r="89" spans="3:33" ht="1.5" customHeight="1" x14ac:dyDescent="0.25"/>
    <row r="90" spans="3:33" ht="11.25" customHeight="1" x14ac:dyDescent="0.25">
      <c r="C90" s="1506" t="s">
        <v>2107</v>
      </c>
      <c r="D90" s="1506"/>
      <c r="E90" s="1506"/>
      <c r="F90" s="1506"/>
      <c r="G90" s="1506"/>
      <c r="H90" s="1506"/>
      <c r="I90" s="1510" t="s">
        <v>2108</v>
      </c>
      <c r="J90" s="1510"/>
      <c r="K90" s="1510"/>
      <c r="L90" s="1510"/>
      <c r="M90" s="1510"/>
      <c r="N90" s="1510"/>
      <c r="O90" s="1510"/>
      <c r="P90" s="1510"/>
      <c r="Q90" s="1510"/>
      <c r="S90" s="1507">
        <v>1620960.14</v>
      </c>
      <c r="T90" s="1507"/>
      <c r="U90" s="1507"/>
      <c r="V90" s="1507"/>
    </row>
    <row r="91" spans="3:33" ht="1.5" customHeight="1" x14ac:dyDescent="0.25"/>
    <row r="92" spans="3:33" ht="10.5" customHeight="1" x14ac:dyDescent="0.25">
      <c r="C92" s="1506" t="s">
        <v>6253</v>
      </c>
      <c r="D92" s="1506"/>
      <c r="E92" s="1506"/>
      <c r="F92" s="1506"/>
      <c r="G92" s="1506"/>
      <c r="H92" s="1506"/>
      <c r="I92" s="1510" t="s">
        <v>1012</v>
      </c>
      <c r="J92" s="1510"/>
      <c r="K92" s="1510"/>
      <c r="L92" s="1510"/>
      <c r="M92" s="1510"/>
      <c r="N92" s="1510"/>
      <c r="O92" s="1510"/>
      <c r="P92" s="1510"/>
      <c r="Q92" s="1510"/>
      <c r="S92" s="1507">
        <v>128597.29</v>
      </c>
      <c r="T92" s="1507"/>
      <c r="U92" s="1507"/>
      <c r="V92" s="1507"/>
    </row>
    <row r="93" spans="3:33" ht="1.5" customHeight="1" x14ac:dyDescent="0.25"/>
    <row r="94" spans="3:33" ht="10.5" customHeight="1" x14ac:dyDescent="0.25">
      <c r="C94" s="1506" t="s">
        <v>6258</v>
      </c>
      <c r="D94" s="1506"/>
      <c r="E94" s="1506"/>
      <c r="F94" s="1506"/>
      <c r="G94" s="1506"/>
      <c r="H94" s="1506"/>
      <c r="I94" s="1510" t="s">
        <v>1020</v>
      </c>
      <c r="J94" s="1510"/>
      <c r="K94" s="1510"/>
      <c r="L94" s="1510"/>
      <c r="M94" s="1510"/>
      <c r="N94" s="1510"/>
      <c r="O94" s="1510"/>
      <c r="P94" s="1510"/>
      <c r="Q94" s="1510"/>
      <c r="S94" s="1507">
        <v>80056.240000000005</v>
      </c>
      <c r="T94" s="1507"/>
      <c r="U94" s="1507"/>
      <c r="V94" s="1507"/>
    </row>
    <row r="95" spans="3:33" ht="10.5" customHeight="1" x14ac:dyDescent="0.25">
      <c r="C95" s="1506" t="s">
        <v>6236</v>
      </c>
      <c r="D95" s="1506"/>
      <c r="E95" s="1506"/>
      <c r="F95" s="1506"/>
      <c r="G95" s="1506"/>
      <c r="H95" s="1506"/>
      <c r="I95" s="1510" t="s">
        <v>1009</v>
      </c>
      <c r="J95" s="1510"/>
      <c r="K95" s="1510"/>
      <c r="L95" s="1510"/>
      <c r="M95" s="1510"/>
      <c r="N95" s="1510"/>
      <c r="O95" s="1510"/>
      <c r="P95" s="1510"/>
      <c r="Q95" s="1510"/>
      <c r="S95" s="1507">
        <v>1060956.23</v>
      </c>
      <c r="T95" s="1507"/>
      <c r="U95" s="1507"/>
      <c r="V95" s="1507"/>
    </row>
    <row r="96" spans="3:33" ht="1.5" customHeight="1" x14ac:dyDescent="0.25"/>
    <row r="97" spans="3:29" ht="10.5" customHeight="1" x14ac:dyDescent="0.25">
      <c r="C97" s="1506" t="s">
        <v>6237</v>
      </c>
      <c r="D97" s="1506"/>
      <c r="E97" s="1506"/>
      <c r="F97" s="1506"/>
      <c r="G97" s="1506"/>
      <c r="H97" s="1506"/>
      <c r="I97" s="1510" t="s">
        <v>1011</v>
      </c>
      <c r="J97" s="1510"/>
      <c r="K97" s="1510"/>
      <c r="L97" s="1510"/>
      <c r="M97" s="1510"/>
      <c r="N97" s="1510"/>
      <c r="O97" s="1510"/>
      <c r="P97" s="1510"/>
      <c r="Q97" s="1510"/>
      <c r="S97" s="1507">
        <v>271596.28999999998</v>
      </c>
      <c r="T97" s="1507"/>
      <c r="U97" s="1507"/>
      <c r="V97" s="1507"/>
    </row>
    <row r="98" spans="3:29" ht="1.5" customHeight="1" x14ac:dyDescent="0.25"/>
    <row r="99" spans="3:29" ht="10.5" customHeight="1" x14ac:dyDescent="0.25">
      <c r="C99" s="1506" t="s">
        <v>6238</v>
      </c>
      <c r="D99" s="1506"/>
      <c r="E99" s="1506"/>
      <c r="F99" s="1506"/>
      <c r="G99" s="1506"/>
      <c r="H99" s="1506"/>
      <c r="I99" s="1510" t="s">
        <v>1005</v>
      </c>
      <c r="J99" s="1510"/>
      <c r="K99" s="1510"/>
      <c r="L99" s="1510"/>
      <c r="M99" s="1510"/>
      <c r="N99" s="1510"/>
      <c r="O99" s="1510"/>
      <c r="P99" s="1510"/>
      <c r="Q99" s="1510"/>
      <c r="S99" s="1507">
        <v>79754.09</v>
      </c>
      <c r="T99" s="1507"/>
      <c r="U99" s="1507"/>
      <c r="V99" s="1507"/>
    </row>
    <row r="100" spans="3:29" ht="0.75" customHeight="1" x14ac:dyDescent="0.25"/>
    <row r="101" spans="3:29" ht="11.25" customHeight="1" x14ac:dyDescent="0.25">
      <c r="C101" s="1506" t="s">
        <v>2109</v>
      </c>
      <c r="D101" s="1506"/>
      <c r="E101" s="1506"/>
      <c r="F101" s="1506"/>
      <c r="G101" s="1506"/>
      <c r="H101" s="1506"/>
      <c r="I101" s="1510" t="s">
        <v>94</v>
      </c>
      <c r="J101" s="1510"/>
      <c r="K101" s="1510"/>
      <c r="L101" s="1510"/>
      <c r="M101" s="1510"/>
      <c r="N101" s="1510"/>
      <c r="O101" s="1510"/>
      <c r="P101" s="1510"/>
      <c r="Q101" s="1510"/>
      <c r="Z101" s="1507">
        <v>780155.64</v>
      </c>
      <c r="AA101" s="1507"/>
      <c r="AB101" s="1507"/>
      <c r="AC101" s="1507"/>
    </row>
    <row r="102" spans="3:29" ht="1.5" customHeight="1" x14ac:dyDescent="0.25"/>
    <row r="103" spans="3:29" ht="11.25" customHeight="1" x14ac:dyDescent="0.25">
      <c r="C103" s="1506" t="s">
        <v>2111</v>
      </c>
      <c r="D103" s="1506"/>
      <c r="E103" s="1506"/>
      <c r="F103" s="1506"/>
      <c r="G103" s="1506"/>
      <c r="H103" s="1506"/>
      <c r="I103" s="1510" t="s">
        <v>2108</v>
      </c>
      <c r="J103" s="1510"/>
      <c r="K103" s="1510"/>
      <c r="L103" s="1510"/>
      <c r="M103" s="1510"/>
      <c r="N103" s="1510"/>
      <c r="O103" s="1510"/>
      <c r="P103" s="1510"/>
      <c r="Q103" s="1510"/>
      <c r="S103" s="1507">
        <v>732819.4</v>
      </c>
      <c r="T103" s="1507"/>
      <c r="U103" s="1507"/>
      <c r="V103" s="1507"/>
    </row>
    <row r="104" spans="3:29" ht="1.5" customHeight="1" x14ac:dyDescent="0.25"/>
    <row r="105" spans="3:29" ht="10.5" customHeight="1" x14ac:dyDescent="0.25">
      <c r="C105" s="1506" t="s">
        <v>6240</v>
      </c>
      <c r="D105" s="1506"/>
      <c r="E105" s="1506"/>
      <c r="F105" s="1506"/>
      <c r="G105" s="1506"/>
      <c r="H105" s="1506"/>
      <c r="I105" s="1510" t="s">
        <v>1046</v>
      </c>
      <c r="J105" s="1510"/>
      <c r="K105" s="1510"/>
      <c r="L105" s="1510"/>
      <c r="M105" s="1510"/>
      <c r="N105" s="1510"/>
      <c r="O105" s="1510"/>
      <c r="P105" s="1510"/>
      <c r="Q105" s="1510"/>
      <c r="S105" s="1507">
        <v>50952.73</v>
      </c>
      <c r="T105" s="1507"/>
      <c r="U105" s="1507"/>
      <c r="V105" s="1507"/>
    </row>
    <row r="106" spans="3:29" ht="1.5" customHeight="1" x14ac:dyDescent="0.25"/>
    <row r="107" spans="3:29" ht="10.5" customHeight="1" x14ac:dyDescent="0.25">
      <c r="C107" s="1506" t="s">
        <v>6241</v>
      </c>
      <c r="D107" s="1506"/>
      <c r="E107" s="1506"/>
      <c r="F107" s="1506"/>
      <c r="G107" s="1506"/>
      <c r="H107" s="1506"/>
      <c r="I107" s="1510" t="s">
        <v>996</v>
      </c>
      <c r="J107" s="1510"/>
      <c r="K107" s="1510"/>
      <c r="L107" s="1510"/>
      <c r="M107" s="1510"/>
      <c r="N107" s="1510"/>
      <c r="O107" s="1510"/>
      <c r="P107" s="1510"/>
      <c r="Q107" s="1510"/>
      <c r="S107" s="1507">
        <v>143481.25</v>
      </c>
      <c r="T107" s="1507"/>
      <c r="U107" s="1507"/>
      <c r="V107" s="1507"/>
    </row>
    <row r="108" spans="3:29" ht="1.5" customHeight="1" x14ac:dyDescent="0.25"/>
    <row r="109" spans="3:29" ht="10.5" customHeight="1" x14ac:dyDescent="0.25">
      <c r="C109" s="1506" t="s">
        <v>6242</v>
      </c>
      <c r="D109" s="1506"/>
      <c r="E109" s="1506"/>
      <c r="F109" s="1506"/>
      <c r="G109" s="1506"/>
      <c r="H109" s="1506"/>
      <c r="I109" s="1510" t="s">
        <v>1021</v>
      </c>
      <c r="J109" s="1510"/>
      <c r="K109" s="1510"/>
      <c r="L109" s="1510"/>
      <c r="M109" s="1510"/>
      <c r="N109" s="1510"/>
      <c r="O109" s="1510"/>
      <c r="P109" s="1510"/>
      <c r="Q109" s="1510"/>
      <c r="S109" s="1507">
        <v>132098.75</v>
      </c>
      <c r="T109" s="1507"/>
      <c r="U109" s="1507"/>
      <c r="V109" s="1507"/>
    </row>
    <row r="110" spans="3:29" ht="1.5" customHeight="1" x14ac:dyDescent="0.25"/>
    <row r="111" spans="3:29" ht="10.5" customHeight="1" x14ac:dyDescent="0.25">
      <c r="C111" s="1506" t="s">
        <v>6243</v>
      </c>
      <c r="D111" s="1506"/>
      <c r="E111" s="1506"/>
      <c r="F111" s="1506"/>
      <c r="G111" s="1506"/>
      <c r="H111" s="1506"/>
      <c r="I111" s="1510" t="s">
        <v>1044</v>
      </c>
      <c r="J111" s="1510"/>
      <c r="K111" s="1510"/>
      <c r="L111" s="1510"/>
      <c r="M111" s="1510"/>
      <c r="N111" s="1510"/>
      <c r="O111" s="1510"/>
      <c r="P111" s="1510"/>
      <c r="Q111" s="1510"/>
      <c r="S111" s="1507">
        <v>11812.66</v>
      </c>
      <c r="T111" s="1507"/>
      <c r="U111" s="1507"/>
      <c r="V111" s="1507"/>
    </row>
    <row r="112" spans="3:29" ht="1.5" customHeight="1" x14ac:dyDescent="0.25"/>
    <row r="113" spans="3:22" ht="10.5" customHeight="1" x14ac:dyDescent="0.25">
      <c r="C113" s="1506" t="s">
        <v>6254</v>
      </c>
      <c r="D113" s="1506"/>
      <c r="E113" s="1506"/>
      <c r="F113" s="1506"/>
      <c r="G113" s="1506"/>
      <c r="H113" s="1506"/>
      <c r="I113" s="1510" t="s">
        <v>1260</v>
      </c>
      <c r="J113" s="1510"/>
      <c r="K113" s="1510"/>
      <c r="L113" s="1510"/>
      <c r="M113" s="1510"/>
      <c r="N113" s="1510"/>
      <c r="O113" s="1510"/>
      <c r="P113" s="1510"/>
      <c r="Q113" s="1510"/>
      <c r="S113" s="1507">
        <v>7087.18</v>
      </c>
      <c r="T113" s="1507"/>
      <c r="U113" s="1507"/>
      <c r="V113" s="1507"/>
    </row>
    <row r="114" spans="3:22" ht="1.5" customHeight="1" x14ac:dyDescent="0.25"/>
    <row r="115" spans="3:22" ht="10.5" customHeight="1" x14ac:dyDescent="0.25">
      <c r="C115" s="1506" t="s">
        <v>6244</v>
      </c>
      <c r="D115" s="1506"/>
      <c r="E115" s="1506"/>
      <c r="F115" s="1506"/>
      <c r="G115" s="1506"/>
      <c r="H115" s="1506"/>
      <c r="I115" s="1510" t="s">
        <v>993</v>
      </c>
      <c r="J115" s="1510"/>
      <c r="K115" s="1510"/>
      <c r="L115" s="1510"/>
      <c r="M115" s="1510"/>
      <c r="N115" s="1510"/>
      <c r="O115" s="1510"/>
      <c r="P115" s="1510"/>
      <c r="Q115" s="1510"/>
      <c r="S115" s="1507">
        <v>55606.96</v>
      </c>
      <c r="T115" s="1507"/>
      <c r="U115" s="1507"/>
      <c r="V115" s="1507"/>
    </row>
    <row r="116" spans="3:22" ht="1.5" customHeight="1" x14ac:dyDescent="0.25"/>
    <row r="117" spans="3:22" ht="10.5" customHeight="1" x14ac:dyDescent="0.25">
      <c r="C117" s="1506" t="s">
        <v>6245</v>
      </c>
      <c r="D117" s="1506"/>
      <c r="E117" s="1506"/>
      <c r="F117" s="1506"/>
      <c r="G117" s="1506"/>
      <c r="H117" s="1506"/>
      <c r="I117" s="1510" t="s">
        <v>6307</v>
      </c>
      <c r="J117" s="1510"/>
      <c r="K117" s="1510"/>
      <c r="L117" s="1510"/>
      <c r="M117" s="1510"/>
      <c r="N117" s="1510"/>
      <c r="O117" s="1510"/>
      <c r="P117" s="1510"/>
      <c r="Q117" s="1510"/>
      <c r="S117" s="1507">
        <v>285356.09000000003</v>
      </c>
      <c r="T117" s="1507"/>
      <c r="U117" s="1507"/>
      <c r="V117" s="1507"/>
    </row>
    <row r="118" spans="3:22" ht="1.5" customHeight="1" x14ac:dyDescent="0.25"/>
    <row r="119" spans="3:22" ht="10.5" customHeight="1" x14ac:dyDescent="0.25">
      <c r="C119" s="1506" t="s">
        <v>6231</v>
      </c>
      <c r="D119" s="1506"/>
      <c r="E119" s="1506"/>
      <c r="F119" s="1506"/>
      <c r="G119" s="1506"/>
      <c r="H119" s="1506"/>
      <c r="I119" s="1510" t="s">
        <v>990</v>
      </c>
      <c r="J119" s="1510"/>
      <c r="K119" s="1510"/>
      <c r="L119" s="1510"/>
      <c r="M119" s="1510"/>
      <c r="N119" s="1510"/>
      <c r="O119" s="1510"/>
      <c r="P119" s="1510"/>
      <c r="Q119" s="1510"/>
      <c r="S119" s="1507">
        <v>17445.29</v>
      </c>
      <c r="T119" s="1507"/>
      <c r="U119" s="1507"/>
      <c r="V119" s="1507"/>
    </row>
    <row r="120" spans="3:22" ht="1.5" customHeight="1" x14ac:dyDescent="0.25"/>
    <row r="121" spans="3:22" ht="10.5" customHeight="1" x14ac:dyDescent="0.25">
      <c r="C121" s="1506" t="s">
        <v>6247</v>
      </c>
      <c r="D121" s="1506"/>
      <c r="E121" s="1506"/>
      <c r="F121" s="1506"/>
      <c r="G121" s="1506"/>
      <c r="H121" s="1506"/>
      <c r="I121" s="1510" t="s">
        <v>6042</v>
      </c>
      <c r="J121" s="1510"/>
      <c r="K121" s="1510"/>
      <c r="L121" s="1510"/>
      <c r="M121" s="1510"/>
      <c r="N121" s="1510"/>
      <c r="O121" s="1510"/>
      <c r="P121" s="1510"/>
      <c r="Q121" s="1510"/>
      <c r="S121" s="1507">
        <v>19165.47</v>
      </c>
      <c r="T121" s="1507"/>
      <c r="U121" s="1507"/>
      <c r="V121" s="1507"/>
    </row>
    <row r="122" spans="3:22" ht="1.5" customHeight="1" x14ac:dyDescent="0.25"/>
    <row r="123" spans="3:22" ht="10.5" customHeight="1" x14ac:dyDescent="0.25">
      <c r="C123" s="1506" t="s">
        <v>6248</v>
      </c>
      <c r="D123" s="1506"/>
      <c r="E123" s="1506"/>
      <c r="F123" s="1506"/>
      <c r="G123" s="1506"/>
      <c r="H123" s="1506"/>
      <c r="I123" s="1510" t="s">
        <v>985</v>
      </c>
      <c r="J123" s="1510"/>
      <c r="K123" s="1510"/>
      <c r="L123" s="1510"/>
      <c r="M123" s="1510"/>
      <c r="N123" s="1510"/>
      <c r="O123" s="1510"/>
      <c r="P123" s="1510"/>
      <c r="Q123" s="1510"/>
      <c r="S123" s="1507">
        <v>9813.02</v>
      </c>
      <c r="T123" s="1507"/>
      <c r="U123" s="1507"/>
      <c r="V123" s="1507"/>
    </row>
    <row r="124" spans="3:22" ht="1.5" customHeight="1" x14ac:dyDescent="0.25"/>
    <row r="125" spans="3:22" ht="11.25" customHeight="1" x14ac:dyDescent="0.25">
      <c r="C125" s="1506" t="s">
        <v>6416</v>
      </c>
      <c r="D125" s="1506"/>
      <c r="E125" s="1506"/>
      <c r="F125" s="1506"/>
      <c r="G125" s="1506"/>
      <c r="H125" s="1506"/>
      <c r="I125" s="1510" t="s">
        <v>6417</v>
      </c>
      <c r="J125" s="1510"/>
      <c r="K125" s="1510"/>
      <c r="L125" s="1510"/>
      <c r="M125" s="1510"/>
      <c r="N125" s="1510"/>
      <c r="O125" s="1510"/>
      <c r="P125" s="1510"/>
      <c r="Q125" s="1510"/>
      <c r="S125" s="1507">
        <v>47336.24</v>
      </c>
      <c r="T125" s="1507"/>
      <c r="U125" s="1507"/>
      <c r="V125" s="1507"/>
    </row>
    <row r="126" spans="3:22" ht="1.5" customHeight="1" x14ac:dyDescent="0.25"/>
    <row r="127" spans="3:22" ht="10.5" customHeight="1" x14ac:dyDescent="0.25">
      <c r="C127" s="1506" t="s">
        <v>6256</v>
      </c>
      <c r="D127" s="1506"/>
      <c r="E127" s="1506"/>
      <c r="F127" s="1506"/>
      <c r="G127" s="1506"/>
      <c r="H127" s="1506"/>
      <c r="I127" s="1510" t="s">
        <v>996</v>
      </c>
      <c r="J127" s="1510"/>
      <c r="K127" s="1510"/>
      <c r="L127" s="1510"/>
      <c r="M127" s="1510"/>
      <c r="N127" s="1510"/>
      <c r="O127" s="1510"/>
      <c r="P127" s="1510"/>
      <c r="Q127" s="1510"/>
      <c r="S127" s="1507">
        <v>37755.46</v>
      </c>
      <c r="T127" s="1507"/>
      <c r="U127" s="1507"/>
      <c r="V127" s="1507"/>
    </row>
    <row r="128" spans="3:22" ht="1.5" customHeight="1" x14ac:dyDescent="0.25"/>
    <row r="129" spans="3:33" ht="10.5" customHeight="1" x14ac:dyDescent="0.25">
      <c r="C129" s="1506" t="s">
        <v>6325</v>
      </c>
      <c r="D129" s="1506"/>
      <c r="E129" s="1506"/>
      <c r="F129" s="1506"/>
      <c r="G129" s="1506"/>
      <c r="H129" s="1506"/>
      <c r="I129" s="1510" t="s">
        <v>6419</v>
      </c>
      <c r="J129" s="1510"/>
      <c r="K129" s="1510"/>
      <c r="L129" s="1510"/>
      <c r="M129" s="1510"/>
      <c r="N129" s="1510"/>
      <c r="O129" s="1510"/>
      <c r="P129" s="1510"/>
      <c r="Q129" s="1510"/>
      <c r="S129" s="1507">
        <v>9580.7800000000007</v>
      </c>
      <c r="T129" s="1507"/>
      <c r="U129" s="1507"/>
      <c r="V129" s="1507"/>
    </row>
    <row r="130" spans="3:33" ht="9" customHeight="1" x14ac:dyDescent="0.25"/>
    <row r="131" spans="3:33" ht="1.5" customHeight="1" x14ac:dyDescent="0.25"/>
    <row r="132" spans="3:33" ht="10.5" customHeight="1" x14ac:dyDescent="0.25">
      <c r="C132" s="1506" t="s">
        <v>2112</v>
      </c>
      <c r="D132" s="1506"/>
      <c r="E132" s="1506"/>
      <c r="F132" s="1506"/>
      <c r="G132" s="1506"/>
      <c r="H132" s="1506"/>
      <c r="I132" s="1510" t="s">
        <v>2113</v>
      </c>
      <c r="J132" s="1510"/>
      <c r="K132" s="1510"/>
      <c r="L132" s="1510"/>
      <c r="M132" s="1510"/>
      <c r="N132" s="1510"/>
      <c r="O132" s="1510"/>
      <c r="P132" s="1510"/>
      <c r="Q132" s="1510"/>
      <c r="AF132" s="1507">
        <v>209661.99</v>
      </c>
      <c r="AG132" s="1507"/>
    </row>
    <row r="133" spans="3:33" ht="0.75" customHeight="1" x14ac:dyDescent="0.25"/>
    <row r="134" spans="3:33" ht="11.25" customHeight="1" x14ac:dyDescent="0.25">
      <c r="C134" s="1506" t="s">
        <v>2114</v>
      </c>
      <c r="D134" s="1506"/>
      <c r="E134" s="1506"/>
      <c r="F134" s="1506"/>
      <c r="G134" s="1506"/>
      <c r="H134" s="1506"/>
      <c r="I134" s="1510" t="s">
        <v>95</v>
      </c>
      <c r="J134" s="1510"/>
      <c r="K134" s="1510"/>
      <c r="L134" s="1510"/>
      <c r="M134" s="1510"/>
      <c r="N134" s="1510"/>
      <c r="O134" s="1510"/>
      <c r="P134" s="1510"/>
      <c r="Q134" s="1510"/>
      <c r="Z134" s="1507">
        <v>209661.99</v>
      </c>
      <c r="AA134" s="1507"/>
      <c r="AB134" s="1507"/>
      <c r="AC134" s="1507"/>
    </row>
    <row r="135" spans="3:33" ht="1.5" customHeight="1" x14ac:dyDescent="0.25"/>
    <row r="136" spans="3:33" ht="11.25" customHeight="1" x14ac:dyDescent="0.25">
      <c r="C136" s="1506" t="s">
        <v>2115</v>
      </c>
      <c r="D136" s="1506"/>
      <c r="E136" s="1506"/>
      <c r="F136" s="1506"/>
      <c r="G136" s="1506"/>
      <c r="H136" s="1506"/>
      <c r="I136" s="1510" t="s">
        <v>2108</v>
      </c>
      <c r="J136" s="1510"/>
      <c r="K136" s="1510"/>
      <c r="L136" s="1510"/>
      <c r="M136" s="1510"/>
      <c r="N136" s="1510"/>
      <c r="O136" s="1510"/>
      <c r="P136" s="1510"/>
      <c r="Q136" s="1510"/>
      <c r="S136" s="1507">
        <v>209661.99</v>
      </c>
      <c r="T136" s="1507"/>
      <c r="U136" s="1507"/>
      <c r="V136" s="1507"/>
    </row>
    <row r="137" spans="3:33" ht="1.5" customHeight="1" x14ac:dyDescent="0.25"/>
    <row r="138" spans="3:33" ht="10.5" customHeight="1" x14ac:dyDescent="0.25">
      <c r="C138" s="1506" t="s">
        <v>6232</v>
      </c>
      <c r="D138" s="1506"/>
      <c r="E138" s="1506"/>
      <c r="F138" s="1506"/>
      <c r="G138" s="1506"/>
      <c r="H138" s="1506"/>
      <c r="I138" s="1510" t="s">
        <v>996</v>
      </c>
      <c r="J138" s="1510"/>
      <c r="K138" s="1510"/>
      <c r="L138" s="1510"/>
      <c r="M138" s="1510"/>
      <c r="N138" s="1510"/>
      <c r="O138" s="1510"/>
      <c r="P138" s="1510"/>
      <c r="Q138" s="1510"/>
      <c r="S138" s="1507">
        <v>5451.66</v>
      </c>
      <c r="T138" s="1507"/>
      <c r="U138" s="1507"/>
      <c r="V138" s="1507"/>
    </row>
    <row r="139" spans="3:33" ht="1.5" customHeight="1" x14ac:dyDescent="0.25"/>
    <row r="140" spans="3:33" ht="10.5" customHeight="1" x14ac:dyDescent="0.25">
      <c r="C140" s="1506" t="s">
        <v>6233</v>
      </c>
      <c r="D140" s="1506"/>
      <c r="E140" s="1506"/>
      <c r="F140" s="1506"/>
      <c r="G140" s="1506"/>
      <c r="H140" s="1506"/>
      <c r="I140" s="1510" t="s">
        <v>993</v>
      </c>
      <c r="J140" s="1510"/>
      <c r="K140" s="1510"/>
      <c r="L140" s="1510"/>
      <c r="M140" s="1510"/>
      <c r="N140" s="1510"/>
      <c r="O140" s="1510"/>
      <c r="P140" s="1510"/>
      <c r="Q140" s="1510"/>
      <c r="S140" s="1507">
        <v>5451.66</v>
      </c>
      <c r="T140" s="1507"/>
      <c r="U140" s="1507"/>
      <c r="V140" s="1507"/>
    </row>
    <row r="141" spans="3:33" ht="1.5" customHeight="1" x14ac:dyDescent="0.25"/>
    <row r="142" spans="3:33" ht="10.5" customHeight="1" x14ac:dyDescent="0.25">
      <c r="C142" s="1506" t="s">
        <v>6234</v>
      </c>
      <c r="D142" s="1506"/>
      <c r="E142" s="1506"/>
      <c r="F142" s="1506"/>
      <c r="G142" s="1506"/>
      <c r="H142" s="1506"/>
      <c r="I142" s="1510" t="s">
        <v>1053</v>
      </c>
      <c r="J142" s="1510"/>
      <c r="K142" s="1510"/>
      <c r="L142" s="1510"/>
      <c r="M142" s="1510"/>
      <c r="N142" s="1510"/>
      <c r="O142" s="1510"/>
      <c r="P142" s="1510"/>
      <c r="Q142" s="1510"/>
      <c r="S142" s="1507">
        <v>5451.66</v>
      </c>
      <c r="T142" s="1507"/>
      <c r="U142" s="1507"/>
      <c r="V142" s="1507"/>
    </row>
    <row r="143" spans="3:33" ht="1.5" customHeight="1" x14ac:dyDescent="0.25"/>
    <row r="144" spans="3:33" ht="10.5" customHeight="1" x14ac:dyDescent="0.25">
      <c r="C144" s="1506" t="s">
        <v>6251</v>
      </c>
      <c r="D144" s="1506"/>
      <c r="E144" s="1506"/>
      <c r="F144" s="1506"/>
      <c r="G144" s="1506"/>
      <c r="H144" s="1506"/>
      <c r="I144" s="1510" t="s">
        <v>1029</v>
      </c>
      <c r="J144" s="1510"/>
      <c r="K144" s="1510"/>
      <c r="L144" s="1510"/>
      <c r="M144" s="1510"/>
      <c r="N144" s="1510"/>
      <c r="O144" s="1510"/>
      <c r="P144" s="1510"/>
      <c r="Q144" s="1510"/>
      <c r="S144" s="1507">
        <v>7087.17</v>
      </c>
      <c r="T144" s="1507"/>
      <c r="U144" s="1507"/>
      <c r="V144" s="1507"/>
    </row>
    <row r="145" spans="3:33" ht="1.5" customHeight="1" x14ac:dyDescent="0.25"/>
    <row r="146" spans="3:33" ht="10.5" customHeight="1" x14ac:dyDescent="0.25">
      <c r="C146" s="1506" t="s">
        <v>6235</v>
      </c>
      <c r="D146" s="1506"/>
      <c r="E146" s="1506"/>
      <c r="F146" s="1506"/>
      <c r="G146" s="1506"/>
      <c r="H146" s="1506"/>
      <c r="I146" s="1510" t="s">
        <v>997</v>
      </c>
      <c r="J146" s="1510"/>
      <c r="K146" s="1510"/>
      <c r="L146" s="1510"/>
      <c r="M146" s="1510"/>
      <c r="N146" s="1510"/>
      <c r="O146" s="1510"/>
      <c r="P146" s="1510"/>
      <c r="Q146" s="1510"/>
      <c r="S146" s="1507">
        <v>186219.84</v>
      </c>
      <c r="T146" s="1507"/>
      <c r="U146" s="1507"/>
      <c r="V146" s="1507"/>
    </row>
    <row r="147" spans="3:33" ht="9" customHeight="1" x14ac:dyDescent="0.25"/>
    <row r="148" spans="3:33" ht="4.5" customHeight="1" x14ac:dyDescent="0.25"/>
    <row r="149" spans="3:33" ht="12" customHeight="1" x14ac:dyDescent="0.25">
      <c r="P149" s="1420" t="s">
        <v>2116</v>
      </c>
      <c r="Q149" s="1420"/>
      <c r="R149" s="1420"/>
      <c r="S149" s="1420"/>
      <c r="T149" s="1420"/>
      <c r="U149" s="1420"/>
      <c r="V149" s="1420"/>
      <c r="W149" s="1420"/>
      <c r="AE149" s="1425">
        <v>2610777.77</v>
      </c>
      <c r="AF149" s="1425"/>
      <c r="AG149" s="1425"/>
    </row>
    <row r="150" spans="3:33" ht="6.75" customHeight="1" x14ac:dyDescent="0.25"/>
    <row r="151" spans="3:33" ht="0.75" customHeight="1" x14ac:dyDescent="0.25"/>
    <row r="152" spans="3:33" ht="13.5" customHeight="1" x14ac:dyDescent="0.25">
      <c r="C152" s="182" t="s">
        <v>1986</v>
      </c>
      <c r="E152" s="1511">
        <v>4</v>
      </c>
      <c r="F152" s="1511"/>
      <c r="H152" s="1506" t="s">
        <v>919</v>
      </c>
      <c r="I152" s="1506"/>
      <c r="J152" s="1506"/>
      <c r="K152" s="1506"/>
      <c r="L152" s="1506"/>
      <c r="M152" s="1506"/>
      <c r="N152" s="1506"/>
      <c r="O152" s="1506"/>
      <c r="P152" s="1506"/>
      <c r="Q152" s="1506"/>
    </row>
    <row r="153" spans="3:33" ht="12" customHeight="1" x14ac:dyDescent="0.25">
      <c r="C153" s="182" t="s">
        <v>458</v>
      </c>
      <c r="E153" s="1511">
        <v>3</v>
      </c>
      <c r="F153" s="1511"/>
      <c r="H153" s="1506" t="s">
        <v>11852</v>
      </c>
      <c r="I153" s="1506"/>
      <c r="J153" s="1506"/>
      <c r="K153" s="1506"/>
      <c r="L153" s="1506"/>
      <c r="M153" s="1506"/>
      <c r="N153" s="1506"/>
      <c r="O153" s="1506"/>
      <c r="P153" s="1506"/>
      <c r="Q153" s="1506"/>
    </row>
    <row r="154" spans="3:33" ht="1.5" customHeight="1" x14ac:dyDescent="0.25"/>
    <row r="155" spans="3:33" ht="10.5" customHeight="1" x14ac:dyDescent="0.25">
      <c r="C155" s="1506" t="s">
        <v>2104</v>
      </c>
      <c r="D155" s="1506"/>
      <c r="E155" s="1506"/>
      <c r="F155" s="1506"/>
      <c r="G155" s="1506"/>
      <c r="H155" s="1506"/>
      <c r="I155" s="1510" t="s">
        <v>2105</v>
      </c>
      <c r="J155" s="1510"/>
      <c r="K155" s="1510"/>
      <c r="L155" s="1510"/>
      <c r="M155" s="1510"/>
      <c r="N155" s="1510"/>
      <c r="O155" s="1510"/>
      <c r="P155" s="1510"/>
      <c r="Q155" s="1510"/>
      <c r="AF155" s="1507">
        <v>355595.25</v>
      </c>
      <c r="AG155" s="1507"/>
    </row>
    <row r="156" spans="3:33" ht="0.75" customHeight="1" x14ac:dyDescent="0.25"/>
    <row r="157" spans="3:33" ht="11.25" customHeight="1" x14ac:dyDescent="0.25">
      <c r="C157" s="1506" t="s">
        <v>2106</v>
      </c>
      <c r="D157" s="1506"/>
      <c r="E157" s="1506"/>
      <c r="F157" s="1506"/>
      <c r="G157" s="1506"/>
      <c r="H157" s="1506"/>
      <c r="I157" s="1510" t="s">
        <v>2075</v>
      </c>
      <c r="J157" s="1510"/>
      <c r="K157" s="1510"/>
      <c r="L157" s="1510"/>
      <c r="M157" s="1510"/>
      <c r="N157" s="1510"/>
      <c r="O157" s="1510"/>
      <c r="P157" s="1510"/>
      <c r="Q157" s="1510"/>
      <c r="Z157" s="1507">
        <v>128082.55</v>
      </c>
      <c r="AA157" s="1507"/>
      <c r="AB157" s="1507"/>
      <c r="AC157" s="1507"/>
    </row>
    <row r="158" spans="3:33" ht="1.5" customHeight="1" x14ac:dyDescent="0.25"/>
    <row r="159" spans="3:33" ht="11.25" customHeight="1" x14ac:dyDescent="0.25">
      <c r="C159" s="1506" t="s">
        <v>2107</v>
      </c>
      <c r="D159" s="1506"/>
      <c r="E159" s="1506"/>
      <c r="F159" s="1506"/>
      <c r="G159" s="1506"/>
      <c r="H159" s="1506"/>
      <c r="I159" s="1510" t="s">
        <v>2108</v>
      </c>
      <c r="J159" s="1510"/>
      <c r="K159" s="1510"/>
      <c r="L159" s="1510"/>
      <c r="M159" s="1510"/>
      <c r="N159" s="1510"/>
      <c r="O159" s="1510"/>
      <c r="P159" s="1510"/>
      <c r="Q159" s="1510"/>
      <c r="S159" s="1507">
        <v>128082.55</v>
      </c>
      <c r="T159" s="1507"/>
      <c r="U159" s="1507"/>
      <c r="V159" s="1507"/>
    </row>
    <row r="160" spans="3:33" ht="1.5" customHeight="1" x14ac:dyDescent="0.25"/>
    <row r="161" spans="3:29" ht="10.5" customHeight="1" x14ac:dyDescent="0.25">
      <c r="C161" s="1506" t="s">
        <v>6253</v>
      </c>
      <c r="D161" s="1506"/>
      <c r="E161" s="1506"/>
      <c r="F161" s="1506"/>
      <c r="G161" s="1506"/>
      <c r="H161" s="1506"/>
      <c r="I161" s="1510" t="s">
        <v>1012</v>
      </c>
      <c r="J161" s="1510"/>
      <c r="K161" s="1510"/>
      <c r="L161" s="1510"/>
      <c r="M161" s="1510"/>
      <c r="N161" s="1510"/>
      <c r="O161" s="1510"/>
      <c r="P161" s="1510"/>
      <c r="Q161" s="1510"/>
      <c r="S161" s="1507">
        <v>95002.880000000005</v>
      </c>
      <c r="T161" s="1507"/>
      <c r="U161" s="1507"/>
      <c r="V161" s="1507"/>
    </row>
    <row r="162" spans="3:29" ht="1.5" customHeight="1" x14ac:dyDescent="0.25"/>
    <row r="163" spans="3:29" ht="10.5" customHeight="1" x14ac:dyDescent="0.25">
      <c r="C163" s="1506" t="s">
        <v>6236</v>
      </c>
      <c r="D163" s="1506"/>
      <c r="E163" s="1506"/>
      <c r="F163" s="1506"/>
      <c r="G163" s="1506"/>
      <c r="H163" s="1506"/>
      <c r="I163" s="1510" t="s">
        <v>1009</v>
      </c>
      <c r="J163" s="1510"/>
      <c r="K163" s="1510"/>
      <c r="L163" s="1510"/>
      <c r="M163" s="1510"/>
      <c r="N163" s="1510"/>
      <c r="O163" s="1510"/>
      <c r="P163" s="1510"/>
      <c r="Q163" s="1510"/>
      <c r="S163" s="1507">
        <v>18.28</v>
      </c>
      <c r="T163" s="1507"/>
      <c r="U163" s="1507"/>
      <c r="V163" s="1507"/>
    </row>
    <row r="164" spans="3:29" ht="1.5" customHeight="1" x14ac:dyDescent="0.25"/>
    <row r="165" spans="3:29" ht="10.5" customHeight="1" x14ac:dyDescent="0.25">
      <c r="C165" s="1506" t="s">
        <v>6237</v>
      </c>
      <c r="D165" s="1506"/>
      <c r="E165" s="1506"/>
      <c r="F165" s="1506"/>
      <c r="G165" s="1506"/>
      <c r="H165" s="1506"/>
      <c r="I165" s="1510" t="s">
        <v>1011</v>
      </c>
      <c r="J165" s="1510"/>
      <c r="K165" s="1510"/>
      <c r="L165" s="1510"/>
      <c r="M165" s="1510"/>
      <c r="N165" s="1510"/>
      <c r="O165" s="1510"/>
      <c r="P165" s="1510"/>
      <c r="Q165" s="1510"/>
      <c r="S165" s="1507">
        <v>26269.41</v>
      </c>
      <c r="T165" s="1507"/>
      <c r="U165" s="1507"/>
      <c r="V165" s="1507"/>
    </row>
    <row r="166" spans="3:29" ht="1.5" customHeight="1" x14ac:dyDescent="0.25"/>
    <row r="167" spans="3:29" ht="10.5" customHeight="1" x14ac:dyDescent="0.25">
      <c r="C167" s="1506" t="s">
        <v>6238</v>
      </c>
      <c r="D167" s="1506"/>
      <c r="E167" s="1506"/>
      <c r="F167" s="1506"/>
      <c r="G167" s="1506"/>
      <c r="H167" s="1506"/>
      <c r="I167" s="1510" t="s">
        <v>1005</v>
      </c>
      <c r="J167" s="1510"/>
      <c r="K167" s="1510"/>
      <c r="L167" s="1510"/>
      <c r="M167" s="1510"/>
      <c r="N167" s="1510"/>
      <c r="O167" s="1510"/>
      <c r="P167" s="1510"/>
      <c r="Q167" s="1510"/>
      <c r="S167" s="1507">
        <v>6791.98</v>
      </c>
      <c r="T167" s="1507"/>
      <c r="U167" s="1507"/>
      <c r="V167" s="1507"/>
    </row>
    <row r="168" spans="3:29" ht="0.75" customHeight="1" x14ac:dyDescent="0.25"/>
    <row r="169" spans="3:29" ht="11.25" customHeight="1" x14ac:dyDescent="0.25">
      <c r="C169" s="1506" t="s">
        <v>2109</v>
      </c>
      <c r="D169" s="1506"/>
      <c r="E169" s="1506"/>
      <c r="F169" s="1506"/>
      <c r="G169" s="1506"/>
      <c r="H169" s="1506"/>
      <c r="I169" s="1510" t="s">
        <v>94</v>
      </c>
      <c r="J169" s="1510"/>
      <c r="K169" s="1510"/>
      <c r="L169" s="1510"/>
      <c r="M169" s="1510"/>
      <c r="N169" s="1510"/>
      <c r="O169" s="1510"/>
      <c r="P169" s="1510"/>
      <c r="Q169" s="1510"/>
      <c r="Z169" s="1507">
        <v>227512.7</v>
      </c>
      <c r="AA169" s="1507"/>
      <c r="AB169" s="1507"/>
      <c r="AC169" s="1507"/>
    </row>
    <row r="170" spans="3:29" ht="1.5" customHeight="1" x14ac:dyDescent="0.25"/>
    <row r="171" spans="3:29" ht="11.25" customHeight="1" x14ac:dyDescent="0.25">
      <c r="C171" s="1506" t="s">
        <v>2111</v>
      </c>
      <c r="D171" s="1506"/>
      <c r="E171" s="1506"/>
      <c r="F171" s="1506"/>
      <c r="G171" s="1506"/>
      <c r="H171" s="1506"/>
      <c r="I171" s="1510" t="s">
        <v>2108</v>
      </c>
      <c r="J171" s="1510"/>
      <c r="K171" s="1510"/>
      <c r="L171" s="1510"/>
      <c r="M171" s="1510"/>
      <c r="N171" s="1510"/>
      <c r="O171" s="1510"/>
      <c r="P171" s="1510"/>
      <c r="Q171" s="1510"/>
      <c r="S171" s="1507">
        <v>204288.04</v>
      </c>
      <c r="T171" s="1507"/>
      <c r="U171" s="1507"/>
      <c r="V171" s="1507"/>
    </row>
    <row r="172" spans="3:29" ht="1.5" customHeight="1" x14ac:dyDescent="0.25"/>
    <row r="173" spans="3:29" ht="10.5" customHeight="1" x14ac:dyDescent="0.25">
      <c r="C173" s="1506" t="s">
        <v>6240</v>
      </c>
      <c r="D173" s="1506"/>
      <c r="E173" s="1506"/>
      <c r="F173" s="1506"/>
      <c r="G173" s="1506"/>
      <c r="H173" s="1506"/>
      <c r="I173" s="1510" t="s">
        <v>1046</v>
      </c>
      <c r="J173" s="1510"/>
      <c r="K173" s="1510"/>
      <c r="L173" s="1510"/>
      <c r="M173" s="1510"/>
      <c r="N173" s="1510"/>
      <c r="O173" s="1510"/>
      <c r="P173" s="1510"/>
      <c r="Q173" s="1510"/>
      <c r="S173" s="1507">
        <v>9714.6</v>
      </c>
      <c r="T173" s="1507"/>
      <c r="U173" s="1507"/>
      <c r="V173" s="1507"/>
    </row>
    <row r="174" spans="3:29" ht="1.5" customHeight="1" x14ac:dyDescent="0.25"/>
    <row r="175" spans="3:29" ht="10.5" customHeight="1" x14ac:dyDescent="0.25">
      <c r="C175" s="1506" t="s">
        <v>6241</v>
      </c>
      <c r="D175" s="1506"/>
      <c r="E175" s="1506"/>
      <c r="F175" s="1506"/>
      <c r="G175" s="1506"/>
      <c r="H175" s="1506"/>
      <c r="I175" s="1510" t="s">
        <v>996</v>
      </c>
      <c r="J175" s="1510"/>
      <c r="K175" s="1510"/>
      <c r="L175" s="1510"/>
      <c r="M175" s="1510"/>
      <c r="N175" s="1510"/>
      <c r="O175" s="1510"/>
      <c r="P175" s="1510"/>
      <c r="Q175" s="1510"/>
      <c r="S175" s="1507">
        <v>18427.38</v>
      </c>
      <c r="T175" s="1507"/>
      <c r="U175" s="1507"/>
      <c r="V175" s="1507"/>
    </row>
    <row r="176" spans="3:29" ht="1.5" customHeight="1" x14ac:dyDescent="0.25"/>
    <row r="177" spans="3:22" ht="10.5" customHeight="1" x14ac:dyDescent="0.25">
      <c r="C177" s="1506" t="s">
        <v>6242</v>
      </c>
      <c r="D177" s="1506"/>
      <c r="E177" s="1506"/>
      <c r="F177" s="1506"/>
      <c r="G177" s="1506"/>
      <c r="H177" s="1506"/>
      <c r="I177" s="1510" t="s">
        <v>1021</v>
      </c>
      <c r="J177" s="1510"/>
      <c r="K177" s="1510"/>
      <c r="L177" s="1510"/>
      <c r="M177" s="1510"/>
      <c r="N177" s="1510"/>
      <c r="O177" s="1510"/>
      <c r="P177" s="1510"/>
      <c r="Q177" s="1510"/>
      <c r="S177" s="1507">
        <v>30338.43</v>
      </c>
      <c r="T177" s="1507"/>
      <c r="U177" s="1507"/>
      <c r="V177" s="1507"/>
    </row>
    <row r="178" spans="3:22" ht="1.5" customHeight="1" x14ac:dyDescent="0.25"/>
    <row r="179" spans="3:22" ht="10.5" customHeight="1" x14ac:dyDescent="0.25">
      <c r="C179" s="1506" t="s">
        <v>6243</v>
      </c>
      <c r="D179" s="1506"/>
      <c r="E179" s="1506"/>
      <c r="F179" s="1506"/>
      <c r="G179" s="1506"/>
      <c r="H179" s="1506"/>
      <c r="I179" s="1510" t="s">
        <v>1044</v>
      </c>
      <c r="J179" s="1510"/>
      <c r="K179" s="1510"/>
      <c r="L179" s="1510"/>
      <c r="M179" s="1510"/>
      <c r="N179" s="1510"/>
      <c r="O179" s="1510"/>
      <c r="P179" s="1510"/>
      <c r="Q179" s="1510"/>
      <c r="S179" s="1507">
        <v>3040.51</v>
      </c>
      <c r="T179" s="1507"/>
      <c r="U179" s="1507"/>
      <c r="V179" s="1507"/>
    </row>
    <row r="180" spans="3:22" ht="10.5" customHeight="1" x14ac:dyDescent="0.25">
      <c r="C180" s="1506" t="s">
        <v>6244</v>
      </c>
      <c r="D180" s="1506"/>
      <c r="E180" s="1506"/>
      <c r="F180" s="1506"/>
      <c r="G180" s="1506"/>
      <c r="H180" s="1506"/>
      <c r="I180" s="1510" t="s">
        <v>993</v>
      </c>
      <c r="J180" s="1510"/>
      <c r="K180" s="1510"/>
      <c r="L180" s="1510"/>
      <c r="M180" s="1510"/>
      <c r="N180" s="1510"/>
      <c r="O180" s="1510"/>
      <c r="P180" s="1510"/>
      <c r="Q180" s="1510"/>
      <c r="S180" s="1507">
        <v>35362.33</v>
      </c>
      <c r="T180" s="1507"/>
      <c r="U180" s="1507"/>
      <c r="V180" s="1507"/>
    </row>
    <row r="181" spans="3:22" ht="1.5" customHeight="1" x14ac:dyDescent="0.25"/>
    <row r="182" spans="3:22" ht="10.5" customHeight="1" x14ac:dyDescent="0.25">
      <c r="C182" s="1506" t="s">
        <v>6245</v>
      </c>
      <c r="D182" s="1506"/>
      <c r="E182" s="1506"/>
      <c r="F182" s="1506"/>
      <c r="G182" s="1506"/>
      <c r="H182" s="1506"/>
      <c r="I182" s="1510" t="s">
        <v>6307</v>
      </c>
      <c r="J182" s="1510"/>
      <c r="K182" s="1510"/>
      <c r="L182" s="1510"/>
      <c r="M182" s="1510"/>
      <c r="N182" s="1510"/>
      <c r="O182" s="1510"/>
      <c r="P182" s="1510"/>
      <c r="Q182" s="1510"/>
      <c r="S182" s="1507">
        <v>92475.38</v>
      </c>
      <c r="T182" s="1507"/>
      <c r="U182" s="1507"/>
      <c r="V182" s="1507"/>
    </row>
    <row r="183" spans="3:22" ht="1.5" customHeight="1" x14ac:dyDescent="0.25"/>
    <row r="184" spans="3:22" ht="10.5" customHeight="1" x14ac:dyDescent="0.25">
      <c r="C184" s="1506" t="s">
        <v>6231</v>
      </c>
      <c r="D184" s="1506"/>
      <c r="E184" s="1506"/>
      <c r="F184" s="1506"/>
      <c r="G184" s="1506"/>
      <c r="H184" s="1506"/>
      <c r="I184" s="1510" t="s">
        <v>990</v>
      </c>
      <c r="J184" s="1510"/>
      <c r="K184" s="1510"/>
      <c r="L184" s="1510"/>
      <c r="M184" s="1510"/>
      <c r="N184" s="1510"/>
      <c r="O184" s="1510"/>
      <c r="P184" s="1510"/>
      <c r="Q184" s="1510"/>
      <c r="S184" s="1507">
        <v>8740.84</v>
      </c>
      <c r="T184" s="1507"/>
      <c r="U184" s="1507"/>
      <c r="V184" s="1507"/>
    </row>
    <row r="185" spans="3:22" ht="1.5" customHeight="1" x14ac:dyDescent="0.25"/>
    <row r="186" spans="3:22" ht="10.5" customHeight="1" x14ac:dyDescent="0.25">
      <c r="C186" s="1506" t="s">
        <v>6247</v>
      </c>
      <c r="D186" s="1506"/>
      <c r="E186" s="1506"/>
      <c r="F186" s="1506"/>
      <c r="G186" s="1506"/>
      <c r="H186" s="1506"/>
      <c r="I186" s="1510" t="s">
        <v>6042</v>
      </c>
      <c r="J186" s="1510"/>
      <c r="K186" s="1510"/>
      <c r="L186" s="1510"/>
      <c r="M186" s="1510"/>
      <c r="N186" s="1510"/>
      <c r="O186" s="1510"/>
      <c r="P186" s="1510"/>
      <c r="Q186" s="1510"/>
      <c r="S186" s="1507">
        <v>2013.55</v>
      </c>
      <c r="T186" s="1507"/>
      <c r="U186" s="1507"/>
      <c r="V186" s="1507"/>
    </row>
    <row r="187" spans="3:22" ht="1.5" customHeight="1" x14ac:dyDescent="0.25"/>
    <row r="188" spans="3:22" ht="10.5" customHeight="1" x14ac:dyDescent="0.25">
      <c r="C188" s="1506" t="s">
        <v>6248</v>
      </c>
      <c r="D188" s="1506"/>
      <c r="E188" s="1506"/>
      <c r="F188" s="1506"/>
      <c r="G188" s="1506"/>
      <c r="H188" s="1506"/>
      <c r="I188" s="1510" t="s">
        <v>985</v>
      </c>
      <c r="J188" s="1510"/>
      <c r="K188" s="1510"/>
      <c r="L188" s="1510"/>
      <c r="M188" s="1510"/>
      <c r="N188" s="1510"/>
      <c r="O188" s="1510"/>
      <c r="P188" s="1510"/>
      <c r="Q188" s="1510"/>
      <c r="S188" s="1507">
        <v>4175.0200000000004</v>
      </c>
      <c r="T188" s="1507"/>
      <c r="U188" s="1507"/>
      <c r="V188" s="1507"/>
    </row>
    <row r="189" spans="3:22" ht="1.5" customHeight="1" x14ac:dyDescent="0.25"/>
    <row r="190" spans="3:22" ht="11.25" customHeight="1" x14ac:dyDescent="0.25">
      <c r="C190" s="1506" t="s">
        <v>6416</v>
      </c>
      <c r="D190" s="1506"/>
      <c r="E190" s="1506"/>
      <c r="F190" s="1506"/>
      <c r="G190" s="1506"/>
      <c r="H190" s="1506"/>
      <c r="I190" s="1510" t="s">
        <v>6417</v>
      </c>
      <c r="J190" s="1510"/>
      <c r="K190" s="1510"/>
      <c r="L190" s="1510"/>
      <c r="M190" s="1510"/>
      <c r="N190" s="1510"/>
      <c r="O190" s="1510"/>
      <c r="P190" s="1510"/>
      <c r="Q190" s="1510"/>
      <c r="S190" s="1507">
        <v>23224.66</v>
      </c>
      <c r="T190" s="1507"/>
      <c r="U190" s="1507"/>
      <c r="V190" s="1507"/>
    </row>
    <row r="191" spans="3:22" ht="1.5" customHeight="1" x14ac:dyDescent="0.25"/>
    <row r="192" spans="3:22" ht="10.5" customHeight="1" x14ac:dyDescent="0.25">
      <c r="C192" s="1506" t="s">
        <v>6256</v>
      </c>
      <c r="D192" s="1506"/>
      <c r="E192" s="1506"/>
      <c r="F192" s="1506"/>
      <c r="G192" s="1506"/>
      <c r="H192" s="1506"/>
      <c r="I192" s="1510" t="s">
        <v>996</v>
      </c>
      <c r="J192" s="1510"/>
      <c r="K192" s="1510"/>
      <c r="L192" s="1510"/>
      <c r="M192" s="1510"/>
      <c r="N192" s="1510"/>
      <c r="O192" s="1510"/>
      <c r="P192" s="1510"/>
      <c r="Q192" s="1510"/>
      <c r="S192" s="1507">
        <v>9862.33</v>
      </c>
      <c r="T192" s="1507"/>
      <c r="U192" s="1507"/>
      <c r="V192" s="1507"/>
    </row>
    <row r="193" spans="3:33" ht="1.5" customHeight="1" x14ac:dyDescent="0.25"/>
    <row r="194" spans="3:33" ht="10.5" customHeight="1" x14ac:dyDescent="0.25">
      <c r="C194" s="1506" t="s">
        <v>6325</v>
      </c>
      <c r="D194" s="1506"/>
      <c r="E194" s="1506"/>
      <c r="F194" s="1506"/>
      <c r="G194" s="1506"/>
      <c r="H194" s="1506"/>
      <c r="I194" s="1510" t="s">
        <v>6419</v>
      </c>
      <c r="J194" s="1510"/>
      <c r="K194" s="1510"/>
      <c r="L194" s="1510"/>
      <c r="M194" s="1510"/>
      <c r="N194" s="1510"/>
      <c r="O194" s="1510"/>
      <c r="P194" s="1510"/>
      <c r="Q194" s="1510"/>
      <c r="S194" s="1507">
        <v>13362.33</v>
      </c>
      <c r="T194" s="1507"/>
      <c r="U194" s="1507"/>
      <c r="V194" s="1507"/>
    </row>
    <row r="195" spans="3:33" ht="9" customHeight="1" x14ac:dyDescent="0.25"/>
    <row r="196" spans="3:33" ht="1.5" customHeight="1" x14ac:dyDescent="0.25"/>
    <row r="197" spans="3:33" ht="10.5" customHeight="1" x14ac:dyDescent="0.25">
      <c r="C197" s="1506" t="s">
        <v>2112</v>
      </c>
      <c r="D197" s="1506"/>
      <c r="E197" s="1506"/>
      <c r="F197" s="1506"/>
      <c r="G197" s="1506"/>
      <c r="H197" s="1506"/>
      <c r="I197" s="1510" t="s">
        <v>2113</v>
      </c>
      <c r="J197" s="1510"/>
      <c r="K197" s="1510"/>
      <c r="L197" s="1510"/>
      <c r="M197" s="1510"/>
      <c r="N197" s="1510"/>
      <c r="O197" s="1510"/>
      <c r="P197" s="1510"/>
      <c r="Q197" s="1510"/>
      <c r="AF197" s="1507">
        <v>293767.13</v>
      </c>
      <c r="AG197" s="1507"/>
    </row>
    <row r="198" spans="3:33" ht="0.75" customHeight="1" x14ac:dyDescent="0.25"/>
    <row r="199" spans="3:33" ht="11.25" customHeight="1" x14ac:dyDescent="0.25">
      <c r="C199" s="1506" t="s">
        <v>2114</v>
      </c>
      <c r="D199" s="1506"/>
      <c r="E199" s="1506"/>
      <c r="F199" s="1506"/>
      <c r="G199" s="1506"/>
      <c r="H199" s="1506"/>
      <c r="I199" s="1510" t="s">
        <v>95</v>
      </c>
      <c r="J199" s="1510"/>
      <c r="K199" s="1510"/>
      <c r="L199" s="1510"/>
      <c r="M199" s="1510"/>
      <c r="N199" s="1510"/>
      <c r="O199" s="1510"/>
      <c r="P199" s="1510"/>
      <c r="Q199" s="1510"/>
      <c r="Z199" s="1507">
        <v>293767.13</v>
      </c>
      <c r="AA199" s="1507"/>
      <c r="AB199" s="1507"/>
      <c r="AC199" s="1507"/>
    </row>
    <row r="200" spans="3:33" ht="1.5" customHeight="1" x14ac:dyDescent="0.25"/>
    <row r="201" spans="3:33" ht="11.25" customHeight="1" x14ac:dyDescent="0.25">
      <c r="C201" s="1506" t="s">
        <v>2119</v>
      </c>
      <c r="D201" s="1506"/>
      <c r="E201" s="1506"/>
      <c r="F201" s="1506"/>
      <c r="G201" s="1506"/>
      <c r="H201" s="1506"/>
      <c r="I201" s="1510" t="s">
        <v>2120</v>
      </c>
      <c r="J201" s="1510"/>
      <c r="K201" s="1510"/>
      <c r="L201" s="1510"/>
      <c r="M201" s="1510"/>
      <c r="N201" s="1510"/>
      <c r="O201" s="1510"/>
      <c r="P201" s="1510"/>
      <c r="Q201" s="1510"/>
      <c r="S201" s="1507">
        <v>6</v>
      </c>
      <c r="T201" s="1507"/>
      <c r="U201" s="1507"/>
      <c r="V201" s="1507"/>
    </row>
    <row r="202" spans="3:33" ht="1.5" customHeight="1" x14ac:dyDescent="0.25"/>
    <row r="203" spans="3:33" ht="10.5" customHeight="1" x14ac:dyDescent="0.25">
      <c r="C203" s="1506" t="s">
        <v>6266</v>
      </c>
      <c r="D203" s="1506"/>
      <c r="E203" s="1506"/>
      <c r="F203" s="1506"/>
      <c r="G203" s="1506"/>
      <c r="H203" s="1506"/>
      <c r="I203" s="1510" t="s">
        <v>985</v>
      </c>
      <c r="J203" s="1510"/>
      <c r="K203" s="1510"/>
      <c r="L203" s="1510"/>
      <c r="M203" s="1510"/>
      <c r="N203" s="1510"/>
      <c r="O203" s="1510"/>
      <c r="P203" s="1510"/>
      <c r="Q203" s="1510"/>
      <c r="S203" s="1507">
        <v>6</v>
      </c>
      <c r="T203" s="1507"/>
      <c r="U203" s="1507"/>
      <c r="V203" s="1507"/>
    </row>
    <row r="204" spans="3:33" ht="1.5" customHeight="1" x14ac:dyDescent="0.25"/>
    <row r="205" spans="3:33" ht="11.25" customHeight="1" x14ac:dyDescent="0.25">
      <c r="C205" s="1506" t="s">
        <v>2115</v>
      </c>
      <c r="D205" s="1506"/>
      <c r="E205" s="1506"/>
      <c r="F205" s="1506"/>
      <c r="G205" s="1506"/>
      <c r="H205" s="1506"/>
      <c r="I205" s="1510" t="s">
        <v>2108</v>
      </c>
      <c r="J205" s="1510"/>
      <c r="K205" s="1510"/>
      <c r="L205" s="1510"/>
      <c r="M205" s="1510"/>
      <c r="N205" s="1510"/>
      <c r="O205" s="1510"/>
      <c r="P205" s="1510"/>
      <c r="Q205" s="1510"/>
      <c r="S205" s="1507">
        <v>293761.13</v>
      </c>
      <c r="T205" s="1507"/>
      <c r="U205" s="1507"/>
      <c r="V205" s="1507"/>
    </row>
    <row r="206" spans="3:33" ht="1.5" customHeight="1" x14ac:dyDescent="0.25"/>
    <row r="207" spans="3:33" ht="10.5" customHeight="1" x14ac:dyDescent="0.25">
      <c r="C207" s="1506" t="s">
        <v>6232</v>
      </c>
      <c r="D207" s="1506"/>
      <c r="E207" s="1506"/>
      <c r="F207" s="1506"/>
      <c r="G207" s="1506"/>
      <c r="H207" s="1506"/>
      <c r="I207" s="1510" t="s">
        <v>996</v>
      </c>
      <c r="J207" s="1510"/>
      <c r="K207" s="1510"/>
      <c r="L207" s="1510"/>
      <c r="M207" s="1510"/>
      <c r="N207" s="1510"/>
      <c r="O207" s="1510"/>
      <c r="P207" s="1510"/>
      <c r="Q207" s="1510"/>
      <c r="S207" s="1507">
        <v>6</v>
      </c>
      <c r="T207" s="1507"/>
      <c r="U207" s="1507"/>
      <c r="V207" s="1507"/>
    </row>
    <row r="208" spans="3:33" ht="1.5" customHeight="1" x14ac:dyDescent="0.25"/>
    <row r="209" spans="3:33" ht="10.5" customHeight="1" x14ac:dyDescent="0.25">
      <c r="C209" s="1506" t="s">
        <v>6233</v>
      </c>
      <c r="D209" s="1506"/>
      <c r="E209" s="1506"/>
      <c r="F209" s="1506"/>
      <c r="G209" s="1506"/>
      <c r="H209" s="1506"/>
      <c r="I209" s="1510" t="s">
        <v>993</v>
      </c>
      <c r="J209" s="1510"/>
      <c r="K209" s="1510"/>
      <c r="L209" s="1510"/>
      <c r="M209" s="1510"/>
      <c r="N209" s="1510"/>
      <c r="O209" s="1510"/>
      <c r="P209" s="1510"/>
      <c r="Q209" s="1510"/>
      <c r="S209" s="1507">
        <v>6</v>
      </c>
      <c r="T209" s="1507"/>
      <c r="U209" s="1507"/>
      <c r="V209" s="1507"/>
    </row>
    <row r="210" spans="3:33" ht="1.5" customHeight="1" x14ac:dyDescent="0.25"/>
    <row r="211" spans="3:33" ht="10.5" customHeight="1" x14ac:dyDescent="0.25">
      <c r="C211" s="1506" t="s">
        <v>6234</v>
      </c>
      <c r="D211" s="1506"/>
      <c r="E211" s="1506"/>
      <c r="F211" s="1506"/>
      <c r="G211" s="1506"/>
      <c r="H211" s="1506"/>
      <c r="I211" s="1510" t="s">
        <v>1053</v>
      </c>
      <c r="J211" s="1510"/>
      <c r="K211" s="1510"/>
      <c r="L211" s="1510"/>
      <c r="M211" s="1510"/>
      <c r="N211" s="1510"/>
      <c r="O211" s="1510"/>
      <c r="P211" s="1510"/>
      <c r="Q211" s="1510"/>
      <c r="S211" s="1507">
        <v>110</v>
      </c>
      <c r="T211" s="1507"/>
      <c r="U211" s="1507"/>
      <c r="V211" s="1507"/>
    </row>
    <row r="212" spans="3:33" ht="1.5" customHeight="1" x14ac:dyDescent="0.25"/>
    <row r="213" spans="3:33" ht="10.5" customHeight="1" x14ac:dyDescent="0.25">
      <c r="C213" s="1506" t="s">
        <v>6251</v>
      </c>
      <c r="D213" s="1506"/>
      <c r="E213" s="1506"/>
      <c r="F213" s="1506"/>
      <c r="G213" s="1506"/>
      <c r="H213" s="1506"/>
      <c r="I213" s="1510" t="s">
        <v>1029</v>
      </c>
      <c r="J213" s="1510"/>
      <c r="K213" s="1510"/>
      <c r="L213" s="1510"/>
      <c r="M213" s="1510"/>
      <c r="N213" s="1510"/>
      <c r="O213" s="1510"/>
      <c r="P213" s="1510"/>
      <c r="Q213" s="1510"/>
      <c r="S213" s="1507">
        <v>75242.600000000006</v>
      </c>
      <c r="T213" s="1507"/>
      <c r="U213" s="1507"/>
      <c r="V213" s="1507"/>
    </row>
    <row r="214" spans="3:33" ht="1.5" customHeight="1" x14ac:dyDescent="0.25"/>
    <row r="215" spans="3:33" ht="10.5" customHeight="1" x14ac:dyDescent="0.25">
      <c r="C215" s="1506" t="s">
        <v>6235</v>
      </c>
      <c r="D215" s="1506"/>
      <c r="E215" s="1506"/>
      <c r="F215" s="1506"/>
      <c r="G215" s="1506"/>
      <c r="H215" s="1506"/>
      <c r="I215" s="1510" t="s">
        <v>997</v>
      </c>
      <c r="J215" s="1510"/>
      <c r="K215" s="1510"/>
      <c r="L215" s="1510"/>
      <c r="M215" s="1510"/>
      <c r="N215" s="1510"/>
      <c r="O215" s="1510"/>
      <c r="P215" s="1510"/>
      <c r="Q215" s="1510"/>
      <c r="S215" s="1507">
        <v>218396.53</v>
      </c>
      <c r="T215" s="1507"/>
      <c r="U215" s="1507"/>
      <c r="V215" s="1507"/>
    </row>
    <row r="216" spans="3:33" ht="9" customHeight="1" x14ac:dyDescent="0.25"/>
    <row r="217" spans="3:33" ht="4.5" customHeight="1" x14ac:dyDescent="0.25"/>
    <row r="218" spans="3:33" ht="12" customHeight="1" x14ac:dyDescent="0.25">
      <c r="P218" s="1420" t="s">
        <v>2116</v>
      </c>
      <c r="Q218" s="1420"/>
      <c r="R218" s="1420"/>
      <c r="S218" s="1420"/>
      <c r="T218" s="1420"/>
      <c r="U218" s="1420"/>
      <c r="V218" s="1420"/>
      <c r="W218" s="1420"/>
      <c r="AE218" s="1425">
        <v>649362.38</v>
      </c>
      <c r="AF218" s="1425"/>
      <c r="AG218" s="1425"/>
    </row>
    <row r="219" spans="3:33" ht="6.75" customHeight="1" x14ac:dyDescent="0.25"/>
    <row r="220" spans="3:33" ht="0.75" customHeight="1" x14ac:dyDescent="0.25"/>
    <row r="221" spans="3:33" ht="13.5" customHeight="1" x14ac:dyDescent="0.25">
      <c r="C221" s="182" t="s">
        <v>1986</v>
      </c>
      <c r="E221" s="1511">
        <v>4</v>
      </c>
      <c r="F221" s="1511"/>
      <c r="H221" s="1506" t="s">
        <v>919</v>
      </c>
      <c r="I221" s="1506"/>
      <c r="J221" s="1506"/>
      <c r="K221" s="1506"/>
      <c r="L221" s="1506"/>
      <c r="M221" s="1506"/>
      <c r="N221" s="1506"/>
      <c r="O221" s="1506"/>
      <c r="P221" s="1506"/>
      <c r="Q221" s="1506"/>
    </row>
    <row r="222" spans="3:33" ht="12" customHeight="1" x14ac:dyDescent="0.25">
      <c r="C222" s="182" t="s">
        <v>458</v>
      </c>
      <c r="E222" s="1511">
        <v>4</v>
      </c>
      <c r="F222" s="1511"/>
      <c r="H222" s="1506" t="s">
        <v>11853</v>
      </c>
      <c r="I222" s="1506"/>
      <c r="J222" s="1506"/>
      <c r="K222" s="1506"/>
      <c r="L222" s="1506"/>
      <c r="M222" s="1506"/>
      <c r="N222" s="1506"/>
      <c r="O222" s="1506"/>
      <c r="P222" s="1506"/>
      <c r="Q222" s="1506"/>
    </row>
    <row r="223" spans="3:33" ht="1.5" customHeight="1" x14ac:dyDescent="0.25"/>
    <row r="224" spans="3:33" ht="10.5" customHeight="1" x14ac:dyDescent="0.25">
      <c r="C224" s="1506" t="s">
        <v>2104</v>
      </c>
      <c r="D224" s="1506"/>
      <c r="E224" s="1506"/>
      <c r="F224" s="1506"/>
      <c r="G224" s="1506"/>
      <c r="H224" s="1506"/>
      <c r="I224" s="1510" t="s">
        <v>2105</v>
      </c>
      <c r="J224" s="1510"/>
      <c r="K224" s="1510"/>
      <c r="L224" s="1510"/>
      <c r="M224" s="1510"/>
      <c r="N224" s="1510"/>
      <c r="O224" s="1510"/>
      <c r="P224" s="1510"/>
      <c r="Q224" s="1510"/>
      <c r="AF224" s="1507">
        <v>185508.28</v>
      </c>
      <c r="AG224" s="1507"/>
    </row>
    <row r="225" spans="3:29" ht="0.75" customHeight="1" x14ac:dyDescent="0.25"/>
    <row r="226" spans="3:29" ht="11.25" customHeight="1" x14ac:dyDescent="0.25">
      <c r="C226" s="1506" t="s">
        <v>2106</v>
      </c>
      <c r="D226" s="1506"/>
      <c r="E226" s="1506"/>
      <c r="F226" s="1506"/>
      <c r="G226" s="1506"/>
      <c r="H226" s="1506"/>
      <c r="I226" s="1510" t="s">
        <v>2075</v>
      </c>
      <c r="J226" s="1510"/>
      <c r="K226" s="1510"/>
      <c r="L226" s="1510"/>
      <c r="M226" s="1510"/>
      <c r="N226" s="1510"/>
      <c r="O226" s="1510"/>
      <c r="P226" s="1510"/>
      <c r="Q226" s="1510"/>
      <c r="Z226" s="1507">
        <v>3985.48</v>
      </c>
      <c r="AA226" s="1507"/>
      <c r="AB226" s="1507"/>
      <c r="AC226" s="1507"/>
    </row>
    <row r="227" spans="3:29" ht="1.5" customHeight="1" x14ac:dyDescent="0.25"/>
    <row r="228" spans="3:29" ht="11.25" customHeight="1" x14ac:dyDescent="0.25">
      <c r="C228" s="1506" t="s">
        <v>2107</v>
      </c>
      <c r="D228" s="1506"/>
      <c r="E228" s="1506"/>
      <c r="F228" s="1506"/>
      <c r="G228" s="1506"/>
      <c r="H228" s="1506"/>
      <c r="I228" s="1510" t="s">
        <v>2108</v>
      </c>
      <c r="J228" s="1510"/>
      <c r="K228" s="1510"/>
      <c r="L228" s="1510"/>
      <c r="M228" s="1510"/>
      <c r="N228" s="1510"/>
      <c r="O228" s="1510"/>
      <c r="P228" s="1510"/>
      <c r="Q228" s="1510"/>
      <c r="S228" s="1507">
        <v>3985.48</v>
      </c>
      <c r="T228" s="1507"/>
      <c r="U228" s="1507"/>
      <c r="V228" s="1507"/>
    </row>
    <row r="229" spans="3:29" ht="1.5" customHeight="1" x14ac:dyDescent="0.25"/>
    <row r="230" spans="3:29" ht="10.5" customHeight="1" x14ac:dyDescent="0.25">
      <c r="C230" s="1506" t="s">
        <v>6253</v>
      </c>
      <c r="D230" s="1506"/>
      <c r="E230" s="1506"/>
      <c r="F230" s="1506"/>
      <c r="G230" s="1506"/>
      <c r="H230" s="1506"/>
      <c r="I230" s="1510" t="s">
        <v>1012</v>
      </c>
      <c r="J230" s="1510"/>
      <c r="K230" s="1510"/>
      <c r="L230" s="1510"/>
      <c r="M230" s="1510"/>
      <c r="N230" s="1510"/>
      <c r="O230" s="1510"/>
      <c r="P230" s="1510"/>
      <c r="Q230" s="1510"/>
      <c r="S230" s="1507">
        <v>1</v>
      </c>
      <c r="T230" s="1507"/>
      <c r="U230" s="1507"/>
      <c r="V230" s="1507"/>
    </row>
    <row r="231" spans="3:29" ht="1.5" customHeight="1" x14ac:dyDescent="0.25"/>
    <row r="232" spans="3:29" ht="10.5" customHeight="1" x14ac:dyDescent="0.25">
      <c r="C232" s="1506" t="s">
        <v>6236</v>
      </c>
      <c r="D232" s="1506"/>
      <c r="E232" s="1506"/>
      <c r="F232" s="1506"/>
      <c r="G232" s="1506"/>
      <c r="H232" s="1506"/>
      <c r="I232" s="1510" t="s">
        <v>1009</v>
      </c>
      <c r="J232" s="1510"/>
      <c r="K232" s="1510"/>
      <c r="L232" s="1510"/>
      <c r="M232" s="1510"/>
      <c r="N232" s="1510"/>
      <c r="O232" s="1510"/>
      <c r="P232" s="1510"/>
      <c r="Q232" s="1510"/>
      <c r="S232" s="1507">
        <v>3982.48</v>
      </c>
      <c r="T232" s="1507"/>
      <c r="U232" s="1507"/>
      <c r="V232" s="1507"/>
    </row>
    <row r="233" spans="3:29" ht="1.5" customHeight="1" x14ac:dyDescent="0.25"/>
    <row r="234" spans="3:29" ht="10.5" customHeight="1" x14ac:dyDescent="0.25">
      <c r="C234" s="1506" t="s">
        <v>6237</v>
      </c>
      <c r="D234" s="1506"/>
      <c r="E234" s="1506"/>
      <c r="F234" s="1506"/>
      <c r="G234" s="1506"/>
      <c r="H234" s="1506"/>
      <c r="I234" s="1510" t="s">
        <v>1011</v>
      </c>
      <c r="J234" s="1510"/>
      <c r="K234" s="1510"/>
      <c r="L234" s="1510"/>
      <c r="M234" s="1510"/>
      <c r="N234" s="1510"/>
      <c r="O234" s="1510"/>
      <c r="P234" s="1510"/>
      <c r="Q234" s="1510"/>
      <c r="S234" s="1507">
        <v>1</v>
      </c>
      <c r="T234" s="1507"/>
      <c r="U234" s="1507"/>
      <c r="V234" s="1507"/>
    </row>
    <row r="235" spans="3:29" ht="1.5" customHeight="1" x14ac:dyDescent="0.25"/>
    <row r="236" spans="3:29" ht="10.5" customHeight="1" x14ac:dyDescent="0.25">
      <c r="C236" s="1506" t="s">
        <v>6238</v>
      </c>
      <c r="D236" s="1506"/>
      <c r="E236" s="1506"/>
      <c r="F236" s="1506"/>
      <c r="G236" s="1506"/>
      <c r="H236" s="1506"/>
      <c r="I236" s="1510" t="s">
        <v>1005</v>
      </c>
      <c r="J236" s="1510"/>
      <c r="K236" s="1510"/>
      <c r="L236" s="1510"/>
      <c r="M236" s="1510"/>
      <c r="N236" s="1510"/>
      <c r="O236" s="1510"/>
      <c r="P236" s="1510"/>
      <c r="Q236" s="1510"/>
      <c r="S236" s="1507">
        <v>1</v>
      </c>
      <c r="T236" s="1507"/>
      <c r="U236" s="1507"/>
      <c r="V236" s="1507"/>
    </row>
    <row r="237" spans="3:29" ht="0.75" customHeight="1" x14ac:dyDescent="0.25"/>
    <row r="238" spans="3:29" ht="11.25" customHeight="1" x14ac:dyDescent="0.25">
      <c r="C238" s="1506" t="s">
        <v>2109</v>
      </c>
      <c r="D238" s="1506"/>
      <c r="E238" s="1506"/>
      <c r="F238" s="1506"/>
      <c r="G238" s="1506"/>
      <c r="H238" s="1506"/>
      <c r="I238" s="1510" t="s">
        <v>94</v>
      </c>
      <c r="J238" s="1510"/>
      <c r="K238" s="1510"/>
      <c r="L238" s="1510"/>
      <c r="M238" s="1510"/>
      <c r="N238" s="1510"/>
      <c r="O238" s="1510"/>
      <c r="P238" s="1510"/>
      <c r="Q238" s="1510"/>
      <c r="Z238" s="1507">
        <v>181522.8</v>
      </c>
      <c r="AA238" s="1507"/>
      <c r="AB238" s="1507"/>
      <c r="AC238" s="1507"/>
    </row>
    <row r="239" spans="3:29" ht="1.5" customHeight="1" x14ac:dyDescent="0.25"/>
    <row r="240" spans="3:29" ht="11.25" customHeight="1" x14ac:dyDescent="0.25">
      <c r="C240" s="1506" t="s">
        <v>2111</v>
      </c>
      <c r="D240" s="1506"/>
      <c r="E240" s="1506"/>
      <c r="F240" s="1506"/>
      <c r="G240" s="1506"/>
      <c r="H240" s="1506"/>
      <c r="I240" s="1510" t="s">
        <v>2108</v>
      </c>
      <c r="J240" s="1510"/>
      <c r="K240" s="1510"/>
      <c r="L240" s="1510"/>
      <c r="M240" s="1510"/>
      <c r="N240" s="1510"/>
      <c r="O240" s="1510"/>
      <c r="P240" s="1510"/>
      <c r="Q240" s="1510"/>
      <c r="S240" s="1507">
        <v>174522.8</v>
      </c>
      <c r="T240" s="1507"/>
      <c r="U240" s="1507"/>
      <c r="V240" s="1507"/>
    </row>
    <row r="241" spans="3:22" ht="1.5" customHeight="1" x14ac:dyDescent="0.25"/>
    <row r="242" spans="3:22" ht="10.5" customHeight="1" x14ac:dyDescent="0.25">
      <c r="C242" s="1506" t="s">
        <v>6240</v>
      </c>
      <c r="D242" s="1506"/>
      <c r="E242" s="1506"/>
      <c r="F242" s="1506"/>
      <c r="G242" s="1506"/>
      <c r="H242" s="1506"/>
      <c r="I242" s="1510" t="s">
        <v>1046</v>
      </c>
      <c r="J242" s="1510"/>
      <c r="K242" s="1510"/>
      <c r="L242" s="1510"/>
      <c r="M242" s="1510"/>
      <c r="N242" s="1510"/>
      <c r="O242" s="1510"/>
      <c r="P242" s="1510"/>
      <c r="Q242" s="1510"/>
      <c r="S242" s="1507">
        <v>2000</v>
      </c>
      <c r="T242" s="1507"/>
      <c r="U242" s="1507"/>
      <c r="V242" s="1507"/>
    </row>
    <row r="243" spans="3:22" ht="1.5" customHeight="1" x14ac:dyDescent="0.25"/>
    <row r="244" spans="3:22" ht="10.5" customHeight="1" x14ac:dyDescent="0.25">
      <c r="C244" s="1506" t="s">
        <v>6241</v>
      </c>
      <c r="D244" s="1506"/>
      <c r="E244" s="1506"/>
      <c r="F244" s="1506"/>
      <c r="G244" s="1506"/>
      <c r="H244" s="1506"/>
      <c r="I244" s="1510" t="s">
        <v>996</v>
      </c>
      <c r="J244" s="1510"/>
      <c r="K244" s="1510"/>
      <c r="L244" s="1510"/>
      <c r="M244" s="1510"/>
      <c r="N244" s="1510"/>
      <c r="O244" s="1510"/>
      <c r="P244" s="1510"/>
      <c r="Q244" s="1510"/>
      <c r="S244" s="1507">
        <v>72805.460000000006</v>
      </c>
      <c r="T244" s="1507"/>
      <c r="U244" s="1507"/>
      <c r="V244" s="1507"/>
    </row>
    <row r="245" spans="3:22" ht="1.5" customHeight="1" x14ac:dyDescent="0.25"/>
    <row r="246" spans="3:22" ht="10.5" customHeight="1" x14ac:dyDescent="0.25">
      <c r="C246" s="1506" t="s">
        <v>6242</v>
      </c>
      <c r="D246" s="1506"/>
      <c r="E246" s="1506"/>
      <c r="F246" s="1506"/>
      <c r="G246" s="1506"/>
      <c r="H246" s="1506"/>
      <c r="I246" s="1510" t="s">
        <v>1021</v>
      </c>
      <c r="J246" s="1510"/>
      <c r="K246" s="1510"/>
      <c r="L246" s="1510"/>
      <c r="M246" s="1510"/>
      <c r="N246" s="1510"/>
      <c r="O246" s="1510"/>
      <c r="P246" s="1510"/>
      <c r="Q246" s="1510"/>
      <c r="S246" s="1507">
        <v>12820.83</v>
      </c>
      <c r="T246" s="1507"/>
      <c r="U246" s="1507"/>
      <c r="V246" s="1507"/>
    </row>
    <row r="247" spans="3:22" ht="1.5" customHeight="1" x14ac:dyDescent="0.25"/>
    <row r="248" spans="3:22" ht="10.5" customHeight="1" x14ac:dyDescent="0.25">
      <c r="C248" s="1506" t="s">
        <v>6243</v>
      </c>
      <c r="D248" s="1506"/>
      <c r="E248" s="1506"/>
      <c r="F248" s="1506"/>
      <c r="G248" s="1506"/>
      <c r="H248" s="1506"/>
      <c r="I248" s="1510" t="s">
        <v>1044</v>
      </c>
      <c r="J248" s="1510"/>
      <c r="K248" s="1510"/>
      <c r="L248" s="1510"/>
      <c r="M248" s="1510"/>
      <c r="N248" s="1510"/>
      <c r="O248" s="1510"/>
      <c r="P248" s="1510"/>
      <c r="Q248" s="1510"/>
      <c r="S248" s="1507">
        <v>1000</v>
      </c>
      <c r="T248" s="1507"/>
      <c r="U248" s="1507"/>
      <c r="V248" s="1507"/>
    </row>
    <row r="249" spans="3:22" ht="1.5" customHeight="1" x14ac:dyDescent="0.25"/>
    <row r="250" spans="3:22" ht="10.5" customHeight="1" x14ac:dyDescent="0.25">
      <c r="C250" s="1506" t="s">
        <v>6244</v>
      </c>
      <c r="D250" s="1506"/>
      <c r="E250" s="1506"/>
      <c r="F250" s="1506"/>
      <c r="G250" s="1506"/>
      <c r="H250" s="1506"/>
      <c r="I250" s="1510" t="s">
        <v>993</v>
      </c>
      <c r="J250" s="1510"/>
      <c r="K250" s="1510"/>
      <c r="L250" s="1510"/>
      <c r="M250" s="1510"/>
      <c r="N250" s="1510"/>
      <c r="O250" s="1510"/>
      <c r="P250" s="1510"/>
      <c r="Q250" s="1510"/>
      <c r="S250" s="1507">
        <v>30500</v>
      </c>
      <c r="T250" s="1507"/>
      <c r="U250" s="1507"/>
      <c r="V250" s="1507"/>
    </row>
    <row r="251" spans="3:22" ht="1.5" customHeight="1" x14ac:dyDescent="0.25"/>
    <row r="252" spans="3:22" ht="10.5" customHeight="1" x14ac:dyDescent="0.25">
      <c r="C252" s="1506" t="s">
        <v>6245</v>
      </c>
      <c r="D252" s="1506"/>
      <c r="E252" s="1506"/>
      <c r="F252" s="1506"/>
      <c r="G252" s="1506"/>
      <c r="H252" s="1506"/>
      <c r="I252" s="1510" t="s">
        <v>6307</v>
      </c>
      <c r="J252" s="1510"/>
      <c r="K252" s="1510"/>
      <c r="L252" s="1510"/>
      <c r="M252" s="1510"/>
      <c r="N252" s="1510"/>
      <c r="O252" s="1510"/>
      <c r="P252" s="1510"/>
      <c r="Q252" s="1510"/>
      <c r="S252" s="1507">
        <v>39238.269999999997</v>
      </c>
      <c r="T252" s="1507"/>
      <c r="U252" s="1507"/>
      <c r="V252" s="1507"/>
    </row>
    <row r="253" spans="3:22" ht="1.5" customHeight="1" x14ac:dyDescent="0.25"/>
    <row r="254" spans="3:22" ht="10.5" customHeight="1" x14ac:dyDescent="0.25">
      <c r="C254" s="1506" t="s">
        <v>6231</v>
      </c>
      <c r="D254" s="1506"/>
      <c r="E254" s="1506"/>
      <c r="F254" s="1506"/>
      <c r="G254" s="1506"/>
      <c r="H254" s="1506"/>
      <c r="I254" s="1510" t="s">
        <v>990</v>
      </c>
      <c r="J254" s="1510"/>
      <c r="K254" s="1510"/>
      <c r="L254" s="1510"/>
      <c r="M254" s="1510"/>
      <c r="N254" s="1510"/>
      <c r="O254" s="1510"/>
      <c r="P254" s="1510"/>
      <c r="Q254" s="1510"/>
      <c r="S254" s="1507">
        <v>14119.65</v>
      </c>
      <c r="T254" s="1507"/>
      <c r="U254" s="1507"/>
      <c r="V254" s="1507"/>
    </row>
    <row r="255" spans="3:22" ht="1.5" customHeight="1" x14ac:dyDescent="0.25"/>
    <row r="256" spans="3:22" ht="10.5" customHeight="1" x14ac:dyDescent="0.25">
      <c r="C256" s="1506" t="s">
        <v>6247</v>
      </c>
      <c r="D256" s="1506"/>
      <c r="E256" s="1506"/>
      <c r="F256" s="1506"/>
      <c r="G256" s="1506"/>
      <c r="H256" s="1506"/>
      <c r="I256" s="1510" t="s">
        <v>6042</v>
      </c>
      <c r="J256" s="1510"/>
      <c r="K256" s="1510"/>
      <c r="L256" s="1510"/>
      <c r="M256" s="1510"/>
      <c r="N256" s="1510"/>
      <c r="O256" s="1510"/>
      <c r="P256" s="1510"/>
      <c r="Q256" s="1510"/>
      <c r="S256" s="1507">
        <v>38.590000000000003</v>
      </c>
      <c r="T256" s="1507"/>
      <c r="U256" s="1507"/>
      <c r="V256" s="1507"/>
    </row>
    <row r="257" spans="3:33" ht="1.5" customHeight="1" x14ac:dyDescent="0.25"/>
    <row r="258" spans="3:33" ht="10.5" customHeight="1" x14ac:dyDescent="0.25">
      <c r="C258" s="1506" t="s">
        <v>6248</v>
      </c>
      <c r="D258" s="1506"/>
      <c r="E258" s="1506"/>
      <c r="F258" s="1506"/>
      <c r="G258" s="1506"/>
      <c r="H258" s="1506"/>
      <c r="I258" s="1510" t="s">
        <v>985</v>
      </c>
      <c r="J258" s="1510"/>
      <c r="K258" s="1510"/>
      <c r="L258" s="1510"/>
      <c r="M258" s="1510"/>
      <c r="N258" s="1510"/>
      <c r="O258" s="1510"/>
      <c r="P258" s="1510"/>
      <c r="Q258" s="1510"/>
      <c r="S258" s="1507">
        <v>2000</v>
      </c>
      <c r="T258" s="1507"/>
      <c r="U258" s="1507"/>
      <c r="V258" s="1507"/>
    </row>
    <row r="259" spans="3:33" ht="1.5" customHeight="1" x14ac:dyDescent="0.25"/>
    <row r="260" spans="3:33" ht="11.25" customHeight="1" x14ac:dyDescent="0.25">
      <c r="C260" s="1506" t="s">
        <v>6416</v>
      </c>
      <c r="D260" s="1506"/>
      <c r="E260" s="1506"/>
      <c r="F260" s="1506"/>
      <c r="G260" s="1506"/>
      <c r="H260" s="1506"/>
      <c r="I260" s="1510" t="s">
        <v>6417</v>
      </c>
      <c r="J260" s="1510"/>
      <c r="K260" s="1510"/>
      <c r="L260" s="1510"/>
      <c r="M260" s="1510"/>
      <c r="N260" s="1510"/>
      <c r="O260" s="1510"/>
      <c r="P260" s="1510"/>
      <c r="Q260" s="1510"/>
      <c r="S260" s="1507">
        <v>7000</v>
      </c>
      <c r="T260" s="1507"/>
      <c r="U260" s="1507"/>
      <c r="V260" s="1507"/>
    </row>
    <row r="261" spans="3:33" ht="1.5" customHeight="1" x14ac:dyDescent="0.25"/>
    <row r="262" spans="3:33" ht="10.5" customHeight="1" x14ac:dyDescent="0.25">
      <c r="C262" s="1506" t="s">
        <v>6256</v>
      </c>
      <c r="D262" s="1506"/>
      <c r="E262" s="1506"/>
      <c r="F262" s="1506"/>
      <c r="G262" s="1506"/>
      <c r="H262" s="1506"/>
      <c r="I262" s="1510" t="s">
        <v>996</v>
      </c>
      <c r="J262" s="1510"/>
      <c r="K262" s="1510"/>
      <c r="L262" s="1510"/>
      <c r="M262" s="1510"/>
      <c r="N262" s="1510"/>
      <c r="O262" s="1510"/>
      <c r="P262" s="1510"/>
      <c r="Q262" s="1510"/>
      <c r="S262" s="1507">
        <v>3500</v>
      </c>
      <c r="T262" s="1507"/>
      <c r="U262" s="1507"/>
      <c r="V262" s="1507"/>
    </row>
    <row r="263" spans="3:33" ht="1.5" customHeight="1" x14ac:dyDescent="0.25"/>
    <row r="264" spans="3:33" ht="10.5" customHeight="1" x14ac:dyDescent="0.25">
      <c r="C264" s="1506" t="s">
        <v>6325</v>
      </c>
      <c r="D264" s="1506"/>
      <c r="E264" s="1506"/>
      <c r="F264" s="1506"/>
      <c r="G264" s="1506"/>
      <c r="H264" s="1506"/>
      <c r="I264" s="1510" t="s">
        <v>6419</v>
      </c>
      <c r="J264" s="1510"/>
      <c r="K264" s="1510"/>
      <c r="L264" s="1510"/>
      <c r="M264" s="1510"/>
      <c r="N264" s="1510"/>
      <c r="O264" s="1510"/>
      <c r="P264" s="1510"/>
      <c r="Q264" s="1510"/>
      <c r="S264" s="1507">
        <v>3500</v>
      </c>
      <c r="T264" s="1507"/>
      <c r="U264" s="1507"/>
      <c r="V264" s="1507"/>
    </row>
    <row r="265" spans="3:33" ht="9" customHeight="1" x14ac:dyDescent="0.25"/>
    <row r="266" spans="3:33" ht="1.5" customHeight="1" x14ac:dyDescent="0.25"/>
    <row r="267" spans="3:33" ht="10.5" customHeight="1" x14ac:dyDescent="0.25">
      <c r="C267" s="1506" t="s">
        <v>2112</v>
      </c>
      <c r="D267" s="1506"/>
      <c r="E267" s="1506"/>
      <c r="F267" s="1506"/>
      <c r="G267" s="1506"/>
      <c r="H267" s="1506"/>
      <c r="I267" s="1510" t="s">
        <v>2113</v>
      </c>
      <c r="J267" s="1510"/>
      <c r="K267" s="1510"/>
      <c r="L267" s="1510"/>
      <c r="M267" s="1510"/>
      <c r="N267" s="1510"/>
      <c r="O267" s="1510"/>
      <c r="P267" s="1510"/>
      <c r="Q267" s="1510"/>
      <c r="AF267" s="1507">
        <v>142956.4</v>
      </c>
      <c r="AG267" s="1507"/>
    </row>
    <row r="268" spans="3:33" ht="0.75" customHeight="1" x14ac:dyDescent="0.25"/>
    <row r="269" spans="3:33" ht="11.25" customHeight="1" x14ac:dyDescent="0.25">
      <c r="C269" s="1506" t="s">
        <v>2114</v>
      </c>
      <c r="D269" s="1506"/>
      <c r="E269" s="1506"/>
      <c r="F269" s="1506"/>
      <c r="G269" s="1506"/>
      <c r="H269" s="1506"/>
      <c r="I269" s="1510" t="s">
        <v>95</v>
      </c>
      <c r="J269" s="1510"/>
      <c r="K269" s="1510"/>
      <c r="L269" s="1510"/>
      <c r="M269" s="1510"/>
      <c r="N269" s="1510"/>
      <c r="O269" s="1510"/>
      <c r="P269" s="1510"/>
      <c r="Q269" s="1510"/>
      <c r="Z269" s="1507">
        <v>142956.4</v>
      </c>
      <c r="AA269" s="1507"/>
      <c r="AB269" s="1507"/>
      <c r="AC269" s="1507"/>
    </row>
    <row r="270" spans="3:33" ht="1.5" customHeight="1" x14ac:dyDescent="0.25"/>
    <row r="271" spans="3:33" ht="11.25" customHeight="1" x14ac:dyDescent="0.25">
      <c r="C271" s="1506" t="s">
        <v>2117</v>
      </c>
      <c r="D271" s="1506"/>
      <c r="E271" s="1506"/>
      <c r="F271" s="1506"/>
      <c r="G271" s="1506"/>
      <c r="H271" s="1506"/>
      <c r="I271" s="1510" t="s">
        <v>2118</v>
      </c>
      <c r="J271" s="1510"/>
      <c r="K271" s="1510"/>
      <c r="L271" s="1510"/>
      <c r="M271" s="1510"/>
      <c r="N271" s="1510"/>
      <c r="O271" s="1510"/>
      <c r="P271" s="1510"/>
      <c r="Q271" s="1510"/>
      <c r="S271" s="1507">
        <v>4</v>
      </c>
      <c r="T271" s="1507"/>
      <c r="U271" s="1507"/>
      <c r="V271" s="1507"/>
    </row>
    <row r="272" spans="3:33" ht="1.5" customHeight="1" x14ac:dyDescent="0.25"/>
    <row r="273" spans="3:33" ht="10.5" customHeight="1" x14ac:dyDescent="0.25">
      <c r="C273" s="1506" t="s">
        <v>6265</v>
      </c>
      <c r="D273" s="1506"/>
      <c r="E273" s="1506"/>
      <c r="F273" s="1506"/>
      <c r="G273" s="1506"/>
      <c r="H273" s="1506"/>
      <c r="I273" s="1510" t="s">
        <v>985</v>
      </c>
      <c r="J273" s="1510"/>
      <c r="K273" s="1510"/>
      <c r="L273" s="1510"/>
      <c r="M273" s="1510"/>
      <c r="N273" s="1510"/>
      <c r="O273" s="1510"/>
      <c r="P273" s="1510"/>
      <c r="Q273" s="1510"/>
      <c r="S273" s="1507">
        <v>4</v>
      </c>
      <c r="T273" s="1507"/>
      <c r="U273" s="1507"/>
      <c r="V273" s="1507"/>
    </row>
    <row r="274" spans="3:33" ht="1.5" customHeight="1" x14ac:dyDescent="0.25"/>
    <row r="275" spans="3:33" ht="11.25" customHeight="1" x14ac:dyDescent="0.25">
      <c r="C275" s="1506" t="s">
        <v>2115</v>
      </c>
      <c r="D275" s="1506"/>
      <c r="E275" s="1506"/>
      <c r="F275" s="1506"/>
      <c r="G275" s="1506"/>
      <c r="H275" s="1506"/>
      <c r="I275" s="1510" t="s">
        <v>2108</v>
      </c>
      <c r="J275" s="1510"/>
      <c r="K275" s="1510"/>
      <c r="L275" s="1510"/>
      <c r="M275" s="1510"/>
      <c r="N275" s="1510"/>
      <c r="O275" s="1510"/>
      <c r="P275" s="1510"/>
      <c r="Q275" s="1510"/>
      <c r="S275" s="1507">
        <v>142952.4</v>
      </c>
      <c r="T275" s="1507"/>
      <c r="U275" s="1507"/>
      <c r="V275" s="1507"/>
    </row>
    <row r="276" spans="3:33" ht="1.5" customHeight="1" x14ac:dyDescent="0.25"/>
    <row r="277" spans="3:33" ht="10.5" customHeight="1" x14ac:dyDescent="0.25">
      <c r="C277" s="1506" t="s">
        <v>6232</v>
      </c>
      <c r="D277" s="1506"/>
      <c r="E277" s="1506"/>
      <c r="F277" s="1506"/>
      <c r="G277" s="1506"/>
      <c r="H277" s="1506"/>
      <c r="I277" s="1510" t="s">
        <v>996</v>
      </c>
      <c r="J277" s="1510"/>
      <c r="K277" s="1510"/>
      <c r="L277" s="1510"/>
      <c r="M277" s="1510"/>
      <c r="N277" s="1510"/>
      <c r="O277" s="1510"/>
      <c r="P277" s="1510"/>
      <c r="Q277" s="1510"/>
      <c r="S277" s="1507">
        <v>3</v>
      </c>
      <c r="T277" s="1507"/>
      <c r="U277" s="1507"/>
      <c r="V277" s="1507"/>
    </row>
    <row r="278" spans="3:33" ht="1.5" customHeight="1" x14ac:dyDescent="0.25"/>
    <row r="279" spans="3:33" ht="10.5" customHeight="1" x14ac:dyDescent="0.25">
      <c r="C279" s="1506" t="s">
        <v>6233</v>
      </c>
      <c r="D279" s="1506"/>
      <c r="E279" s="1506"/>
      <c r="F279" s="1506"/>
      <c r="G279" s="1506"/>
      <c r="H279" s="1506"/>
      <c r="I279" s="1510" t="s">
        <v>993</v>
      </c>
      <c r="J279" s="1510"/>
      <c r="K279" s="1510"/>
      <c r="L279" s="1510"/>
      <c r="M279" s="1510"/>
      <c r="N279" s="1510"/>
      <c r="O279" s="1510"/>
      <c r="P279" s="1510"/>
      <c r="Q279" s="1510"/>
      <c r="S279" s="1507">
        <v>3</v>
      </c>
      <c r="T279" s="1507"/>
      <c r="U279" s="1507"/>
      <c r="V279" s="1507"/>
    </row>
    <row r="280" spans="3:33" ht="1.5" customHeight="1" x14ac:dyDescent="0.25"/>
    <row r="281" spans="3:33" ht="10.5" customHeight="1" x14ac:dyDescent="0.25">
      <c r="C281" s="1506" t="s">
        <v>6234</v>
      </c>
      <c r="D281" s="1506"/>
      <c r="E281" s="1506"/>
      <c r="F281" s="1506"/>
      <c r="G281" s="1506"/>
      <c r="H281" s="1506"/>
      <c r="I281" s="1510" t="s">
        <v>1053</v>
      </c>
      <c r="J281" s="1510"/>
      <c r="K281" s="1510"/>
      <c r="L281" s="1510"/>
      <c r="M281" s="1510"/>
      <c r="N281" s="1510"/>
      <c r="O281" s="1510"/>
      <c r="P281" s="1510"/>
      <c r="Q281" s="1510"/>
      <c r="S281" s="1507">
        <v>2</v>
      </c>
      <c r="T281" s="1507"/>
      <c r="U281" s="1507"/>
      <c r="V281" s="1507"/>
    </row>
    <row r="282" spans="3:33" ht="1.5" customHeight="1" x14ac:dyDescent="0.25"/>
    <row r="283" spans="3:33" ht="10.5" customHeight="1" x14ac:dyDescent="0.25">
      <c r="C283" s="1506" t="s">
        <v>6251</v>
      </c>
      <c r="D283" s="1506"/>
      <c r="E283" s="1506"/>
      <c r="F283" s="1506"/>
      <c r="G283" s="1506"/>
      <c r="H283" s="1506"/>
      <c r="I283" s="1510" t="s">
        <v>1029</v>
      </c>
      <c r="J283" s="1510"/>
      <c r="K283" s="1510"/>
      <c r="L283" s="1510"/>
      <c r="M283" s="1510"/>
      <c r="N283" s="1510"/>
      <c r="O283" s="1510"/>
      <c r="P283" s="1510"/>
      <c r="Q283" s="1510"/>
      <c r="S283" s="1507">
        <v>5000</v>
      </c>
      <c r="T283" s="1507"/>
      <c r="U283" s="1507"/>
      <c r="V283" s="1507"/>
    </row>
    <row r="284" spans="3:33" ht="1.5" customHeight="1" x14ac:dyDescent="0.25"/>
    <row r="285" spans="3:33" ht="10.5" customHeight="1" x14ac:dyDescent="0.25">
      <c r="C285" s="1506" t="s">
        <v>6235</v>
      </c>
      <c r="D285" s="1506"/>
      <c r="E285" s="1506"/>
      <c r="F285" s="1506"/>
      <c r="G285" s="1506"/>
      <c r="H285" s="1506"/>
      <c r="I285" s="1510" t="s">
        <v>997</v>
      </c>
      <c r="J285" s="1510"/>
      <c r="K285" s="1510"/>
      <c r="L285" s="1510"/>
      <c r="M285" s="1510"/>
      <c r="N285" s="1510"/>
      <c r="O285" s="1510"/>
      <c r="P285" s="1510"/>
      <c r="Q285" s="1510"/>
      <c r="S285" s="1507">
        <v>137944.4</v>
      </c>
      <c r="T285" s="1507"/>
      <c r="U285" s="1507"/>
      <c r="V285" s="1507"/>
    </row>
    <row r="286" spans="3:33" ht="9" customHeight="1" x14ac:dyDescent="0.25"/>
    <row r="287" spans="3:33" ht="4.5" customHeight="1" x14ac:dyDescent="0.25"/>
    <row r="288" spans="3:33" ht="12" customHeight="1" x14ac:dyDescent="0.25">
      <c r="P288" s="1420" t="s">
        <v>2116</v>
      </c>
      <c r="Q288" s="1420"/>
      <c r="R288" s="1420"/>
      <c r="S288" s="1420"/>
      <c r="T288" s="1420"/>
      <c r="U288" s="1420"/>
      <c r="V288" s="1420"/>
      <c r="W288" s="1420"/>
      <c r="AE288" s="1425">
        <v>328464.68</v>
      </c>
      <c r="AF288" s="1425"/>
      <c r="AG288" s="1425"/>
    </row>
    <row r="289" spans="3:33" ht="6.75" customHeight="1" x14ac:dyDescent="0.25"/>
    <row r="290" spans="3:33" ht="0.75" customHeight="1" x14ac:dyDescent="0.25"/>
    <row r="291" spans="3:33" ht="13.5" customHeight="1" x14ac:dyDescent="0.25">
      <c r="C291" s="182" t="s">
        <v>1986</v>
      </c>
      <c r="E291" s="1511">
        <v>4</v>
      </c>
      <c r="F291" s="1511"/>
      <c r="H291" s="1506" t="s">
        <v>919</v>
      </c>
      <c r="I291" s="1506"/>
      <c r="J291" s="1506"/>
      <c r="K291" s="1506"/>
      <c r="L291" s="1506"/>
      <c r="M291" s="1506"/>
      <c r="N291" s="1506"/>
      <c r="O291" s="1506"/>
      <c r="P291" s="1506"/>
      <c r="Q291" s="1506"/>
    </row>
    <row r="292" spans="3:33" ht="12" customHeight="1" x14ac:dyDescent="0.25">
      <c r="C292" s="182" t="s">
        <v>458</v>
      </c>
      <c r="E292" s="1511">
        <v>5</v>
      </c>
      <c r="F292" s="1511"/>
      <c r="H292" s="1506" t="s">
        <v>11854</v>
      </c>
      <c r="I292" s="1506"/>
      <c r="J292" s="1506"/>
      <c r="K292" s="1506"/>
      <c r="L292" s="1506"/>
      <c r="M292" s="1506"/>
      <c r="N292" s="1506"/>
      <c r="O292" s="1506"/>
      <c r="P292" s="1506"/>
      <c r="Q292" s="1506"/>
    </row>
    <row r="293" spans="3:33" ht="1.5" customHeight="1" x14ac:dyDescent="0.25"/>
    <row r="294" spans="3:33" ht="10.5" customHeight="1" x14ac:dyDescent="0.25">
      <c r="C294" s="1506" t="s">
        <v>2104</v>
      </c>
      <c r="D294" s="1506"/>
      <c r="E294" s="1506"/>
      <c r="F294" s="1506"/>
      <c r="G294" s="1506"/>
      <c r="H294" s="1506"/>
      <c r="I294" s="1510" t="s">
        <v>2105</v>
      </c>
      <c r="J294" s="1510"/>
      <c r="K294" s="1510"/>
      <c r="L294" s="1510"/>
      <c r="M294" s="1510"/>
      <c r="N294" s="1510"/>
      <c r="O294" s="1510"/>
      <c r="P294" s="1510"/>
      <c r="Q294" s="1510"/>
      <c r="AF294" s="1507">
        <v>5015.5600000000004</v>
      </c>
      <c r="AG294" s="1507"/>
    </row>
    <row r="295" spans="3:33" ht="0.75" customHeight="1" x14ac:dyDescent="0.25"/>
    <row r="296" spans="3:33" ht="11.25" customHeight="1" x14ac:dyDescent="0.25">
      <c r="C296" s="1506" t="s">
        <v>2109</v>
      </c>
      <c r="D296" s="1506"/>
      <c r="E296" s="1506"/>
      <c r="F296" s="1506"/>
      <c r="G296" s="1506"/>
      <c r="H296" s="1506"/>
      <c r="I296" s="1510" t="s">
        <v>94</v>
      </c>
      <c r="J296" s="1510"/>
      <c r="K296" s="1510"/>
      <c r="L296" s="1510"/>
      <c r="M296" s="1510"/>
      <c r="N296" s="1510"/>
      <c r="O296" s="1510"/>
      <c r="P296" s="1510"/>
      <c r="Q296" s="1510"/>
      <c r="Z296" s="1507">
        <v>5015.5600000000004</v>
      </c>
      <c r="AA296" s="1507"/>
      <c r="AB296" s="1507"/>
      <c r="AC296" s="1507"/>
    </row>
    <row r="297" spans="3:33" ht="1.5" customHeight="1" x14ac:dyDescent="0.25"/>
    <row r="298" spans="3:33" ht="11.25" customHeight="1" x14ac:dyDescent="0.25">
      <c r="C298" s="1506" t="s">
        <v>2111</v>
      </c>
      <c r="D298" s="1506"/>
      <c r="E298" s="1506"/>
      <c r="F298" s="1506"/>
      <c r="G298" s="1506"/>
      <c r="H298" s="1506"/>
      <c r="I298" s="1510" t="s">
        <v>2108</v>
      </c>
      <c r="J298" s="1510"/>
      <c r="K298" s="1510"/>
      <c r="L298" s="1510"/>
      <c r="M298" s="1510"/>
      <c r="N298" s="1510"/>
      <c r="O298" s="1510"/>
      <c r="P298" s="1510"/>
      <c r="Q298" s="1510"/>
      <c r="S298" s="1507">
        <v>4470.3900000000003</v>
      </c>
      <c r="T298" s="1507"/>
      <c r="U298" s="1507"/>
      <c r="V298" s="1507"/>
    </row>
    <row r="299" spans="3:33" ht="1.5" customHeight="1" x14ac:dyDescent="0.25"/>
    <row r="300" spans="3:33" ht="10.5" customHeight="1" x14ac:dyDescent="0.25">
      <c r="C300" s="1506" t="s">
        <v>6240</v>
      </c>
      <c r="D300" s="1506"/>
      <c r="E300" s="1506"/>
      <c r="F300" s="1506"/>
      <c r="G300" s="1506"/>
      <c r="H300" s="1506"/>
      <c r="I300" s="1510" t="s">
        <v>1046</v>
      </c>
      <c r="J300" s="1510"/>
      <c r="K300" s="1510"/>
      <c r="L300" s="1510"/>
      <c r="M300" s="1510"/>
      <c r="N300" s="1510"/>
      <c r="O300" s="1510"/>
      <c r="P300" s="1510"/>
      <c r="Q300" s="1510"/>
      <c r="S300" s="1507">
        <v>545.16999999999996</v>
      </c>
      <c r="T300" s="1507"/>
      <c r="U300" s="1507"/>
      <c r="V300" s="1507"/>
    </row>
    <row r="301" spans="3:33" ht="1.5" customHeight="1" x14ac:dyDescent="0.25"/>
    <row r="302" spans="3:33" ht="10.5" customHeight="1" x14ac:dyDescent="0.25">
      <c r="C302" s="1506" t="s">
        <v>6241</v>
      </c>
      <c r="D302" s="1506"/>
      <c r="E302" s="1506"/>
      <c r="F302" s="1506"/>
      <c r="G302" s="1506"/>
      <c r="H302" s="1506"/>
      <c r="I302" s="1510" t="s">
        <v>996</v>
      </c>
      <c r="J302" s="1510"/>
      <c r="K302" s="1510"/>
      <c r="L302" s="1510"/>
      <c r="M302" s="1510"/>
      <c r="N302" s="1510"/>
      <c r="O302" s="1510"/>
      <c r="P302" s="1510"/>
      <c r="Q302" s="1510"/>
      <c r="S302" s="1507">
        <v>545.16999999999996</v>
      </c>
      <c r="T302" s="1507"/>
      <c r="U302" s="1507"/>
      <c r="V302" s="1507"/>
    </row>
    <row r="303" spans="3:33" ht="1.5" customHeight="1" x14ac:dyDescent="0.25"/>
    <row r="304" spans="3:33" ht="10.5" customHeight="1" x14ac:dyDescent="0.25">
      <c r="C304" s="1506" t="s">
        <v>6242</v>
      </c>
      <c r="D304" s="1506"/>
      <c r="E304" s="1506"/>
      <c r="F304" s="1506"/>
      <c r="G304" s="1506"/>
      <c r="H304" s="1506"/>
      <c r="I304" s="1510" t="s">
        <v>1021</v>
      </c>
      <c r="J304" s="1510"/>
      <c r="K304" s="1510"/>
      <c r="L304" s="1510"/>
      <c r="M304" s="1510"/>
      <c r="N304" s="1510"/>
      <c r="O304" s="1510"/>
      <c r="P304" s="1510"/>
      <c r="Q304" s="1510"/>
      <c r="S304" s="1507">
        <v>545.16999999999996</v>
      </c>
      <c r="T304" s="1507"/>
      <c r="U304" s="1507"/>
      <c r="V304" s="1507"/>
    </row>
    <row r="305" spans="3:22" ht="1.5" customHeight="1" x14ac:dyDescent="0.25"/>
    <row r="306" spans="3:22" ht="10.5" customHeight="1" x14ac:dyDescent="0.25">
      <c r="C306" s="1506" t="s">
        <v>6243</v>
      </c>
      <c r="D306" s="1506"/>
      <c r="E306" s="1506"/>
      <c r="F306" s="1506"/>
      <c r="G306" s="1506"/>
      <c r="H306" s="1506"/>
      <c r="I306" s="1510" t="s">
        <v>1044</v>
      </c>
      <c r="J306" s="1510"/>
      <c r="K306" s="1510"/>
      <c r="L306" s="1510"/>
      <c r="M306" s="1510"/>
      <c r="N306" s="1510"/>
      <c r="O306" s="1510"/>
      <c r="P306" s="1510"/>
      <c r="Q306" s="1510"/>
      <c r="S306" s="1507">
        <v>545.16999999999996</v>
      </c>
      <c r="T306" s="1507"/>
      <c r="U306" s="1507"/>
      <c r="V306" s="1507"/>
    </row>
    <row r="307" spans="3:22" ht="1.5" customHeight="1" x14ac:dyDescent="0.25"/>
    <row r="308" spans="3:22" ht="10.5" customHeight="1" x14ac:dyDescent="0.25">
      <c r="C308" s="1506" t="s">
        <v>6254</v>
      </c>
      <c r="D308" s="1506"/>
      <c r="E308" s="1506"/>
      <c r="F308" s="1506"/>
      <c r="G308" s="1506"/>
      <c r="H308" s="1506"/>
      <c r="I308" s="1510" t="s">
        <v>1260</v>
      </c>
      <c r="J308" s="1510"/>
      <c r="K308" s="1510"/>
      <c r="L308" s="1510"/>
      <c r="M308" s="1510"/>
      <c r="N308" s="1510"/>
      <c r="O308" s="1510"/>
      <c r="P308" s="1510"/>
      <c r="Q308" s="1510"/>
      <c r="S308" s="1507">
        <v>545.16999999999996</v>
      </c>
      <c r="T308" s="1507"/>
      <c r="U308" s="1507"/>
      <c r="V308" s="1507"/>
    </row>
    <row r="309" spans="3:22" ht="1.5" customHeight="1" x14ac:dyDescent="0.25"/>
    <row r="310" spans="3:22" ht="10.5" customHeight="1" x14ac:dyDescent="0.25">
      <c r="C310" s="1506" t="s">
        <v>6244</v>
      </c>
      <c r="D310" s="1506"/>
      <c r="E310" s="1506"/>
      <c r="F310" s="1506"/>
      <c r="G310" s="1506"/>
      <c r="H310" s="1506"/>
      <c r="I310" s="1510" t="s">
        <v>993</v>
      </c>
      <c r="J310" s="1510"/>
      <c r="K310" s="1510"/>
      <c r="L310" s="1510"/>
      <c r="M310" s="1510"/>
      <c r="N310" s="1510"/>
      <c r="O310" s="1510"/>
      <c r="P310" s="1510"/>
      <c r="Q310" s="1510"/>
      <c r="S310" s="1507">
        <v>545.16999999999996</v>
      </c>
      <c r="T310" s="1507"/>
      <c r="U310" s="1507"/>
      <c r="V310" s="1507"/>
    </row>
    <row r="311" spans="3:22" ht="1.5" customHeight="1" x14ac:dyDescent="0.25"/>
    <row r="312" spans="3:22" ht="10.5" customHeight="1" x14ac:dyDescent="0.25">
      <c r="C312" s="1506" t="s">
        <v>6245</v>
      </c>
      <c r="D312" s="1506"/>
      <c r="E312" s="1506"/>
      <c r="F312" s="1506"/>
      <c r="G312" s="1506"/>
      <c r="H312" s="1506"/>
      <c r="I312" s="1510" t="s">
        <v>6307</v>
      </c>
      <c r="J312" s="1510"/>
      <c r="K312" s="1510"/>
      <c r="L312" s="1510"/>
      <c r="M312" s="1510"/>
      <c r="N312" s="1510"/>
      <c r="O312" s="1510"/>
      <c r="P312" s="1510"/>
      <c r="Q312" s="1510"/>
      <c r="S312" s="1507">
        <v>545.16999999999996</v>
      </c>
      <c r="T312" s="1507"/>
      <c r="U312" s="1507"/>
      <c r="V312" s="1507"/>
    </row>
    <row r="313" spans="3:22" ht="1.5" customHeight="1" x14ac:dyDescent="0.25"/>
    <row r="314" spans="3:22" ht="10.5" customHeight="1" x14ac:dyDescent="0.25">
      <c r="C314" s="1506" t="s">
        <v>6231</v>
      </c>
      <c r="D314" s="1506"/>
      <c r="E314" s="1506"/>
      <c r="F314" s="1506"/>
      <c r="G314" s="1506"/>
      <c r="H314" s="1506"/>
      <c r="I314" s="1510" t="s">
        <v>990</v>
      </c>
      <c r="J314" s="1510"/>
      <c r="K314" s="1510"/>
      <c r="L314" s="1510"/>
      <c r="M314" s="1510"/>
      <c r="N314" s="1510"/>
      <c r="O314" s="1510"/>
      <c r="P314" s="1510"/>
      <c r="Q314" s="1510"/>
      <c r="S314" s="1507">
        <v>109.03</v>
      </c>
      <c r="T314" s="1507"/>
      <c r="U314" s="1507"/>
      <c r="V314" s="1507"/>
    </row>
    <row r="315" spans="3:22" ht="1.5" customHeight="1" x14ac:dyDescent="0.25"/>
    <row r="316" spans="3:22" ht="10.5" customHeight="1" x14ac:dyDescent="0.25">
      <c r="C316" s="1506" t="s">
        <v>6248</v>
      </c>
      <c r="D316" s="1506"/>
      <c r="E316" s="1506"/>
      <c r="F316" s="1506"/>
      <c r="G316" s="1506"/>
      <c r="H316" s="1506"/>
      <c r="I316" s="1510" t="s">
        <v>985</v>
      </c>
      <c r="J316" s="1510"/>
      <c r="K316" s="1510"/>
      <c r="L316" s="1510"/>
      <c r="M316" s="1510"/>
      <c r="N316" s="1510"/>
      <c r="O316" s="1510"/>
      <c r="P316" s="1510"/>
      <c r="Q316" s="1510"/>
      <c r="S316" s="1507">
        <v>545.16999999999996</v>
      </c>
      <c r="T316" s="1507"/>
      <c r="U316" s="1507"/>
      <c r="V316" s="1507"/>
    </row>
    <row r="317" spans="3:22" ht="1.5" customHeight="1" x14ac:dyDescent="0.25"/>
    <row r="318" spans="3:22" ht="11.25" customHeight="1" x14ac:dyDescent="0.25">
      <c r="C318" s="1506" t="s">
        <v>6416</v>
      </c>
      <c r="D318" s="1506"/>
      <c r="E318" s="1506"/>
      <c r="F318" s="1506"/>
      <c r="G318" s="1506"/>
      <c r="H318" s="1506"/>
      <c r="I318" s="1510" t="s">
        <v>6417</v>
      </c>
      <c r="J318" s="1510"/>
      <c r="K318" s="1510"/>
      <c r="L318" s="1510"/>
      <c r="M318" s="1510"/>
      <c r="N318" s="1510"/>
      <c r="O318" s="1510"/>
      <c r="P318" s="1510"/>
      <c r="Q318" s="1510"/>
      <c r="S318" s="1507">
        <v>545.16999999999996</v>
      </c>
      <c r="T318" s="1507"/>
      <c r="U318" s="1507"/>
      <c r="V318" s="1507"/>
    </row>
    <row r="319" spans="3:22" ht="1.5" customHeight="1" x14ac:dyDescent="0.25"/>
    <row r="320" spans="3:22" ht="10.5" customHeight="1" x14ac:dyDescent="0.25">
      <c r="C320" s="1506" t="s">
        <v>6256</v>
      </c>
      <c r="D320" s="1506"/>
      <c r="E320" s="1506"/>
      <c r="F320" s="1506"/>
      <c r="G320" s="1506"/>
      <c r="H320" s="1506"/>
      <c r="I320" s="1510" t="s">
        <v>996</v>
      </c>
      <c r="J320" s="1510"/>
      <c r="K320" s="1510"/>
      <c r="L320" s="1510"/>
      <c r="M320" s="1510"/>
      <c r="N320" s="1510"/>
      <c r="O320" s="1510"/>
      <c r="P320" s="1510"/>
      <c r="Q320" s="1510"/>
      <c r="S320" s="1507">
        <v>545.16999999999996</v>
      </c>
      <c r="T320" s="1507"/>
      <c r="U320" s="1507"/>
      <c r="V320" s="1507"/>
    </row>
    <row r="321" spans="3:33" ht="9" customHeight="1" x14ac:dyDescent="0.25"/>
    <row r="322" spans="3:33" ht="1.5" customHeight="1" x14ac:dyDescent="0.25"/>
    <row r="323" spans="3:33" ht="10.5" customHeight="1" x14ac:dyDescent="0.25">
      <c r="C323" s="1506" t="s">
        <v>2112</v>
      </c>
      <c r="D323" s="1506"/>
      <c r="E323" s="1506"/>
      <c r="F323" s="1506"/>
      <c r="G323" s="1506"/>
      <c r="H323" s="1506"/>
      <c r="I323" s="1510" t="s">
        <v>2113</v>
      </c>
      <c r="J323" s="1510"/>
      <c r="K323" s="1510"/>
      <c r="L323" s="1510"/>
      <c r="M323" s="1510"/>
      <c r="N323" s="1510"/>
      <c r="O323" s="1510"/>
      <c r="P323" s="1510"/>
      <c r="Q323" s="1510"/>
      <c r="AF323" s="1507">
        <v>545.16999999999996</v>
      </c>
      <c r="AG323" s="1507"/>
    </row>
    <row r="324" spans="3:33" ht="0.75" customHeight="1" x14ac:dyDescent="0.25"/>
    <row r="325" spans="3:33" ht="11.25" customHeight="1" x14ac:dyDescent="0.25">
      <c r="C325" s="1506" t="s">
        <v>2114</v>
      </c>
      <c r="D325" s="1506"/>
      <c r="E325" s="1506"/>
      <c r="F325" s="1506"/>
      <c r="G325" s="1506"/>
      <c r="H325" s="1506"/>
      <c r="I325" s="1510" t="s">
        <v>95</v>
      </c>
      <c r="J325" s="1510"/>
      <c r="K325" s="1510"/>
      <c r="L325" s="1510"/>
      <c r="M325" s="1510"/>
      <c r="N325" s="1510"/>
      <c r="O325" s="1510"/>
      <c r="P325" s="1510"/>
      <c r="Q325" s="1510"/>
      <c r="Z325" s="1507">
        <v>545.16999999999996</v>
      </c>
      <c r="AA325" s="1507"/>
      <c r="AB325" s="1507"/>
      <c r="AC325" s="1507"/>
    </row>
    <row r="326" spans="3:33" ht="1.5" customHeight="1" x14ac:dyDescent="0.25"/>
    <row r="327" spans="3:33" ht="11.25" customHeight="1" x14ac:dyDescent="0.25">
      <c r="C327" s="1506" t="s">
        <v>2115</v>
      </c>
      <c r="D327" s="1506"/>
      <c r="E327" s="1506"/>
      <c r="F327" s="1506"/>
      <c r="G327" s="1506"/>
      <c r="H327" s="1506"/>
      <c r="I327" s="1510" t="s">
        <v>2108</v>
      </c>
      <c r="J327" s="1510"/>
      <c r="K327" s="1510"/>
      <c r="L327" s="1510"/>
      <c r="M327" s="1510"/>
      <c r="N327" s="1510"/>
      <c r="O327" s="1510"/>
      <c r="P327" s="1510"/>
      <c r="Q327" s="1510"/>
      <c r="S327" s="1507">
        <v>545.16999999999996</v>
      </c>
      <c r="T327" s="1507"/>
      <c r="U327" s="1507"/>
      <c r="V327" s="1507"/>
    </row>
    <row r="328" spans="3:33" ht="1.5" customHeight="1" x14ac:dyDescent="0.25"/>
    <row r="329" spans="3:33" ht="10.5" customHeight="1" x14ac:dyDescent="0.25">
      <c r="C329" s="1506" t="s">
        <v>6235</v>
      </c>
      <c r="D329" s="1506"/>
      <c r="E329" s="1506"/>
      <c r="F329" s="1506"/>
      <c r="G329" s="1506"/>
      <c r="H329" s="1506"/>
      <c r="I329" s="1510" t="s">
        <v>997</v>
      </c>
      <c r="J329" s="1510"/>
      <c r="K329" s="1510"/>
      <c r="L329" s="1510"/>
      <c r="M329" s="1510"/>
      <c r="N329" s="1510"/>
      <c r="O329" s="1510"/>
      <c r="P329" s="1510"/>
      <c r="Q329" s="1510"/>
      <c r="S329" s="1507">
        <v>545.16999999999996</v>
      </c>
      <c r="T329" s="1507"/>
      <c r="U329" s="1507"/>
      <c r="V329" s="1507"/>
    </row>
    <row r="330" spans="3:33" ht="9" customHeight="1" x14ac:dyDescent="0.25"/>
    <row r="331" spans="3:33" ht="4.5" customHeight="1" x14ac:dyDescent="0.25"/>
    <row r="332" spans="3:33" ht="12" customHeight="1" x14ac:dyDescent="0.25">
      <c r="P332" s="1420" t="s">
        <v>2116</v>
      </c>
      <c r="Q332" s="1420"/>
      <c r="R332" s="1420"/>
      <c r="S332" s="1420"/>
      <c r="T332" s="1420"/>
      <c r="U332" s="1420"/>
      <c r="V332" s="1420"/>
      <c r="W332" s="1420"/>
      <c r="AE332" s="1425">
        <v>5560.73</v>
      </c>
      <c r="AF332" s="1425"/>
      <c r="AG332" s="1425"/>
    </row>
    <row r="333" spans="3:33" ht="6.75" customHeight="1" x14ac:dyDescent="0.25"/>
    <row r="334" spans="3:33" ht="5.25" customHeight="1" x14ac:dyDescent="0.25"/>
    <row r="335" spans="3:33" ht="10.5" customHeight="1" x14ac:dyDescent="0.25">
      <c r="P335" s="1420" t="s">
        <v>2121</v>
      </c>
      <c r="Q335" s="1420"/>
      <c r="R335" s="1420"/>
      <c r="S335" s="1420"/>
      <c r="T335" s="1420"/>
      <c r="U335" s="1420"/>
      <c r="V335" s="1420"/>
      <c r="W335" s="1420"/>
      <c r="AE335" s="1425">
        <v>4138085.04</v>
      </c>
      <c r="AF335" s="1425"/>
      <c r="AG335" s="1425"/>
    </row>
    <row r="336" spans="3:33" ht="6" customHeight="1" x14ac:dyDescent="0.25">
      <c r="P336" s="1420"/>
      <c r="Q336" s="1420"/>
      <c r="R336" s="1420"/>
      <c r="S336" s="1420"/>
      <c r="T336" s="1420"/>
      <c r="U336" s="1420"/>
      <c r="V336" s="1420"/>
      <c r="W336" s="1420"/>
    </row>
    <row r="337" spans="11:33" ht="7.5" customHeight="1" x14ac:dyDescent="0.25"/>
    <row r="338" spans="11:33" ht="10.5" customHeight="1" x14ac:dyDescent="0.25">
      <c r="P338" s="1420" t="s">
        <v>0</v>
      </c>
      <c r="Q338" s="1420"/>
      <c r="R338" s="1420"/>
      <c r="S338" s="1420"/>
      <c r="T338" s="1420"/>
      <c r="U338" s="1420"/>
      <c r="V338" s="1420"/>
      <c r="W338" s="1420"/>
      <c r="AE338" s="1425">
        <v>4138085.04</v>
      </c>
      <c r="AF338" s="1425"/>
      <c r="AG338" s="1425"/>
    </row>
    <row r="339" spans="11:33" ht="6.75" customHeight="1" x14ac:dyDescent="0.25">
      <c r="P339" s="1420"/>
      <c r="Q339" s="1420"/>
      <c r="R339" s="1420"/>
      <c r="S339" s="1420"/>
      <c r="T339" s="1420"/>
      <c r="U339" s="1420"/>
      <c r="V339" s="1420"/>
      <c r="W339" s="1420"/>
    </row>
    <row r="340" spans="11:33" ht="10.5" customHeight="1" x14ac:dyDescent="0.25">
      <c r="Q340" s="1509" t="s">
        <v>2122</v>
      </c>
      <c r="R340" s="1509"/>
      <c r="S340" s="1509"/>
    </row>
    <row r="341" spans="11:33" ht="20.25" customHeight="1" x14ac:dyDescent="0.25"/>
    <row r="342" spans="11:33" ht="15" customHeight="1" x14ac:dyDescent="0.25">
      <c r="K342" s="1508" t="s">
        <v>2074</v>
      </c>
      <c r="L342" s="1508"/>
      <c r="M342" s="1508"/>
      <c r="N342" s="1508"/>
      <c r="O342" s="1508"/>
      <c r="P342" s="1508"/>
      <c r="Q342" s="1508"/>
      <c r="R342" s="1508"/>
      <c r="S342" s="1508"/>
      <c r="T342" s="1508"/>
      <c r="X342" s="1425">
        <v>3453777.81</v>
      </c>
      <c r="Y342" s="1425"/>
      <c r="Z342" s="1425"/>
      <c r="AA342" s="1425"/>
      <c r="AB342" s="1425"/>
      <c r="AC342" s="1425"/>
    </row>
    <row r="343" spans="11:33" ht="14.25" customHeight="1" x14ac:dyDescent="0.25">
      <c r="K343" s="1506" t="s">
        <v>2123</v>
      </c>
      <c r="L343" s="1506"/>
      <c r="M343" s="1506"/>
      <c r="N343" s="1506"/>
      <c r="O343" s="1506"/>
      <c r="P343" s="1506"/>
      <c r="Q343" s="1506"/>
      <c r="R343" s="1506"/>
      <c r="S343" s="1506"/>
      <c r="T343" s="1506"/>
      <c r="U343" s="1506"/>
      <c r="X343" s="1507">
        <v>2178259.31</v>
      </c>
      <c r="Y343" s="1507"/>
      <c r="Z343" s="1507"/>
      <c r="AA343" s="1507"/>
      <c r="AB343" s="1507"/>
      <c r="AC343" s="1507"/>
    </row>
    <row r="344" spans="11:33" ht="14.25" customHeight="1" x14ac:dyDescent="0.25">
      <c r="K344" s="1506" t="s">
        <v>175</v>
      </c>
      <c r="L344" s="1506"/>
      <c r="M344" s="1506"/>
      <c r="N344" s="1506"/>
      <c r="O344" s="1506"/>
      <c r="P344" s="1506"/>
      <c r="Q344" s="1506"/>
      <c r="R344" s="1506"/>
      <c r="S344" s="1506"/>
      <c r="T344" s="1506"/>
      <c r="U344" s="1506"/>
      <c r="X344" s="1507">
        <v>0</v>
      </c>
      <c r="Y344" s="1507"/>
      <c r="Z344" s="1507"/>
      <c r="AA344" s="1507"/>
      <c r="AB344" s="1507"/>
      <c r="AC344" s="1507"/>
    </row>
    <row r="345" spans="11:33" ht="10.5" customHeight="1" x14ac:dyDescent="0.25">
      <c r="K345" s="1506" t="s">
        <v>94</v>
      </c>
      <c r="L345" s="1506"/>
      <c r="M345" s="1506"/>
      <c r="N345" s="1506"/>
      <c r="O345" s="1506"/>
      <c r="P345" s="1506"/>
      <c r="Q345" s="1506"/>
      <c r="R345" s="1506"/>
      <c r="S345" s="1506"/>
      <c r="T345" s="1506"/>
      <c r="U345" s="1506"/>
      <c r="X345" s="1507">
        <v>1275518.5</v>
      </c>
      <c r="Y345" s="1507"/>
      <c r="Z345" s="1507"/>
      <c r="AA345" s="1507"/>
      <c r="AB345" s="1507"/>
      <c r="AC345" s="1507"/>
    </row>
    <row r="346" spans="11:33" ht="3" customHeight="1" x14ac:dyDescent="0.25"/>
    <row r="347" spans="11:33" ht="9" customHeight="1" x14ac:dyDescent="0.25"/>
    <row r="348" spans="11:33" ht="15" customHeight="1" x14ac:dyDescent="0.25">
      <c r="K348" s="1508" t="s">
        <v>2077</v>
      </c>
      <c r="L348" s="1508"/>
      <c r="M348" s="1508"/>
      <c r="N348" s="1508"/>
      <c r="O348" s="1508"/>
      <c r="P348" s="1508"/>
      <c r="Q348" s="1508"/>
      <c r="R348" s="1508"/>
      <c r="S348" s="1508"/>
      <c r="T348" s="1508"/>
      <c r="X348" s="1425">
        <v>684307.23</v>
      </c>
      <c r="Y348" s="1425"/>
      <c r="Z348" s="1425"/>
      <c r="AA348" s="1425"/>
      <c r="AB348" s="1425"/>
      <c r="AC348" s="1425"/>
    </row>
    <row r="349" spans="11:33" ht="14.25" customHeight="1" x14ac:dyDescent="0.25">
      <c r="K349" s="1506" t="s">
        <v>95</v>
      </c>
      <c r="L349" s="1506"/>
      <c r="M349" s="1506"/>
      <c r="N349" s="1506"/>
      <c r="O349" s="1506"/>
      <c r="P349" s="1506"/>
      <c r="Q349" s="1506"/>
      <c r="R349" s="1506"/>
      <c r="S349" s="1506"/>
      <c r="T349" s="1506"/>
      <c r="U349" s="1506"/>
      <c r="X349" s="1507">
        <v>684307.23</v>
      </c>
      <c r="Y349" s="1507"/>
      <c r="Z349" s="1507"/>
      <c r="AA349" s="1507"/>
      <c r="AB349" s="1507"/>
      <c r="AC349" s="1507"/>
    </row>
    <row r="350" spans="11:33" ht="14.25" customHeight="1" x14ac:dyDescent="0.25">
      <c r="K350" s="1506" t="s">
        <v>176</v>
      </c>
      <c r="L350" s="1506"/>
      <c r="M350" s="1506"/>
      <c r="N350" s="1506"/>
      <c r="O350" s="1506"/>
      <c r="P350" s="1506"/>
      <c r="Q350" s="1506"/>
      <c r="R350" s="1506"/>
      <c r="S350" s="1506"/>
      <c r="T350" s="1506"/>
      <c r="U350" s="1506"/>
      <c r="X350" s="1507">
        <v>0</v>
      </c>
      <c r="Y350" s="1507"/>
      <c r="Z350" s="1507"/>
      <c r="AA350" s="1507"/>
      <c r="AB350" s="1507"/>
      <c r="AC350" s="1507"/>
    </row>
    <row r="351" spans="11:33" ht="14.25" customHeight="1" x14ac:dyDescent="0.25">
      <c r="K351" s="1506" t="s">
        <v>96</v>
      </c>
      <c r="L351" s="1506"/>
      <c r="M351" s="1506"/>
      <c r="N351" s="1506"/>
      <c r="O351" s="1506"/>
      <c r="P351" s="1506"/>
      <c r="Q351" s="1506"/>
      <c r="R351" s="1506"/>
      <c r="S351" s="1506"/>
      <c r="T351" s="1506"/>
      <c r="U351" s="1506"/>
      <c r="X351" s="1507">
        <v>0</v>
      </c>
      <c r="Y351" s="1507"/>
      <c r="Z351" s="1507"/>
      <c r="AA351" s="1507"/>
      <c r="AB351" s="1507"/>
      <c r="AC351" s="1507"/>
    </row>
    <row r="352" spans="11:33" ht="10.5" customHeight="1" x14ac:dyDescent="0.25">
      <c r="K352" s="1506" t="s">
        <v>2080</v>
      </c>
      <c r="L352" s="1506"/>
      <c r="M352" s="1506"/>
      <c r="N352" s="1506"/>
      <c r="O352" s="1506"/>
      <c r="P352" s="1506"/>
      <c r="Q352" s="1506"/>
      <c r="R352" s="1506"/>
      <c r="S352" s="1506"/>
      <c r="T352" s="1506"/>
      <c r="U352" s="1506"/>
      <c r="X352" s="1507">
        <v>0</v>
      </c>
      <c r="Y352" s="1507"/>
      <c r="Z352" s="1507"/>
      <c r="AA352" s="1507"/>
      <c r="AB352" s="1507"/>
      <c r="AC352" s="1507"/>
    </row>
    <row r="353" spans="11:29" ht="3" customHeight="1" x14ac:dyDescent="0.25"/>
    <row r="354" spans="11:29" ht="9" customHeight="1" x14ac:dyDescent="0.25"/>
    <row r="355" spans="11:29" ht="15" customHeight="1" x14ac:dyDescent="0.25">
      <c r="K355" s="1508" t="s">
        <v>2124</v>
      </c>
      <c r="L355" s="1508"/>
      <c r="M355" s="1508"/>
      <c r="N355" s="1508"/>
      <c r="O355" s="1508"/>
      <c r="P355" s="1508"/>
      <c r="Q355" s="1508"/>
      <c r="R355" s="1508"/>
      <c r="S355" s="1508"/>
      <c r="T355" s="1508"/>
      <c r="X355" s="1425">
        <v>0</v>
      </c>
      <c r="Y355" s="1425"/>
      <c r="Z355" s="1425"/>
      <c r="AA355" s="1425"/>
      <c r="AB355" s="1425"/>
      <c r="AC355" s="1425"/>
    </row>
    <row r="356" spans="11:29" ht="10.5" customHeight="1" x14ac:dyDescent="0.25">
      <c r="K356" s="1506" t="s">
        <v>2123</v>
      </c>
      <c r="L356" s="1506"/>
      <c r="M356" s="1506"/>
      <c r="N356" s="1506"/>
      <c r="O356" s="1506"/>
      <c r="P356" s="1506"/>
      <c r="Q356" s="1506"/>
      <c r="R356" s="1506"/>
      <c r="S356" s="1506"/>
      <c r="T356" s="1506"/>
      <c r="U356" s="1506"/>
      <c r="X356" s="1507">
        <v>0</v>
      </c>
      <c r="Y356" s="1507"/>
      <c r="Z356" s="1507"/>
      <c r="AA356" s="1507"/>
      <c r="AB356" s="1507"/>
      <c r="AC356" s="1507"/>
    </row>
    <row r="357" spans="11:29" ht="3" customHeight="1" x14ac:dyDescent="0.25"/>
    <row r="358" spans="11:29" ht="9.75" customHeight="1" x14ac:dyDescent="0.25"/>
    <row r="359" spans="11:29" ht="10.5" customHeight="1" x14ac:dyDescent="0.25">
      <c r="K359" s="1424" t="s">
        <v>0</v>
      </c>
      <c r="L359" s="1424"/>
      <c r="X359" s="1425">
        <v>4138085.04</v>
      </c>
      <c r="Y359" s="1425"/>
      <c r="Z359" s="1425"/>
      <c r="AA359" s="1425"/>
      <c r="AB359" s="1425"/>
      <c r="AC359" s="1425"/>
    </row>
  </sheetData>
  <mergeCells count="498">
    <mergeCell ref="E84:F84"/>
    <mergeCell ref="H84:Q84"/>
    <mergeCell ref="I75:Q75"/>
    <mergeCell ref="S75:V75"/>
    <mergeCell ref="C77:H77"/>
    <mergeCell ref="I77:Q77"/>
    <mergeCell ref="S77:V77"/>
    <mergeCell ref="P80:W80"/>
    <mergeCell ref="AE80:AG80"/>
    <mergeCell ref="E83:F83"/>
    <mergeCell ref="H83:Q83"/>
    <mergeCell ref="C111:H111"/>
    <mergeCell ref="I111:Q111"/>
    <mergeCell ref="S111:V111"/>
    <mergeCell ref="C113:H113"/>
    <mergeCell ref="I113:Q113"/>
    <mergeCell ref="S113:V113"/>
    <mergeCell ref="C26:H26"/>
    <mergeCell ref="I26:Q26"/>
    <mergeCell ref="S26:V26"/>
    <mergeCell ref="C28:H28"/>
    <mergeCell ref="I28:Q28"/>
    <mergeCell ref="S28:V28"/>
    <mergeCell ref="C30:H30"/>
    <mergeCell ref="I30:Q30"/>
    <mergeCell ref="C50:H50"/>
    <mergeCell ref="I50:Q50"/>
    <mergeCell ref="S50:V50"/>
    <mergeCell ref="C71:H71"/>
    <mergeCell ref="I71:Q71"/>
    <mergeCell ref="S71:V71"/>
    <mergeCell ref="C73:H73"/>
    <mergeCell ref="I73:Q73"/>
    <mergeCell ref="S73:V73"/>
    <mergeCell ref="C75:H75"/>
    <mergeCell ref="E11:F11"/>
    <mergeCell ref="H11:Q11"/>
    <mergeCell ref="C20:H20"/>
    <mergeCell ref="I20:Q20"/>
    <mergeCell ref="S20:V20"/>
    <mergeCell ref="C22:H22"/>
    <mergeCell ref="I22:Q22"/>
    <mergeCell ref="S22:V22"/>
    <mergeCell ref="C24:H24"/>
    <mergeCell ref="I24:Q24"/>
    <mergeCell ref="S24:V24"/>
    <mergeCell ref="E12:F12"/>
    <mergeCell ref="H12:Q12"/>
    <mergeCell ref="C14:H14"/>
    <mergeCell ref="I14:Q14"/>
    <mergeCell ref="A2:D2"/>
    <mergeCell ref="A3:AG3"/>
    <mergeCell ref="A1:AG1"/>
    <mergeCell ref="A4:AG4"/>
    <mergeCell ref="A5:AG5"/>
    <mergeCell ref="AF9:AG9"/>
    <mergeCell ref="C9:E9"/>
    <mergeCell ref="I9:M9"/>
    <mergeCell ref="S9:V9"/>
    <mergeCell ref="AA9:AC9"/>
    <mergeCell ref="AF14:AG14"/>
    <mergeCell ref="C16:H16"/>
    <mergeCell ref="I16:Q16"/>
    <mergeCell ref="Z16:AC16"/>
    <mergeCell ref="C18:H18"/>
    <mergeCell ref="I18:Q18"/>
    <mergeCell ref="S18:V18"/>
    <mergeCell ref="Z30:AC30"/>
    <mergeCell ref="C32:H32"/>
    <mergeCell ref="I32:Q32"/>
    <mergeCell ref="S32:V32"/>
    <mergeCell ref="C34:H34"/>
    <mergeCell ref="I34:Q34"/>
    <mergeCell ref="S34:V34"/>
    <mergeCell ref="C36:H36"/>
    <mergeCell ref="I36:Q36"/>
    <mergeCell ref="S36:V36"/>
    <mergeCell ref="C38:H38"/>
    <mergeCell ref="I38:Q38"/>
    <mergeCell ref="S38:V38"/>
    <mergeCell ref="C40:H40"/>
    <mergeCell ref="I40:Q40"/>
    <mergeCell ref="S40:V40"/>
    <mergeCell ref="C42:H42"/>
    <mergeCell ref="I42:Q42"/>
    <mergeCell ref="S42:V42"/>
    <mergeCell ref="C44:H44"/>
    <mergeCell ref="I44:Q44"/>
    <mergeCell ref="S44:V44"/>
    <mergeCell ref="C46:H46"/>
    <mergeCell ref="I46:Q46"/>
    <mergeCell ref="S46:V46"/>
    <mergeCell ref="C48:H48"/>
    <mergeCell ref="I48:Q48"/>
    <mergeCell ref="S48:V48"/>
    <mergeCell ref="C52:H52"/>
    <mergeCell ref="I52:Q52"/>
    <mergeCell ref="S52:V52"/>
    <mergeCell ref="C54:H54"/>
    <mergeCell ref="I54:Q54"/>
    <mergeCell ref="S54:V54"/>
    <mergeCell ref="S56:V56"/>
    <mergeCell ref="S58:V58"/>
    <mergeCell ref="C63:H63"/>
    <mergeCell ref="I63:Q63"/>
    <mergeCell ref="C56:H56"/>
    <mergeCell ref="I56:Q56"/>
    <mergeCell ref="C58:H58"/>
    <mergeCell ref="I58:Q58"/>
    <mergeCell ref="C60:H60"/>
    <mergeCell ref="I60:Q60"/>
    <mergeCell ref="S60:V60"/>
    <mergeCell ref="AF63:AG63"/>
    <mergeCell ref="C65:H65"/>
    <mergeCell ref="I65:Q65"/>
    <mergeCell ref="Z65:AC65"/>
    <mergeCell ref="C67:H67"/>
    <mergeCell ref="I67:Q67"/>
    <mergeCell ref="S67:V67"/>
    <mergeCell ref="C69:H69"/>
    <mergeCell ref="I69:Q69"/>
    <mergeCell ref="S69:V69"/>
    <mergeCell ref="C86:H86"/>
    <mergeCell ref="I86:Q86"/>
    <mergeCell ref="AF86:AG86"/>
    <mergeCell ref="C88:H88"/>
    <mergeCell ref="I88:Q88"/>
    <mergeCell ref="Z88:AC88"/>
    <mergeCell ref="C90:H90"/>
    <mergeCell ref="I90:Q90"/>
    <mergeCell ref="S90:V90"/>
    <mergeCell ref="C92:H92"/>
    <mergeCell ref="I92:Q92"/>
    <mergeCell ref="S92:V92"/>
    <mergeCell ref="C94:H94"/>
    <mergeCell ref="I94:Q94"/>
    <mergeCell ref="S94:V94"/>
    <mergeCell ref="C95:H95"/>
    <mergeCell ref="I95:Q95"/>
    <mergeCell ref="S95:V95"/>
    <mergeCell ref="C97:H97"/>
    <mergeCell ref="I97:Q97"/>
    <mergeCell ref="S97:V97"/>
    <mergeCell ref="C99:H99"/>
    <mergeCell ref="I99:Q99"/>
    <mergeCell ref="S99:V99"/>
    <mergeCell ref="C101:H101"/>
    <mergeCell ref="I101:Q101"/>
    <mergeCell ref="Z101:AC101"/>
    <mergeCell ref="C103:H103"/>
    <mergeCell ref="I103:Q103"/>
    <mergeCell ref="S103:V103"/>
    <mergeCell ref="C107:H107"/>
    <mergeCell ref="I107:Q107"/>
    <mergeCell ref="S107:V107"/>
    <mergeCell ref="C109:H109"/>
    <mergeCell ref="I109:Q109"/>
    <mergeCell ref="S109:V109"/>
    <mergeCell ref="C105:H105"/>
    <mergeCell ref="I105:Q105"/>
    <mergeCell ref="S105:V105"/>
    <mergeCell ref="C115:H115"/>
    <mergeCell ref="I115:Q115"/>
    <mergeCell ref="S115:V115"/>
    <mergeCell ref="C117:H117"/>
    <mergeCell ref="I117:Q117"/>
    <mergeCell ref="S117:V117"/>
    <mergeCell ref="C119:H119"/>
    <mergeCell ref="I119:Q119"/>
    <mergeCell ref="S119:V119"/>
    <mergeCell ref="C121:H121"/>
    <mergeCell ref="I121:Q121"/>
    <mergeCell ref="S121:V121"/>
    <mergeCell ref="C123:H123"/>
    <mergeCell ref="I123:Q123"/>
    <mergeCell ref="S123:V123"/>
    <mergeCell ref="C125:H125"/>
    <mergeCell ref="I125:Q125"/>
    <mergeCell ref="S125:V125"/>
    <mergeCell ref="C127:H127"/>
    <mergeCell ref="I127:Q127"/>
    <mergeCell ref="S127:V127"/>
    <mergeCell ref="C129:H129"/>
    <mergeCell ref="I129:Q129"/>
    <mergeCell ref="S129:V129"/>
    <mergeCell ref="C132:H132"/>
    <mergeCell ref="I132:Q132"/>
    <mergeCell ref="AF132:AG132"/>
    <mergeCell ref="C134:H134"/>
    <mergeCell ref="I134:Q134"/>
    <mergeCell ref="Z134:AC134"/>
    <mergeCell ref="C136:H136"/>
    <mergeCell ref="I136:Q136"/>
    <mergeCell ref="S136:V136"/>
    <mergeCell ref="C138:H138"/>
    <mergeCell ref="I138:Q138"/>
    <mergeCell ref="S138:V138"/>
    <mergeCell ref="C140:H140"/>
    <mergeCell ref="I140:Q140"/>
    <mergeCell ref="S140:V140"/>
    <mergeCell ref="C142:H142"/>
    <mergeCell ref="I142:Q142"/>
    <mergeCell ref="S142:V142"/>
    <mergeCell ref="C144:H144"/>
    <mergeCell ref="I144:Q144"/>
    <mergeCell ref="S144:V144"/>
    <mergeCell ref="C146:H146"/>
    <mergeCell ref="I146:Q146"/>
    <mergeCell ref="S146:V146"/>
    <mergeCell ref="P149:W149"/>
    <mergeCell ref="AE149:AG149"/>
    <mergeCell ref="E152:F152"/>
    <mergeCell ref="H152:Q152"/>
    <mergeCell ref="E153:F153"/>
    <mergeCell ref="H153:Q153"/>
    <mergeCell ref="C155:H155"/>
    <mergeCell ref="I155:Q155"/>
    <mergeCell ref="AF155:AG155"/>
    <mergeCell ref="C157:H157"/>
    <mergeCell ref="I157:Q157"/>
    <mergeCell ref="Z157:AC157"/>
    <mergeCell ref="C159:H159"/>
    <mergeCell ref="I159:Q159"/>
    <mergeCell ref="S159:V159"/>
    <mergeCell ref="C161:H161"/>
    <mergeCell ref="I161:Q161"/>
    <mergeCell ref="S161:V161"/>
    <mergeCell ref="C163:H163"/>
    <mergeCell ref="I163:Q163"/>
    <mergeCell ref="S163:V163"/>
    <mergeCell ref="C165:H165"/>
    <mergeCell ref="I165:Q165"/>
    <mergeCell ref="S165:V165"/>
    <mergeCell ref="C167:H167"/>
    <mergeCell ref="I167:Q167"/>
    <mergeCell ref="S167:V167"/>
    <mergeCell ref="C169:H169"/>
    <mergeCell ref="I169:Q169"/>
    <mergeCell ref="Z169:AC169"/>
    <mergeCell ref="C171:H171"/>
    <mergeCell ref="I171:Q171"/>
    <mergeCell ref="S171:V171"/>
    <mergeCell ref="C173:H173"/>
    <mergeCell ref="I173:Q173"/>
    <mergeCell ref="S173:V173"/>
    <mergeCell ref="C175:H175"/>
    <mergeCell ref="I175:Q175"/>
    <mergeCell ref="S175:V175"/>
    <mergeCell ref="C177:H177"/>
    <mergeCell ref="I177:Q177"/>
    <mergeCell ref="S177:V177"/>
    <mergeCell ref="C179:H179"/>
    <mergeCell ref="I179:Q179"/>
    <mergeCell ref="S179:V179"/>
    <mergeCell ref="C180:H180"/>
    <mergeCell ref="I180:Q180"/>
    <mergeCell ref="S180:V180"/>
    <mergeCell ref="C182:H182"/>
    <mergeCell ref="I182:Q182"/>
    <mergeCell ref="S182:V182"/>
    <mergeCell ref="C184:H184"/>
    <mergeCell ref="I184:Q184"/>
    <mergeCell ref="S184:V184"/>
    <mergeCell ref="C186:H186"/>
    <mergeCell ref="I186:Q186"/>
    <mergeCell ref="S186:V186"/>
    <mergeCell ref="C188:H188"/>
    <mergeCell ref="I188:Q188"/>
    <mergeCell ref="S188:V188"/>
    <mergeCell ref="C190:H190"/>
    <mergeCell ref="I190:Q190"/>
    <mergeCell ref="S190:V190"/>
    <mergeCell ref="C192:H192"/>
    <mergeCell ref="I192:Q192"/>
    <mergeCell ref="S192:V192"/>
    <mergeCell ref="C194:H194"/>
    <mergeCell ref="I194:Q194"/>
    <mergeCell ref="S194:V194"/>
    <mergeCell ref="C197:H197"/>
    <mergeCell ref="I197:Q197"/>
    <mergeCell ref="AF197:AG197"/>
    <mergeCell ref="C199:H199"/>
    <mergeCell ref="I199:Q199"/>
    <mergeCell ref="Z199:AC199"/>
    <mergeCell ref="C201:H201"/>
    <mergeCell ref="I201:Q201"/>
    <mergeCell ref="S201:V201"/>
    <mergeCell ref="C203:H203"/>
    <mergeCell ref="I203:Q203"/>
    <mergeCell ref="S203:V203"/>
    <mergeCell ref="C205:H205"/>
    <mergeCell ref="I205:Q205"/>
    <mergeCell ref="S205:V205"/>
    <mergeCell ref="C207:H207"/>
    <mergeCell ref="I207:Q207"/>
    <mergeCell ref="S207:V207"/>
    <mergeCell ref="C209:H209"/>
    <mergeCell ref="I209:Q209"/>
    <mergeCell ref="S209:V209"/>
    <mergeCell ref="C211:H211"/>
    <mergeCell ref="I211:Q211"/>
    <mergeCell ref="S211:V211"/>
    <mergeCell ref="C213:H213"/>
    <mergeCell ref="I213:Q213"/>
    <mergeCell ref="S213:V213"/>
    <mergeCell ref="C215:H215"/>
    <mergeCell ref="I215:Q215"/>
    <mergeCell ref="S215:V215"/>
    <mergeCell ref="P218:W218"/>
    <mergeCell ref="AE218:AG218"/>
    <mergeCell ref="E221:F221"/>
    <mergeCell ref="H221:Q221"/>
    <mergeCell ref="E222:F222"/>
    <mergeCell ref="H222:Q222"/>
    <mergeCell ref="C224:H224"/>
    <mergeCell ref="I224:Q224"/>
    <mergeCell ref="AF224:AG224"/>
    <mergeCell ref="C226:H226"/>
    <mergeCell ref="I226:Q226"/>
    <mergeCell ref="Z226:AC226"/>
    <mergeCell ref="C228:H228"/>
    <mergeCell ref="I228:Q228"/>
    <mergeCell ref="S228:V228"/>
    <mergeCell ref="C230:H230"/>
    <mergeCell ref="I230:Q230"/>
    <mergeCell ref="S230:V230"/>
    <mergeCell ref="C232:H232"/>
    <mergeCell ref="I232:Q232"/>
    <mergeCell ref="S232:V232"/>
    <mergeCell ref="C234:H234"/>
    <mergeCell ref="I234:Q234"/>
    <mergeCell ref="S234:V234"/>
    <mergeCell ref="C236:H236"/>
    <mergeCell ref="I236:Q236"/>
    <mergeCell ref="S236:V236"/>
    <mergeCell ref="C238:H238"/>
    <mergeCell ref="I238:Q238"/>
    <mergeCell ref="Z238:AC238"/>
    <mergeCell ref="C240:H240"/>
    <mergeCell ref="I240:Q240"/>
    <mergeCell ref="S240:V240"/>
    <mergeCell ref="C242:H242"/>
    <mergeCell ref="I242:Q242"/>
    <mergeCell ref="S242:V242"/>
    <mergeCell ref="C244:H244"/>
    <mergeCell ref="I244:Q244"/>
    <mergeCell ref="S244:V244"/>
    <mergeCell ref="C246:H246"/>
    <mergeCell ref="I246:Q246"/>
    <mergeCell ref="S246:V246"/>
    <mergeCell ref="C248:H248"/>
    <mergeCell ref="I248:Q248"/>
    <mergeCell ref="S248:V248"/>
    <mergeCell ref="C250:H250"/>
    <mergeCell ref="I250:Q250"/>
    <mergeCell ref="S250:V250"/>
    <mergeCell ref="C252:H252"/>
    <mergeCell ref="I252:Q252"/>
    <mergeCell ref="S252:V252"/>
    <mergeCell ref="C254:H254"/>
    <mergeCell ref="I254:Q254"/>
    <mergeCell ref="S254:V254"/>
    <mergeCell ref="C256:H256"/>
    <mergeCell ref="I256:Q256"/>
    <mergeCell ref="S256:V256"/>
    <mergeCell ref="C258:H258"/>
    <mergeCell ref="I258:Q258"/>
    <mergeCell ref="S258:V258"/>
    <mergeCell ref="C260:H260"/>
    <mergeCell ref="I260:Q260"/>
    <mergeCell ref="S260:V260"/>
    <mergeCell ref="C262:H262"/>
    <mergeCell ref="I262:Q262"/>
    <mergeCell ref="S262:V262"/>
    <mergeCell ref="C264:H264"/>
    <mergeCell ref="I264:Q264"/>
    <mergeCell ref="S264:V264"/>
    <mergeCell ref="C267:H267"/>
    <mergeCell ref="I267:Q267"/>
    <mergeCell ref="AF267:AG267"/>
    <mergeCell ref="C269:H269"/>
    <mergeCell ref="I269:Q269"/>
    <mergeCell ref="Z269:AC269"/>
    <mergeCell ref="C271:H271"/>
    <mergeCell ref="I271:Q271"/>
    <mergeCell ref="S271:V271"/>
    <mergeCell ref="C273:H273"/>
    <mergeCell ref="I273:Q273"/>
    <mergeCell ref="S273:V273"/>
    <mergeCell ref="C275:H275"/>
    <mergeCell ref="I275:Q275"/>
    <mergeCell ref="S275:V275"/>
    <mergeCell ref="C277:H277"/>
    <mergeCell ref="I277:Q277"/>
    <mergeCell ref="S277:V277"/>
    <mergeCell ref="C279:H279"/>
    <mergeCell ref="I279:Q279"/>
    <mergeCell ref="S279:V279"/>
    <mergeCell ref="C281:H281"/>
    <mergeCell ref="I281:Q281"/>
    <mergeCell ref="S281:V281"/>
    <mergeCell ref="C283:H283"/>
    <mergeCell ref="I283:Q283"/>
    <mergeCell ref="S283:V283"/>
    <mergeCell ref="C285:H285"/>
    <mergeCell ref="I285:Q285"/>
    <mergeCell ref="S285:V285"/>
    <mergeCell ref="P288:W288"/>
    <mergeCell ref="AE288:AG288"/>
    <mergeCell ref="E291:F291"/>
    <mergeCell ref="H291:Q291"/>
    <mergeCell ref="E292:F292"/>
    <mergeCell ref="H292:Q292"/>
    <mergeCell ref="C294:H294"/>
    <mergeCell ref="I294:Q294"/>
    <mergeCell ref="AF294:AG294"/>
    <mergeCell ref="C296:H296"/>
    <mergeCell ref="I296:Q296"/>
    <mergeCell ref="Z296:AC296"/>
    <mergeCell ref="C298:H298"/>
    <mergeCell ref="I298:Q298"/>
    <mergeCell ref="S298:V298"/>
    <mergeCell ref="C300:H300"/>
    <mergeCell ref="I300:Q300"/>
    <mergeCell ref="S300:V300"/>
    <mergeCell ref="C302:H302"/>
    <mergeCell ref="I302:Q302"/>
    <mergeCell ref="S302:V302"/>
    <mergeCell ref="C304:H304"/>
    <mergeCell ref="I304:Q304"/>
    <mergeCell ref="S304:V304"/>
    <mergeCell ref="C306:H306"/>
    <mergeCell ref="I306:Q306"/>
    <mergeCell ref="S306:V306"/>
    <mergeCell ref="C308:H308"/>
    <mergeCell ref="I308:Q308"/>
    <mergeCell ref="S308:V308"/>
    <mergeCell ref="C310:H310"/>
    <mergeCell ref="I310:Q310"/>
    <mergeCell ref="S310:V310"/>
    <mergeCell ref="C312:H312"/>
    <mergeCell ref="I312:Q312"/>
    <mergeCell ref="S312:V312"/>
    <mergeCell ref="C314:H314"/>
    <mergeCell ref="I314:Q314"/>
    <mergeCell ref="S314:V314"/>
    <mergeCell ref="C316:H316"/>
    <mergeCell ref="I316:Q316"/>
    <mergeCell ref="S316:V316"/>
    <mergeCell ref="C318:H318"/>
    <mergeCell ref="I318:Q318"/>
    <mergeCell ref="S318:V318"/>
    <mergeCell ref="C320:H320"/>
    <mergeCell ref="I320:Q320"/>
    <mergeCell ref="S320:V320"/>
    <mergeCell ref="C323:H323"/>
    <mergeCell ref="I323:Q323"/>
    <mergeCell ref="AF323:AG323"/>
    <mergeCell ref="C325:H325"/>
    <mergeCell ref="I325:Q325"/>
    <mergeCell ref="Z325:AC325"/>
    <mergeCell ref="C327:H327"/>
    <mergeCell ref="I327:Q327"/>
    <mergeCell ref="S327:V327"/>
    <mergeCell ref="C329:H329"/>
    <mergeCell ref="I329:Q329"/>
    <mergeCell ref="S329:V329"/>
    <mergeCell ref="P332:W332"/>
    <mergeCell ref="AE332:AG332"/>
    <mergeCell ref="P335:W336"/>
    <mergeCell ref="AE335:AG335"/>
    <mergeCell ref="P338:W339"/>
    <mergeCell ref="AE338:AG338"/>
    <mergeCell ref="Q340:S340"/>
    <mergeCell ref="K342:T342"/>
    <mergeCell ref="X342:AC342"/>
    <mergeCell ref="K343:U343"/>
    <mergeCell ref="X343:AC343"/>
    <mergeCell ref="K344:U344"/>
    <mergeCell ref="X344:AC344"/>
    <mergeCell ref="K345:U345"/>
    <mergeCell ref="X345:AC345"/>
    <mergeCell ref="K348:T348"/>
    <mergeCell ref="X348:AC348"/>
    <mergeCell ref="K349:U349"/>
    <mergeCell ref="X349:AC349"/>
    <mergeCell ref="K359:L359"/>
    <mergeCell ref="X359:AC359"/>
    <mergeCell ref="K350:U350"/>
    <mergeCell ref="X350:AC350"/>
    <mergeCell ref="K351:U351"/>
    <mergeCell ref="X351:AC351"/>
    <mergeCell ref="K352:U352"/>
    <mergeCell ref="X352:AC352"/>
    <mergeCell ref="K355:T355"/>
    <mergeCell ref="X355:AC355"/>
    <mergeCell ref="K356:U356"/>
    <mergeCell ref="X356:AC356"/>
  </mergeCells>
  <pageMargins left="0.51181102362204722" right="0.51181102362204722" top="0.78740157480314965" bottom="0.78740157480314965" header="0.31496062992125984" footer="0.31496062992125984"/>
  <pageSetup paperSize="9"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2"/>
  <sheetViews>
    <sheetView workbookViewId="0">
      <selection sqref="A1:XFD1048576"/>
    </sheetView>
  </sheetViews>
  <sheetFormatPr defaultColWidth="6.85546875" defaultRowHeight="12.75" customHeight="1" x14ac:dyDescent="0.25"/>
  <cols>
    <col min="1" max="1" width="1.140625" style="1110" customWidth="1"/>
    <col min="2" max="2" width="1" style="1110" customWidth="1"/>
    <col min="3" max="3" width="7.28515625" style="1110" customWidth="1"/>
    <col min="4" max="4" width="1.140625" style="1110" customWidth="1"/>
    <col min="5" max="5" width="5.5703125" style="1110" customWidth="1"/>
    <col min="6" max="6" width="1.140625" style="1110" customWidth="1"/>
    <col min="7" max="7" width="1.28515625" style="1110" customWidth="1"/>
    <col min="8" max="8" width="2.28515625" style="1110" customWidth="1"/>
    <col min="9" max="9" width="11.5703125" style="1110" customWidth="1"/>
    <col min="10" max="10" width="1.5703125" style="1110" customWidth="1"/>
    <col min="11" max="11" width="2.5703125" style="1110" customWidth="1"/>
    <col min="12" max="12" width="11.42578125" style="1110" customWidth="1"/>
    <col min="13" max="13" width="2" style="1110" customWidth="1"/>
    <col min="14" max="14" width="13.28515625" style="1110" customWidth="1"/>
    <col min="15" max="15" width="2.28515625" style="1110" customWidth="1"/>
    <col min="16" max="16" width="1.140625" style="1110" customWidth="1"/>
    <col min="17" max="17" width="7.28515625" style="1110" customWidth="1"/>
    <col min="18" max="18" width="1.42578125" style="1110" customWidth="1"/>
    <col min="19" max="19" width="4.7109375" style="1110" customWidth="1"/>
    <col min="20" max="20" width="4.5703125" style="1110" customWidth="1"/>
    <col min="21" max="21" width="2.28515625" style="1110" customWidth="1"/>
    <col min="22" max="22" width="3.42578125" style="1110" customWidth="1"/>
    <col min="23" max="23" width="1" style="1110" customWidth="1"/>
    <col min="24" max="24" width="1.42578125" style="1110" customWidth="1"/>
    <col min="25" max="25" width="1.7109375" style="1110" customWidth="1"/>
    <col min="26" max="26" width="2" style="1110" customWidth="1"/>
    <col min="27" max="27" width="1.140625" style="1110" customWidth="1"/>
    <col min="28" max="28" width="4.5703125" style="1110" customWidth="1"/>
    <col min="29" max="29" width="7.140625" style="1110" customWidth="1"/>
    <col min="30" max="30" width="3.5703125" style="1110" customWidth="1"/>
    <col min="31" max="31" width="2" style="1110" customWidth="1"/>
    <col min="32" max="32" width="5.140625" style="1110" customWidth="1"/>
    <col min="33" max="33" width="10.85546875" style="1110" customWidth="1"/>
    <col min="34" max="34" width="1" style="1110" customWidth="1"/>
    <col min="35" max="35" width="1.140625" style="1110" customWidth="1"/>
    <col min="36" max="36" width="1.7109375" style="1110" customWidth="1"/>
    <col min="37" max="37" width="5.85546875" style="1110" customWidth="1"/>
    <col min="38" max="16384" width="6.85546875" style="1110"/>
  </cols>
  <sheetData>
    <row r="1" spans="1:33" s="1109" customFormat="1" ht="15" customHeight="1" x14ac:dyDescent="0.25">
      <c r="A1" s="1467" t="str">
        <f>'CADASTRO BASE RECEITA '!A$1</f>
        <v>PROPOSTA ORÇAMENTÁRIA PARA 2016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  <c r="Y1" s="1467"/>
      <c r="Z1" s="1467"/>
      <c r="AA1" s="1467"/>
      <c r="AB1" s="1467"/>
      <c r="AC1" s="1467"/>
      <c r="AD1" s="1467"/>
      <c r="AE1" s="1467"/>
      <c r="AF1" s="1467"/>
      <c r="AG1" s="1467"/>
    </row>
    <row r="2" spans="1:33" s="1109" customFormat="1" ht="15" customHeight="1" x14ac:dyDescent="0.25">
      <c r="A2" s="1512"/>
      <c r="B2" s="1512"/>
      <c r="C2" s="1512"/>
      <c r="D2" s="1512"/>
      <c r="E2" s="1512"/>
      <c r="F2" s="1512"/>
      <c r="G2" s="1512"/>
      <c r="H2" s="1512"/>
    </row>
    <row r="3" spans="1:33" s="1109" customFormat="1" ht="15" customHeight="1" x14ac:dyDescent="0.25">
      <c r="A3" s="1512" t="s">
        <v>177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2"/>
      <c r="Z3" s="1512"/>
      <c r="AA3" s="1512"/>
      <c r="AB3" s="1512"/>
      <c r="AC3" s="1512"/>
      <c r="AD3" s="1512"/>
      <c r="AE3" s="1512"/>
      <c r="AF3" s="1512"/>
      <c r="AG3" s="1512"/>
    </row>
    <row r="4" spans="1:33" s="1109" customFormat="1" ht="15" customHeight="1" x14ac:dyDescent="0.25">
      <c r="A4" s="1512" t="s">
        <v>182</v>
      </c>
      <c r="B4" s="1512"/>
      <c r="C4" s="1512"/>
      <c r="D4" s="1512"/>
      <c r="E4" s="1512"/>
      <c r="F4" s="1512"/>
      <c r="G4" s="1512"/>
      <c r="H4" s="1512"/>
      <c r="I4" s="1512"/>
      <c r="J4" s="1512"/>
      <c r="K4" s="1512"/>
      <c r="L4" s="1512"/>
      <c r="M4" s="1512"/>
      <c r="N4" s="1512"/>
      <c r="O4" s="1512"/>
      <c r="P4" s="1512"/>
      <c r="Q4" s="1512"/>
      <c r="R4" s="1512"/>
      <c r="S4" s="1512"/>
      <c r="T4" s="1512"/>
      <c r="U4" s="1512"/>
      <c r="V4" s="1512"/>
      <c r="W4" s="1512"/>
      <c r="X4" s="1512"/>
      <c r="Y4" s="1512"/>
      <c r="Z4" s="1512"/>
      <c r="AA4" s="1512"/>
      <c r="AB4" s="1512"/>
      <c r="AC4" s="1512"/>
      <c r="AD4" s="1512"/>
      <c r="AE4" s="1512"/>
      <c r="AF4" s="1512"/>
      <c r="AG4" s="1512"/>
    </row>
    <row r="5" spans="1:33" s="1109" customFormat="1" ht="15" customHeight="1" x14ac:dyDescent="0.2">
      <c r="A5" s="1513" t="s">
        <v>11845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</row>
    <row r="7" spans="1:33" ht="12" customHeight="1" x14ac:dyDescent="0.25"/>
    <row r="8" spans="1:33" ht="1.5" customHeight="1" x14ac:dyDescent="0.25"/>
    <row r="9" spans="1:33" ht="11.25" customHeight="1" x14ac:dyDescent="0.25">
      <c r="C9" s="1424" t="s">
        <v>2099</v>
      </c>
      <c r="D9" s="1424"/>
      <c r="E9" s="1424"/>
      <c r="I9" s="1424" t="s">
        <v>2100</v>
      </c>
      <c r="J9" s="1424"/>
      <c r="K9" s="1424"/>
      <c r="L9" s="1424"/>
      <c r="M9" s="1424"/>
      <c r="S9" s="1420" t="s">
        <v>2101</v>
      </c>
      <c r="T9" s="1420"/>
      <c r="U9" s="1420"/>
      <c r="V9" s="1420"/>
      <c r="AA9" s="1420" t="s">
        <v>2102</v>
      </c>
      <c r="AB9" s="1420"/>
      <c r="AC9" s="1420"/>
      <c r="AF9" s="1420" t="s">
        <v>2103</v>
      </c>
      <c r="AG9" s="1420"/>
    </row>
    <row r="10" spans="1:33" ht="0.75" customHeight="1" x14ac:dyDescent="0.25"/>
    <row r="11" spans="1:33" ht="13.5" customHeight="1" x14ac:dyDescent="0.25">
      <c r="C11" s="182" t="s">
        <v>1986</v>
      </c>
      <c r="E11" s="1511">
        <v>5</v>
      </c>
      <c r="F11" s="1511"/>
      <c r="H11" s="1506" t="s">
        <v>11855</v>
      </c>
      <c r="I11" s="1506"/>
      <c r="J11" s="1506"/>
      <c r="K11" s="1506"/>
      <c r="L11" s="1506"/>
      <c r="M11" s="1506"/>
      <c r="N11" s="1506"/>
      <c r="O11" s="1506"/>
      <c r="P11" s="1506"/>
      <c r="Q11" s="1506"/>
    </row>
    <row r="12" spans="1:33" ht="12" customHeight="1" x14ac:dyDescent="0.25">
      <c r="C12" s="182" t="s">
        <v>458</v>
      </c>
      <c r="E12" s="1511">
        <v>2</v>
      </c>
      <c r="F12" s="1511"/>
      <c r="H12" s="1506" t="s">
        <v>11856</v>
      </c>
      <c r="I12" s="1506"/>
      <c r="J12" s="1506"/>
      <c r="K12" s="1506"/>
      <c r="L12" s="1506"/>
      <c r="M12" s="1506"/>
      <c r="N12" s="1506"/>
      <c r="O12" s="1506"/>
      <c r="P12" s="1506"/>
      <c r="Q12" s="1506"/>
    </row>
    <row r="13" spans="1:33" ht="1.5" customHeight="1" x14ac:dyDescent="0.25"/>
    <row r="14" spans="1:33" ht="10.5" customHeight="1" x14ac:dyDescent="0.25">
      <c r="C14" s="1506" t="s">
        <v>2104</v>
      </c>
      <c r="D14" s="1506"/>
      <c r="E14" s="1506"/>
      <c r="F14" s="1506"/>
      <c r="G14" s="1506"/>
      <c r="H14" s="1506"/>
      <c r="I14" s="1510" t="s">
        <v>2105</v>
      </c>
      <c r="J14" s="1510"/>
      <c r="K14" s="1510"/>
      <c r="L14" s="1510"/>
      <c r="M14" s="1510"/>
      <c r="N14" s="1510"/>
      <c r="O14" s="1510"/>
      <c r="P14" s="1510"/>
      <c r="Q14" s="1510"/>
      <c r="AF14" s="1507">
        <v>140593.95000000001</v>
      </c>
      <c r="AG14" s="1507"/>
    </row>
    <row r="15" spans="1:33" ht="0.75" customHeight="1" x14ac:dyDescent="0.25"/>
    <row r="16" spans="1:33" ht="11.25" customHeight="1" x14ac:dyDescent="0.25">
      <c r="C16" s="1506" t="s">
        <v>2109</v>
      </c>
      <c r="D16" s="1506"/>
      <c r="E16" s="1506"/>
      <c r="F16" s="1506"/>
      <c r="G16" s="1506"/>
      <c r="H16" s="1506"/>
      <c r="I16" s="1510" t="s">
        <v>94</v>
      </c>
      <c r="J16" s="1510"/>
      <c r="K16" s="1510"/>
      <c r="L16" s="1510"/>
      <c r="M16" s="1510"/>
      <c r="N16" s="1510"/>
      <c r="O16" s="1510"/>
      <c r="P16" s="1510"/>
      <c r="Q16" s="1510"/>
      <c r="Z16" s="1507">
        <v>140593.95000000001</v>
      </c>
      <c r="AA16" s="1507"/>
      <c r="AB16" s="1507"/>
      <c r="AC16" s="1507"/>
    </row>
    <row r="17" spans="3:22" ht="1.5" customHeight="1" x14ac:dyDescent="0.25"/>
    <row r="18" spans="3:22" ht="11.25" customHeight="1" x14ac:dyDescent="0.25">
      <c r="C18" s="1506" t="s">
        <v>2125</v>
      </c>
      <c r="D18" s="1506"/>
      <c r="E18" s="1506"/>
      <c r="F18" s="1506"/>
      <c r="G18" s="1506"/>
      <c r="H18" s="1506"/>
      <c r="I18" s="1510" t="s">
        <v>2126</v>
      </c>
      <c r="J18" s="1510"/>
      <c r="K18" s="1510"/>
      <c r="L18" s="1510"/>
      <c r="M18" s="1510"/>
      <c r="N18" s="1510"/>
      <c r="O18" s="1510"/>
      <c r="P18" s="1510"/>
      <c r="Q18" s="1510"/>
      <c r="S18" s="1507">
        <v>64371.8</v>
      </c>
      <c r="T18" s="1507"/>
      <c r="U18" s="1507"/>
      <c r="V18" s="1507"/>
    </row>
    <row r="19" spans="3:22" ht="1.5" customHeight="1" x14ac:dyDescent="0.25"/>
    <row r="20" spans="3:22" ht="10.5" customHeight="1" x14ac:dyDescent="0.25">
      <c r="C20" s="1506" t="s">
        <v>6239</v>
      </c>
      <c r="D20" s="1506"/>
      <c r="E20" s="1506"/>
      <c r="F20" s="1506"/>
      <c r="G20" s="1506"/>
      <c r="H20" s="1506"/>
      <c r="I20" s="1510" t="s">
        <v>1027</v>
      </c>
      <c r="J20" s="1510"/>
      <c r="K20" s="1510"/>
      <c r="L20" s="1510"/>
      <c r="M20" s="1510"/>
      <c r="N20" s="1510"/>
      <c r="O20" s="1510"/>
      <c r="P20" s="1510"/>
      <c r="Q20" s="1510"/>
      <c r="S20" s="1507">
        <v>64371.8</v>
      </c>
      <c r="T20" s="1507"/>
      <c r="U20" s="1507"/>
      <c r="V20" s="1507"/>
    </row>
    <row r="21" spans="3:22" ht="1.5" customHeight="1" x14ac:dyDescent="0.25"/>
    <row r="22" spans="3:22" ht="11.25" customHeight="1" x14ac:dyDescent="0.25">
      <c r="C22" s="1506" t="s">
        <v>2111</v>
      </c>
      <c r="D22" s="1506"/>
      <c r="E22" s="1506"/>
      <c r="F22" s="1506"/>
      <c r="G22" s="1506"/>
      <c r="H22" s="1506"/>
      <c r="I22" s="1510" t="s">
        <v>2108</v>
      </c>
      <c r="J22" s="1510"/>
      <c r="K22" s="1510"/>
      <c r="L22" s="1510"/>
      <c r="M22" s="1510"/>
      <c r="N22" s="1510"/>
      <c r="O22" s="1510"/>
      <c r="P22" s="1510"/>
      <c r="Q22" s="1510"/>
      <c r="S22" s="1507">
        <v>71313.460000000006</v>
      </c>
      <c r="T22" s="1507"/>
      <c r="U22" s="1507"/>
      <c r="V22" s="1507"/>
    </row>
    <row r="23" spans="3:22" ht="1.5" customHeight="1" x14ac:dyDescent="0.25"/>
    <row r="24" spans="3:22" ht="10.5" customHeight="1" x14ac:dyDescent="0.25">
      <c r="C24" s="1506" t="s">
        <v>6437</v>
      </c>
      <c r="D24" s="1506"/>
      <c r="E24" s="1506"/>
      <c r="F24" s="1506"/>
      <c r="G24" s="1506"/>
      <c r="H24" s="1506"/>
      <c r="I24" s="1510" t="s">
        <v>1020</v>
      </c>
      <c r="J24" s="1510"/>
      <c r="K24" s="1510"/>
      <c r="L24" s="1510"/>
      <c r="M24" s="1510"/>
      <c r="N24" s="1510"/>
      <c r="O24" s="1510"/>
      <c r="P24" s="1510"/>
      <c r="Q24" s="1510"/>
      <c r="S24" s="1507">
        <v>25078.73</v>
      </c>
      <c r="T24" s="1507"/>
      <c r="U24" s="1507"/>
      <c r="V24" s="1507"/>
    </row>
    <row r="25" spans="3:22" ht="1.5" customHeight="1" x14ac:dyDescent="0.25"/>
    <row r="26" spans="3:22" ht="10.5" customHeight="1" x14ac:dyDescent="0.25">
      <c r="C26" s="1506" t="s">
        <v>6241</v>
      </c>
      <c r="D26" s="1506"/>
      <c r="E26" s="1506"/>
      <c r="F26" s="1506"/>
      <c r="G26" s="1506"/>
      <c r="H26" s="1506"/>
      <c r="I26" s="1510" t="s">
        <v>996</v>
      </c>
      <c r="J26" s="1510"/>
      <c r="K26" s="1510"/>
      <c r="L26" s="1510"/>
      <c r="M26" s="1510"/>
      <c r="N26" s="1510"/>
      <c r="O26" s="1510"/>
      <c r="P26" s="1510"/>
      <c r="Q26" s="1510"/>
      <c r="S26" s="1507">
        <v>4907.6000000000004</v>
      </c>
      <c r="T26" s="1507"/>
      <c r="U26" s="1507"/>
      <c r="V26" s="1507"/>
    </row>
    <row r="27" spans="3:22" ht="1.5" customHeight="1" x14ac:dyDescent="0.25"/>
    <row r="28" spans="3:22" ht="10.5" customHeight="1" x14ac:dyDescent="0.25">
      <c r="C28" s="1506" t="s">
        <v>6242</v>
      </c>
      <c r="D28" s="1506"/>
      <c r="E28" s="1506"/>
      <c r="F28" s="1506"/>
      <c r="G28" s="1506"/>
      <c r="H28" s="1506"/>
      <c r="I28" s="1510" t="s">
        <v>1021</v>
      </c>
      <c r="J28" s="1510"/>
      <c r="K28" s="1510"/>
      <c r="L28" s="1510"/>
      <c r="M28" s="1510"/>
      <c r="N28" s="1510"/>
      <c r="O28" s="1510"/>
      <c r="P28" s="1510"/>
      <c r="Q28" s="1510"/>
      <c r="S28" s="1507">
        <v>28894.91</v>
      </c>
      <c r="T28" s="1507"/>
      <c r="U28" s="1507"/>
      <c r="V28" s="1507"/>
    </row>
    <row r="29" spans="3:22" ht="1.5" customHeight="1" x14ac:dyDescent="0.25"/>
    <row r="30" spans="3:22" ht="10.5" customHeight="1" x14ac:dyDescent="0.25">
      <c r="C30" s="1506" t="s">
        <v>6244</v>
      </c>
      <c r="D30" s="1506"/>
      <c r="E30" s="1506"/>
      <c r="F30" s="1506"/>
      <c r="G30" s="1506"/>
      <c r="H30" s="1506"/>
      <c r="I30" s="1510" t="s">
        <v>993</v>
      </c>
      <c r="J30" s="1510"/>
      <c r="K30" s="1510"/>
      <c r="L30" s="1510"/>
      <c r="M30" s="1510"/>
      <c r="N30" s="1510"/>
      <c r="O30" s="1510"/>
      <c r="P30" s="1510"/>
      <c r="Q30" s="1510"/>
      <c r="S30" s="1507">
        <v>5452.77</v>
      </c>
      <c r="T30" s="1507"/>
      <c r="U30" s="1507"/>
      <c r="V30" s="1507"/>
    </row>
    <row r="31" spans="3:22" ht="1.5" customHeight="1" x14ac:dyDescent="0.25"/>
    <row r="32" spans="3:22" ht="10.5" customHeight="1" x14ac:dyDescent="0.25">
      <c r="C32" s="1506" t="s">
        <v>6245</v>
      </c>
      <c r="D32" s="1506"/>
      <c r="E32" s="1506"/>
      <c r="F32" s="1506"/>
      <c r="G32" s="1506"/>
      <c r="H32" s="1506"/>
      <c r="I32" s="1510" t="s">
        <v>6307</v>
      </c>
      <c r="J32" s="1510"/>
      <c r="K32" s="1510"/>
      <c r="L32" s="1510"/>
      <c r="M32" s="1510"/>
      <c r="N32" s="1510"/>
      <c r="O32" s="1510"/>
      <c r="P32" s="1510"/>
      <c r="Q32" s="1510"/>
      <c r="S32" s="1507">
        <v>5452.77</v>
      </c>
      <c r="T32" s="1507"/>
      <c r="U32" s="1507"/>
      <c r="V32" s="1507"/>
    </row>
    <row r="33" spans="3:33" ht="1.5" customHeight="1" x14ac:dyDescent="0.25"/>
    <row r="34" spans="3:33" ht="10.5" customHeight="1" x14ac:dyDescent="0.25">
      <c r="C34" s="1506" t="s">
        <v>6231</v>
      </c>
      <c r="D34" s="1506"/>
      <c r="E34" s="1506"/>
      <c r="F34" s="1506"/>
      <c r="G34" s="1506"/>
      <c r="H34" s="1506"/>
      <c r="I34" s="1510" t="s">
        <v>990</v>
      </c>
      <c r="J34" s="1510"/>
      <c r="K34" s="1510"/>
      <c r="L34" s="1510"/>
      <c r="M34" s="1510"/>
      <c r="N34" s="1510"/>
      <c r="O34" s="1510"/>
      <c r="P34" s="1510"/>
      <c r="Q34" s="1510"/>
      <c r="S34" s="1507">
        <v>1526.68</v>
      </c>
      <c r="T34" s="1507"/>
      <c r="U34" s="1507"/>
      <c r="V34" s="1507"/>
    </row>
    <row r="35" spans="3:33" ht="1.5" customHeight="1" x14ac:dyDescent="0.25"/>
    <row r="36" spans="3:33" ht="11.25" customHeight="1" x14ac:dyDescent="0.25">
      <c r="C36" s="1506" t="s">
        <v>6416</v>
      </c>
      <c r="D36" s="1506"/>
      <c r="E36" s="1506"/>
      <c r="F36" s="1506"/>
      <c r="G36" s="1506"/>
      <c r="H36" s="1506"/>
      <c r="I36" s="1510" t="s">
        <v>6417</v>
      </c>
      <c r="J36" s="1510"/>
      <c r="K36" s="1510"/>
      <c r="L36" s="1510"/>
      <c r="M36" s="1510"/>
      <c r="N36" s="1510"/>
      <c r="O36" s="1510"/>
      <c r="P36" s="1510"/>
      <c r="Q36" s="1510"/>
      <c r="S36" s="1507">
        <v>4908.6899999999996</v>
      </c>
      <c r="T36" s="1507"/>
      <c r="U36" s="1507"/>
      <c r="V36" s="1507"/>
    </row>
    <row r="37" spans="3:33" ht="1.5" customHeight="1" x14ac:dyDescent="0.25"/>
    <row r="38" spans="3:33" ht="10.5" customHeight="1" x14ac:dyDescent="0.25">
      <c r="C38" s="1506" t="s">
        <v>6256</v>
      </c>
      <c r="D38" s="1506"/>
      <c r="E38" s="1506"/>
      <c r="F38" s="1506"/>
      <c r="G38" s="1506"/>
      <c r="H38" s="1506"/>
      <c r="I38" s="1510" t="s">
        <v>996</v>
      </c>
      <c r="J38" s="1510"/>
      <c r="K38" s="1510"/>
      <c r="L38" s="1510"/>
      <c r="M38" s="1510"/>
      <c r="N38" s="1510"/>
      <c r="O38" s="1510"/>
      <c r="P38" s="1510"/>
      <c r="Q38" s="1510"/>
      <c r="S38" s="1507">
        <v>2181.7600000000002</v>
      </c>
      <c r="T38" s="1507"/>
      <c r="U38" s="1507"/>
      <c r="V38" s="1507"/>
    </row>
    <row r="39" spans="3:33" ht="1.5" customHeight="1" x14ac:dyDescent="0.25"/>
    <row r="40" spans="3:33" ht="10.5" customHeight="1" x14ac:dyDescent="0.25">
      <c r="C40" s="1506" t="s">
        <v>6325</v>
      </c>
      <c r="D40" s="1506"/>
      <c r="E40" s="1506"/>
      <c r="F40" s="1506"/>
      <c r="G40" s="1506"/>
      <c r="H40" s="1506"/>
      <c r="I40" s="1510" t="s">
        <v>6419</v>
      </c>
      <c r="J40" s="1510"/>
      <c r="K40" s="1510"/>
      <c r="L40" s="1510"/>
      <c r="M40" s="1510"/>
      <c r="N40" s="1510"/>
      <c r="O40" s="1510"/>
      <c r="P40" s="1510"/>
      <c r="Q40" s="1510"/>
      <c r="S40" s="1507">
        <v>2726.93</v>
      </c>
      <c r="T40" s="1507"/>
      <c r="U40" s="1507"/>
      <c r="V40" s="1507"/>
    </row>
    <row r="41" spans="3:33" ht="9" customHeight="1" x14ac:dyDescent="0.25"/>
    <row r="42" spans="3:33" ht="1.5" customHeight="1" x14ac:dyDescent="0.25"/>
    <row r="43" spans="3:33" ht="10.5" customHeight="1" x14ac:dyDescent="0.25">
      <c r="C43" s="1506" t="s">
        <v>2112</v>
      </c>
      <c r="D43" s="1506"/>
      <c r="E43" s="1506"/>
      <c r="F43" s="1506"/>
      <c r="G43" s="1506"/>
      <c r="H43" s="1506"/>
      <c r="I43" s="1510" t="s">
        <v>2113</v>
      </c>
      <c r="J43" s="1510"/>
      <c r="K43" s="1510"/>
      <c r="L43" s="1510"/>
      <c r="M43" s="1510"/>
      <c r="N43" s="1510"/>
      <c r="O43" s="1510"/>
      <c r="P43" s="1510"/>
      <c r="Q43" s="1510"/>
      <c r="AF43" s="1507">
        <v>5560.7</v>
      </c>
      <c r="AG43" s="1507"/>
    </row>
    <row r="44" spans="3:33" ht="0.75" customHeight="1" x14ac:dyDescent="0.25"/>
    <row r="45" spans="3:33" ht="11.25" customHeight="1" x14ac:dyDescent="0.25">
      <c r="C45" s="1506" t="s">
        <v>2114</v>
      </c>
      <c r="D45" s="1506"/>
      <c r="E45" s="1506"/>
      <c r="F45" s="1506"/>
      <c r="G45" s="1506"/>
      <c r="H45" s="1506"/>
      <c r="I45" s="1510" t="s">
        <v>95</v>
      </c>
      <c r="J45" s="1510"/>
      <c r="K45" s="1510"/>
      <c r="L45" s="1510"/>
      <c r="M45" s="1510"/>
      <c r="N45" s="1510"/>
      <c r="O45" s="1510"/>
      <c r="P45" s="1510"/>
      <c r="Q45" s="1510"/>
      <c r="Z45" s="1507">
        <v>5560.7</v>
      </c>
      <c r="AA45" s="1507"/>
      <c r="AB45" s="1507"/>
      <c r="AC45" s="1507"/>
    </row>
    <row r="46" spans="3:33" ht="1.5" customHeight="1" x14ac:dyDescent="0.25"/>
    <row r="47" spans="3:33" ht="11.25" customHeight="1" x14ac:dyDescent="0.25">
      <c r="C47" s="1506" t="s">
        <v>2115</v>
      </c>
      <c r="D47" s="1506"/>
      <c r="E47" s="1506"/>
      <c r="F47" s="1506"/>
      <c r="G47" s="1506"/>
      <c r="H47" s="1506"/>
      <c r="I47" s="1510" t="s">
        <v>2108</v>
      </c>
      <c r="J47" s="1510"/>
      <c r="K47" s="1510"/>
      <c r="L47" s="1510"/>
      <c r="M47" s="1510"/>
      <c r="N47" s="1510"/>
      <c r="O47" s="1510"/>
      <c r="P47" s="1510"/>
      <c r="Q47" s="1510"/>
      <c r="S47" s="1507">
        <v>5560.7</v>
      </c>
      <c r="T47" s="1507"/>
      <c r="U47" s="1507"/>
      <c r="V47" s="1507"/>
    </row>
    <row r="48" spans="3:33" ht="1.5" customHeight="1" x14ac:dyDescent="0.25"/>
    <row r="49" spans="3:33" ht="10.5" customHeight="1" x14ac:dyDescent="0.25">
      <c r="C49" s="1506" t="s">
        <v>6251</v>
      </c>
      <c r="D49" s="1506"/>
      <c r="E49" s="1506"/>
      <c r="F49" s="1506"/>
      <c r="G49" s="1506"/>
      <c r="H49" s="1506"/>
      <c r="I49" s="1510" t="s">
        <v>1029</v>
      </c>
      <c r="J49" s="1510"/>
      <c r="K49" s="1510"/>
      <c r="L49" s="1510"/>
      <c r="M49" s="1510"/>
      <c r="N49" s="1510"/>
      <c r="O49" s="1510"/>
      <c r="P49" s="1510"/>
      <c r="Q49" s="1510"/>
      <c r="S49" s="1507">
        <v>1199.3599999999999</v>
      </c>
      <c r="T49" s="1507"/>
      <c r="U49" s="1507"/>
      <c r="V49" s="1507"/>
    </row>
    <row r="50" spans="3:33" ht="1.5" customHeight="1" x14ac:dyDescent="0.25"/>
    <row r="51" spans="3:33" ht="10.5" customHeight="1" x14ac:dyDescent="0.25">
      <c r="C51" s="1506" t="s">
        <v>6235</v>
      </c>
      <c r="D51" s="1506"/>
      <c r="E51" s="1506"/>
      <c r="F51" s="1506"/>
      <c r="G51" s="1506"/>
      <c r="H51" s="1506"/>
      <c r="I51" s="1510" t="s">
        <v>997</v>
      </c>
      <c r="J51" s="1510"/>
      <c r="K51" s="1510"/>
      <c r="L51" s="1510"/>
      <c r="M51" s="1510"/>
      <c r="N51" s="1510"/>
      <c r="O51" s="1510"/>
      <c r="P51" s="1510"/>
      <c r="Q51" s="1510"/>
      <c r="S51" s="1507">
        <v>4361.34</v>
      </c>
      <c r="T51" s="1507"/>
      <c r="U51" s="1507"/>
      <c r="V51" s="1507"/>
    </row>
    <row r="52" spans="3:33" ht="9" customHeight="1" x14ac:dyDescent="0.25"/>
    <row r="53" spans="3:33" ht="4.5" customHeight="1" x14ac:dyDescent="0.25"/>
    <row r="54" spans="3:33" ht="12" customHeight="1" x14ac:dyDescent="0.25">
      <c r="P54" s="1420" t="s">
        <v>2116</v>
      </c>
      <c r="Q54" s="1420"/>
      <c r="R54" s="1420"/>
      <c r="S54" s="1420"/>
      <c r="T54" s="1420"/>
      <c r="U54" s="1420"/>
      <c r="V54" s="1420"/>
      <c r="W54" s="1420"/>
      <c r="AE54" s="1425">
        <v>146154.65</v>
      </c>
      <c r="AF54" s="1425"/>
      <c r="AG54" s="1425"/>
    </row>
    <row r="55" spans="3:33" ht="6.75" customHeight="1" x14ac:dyDescent="0.25"/>
    <row r="56" spans="3:33" ht="0.75" customHeight="1" x14ac:dyDescent="0.25"/>
    <row r="57" spans="3:33" ht="13.5" customHeight="1" x14ac:dyDescent="0.25">
      <c r="C57" s="182" t="s">
        <v>1986</v>
      </c>
      <c r="E57" s="1511">
        <v>5</v>
      </c>
      <c r="F57" s="1511"/>
      <c r="H57" s="1506" t="s">
        <v>11855</v>
      </c>
      <c r="I57" s="1506"/>
      <c r="J57" s="1506"/>
      <c r="K57" s="1506"/>
      <c r="L57" s="1506"/>
      <c r="M57" s="1506"/>
      <c r="N57" s="1506"/>
      <c r="O57" s="1506"/>
      <c r="P57" s="1506"/>
      <c r="Q57" s="1506"/>
    </row>
    <row r="58" spans="3:33" ht="12" customHeight="1" x14ac:dyDescent="0.25">
      <c r="C58" s="182" t="s">
        <v>458</v>
      </c>
      <c r="E58" s="1511">
        <v>3</v>
      </c>
      <c r="F58" s="1511"/>
      <c r="H58" s="1506" t="s">
        <v>11857</v>
      </c>
      <c r="I58" s="1506"/>
      <c r="J58" s="1506"/>
      <c r="K58" s="1506"/>
      <c r="L58" s="1506"/>
      <c r="M58" s="1506"/>
      <c r="N58" s="1506"/>
      <c r="O58" s="1506"/>
      <c r="P58" s="1506"/>
      <c r="Q58" s="1506"/>
    </row>
    <row r="59" spans="3:33" ht="1.5" customHeight="1" x14ac:dyDescent="0.25"/>
    <row r="60" spans="3:33" ht="10.5" customHeight="1" x14ac:dyDescent="0.25">
      <c r="C60" s="1506" t="s">
        <v>2104</v>
      </c>
      <c r="D60" s="1506"/>
      <c r="E60" s="1506"/>
      <c r="F60" s="1506"/>
      <c r="G60" s="1506"/>
      <c r="H60" s="1506"/>
      <c r="I60" s="1510" t="s">
        <v>2105</v>
      </c>
      <c r="J60" s="1510"/>
      <c r="K60" s="1510"/>
      <c r="L60" s="1510"/>
      <c r="M60" s="1510"/>
      <c r="N60" s="1510"/>
      <c r="O60" s="1510"/>
      <c r="P60" s="1510"/>
      <c r="Q60" s="1510"/>
      <c r="AF60" s="1507">
        <v>11405.4</v>
      </c>
      <c r="AG60" s="1507"/>
    </row>
    <row r="61" spans="3:33" ht="0.75" customHeight="1" x14ac:dyDescent="0.25"/>
    <row r="62" spans="3:33" ht="11.25" customHeight="1" x14ac:dyDescent="0.25">
      <c r="C62" s="1506" t="s">
        <v>2109</v>
      </c>
      <c r="D62" s="1506"/>
      <c r="E62" s="1506"/>
      <c r="F62" s="1506"/>
      <c r="G62" s="1506"/>
      <c r="H62" s="1506"/>
      <c r="I62" s="1510" t="s">
        <v>94</v>
      </c>
      <c r="J62" s="1510"/>
      <c r="K62" s="1510"/>
      <c r="L62" s="1510"/>
      <c r="M62" s="1510"/>
      <c r="N62" s="1510"/>
      <c r="O62" s="1510"/>
      <c r="P62" s="1510"/>
      <c r="Q62" s="1510"/>
      <c r="Z62" s="1507">
        <v>11405.4</v>
      </c>
      <c r="AA62" s="1507"/>
      <c r="AB62" s="1507"/>
      <c r="AC62" s="1507"/>
    </row>
    <row r="63" spans="3:33" ht="1.5" customHeight="1" x14ac:dyDescent="0.25"/>
    <row r="64" spans="3:33" ht="11.25" customHeight="1" x14ac:dyDescent="0.25">
      <c r="C64" s="1506" t="s">
        <v>2127</v>
      </c>
      <c r="D64" s="1506"/>
      <c r="E64" s="1506"/>
      <c r="F64" s="1506"/>
      <c r="G64" s="1506"/>
      <c r="H64" s="1506"/>
      <c r="I64" s="1510" t="s">
        <v>2128</v>
      </c>
      <c r="J64" s="1510"/>
      <c r="K64" s="1510"/>
      <c r="L64" s="1510"/>
      <c r="M64" s="1510"/>
      <c r="N64" s="1510"/>
      <c r="O64" s="1510"/>
      <c r="P64" s="1510"/>
      <c r="Q64" s="1510"/>
      <c r="S64" s="1507">
        <v>2</v>
      </c>
      <c r="T64" s="1507"/>
      <c r="U64" s="1507"/>
      <c r="V64" s="1507"/>
    </row>
    <row r="65" spans="3:22" ht="1.5" customHeight="1" x14ac:dyDescent="0.25"/>
    <row r="66" spans="3:22" ht="10.5" customHeight="1" x14ac:dyDescent="0.25">
      <c r="C66" s="1506" t="s">
        <v>6255</v>
      </c>
      <c r="D66" s="1506"/>
      <c r="E66" s="1506"/>
      <c r="F66" s="1506"/>
      <c r="G66" s="1506"/>
      <c r="H66" s="1506"/>
      <c r="I66" s="1510" t="s">
        <v>985</v>
      </c>
      <c r="J66" s="1510"/>
      <c r="K66" s="1510"/>
      <c r="L66" s="1510"/>
      <c r="M66" s="1510"/>
      <c r="N66" s="1510"/>
      <c r="O66" s="1510"/>
      <c r="P66" s="1510"/>
      <c r="Q66" s="1510"/>
      <c r="S66" s="1507">
        <v>2</v>
      </c>
      <c r="T66" s="1507"/>
      <c r="U66" s="1507"/>
      <c r="V66" s="1507"/>
    </row>
    <row r="67" spans="3:22" ht="1.5" customHeight="1" x14ac:dyDescent="0.25"/>
    <row r="68" spans="3:22" ht="11.25" customHeight="1" x14ac:dyDescent="0.25">
      <c r="C68" s="1506" t="s">
        <v>2111</v>
      </c>
      <c r="D68" s="1506"/>
      <c r="E68" s="1506"/>
      <c r="F68" s="1506"/>
      <c r="G68" s="1506"/>
      <c r="H68" s="1506"/>
      <c r="I68" s="1510" t="s">
        <v>2108</v>
      </c>
      <c r="J68" s="1510"/>
      <c r="K68" s="1510"/>
      <c r="L68" s="1510"/>
      <c r="M68" s="1510"/>
      <c r="N68" s="1510"/>
      <c r="O68" s="1510"/>
      <c r="P68" s="1510"/>
      <c r="Q68" s="1510"/>
      <c r="S68" s="1507">
        <v>9401.4</v>
      </c>
      <c r="T68" s="1507"/>
      <c r="U68" s="1507"/>
      <c r="V68" s="1507"/>
    </row>
    <row r="69" spans="3:22" ht="1.5" customHeight="1" x14ac:dyDescent="0.25"/>
    <row r="70" spans="3:22" ht="10.5" customHeight="1" x14ac:dyDescent="0.25">
      <c r="C70" s="1506" t="s">
        <v>6241</v>
      </c>
      <c r="D70" s="1506"/>
      <c r="E70" s="1506"/>
      <c r="F70" s="1506"/>
      <c r="G70" s="1506"/>
      <c r="H70" s="1506"/>
      <c r="I70" s="1510" t="s">
        <v>996</v>
      </c>
      <c r="J70" s="1510"/>
      <c r="K70" s="1510"/>
      <c r="L70" s="1510"/>
      <c r="M70" s="1510"/>
      <c r="N70" s="1510"/>
      <c r="O70" s="1510"/>
      <c r="P70" s="1510"/>
      <c r="Q70" s="1510"/>
      <c r="S70" s="1507">
        <v>1360.62</v>
      </c>
      <c r="T70" s="1507"/>
      <c r="U70" s="1507"/>
      <c r="V70" s="1507"/>
    </row>
    <row r="71" spans="3:22" ht="1.5" customHeight="1" x14ac:dyDescent="0.25"/>
    <row r="72" spans="3:22" ht="10.5" customHeight="1" x14ac:dyDescent="0.25">
      <c r="C72" s="1506" t="s">
        <v>6242</v>
      </c>
      <c r="D72" s="1506"/>
      <c r="E72" s="1506"/>
      <c r="F72" s="1506"/>
      <c r="G72" s="1506"/>
      <c r="H72" s="1506"/>
      <c r="I72" s="1510" t="s">
        <v>1021</v>
      </c>
      <c r="J72" s="1510"/>
      <c r="K72" s="1510"/>
      <c r="L72" s="1510"/>
      <c r="M72" s="1510"/>
      <c r="N72" s="1510"/>
      <c r="O72" s="1510"/>
      <c r="P72" s="1510"/>
      <c r="Q72" s="1510"/>
      <c r="S72" s="1507">
        <v>3237.58</v>
      </c>
      <c r="T72" s="1507"/>
      <c r="U72" s="1507"/>
      <c r="V72" s="1507"/>
    </row>
    <row r="73" spans="3:22" ht="1.5" customHeight="1" x14ac:dyDescent="0.25"/>
    <row r="74" spans="3:22" ht="10.5" customHeight="1" x14ac:dyDescent="0.25">
      <c r="C74" s="1506" t="s">
        <v>6244</v>
      </c>
      <c r="D74" s="1506"/>
      <c r="E74" s="1506"/>
      <c r="F74" s="1506"/>
      <c r="G74" s="1506"/>
      <c r="H74" s="1506"/>
      <c r="I74" s="1510" t="s">
        <v>993</v>
      </c>
      <c r="J74" s="1510"/>
      <c r="K74" s="1510"/>
      <c r="L74" s="1510"/>
      <c r="M74" s="1510"/>
      <c r="N74" s="1510"/>
      <c r="O74" s="1510"/>
      <c r="P74" s="1510"/>
      <c r="Q74" s="1510"/>
      <c r="S74" s="1507">
        <v>1501</v>
      </c>
      <c r="T74" s="1507"/>
      <c r="U74" s="1507"/>
      <c r="V74" s="1507"/>
    </row>
    <row r="75" spans="3:22" ht="1.5" customHeight="1" x14ac:dyDescent="0.25"/>
    <row r="76" spans="3:22" ht="10.5" customHeight="1" x14ac:dyDescent="0.25">
      <c r="C76" s="1506" t="s">
        <v>6245</v>
      </c>
      <c r="D76" s="1506"/>
      <c r="E76" s="1506"/>
      <c r="F76" s="1506"/>
      <c r="G76" s="1506"/>
      <c r="H76" s="1506"/>
      <c r="I76" s="1510" t="s">
        <v>6307</v>
      </c>
      <c r="J76" s="1510"/>
      <c r="K76" s="1510"/>
      <c r="L76" s="1510"/>
      <c r="M76" s="1510"/>
      <c r="N76" s="1510"/>
      <c r="O76" s="1510"/>
      <c r="P76" s="1510"/>
      <c r="Q76" s="1510"/>
      <c r="S76" s="1507">
        <v>3002</v>
      </c>
      <c r="T76" s="1507"/>
      <c r="U76" s="1507"/>
      <c r="V76" s="1507"/>
    </row>
    <row r="77" spans="3:22" ht="1.5" customHeight="1" x14ac:dyDescent="0.25"/>
    <row r="78" spans="3:22" ht="10.5" customHeight="1" x14ac:dyDescent="0.25">
      <c r="C78" s="1506" t="s">
        <v>6231</v>
      </c>
      <c r="D78" s="1506"/>
      <c r="E78" s="1506"/>
      <c r="F78" s="1506"/>
      <c r="G78" s="1506"/>
      <c r="H78" s="1506"/>
      <c r="I78" s="1510" t="s">
        <v>990</v>
      </c>
      <c r="J78" s="1510"/>
      <c r="K78" s="1510"/>
      <c r="L78" s="1510"/>
      <c r="M78" s="1510"/>
      <c r="N78" s="1510"/>
      <c r="O78" s="1510"/>
      <c r="P78" s="1510"/>
      <c r="Q78" s="1510"/>
      <c r="S78" s="1507">
        <v>300.2</v>
      </c>
      <c r="T78" s="1507"/>
      <c r="U78" s="1507"/>
      <c r="V78" s="1507"/>
    </row>
    <row r="79" spans="3:22" ht="1.5" customHeight="1" x14ac:dyDescent="0.25"/>
    <row r="80" spans="3:22" ht="11.25" customHeight="1" x14ac:dyDescent="0.25">
      <c r="C80" s="1506" t="s">
        <v>6416</v>
      </c>
      <c r="D80" s="1506"/>
      <c r="E80" s="1506"/>
      <c r="F80" s="1506"/>
      <c r="G80" s="1506"/>
      <c r="H80" s="1506"/>
      <c r="I80" s="1510" t="s">
        <v>6417</v>
      </c>
      <c r="J80" s="1510"/>
      <c r="K80" s="1510"/>
      <c r="L80" s="1510"/>
      <c r="M80" s="1510"/>
      <c r="N80" s="1510"/>
      <c r="O80" s="1510"/>
      <c r="P80" s="1510"/>
      <c r="Q80" s="1510"/>
      <c r="S80" s="1507">
        <v>2002</v>
      </c>
      <c r="T80" s="1507"/>
      <c r="U80" s="1507"/>
      <c r="V80" s="1507"/>
    </row>
    <row r="81" spans="3:33" ht="1.5" customHeight="1" x14ac:dyDescent="0.25"/>
    <row r="82" spans="3:33" ht="10.5" customHeight="1" x14ac:dyDescent="0.25">
      <c r="C82" s="1506" t="s">
        <v>6256</v>
      </c>
      <c r="D82" s="1506"/>
      <c r="E82" s="1506"/>
      <c r="F82" s="1506"/>
      <c r="G82" s="1506"/>
      <c r="H82" s="1506"/>
      <c r="I82" s="1510" t="s">
        <v>996</v>
      </c>
      <c r="J82" s="1510"/>
      <c r="K82" s="1510"/>
      <c r="L82" s="1510"/>
      <c r="M82" s="1510"/>
      <c r="N82" s="1510"/>
      <c r="O82" s="1510"/>
      <c r="P82" s="1510"/>
      <c r="Q82" s="1510"/>
      <c r="S82" s="1507">
        <v>1001</v>
      </c>
      <c r="T82" s="1507"/>
      <c r="U82" s="1507"/>
      <c r="V82" s="1507"/>
    </row>
    <row r="83" spans="3:33" ht="1.5" customHeight="1" x14ac:dyDescent="0.25"/>
    <row r="84" spans="3:33" ht="10.5" customHeight="1" x14ac:dyDescent="0.25">
      <c r="C84" s="1506" t="s">
        <v>6325</v>
      </c>
      <c r="D84" s="1506"/>
      <c r="E84" s="1506"/>
      <c r="F84" s="1506"/>
      <c r="G84" s="1506"/>
      <c r="H84" s="1506"/>
      <c r="I84" s="1510" t="s">
        <v>6419</v>
      </c>
      <c r="J84" s="1510"/>
      <c r="K84" s="1510"/>
      <c r="L84" s="1510"/>
      <c r="M84" s="1510"/>
      <c r="N84" s="1510"/>
      <c r="O84" s="1510"/>
      <c r="P84" s="1510"/>
      <c r="Q84" s="1510"/>
      <c r="S84" s="1507">
        <v>1001</v>
      </c>
      <c r="T84" s="1507"/>
      <c r="U84" s="1507"/>
      <c r="V84" s="1507"/>
    </row>
    <row r="85" spans="3:33" ht="9" customHeight="1" x14ac:dyDescent="0.25"/>
    <row r="86" spans="3:33" ht="1.5" customHeight="1" x14ac:dyDescent="0.25"/>
    <row r="87" spans="3:33" ht="10.5" customHeight="1" x14ac:dyDescent="0.25">
      <c r="C87" s="1506" t="s">
        <v>2112</v>
      </c>
      <c r="D87" s="1506"/>
      <c r="E87" s="1506"/>
      <c r="F87" s="1506"/>
      <c r="G87" s="1506"/>
      <c r="H87" s="1506"/>
      <c r="I87" s="1510" t="s">
        <v>2113</v>
      </c>
      <c r="J87" s="1510"/>
      <c r="K87" s="1510"/>
      <c r="L87" s="1510"/>
      <c r="M87" s="1510"/>
      <c r="N87" s="1510"/>
      <c r="O87" s="1510"/>
      <c r="P87" s="1510"/>
      <c r="Q87" s="1510"/>
      <c r="AF87" s="1507">
        <v>1001</v>
      </c>
      <c r="AG87" s="1507"/>
    </row>
    <row r="88" spans="3:33" ht="0.75" customHeight="1" x14ac:dyDescent="0.25"/>
    <row r="89" spans="3:33" ht="11.25" customHeight="1" x14ac:dyDescent="0.25">
      <c r="C89" s="1506" t="s">
        <v>2114</v>
      </c>
      <c r="D89" s="1506"/>
      <c r="E89" s="1506"/>
      <c r="F89" s="1506"/>
      <c r="G89" s="1506"/>
      <c r="H89" s="1506"/>
      <c r="I89" s="1510" t="s">
        <v>95</v>
      </c>
      <c r="J89" s="1510"/>
      <c r="K89" s="1510"/>
      <c r="L89" s="1510"/>
      <c r="M89" s="1510"/>
      <c r="N89" s="1510"/>
      <c r="O89" s="1510"/>
      <c r="P89" s="1510"/>
      <c r="Q89" s="1510"/>
      <c r="Z89" s="1507">
        <v>1001</v>
      </c>
      <c r="AA89" s="1507"/>
      <c r="AB89" s="1507"/>
      <c r="AC89" s="1507"/>
    </row>
    <row r="90" spans="3:33" ht="1.5" customHeight="1" x14ac:dyDescent="0.25"/>
    <row r="91" spans="3:33" ht="11.25" customHeight="1" x14ac:dyDescent="0.25">
      <c r="C91" s="1506" t="s">
        <v>2115</v>
      </c>
      <c r="D91" s="1506"/>
      <c r="E91" s="1506"/>
      <c r="F91" s="1506"/>
      <c r="G91" s="1506"/>
      <c r="H91" s="1506"/>
      <c r="I91" s="1510" t="s">
        <v>2108</v>
      </c>
      <c r="J91" s="1510"/>
      <c r="K91" s="1510"/>
      <c r="L91" s="1510"/>
      <c r="M91" s="1510"/>
      <c r="N91" s="1510"/>
      <c r="O91" s="1510"/>
      <c r="P91" s="1510"/>
      <c r="Q91" s="1510"/>
      <c r="S91" s="1507">
        <v>1001</v>
      </c>
      <c r="T91" s="1507"/>
      <c r="U91" s="1507"/>
      <c r="V91" s="1507"/>
    </row>
    <row r="92" spans="3:33" ht="1.5" customHeight="1" x14ac:dyDescent="0.25"/>
    <row r="93" spans="3:33" ht="10.5" customHeight="1" x14ac:dyDescent="0.25">
      <c r="C93" s="1506" t="s">
        <v>6235</v>
      </c>
      <c r="D93" s="1506"/>
      <c r="E93" s="1506"/>
      <c r="F93" s="1506"/>
      <c r="G93" s="1506"/>
      <c r="H93" s="1506"/>
      <c r="I93" s="1510" t="s">
        <v>997</v>
      </c>
      <c r="J93" s="1510"/>
      <c r="K93" s="1510"/>
      <c r="L93" s="1510"/>
      <c r="M93" s="1510"/>
      <c r="N93" s="1510"/>
      <c r="O93" s="1510"/>
      <c r="P93" s="1510"/>
      <c r="Q93" s="1510"/>
      <c r="S93" s="1507">
        <v>1001</v>
      </c>
      <c r="T93" s="1507"/>
      <c r="U93" s="1507"/>
      <c r="V93" s="1507"/>
    </row>
    <row r="94" spans="3:33" ht="9" customHeight="1" x14ac:dyDescent="0.25"/>
    <row r="95" spans="3:33" ht="4.5" customHeight="1" x14ac:dyDescent="0.25"/>
    <row r="96" spans="3:33" ht="12" customHeight="1" x14ac:dyDescent="0.25">
      <c r="P96" s="1420" t="s">
        <v>2116</v>
      </c>
      <c r="Q96" s="1420"/>
      <c r="R96" s="1420"/>
      <c r="S96" s="1420"/>
      <c r="T96" s="1420"/>
      <c r="U96" s="1420"/>
      <c r="V96" s="1420"/>
      <c r="W96" s="1420"/>
      <c r="AE96" s="1425">
        <v>12406.4</v>
      </c>
      <c r="AF96" s="1425"/>
      <c r="AG96" s="1425"/>
    </row>
    <row r="97" spans="3:33" ht="6.75" customHeight="1" x14ac:dyDescent="0.25"/>
    <row r="98" spans="3:33" ht="0.75" customHeight="1" x14ac:dyDescent="0.25"/>
    <row r="99" spans="3:33" ht="13.5" customHeight="1" x14ac:dyDescent="0.25">
      <c r="C99" s="182" t="s">
        <v>1986</v>
      </c>
      <c r="E99" s="1511">
        <v>5</v>
      </c>
      <c r="F99" s="1511"/>
      <c r="H99" s="1506" t="s">
        <v>11855</v>
      </c>
      <c r="I99" s="1506"/>
      <c r="J99" s="1506"/>
      <c r="K99" s="1506"/>
      <c r="L99" s="1506"/>
      <c r="M99" s="1506"/>
      <c r="N99" s="1506"/>
      <c r="O99" s="1506"/>
      <c r="P99" s="1506"/>
      <c r="Q99" s="1506"/>
    </row>
    <row r="100" spans="3:33" ht="12" customHeight="1" x14ac:dyDescent="0.25">
      <c r="C100" s="182" t="s">
        <v>458</v>
      </c>
      <c r="E100" s="1511">
        <v>4</v>
      </c>
      <c r="F100" s="1511"/>
      <c r="H100" s="1506" t="s">
        <v>11858</v>
      </c>
      <c r="I100" s="1506"/>
      <c r="J100" s="1506"/>
      <c r="K100" s="1506"/>
      <c r="L100" s="1506"/>
      <c r="M100" s="1506"/>
      <c r="N100" s="1506"/>
      <c r="O100" s="1506"/>
      <c r="P100" s="1506"/>
      <c r="Q100" s="1506"/>
    </row>
    <row r="101" spans="3:33" ht="1.5" customHeight="1" x14ac:dyDescent="0.25"/>
    <row r="102" spans="3:33" ht="10.5" customHeight="1" x14ac:dyDescent="0.25">
      <c r="C102" s="1506" t="s">
        <v>2104</v>
      </c>
      <c r="D102" s="1506"/>
      <c r="E102" s="1506"/>
      <c r="F102" s="1506"/>
      <c r="G102" s="1506"/>
      <c r="H102" s="1506"/>
      <c r="I102" s="1510" t="s">
        <v>2105</v>
      </c>
      <c r="J102" s="1510"/>
      <c r="K102" s="1510"/>
      <c r="L102" s="1510"/>
      <c r="M102" s="1510"/>
      <c r="N102" s="1510"/>
      <c r="O102" s="1510"/>
      <c r="P102" s="1510"/>
      <c r="Q102" s="1510"/>
      <c r="AF102" s="1507">
        <v>189553</v>
      </c>
      <c r="AG102" s="1507"/>
    </row>
    <row r="103" spans="3:33" ht="0.75" customHeight="1" x14ac:dyDescent="0.25"/>
    <row r="104" spans="3:33" ht="11.25" customHeight="1" x14ac:dyDescent="0.25">
      <c r="C104" s="1506" t="s">
        <v>2106</v>
      </c>
      <c r="D104" s="1506"/>
      <c r="E104" s="1506"/>
      <c r="F104" s="1506"/>
      <c r="G104" s="1506"/>
      <c r="H104" s="1506"/>
      <c r="I104" s="1510" t="s">
        <v>2075</v>
      </c>
      <c r="J104" s="1510"/>
      <c r="K104" s="1510"/>
      <c r="L104" s="1510"/>
      <c r="M104" s="1510"/>
      <c r="N104" s="1510"/>
      <c r="O104" s="1510"/>
      <c r="P104" s="1510"/>
      <c r="Q104" s="1510"/>
      <c r="Z104" s="1507">
        <v>80906.759999999995</v>
      </c>
      <c r="AA104" s="1507"/>
      <c r="AB104" s="1507"/>
      <c r="AC104" s="1507"/>
    </row>
    <row r="105" spans="3:33" ht="1.5" customHeight="1" x14ac:dyDescent="0.25"/>
    <row r="106" spans="3:33" ht="11.25" customHeight="1" x14ac:dyDescent="0.25">
      <c r="C106" s="1506" t="s">
        <v>2107</v>
      </c>
      <c r="D106" s="1506"/>
      <c r="E106" s="1506"/>
      <c r="F106" s="1506"/>
      <c r="G106" s="1506"/>
      <c r="H106" s="1506"/>
      <c r="I106" s="1510" t="s">
        <v>2108</v>
      </c>
      <c r="J106" s="1510"/>
      <c r="K106" s="1510"/>
      <c r="L106" s="1510"/>
      <c r="M106" s="1510"/>
      <c r="N106" s="1510"/>
      <c r="O106" s="1510"/>
      <c r="P106" s="1510"/>
      <c r="Q106" s="1510"/>
      <c r="S106" s="1507">
        <v>80906.759999999995</v>
      </c>
      <c r="T106" s="1507"/>
      <c r="U106" s="1507"/>
      <c r="V106" s="1507"/>
    </row>
    <row r="107" spans="3:33" ht="1.5" customHeight="1" x14ac:dyDescent="0.25"/>
    <row r="108" spans="3:33" ht="10.5" customHeight="1" x14ac:dyDescent="0.25">
      <c r="C108" s="1506" t="s">
        <v>6253</v>
      </c>
      <c r="D108" s="1506"/>
      <c r="E108" s="1506"/>
      <c r="F108" s="1506"/>
      <c r="G108" s="1506"/>
      <c r="H108" s="1506"/>
      <c r="I108" s="1510" t="s">
        <v>1012</v>
      </c>
      <c r="J108" s="1510"/>
      <c r="K108" s="1510"/>
      <c r="L108" s="1510"/>
      <c r="M108" s="1510"/>
      <c r="N108" s="1510"/>
      <c r="O108" s="1510"/>
      <c r="P108" s="1510"/>
      <c r="Q108" s="1510"/>
      <c r="S108" s="1507">
        <v>39909.660000000003</v>
      </c>
      <c r="T108" s="1507"/>
      <c r="U108" s="1507"/>
      <c r="V108" s="1507"/>
    </row>
    <row r="109" spans="3:33" ht="1.5" customHeight="1" x14ac:dyDescent="0.25"/>
    <row r="110" spans="3:33" ht="10.5" customHeight="1" x14ac:dyDescent="0.25">
      <c r="C110" s="1506" t="s">
        <v>6236</v>
      </c>
      <c r="D110" s="1506"/>
      <c r="E110" s="1506"/>
      <c r="F110" s="1506"/>
      <c r="G110" s="1506"/>
      <c r="H110" s="1506"/>
      <c r="I110" s="1510" t="s">
        <v>1009</v>
      </c>
      <c r="J110" s="1510"/>
      <c r="K110" s="1510"/>
      <c r="L110" s="1510"/>
      <c r="M110" s="1510"/>
      <c r="N110" s="1510"/>
      <c r="O110" s="1510"/>
      <c r="P110" s="1510"/>
      <c r="Q110" s="1510"/>
      <c r="S110" s="1507">
        <v>25423.17</v>
      </c>
      <c r="T110" s="1507"/>
      <c r="U110" s="1507"/>
      <c r="V110" s="1507"/>
    </row>
    <row r="111" spans="3:33" ht="1.5" customHeight="1" x14ac:dyDescent="0.25"/>
    <row r="112" spans="3:33" ht="10.5" customHeight="1" x14ac:dyDescent="0.25">
      <c r="C112" s="1506" t="s">
        <v>6237</v>
      </c>
      <c r="D112" s="1506"/>
      <c r="E112" s="1506"/>
      <c r="F112" s="1506"/>
      <c r="G112" s="1506"/>
      <c r="H112" s="1506"/>
      <c r="I112" s="1510" t="s">
        <v>1011</v>
      </c>
      <c r="J112" s="1510"/>
      <c r="K112" s="1510"/>
      <c r="L112" s="1510"/>
      <c r="M112" s="1510"/>
      <c r="N112" s="1510"/>
      <c r="O112" s="1510"/>
      <c r="P112" s="1510"/>
      <c r="Q112" s="1510"/>
      <c r="S112" s="1507">
        <v>15558.97</v>
      </c>
      <c r="T112" s="1507"/>
      <c r="U112" s="1507"/>
      <c r="V112" s="1507"/>
    </row>
    <row r="113" spans="3:29" ht="1.5" customHeight="1" x14ac:dyDescent="0.25"/>
    <row r="114" spans="3:29" ht="10.5" customHeight="1" x14ac:dyDescent="0.25">
      <c r="C114" s="1506" t="s">
        <v>6238</v>
      </c>
      <c r="D114" s="1506"/>
      <c r="E114" s="1506"/>
      <c r="F114" s="1506"/>
      <c r="G114" s="1506"/>
      <c r="H114" s="1506"/>
      <c r="I114" s="1510" t="s">
        <v>1005</v>
      </c>
      <c r="J114" s="1510"/>
      <c r="K114" s="1510"/>
      <c r="L114" s="1510"/>
      <c r="M114" s="1510"/>
      <c r="N114" s="1510"/>
      <c r="O114" s="1510"/>
      <c r="P114" s="1510"/>
      <c r="Q114" s="1510"/>
      <c r="S114" s="1507">
        <v>14.96</v>
      </c>
      <c r="T114" s="1507"/>
      <c r="U114" s="1507"/>
      <c r="V114" s="1507"/>
    </row>
    <row r="115" spans="3:29" ht="0.75" customHeight="1" x14ac:dyDescent="0.25"/>
    <row r="116" spans="3:29" ht="11.25" customHeight="1" x14ac:dyDescent="0.25">
      <c r="C116" s="1506" t="s">
        <v>2109</v>
      </c>
      <c r="D116" s="1506"/>
      <c r="E116" s="1506"/>
      <c r="F116" s="1506"/>
      <c r="G116" s="1506"/>
      <c r="H116" s="1506"/>
      <c r="I116" s="1510" t="s">
        <v>94</v>
      </c>
      <c r="J116" s="1510"/>
      <c r="K116" s="1510"/>
      <c r="L116" s="1510"/>
      <c r="M116" s="1510"/>
      <c r="N116" s="1510"/>
      <c r="O116" s="1510"/>
      <c r="P116" s="1510"/>
      <c r="Q116" s="1510"/>
      <c r="Z116" s="1507">
        <v>108646.24</v>
      </c>
      <c r="AA116" s="1507"/>
      <c r="AB116" s="1507"/>
      <c r="AC116" s="1507"/>
    </row>
    <row r="117" spans="3:29" ht="1.5" customHeight="1" x14ac:dyDescent="0.25"/>
    <row r="118" spans="3:29" ht="11.25" customHeight="1" x14ac:dyDescent="0.25">
      <c r="C118" s="1506" t="s">
        <v>2111</v>
      </c>
      <c r="D118" s="1506"/>
      <c r="E118" s="1506"/>
      <c r="F118" s="1506"/>
      <c r="G118" s="1506"/>
      <c r="H118" s="1506"/>
      <c r="I118" s="1510" t="s">
        <v>2108</v>
      </c>
      <c r="J118" s="1510"/>
      <c r="K118" s="1510"/>
      <c r="L118" s="1510"/>
      <c r="M118" s="1510"/>
      <c r="N118" s="1510"/>
      <c r="O118" s="1510"/>
      <c r="P118" s="1510"/>
      <c r="Q118" s="1510"/>
      <c r="S118" s="1507">
        <v>95446.24</v>
      </c>
      <c r="T118" s="1507"/>
      <c r="U118" s="1507"/>
      <c r="V118" s="1507"/>
    </row>
    <row r="119" spans="3:29" ht="1.5" customHeight="1" x14ac:dyDescent="0.25"/>
    <row r="120" spans="3:29" ht="10.5" customHeight="1" x14ac:dyDescent="0.25">
      <c r="C120" s="1506" t="s">
        <v>6240</v>
      </c>
      <c r="D120" s="1506"/>
      <c r="E120" s="1506"/>
      <c r="F120" s="1506"/>
      <c r="G120" s="1506"/>
      <c r="H120" s="1506"/>
      <c r="I120" s="1510" t="s">
        <v>1046</v>
      </c>
      <c r="J120" s="1510"/>
      <c r="K120" s="1510"/>
      <c r="L120" s="1510"/>
      <c r="M120" s="1510"/>
      <c r="N120" s="1510"/>
      <c r="O120" s="1510"/>
      <c r="P120" s="1510"/>
      <c r="Q120" s="1510"/>
      <c r="S120" s="1507">
        <v>4500</v>
      </c>
      <c r="T120" s="1507"/>
      <c r="U120" s="1507"/>
      <c r="V120" s="1507"/>
    </row>
    <row r="121" spans="3:29" ht="1.5" customHeight="1" x14ac:dyDescent="0.25"/>
    <row r="122" spans="3:29" ht="10.5" customHeight="1" x14ac:dyDescent="0.25">
      <c r="C122" s="1506" t="s">
        <v>6241</v>
      </c>
      <c r="D122" s="1506"/>
      <c r="E122" s="1506"/>
      <c r="F122" s="1506"/>
      <c r="G122" s="1506"/>
      <c r="H122" s="1506"/>
      <c r="I122" s="1510" t="s">
        <v>996</v>
      </c>
      <c r="J122" s="1510"/>
      <c r="K122" s="1510"/>
      <c r="L122" s="1510"/>
      <c r="M122" s="1510"/>
      <c r="N122" s="1510"/>
      <c r="O122" s="1510"/>
      <c r="P122" s="1510"/>
      <c r="Q122" s="1510"/>
      <c r="S122" s="1507">
        <v>25972.01</v>
      </c>
      <c r="T122" s="1507"/>
      <c r="U122" s="1507"/>
      <c r="V122" s="1507"/>
    </row>
    <row r="123" spans="3:29" ht="1.5" customHeight="1" x14ac:dyDescent="0.25"/>
    <row r="124" spans="3:29" ht="10.5" customHeight="1" x14ac:dyDescent="0.25">
      <c r="C124" s="1506" t="s">
        <v>6242</v>
      </c>
      <c r="D124" s="1506"/>
      <c r="E124" s="1506"/>
      <c r="F124" s="1506"/>
      <c r="G124" s="1506"/>
      <c r="H124" s="1506"/>
      <c r="I124" s="1510" t="s">
        <v>1021</v>
      </c>
      <c r="J124" s="1510"/>
      <c r="K124" s="1510"/>
      <c r="L124" s="1510"/>
      <c r="M124" s="1510"/>
      <c r="N124" s="1510"/>
      <c r="O124" s="1510"/>
      <c r="P124" s="1510"/>
      <c r="Q124" s="1510"/>
      <c r="S124" s="1507">
        <v>9989.6</v>
      </c>
      <c r="T124" s="1507"/>
      <c r="U124" s="1507"/>
      <c r="V124" s="1507"/>
    </row>
    <row r="125" spans="3:29" ht="1.5" customHeight="1" x14ac:dyDescent="0.25"/>
    <row r="126" spans="3:29" ht="10.5" customHeight="1" x14ac:dyDescent="0.25">
      <c r="C126" s="1506" t="s">
        <v>6244</v>
      </c>
      <c r="D126" s="1506"/>
      <c r="E126" s="1506"/>
      <c r="F126" s="1506"/>
      <c r="G126" s="1506"/>
      <c r="H126" s="1506"/>
      <c r="I126" s="1510" t="s">
        <v>993</v>
      </c>
      <c r="J126" s="1510"/>
      <c r="K126" s="1510"/>
      <c r="L126" s="1510"/>
      <c r="M126" s="1510"/>
      <c r="N126" s="1510"/>
      <c r="O126" s="1510"/>
      <c r="P126" s="1510"/>
      <c r="Q126" s="1510"/>
      <c r="S126" s="1507">
        <v>22000</v>
      </c>
      <c r="T126" s="1507"/>
      <c r="U126" s="1507"/>
      <c r="V126" s="1507"/>
    </row>
    <row r="127" spans="3:29" ht="1.5" customHeight="1" x14ac:dyDescent="0.25"/>
    <row r="128" spans="3:29" ht="10.5" customHeight="1" x14ac:dyDescent="0.25">
      <c r="C128" s="1506" t="s">
        <v>6245</v>
      </c>
      <c r="D128" s="1506"/>
      <c r="E128" s="1506"/>
      <c r="F128" s="1506"/>
      <c r="G128" s="1506"/>
      <c r="H128" s="1506"/>
      <c r="I128" s="1510" t="s">
        <v>6307</v>
      </c>
      <c r="J128" s="1510"/>
      <c r="K128" s="1510"/>
      <c r="L128" s="1510"/>
      <c r="M128" s="1510"/>
      <c r="N128" s="1510"/>
      <c r="O128" s="1510"/>
      <c r="P128" s="1510"/>
      <c r="Q128" s="1510"/>
      <c r="S128" s="1507">
        <v>25000</v>
      </c>
      <c r="T128" s="1507"/>
      <c r="U128" s="1507"/>
      <c r="V128" s="1507"/>
    </row>
    <row r="129" spans="3:33" ht="1.5" customHeight="1" x14ac:dyDescent="0.25"/>
    <row r="130" spans="3:33" ht="10.5" customHeight="1" x14ac:dyDescent="0.25">
      <c r="C130" s="1506" t="s">
        <v>6231</v>
      </c>
      <c r="D130" s="1506"/>
      <c r="E130" s="1506"/>
      <c r="F130" s="1506"/>
      <c r="G130" s="1506"/>
      <c r="H130" s="1506"/>
      <c r="I130" s="1510" t="s">
        <v>990</v>
      </c>
      <c r="J130" s="1510"/>
      <c r="K130" s="1510"/>
      <c r="L130" s="1510"/>
      <c r="M130" s="1510"/>
      <c r="N130" s="1510"/>
      <c r="O130" s="1510"/>
      <c r="P130" s="1510"/>
      <c r="Q130" s="1510"/>
      <c r="S130" s="1507">
        <v>4400</v>
      </c>
      <c r="T130" s="1507"/>
      <c r="U130" s="1507"/>
      <c r="V130" s="1507"/>
    </row>
    <row r="131" spans="3:33" ht="1.5" customHeight="1" x14ac:dyDescent="0.25"/>
    <row r="132" spans="3:33" ht="10.5" customHeight="1" x14ac:dyDescent="0.25">
      <c r="C132" s="1506" t="s">
        <v>6247</v>
      </c>
      <c r="D132" s="1506"/>
      <c r="E132" s="1506"/>
      <c r="F132" s="1506"/>
      <c r="G132" s="1506"/>
      <c r="H132" s="1506"/>
      <c r="I132" s="1510" t="s">
        <v>6042</v>
      </c>
      <c r="J132" s="1510"/>
      <c r="K132" s="1510"/>
      <c r="L132" s="1510"/>
      <c r="M132" s="1510"/>
      <c r="N132" s="1510"/>
      <c r="O132" s="1510"/>
      <c r="P132" s="1510"/>
      <c r="Q132" s="1510"/>
      <c r="S132" s="1507">
        <v>2584.63</v>
      </c>
      <c r="T132" s="1507"/>
      <c r="U132" s="1507"/>
      <c r="V132" s="1507"/>
    </row>
    <row r="133" spans="3:33" ht="1.5" customHeight="1" x14ac:dyDescent="0.25"/>
    <row r="134" spans="3:33" ht="10.5" customHeight="1" x14ac:dyDescent="0.25">
      <c r="C134" s="1506" t="s">
        <v>6248</v>
      </c>
      <c r="D134" s="1506"/>
      <c r="E134" s="1506"/>
      <c r="F134" s="1506"/>
      <c r="G134" s="1506"/>
      <c r="H134" s="1506"/>
      <c r="I134" s="1510" t="s">
        <v>985</v>
      </c>
      <c r="J134" s="1510"/>
      <c r="K134" s="1510"/>
      <c r="L134" s="1510"/>
      <c r="M134" s="1510"/>
      <c r="N134" s="1510"/>
      <c r="O134" s="1510"/>
      <c r="P134" s="1510"/>
      <c r="Q134" s="1510"/>
      <c r="S134" s="1507">
        <v>1000</v>
      </c>
      <c r="T134" s="1507"/>
      <c r="U134" s="1507"/>
      <c r="V134" s="1507"/>
    </row>
    <row r="135" spans="3:33" ht="1.5" customHeight="1" x14ac:dyDescent="0.25"/>
    <row r="136" spans="3:33" ht="11.25" customHeight="1" x14ac:dyDescent="0.25">
      <c r="C136" s="1506" t="s">
        <v>6416</v>
      </c>
      <c r="D136" s="1506"/>
      <c r="E136" s="1506"/>
      <c r="F136" s="1506"/>
      <c r="G136" s="1506"/>
      <c r="H136" s="1506"/>
      <c r="I136" s="1510" t="s">
        <v>6417</v>
      </c>
      <c r="J136" s="1510"/>
      <c r="K136" s="1510"/>
      <c r="L136" s="1510"/>
      <c r="M136" s="1510"/>
      <c r="N136" s="1510"/>
      <c r="O136" s="1510"/>
      <c r="P136" s="1510"/>
      <c r="Q136" s="1510"/>
      <c r="S136" s="1507">
        <v>13200</v>
      </c>
      <c r="T136" s="1507"/>
      <c r="U136" s="1507"/>
      <c r="V136" s="1507"/>
    </row>
    <row r="137" spans="3:33" ht="1.5" customHeight="1" x14ac:dyDescent="0.25"/>
    <row r="138" spans="3:33" ht="10.5" customHeight="1" x14ac:dyDescent="0.25">
      <c r="C138" s="1506" t="s">
        <v>6256</v>
      </c>
      <c r="D138" s="1506"/>
      <c r="E138" s="1506"/>
      <c r="F138" s="1506"/>
      <c r="G138" s="1506"/>
      <c r="H138" s="1506"/>
      <c r="I138" s="1510" t="s">
        <v>996</v>
      </c>
      <c r="J138" s="1510"/>
      <c r="K138" s="1510"/>
      <c r="L138" s="1510"/>
      <c r="M138" s="1510"/>
      <c r="N138" s="1510"/>
      <c r="O138" s="1510"/>
      <c r="P138" s="1510"/>
      <c r="Q138" s="1510"/>
      <c r="S138" s="1507">
        <v>5600</v>
      </c>
      <c r="T138" s="1507"/>
      <c r="U138" s="1507"/>
      <c r="V138" s="1507"/>
    </row>
    <row r="139" spans="3:33" ht="1.5" customHeight="1" x14ac:dyDescent="0.25"/>
    <row r="140" spans="3:33" ht="10.5" customHeight="1" x14ac:dyDescent="0.25">
      <c r="C140" s="1506" t="s">
        <v>6325</v>
      </c>
      <c r="D140" s="1506"/>
      <c r="E140" s="1506"/>
      <c r="F140" s="1506"/>
      <c r="G140" s="1506"/>
      <c r="H140" s="1506"/>
      <c r="I140" s="1510" t="s">
        <v>6419</v>
      </c>
      <c r="J140" s="1510"/>
      <c r="K140" s="1510"/>
      <c r="L140" s="1510"/>
      <c r="M140" s="1510"/>
      <c r="N140" s="1510"/>
      <c r="O140" s="1510"/>
      <c r="P140" s="1510"/>
      <c r="Q140" s="1510"/>
      <c r="S140" s="1507">
        <v>7600</v>
      </c>
      <c r="T140" s="1507"/>
      <c r="U140" s="1507"/>
      <c r="V140" s="1507"/>
    </row>
    <row r="141" spans="3:33" ht="9" customHeight="1" x14ac:dyDescent="0.25"/>
    <row r="142" spans="3:33" ht="1.5" customHeight="1" x14ac:dyDescent="0.25"/>
    <row r="143" spans="3:33" ht="10.5" customHeight="1" x14ac:dyDescent="0.25">
      <c r="C143" s="1506" t="s">
        <v>2112</v>
      </c>
      <c r="D143" s="1506"/>
      <c r="E143" s="1506"/>
      <c r="F143" s="1506"/>
      <c r="G143" s="1506"/>
      <c r="H143" s="1506"/>
      <c r="I143" s="1510" t="s">
        <v>2113</v>
      </c>
      <c r="J143" s="1510"/>
      <c r="K143" s="1510"/>
      <c r="L143" s="1510"/>
      <c r="M143" s="1510"/>
      <c r="N143" s="1510"/>
      <c r="O143" s="1510"/>
      <c r="P143" s="1510"/>
      <c r="Q143" s="1510"/>
      <c r="AF143" s="1507">
        <v>10475.92</v>
      </c>
      <c r="AG143" s="1507"/>
    </row>
    <row r="144" spans="3:33" ht="0.75" customHeight="1" x14ac:dyDescent="0.25"/>
    <row r="145" spans="3:33" ht="11.25" customHeight="1" x14ac:dyDescent="0.25">
      <c r="C145" s="1506" t="s">
        <v>2114</v>
      </c>
      <c r="D145" s="1506"/>
      <c r="E145" s="1506"/>
      <c r="F145" s="1506"/>
      <c r="G145" s="1506"/>
      <c r="H145" s="1506"/>
      <c r="I145" s="1510" t="s">
        <v>95</v>
      </c>
      <c r="J145" s="1510"/>
      <c r="K145" s="1510"/>
      <c r="L145" s="1510"/>
      <c r="M145" s="1510"/>
      <c r="N145" s="1510"/>
      <c r="O145" s="1510"/>
      <c r="P145" s="1510"/>
      <c r="Q145" s="1510"/>
      <c r="Z145" s="1507">
        <v>10475.92</v>
      </c>
      <c r="AA145" s="1507"/>
      <c r="AB145" s="1507"/>
      <c r="AC145" s="1507"/>
    </row>
    <row r="146" spans="3:33" ht="1.5" customHeight="1" x14ac:dyDescent="0.25"/>
    <row r="147" spans="3:33" ht="11.25" customHeight="1" x14ac:dyDescent="0.25">
      <c r="C147" s="1506" t="s">
        <v>2115</v>
      </c>
      <c r="D147" s="1506"/>
      <c r="E147" s="1506"/>
      <c r="F147" s="1506"/>
      <c r="G147" s="1506"/>
      <c r="H147" s="1506"/>
      <c r="I147" s="1510" t="s">
        <v>2108</v>
      </c>
      <c r="J147" s="1510"/>
      <c r="K147" s="1510"/>
      <c r="L147" s="1510"/>
      <c r="M147" s="1510"/>
      <c r="N147" s="1510"/>
      <c r="O147" s="1510"/>
      <c r="P147" s="1510"/>
      <c r="Q147" s="1510"/>
      <c r="S147" s="1507">
        <v>10475.92</v>
      </c>
      <c r="T147" s="1507"/>
      <c r="U147" s="1507"/>
      <c r="V147" s="1507"/>
    </row>
    <row r="148" spans="3:33" ht="1.5" customHeight="1" x14ac:dyDescent="0.25"/>
    <row r="149" spans="3:33" ht="10.5" customHeight="1" x14ac:dyDescent="0.25">
      <c r="C149" s="1506" t="s">
        <v>6251</v>
      </c>
      <c r="D149" s="1506"/>
      <c r="E149" s="1506"/>
      <c r="F149" s="1506"/>
      <c r="G149" s="1506"/>
      <c r="H149" s="1506"/>
      <c r="I149" s="1510" t="s">
        <v>1029</v>
      </c>
      <c r="J149" s="1510"/>
      <c r="K149" s="1510"/>
      <c r="L149" s="1510"/>
      <c r="M149" s="1510"/>
      <c r="N149" s="1510"/>
      <c r="O149" s="1510"/>
      <c r="P149" s="1510"/>
      <c r="Q149" s="1510"/>
      <c r="S149" s="1507">
        <v>5600</v>
      </c>
      <c r="T149" s="1507"/>
      <c r="U149" s="1507"/>
      <c r="V149" s="1507"/>
    </row>
    <row r="150" spans="3:33" ht="1.5" customHeight="1" x14ac:dyDescent="0.25"/>
    <row r="151" spans="3:33" ht="10.5" customHeight="1" x14ac:dyDescent="0.25">
      <c r="C151" s="1506" t="s">
        <v>6235</v>
      </c>
      <c r="D151" s="1506"/>
      <c r="E151" s="1506"/>
      <c r="F151" s="1506"/>
      <c r="G151" s="1506"/>
      <c r="H151" s="1506"/>
      <c r="I151" s="1510" t="s">
        <v>997</v>
      </c>
      <c r="J151" s="1510"/>
      <c r="K151" s="1510"/>
      <c r="L151" s="1510"/>
      <c r="M151" s="1510"/>
      <c r="N151" s="1510"/>
      <c r="O151" s="1510"/>
      <c r="P151" s="1510"/>
      <c r="Q151" s="1510"/>
      <c r="S151" s="1507">
        <v>4875.92</v>
      </c>
      <c r="T151" s="1507"/>
      <c r="U151" s="1507"/>
      <c r="V151" s="1507"/>
    </row>
    <row r="152" spans="3:33" ht="9" customHeight="1" x14ac:dyDescent="0.25"/>
    <row r="153" spans="3:33" ht="4.5" customHeight="1" x14ac:dyDescent="0.25"/>
    <row r="154" spans="3:33" ht="12" customHeight="1" x14ac:dyDescent="0.25">
      <c r="P154" s="1420" t="s">
        <v>2116</v>
      </c>
      <c r="Q154" s="1420"/>
      <c r="R154" s="1420"/>
      <c r="S154" s="1420"/>
      <c r="T154" s="1420"/>
      <c r="U154" s="1420"/>
      <c r="V154" s="1420"/>
      <c r="W154" s="1420"/>
      <c r="AE154" s="1425">
        <v>200028.92</v>
      </c>
      <c r="AF154" s="1425"/>
      <c r="AG154" s="1425"/>
    </row>
    <row r="155" spans="3:33" ht="6.75" customHeight="1" x14ac:dyDescent="0.25"/>
    <row r="156" spans="3:33" ht="5.25" customHeight="1" x14ac:dyDescent="0.25"/>
    <row r="157" spans="3:33" ht="10.5" customHeight="1" x14ac:dyDescent="0.25">
      <c r="P157" s="1420" t="s">
        <v>2121</v>
      </c>
      <c r="Q157" s="1420"/>
      <c r="R157" s="1420"/>
      <c r="S157" s="1420"/>
      <c r="T157" s="1420"/>
      <c r="U157" s="1420"/>
      <c r="V157" s="1420"/>
      <c r="W157" s="1420"/>
      <c r="AE157" s="1425">
        <v>358589.97</v>
      </c>
      <c r="AF157" s="1425"/>
      <c r="AG157" s="1425"/>
    </row>
    <row r="158" spans="3:33" ht="6" customHeight="1" x14ac:dyDescent="0.25">
      <c r="P158" s="1420"/>
      <c r="Q158" s="1420"/>
      <c r="R158" s="1420"/>
      <c r="S158" s="1420"/>
      <c r="T158" s="1420"/>
      <c r="U158" s="1420"/>
      <c r="V158" s="1420"/>
      <c r="W158" s="1420"/>
    </row>
    <row r="159" spans="3:33" ht="7.5" customHeight="1" x14ac:dyDescent="0.25"/>
    <row r="160" spans="3:33" ht="10.5" customHeight="1" x14ac:dyDescent="0.25">
      <c r="P160" s="1420" t="s">
        <v>0</v>
      </c>
      <c r="Q160" s="1420"/>
      <c r="R160" s="1420"/>
      <c r="S160" s="1420"/>
      <c r="T160" s="1420"/>
      <c r="U160" s="1420"/>
      <c r="V160" s="1420"/>
      <c r="W160" s="1420"/>
      <c r="AE160" s="1425">
        <v>358589.97</v>
      </c>
      <c r="AF160" s="1425"/>
      <c r="AG160" s="1425"/>
    </row>
    <row r="161" spans="11:29" ht="6.75" customHeight="1" x14ac:dyDescent="0.25">
      <c r="P161" s="1420"/>
      <c r="Q161" s="1420"/>
      <c r="R161" s="1420"/>
      <c r="S161" s="1420"/>
      <c r="T161" s="1420"/>
      <c r="U161" s="1420"/>
      <c r="V161" s="1420"/>
      <c r="W161" s="1420"/>
    </row>
    <row r="162" spans="11:29" ht="3.75" customHeight="1" x14ac:dyDescent="0.25"/>
    <row r="163" spans="11:29" ht="10.5" customHeight="1" x14ac:dyDescent="0.25">
      <c r="Q163" s="1509" t="s">
        <v>2122</v>
      </c>
      <c r="R163" s="1509"/>
      <c r="S163" s="1509"/>
    </row>
    <row r="164" spans="11:29" ht="19.5" customHeight="1" x14ac:dyDescent="0.25"/>
    <row r="165" spans="11:29" ht="15" customHeight="1" x14ac:dyDescent="0.25">
      <c r="K165" s="1508" t="s">
        <v>2074</v>
      </c>
      <c r="L165" s="1508"/>
      <c r="M165" s="1508"/>
      <c r="N165" s="1508"/>
      <c r="O165" s="1508"/>
      <c r="P165" s="1508"/>
      <c r="Q165" s="1508"/>
      <c r="R165" s="1508"/>
      <c r="S165" s="1508"/>
      <c r="T165" s="1508"/>
      <c r="X165" s="1425">
        <v>341552.35</v>
      </c>
      <c r="Y165" s="1425"/>
      <c r="Z165" s="1425"/>
      <c r="AA165" s="1425"/>
      <c r="AB165" s="1425"/>
      <c r="AC165" s="1425"/>
    </row>
    <row r="166" spans="11:29" ht="14.25" customHeight="1" x14ac:dyDescent="0.25">
      <c r="K166" s="1506" t="s">
        <v>2123</v>
      </c>
      <c r="L166" s="1506"/>
      <c r="M166" s="1506"/>
      <c r="N166" s="1506"/>
      <c r="O166" s="1506"/>
      <c r="P166" s="1506"/>
      <c r="Q166" s="1506"/>
      <c r="R166" s="1506"/>
      <c r="S166" s="1506"/>
      <c r="T166" s="1506"/>
      <c r="U166" s="1506"/>
      <c r="X166" s="1507">
        <v>80906.759999999995</v>
      </c>
      <c r="Y166" s="1507"/>
      <c r="Z166" s="1507"/>
      <c r="AA166" s="1507"/>
      <c r="AB166" s="1507"/>
      <c r="AC166" s="1507"/>
    </row>
    <row r="167" spans="11:29" ht="14.25" customHeight="1" x14ac:dyDescent="0.25">
      <c r="K167" s="1506" t="s">
        <v>175</v>
      </c>
      <c r="L167" s="1506"/>
      <c r="M167" s="1506"/>
      <c r="N167" s="1506"/>
      <c r="O167" s="1506"/>
      <c r="P167" s="1506"/>
      <c r="Q167" s="1506"/>
      <c r="R167" s="1506"/>
      <c r="S167" s="1506"/>
      <c r="T167" s="1506"/>
      <c r="U167" s="1506"/>
      <c r="X167" s="1507">
        <v>0</v>
      </c>
      <c r="Y167" s="1507"/>
      <c r="Z167" s="1507"/>
      <c r="AA167" s="1507"/>
      <c r="AB167" s="1507"/>
      <c r="AC167" s="1507"/>
    </row>
    <row r="168" spans="11:29" ht="10.5" customHeight="1" x14ac:dyDescent="0.25">
      <c r="K168" s="1506" t="s">
        <v>94</v>
      </c>
      <c r="L168" s="1506"/>
      <c r="M168" s="1506"/>
      <c r="N168" s="1506"/>
      <c r="O168" s="1506"/>
      <c r="P168" s="1506"/>
      <c r="Q168" s="1506"/>
      <c r="R168" s="1506"/>
      <c r="S168" s="1506"/>
      <c r="T168" s="1506"/>
      <c r="U168" s="1506"/>
      <c r="X168" s="1507">
        <v>260645.59</v>
      </c>
      <c r="Y168" s="1507"/>
      <c r="Z168" s="1507"/>
      <c r="AA168" s="1507"/>
      <c r="AB168" s="1507"/>
      <c r="AC168" s="1507"/>
    </row>
    <row r="169" spans="11:29" ht="3" customHeight="1" x14ac:dyDescent="0.25"/>
    <row r="170" spans="11:29" ht="9" customHeight="1" x14ac:dyDescent="0.25"/>
    <row r="171" spans="11:29" ht="15" customHeight="1" x14ac:dyDescent="0.25">
      <c r="K171" s="1508" t="s">
        <v>2077</v>
      </c>
      <c r="L171" s="1508"/>
      <c r="M171" s="1508"/>
      <c r="N171" s="1508"/>
      <c r="O171" s="1508"/>
      <c r="P171" s="1508"/>
      <c r="Q171" s="1508"/>
      <c r="R171" s="1508"/>
      <c r="S171" s="1508"/>
      <c r="T171" s="1508"/>
      <c r="X171" s="1425">
        <v>17037.62</v>
      </c>
      <c r="Y171" s="1425"/>
      <c r="Z171" s="1425"/>
      <c r="AA171" s="1425"/>
      <c r="AB171" s="1425"/>
      <c r="AC171" s="1425"/>
    </row>
    <row r="172" spans="11:29" ht="14.25" customHeight="1" x14ac:dyDescent="0.25">
      <c r="K172" s="1506" t="s">
        <v>95</v>
      </c>
      <c r="L172" s="1506"/>
      <c r="M172" s="1506"/>
      <c r="N172" s="1506"/>
      <c r="O172" s="1506"/>
      <c r="P172" s="1506"/>
      <c r="Q172" s="1506"/>
      <c r="R172" s="1506"/>
      <c r="S172" s="1506"/>
      <c r="T172" s="1506"/>
      <c r="U172" s="1506"/>
      <c r="X172" s="1507">
        <v>17037.62</v>
      </c>
      <c r="Y172" s="1507"/>
      <c r="Z172" s="1507"/>
      <c r="AA172" s="1507"/>
      <c r="AB172" s="1507"/>
      <c r="AC172" s="1507"/>
    </row>
    <row r="173" spans="11:29" ht="14.25" customHeight="1" x14ac:dyDescent="0.25">
      <c r="K173" s="1506" t="s">
        <v>176</v>
      </c>
      <c r="L173" s="1506"/>
      <c r="M173" s="1506"/>
      <c r="N173" s="1506"/>
      <c r="O173" s="1506"/>
      <c r="P173" s="1506"/>
      <c r="Q173" s="1506"/>
      <c r="R173" s="1506"/>
      <c r="S173" s="1506"/>
      <c r="T173" s="1506"/>
      <c r="U173" s="1506"/>
      <c r="X173" s="1507">
        <v>0</v>
      </c>
      <c r="Y173" s="1507"/>
      <c r="Z173" s="1507"/>
      <c r="AA173" s="1507"/>
      <c r="AB173" s="1507"/>
      <c r="AC173" s="1507"/>
    </row>
    <row r="174" spans="11:29" ht="14.25" customHeight="1" x14ac:dyDescent="0.25">
      <c r="K174" s="1506" t="s">
        <v>96</v>
      </c>
      <c r="L174" s="1506"/>
      <c r="M174" s="1506"/>
      <c r="N174" s="1506"/>
      <c r="O174" s="1506"/>
      <c r="P174" s="1506"/>
      <c r="Q174" s="1506"/>
      <c r="R174" s="1506"/>
      <c r="S174" s="1506"/>
      <c r="T174" s="1506"/>
      <c r="U174" s="1506"/>
      <c r="X174" s="1507">
        <v>0</v>
      </c>
      <c r="Y174" s="1507"/>
      <c r="Z174" s="1507"/>
      <c r="AA174" s="1507"/>
      <c r="AB174" s="1507"/>
      <c r="AC174" s="1507"/>
    </row>
    <row r="175" spans="11:29" ht="10.5" customHeight="1" x14ac:dyDescent="0.25">
      <c r="K175" s="1506" t="s">
        <v>2080</v>
      </c>
      <c r="L175" s="1506"/>
      <c r="M175" s="1506"/>
      <c r="N175" s="1506"/>
      <c r="O175" s="1506"/>
      <c r="P175" s="1506"/>
      <c r="Q175" s="1506"/>
      <c r="R175" s="1506"/>
      <c r="S175" s="1506"/>
      <c r="T175" s="1506"/>
      <c r="U175" s="1506"/>
      <c r="X175" s="1507">
        <v>0</v>
      </c>
      <c r="Y175" s="1507"/>
      <c r="Z175" s="1507"/>
      <c r="AA175" s="1507"/>
      <c r="AB175" s="1507"/>
      <c r="AC175" s="1507"/>
    </row>
    <row r="176" spans="11:29" ht="3" customHeight="1" x14ac:dyDescent="0.25"/>
    <row r="177" spans="11:29" ht="9" customHeight="1" x14ac:dyDescent="0.25"/>
    <row r="178" spans="11:29" ht="15" customHeight="1" x14ac:dyDescent="0.25">
      <c r="K178" s="1508" t="s">
        <v>2124</v>
      </c>
      <c r="L178" s="1508"/>
      <c r="M178" s="1508"/>
      <c r="N178" s="1508"/>
      <c r="O178" s="1508"/>
      <c r="P178" s="1508"/>
      <c r="Q178" s="1508"/>
      <c r="R178" s="1508"/>
      <c r="S178" s="1508"/>
      <c r="T178" s="1508"/>
      <c r="X178" s="1425">
        <v>0</v>
      </c>
      <c r="Y178" s="1425"/>
      <c r="Z178" s="1425"/>
      <c r="AA178" s="1425"/>
      <c r="AB178" s="1425"/>
      <c r="AC178" s="1425"/>
    </row>
    <row r="179" spans="11:29" ht="10.5" customHeight="1" x14ac:dyDescent="0.25">
      <c r="K179" s="1506" t="s">
        <v>2123</v>
      </c>
      <c r="L179" s="1506"/>
      <c r="M179" s="1506"/>
      <c r="N179" s="1506"/>
      <c r="O179" s="1506"/>
      <c r="P179" s="1506"/>
      <c r="Q179" s="1506"/>
      <c r="R179" s="1506"/>
      <c r="S179" s="1506"/>
      <c r="T179" s="1506"/>
      <c r="U179" s="1506"/>
      <c r="X179" s="1507">
        <v>0</v>
      </c>
      <c r="Y179" s="1507"/>
      <c r="Z179" s="1507"/>
      <c r="AA179" s="1507"/>
      <c r="AB179" s="1507"/>
      <c r="AC179" s="1507"/>
    </row>
    <row r="180" spans="11:29" ht="3" customHeight="1" x14ac:dyDescent="0.25"/>
    <row r="181" spans="11:29" ht="9.75" customHeight="1" x14ac:dyDescent="0.25"/>
    <row r="182" spans="11:29" ht="10.5" customHeight="1" x14ac:dyDescent="0.25">
      <c r="K182" s="1424" t="s">
        <v>0</v>
      </c>
      <c r="L182" s="1424"/>
      <c r="X182" s="1425">
        <v>358589.97</v>
      </c>
      <c r="Y182" s="1425"/>
      <c r="Z182" s="1425"/>
      <c r="AA182" s="1425"/>
      <c r="AB182" s="1425"/>
      <c r="AC182" s="1425"/>
    </row>
  </sheetData>
  <mergeCells count="240">
    <mergeCell ref="A2:H2"/>
    <mergeCell ref="A1:AG1"/>
    <mergeCell ref="A3:AG3"/>
    <mergeCell ref="A4:AG4"/>
    <mergeCell ref="A5:AG5"/>
    <mergeCell ref="I62:Q62"/>
    <mergeCell ref="C64:H64"/>
    <mergeCell ref="C51:H51"/>
    <mergeCell ref="I51:Q51"/>
    <mergeCell ref="I64:Q64"/>
    <mergeCell ref="C9:E9"/>
    <mergeCell ref="I9:M9"/>
    <mergeCell ref="S9:V9"/>
    <mergeCell ref="AA9:AC9"/>
    <mergeCell ref="C30:H30"/>
    <mergeCell ref="I30:Q30"/>
    <mergeCell ref="S30:V30"/>
    <mergeCell ref="C32:H32"/>
    <mergeCell ref="I32:Q32"/>
    <mergeCell ref="S32:V32"/>
    <mergeCell ref="C43:H43"/>
    <mergeCell ref="I43:Q43"/>
    <mergeCell ref="C49:H49"/>
    <mergeCell ref="I49:Q49"/>
    <mergeCell ref="AF9:AG9"/>
    <mergeCell ref="E11:F11"/>
    <mergeCell ref="H11:Q11"/>
    <mergeCell ref="E12:F12"/>
    <mergeCell ref="H12:Q12"/>
    <mergeCell ref="C14:H14"/>
    <mergeCell ref="I14:Q14"/>
    <mergeCell ref="AF14:AG14"/>
    <mergeCell ref="C16:H16"/>
    <mergeCell ref="I16:Q16"/>
    <mergeCell ref="Z16:AC16"/>
    <mergeCell ref="C18:H18"/>
    <mergeCell ref="I18:Q18"/>
    <mergeCell ref="S18:V18"/>
    <mergeCell ref="C20:H20"/>
    <mergeCell ref="I20:Q20"/>
    <mergeCell ref="S20:V20"/>
    <mergeCell ref="C22:H22"/>
    <mergeCell ref="I22:Q22"/>
    <mergeCell ref="S22:V22"/>
    <mergeCell ref="C24:H24"/>
    <mergeCell ref="I24:Q24"/>
    <mergeCell ref="S24:V24"/>
    <mergeCell ref="C26:H26"/>
    <mergeCell ref="I26:Q26"/>
    <mergeCell ref="S26:V26"/>
    <mergeCell ref="C28:H28"/>
    <mergeCell ref="I28:Q28"/>
    <mergeCell ref="S28:V28"/>
    <mergeCell ref="C34:H34"/>
    <mergeCell ref="I34:Q34"/>
    <mergeCell ref="S34:V34"/>
    <mergeCell ref="C36:H36"/>
    <mergeCell ref="I36:Q36"/>
    <mergeCell ref="S36:V36"/>
    <mergeCell ref="C38:H38"/>
    <mergeCell ref="I38:Q38"/>
    <mergeCell ref="S38:V38"/>
    <mergeCell ref="C40:H40"/>
    <mergeCell ref="I40:Q40"/>
    <mergeCell ref="S40:V40"/>
    <mergeCell ref="AF43:AG43"/>
    <mergeCell ref="Z45:AC45"/>
    <mergeCell ref="P54:W54"/>
    <mergeCell ref="AE54:AG54"/>
    <mergeCell ref="E57:F57"/>
    <mergeCell ref="H57:Q57"/>
    <mergeCell ref="C45:H45"/>
    <mergeCell ref="I45:Q45"/>
    <mergeCell ref="C47:H47"/>
    <mergeCell ref="I47:Q47"/>
    <mergeCell ref="S47:V47"/>
    <mergeCell ref="S49:V49"/>
    <mergeCell ref="S51:V51"/>
    <mergeCell ref="E58:F58"/>
    <mergeCell ref="H58:Q58"/>
    <mergeCell ref="C60:H60"/>
    <mergeCell ref="I60:Q60"/>
    <mergeCell ref="AF60:AG60"/>
    <mergeCell ref="Z62:AC62"/>
    <mergeCell ref="S64:V64"/>
    <mergeCell ref="C72:H72"/>
    <mergeCell ref="I72:Q72"/>
    <mergeCell ref="S72:V72"/>
    <mergeCell ref="C70:H70"/>
    <mergeCell ref="I70:Q70"/>
    <mergeCell ref="S70:V70"/>
    <mergeCell ref="C66:H66"/>
    <mergeCell ref="I66:Q66"/>
    <mergeCell ref="S66:V66"/>
    <mergeCell ref="S68:V68"/>
    <mergeCell ref="C68:H68"/>
    <mergeCell ref="I68:Q68"/>
    <mergeCell ref="C62:H62"/>
    <mergeCell ref="C74:H74"/>
    <mergeCell ref="I74:Q74"/>
    <mergeCell ref="S74:V74"/>
    <mergeCell ref="C76:H76"/>
    <mergeCell ref="I76:Q76"/>
    <mergeCell ref="S76:V76"/>
    <mergeCell ref="C78:H78"/>
    <mergeCell ref="I78:Q78"/>
    <mergeCell ref="S78:V78"/>
    <mergeCell ref="C80:H80"/>
    <mergeCell ref="I80:Q80"/>
    <mergeCell ref="S80:V80"/>
    <mergeCell ref="C82:H82"/>
    <mergeCell ref="I82:Q82"/>
    <mergeCell ref="S82:V82"/>
    <mergeCell ref="C84:H84"/>
    <mergeCell ref="I84:Q84"/>
    <mergeCell ref="S84:V84"/>
    <mergeCell ref="C87:H87"/>
    <mergeCell ref="I87:Q87"/>
    <mergeCell ref="AF87:AG87"/>
    <mergeCell ref="C89:H89"/>
    <mergeCell ref="I89:Q89"/>
    <mergeCell ref="Z89:AC89"/>
    <mergeCell ref="C91:H91"/>
    <mergeCell ref="I91:Q91"/>
    <mergeCell ref="S91:V91"/>
    <mergeCell ref="C93:H93"/>
    <mergeCell ref="I93:Q93"/>
    <mergeCell ref="S93:V93"/>
    <mergeCell ref="P96:W96"/>
    <mergeCell ref="AE96:AG96"/>
    <mergeCell ref="E99:F99"/>
    <mergeCell ref="H99:Q99"/>
    <mergeCell ref="E100:F100"/>
    <mergeCell ref="H100:Q100"/>
    <mergeCell ref="C102:H102"/>
    <mergeCell ref="I102:Q102"/>
    <mergeCell ref="AF102:AG102"/>
    <mergeCell ref="C104:H104"/>
    <mergeCell ref="I104:Q104"/>
    <mergeCell ref="Z104:AC104"/>
    <mergeCell ref="C106:H106"/>
    <mergeCell ref="I106:Q106"/>
    <mergeCell ref="S106:V106"/>
    <mergeCell ref="C108:H108"/>
    <mergeCell ref="I108:Q108"/>
    <mergeCell ref="S108:V108"/>
    <mergeCell ref="C110:H110"/>
    <mergeCell ref="I110:Q110"/>
    <mergeCell ref="S110:V110"/>
    <mergeCell ref="C112:H112"/>
    <mergeCell ref="I112:Q112"/>
    <mergeCell ref="S112:V112"/>
    <mergeCell ref="C114:H114"/>
    <mergeCell ref="I114:Q114"/>
    <mergeCell ref="S114:V114"/>
    <mergeCell ref="C116:H116"/>
    <mergeCell ref="I116:Q116"/>
    <mergeCell ref="Z116:AC116"/>
    <mergeCell ref="C118:H118"/>
    <mergeCell ref="I118:Q118"/>
    <mergeCell ref="S118:V118"/>
    <mergeCell ref="C120:H120"/>
    <mergeCell ref="I120:Q120"/>
    <mergeCell ref="S120:V120"/>
    <mergeCell ref="C122:H122"/>
    <mergeCell ref="I122:Q122"/>
    <mergeCell ref="S122:V122"/>
    <mergeCell ref="C124:H124"/>
    <mergeCell ref="I124:Q124"/>
    <mergeCell ref="S124:V124"/>
    <mergeCell ref="C126:H126"/>
    <mergeCell ref="I126:Q126"/>
    <mergeCell ref="S126:V126"/>
    <mergeCell ref="C128:H128"/>
    <mergeCell ref="I128:Q128"/>
    <mergeCell ref="S128:V128"/>
    <mergeCell ref="C130:H130"/>
    <mergeCell ref="I130:Q130"/>
    <mergeCell ref="S130:V130"/>
    <mergeCell ref="C132:H132"/>
    <mergeCell ref="I132:Q132"/>
    <mergeCell ref="S132:V132"/>
    <mergeCell ref="C134:H134"/>
    <mergeCell ref="I134:Q134"/>
    <mergeCell ref="S134:V134"/>
    <mergeCell ref="C136:H136"/>
    <mergeCell ref="I136:Q136"/>
    <mergeCell ref="S136:V136"/>
    <mergeCell ref="C138:H138"/>
    <mergeCell ref="I138:Q138"/>
    <mergeCell ref="S138:V138"/>
    <mergeCell ref="C140:H140"/>
    <mergeCell ref="I140:Q140"/>
    <mergeCell ref="S140:V140"/>
    <mergeCell ref="C143:H143"/>
    <mergeCell ref="I143:Q143"/>
    <mergeCell ref="AF143:AG143"/>
    <mergeCell ref="C145:H145"/>
    <mergeCell ref="I145:Q145"/>
    <mergeCell ref="Z145:AC145"/>
    <mergeCell ref="C147:H147"/>
    <mergeCell ref="I147:Q147"/>
    <mergeCell ref="S147:V147"/>
    <mergeCell ref="C149:H149"/>
    <mergeCell ref="I149:Q149"/>
    <mergeCell ref="S149:V149"/>
    <mergeCell ref="C151:H151"/>
    <mergeCell ref="I151:Q151"/>
    <mergeCell ref="S151:V151"/>
    <mergeCell ref="P154:W154"/>
    <mergeCell ref="AE154:AG154"/>
    <mergeCell ref="P157:W158"/>
    <mergeCell ref="AE157:AG157"/>
    <mergeCell ref="P160:W161"/>
    <mergeCell ref="AE160:AG160"/>
    <mergeCell ref="Q163:S163"/>
    <mergeCell ref="K165:T165"/>
    <mergeCell ref="X165:AC165"/>
    <mergeCell ref="K166:U166"/>
    <mergeCell ref="X166:AC166"/>
    <mergeCell ref="K167:U167"/>
    <mergeCell ref="X167:AC167"/>
    <mergeCell ref="K168:U168"/>
    <mergeCell ref="X168:AC168"/>
    <mergeCell ref="K178:T178"/>
    <mergeCell ref="X178:AC178"/>
    <mergeCell ref="K179:U179"/>
    <mergeCell ref="X179:AC179"/>
    <mergeCell ref="K182:L182"/>
    <mergeCell ref="X182:AC182"/>
    <mergeCell ref="K171:T171"/>
    <mergeCell ref="X171:AC171"/>
    <mergeCell ref="K172:U172"/>
    <mergeCell ref="X172:AC172"/>
    <mergeCell ref="K173:U173"/>
    <mergeCell ref="X173:AC173"/>
    <mergeCell ref="K174:U174"/>
    <mergeCell ref="X174:AC174"/>
    <mergeCell ref="K175:U175"/>
    <mergeCell ref="X175:AC17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workbookViewId="0">
      <selection sqref="A1:XFD1048576"/>
    </sheetView>
  </sheetViews>
  <sheetFormatPr defaultColWidth="6.85546875" defaultRowHeight="12.75" customHeight="1" x14ac:dyDescent="0.25"/>
  <cols>
    <col min="1" max="1" width="1.140625" style="1110" customWidth="1"/>
    <col min="2" max="2" width="1" style="1110" customWidth="1"/>
    <col min="3" max="3" width="7.28515625" style="1110" customWidth="1"/>
    <col min="4" max="4" width="1.140625" style="1110" customWidth="1"/>
    <col min="5" max="5" width="5.5703125" style="1110" customWidth="1"/>
    <col min="6" max="6" width="1.140625" style="1110" customWidth="1"/>
    <col min="7" max="7" width="1.28515625" style="1110" customWidth="1"/>
    <col min="8" max="8" width="2.28515625" style="1110" customWidth="1"/>
    <col min="9" max="9" width="11.5703125" style="1110" customWidth="1"/>
    <col min="10" max="10" width="1.5703125" style="1110" customWidth="1"/>
    <col min="11" max="11" width="2.5703125" style="1110" customWidth="1"/>
    <col min="12" max="12" width="11.42578125" style="1110" customWidth="1"/>
    <col min="13" max="13" width="2" style="1110" customWidth="1"/>
    <col min="14" max="14" width="13.28515625" style="1110" customWidth="1"/>
    <col min="15" max="15" width="2.28515625" style="1110" customWidth="1"/>
    <col min="16" max="16" width="1.140625" style="1110" customWidth="1"/>
    <col min="17" max="17" width="7.28515625" style="1110" customWidth="1"/>
    <col min="18" max="18" width="1.42578125" style="1110" customWidth="1"/>
    <col min="19" max="19" width="4.7109375" style="1110" customWidth="1"/>
    <col min="20" max="20" width="4.5703125" style="1110" customWidth="1"/>
    <col min="21" max="21" width="2.28515625" style="1110" customWidth="1"/>
    <col min="22" max="22" width="3.42578125" style="1110" customWidth="1"/>
    <col min="23" max="23" width="1" style="1110" customWidth="1"/>
    <col min="24" max="24" width="1.42578125" style="1110" customWidth="1"/>
    <col min="25" max="25" width="1.7109375" style="1110" customWidth="1"/>
    <col min="26" max="26" width="2" style="1110" customWidth="1"/>
    <col min="27" max="27" width="1.140625" style="1110" customWidth="1"/>
    <col min="28" max="28" width="4.5703125" style="1110" customWidth="1"/>
    <col min="29" max="29" width="7.140625" style="1110" customWidth="1"/>
    <col min="30" max="30" width="3.5703125" style="1110" customWidth="1"/>
    <col min="31" max="31" width="2" style="1110" customWidth="1"/>
    <col min="32" max="32" width="5.140625" style="1110" customWidth="1"/>
    <col min="33" max="33" width="10.85546875" style="1110" customWidth="1"/>
    <col min="34" max="34" width="1" style="1110" customWidth="1"/>
    <col min="35" max="35" width="1.140625" style="1110" customWidth="1"/>
    <col min="36" max="36" width="1.7109375" style="1110" customWidth="1"/>
    <col min="37" max="37" width="5.85546875" style="1110" customWidth="1"/>
    <col min="38" max="16384" width="6.85546875" style="1110"/>
  </cols>
  <sheetData>
    <row r="1" spans="1:33" s="1109" customFormat="1" ht="15" customHeight="1" x14ac:dyDescent="0.25">
      <c r="A1" s="1467" t="str">
        <f>'CADASTRO BASE RECEITA '!A$1</f>
        <v>PROPOSTA ORÇAMENTÁRIA PARA 2016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  <c r="Y1" s="1467"/>
      <c r="Z1" s="1467"/>
      <c r="AA1" s="1467"/>
      <c r="AB1" s="1467"/>
      <c r="AC1" s="1467"/>
      <c r="AD1" s="1467"/>
      <c r="AE1" s="1467"/>
      <c r="AF1" s="1467"/>
      <c r="AG1" s="1467"/>
    </row>
    <row r="2" spans="1:33" s="1109" customFormat="1" ht="15" customHeight="1" x14ac:dyDescent="0.25">
      <c r="A2" s="1512"/>
      <c r="B2" s="1512"/>
      <c r="C2" s="1512"/>
      <c r="D2" s="1512"/>
    </row>
    <row r="3" spans="1:33" s="1109" customFormat="1" ht="15" customHeight="1" x14ac:dyDescent="0.25">
      <c r="A3" s="1512" t="s">
        <v>177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2"/>
      <c r="Z3" s="1512"/>
      <c r="AA3" s="1512"/>
      <c r="AB3" s="1512"/>
      <c r="AC3" s="1512"/>
      <c r="AD3" s="1512"/>
      <c r="AE3" s="1512"/>
      <c r="AF3" s="1512"/>
      <c r="AG3" s="1512"/>
    </row>
    <row r="4" spans="1:33" s="1109" customFormat="1" ht="16.5" customHeight="1" x14ac:dyDescent="0.25">
      <c r="A4" s="1514" t="s">
        <v>181</v>
      </c>
      <c r="B4" s="1514"/>
      <c r="C4" s="1514"/>
      <c r="D4" s="1514"/>
      <c r="E4" s="1514"/>
      <c r="F4" s="1514"/>
      <c r="G4" s="1514"/>
      <c r="H4" s="1514"/>
      <c r="I4" s="1514"/>
      <c r="J4" s="1514"/>
      <c r="K4" s="1514"/>
      <c r="L4" s="1514"/>
      <c r="M4" s="1514"/>
      <c r="N4" s="1514"/>
      <c r="O4" s="1514"/>
      <c r="P4" s="1514"/>
      <c r="Q4" s="1514"/>
      <c r="R4" s="1514"/>
      <c r="S4" s="1514"/>
      <c r="T4" s="1514"/>
      <c r="U4" s="1514"/>
      <c r="V4" s="1514"/>
      <c r="W4" s="1514"/>
      <c r="X4" s="1514"/>
      <c r="Y4" s="1514"/>
      <c r="Z4" s="1514"/>
      <c r="AA4" s="1514"/>
      <c r="AB4" s="1514"/>
      <c r="AC4" s="1514"/>
      <c r="AD4" s="1514"/>
      <c r="AE4" s="1514"/>
      <c r="AF4" s="1514"/>
      <c r="AG4" s="1514"/>
    </row>
    <row r="5" spans="1:33" s="1109" customFormat="1" ht="15" customHeight="1" x14ac:dyDescent="0.2">
      <c r="A5" s="1513" t="s">
        <v>11845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</row>
    <row r="6" spans="1:33" s="1109" customFormat="1" ht="15" customHeight="1" x14ac:dyDescent="0.2">
      <c r="A6" s="1115"/>
      <c r="B6" s="1115"/>
      <c r="C6" s="1115"/>
      <c r="D6" s="1115"/>
      <c r="E6" s="1115"/>
      <c r="F6" s="1115"/>
      <c r="G6" s="1115"/>
      <c r="H6" s="1115"/>
      <c r="I6" s="1115"/>
      <c r="J6" s="1115"/>
      <c r="K6" s="1115"/>
      <c r="L6" s="1115"/>
      <c r="M6" s="1115"/>
      <c r="N6" s="1115"/>
      <c r="O6" s="1115"/>
      <c r="P6" s="1115"/>
      <c r="Q6" s="1115"/>
      <c r="R6" s="1115"/>
      <c r="S6" s="1115"/>
      <c r="T6" s="1115"/>
      <c r="U6" s="1115"/>
      <c r="V6" s="1115"/>
      <c r="W6" s="1115"/>
      <c r="X6" s="1115"/>
      <c r="Y6" s="1115"/>
      <c r="Z6" s="1115"/>
      <c r="AA6" s="1115"/>
      <c r="AB6" s="1115"/>
      <c r="AC6" s="1115"/>
      <c r="AD6" s="1115"/>
      <c r="AE6" s="1115"/>
      <c r="AF6" s="1115"/>
      <c r="AG6" s="1115"/>
    </row>
    <row r="7" spans="1:33" ht="11.25" customHeight="1" x14ac:dyDescent="0.25">
      <c r="C7" s="1424" t="s">
        <v>2099</v>
      </c>
      <c r="D7" s="1424"/>
      <c r="E7" s="1424"/>
      <c r="I7" s="1424" t="s">
        <v>2100</v>
      </c>
      <c r="J7" s="1424"/>
      <c r="K7" s="1424"/>
      <c r="L7" s="1424"/>
      <c r="M7" s="1424"/>
      <c r="S7" s="1420" t="s">
        <v>2101</v>
      </c>
      <c r="T7" s="1420"/>
      <c r="U7" s="1420"/>
      <c r="V7" s="1420"/>
      <c r="AA7" s="1420" t="s">
        <v>2102</v>
      </c>
      <c r="AB7" s="1420"/>
      <c r="AC7" s="1420"/>
      <c r="AF7" s="1420" t="s">
        <v>2103</v>
      </c>
      <c r="AG7" s="1420"/>
    </row>
    <row r="8" spans="1:33" ht="1.5" customHeight="1" x14ac:dyDescent="0.25"/>
    <row r="9" spans="1:33" ht="10.5" customHeight="1" x14ac:dyDescent="0.25">
      <c r="C9" s="1506" t="s">
        <v>2104</v>
      </c>
      <c r="D9" s="1506"/>
      <c r="E9" s="1506"/>
      <c r="F9" s="1506"/>
      <c r="G9" s="1506"/>
      <c r="H9" s="1506"/>
      <c r="I9" s="1510" t="s">
        <v>2105</v>
      </c>
      <c r="J9" s="1510"/>
      <c r="K9" s="1510"/>
      <c r="L9" s="1510"/>
      <c r="M9" s="1510"/>
      <c r="N9" s="1510"/>
      <c r="O9" s="1510"/>
      <c r="P9" s="1510"/>
      <c r="Q9" s="1510"/>
      <c r="AF9" s="1507">
        <v>4470.3900000000003</v>
      </c>
      <c r="AG9" s="1507"/>
    </row>
    <row r="10" spans="1:33" ht="0.75" customHeight="1" x14ac:dyDescent="0.25"/>
    <row r="11" spans="1:33" ht="11.25" customHeight="1" x14ac:dyDescent="0.25">
      <c r="C11" s="1506" t="s">
        <v>2109</v>
      </c>
      <c r="D11" s="1506"/>
      <c r="E11" s="1506"/>
      <c r="F11" s="1506"/>
      <c r="G11" s="1506"/>
      <c r="H11" s="1506"/>
      <c r="I11" s="1510" t="s">
        <v>94</v>
      </c>
      <c r="J11" s="1510"/>
      <c r="K11" s="1510"/>
      <c r="L11" s="1510"/>
      <c r="M11" s="1510"/>
      <c r="N11" s="1510"/>
      <c r="O11" s="1510"/>
      <c r="P11" s="1510"/>
      <c r="Q11" s="1510"/>
      <c r="Z11" s="1507">
        <v>4470.3900000000003</v>
      </c>
      <c r="AA11" s="1507"/>
      <c r="AB11" s="1507"/>
      <c r="AC11" s="1507"/>
    </row>
    <row r="12" spans="1:33" ht="1.5" customHeight="1" x14ac:dyDescent="0.25"/>
    <row r="13" spans="1:33" ht="11.25" customHeight="1" x14ac:dyDescent="0.25">
      <c r="C13" s="1506" t="s">
        <v>2111</v>
      </c>
      <c r="D13" s="1506"/>
      <c r="E13" s="1506"/>
      <c r="F13" s="1506"/>
      <c r="G13" s="1506"/>
      <c r="H13" s="1506"/>
      <c r="I13" s="1510" t="s">
        <v>2108</v>
      </c>
      <c r="J13" s="1510"/>
      <c r="K13" s="1510"/>
      <c r="L13" s="1510"/>
      <c r="M13" s="1510"/>
      <c r="N13" s="1510"/>
      <c r="O13" s="1510"/>
      <c r="P13" s="1510"/>
      <c r="Q13" s="1510"/>
      <c r="S13" s="1507">
        <v>3380.05</v>
      </c>
      <c r="T13" s="1507"/>
      <c r="U13" s="1507"/>
      <c r="V13" s="1507"/>
    </row>
    <row r="14" spans="1:33" ht="1.5" customHeight="1" x14ac:dyDescent="0.25"/>
    <row r="15" spans="1:33" ht="10.5" customHeight="1" x14ac:dyDescent="0.25">
      <c r="C15" s="1506" t="s">
        <v>6240</v>
      </c>
      <c r="D15" s="1506"/>
      <c r="E15" s="1506"/>
      <c r="F15" s="1506"/>
      <c r="G15" s="1506"/>
      <c r="H15" s="1506"/>
      <c r="I15" s="1510" t="s">
        <v>1046</v>
      </c>
      <c r="J15" s="1510"/>
      <c r="K15" s="1510"/>
      <c r="L15" s="1510"/>
      <c r="M15" s="1510"/>
      <c r="N15" s="1510"/>
      <c r="O15" s="1510"/>
      <c r="P15" s="1510"/>
      <c r="Q15" s="1510"/>
      <c r="S15" s="1507">
        <v>545.16999999999996</v>
      </c>
      <c r="T15" s="1507"/>
      <c r="U15" s="1507"/>
      <c r="V15" s="1507"/>
    </row>
    <row r="16" spans="1:33" ht="1.5" customHeight="1" x14ac:dyDescent="0.25"/>
    <row r="17" spans="3:22" ht="10.5" customHeight="1" x14ac:dyDescent="0.25">
      <c r="C17" s="1506" t="s">
        <v>6241</v>
      </c>
      <c r="D17" s="1506"/>
      <c r="E17" s="1506"/>
      <c r="F17" s="1506"/>
      <c r="G17" s="1506"/>
      <c r="H17" s="1506"/>
      <c r="I17" s="1510" t="s">
        <v>996</v>
      </c>
      <c r="J17" s="1510"/>
      <c r="K17" s="1510"/>
      <c r="L17" s="1510"/>
      <c r="M17" s="1510"/>
      <c r="N17" s="1510"/>
      <c r="O17" s="1510"/>
      <c r="P17" s="1510"/>
      <c r="Q17" s="1510"/>
      <c r="S17" s="1507">
        <v>545.16999999999996</v>
      </c>
      <c r="T17" s="1507"/>
      <c r="U17" s="1507"/>
      <c r="V17" s="1507"/>
    </row>
    <row r="18" spans="3:22" ht="1.5" customHeight="1" x14ac:dyDescent="0.25"/>
    <row r="19" spans="3:22" ht="10.5" customHeight="1" x14ac:dyDescent="0.25">
      <c r="C19" s="1506" t="s">
        <v>6242</v>
      </c>
      <c r="D19" s="1506"/>
      <c r="E19" s="1506"/>
      <c r="F19" s="1506"/>
      <c r="G19" s="1506"/>
      <c r="H19" s="1506"/>
      <c r="I19" s="1510" t="s">
        <v>1021</v>
      </c>
      <c r="J19" s="1510"/>
      <c r="K19" s="1510"/>
      <c r="L19" s="1510"/>
      <c r="M19" s="1510"/>
      <c r="N19" s="1510"/>
      <c r="O19" s="1510"/>
      <c r="P19" s="1510"/>
      <c r="Q19" s="1510"/>
      <c r="S19" s="1507">
        <v>545.16999999999996</v>
      </c>
      <c r="T19" s="1507"/>
      <c r="U19" s="1507"/>
      <c r="V19" s="1507"/>
    </row>
    <row r="20" spans="3:22" ht="1.5" customHeight="1" x14ac:dyDescent="0.25"/>
    <row r="21" spans="3:22" ht="10.5" customHeight="1" x14ac:dyDescent="0.25">
      <c r="C21" s="1506" t="s">
        <v>6244</v>
      </c>
      <c r="D21" s="1506"/>
      <c r="E21" s="1506"/>
      <c r="F21" s="1506"/>
      <c r="G21" s="1506"/>
      <c r="H21" s="1506"/>
      <c r="I21" s="1510" t="s">
        <v>993</v>
      </c>
      <c r="J21" s="1510"/>
      <c r="K21" s="1510"/>
      <c r="L21" s="1510"/>
      <c r="M21" s="1510"/>
      <c r="N21" s="1510"/>
      <c r="O21" s="1510"/>
      <c r="P21" s="1510"/>
      <c r="Q21" s="1510"/>
      <c r="S21" s="1507">
        <v>545.16999999999996</v>
      </c>
      <c r="T21" s="1507"/>
      <c r="U21" s="1507"/>
      <c r="V21" s="1507"/>
    </row>
    <row r="22" spans="3:22" ht="1.5" customHeight="1" x14ac:dyDescent="0.25"/>
    <row r="23" spans="3:22" ht="10.5" customHeight="1" x14ac:dyDescent="0.25">
      <c r="C23" s="1506" t="s">
        <v>6245</v>
      </c>
      <c r="D23" s="1506"/>
      <c r="E23" s="1506"/>
      <c r="F23" s="1506"/>
      <c r="G23" s="1506"/>
      <c r="H23" s="1506"/>
      <c r="I23" s="1510" t="s">
        <v>6307</v>
      </c>
      <c r="J23" s="1510"/>
      <c r="K23" s="1510"/>
      <c r="L23" s="1510"/>
      <c r="M23" s="1510"/>
      <c r="N23" s="1510"/>
      <c r="O23" s="1510"/>
      <c r="P23" s="1510"/>
      <c r="Q23" s="1510"/>
      <c r="S23" s="1507">
        <v>545.16999999999996</v>
      </c>
      <c r="T23" s="1507"/>
      <c r="U23" s="1507"/>
      <c r="V23" s="1507"/>
    </row>
    <row r="24" spans="3:22" ht="1.5" customHeight="1" x14ac:dyDescent="0.25"/>
    <row r="25" spans="3:22" ht="10.5" customHeight="1" x14ac:dyDescent="0.25">
      <c r="C25" s="1506" t="s">
        <v>6231</v>
      </c>
      <c r="D25" s="1506"/>
      <c r="E25" s="1506"/>
      <c r="F25" s="1506"/>
      <c r="G25" s="1506"/>
      <c r="H25" s="1506"/>
      <c r="I25" s="1510" t="s">
        <v>990</v>
      </c>
      <c r="J25" s="1510"/>
      <c r="K25" s="1510"/>
      <c r="L25" s="1510"/>
      <c r="M25" s="1510"/>
      <c r="N25" s="1510"/>
      <c r="O25" s="1510"/>
      <c r="P25" s="1510"/>
      <c r="Q25" s="1510"/>
      <c r="S25" s="1507">
        <v>109.03</v>
      </c>
      <c r="T25" s="1507"/>
      <c r="U25" s="1507"/>
      <c r="V25" s="1507"/>
    </row>
    <row r="26" spans="3:22" ht="1.5" customHeight="1" x14ac:dyDescent="0.25"/>
    <row r="27" spans="3:22" ht="10.5" customHeight="1" x14ac:dyDescent="0.25">
      <c r="C27" s="1506" t="s">
        <v>6248</v>
      </c>
      <c r="D27" s="1506"/>
      <c r="E27" s="1506"/>
      <c r="F27" s="1506"/>
      <c r="G27" s="1506"/>
      <c r="H27" s="1506"/>
      <c r="I27" s="1510" t="s">
        <v>985</v>
      </c>
      <c r="J27" s="1510"/>
      <c r="K27" s="1510"/>
      <c r="L27" s="1510"/>
      <c r="M27" s="1510"/>
      <c r="N27" s="1510"/>
      <c r="O27" s="1510"/>
      <c r="P27" s="1510"/>
      <c r="Q27" s="1510"/>
      <c r="S27" s="1507">
        <v>545.16999999999996</v>
      </c>
      <c r="T27" s="1507"/>
      <c r="U27" s="1507"/>
      <c r="V27" s="1507"/>
    </row>
    <row r="28" spans="3:22" ht="1.5" customHeight="1" x14ac:dyDescent="0.25"/>
    <row r="29" spans="3:22" ht="11.25" customHeight="1" x14ac:dyDescent="0.25">
      <c r="C29" s="1506" t="s">
        <v>6416</v>
      </c>
      <c r="D29" s="1506"/>
      <c r="E29" s="1506"/>
      <c r="F29" s="1506"/>
      <c r="G29" s="1506"/>
      <c r="H29" s="1506"/>
      <c r="I29" s="1510" t="s">
        <v>6417</v>
      </c>
      <c r="J29" s="1510"/>
      <c r="K29" s="1510"/>
      <c r="L29" s="1510"/>
      <c r="M29" s="1510"/>
      <c r="N29" s="1510"/>
      <c r="O29" s="1510"/>
      <c r="P29" s="1510"/>
      <c r="Q29" s="1510"/>
      <c r="S29" s="1507">
        <v>1090.3399999999999</v>
      </c>
      <c r="T29" s="1507"/>
      <c r="U29" s="1507"/>
      <c r="V29" s="1507"/>
    </row>
    <row r="30" spans="3:22" ht="1.5" customHeight="1" x14ac:dyDescent="0.25"/>
    <row r="31" spans="3:22" ht="10.5" customHeight="1" x14ac:dyDescent="0.25">
      <c r="C31" s="1506" t="s">
        <v>6256</v>
      </c>
      <c r="D31" s="1506"/>
      <c r="E31" s="1506"/>
      <c r="F31" s="1506"/>
      <c r="G31" s="1506"/>
      <c r="H31" s="1506"/>
      <c r="I31" s="1510" t="s">
        <v>996</v>
      </c>
      <c r="J31" s="1510"/>
      <c r="K31" s="1510"/>
      <c r="L31" s="1510"/>
      <c r="M31" s="1510"/>
      <c r="N31" s="1510"/>
      <c r="O31" s="1510"/>
      <c r="P31" s="1510"/>
      <c r="Q31" s="1510"/>
      <c r="S31" s="1507">
        <v>545.16999999999996</v>
      </c>
      <c r="T31" s="1507"/>
      <c r="U31" s="1507"/>
      <c r="V31" s="1507"/>
    </row>
    <row r="32" spans="3:22" ht="1.5" customHeight="1" x14ac:dyDescent="0.25"/>
    <row r="33" spans="3:33" ht="10.5" customHeight="1" x14ac:dyDescent="0.25">
      <c r="C33" s="1506" t="s">
        <v>6325</v>
      </c>
      <c r="D33" s="1506"/>
      <c r="E33" s="1506"/>
      <c r="F33" s="1506"/>
      <c r="G33" s="1506"/>
      <c r="H33" s="1506"/>
      <c r="I33" s="1510" t="s">
        <v>6419</v>
      </c>
      <c r="J33" s="1510"/>
      <c r="K33" s="1510"/>
      <c r="L33" s="1510"/>
      <c r="M33" s="1510"/>
      <c r="N33" s="1510"/>
      <c r="O33" s="1510"/>
      <c r="P33" s="1510"/>
      <c r="Q33" s="1510"/>
      <c r="S33" s="1507">
        <v>545.16999999999996</v>
      </c>
      <c r="T33" s="1507"/>
      <c r="U33" s="1507"/>
      <c r="V33" s="1507"/>
    </row>
    <row r="34" spans="3:33" ht="9" customHeight="1" x14ac:dyDescent="0.25"/>
    <row r="35" spans="3:33" ht="1.5" customHeight="1" x14ac:dyDescent="0.25"/>
    <row r="36" spans="3:33" ht="10.5" customHeight="1" x14ac:dyDescent="0.25">
      <c r="C36" s="1506" t="s">
        <v>2112</v>
      </c>
      <c r="D36" s="1506"/>
      <c r="E36" s="1506"/>
      <c r="F36" s="1506"/>
      <c r="G36" s="1506"/>
      <c r="H36" s="1506"/>
      <c r="I36" s="1510" t="s">
        <v>2113</v>
      </c>
      <c r="J36" s="1510"/>
      <c r="K36" s="1510"/>
      <c r="L36" s="1510"/>
      <c r="M36" s="1510"/>
      <c r="N36" s="1510"/>
      <c r="O36" s="1510"/>
      <c r="P36" s="1510"/>
      <c r="Q36" s="1510"/>
      <c r="AF36" s="1507">
        <v>1090.3399999999999</v>
      </c>
      <c r="AG36" s="1507"/>
    </row>
    <row r="37" spans="3:33" ht="0.75" customHeight="1" x14ac:dyDescent="0.25"/>
    <row r="38" spans="3:33" ht="11.25" customHeight="1" x14ac:dyDescent="0.25">
      <c r="C38" s="1506" t="s">
        <v>2114</v>
      </c>
      <c r="D38" s="1506"/>
      <c r="E38" s="1506"/>
      <c r="F38" s="1506"/>
      <c r="G38" s="1506"/>
      <c r="H38" s="1506"/>
      <c r="I38" s="1510" t="s">
        <v>95</v>
      </c>
      <c r="J38" s="1510"/>
      <c r="K38" s="1510"/>
      <c r="L38" s="1510"/>
      <c r="M38" s="1510"/>
      <c r="N38" s="1510"/>
      <c r="O38" s="1510"/>
      <c r="P38" s="1510"/>
      <c r="Q38" s="1510"/>
      <c r="Z38" s="1507">
        <v>1090.3399999999999</v>
      </c>
      <c r="AA38" s="1507"/>
      <c r="AB38" s="1507"/>
      <c r="AC38" s="1507"/>
    </row>
    <row r="39" spans="3:33" ht="1.5" customHeight="1" x14ac:dyDescent="0.25"/>
    <row r="40" spans="3:33" ht="11.25" customHeight="1" x14ac:dyDescent="0.25">
      <c r="C40" s="1506" t="s">
        <v>2115</v>
      </c>
      <c r="D40" s="1506"/>
      <c r="E40" s="1506"/>
      <c r="F40" s="1506"/>
      <c r="G40" s="1506"/>
      <c r="H40" s="1506"/>
      <c r="I40" s="1510" t="s">
        <v>2108</v>
      </c>
      <c r="J40" s="1510"/>
      <c r="K40" s="1510"/>
      <c r="L40" s="1510"/>
      <c r="M40" s="1510"/>
      <c r="N40" s="1510"/>
      <c r="O40" s="1510"/>
      <c r="P40" s="1510"/>
      <c r="Q40" s="1510"/>
      <c r="S40" s="1507">
        <v>1090.3399999999999</v>
      </c>
      <c r="T40" s="1507"/>
      <c r="U40" s="1507"/>
      <c r="V40" s="1507"/>
    </row>
    <row r="41" spans="3:33" ht="1.5" customHeight="1" x14ac:dyDescent="0.25"/>
    <row r="42" spans="3:33" ht="10.5" customHeight="1" x14ac:dyDescent="0.25">
      <c r="C42" s="1506" t="s">
        <v>6251</v>
      </c>
      <c r="D42" s="1506"/>
      <c r="E42" s="1506"/>
      <c r="F42" s="1506"/>
      <c r="G42" s="1506"/>
      <c r="H42" s="1506"/>
      <c r="I42" s="1510" t="s">
        <v>1029</v>
      </c>
      <c r="J42" s="1510"/>
      <c r="K42" s="1510"/>
      <c r="L42" s="1510"/>
      <c r="M42" s="1510"/>
      <c r="N42" s="1510"/>
      <c r="O42" s="1510"/>
      <c r="P42" s="1510"/>
      <c r="Q42" s="1510"/>
      <c r="S42" s="1507">
        <v>545.16999999999996</v>
      </c>
      <c r="T42" s="1507"/>
      <c r="U42" s="1507"/>
      <c r="V42" s="1507"/>
    </row>
    <row r="43" spans="3:33" ht="1.5" customHeight="1" x14ac:dyDescent="0.25"/>
    <row r="44" spans="3:33" ht="10.5" customHeight="1" x14ac:dyDescent="0.25">
      <c r="C44" s="1506" t="s">
        <v>6235</v>
      </c>
      <c r="D44" s="1506"/>
      <c r="E44" s="1506"/>
      <c r="F44" s="1506"/>
      <c r="G44" s="1506"/>
      <c r="H44" s="1506"/>
      <c r="I44" s="1510" t="s">
        <v>997</v>
      </c>
      <c r="J44" s="1510"/>
      <c r="K44" s="1510"/>
      <c r="L44" s="1510"/>
      <c r="M44" s="1510"/>
      <c r="N44" s="1510"/>
      <c r="O44" s="1510"/>
      <c r="P44" s="1510"/>
      <c r="Q44" s="1510"/>
      <c r="S44" s="1507">
        <v>545.16999999999996</v>
      </c>
      <c r="T44" s="1507"/>
      <c r="U44" s="1507"/>
      <c r="V44" s="1507"/>
    </row>
    <row r="45" spans="3:33" ht="9" customHeight="1" x14ac:dyDescent="0.25"/>
    <row r="46" spans="3:33" ht="7.5" customHeight="1" x14ac:dyDescent="0.25"/>
    <row r="47" spans="3:33" ht="10.5" customHeight="1" x14ac:dyDescent="0.25">
      <c r="P47" s="1420" t="s">
        <v>0</v>
      </c>
      <c r="Q47" s="1420"/>
      <c r="R47" s="1420"/>
      <c r="S47" s="1420"/>
      <c r="T47" s="1420"/>
      <c r="U47" s="1420"/>
      <c r="V47" s="1420"/>
      <c r="W47" s="1420"/>
      <c r="AE47" s="1425">
        <v>5560.73</v>
      </c>
      <c r="AF47" s="1425"/>
      <c r="AG47" s="1425"/>
    </row>
    <row r="48" spans="3:33" ht="6.75" customHeight="1" x14ac:dyDescent="0.25">
      <c r="P48" s="1420"/>
      <c r="Q48" s="1420"/>
      <c r="R48" s="1420"/>
      <c r="S48" s="1420"/>
      <c r="T48" s="1420"/>
      <c r="U48" s="1420"/>
      <c r="V48" s="1420"/>
      <c r="W48" s="1420"/>
    </row>
    <row r="49" spans="11:29" ht="3.75" customHeight="1" x14ac:dyDescent="0.25"/>
    <row r="50" spans="11:29" ht="10.5" customHeight="1" x14ac:dyDescent="0.25">
      <c r="Q50" s="1509" t="s">
        <v>2122</v>
      </c>
      <c r="R50" s="1509"/>
      <c r="S50" s="1509"/>
    </row>
    <row r="51" spans="11:29" ht="20.25" customHeight="1" x14ac:dyDescent="0.25"/>
    <row r="52" spans="11:29" ht="15" customHeight="1" x14ac:dyDescent="0.25">
      <c r="K52" s="1508" t="s">
        <v>2074</v>
      </c>
      <c r="L52" s="1508"/>
      <c r="M52" s="1508"/>
      <c r="N52" s="1508"/>
      <c r="O52" s="1508"/>
      <c r="P52" s="1508"/>
      <c r="Q52" s="1508"/>
      <c r="R52" s="1508"/>
      <c r="S52" s="1508"/>
      <c r="T52" s="1508"/>
      <c r="X52" s="1425">
        <v>4470.3900000000003</v>
      </c>
      <c r="Y52" s="1425"/>
      <c r="Z52" s="1425"/>
      <c r="AA52" s="1425"/>
      <c r="AB52" s="1425"/>
      <c r="AC52" s="1425"/>
    </row>
    <row r="53" spans="11:29" ht="14.25" customHeight="1" x14ac:dyDescent="0.25">
      <c r="K53" s="1506" t="s">
        <v>2123</v>
      </c>
      <c r="L53" s="1506"/>
      <c r="M53" s="1506"/>
      <c r="N53" s="1506"/>
      <c r="O53" s="1506"/>
      <c r="P53" s="1506"/>
      <c r="Q53" s="1506"/>
      <c r="R53" s="1506"/>
      <c r="S53" s="1506"/>
      <c r="T53" s="1506"/>
      <c r="U53" s="1506"/>
      <c r="X53" s="1507">
        <v>0</v>
      </c>
      <c r="Y53" s="1507"/>
      <c r="Z53" s="1507"/>
      <c r="AA53" s="1507"/>
      <c r="AB53" s="1507"/>
      <c r="AC53" s="1507"/>
    </row>
    <row r="54" spans="11:29" ht="14.25" customHeight="1" x14ac:dyDescent="0.25">
      <c r="K54" s="1506" t="s">
        <v>175</v>
      </c>
      <c r="L54" s="1506"/>
      <c r="M54" s="1506"/>
      <c r="N54" s="1506"/>
      <c r="O54" s="1506"/>
      <c r="P54" s="1506"/>
      <c r="Q54" s="1506"/>
      <c r="R54" s="1506"/>
      <c r="S54" s="1506"/>
      <c r="T54" s="1506"/>
      <c r="U54" s="1506"/>
      <c r="X54" s="1507">
        <v>0</v>
      </c>
      <c r="Y54" s="1507"/>
      <c r="Z54" s="1507"/>
      <c r="AA54" s="1507"/>
      <c r="AB54" s="1507"/>
      <c r="AC54" s="1507"/>
    </row>
    <row r="55" spans="11:29" ht="10.5" customHeight="1" x14ac:dyDescent="0.25">
      <c r="K55" s="1506" t="s">
        <v>94</v>
      </c>
      <c r="L55" s="1506"/>
      <c r="M55" s="1506"/>
      <c r="N55" s="1506"/>
      <c r="O55" s="1506"/>
      <c r="P55" s="1506"/>
      <c r="Q55" s="1506"/>
      <c r="R55" s="1506"/>
      <c r="S55" s="1506"/>
      <c r="T55" s="1506"/>
      <c r="U55" s="1506"/>
      <c r="X55" s="1507">
        <v>4470.3900000000003</v>
      </c>
      <c r="Y55" s="1507"/>
      <c r="Z55" s="1507"/>
      <c r="AA55" s="1507"/>
      <c r="AB55" s="1507"/>
      <c r="AC55" s="1507"/>
    </row>
    <row r="56" spans="11:29" ht="3" customHeight="1" x14ac:dyDescent="0.25"/>
    <row r="57" spans="11:29" ht="9" customHeight="1" x14ac:dyDescent="0.25"/>
    <row r="58" spans="11:29" ht="15" customHeight="1" x14ac:dyDescent="0.25">
      <c r="K58" s="1508" t="s">
        <v>2077</v>
      </c>
      <c r="L58" s="1508"/>
      <c r="M58" s="1508"/>
      <c r="N58" s="1508"/>
      <c r="O58" s="1508"/>
      <c r="P58" s="1508"/>
      <c r="Q58" s="1508"/>
      <c r="R58" s="1508"/>
      <c r="S58" s="1508"/>
      <c r="T58" s="1508"/>
      <c r="X58" s="1425">
        <v>1090.3399999999999</v>
      </c>
      <c r="Y58" s="1425"/>
      <c r="Z58" s="1425"/>
      <c r="AA58" s="1425"/>
      <c r="AB58" s="1425"/>
      <c r="AC58" s="1425"/>
    </row>
    <row r="59" spans="11:29" ht="14.25" customHeight="1" x14ac:dyDescent="0.25">
      <c r="K59" s="1506" t="s">
        <v>95</v>
      </c>
      <c r="L59" s="1506"/>
      <c r="M59" s="1506"/>
      <c r="N59" s="1506"/>
      <c r="O59" s="1506"/>
      <c r="P59" s="1506"/>
      <c r="Q59" s="1506"/>
      <c r="R59" s="1506"/>
      <c r="S59" s="1506"/>
      <c r="T59" s="1506"/>
      <c r="U59" s="1506"/>
      <c r="X59" s="1507">
        <v>1090.3399999999999</v>
      </c>
      <c r="Y59" s="1507"/>
      <c r="Z59" s="1507"/>
      <c r="AA59" s="1507"/>
      <c r="AB59" s="1507"/>
      <c r="AC59" s="1507"/>
    </row>
    <row r="60" spans="11:29" ht="14.25" customHeight="1" x14ac:dyDescent="0.25">
      <c r="K60" s="1506" t="s">
        <v>176</v>
      </c>
      <c r="L60" s="1506"/>
      <c r="M60" s="1506"/>
      <c r="N60" s="1506"/>
      <c r="O60" s="1506"/>
      <c r="P60" s="1506"/>
      <c r="Q60" s="1506"/>
      <c r="R60" s="1506"/>
      <c r="S60" s="1506"/>
      <c r="T60" s="1506"/>
      <c r="U60" s="1506"/>
      <c r="X60" s="1507">
        <v>0</v>
      </c>
      <c r="Y60" s="1507"/>
      <c r="Z60" s="1507"/>
      <c r="AA60" s="1507"/>
      <c r="AB60" s="1507"/>
      <c r="AC60" s="1507"/>
    </row>
    <row r="61" spans="11:29" ht="14.25" customHeight="1" x14ac:dyDescent="0.25">
      <c r="K61" s="1506" t="s">
        <v>96</v>
      </c>
      <c r="L61" s="1506"/>
      <c r="M61" s="1506"/>
      <c r="N61" s="1506"/>
      <c r="O61" s="1506"/>
      <c r="P61" s="1506"/>
      <c r="Q61" s="1506"/>
      <c r="R61" s="1506"/>
      <c r="S61" s="1506"/>
      <c r="T61" s="1506"/>
      <c r="U61" s="1506"/>
      <c r="X61" s="1507">
        <v>0</v>
      </c>
      <c r="Y61" s="1507"/>
      <c r="Z61" s="1507"/>
      <c r="AA61" s="1507"/>
      <c r="AB61" s="1507"/>
      <c r="AC61" s="1507"/>
    </row>
    <row r="62" spans="11:29" ht="10.5" customHeight="1" x14ac:dyDescent="0.25">
      <c r="K62" s="1506" t="s">
        <v>2080</v>
      </c>
      <c r="L62" s="1506"/>
      <c r="M62" s="1506"/>
      <c r="N62" s="1506"/>
      <c r="O62" s="1506"/>
      <c r="P62" s="1506"/>
      <c r="Q62" s="1506"/>
      <c r="R62" s="1506"/>
      <c r="S62" s="1506"/>
      <c r="T62" s="1506"/>
      <c r="U62" s="1506"/>
      <c r="X62" s="1507">
        <v>0</v>
      </c>
      <c r="Y62" s="1507"/>
      <c r="Z62" s="1507"/>
      <c r="AA62" s="1507"/>
      <c r="AB62" s="1507"/>
      <c r="AC62" s="1507"/>
    </row>
    <row r="63" spans="11:29" ht="3" customHeight="1" x14ac:dyDescent="0.25"/>
    <row r="64" spans="11:29" ht="9" customHeight="1" x14ac:dyDescent="0.25"/>
    <row r="65" spans="11:29" ht="15" customHeight="1" x14ac:dyDescent="0.25">
      <c r="K65" s="1508" t="s">
        <v>2124</v>
      </c>
      <c r="L65" s="1508"/>
      <c r="M65" s="1508"/>
      <c r="N65" s="1508"/>
      <c r="O65" s="1508"/>
      <c r="P65" s="1508"/>
      <c r="Q65" s="1508"/>
      <c r="R65" s="1508"/>
      <c r="S65" s="1508"/>
      <c r="T65" s="1508"/>
      <c r="X65" s="1425">
        <v>0</v>
      </c>
      <c r="Y65" s="1425"/>
      <c r="Z65" s="1425"/>
      <c r="AA65" s="1425"/>
      <c r="AB65" s="1425"/>
      <c r="AC65" s="1425"/>
    </row>
    <row r="66" spans="11:29" ht="10.5" customHeight="1" x14ac:dyDescent="0.25">
      <c r="K66" s="1506" t="s">
        <v>2123</v>
      </c>
      <c r="L66" s="1506"/>
      <c r="M66" s="1506"/>
      <c r="N66" s="1506"/>
      <c r="O66" s="1506"/>
      <c r="P66" s="1506"/>
      <c r="Q66" s="1506"/>
      <c r="R66" s="1506"/>
      <c r="S66" s="1506"/>
      <c r="T66" s="1506"/>
      <c r="U66" s="1506"/>
      <c r="X66" s="1507">
        <v>0</v>
      </c>
      <c r="Y66" s="1507"/>
      <c r="Z66" s="1507"/>
      <c r="AA66" s="1507"/>
      <c r="AB66" s="1507"/>
      <c r="AC66" s="1507"/>
    </row>
    <row r="67" spans="11:29" ht="3" customHeight="1" x14ac:dyDescent="0.25"/>
    <row r="68" spans="11:29" ht="9.75" customHeight="1" x14ac:dyDescent="0.25"/>
    <row r="69" spans="11:29" ht="10.5" customHeight="1" x14ac:dyDescent="0.25">
      <c r="K69" s="1424" t="s">
        <v>0</v>
      </c>
      <c r="L69" s="1424"/>
      <c r="X69" s="1425">
        <v>5560.73</v>
      </c>
      <c r="Y69" s="1425"/>
      <c r="Z69" s="1425"/>
      <c r="AA69" s="1425"/>
      <c r="AB69" s="1425"/>
      <c r="AC69" s="1425"/>
    </row>
  </sheetData>
  <mergeCells count="91">
    <mergeCell ref="K66:U66"/>
    <mergeCell ref="X66:AC66"/>
    <mergeCell ref="K69:L69"/>
    <mergeCell ref="X69:AC69"/>
    <mergeCell ref="K61:U61"/>
    <mergeCell ref="X61:AC61"/>
    <mergeCell ref="K62:U62"/>
    <mergeCell ref="X62:AC62"/>
    <mergeCell ref="K65:T65"/>
    <mergeCell ref="X65:AC65"/>
    <mergeCell ref="K58:T58"/>
    <mergeCell ref="X58:AC58"/>
    <mergeCell ref="K59:U59"/>
    <mergeCell ref="K60:U60"/>
    <mergeCell ref="X60:AC60"/>
    <mergeCell ref="X59:AC59"/>
    <mergeCell ref="AE47:AG47"/>
    <mergeCell ref="Q50:S50"/>
    <mergeCell ref="K52:T52"/>
    <mergeCell ref="K53:U53"/>
    <mergeCell ref="X53:AC53"/>
    <mergeCell ref="X52:AC52"/>
    <mergeCell ref="C42:H42"/>
    <mergeCell ref="I42:Q42"/>
    <mergeCell ref="S42:V42"/>
    <mergeCell ref="C44:H44"/>
    <mergeCell ref="I44:Q44"/>
    <mergeCell ref="S44:V44"/>
    <mergeCell ref="C38:H38"/>
    <mergeCell ref="I38:Q38"/>
    <mergeCell ref="Z38:AC38"/>
    <mergeCell ref="C40:H40"/>
    <mergeCell ref="I40:Q40"/>
    <mergeCell ref="S40:V40"/>
    <mergeCell ref="AA7:AC7"/>
    <mergeCell ref="C9:H9"/>
    <mergeCell ref="I9:Q9"/>
    <mergeCell ref="C23:H23"/>
    <mergeCell ref="I23:Q23"/>
    <mergeCell ref="S23:V23"/>
    <mergeCell ref="C13:H13"/>
    <mergeCell ref="I13:Q13"/>
    <mergeCell ref="S13:V13"/>
    <mergeCell ref="C7:E7"/>
    <mergeCell ref="I7:M7"/>
    <mergeCell ref="S7:V7"/>
    <mergeCell ref="C21:H21"/>
    <mergeCell ref="I21:Q21"/>
    <mergeCell ref="S21:V21"/>
    <mergeCell ref="C19:H19"/>
    <mergeCell ref="X55:AC55"/>
    <mergeCell ref="K54:U54"/>
    <mergeCell ref="X54:AC54"/>
    <mergeCell ref="K55:U55"/>
    <mergeCell ref="I31:Q31"/>
    <mergeCell ref="S31:V31"/>
    <mergeCell ref="P47:W48"/>
    <mergeCell ref="I36:Q36"/>
    <mergeCell ref="I33:Q33"/>
    <mergeCell ref="S33:V33"/>
    <mergeCell ref="C25:H25"/>
    <mergeCell ref="I25:Q25"/>
    <mergeCell ref="S25:V25"/>
    <mergeCell ref="C33:H33"/>
    <mergeCell ref="I19:Q19"/>
    <mergeCell ref="S19:V19"/>
    <mergeCell ref="AF36:AG36"/>
    <mergeCell ref="C27:H27"/>
    <mergeCell ref="I27:Q27"/>
    <mergeCell ref="S27:V27"/>
    <mergeCell ref="C29:H29"/>
    <mergeCell ref="I29:Q29"/>
    <mergeCell ref="S29:V29"/>
    <mergeCell ref="C31:H31"/>
    <mergeCell ref="C36:H36"/>
    <mergeCell ref="A1:AG1"/>
    <mergeCell ref="A3:AG3"/>
    <mergeCell ref="A4:AG4"/>
    <mergeCell ref="A2:D2"/>
    <mergeCell ref="C17:H17"/>
    <mergeCell ref="C15:H15"/>
    <mergeCell ref="I15:Q15"/>
    <mergeCell ref="I17:Q17"/>
    <mergeCell ref="S15:V15"/>
    <mergeCell ref="S17:V17"/>
    <mergeCell ref="A5:AG5"/>
    <mergeCell ref="AF7:AG7"/>
    <mergeCell ref="AF9:AG9"/>
    <mergeCell ref="C11:H11"/>
    <mergeCell ref="I11:Q11"/>
    <mergeCell ref="Z11:AC11"/>
  </mergeCells>
  <pageMargins left="0.51181102362204722" right="0.51181102362204722" top="0.78740157480314965" bottom="0.78740157480314965" header="0.31496062992125984" footer="0.31496062992125984"/>
  <pageSetup paperSize="9"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4"/>
  <sheetViews>
    <sheetView zoomScale="85" zoomScaleNormal="85" workbookViewId="0">
      <selection sqref="A1:XFD1048576"/>
    </sheetView>
  </sheetViews>
  <sheetFormatPr defaultColWidth="6.85546875" defaultRowHeight="12.75" customHeight="1" x14ac:dyDescent="0.25"/>
  <cols>
    <col min="1" max="1" width="1.140625" style="1110" customWidth="1"/>
    <col min="2" max="2" width="1" style="1110" customWidth="1"/>
    <col min="3" max="3" width="7.28515625" style="1110" customWidth="1"/>
    <col min="4" max="4" width="1.140625" style="1110" customWidth="1"/>
    <col min="5" max="5" width="5.5703125" style="1110" customWidth="1"/>
    <col min="6" max="6" width="1.140625" style="1110" customWidth="1"/>
    <col min="7" max="7" width="1.28515625" style="1110" customWidth="1"/>
    <col min="8" max="8" width="2.28515625" style="1110" customWidth="1"/>
    <col min="9" max="9" width="11.5703125" style="1110" customWidth="1"/>
    <col min="10" max="10" width="1.5703125" style="1110" customWidth="1"/>
    <col min="11" max="11" width="2.5703125" style="1110" customWidth="1"/>
    <col min="12" max="12" width="11.42578125" style="1110" customWidth="1"/>
    <col min="13" max="13" width="2" style="1110" customWidth="1"/>
    <col min="14" max="14" width="13.28515625" style="1110" customWidth="1"/>
    <col min="15" max="15" width="2.28515625" style="1110" customWidth="1"/>
    <col min="16" max="16" width="1.140625" style="1110" customWidth="1"/>
    <col min="17" max="17" width="7.28515625" style="1110" customWidth="1"/>
    <col min="18" max="18" width="1.42578125" style="1110" customWidth="1"/>
    <col min="19" max="19" width="4.7109375" style="1110" customWidth="1"/>
    <col min="20" max="20" width="4.5703125" style="1110" customWidth="1"/>
    <col min="21" max="21" width="2.28515625" style="1110" customWidth="1"/>
    <col min="22" max="22" width="3.42578125" style="1110" customWidth="1"/>
    <col min="23" max="23" width="1" style="1110" customWidth="1"/>
    <col min="24" max="24" width="1.42578125" style="1110" customWidth="1"/>
    <col min="25" max="25" width="1.7109375" style="1110" customWidth="1"/>
    <col min="26" max="26" width="2" style="1110" customWidth="1"/>
    <col min="27" max="27" width="1.140625" style="1110" customWidth="1"/>
    <col min="28" max="28" width="4.5703125" style="1110" customWidth="1"/>
    <col min="29" max="29" width="7.140625" style="1110" customWidth="1"/>
    <col min="30" max="30" width="3.5703125" style="1110" customWidth="1"/>
    <col min="31" max="31" width="2" style="1110" customWidth="1"/>
    <col min="32" max="32" width="5.140625" style="1110" customWidth="1"/>
    <col min="33" max="33" width="10.85546875" style="1110" customWidth="1"/>
    <col min="34" max="34" width="1" style="1110" customWidth="1"/>
    <col min="35" max="35" width="1.140625" style="1110" customWidth="1"/>
    <col min="36" max="36" width="1.7109375" style="1110" customWidth="1"/>
    <col min="37" max="37" width="5.85546875" style="1110" customWidth="1"/>
    <col min="38" max="16384" width="6.85546875" style="1110"/>
  </cols>
  <sheetData>
    <row r="1" spans="1:33" s="1109" customFormat="1" ht="15" customHeight="1" x14ac:dyDescent="0.25">
      <c r="A1" s="1512" t="str">
        <f>'CADASTRO BASE RECEITA '!A$1</f>
        <v>PROPOSTA ORÇAMENTÁRIA PARA 2016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  <c r="Y1" s="1512"/>
      <c r="Z1" s="1512"/>
      <c r="AA1" s="1512"/>
      <c r="AB1" s="1512"/>
      <c r="AC1" s="1512"/>
      <c r="AD1" s="1512"/>
      <c r="AE1" s="1512"/>
      <c r="AF1" s="1512"/>
      <c r="AG1" s="1512"/>
    </row>
    <row r="2" spans="1:33" s="1109" customFormat="1" ht="15" customHeight="1" x14ac:dyDescent="0.25">
      <c r="A2" s="1512"/>
      <c r="B2" s="1512"/>
      <c r="C2" s="1512"/>
      <c r="D2" s="1512"/>
    </row>
    <row r="3" spans="1:33" s="1109" customFormat="1" ht="15" customHeight="1" x14ac:dyDescent="0.25">
      <c r="A3" s="1512" t="s">
        <v>177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2"/>
      <c r="Z3" s="1512"/>
      <c r="AA3" s="1512"/>
      <c r="AB3" s="1512"/>
      <c r="AC3" s="1512"/>
      <c r="AD3" s="1512"/>
      <c r="AE3" s="1512"/>
      <c r="AF3" s="1512"/>
      <c r="AG3" s="1512"/>
    </row>
    <row r="4" spans="1:33" s="1109" customFormat="1" ht="15" customHeight="1" x14ac:dyDescent="0.25">
      <c r="A4" s="1512" t="s">
        <v>180</v>
      </c>
      <c r="B4" s="1512"/>
      <c r="C4" s="1512"/>
      <c r="D4" s="1512"/>
      <c r="E4" s="1512"/>
      <c r="F4" s="1512"/>
      <c r="G4" s="1512"/>
      <c r="H4" s="1512"/>
      <c r="I4" s="1512"/>
      <c r="J4" s="1512"/>
      <c r="K4" s="1512"/>
      <c r="L4" s="1512"/>
      <c r="M4" s="1512"/>
      <c r="N4" s="1512"/>
      <c r="O4" s="1512"/>
      <c r="P4" s="1512"/>
      <c r="Q4" s="1512"/>
      <c r="R4" s="1512"/>
      <c r="S4" s="1512"/>
      <c r="T4" s="1512"/>
      <c r="U4" s="1512"/>
      <c r="V4" s="1512"/>
      <c r="W4" s="1512"/>
      <c r="X4" s="1512"/>
      <c r="Y4" s="1512"/>
      <c r="Z4" s="1512"/>
      <c r="AA4" s="1512"/>
      <c r="AB4" s="1512"/>
      <c r="AC4" s="1512"/>
      <c r="AD4" s="1512"/>
      <c r="AE4" s="1512"/>
      <c r="AF4" s="1512"/>
      <c r="AG4" s="1512"/>
    </row>
    <row r="5" spans="1:33" s="1109" customFormat="1" ht="15" customHeight="1" x14ac:dyDescent="0.2">
      <c r="A5" s="1513" t="s">
        <v>11845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</row>
    <row r="6" spans="1:33" ht="12" customHeight="1" x14ac:dyDescent="0.25"/>
    <row r="7" spans="1:33" ht="11.25" customHeight="1" x14ac:dyDescent="0.25">
      <c r="C7" s="1424" t="s">
        <v>2099</v>
      </c>
      <c r="D7" s="1424"/>
      <c r="E7" s="1424"/>
      <c r="I7" s="1424" t="s">
        <v>2100</v>
      </c>
      <c r="J7" s="1424"/>
      <c r="K7" s="1424"/>
      <c r="L7" s="1424"/>
      <c r="M7" s="1424"/>
      <c r="S7" s="1420" t="s">
        <v>2101</v>
      </c>
      <c r="T7" s="1420"/>
      <c r="U7" s="1420"/>
      <c r="V7" s="1420"/>
      <c r="AA7" s="1420" t="s">
        <v>2102</v>
      </c>
      <c r="AB7" s="1420"/>
      <c r="AC7" s="1420"/>
      <c r="AF7" s="1420" t="s">
        <v>2103</v>
      </c>
      <c r="AG7" s="1420"/>
    </row>
    <row r="8" spans="1:33" ht="0.75" customHeight="1" x14ac:dyDescent="0.25"/>
    <row r="9" spans="1:33" ht="13.5" customHeight="1" x14ac:dyDescent="0.25">
      <c r="C9" s="182" t="s">
        <v>1986</v>
      </c>
      <c r="E9" s="1511">
        <v>2</v>
      </c>
      <c r="F9" s="1511"/>
      <c r="H9" s="1506" t="s">
        <v>6230</v>
      </c>
      <c r="I9" s="1506"/>
      <c r="J9" s="1506"/>
      <c r="K9" s="1506"/>
      <c r="L9" s="1506"/>
      <c r="M9" s="1506"/>
      <c r="N9" s="1506"/>
      <c r="O9" s="1506"/>
      <c r="P9" s="1506"/>
      <c r="Q9" s="1506"/>
    </row>
    <row r="10" spans="1:33" ht="12" customHeight="1" x14ac:dyDescent="0.25">
      <c r="C10" s="182" t="s">
        <v>458</v>
      </c>
      <c r="E10" s="1511">
        <v>6</v>
      </c>
      <c r="F10" s="1511"/>
      <c r="H10" s="1506" t="s">
        <v>11859</v>
      </c>
      <c r="I10" s="1506"/>
      <c r="J10" s="1506"/>
      <c r="K10" s="1506"/>
      <c r="L10" s="1506"/>
      <c r="M10" s="1506"/>
      <c r="N10" s="1506"/>
      <c r="O10" s="1506"/>
      <c r="P10" s="1506"/>
      <c r="Q10" s="1506"/>
    </row>
    <row r="11" spans="1:33" ht="1.5" customHeight="1" x14ac:dyDescent="0.25"/>
    <row r="12" spans="1:33" ht="10.5" customHeight="1" x14ac:dyDescent="0.25">
      <c r="C12" s="1506" t="s">
        <v>2104</v>
      </c>
      <c r="D12" s="1506"/>
      <c r="E12" s="1506"/>
      <c r="F12" s="1506"/>
      <c r="G12" s="1506"/>
      <c r="H12" s="1506"/>
      <c r="I12" s="1510" t="s">
        <v>2105</v>
      </c>
      <c r="J12" s="1510"/>
      <c r="K12" s="1510"/>
      <c r="L12" s="1510"/>
      <c r="M12" s="1510"/>
      <c r="N12" s="1510"/>
      <c r="O12" s="1510"/>
      <c r="P12" s="1510"/>
      <c r="Q12" s="1510"/>
      <c r="AF12" s="1507">
        <v>859286.9</v>
      </c>
      <c r="AG12" s="1507"/>
    </row>
    <row r="13" spans="1:33" ht="0.75" customHeight="1" x14ac:dyDescent="0.25"/>
    <row r="14" spans="1:33" ht="11.25" customHeight="1" x14ac:dyDescent="0.25">
      <c r="C14" s="1506" t="s">
        <v>2106</v>
      </c>
      <c r="D14" s="1506"/>
      <c r="E14" s="1506"/>
      <c r="F14" s="1506"/>
      <c r="G14" s="1506"/>
      <c r="H14" s="1506"/>
      <c r="I14" s="1510" t="s">
        <v>2075</v>
      </c>
      <c r="J14" s="1510"/>
      <c r="K14" s="1510"/>
      <c r="L14" s="1510"/>
      <c r="M14" s="1510"/>
      <c r="N14" s="1510"/>
      <c r="O14" s="1510"/>
      <c r="P14" s="1510"/>
      <c r="Q14" s="1510"/>
      <c r="Z14" s="1507">
        <v>183561.67</v>
      </c>
      <c r="AA14" s="1507"/>
      <c r="AB14" s="1507"/>
      <c r="AC14" s="1507"/>
    </row>
    <row r="15" spans="1:33" ht="1.5" customHeight="1" x14ac:dyDescent="0.25"/>
    <row r="16" spans="1:33" ht="11.25" customHeight="1" x14ac:dyDescent="0.25">
      <c r="C16" s="1506" t="s">
        <v>2107</v>
      </c>
      <c r="D16" s="1506"/>
      <c r="E16" s="1506"/>
      <c r="F16" s="1506"/>
      <c r="G16" s="1506"/>
      <c r="H16" s="1506"/>
      <c r="I16" s="1510" t="s">
        <v>2108</v>
      </c>
      <c r="J16" s="1510"/>
      <c r="K16" s="1510"/>
      <c r="L16" s="1510"/>
      <c r="M16" s="1510"/>
      <c r="N16" s="1510"/>
      <c r="O16" s="1510"/>
      <c r="P16" s="1510"/>
      <c r="Q16" s="1510"/>
      <c r="S16" s="1507">
        <v>183561.67</v>
      </c>
      <c r="T16" s="1507"/>
      <c r="U16" s="1507"/>
      <c r="V16" s="1507"/>
    </row>
    <row r="17" spans="3:29" ht="1.5" customHeight="1" x14ac:dyDescent="0.25"/>
    <row r="18" spans="3:29" ht="10.5" customHeight="1" x14ac:dyDescent="0.25">
      <c r="C18" s="1506" t="s">
        <v>6253</v>
      </c>
      <c r="D18" s="1506"/>
      <c r="E18" s="1506"/>
      <c r="F18" s="1506"/>
      <c r="G18" s="1506"/>
      <c r="H18" s="1506"/>
      <c r="I18" s="1510" t="s">
        <v>1012</v>
      </c>
      <c r="J18" s="1510"/>
      <c r="K18" s="1510"/>
      <c r="L18" s="1510"/>
      <c r="M18" s="1510"/>
      <c r="N18" s="1510"/>
      <c r="O18" s="1510"/>
      <c r="P18" s="1510"/>
      <c r="Q18" s="1510"/>
      <c r="S18" s="1507">
        <v>25073.21</v>
      </c>
      <c r="T18" s="1507"/>
      <c r="U18" s="1507"/>
      <c r="V18" s="1507"/>
    </row>
    <row r="19" spans="3:29" ht="1.5" customHeight="1" x14ac:dyDescent="0.25"/>
    <row r="20" spans="3:29" ht="10.5" customHeight="1" x14ac:dyDescent="0.25">
      <c r="C20" s="1506" t="s">
        <v>6236</v>
      </c>
      <c r="D20" s="1506"/>
      <c r="E20" s="1506"/>
      <c r="F20" s="1506"/>
      <c r="G20" s="1506"/>
      <c r="H20" s="1506"/>
      <c r="I20" s="1510" t="s">
        <v>1009</v>
      </c>
      <c r="J20" s="1510"/>
      <c r="K20" s="1510"/>
      <c r="L20" s="1510"/>
      <c r="M20" s="1510"/>
      <c r="N20" s="1510"/>
      <c r="O20" s="1510"/>
      <c r="P20" s="1510"/>
      <c r="Q20" s="1510"/>
      <c r="S20" s="1507">
        <v>111960.84</v>
      </c>
      <c r="T20" s="1507"/>
      <c r="U20" s="1507"/>
      <c r="V20" s="1507"/>
    </row>
    <row r="21" spans="3:29" ht="1.5" customHeight="1" x14ac:dyDescent="0.25"/>
    <row r="22" spans="3:29" ht="10.5" customHeight="1" x14ac:dyDescent="0.25">
      <c r="C22" s="1506" t="s">
        <v>6237</v>
      </c>
      <c r="D22" s="1506"/>
      <c r="E22" s="1506"/>
      <c r="F22" s="1506"/>
      <c r="G22" s="1506"/>
      <c r="H22" s="1506"/>
      <c r="I22" s="1510" t="s">
        <v>1011</v>
      </c>
      <c r="J22" s="1510"/>
      <c r="K22" s="1510"/>
      <c r="L22" s="1510"/>
      <c r="M22" s="1510"/>
      <c r="N22" s="1510"/>
      <c r="O22" s="1510"/>
      <c r="P22" s="1510"/>
      <c r="Q22" s="1510"/>
      <c r="S22" s="1507">
        <v>30478.42</v>
      </c>
      <c r="T22" s="1507"/>
      <c r="U22" s="1507"/>
      <c r="V22" s="1507"/>
    </row>
    <row r="23" spans="3:29" ht="1.5" customHeight="1" x14ac:dyDescent="0.25"/>
    <row r="24" spans="3:29" ht="10.5" customHeight="1" x14ac:dyDescent="0.25">
      <c r="C24" s="1506" t="s">
        <v>6238</v>
      </c>
      <c r="D24" s="1506"/>
      <c r="E24" s="1506"/>
      <c r="F24" s="1506"/>
      <c r="G24" s="1506"/>
      <c r="H24" s="1506"/>
      <c r="I24" s="1510" t="s">
        <v>1005</v>
      </c>
      <c r="J24" s="1510"/>
      <c r="K24" s="1510"/>
      <c r="L24" s="1510"/>
      <c r="M24" s="1510"/>
      <c r="N24" s="1510"/>
      <c r="O24" s="1510"/>
      <c r="P24" s="1510"/>
      <c r="Q24" s="1510"/>
      <c r="S24" s="1507">
        <v>16049.2</v>
      </c>
      <c r="T24" s="1507"/>
      <c r="U24" s="1507"/>
      <c r="V24" s="1507"/>
    </row>
    <row r="25" spans="3:29" ht="0.75" customHeight="1" x14ac:dyDescent="0.25"/>
    <row r="26" spans="3:29" ht="11.25" customHeight="1" x14ac:dyDescent="0.25">
      <c r="C26" s="1506" t="s">
        <v>2109</v>
      </c>
      <c r="D26" s="1506"/>
      <c r="E26" s="1506"/>
      <c r="F26" s="1506"/>
      <c r="G26" s="1506"/>
      <c r="H26" s="1506"/>
      <c r="I26" s="1510" t="s">
        <v>94</v>
      </c>
      <c r="J26" s="1510"/>
      <c r="K26" s="1510"/>
      <c r="L26" s="1510"/>
      <c r="M26" s="1510"/>
      <c r="N26" s="1510"/>
      <c r="O26" s="1510"/>
      <c r="P26" s="1510"/>
      <c r="Q26" s="1510"/>
      <c r="Z26" s="1507">
        <v>675725.23</v>
      </c>
      <c r="AA26" s="1507"/>
      <c r="AB26" s="1507"/>
      <c r="AC26" s="1507"/>
    </row>
    <row r="27" spans="3:29" ht="1.5" customHeight="1" x14ac:dyDescent="0.25"/>
    <row r="28" spans="3:29" ht="11.25" customHeight="1" x14ac:dyDescent="0.25">
      <c r="C28" s="1506" t="s">
        <v>2127</v>
      </c>
      <c r="D28" s="1506"/>
      <c r="E28" s="1506"/>
      <c r="F28" s="1506"/>
      <c r="G28" s="1506"/>
      <c r="H28" s="1506"/>
      <c r="I28" s="1510" t="s">
        <v>2128</v>
      </c>
      <c r="J28" s="1510"/>
      <c r="K28" s="1510"/>
      <c r="L28" s="1510"/>
      <c r="M28" s="1510"/>
      <c r="N28" s="1510"/>
      <c r="O28" s="1510"/>
      <c r="P28" s="1510"/>
      <c r="Q28" s="1510"/>
      <c r="S28" s="1507">
        <v>182049.61</v>
      </c>
      <c r="T28" s="1507"/>
      <c r="U28" s="1507"/>
      <c r="V28" s="1507"/>
    </row>
    <row r="29" spans="3:29" ht="1.5" customHeight="1" x14ac:dyDescent="0.25"/>
    <row r="30" spans="3:29" ht="10.5" customHeight="1" x14ac:dyDescent="0.25">
      <c r="C30" s="1506" t="s">
        <v>6334</v>
      </c>
      <c r="D30" s="1506"/>
      <c r="E30" s="1506"/>
      <c r="F30" s="1506"/>
      <c r="G30" s="1506"/>
      <c r="H30" s="1506"/>
      <c r="I30" s="1510" t="s">
        <v>1057</v>
      </c>
      <c r="J30" s="1510"/>
      <c r="K30" s="1510"/>
      <c r="L30" s="1510"/>
      <c r="M30" s="1510"/>
      <c r="N30" s="1510"/>
      <c r="O30" s="1510"/>
      <c r="P30" s="1510"/>
      <c r="Q30" s="1510"/>
      <c r="S30" s="1507">
        <v>182049.61</v>
      </c>
      <c r="T30" s="1507"/>
      <c r="U30" s="1507"/>
      <c r="V30" s="1507"/>
    </row>
    <row r="31" spans="3:29" ht="1.5" customHeight="1" x14ac:dyDescent="0.25"/>
    <row r="32" spans="3:29" ht="11.25" customHeight="1" x14ac:dyDescent="0.25">
      <c r="C32" s="1506" t="s">
        <v>2129</v>
      </c>
      <c r="D32" s="1506"/>
      <c r="E32" s="1506"/>
      <c r="F32" s="1506"/>
      <c r="G32" s="1506"/>
      <c r="H32" s="1506"/>
      <c r="I32" s="1510" t="s">
        <v>2130</v>
      </c>
      <c r="J32" s="1510"/>
      <c r="K32" s="1510"/>
      <c r="L32" s="1510"/>
      <c r="M32" s="1510"/>
      <c r="N32" s="1510"/>
      <c r="O32" s="1510"/>
      <c r="P32" s="1510"/>
      <c r="Q32" s="1510"/>
      <c r="S32" s="1507">
        <v>1199.3599999999999</v>
      </c>
      <c r="T32" s="1507"/>
      <c r="U32" s="1507"/>
      <c r="V32" s="1507"/>
    </row>
    <row r="33" spans="3:22" ht="1.5" customHeight="1" x14ac:dyDescent="0.25"/>
    <row r="34" spans="3:22" ht="10.5" customHeight="1" x14ac:dyDescent="0.25">
      <c r="C34" s="1506" t="s">
        <v>6332</v>
      </c>
      <c r="D34" s="1506"/>
      <c r="E34" s="1506"/>
      <c r="F34" s="1506"/>
      <c r="G34" s="1506"/>
      <c r="H34" s="1506"/>
      <c r="I34" s="1510" t="s">
        <v>6359</v>
      </c>
      <c r="J34" s="1510"/>
      <c r="K34" s="1510"/>
      <c r="L34" s="1510"/>
      <c r="M34" s="1510"/>
      <c r="N34" s="1510"/>
      <c r="O34" s="1510"/>
      <c r="P34" s="1510"/>
      <c r="Q34" s="1510"/>
      <c r="S34" s="1507">
        <v>1199.3599999999999</v>
      </c>
      <c r="T34" s="1507"/>
      <c r="U34" s="1507"/>
      <c r="V34" s="1507"/>
    </row>
    <row r="35" spans="3:22" ht="1.5" customHeight="1" x14ac:dyDescent="0.25"/>
    <row r="36" spans="3:22" ht="11.25" customHeight="1" x14ac:dyDescent="0.25">
      <c r="C36" s="1506" t="s">
        <v>2111</v>
      </c>
      <c r="D36" s="1506"/>
      <c r="E36" s="1506"/>
      <c r="F36" s="1506"/>
      <c r="G36" s="1506"/>
      <c r="H36" s="1506"/>
      <c r="I36" s="1510" t="s">
        <v>2108</v>
      </c>
      <c r="J36" s="1510"/>
      <c r="K36" s="1510"/>
      <c r="L36" s="1510"/>
      <c r="M36" s="1510"/>
      <c r="N36" s="1510"/>
      <c r="O36" s="1510"/>
      <c r="P36" s="1510"/>
      <c r="Q36" s="1510"/>
      <c r="S36" s="1507">
        <v>477937.44</v>
      </c>
      <c r="T36" s="1507"/>
      <c r="U36" s="1507"/>
      <c r="V36" s="1507"/>
    </row>
    <row r="37" spans="3:22" ht="1.5" customHeight="1" x14ac:dyDescent="0.25"/>
    <row r="38" spans="3:22" ht="10.5" customHeight="1" x14ac:dyDescent="0.25">
      <c r="C38" s="1506" t="s">
        <v>6240</v>
      </c>
      <c r="D38" s="1506"/>
      <c r="E38" s="1506"/>
      <c r="F38" s="1506"/>
      <c r="G38" s="1506"/>
      <c r="H38" s="1506"/>
      <c r="I38" s="1510" t="s">
        <v>1046</v>
      </c>
      <c r="J38" s="1510"/>
      <c r="K38" s="1510"/>
      <c r="L38" s="1510"/>
      <c r="M38" s="1510"/>
      <c r="N38" s="1510"/>
      <c r="O38" s="1510"/>
      <c r="P38" s="1510"/>
      <c r="Q38" s="1510"/>
      <c r="S38" s="1507">
        <v>25197.94</v>
      </c>
      <c r="T38" s="1507"/>
      <c r="U38" s="1507"/>
      <c r="V38" s="1507"/>
    </row>
    <row r="39" spans="3:22" ht="1.5" customHeight="1" x14ac:dyDescent="0.25"/>
    <row r="40" spans="3:22" ht="10.5" customHeight="1" x14ac:dyDescent="0.25">
      <c r="C40" s="1506" t="s">
        <v>6241</v>
      </c>
      <c r="D40" s="1506"/>
      <c r="E40" s="1506"/>
      <c r="F40" s="1506"/>
      <c r="G40" s="1506"/>
      <c r="H40" s="1506"/>
      <c r="I40" s="1510" t="s">
        <v>996</v>
      </c>
      <c r="J40" s="1510"/>
      <c r="K40" s="1510"/>
      <c r="L40" s="1510"/>
      <c r="M40" s="1510"/>
      <c r="N40" s="1510"/>
      <c r="O40" s="1510"/>
      <c r="P40" s="1510"/>
      <c r="Q40" s="1510"/>
      <c r="S40" s="1507">
        <v>183825.68</v>
      </c>
      <c r="T40" s="1507"/>
      <c r="U40" s="1507"/>
      <c r="V40" s="1507"/>
    </row>
    <row r="41" spans="3:22" ht="1.5" customHeight="1" x14ac:dyDescent="0.25"/>
    <row r="42" spans="3:22" ht="10.5" customHeight="1" x14ac:dyDescent="0.25">
      <c r="C42" s="1506" t="s">
        <v>6242</v>
      </c>
      <c r="D42" s="1506"/>
      <c r="E42" s="1506"/>
      <c r="F42" s="1506"/>
      <c r="G42" s="1506"/>
      <c r="H42" s="1506"/>
      <c r="I42" s="1510" t="s">
        <v>1021</v>
      </c>
      <c r="J42" s="1510"/>
      <c r="K42" s="1510"/>
      <c r="L42" s="1510"/>
      <c r="M42" s="1510"/>
      <c r="N42" s="1510"/>
      <c r="O42" s="1510"/>
      <c r="P42" s="1510"/>
      <c r="Q42" s="1510"/>
      <c r="S42" s="1507">
        <v>37240.94</v>
      </c>
      <c r="T42" s="1507"/>
      <c r="U42" s="1507"/>
      <c r="V42" s="1507"/>
    </row>
    <row r="43" spans="3:22" ht="1.5" customHeight="1" x14ac:dyDescent="0.25"/>
    <row r="44" spans="3:22" ht="10.5" customHeight="1" x14ac:dyDescent="0.25">
      <c r="C44" s="1506" t="s">
        <v>6243</v>
      </c>
      <c r="D44" s="1506"/>
      <c r="E44" s="1506"/>
      <c r="F44" s="1506"/>
      <c r="G44" s="1506"/>
      <c r="H44" s="1506"/>
      <c r="I44" s="1510" t="s">
        <v>1044</v>
      </c>
      <c r="J44" s="1510"/>
      <c r="K44" s="1510"/>
      <c r="L44" s="1510"/>
      <c r="M44" s="1510"/>
      <c r="N44" s="1510"/>
      <c r="O44" s="1510"/>
      <c r="P44" s="1510"/>
      <c r="Q44" s="1510"/>
      <c r="S44" s="1507">
        <v>2180.67</v>
      </c>
      <c r="T44" s="1507"/>
      <c r="U44" s="1507"/>
      <c r="V44" s="1507"/>
    </row>
    <row r="45" spans="3:22" ht="1.5" customHeight="1" x14ac:dyDescent="0.25"/>
    <row r="46" spans="3:22" ht="10.5" customHeight="1" x14ac:dyDescent="0.25">
      <c r="C46" s="1506" t="s">
        <v>6244</v>
      </c>
      <c r="D46" s="1506"/>
      <c r="E46" s="1506"/>
      <c r="F46" s="1506"/>
      <c r="G46" s="1506"/>
      <c r="H46" s="1506"/>
      <c r="I46" s="1510" t="s">
        <v>993</v>
      </c>
      <c r="J46" s="1510"/>
      <c r="K46" s="1510"/>
      <c r="L46" s="1510"/>
      <c r="M46" s="1510"/>
      <c r="N46" s="1510"/>
      <c r="O46" s="1510"/>
      <c r="P46" s="1510"/>
      <c r="Q46" s="1510"/>
      <c r="S46" s="1507">
        <v>58519.76</v>
      </c>
      <c r="T46" s="1507"/>
      <c r="U46" s="1507"/>
      <c r="V46" s="1507"/>
    </row>
    <row r="47" spans="3:22" ht="1.5" customHeight="1" x14ac:dyDescent="0.25"/>
    <row r="48" spans="3:22" ht="10.5" customHeight="1" x14ac:dyDescent="0.25">
      <c r="C48" s="1506" t="s">
        <v>6245</v>
      </c>
      <c r="D48" s="1506"/>
      <c r="E48" s="1506"/>
      <c r="F48" s="1506"/>
      <c r="G48" s="1506"/>
      <c r="H48" s="1506"/>
      <c r="I48" s="1510" t="s">
        <v>6307</v>
      </c>
      <c r="J48" s="1510"/>
      <c r="K48" s="1510"/>
      <c r="L48" s="1510"/>
      <c r="M48" s="1510"/>
      <c r="N48" s="1510"/>
      <c r="O48" s="1510"/>
      <c r="P48" s="1510"/>
      <c r="Q48" s="1510"/>
      <c r="S48" s="1507">
        <v>140626.07</v>
      </c>
      <c r="T48" s="1507"/>
      <c r="U48" s="1507"/>
      <c r="V48" s="1507"/>
    </row>
    <row r="49" spans="3:33" ht="1.5" customHeight="1" x14ac:dyDescent="0.25"/>
    <row r="50" spans="3:33" ht="10.5" customHeight="1" x14ac:dyDescent="0.25">
      <c r="C50" s="1506" t="s">
        <v>6231</v>
      </c>
      <c r="D50" s="1506"/>
      <c r="E50" s="1506"/>
      <c r="F50" s="1506"/>
      <c r="G50" s="1506"/>
      <c r="H50" s="1506"/>
      <c r="I50" s="1510" t="s">
        <v>990</v>
      </c>
      <c r="J50" s="1510"/>
      <c r="K50" s="1510"/>
      <c r="L50" s="1510"/>
      <c r="M50" s="1510"/>
      <c r="N50" s="1510"/>
      <c r="O50" s="1510"/>
      <c r="P50" s="1510"/>
      <c r="Q50" s="1510"/>
      <c r="S50" s="1507">
        <v>22317.33</v>
      </c>
      <c r="T50" s="1507"/>
      <c r="U50" s="1507"/>
      <c r="V50" s="1507"/>
    </row>
    <row r="51" spans="3:33" ht="1.5" customHeight="1" x14ac:dyDescent="0.25"/>
    <row r="52" spans="3:33" ht="10.5" customHeight="1" x14ac:dyDescent="0.25">
      <c r="C52" s="1506" t="s">
        <v>6247</v>
      </c>
      <c r="D52" s="1506"/>
      <c r="E52" s="1506"/>
      <c r="F52" s="1506"/>
      <c r="G52" s="1506"/>
      <c r="H52" s="1506"/>
      <c r="I52" s="1510" t="s">
        <v>6042</v>
      </c>
      <c r="J52" s="1510"/>
      <c r="K52" s="1510"/>
      <c r="L52" s="1510"/>
      <c r="M52" s="1510"/>
      <c r="N52" s="1510"/>
      <c r="O52" s="1510"/>
      <c r="P52" s="1510"/>
      <c r="Q52" s="1510"/>
      <c r="S52" s="1507">
        <v>5303.22</v>
      </c>
      <c r="T52" s="1507"/>
      <c r="U52" s="1507"/>
      <c r="V52" s="1507"/>
    </row>
    <row r="53" spans="3:33" ht="1.5" customHeight="1" x14ac:dyDescent="0.25"/>
    <row r="54" spans="3:33" ht="10.5" customHeight="1" x14ac:dyDescent="0.25">
      <c r="C54" s="1506" t="s">
        <v>6248</v>
      </c>
      <c r="D54" s="1506"/>
      <c r="E54" s="1506"/>
      <c r="F54" s="1506"/>
      <c r="G54" s="1506"/>
      <c r="H54" s="1506"/>
      <c r="I54" s="1510" t="s">
        <v>985</v>
      </c>
      <c r="J54" s="1510"/>
      <c r="K54" s="1510"/>
      <c r="L54" s="1510"/>
      <c r="M54" s="1510"/>
      <c r="N54" s="1510"/>
      <c r="O54" s="1510"/>
      <c r="P54" s="1510"/>
      <c r="Q54" s="1510"/>
      <c r="S54" s="1507">
        <v>2725.83</v>
      </c>
      <c r="T54" s="1507"/>
      <c r="U54" s="1507"/>
      <c r="V54" s="1507"/>
    </row>
    <row r="55" spans="3:33" ht="1.5" customHeight="1" x14ac:dyDescent="0.25"/>
    <row r="56" spans="3:33" ht="11.25" customHeight="1" x14ac:dyDescent="0.25">
      <c r="C56" s="1506" t="s">
        <v>6416</v>
      </c>
      <c r="D56" s="1506"/>
      <c r="E56" s="1506"/>
      <c r="F56" s="1506"/>
      <c r="G56" s="1506"/>
      <c r="H56" s="1506"/>
      <c r="I56" s="1510" t="s">
        <v>6417</v>
      </c>
      <c r="J56" s="1510"/>
      <c r="K56" s="1510"/>
      <c r="L56" s="1510"/>
      <c r="M56" s="1510"/>
      <c r="N56" s="1510"/>
      <c r="O56" s="1510"/>
      <c r="P56" s="1510"/>
      <c r="Q56" s="1510"/>
      <c r="S56" s="1507">
        <v>14538.82</v>
      </c>
      <c r="T56" s="1507"/>
      <c r="U56" s="1507"/>
      <c r="V56" s="1507"/>
    </row>
    <row r="57" spans="3:33" ht="1.5" customHeight="1" x14ac:dyDescent="0.25"/>
    <row r="58" spans="3:33" ht="10.5" customHeight="1" x14ac:dyDescent="0.25">
      <c r="C58" s="1506" t="s">
        <v>6256</v>
      </c>
      <c r="D58" s="1506"/>
      <c r="E58" s="1506"/>
      <c r="F58" s="1506"/>
      <c r="G58" s="1506"/>
      <c r="H58" s="1506"/>
      <c r="I58" s="1510" t="s">
        <v>996</v>
      </c>
      <c r="J58" s="1510"/>
      <c r="K58" s="1510"/>
      <c r="L58" s="1510"/>
      <c r="M58" s="1510"/>
      <c r="N58" s="1510"/>
      <c r="O58" s="1510"/>
      <c r="P58" s="1510"/>
      <c r="Q58" s="1510"/>
      <c r="S58" s="1507">
        <v>14538.82</v>
      </c>
      <c r="T58" s="1507"/>
      <c r="U58" s="1507"/>
      <c r="V58" s="1507"/>
    </row>
    <row r="59" spans="3:33" ht="9" customHeight="1" x14ac:dyDescent="0.25"/>
    <row r="60" spans="3:33" ht="1.5" customHeight="1" x14ac:dyDescent="0.25"/>
    <row r="61" spans="3:33" ht="10.5" customHeight="1" x14ac:dyDescent="0.25">
      <c r="C61" s="1506" t="s">
        <v>2112</v>
      </c>
      <c r="D61" s="1506"/>
      <c r="E61" s="1506"/>
      <c r="F61" s="1506"/>
      <c r="G61" s="1506"/>
      <c r="H61" s="1506"/>
      <c r="I61" s="1510" t="s">
        <v>2113</v>
      </c>
      <c r="J61" s="1510"/>
      <c r="K61" s="1510"/>
      <c r="L61" s="1510"/>
      <c r="M61" s="1510"/>
      <c r="N61" s="1510"/>
      <c r="O61" s="1510"/>
      <c r="P61" s="1510"/>
      <c r="Q61" s="1510"/>
      <c r="AF61" s="1507">
        <v>662343.82999999996</v>
      </c>
      <c r="AG61" s="1507"/>
    </row>
    <row r="62" spans="3:33" ht="0.75" customHeight="1" x14ac:dyDescent="0.25"/>
    <row r="63" spans="3:33" ht="11.25" customHeight="1" x14ac:dyDescent="0.25">
      <c r="C63" s="1506" t="s">
        <v>2114</v>
      </c>
      <c r="D63" s="1506"/>
      <c r="E63" s="1506"/>
      <c r="F63" s="1506"/>
      <c r="G63" s="1506"/>
      <c r="H63" s="1506"/>
      <c r="I63" s="1510" t="s">
        <v>95</v>
      </c>
      <c r="J63" s="1510"/>
      <c r="K63" s="1510"/>
      <c r="L63" s="1510"/>
      <c r="M63" s="1510"/>
      <c r="N63" s="1510"/>
      <c r="O63" s="1510"/>
      <c r="P63" s="1510"/>
      <c r="Q63" s="1510"/>
      <c r="Z63" s="1507">
        <v>662343.82999999996</v>
      </c>
      <c r="AA63" s="1507"/>
      <c r="AB63" s="1507"/>
      <c r="AC63" s="1507"/>
    </row>
    <row r="64" spans="3:33" ht="1.5" customHeight="1" x14ac:dyDescent="0.25"/>
    <row r="65" spans="3:22" ht="11.25" customHeight="1" x14ac:dyDescent="0.25">
      <c r="C65" s="1506" t="s">
        <v>2117</v>
      </c>
      <c r="D65" s="1506"/>
      <c r="E65" s="1506"/>
      <c r="F65" s="1506"/>
      <c r="G65" s="1506"/>
      <c r="H65" s="1506"/>
      <c r="I65" s="1510" t="s">
        <v>2118</v>
      </c>
      <c r="J65" s="1510"/>
      <c r="K65" s="1510"/>
      <c r="L65" s="1510"/>
      <c r="M65" s="1510"/>
      <c r="N65" s="1510"/>
      <c r="O65" s="1510"/>
      <c r="P65" s="1510"/>
      <c r="Q65" s="1510"/>
      <c r="S65" s="1507">
        <v>1</v>
      </c>
      <c r="T65" s="1507"/>
      <c r="U65" s="1507"/>
      <c r="V65" s="1507"/>
    </row>
    <row r="66" spans="3:22" ht="1.5" customHeight="1" x14ac:dyDescent="0.25"/>
    <row r="67" spans="3:22" ht="10.5" customHeight="1" x14ac:dyDescent="0.25">
      <c r="C67" s="1506" t="s">
        <v>6265</v>
      </c>
      <c r="D67" s="1506"/>
      <c r="E67" s="1506"/>
      <c r="F67" s="1506"/>
      <c r="G67" s="1506"/>
      <c r="H67" s="1506"/>
      <c r="I67" s="1510" t="s">
        <v>985</v>
      </c>
      <c r="J67" s="1510"/>
      <c r="K67" s="1510"/>
      <c r="L67" s="1510"/>
      <c r="M67" s="1510"/>
      <c r="N67" s="1510"/>
      <c r="O67" s="1510"/>
      <c r="P67" s="1510"/>
      <c r="Q67" s="1510"/>
      <c r="S67" s="1507">
        <v>1</v>
      </c>
      <c r="T67" s="1507"/>
      <c r="U67" s="1507"/>
      <c r="V67" s="1507"/>
    </row>
    <row r="68" spans="3:22" ht="1.5" customHeight="1" x14ac:dyDescent="0.25"/>
    <row r="69" spans="3:22" ht="11.25" customHeight="1" x14ac:dyDescent="0.25">
      <c r="C69" s="1506" t="s">
        <v>2119</v>
      </c>
      <c r="D69" s="1506"/>
      <c r="E69" s="1506"/>
      <c r="F69" s="1506"/>
      <c r="G69" s="1506"/>
      <c r="H69" s="1506"/>
      <c r="I69" s="1510" t="s">
        <v>2120</v>
      </c>
      <c r="J69" s="1510"/>
      <c r="K69" s="1510"/>
      <c r="L69" s="1510"/>
      <c r="M69" s="1510"/>
      <c r="N69" s="1510"/>
      <c r="O69" s="1510"/>
      <c r="P69" s="1510"/>
      <c r="Q69" s="1510"/>
      <c r="S69" s="1507">
        <v>3</v>
      </c>
      <c r="T69" s="1507"/>
      <c r="U69" s="1507"/>
      <c r="V69" s="1507"/>
    </row>
    <row r="70" spans="3:22" ht="1.5" customHeight="1" x14ac:dyDescent="0.25"/>
    <row r="71" spans="3:22" ht="10.5" customHeight="1" x14ac:dyDescent="0.25">
      <c r="C71" s="1506" t="s">
        <v>6266</v>
      </c>
      <c r="D71" s="1506"/>
      <c r="E71" s="1506"/>
      <c r="F71" s="1506"/>
      <c r="G71" s="1506"/>
      <c r="H71" s="1506"/>
      <c r="I71" s="1510" t="s">
        <v>985</v>
      </c>
      <c r="J71" s="1510"/>
      <c r="K71" s="1510"/>
      <c r="L71" s="1510"/>
      <c r="M71" s="1510"/>
      <c r="N71" s="1510"/>
      <c r="O71" s="1510"/>
      <c r="P71" s="1510"/>
      <c r="Q71" s="1510"/>
      <c r="S71" s="1507">
        <v>3</v>
      </c>
      <c r="T71" s="1507"/>
      <c r="U71" s="1507"/>
      <c r="V71" s="1507"/>
    </row>
    <row r="72" spans="3:22" ht="1.5" customHeight="1" x14ac:dyDescent="0.25"/>
    <row r="73" spans="3:22" ht="11.25" customHeight="1" x14ac:dyDescent="0.25">
      <c r="C73" s="1506" t="s">
        <v>2115</v>
      </c>
      <c r="D73" s="1506"/>
      <c r="E73" s="1506"/>
      <c r="F73" s="1506"/>
      <c r="G73" s="1506"/>
      <c r="H73" s="1506"/>
      <c r="I73" s="1510" t="s">
        <v>2108</v>
      </c>
      <c r="J73" s="1510"/>
      <c r="K73" s="1510"/>
      <c r="L73" s="1510"/>
      <c r="M73" s="1510"/>
      <c r="N73" s="1510"/>
      <c r="O73" s="1510"/>
      <c r="P73" s="1510"/>
      <c r="Q73" s="1510"/>
      <c r="S73" s="1507">
        <v>662339.82999999996</v>
      </c>
      <c r="T73" s="1507"/>
      <c r="U73" s="1507"/>
      <c r="V73" s="1507"/>
    </row>
    <row r="74" spans="3:22" ht="1.5" customHeight="1" x14ac:dyDescent="0.25"/>
    <row r="75" spans="3:22" ht="10.5" customHeight="1" x14ac:dyDescent="0.25">
      <c r="C75" s="1506" t="s">
        <v>6232</v>
      </c>
      <c r="D75" s="1506"/>
      <c r="E75" s="1506"/>
      <c r="F75" s="1506"/>
      <c r="G75" s="1506"/>
      <c r="H75" s="1506"/>
      <c r="I75" s="1510" t="s">
        <v>996</v>
      </c>
      <c r="J75" s="1510"/>
      <c r="K75" s="1510"/>
      <c r="L75" s="1510"/>
      <c r="M75" s="1510"/>
      <c r="N75" s="1510"/>
      <c r="O75" s="1510"/>
      <c r="P75" s="1510"/>
      <c r="Q75" s="1510"/>
      <c r="S75" s="1507">
        <v>1002</v>
      </c>
      <c r="T75" s="1507"/>
      <c r="U75" s="1507"/>
      <c r="V75" s="1507"/>
    </row>
    <row r="76" spans="3:22" ht="1.5" customHeight="1" x14ac:dyDescent="0.25"/>
    <row r="77" spans="3:22" ht="10.5" customHeight="1" x14ac:dyDescent="0.25">
      <c r="C77" s="1506" t="s">
        <v>6233</v>
      </c>
      <c r="D77" s="1506"/>
      <c r="E77" s="1506"/>
      <c r="F77" s="1506"/>
      <c r="G77" s="1506"/>
      <c r="H77" s="1506"/>
      <c r="I77" s="1510" t="s">
        <v>993</v>
      </c>
      <c r="J77" s="1510"/>
      <c r="K77" s="1510"/>
      <c r="L77" s="1510"/>
      <c r="M77" s="1510"/>
      <c r="N77" s="1510"/>
      <c r="O77" s="1510"/>
      <c r="P77" s="1510"/>
      <c r="Q77" s="1510"/>
      <c r="S77" s="1507">
        <v>1002</v>
      </c>
      <c r="T77" s="1507"/>
      <c r="U77" s="1507"/>
      <c r="V77" s="1507"/>
    </row>
    <row r="78" spans="3:22" ht="1.5" customHeight="1" x14ac:dyDescent="0.25"/>
    <row r="79" spans="3:22" ht="10.5" customHeight="1" x14ac:dyDescent="0.25">
      <c r="C79" s="1506" t="s">
        <v>6234</v>
      </c>
      <c r="D79" s="1506"/>
      <c r="E79" s="1506"/>
      <c r="F79" s="1506"/>
      <c r="G79" s="1506"/>
      <c r="H79" s="1506"/>
      <c r="I79" s="1510" t="s">
        <v>1053</v>
      </c>
      <c r="J79" s="1510"/>
      <c r="K79" s="1510"/>
      <c r="L79" s="1510"/>
      <c r="M79" s="1510"/>
      <c r="N79" s="1510"/>
      <c r="O79" s="1510"/>
      <c r="P79" s="1510"/>
      <c r="Q79" s="1510"/>
      <c r="S79" s="1507">
        <v>2200</v>
      </c>
      <c r="T79" s="1507"/>
      <c r="U79" s="1507"/>
      <c r="V79" s="1507"/>
    </row>
    <row r="80" spans="3:22" ht="1.5" customHeight="1" x14ac:dyDescent="0.25"/>
    <row r="81" spans="3:33" ht="10.5" customHeight="1" x14ac:dyDescent="0.25">
      <c r="C81" s="1506" t="s">
        <v>6251</v>
      </c>
      <c r="D81" s="1506"/>
      <c r="E81" s="1506"/>
      <c r="F81" s="1506"/>
      <c r="G81" s="1506"/>
      <c r="H81" s="1506"/>
      <c r="I81" s="1510" t="s">
        <v>1029</v>
      </c>
      <c r="J81" s="1510"/>
      <c r="K81" s="1510"/>
      <c r="L81" s="1510"/>
      <c r="M81" s="1510"/>
      <c r="N81" s="1510"/>
      <c r="O81" s="1510"/>
      <c r="P81" s="1510"/>
      <c r="Q81" s="1510"/>
      <c r="S81" s="1507">
        <v>130273.87</v>
      </c>
      <c r="T81" s="1507"/>
      <c r="U81" s="1507"/>
      <c r="V81" s="1507"/>
    </row>
    <row r="82" spans="3:33" ht="1.5" customHeight="1" x14ac:dyDescent="0.25"/>
    <row r="83" spans="3:33" ht="10.5" customHeight="1" x14ac:dyDescent="0.25">
      <c r="C83" s="1506" t="s">
        <v>6235</v>
      </c>
      <c r="D83" s="1506"/>
      <c r="E83" s="1506"/>
      <c r="F83" s="1506"/>
      <c r="G83" s="1506"/>
      <c r="H83" s="1506"/>
      <c r="I83" s="1510" t="s">
        <v>997</v>
      </c>
      <c r="J83" s="1510"/>
      <c r="K83" s="1510"/>
      <c r="L83" s="1510"/>
      <c r="M83" s="1510"/>
      <c r="N83" s="1510"/>
      <c r="O83" s="1510"/>
      <c r="P83" s="1510"/>
      <c r="Q83" s="1510"/>
      <c r="S83" s="1507">
        <v>527861.96</v>
      </c>
      <c r="T83" s="1507"/>
      <c r="U83" s="1507"/>
      <c r="V83" s="1507"/>
    </row>
    <row r="84" spans="3:33" ht="9" customHeight="1" x14ac:dyDescent="0.25"/>
    <row r="85" spans="3:33" ht="4.5" customHeight="1" x14ac:dyDescent="0.25"/>
    <row r="86" spans="3:33" ht="12" customHeight="1" x14ac:dyDescent="0.25">
      <c r="P86" s="1420" t="s">
        <v>2116</v>
      </c>
      <c r="Q86" s="1420"/>
      <c r="R86" s="1420"/>
      <c r="S86" s="1420"/>
      <c r="T86" s="1420"/>
      <c r="U86" s="1420"/>
      <c r="V86" s="1420"/>
      <c r="W86" s="1420"/>
      <c r="AE86" s="1425">
        <v>1521630.73</v>
      </c>
      <c r="AF86" s="1425"/>
      <c r="AG86" s="1425"/>
    </row>
    <row r="87" spans="3:33" ht="6.75" customHeight="1" x14ac:dyDescent="0.25"/>
    <row r="88" spans="3:33" ht="5.25" customHeight="1" x14ac:dyDescent="0.25"/>
    <row r="89" spans="3:33" ht="10.5" customHeight="1" x14ac:dyDescent="0.25">
      <c r="P89" s="1420" t="s">
        <v>2121</v>
      </c>
      <c r="Q89" s="1420"/>
      <c r="R89" s="1420"/>
      <c r="S89" s="1420"/>
      <c r="T89" s="1420"/>
      <c r="U89" s="1420"/>
      <c r="V89" s="1420"/>
      <c r="W89" s="1420"/>
      <c r="AE89" s="1425">
        <v>1521630.73</v>
      </c>
      <c r="AF89" s="1425"/>
      <c r="AG89" s="1425"/>
    </row>
    <row r="90" spans="3:33" ht="6" customHeight="1" x14ac:dyDescent="0.25">
      <c r="P90" s="1420"/>
      <c r="Q90" s="1420"/>
      <c r="R90" s="1420"/>
      <c r="S90" s="1420"/>
      <c r="T90" s="1420"/>
      <c r="U90" s="1420"/>
      <c r="V90" s="1420"/>
      <c r="W90" s="1420"/>
    </row>
    <row r="91" spans="3:33" ht="7.5" customHeight="1" x14ac:dyDescent="0.25"/>
    <row r="92" spans="3:33" ht="10.5" customHeight="1" x14ac:dyDescent="0.25">
      <c r="P92" s="1420" t="s">
        <v>0</v>
      </c>
      <c r="Q92" s="1420"/>
      <c r="R92" s="1420"/>
      <c r="S92" s="1420"/>
      <c r="T92" s="1420"/>
      <c r="U92" s="1420"/>
      <c r="V92" s="1420"/>
      <c r="W92" s="1420"/>
      <c r="AE92" s="1425">
        <v>1521630.73</v>
      </c>
      <c r="AF92" s="1425"/>
      <c r="AG92" s="1425"/>
    </row>
    <row r="93" spans="3:33" ht="6.75" customHeight="1" x14ac:dyDescent="0.25">
      <c r="P93" s="1420"/>
      <c r="Q93" s="1420"/>
      <c r="R93" s="1420"/>
      <c r="S93" s="1420"/>
      <c r="T93" s="1420"/>
      <c r="U93" s="1420"/>
      <c r="V93" s="1420"/>
      <c r="W93" s="1420"/>
    </row>
    <row r="94" spans="3:33" ht="3.75" customHeight="1" x14ac:dyDescent="0.25"/>
    <row r="95" spans="3:33" ht="10.5" customHeight="1" x14ac:dyDescent="0.25">
      <c r="Q95" s="1509" t="s">
        <v>2122</v>
      </c>
      <c r="R95" s="1509"/>
      <c r="S95" s="1509"/>
    </row>
    <row r="96" spans="3:33" ht="20.25" customHeight="1" x14ac:dyDescent="0.25"/>
    <row r="97" spans="11:29" ht="15" customHeight="1" x14ac:dyDescent="0.25">
      <c r="K97" s="1508" t="s">
        <v>2074</v>
      </c>
      <c r="L97" s="1508"/>
      <c r="M97" s="1508"/>
      <c r="N97" s="1508"/>
      <c r="O97" s="1508"/>
      <c r="P97" s="1508"/>
      <c r="Q97" s="1508"/>
      <c r="R97" s="1508"/>
      <c r="S97" s="1508"/>
      <c r="T97" s="1508"/>
      <c r="X97" s="1425">
        <v>859286.9</v>
      </c>
      <c r="Y97" s="1425"/>
      <c r="Z97" s="1425"/>
      <c r="AA97" s="1425"/>
      <c r="AB97" s="1425"/>
      <c r="AC97" s="1425"/>
    </row>
    <row r="98" spans="11:29" ht="14.25" customHeight="1" x14ac:dyDescent="0.25">
      <c r="K98" s="1506" t="s">
        <v>2123</v>
      </c>
      <c r="L98" s="1506"/>
      <c r="M98" s="1506"/>
      <c r="N98" s="1506"/>
      <c r="O98" s="1506"/>
      <c r="P98" s="1506"/>
      <c r="Q98" s="1506"/>
      <c r="R98" s="1506"/>
      <c r="S98" s="1506"/>
      <c r="T98" s="1506"/>
      <c r="U98" s="1506"/>
      <c r="X98" s="1507">
        <v>183561.67</v>
      </c>
      <c r="Y98" s="1507"/>
      <c r="Z98" s="1507"/>
      <c r="AA98" s="1507"/>
      <c r="AB98" s="1507"/>
      <c r="AC98" s="1507"/>
    </row>
    <row r="99" spans="11:29" ht="14.25" customHeight="1" x14ac:dyDescent="0.25">
      <c r="K99" s="1506" t="s">
        <v>175</v>
      </c>
      <c r="L99" s="1506"/>
      <c r="M99" s="1506"/>
      <c r="N99" s="1506"/>
      <c r="O99" s="1506"/>
      <c r="P99" s="1506"/>
      <c r="Q99" s="1506"/>
      <c r="R99" s="1506"/>
      <c r="S99" s="1506"/>
      <c r="T99" s="1506"/>
      <c r="U99" s="1506"/>
      <c r="X99" s="1507">
        <v>0</v>
      </c>
      <c r="Y99" s="1507"/>
      <c r="Z99" s="1507"/>
      <c r="AA99" s="1507"/>
      <c r="AB99" s="1507"/>
      <c r="AC99" s="1507"/>
    </row>
    <row r="100" spans="11:29" ht="10.5" customHeight="1" x14ac:dyDescent="0.25">
      <c r="K100" s="1506" t="s">
        <v>94</v>
      </c>
      <c r="L100" s="1506"/>
      <c r="M100" s="1506"/>
      <c r="N100" s="1506"/>
      <c r="O100" s="1506"/>
      <c r="P100" s="1506"/>
      <c r="Q100" s="1506"/>
      <c r="R100" s="1506"/>
      <c r="S100" s="1506"/>
      <c r="T100" s="1506"/>
      <c r="U100" s="1506"/>
      <c r="X100" s="1507">
        <v>675725.23</v>
      </c>
      <c r="Y100" s="1507"/>
      <c r="Z100" s="1507"/>
      <c r="AA100" s="1507"/>
      <c r="AB100" s="1507"/>
      <c r="AC100" s="1507"/>
    </row>
    <row r="101" spans="11:29" ht="3" customHeight="1" x14ac:dyDescent="0.25"/>
    <row r="102" spans="11:29" ht="9" customHeight="1" x14ac:dyDescent="0.25"/>
    <row r="103" spans="11:29" ht="15" customHeight="1" x14ac:dyDescent="0.25">
      <c r="K103" s="1508" t="s">
        <v>2077</v>
      </c>
      <c r="L103" s="1508"/>
      <c r="M103" s="1508"/>
      <c r="N103" s="1508"/>
      <c r="O103" s="1508"/>
      <c r="P103" s="1508"/>
      <c r="Q103" s="1508"/>
      <c r="R103" s="1508"/>
      <c r="S103" s="1508"/>
      <c r="T103" s="1508"/>
      <c r="X103" s="1425">
        <v>662343.82999999996</v>
      </c>
      <c r="Y103" s="1425"/>
      <c r="Z103" s="1425"/>
      <c r="AA103" s="1425"/>
      <c r="AB103" s="1425"/>
      <c r="AC103" s="1425"/>
    </row>
    <row r="104" spans="11:29" ht="14.25" customHeight="1" x14ac:dyDescent="0.25">
      <c r="K104" s="1506" t="s">
        <v>95</v>
      </c>
      <c r="L104" s="1506"/>
      <c r="M104" s="1506"/>
      <c r="N104" s="1506"/>
      <c r="O104" s="1506"/>
      <c r="P104" s="1506"/>
      <c r="Q104" s="1506"/>
      <c r="R104" s="1506"/>
      <c r="S104" s="1506"/>
      <c r="T104" s="1506"/>
      <c r="U104" s="1506"/>
      <c r="X104" s="1507">
        <v>662343.82999999996</v>
      </c>
      <c r="Y104" s="1507"/>
      <c r="Z104" s="1507"/>
      <c r="AA104" s="1507"/>
      <c r="AB104" s="1507"/>
      <c r="AC104" s="1507"/>
    </row>
    <row r="105" spans="11:29" ht="14.25" customHeight="1" x14ac:dyDescent="0.25">
      <c r="K105" s="1506" t="s">
        <v>176</v>
      </c>
      <c r="L105" s="1506"/>
      <c r="M105" s="1506"/>
      <c r="N105" s="1506"/>
      <c r="O105" s="1506"/>
      <c r="P105" s="1506"/>
      <c r="Q105" s="1506"/>
      <c r="R105" s="1506"/>
      <c r="S105" s="1506"/>
      <c r="T105" s="1506"/>
      <c r="U105" s="1506"/>
      <c r="X105" s="1507">
        <v>0</v>
      </c>
      <c r="Y105" s="1507"/>
      <c r="Z105" s="1507"/>
      <c r="AA105" s="1507"/>
      <c r="AB105" s="1507"/>
      <c r="AC105" s="1507"/>
    </row>
    <row r="106" spans="11:29" ht="14.25" customHeight="1" x14ac:dyDescent="0.25">
      <c r="K106" s="1506" t="s">
        <v>96</v>
      </c>
      <c r="L106" s="1506"/>
      <c r="M106" s="1506"/>
      <c r="N106" s="1506"/>
      <c r="O106" s="1506"/>
      <c r="P106" s="1506"/>
      <c r="Q106" s="1506"/>
      <c r="R106" s="1506"/>
      <c r="S106" s="1506"/>
      <c r="T106" s="1506"/>
      <c r="U106" s="1506"/>
      <c r="X106" s="1507">
        <v>0</v>
      </c>
      <c r="Y106" s="1507"/>
      <c r="Z106" s="1507"/>
      <c r="AA106" s="1507"/>
      <c r="AB106" s="1507"/>
      <c r="AC106" s="1507"/>
    </row>
    <row r="107" spans="11:29" ht="10.5" customHeight="1" x14ac:dyDescent="0.25">
      <c r="K107" s="1506" t="s">
        <v>2080</v>
      </c>
      <c r="L107" s="1506"/>
      <c r="M107" s="1506"/>
      <c r="N107" s="1506"/>
      <c r="O107" s="1506"/>
      <c r="P107" s="1506"/>
      <c r="Q107" s="1506"/>
      <c r="R107" s="1506"/>
      <c r="S107" s="1506"/>
      <c r="T107" s="1506"/>
      <c r="U107" s="1506"/>
      <c r="X107" s="1507">
        <v>0</v>
      </c>
      <c r="Y107" s="1507"/>
      <c r="Z107" s="1507"/>
      <c r="AA107" s="1507"/>
      <c r="AB107" s="1507"/>
      <c r="AC107" s="1507"/>
    </row>
    <row r="108" spans="11:29" ht="3" customHeight="1" x14ac:dyDescent="0.25"/>
    <row r="109" spans="11:29" ht="9" customHeight="1" x14ac:dyDescent="0.25"/>
    <row r="110" spans="11:29" ht="15" customHeight="1" x14ac:dyDescent="0.25">
      <c r="K110" s="1508" t="s">
        <v>2124</v>
      </c>
      <c r="L110" s="1508"/>
      <c r="M110" s="1508"/>
      <c r="N110" s="1508"/>
      <c r="O110" s="1508"/>
      <c r="P110" s="1508"/>
      <c r="Q110" s="1508"/>
      <c r="R110" s="1508"/>
      <c r="S110" s="1508"/>
      <c r="T110" s="1508"/>
      <c r="X110" s="1425">
        <v>0</v>
      </c>
      <c r="Y110" s="1425"/>
      <c r="Z110" s="1425"/>
      <c r="AA110" s="1425"/>
      <c r="AB110" s="1425"/>
      <c r="AC110" s="1425"/>
    </row>
    <row r="111" spans="11:29" ht="10.5" customHeight="1" x14ac:dyDescent="0.25">
      <c r="K111" s="1506" t="s">
        <v>2123</v>
      </c>
      <c r="L111" s="1506"/>
      <c r="M111" s="1506"/>
      <c r="N111" s="1506"/>
      <c r="O111" s="1506"/>
      <c r="P111" s="1506"/>
      <c r="Q111" s="1506"/>
      <c r="R111" s="1506"/>
      <c r="S111" s="1506"/>
      <c r="T111" s="1506"/>
      <c r="U111" s="1506"/>
      <c r="X111" s="1507">
        <v>0</v>
      </c>
      <c r="Y111" s="1507"/>
      <c r="Z111" s="1507"/>
      <c r="AA111" s="1507"/>
      <c r="AB111" s="1507"/>
      <c r="AC111" s="1507"/>
    </row>
    <row r="112" spans="11:29" ht="3" customHeight="1" x14ac:dyDescent="0.25"/>
    <row r="113" spans="11:29" ht="9.75" customHeight="1" x14ac:dyDescent="0.25"/>
    <row r="114" spans="11:29" ht="10.5" customHeight="1" x14ac:dyDescent="0.25">
      <c r="K114" s="1424" t="s">
        <v>0</v>
      </c>
      <c r="L114" s="1424"/>
      <c r="X114" s="1425">
        <v>1521630.73</v>
      </c>
      <c r="Y114" s="1425"/>
      <c r="Z114" s="1425"/>
      <c r="AA114" s="1425"/>
      <c r="AB114" s="1425"/>
      <c r="AC114" s="1425"/>
    </row>
  </sheetData>
  <mergeCells count="153">
    <mergeCell ref="C81:H81"/>
    <mergeCell ref="I81:Q81"/>
    <mergeCell ref="S81:V81"/>
    <mergeCell ref="C83:H83"/>
    <mergeCell ref="I83:Q83"/>
    <mergeCell ref="S83:V83"/>
    <mergeCell ref="P86:W86"/>
    <mergeCell ref="X104:AC104"/>
    <mergeCell ref="X97:AC97"/>
    <mergeCell ref="X100:AC100"/>
    <mergeCell ref="K99:U99"/>
    <mergeCell ref="X99:AC99"/>
    <mergeCell ref="K100:U100"/>
    <mergeCell ref="K103:T103"/>
    <mergeCell ref="X103:AC103"/>
    <mergeCell ref="K104:U104"/>
    <mergeCell ref="C63:H63"/>
    <mergeCell ref="I63:Q63"/>
    <mergeCell ref="Z63:AC63"/>
    <mergeCell ref="C65:H65"/>
    <mergeCell ref="I65:Q65"/>
    <mergeCell ref="S65:V65"/>
    <mergeCell ref="C73:H73"/>
    <mergeCell ref="I73:Q73"/>
    <mergeCell ref="S73:V73"/>
    <mergeCell ref="C67:H67"/>
    <mergeCell ref="I67:Q67"/>
    <mergeCell ref="S67:V67"/>
    <mergeCell ref="C69:H69"/>
    <mergeCell ref="I69:Q69"/>
    <mergeCell ref="S69:V69"/>
    <mergeCell ref="C71:H71"/>
    <mergeCell ref="I71:Q71"/>
    <mergeCell ref="S71:V71"/>
    <mergeCell ref="C58:H58"/>
    <mergeCell ref="I58:Q58"/>
    <mergeCell ref="C56:H56"/>
    <mergeCell ref="I56:Q56"/>
    <mergeCell ref="S56:V56"/>
    <mergeCell ref="S58:V58"/>
    <mergeCell ref="C61:H61"/>
    <mergeCell ref="I61:Q61"/>
    <mergeCell ref="AF61:AG61"/>
    <mergeCell ref="C44:H44"/>
    <mergeCell ref="I44:Q44"/>
    <mergeCell ref="S44:V44"/>
    <mergeCell ref="C46:H46"/>
    <mergeCell ref="I46:Q46"/>
    <mergeCell ref="S46:V46"/>
    <mergeCell ref="C48:H48"/>
    <mergeCell ref="I48:Q48"/>
    <mergeCell ref="S48:V48"/>
    <mergeCell ref="C16:H16"/>
    <mergeCell ref="I16:Q16"/>
    <mergeCell ref="S16:V16"/>
    <mergeCell ref="C18:H18"/>
    <mergeCell ref="I18:Q18"/>
    <mergeCell ref="S18:V18"/>
    <mergeCell ref="C20:H20"/>
    <mergeCell ref="I20:Q20"/>
    <mergeCell ref="S20:V20"/>
    <mergeCell ref="A2:D2"/>
    <mergeCell ref="A1:AG1"/>
    <mergeCell ref="A3:AG3"/>
    <mergeCell ref="A4:AG4"/>
    <mergeCell ref="A5:AG5"/>
    <mergeCell ref="C7:E7"/>
    <mergeCell ref="I7:M7"/>
    <mergeCell ref="S7:V7"/>
    <mergeCell ref="AA7:AC7"/>
    <mergeCell ref="AF7:AG7"/>
    <mergeCell ref="E9:F9"/>
    <mergeCell ref="H9:Q9"/>
    <mergeCell ref="E10:F10"/>
    <mergeCell ref="H10:Q10"/>
    <mergeCell ref="C12:H12"/>
    <mergeCell ref="I12:Q12"/>
    <mergeCell ref="AF12:AG12"/>
    <mergeCell ref="C14:H14"/>
    <mergeCell ref="I14:Q14"/>
    <mergeCell ref="Z14:AC14"/>
    <mergeCell ref="I22:Q22"/>
    <mergeCell ref="S22:V22"/>
    <mergeCell ref="C24:H24"/>
    <mergeCell ref="I24:Q24"/>
    <mergeCell ref="S24:V24"/>
    <mergeCell ref="C26:H26"/>
    <mergeCell ref="I26:Q26"/>
    <mergeCell ref="Z26:AC26"/>
    <mergeCell ref="C28:H28"/>
    <mergeCell ref="I28:Q28"/>
    <mergeCell ref="S28:V28"/>
    <mergeCell ref="C22:H22"/>
    <mergeCell ref="I30:Q30"/>
    <mergeCell ref="S30:V30"/>
    <mergeCell ref="C32:H32"/>
    <mergeCell ref="I32:Q32"/>
    <mergeCell ref="S32:V32"/>
    <mergeCell ref="C34:H34"/>
    <mergeCell ref="I34:Q34"/>
    <mergeCell ref="S34:V34"/>
    <mergeCell ref="C36:H36"/>
    <mergeCell ref="I36:Q36"/>
    <mergeCell ref="S36:V36"/>
    <mergeCell ref="C30:H30"/>
    <mergeCell ref="C38:H38"/>
    <mergeCell ref="I38:Q38"/>
    <mergeCell ref="S38:V38"/>
    <mergeCell ref="C40:H40"/>
    <mergeCell ref="I40:Q40"/>
    <mergeCell ref="S40:V40"/>
    <mergeCell ref="C42:H42"/>
    <mergeCell ref="I42:Q42"/>
    <mergeCell ref="S42:V42"/>
    <mergeCell ref="C50:H50"/>
    <mergeCell ref="I50:Q50"/>
    <mergeCell ref="S50:V50"/>
    <mergeCell ref="C52:H52"/>
    <mergeCell ref="I52:Q52"/>
    <mergeCell ref="S52:V52"/>
    <mergeCell ref="C54:H54"/>
    <mergeCell ref="I54:Q54"/>
    <mergeCell ref="S54:V54"/>
    <mergeCell ref="C75:H75"/>
    <mergeCell ref="I75:Q75"/>
    <mergeCell ref="S75:V75"/>
    <mergeCell ref="C77:H77"/>
    <mergeCell ref="I77:Q77"/>
    <mergeCell ref="S77:V77"/>
    <mergeCell ref="C79:H79"/>
    <mergeCell ref="I79:Q79"/>
    <mergeCell ref="S79:V79"/>
    <mergeCell ref="AE86:AG86"/>
    <mergeCell ref="P89:W90"/>
    <mergeCell ref="AE89:AG89"/>
    <mergeCell ref="P92:W93"/>
    <mergeCell ref="AE92:AG92"/>
    <mergeCell ref="Q95:S95"/>
    <mergeCell ref="K97:T97"/>
    <mergeCell ref="K98:U98"/>
    <mergeCell ref="X98:AC98"/>
    <mergeCell ref="K114:L114"/>
    <mergeCell ref="X114:AC114"/>
    <mergeCell ref="K105:U105"/>
    <mergeCell ref="X105:AC105"/>
    <mergeCell ref="K106:U106"/>
    <mergeCell ref="X106:AC106"/>
    <mergeCell ref="K107:U107"/>
    <mergeCell ref="X107:AC107"/>
    <mergeCell ref="K110:T110"/>
    <mergeCell ref="X110:AC110"/>
    <mergeCell ref="K111:U111"/>
    <mergeCell ref="X111:AC111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topLeftCell="A8" workbookViewId="0">
      <selection activeCell="A38" sqref="A1:XFD1048576"/>
    </sheetView>
  </sheetViews>
  <sheetFormatPr defaultColWidth="6.85546875" defaultRowHeight="12.75" customHeight="1" x14ac:dyDescent="0.25"/>
  <cols>
    <col min="1" max="1" width="1.140625" style="1110" customWidth="1"/>
    <col min="2" max="2" width="1" style="1110" customWidth="1"/>
    <col min="3" max="3" width="7.28515625" style="1110" customWidth="1"/>
    <col min="4" max="4" width="1.140625" style="1110" customWidth="1"/>
    <col min="5" max="5" width="5.5703125" style="1110" customWidth="1"/>
    <col min="6" max="6" width="1.140625" style="1110" customWidth="1"/>
    <col min="7" max="7" width="1.28515625" style="1110" customWidth="1"/>
    <col min="8" max="8" width="2.28515625" style="1110" customWidth="1"/>
    <col min="9" max="9" width="11.5703125" style="1110" customWidth="1"/>
    <col min="10" max="10" width="1.5703125" style="1110" customWidth="1"/>
    <col min="11" max="11" width="2.5703125" style="1110" customWidth="1"/>
    <col min="12" max="12" width="11.42578125" style="1110" customWidth="1"/>
    <col min="13" max="13" width="2" style="1110" customWidth="1"/>
    <col min="14" max="14" width="13.28515625" style="1110" customWidth="1"/>
    <col min="15" max="15" width="2.28515625" style="1110" customWidth="1"/>
    <col min="16" max="16" width="1.140625" style="1110" customWidth="1"/>
    <col min="17" max="17" width="7.28515625" style="1110" customWidth="1"/>
    <col min="18" max="18" width="1.42578125" style="1110" customWidth="1"/>
    <col min="19" max="19" width="4.7109375" style="1110" customWidth="1"/>
    <col min="20" max="20" width="4.5703125" style="1110" customWidth="1"/>
    <col min="21" max="21" width="2.28515625" style="1110" customWidth="1"/>
    <col min="22" max="22" width="3.42578125" style="1110" customWidth="1"/>
    <col min="23" max="23" width="1" style="1110" customWidth="1"/>
    <col min="24" max="24" width="1.42578125" style="1110" customWidth="1"/>
    <col min="25" max="25" width="1.7109375" style="1110" customWidth="1"/>
    <col min="26" max="26" width="2" style="1110" customWidth="1"/>
    <col min="27" max="27" width="1.140625" style="1110" customWidth="1"/>
    <col min="28" max="28" width="4.5703125" style="1110" customWidth="1"/>
    <col min="29" max="29" width="7.140625" style="1110" customWidth="1"/>
    <col min="30" max="30" width="3.5703125" style="1110" customWidth="1"/>
    <col min="31" max="31" width="2" style="1110" customWidth="1"/>
    <col min="32" max="32" width="5.140625" style="1110" customWidth="1"/>
    <col min="33" max="33" width="10.85546875" style="1110" customWidth="1"/>
    <col min="34" max="34" width="1" style="1110" customWidth="1"/>
    <col min="35" max="35" width="1.140625" style="1110" customWidth="1"/>
    <col min="36" max="36" width="1.7109375" style="1110" customWidth="1"/>
    <col min="37" max="37" width="5.85546875" style="1110" customWidth="1"/>
    <col min="38" max="16384" width="6.85546875" style="1110"/>
  </cols>
  <sheetData>
    <row r="1" spans="1:33" s="1109" customFormat="1" ht="15" customHeight="1" x14ac:dyDescent="0.25">
      <c r="A1" s="1467" t="str">
        <f>'CADASTRO BASE RECEITA '!A$1</f>
        <v>PROPOSTA ORÇAMENTÁRIA PARA 2016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  <c r="Y1" s="1467"/>
      <c r="Z1" s="1467"/>
      <c r="AA1" s="1467"/>
      <c r="AB1" s="1467"/>
      <c r="AC1" s="1467"/>
      <c r="AD1" s="1467"/>
      <c r="AE1" s="1467"/>
      <c r="AF1" s="1467"/>
      <c r="AG1" s="1467"/>
    </row>
    <row r="2" spans="1:33" s="1109" customFormat="1" ht="15" customHeight="1" x14ac:dyDescent="0.25">
      <c r="A2" s="1512"/>
      <c r="B2" s="1512"/>
      <c r="C2" s="1512"/>
      <c r="D2" s="1512"/>
    </row>
    <row r="3" spans="1:33" s="1109" customFormat="1" ht="15" customHeight="1" x14ac:dyDescent="0.25">
      <c r="A3" s="1512" t="s">
        <v>177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2"/>
      <c r="Z3" s="1512"/>
      <c r="AA3" s="1512"/>
      <c r="AB3" s="1512"/>
      <c r="AC3" s="1512"/>
      <c r="AD3" s="1512"/>
      <c r="AE3" s="1512"/>
      <c r="AF3" s="1512"/>
      <c r="AG3" s="1512"/>
    </row>
    <row r="4" spans="1:33" s="1109" customFormat="1" ht="15" customHeight="1" x14ac:dyDescent="0.25">
      <c r="A4" s="1512" t="s">
        <v>179</v>
      </c>
      <c r="B4" s="1512"/>
      <c r="C4" s="1512"/>
      <c r="D4" s="1512"/>
      <c r="E4" s="1512"/>
      <c r="F4" s="1512"/>
      <c r="G4" s="1512"/>
      <c r="H4" s="1512"/>
      <c r="I4" s="1512"/>
      <c r="J4" s="1512"/>
      <c r="K4" s="1512"/>
      <c r="L4" s="1512"/>
      <c r="M4" s="1512"/>
      <c r="N4" s="1512"/>
      <c r="O4" s="1512"/>
      <c r="P4" s="1512"/>
      <c r="Q4" s="1512"/>
      <c r="R4" s="1512"/>
      <c r="S4" s="1512"/>
      <c r="T4" s="1512"/>
      <c r="U4" s="1512"/>
      <c r="V4" s="1512"/>
      <c r="W4" s="1512"/>
      <c r="X4" s="1512"/>
      <c r="Y4" s="1512"/>
      <c r="Z4" s="1512"/>
      <c r="AA4" s="1512"/>
      <c r="AB4" s="1512"/>
      <c r="AC4" s="1512"/>
      <c r="AD4" s="1512"/>
      <c r="AE4" s="1512"/>
      <c r="AF4" s="1512"/>
      <c r="AG4" s="1512"/>
    </row>
    <row r="5" spans="1:33" s="1109" customFormat="1" ht="15" customHeight="1" x14ac:dyDescent="0.2">
      <c r="A5" s="1513" t="s">
        <v>11845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</row>
    <row r="6" spans="1:33" ht="12" customHeight="1" x14ac:dyDescent="0.25"/>
    <row r="7" spans="1:33" ht="12" customHeight="1" x14ac:dyDescent="0.25"/>
    <row r="8" spans="1:33" ht="1.5" customHeight="1" x14ac:dyDescent="0.25"/>
    <row r="9" spans="1:33" ht="11.25" customHeight="1" x14ac:dyDescent="0.25">
      <c r="C9" s="1424" t="s">
        <v>2099</v>
      </c>
      <c r="D9" s="1424"/>
      <c r="E9" s="1424"/>
      <c r="I9" s="1424" t="s">
        <v>2100</v>
      </c>
      <c r="J9" s="1424"/>
      <c r="K9" s="1424"/>
      <c r="L9" s="1424"/>
      <c r="M9" s="1424"/>
      <c r="S9" s="1420" t="s">
        <v>2101</v>
      </c>
      <c r="T9" s="1420"/>
      <c r="U9" s="1420"/>
      <c r="V9" s="1420"/>
      <c r="AA9" s="1420" t="s">
        <v>2102</v>
      </c>
      <c r="AB9" s="1420"/>
      <c r="AC9" s="1420"/>
      <c r="AF9" s="1420" t="s">
        <v>2103</v>
      </c>
      <c r="AG9" s="1420"/>
    </row>
    <row r="10" spans="1:33" ht="1.5" customHeight="1" x14ac:dyDescent="0.25"/>
    <row r="11" spans="1:33" ht="10.5" customHeight="1" x14ac:dyDescent="0.25">
      <c r="C11" s="1506" t="s">
        <v>2104</v>
      </c>
      <c r="D11" s="1506"/>
      <c r="E11" s="1506"/>
      <c r="F11" s="1506"/>
      <c r="G11" s="1506"/>
      <c r="H11" s="1506"/>
      <c r="I11" s="1510" t="s">
        <v>2105</v>
      </c>
      <c r="J11" s="1510"/>
      <c r="K11" s="1510"/>
      <c r="L11" s="1510"/>
      <c r="M11" s="1510"/>
      <c r="N11" s="1510"/>
      <c r="O11" s="1510"/>
      <c r="P11" s="1510"/>
      <c r="Q11" s="1510"/>
      <c r="AF11" s="1507">
        <v>131065.24</v>
      </c>
      <c r="AG11" s="1507"/>
    </row>
    <row r="12" spans="1:33" ht="0.75" customHeight="1" x14ac:dyDescent="0.25"/>
    <row r="13" spans="1:33" ht="11.25" customHeight="1" x14ac:dyDescent="0.25">
      <c r="C13" s="1506" t="s">
        <v>2106</v>
      </c>
      <c r="D13" s="1506"/>
      <c r="E13" s="1506"/>
      <c r="F13" s="1506"/>
      <c r="G13" s="1506"/>
      <c r="H13" s="1506"/>
      <c r="I13" s="1510" t="s">
        <v>2075</v>
      </c>
      <c r="J13" s="1510"/>
      <c r="K13" s="1510"/>
      <c r="L13" s="1510"/>
      <c r="M13" s="1510"/>
      <c r="N13" s="1510"/>
      <c r="O13" s="1510"/>
      <c r="P13" s="1510"/>
      <c r="Q13" s="1510"/>
      <c r="Z13" s="1507">
        <v>57166.2</v>
      </c>
      <c r="AA13" s="1507"/>
      <c r="AB13" s="1507"/>
      <c r="AC13" s="1507"/>
    </row>
    <row r="14" spans="1:33" ht="1.5" customHeight="1" x14ac:dyDescent="0.25"/>
    <row r="15" spans="1:33" ht="11.25" customHeight="1" x14ac:dyDescent="0.25">
      <c r="C15" s="1506" t="s">
        <v>2107</v>
      </c>
      <c r="D15" s="1506"/>
      <c r="E15" s="1506"/>
      <c r="F15" s="1506"/>
      <c r="G15" s="1506"/>
      <c r="H15" s="1506"/>
      <c r="I15" s="1510" t="s">
        <v>2108</v>
      </c>
      <c r="J15" s="1510"/>
      <c r="K15" s="1510"/>
      <c r="L15" s="1510"/>
      <c r="M15" s="1510"/>
      <c r="N15" s="1510"/>
      <c r="O15" s="1510"/>
      <c r="P15" s="1510"/>
      <c r="Q15" s="1510"/>
      <c r="S15" s="1507">
        <v>57166.2</v>
      </c>
      <c r="T15" s="1507"/>
      <c r="U15" s="1507"/>
      <c r="V15" s="1507"/>
    </row>
    <row r="16" spans="1:33" ht="1.5" customHeight="1" x14ac:dyDescent="0.25"/>
    <row r="17" spans="3:29" ht="10.5" customHeight="1" x14ac:dyDescent="0.25">
      <c r="C17" s="1506" t="s">
        <v>6253</v>
      </c>
      <c r="D17" s="1506"/>
      <c r="E17" s="1506"/>
      <c r="F17" s="1506"/>
      <c r="G17" s="1506"/>
      <c r="H17" s="1506"/>
      <c r="I17" s="1510" t="s">
        <v>1012</v>
      </c>
      <c r="J17" s="1510"/>
      <c r="K17" s="1510"/>
      <c r="L17" s="1510"/>
      <c r="M17" s="1510"/>
      <c r="N17" s="1510"/>
      <c r="O17" s="1510"/>
      <c r="P17" s="1510"/>
      <c r="Q17" s="1510"/>
      <c r="S17" s="1507">
        <v>17.28</v>
      </c>
      <c r="T17" s="1507"/>
      <c r="U17" s="1507"/>
      <c r="V17" s="1507"/>
    </row>
    <row r="18" spans="3:29" ht="1.5" customHeight="1" x14ac:dyDescent="0.25"/>
    <row r="19" spans="3:29" ht="10.5" customHeight="1" x14ac:dyDescent="0.25">
      <c r="C19" s="1506" t="s">
        <v>6236</v>
      </c>
      <c r="D19" s="1506"/>
      <c r="E19" s="1506"/>
      <c r="F19" s="1506"/>
      <c r="G19" s="1506"/>
      <c r="H19" s="1506"/>
      <c r="I19" s="1510" t="s">
        <v>1009</v>
      </c>
      <c r="J19" s="1510"/>
      <c r="K19" s="1510"/>
      <c r="L19" s="1510"/>
      <c r="M19" s="1510"/>
      <c r="N19" s="1510"/>
      <c r="O19" s="1510"/>
      <c r="P19" s="1510"/>
      <c r="Q19" s="1510"/>
      <c r="S19" s="1507">
        <v>41972.04</v>
      </c>
      <c r="T19" s="1507"/>
      <c r="U19" s="1507"/>
      <c r="V19" s="1507"/>
    </row>
    <row r="20" spans="3:29" ht="1.5" customHeight="1" x14ac:dyDescent="0.25"/>
    <row r="21" spans="3:29" ht="10.5" customHeight="1" x14ac:dyDescent="0.25">
      <c r="C21" s="1506" t="s">
        <v>6237</v>
      </c>
      <c r="D21" s="1506"/>
      <c r="E21" s="1506"/>
      <c r="F21" s="1506"/>
      <c r="G21" s="1506"/>
      <c r="H21" s="1506"/>
      <c r="I21" s="1510" t="s">
        <v>1011</v>
      </c>
      <c r="J21" s="1510"/>
      <c r="K21" s="1510"/>
      <c r="L21" s="1510"/>
      <c r="M21" s="1510"/>
      <c r="N21" s="1510"/>
      <c r="O21" s="1510"/>
      <c r="P21" s="1510"/>
      <c r="Q21" s="1510"/>
      <c r="S21" s="1507">
        <v>10990.13</v>
      </c>
      <c r="T21" s="1507"/>
      <c r="U21" s="1507"/>
      <c r="V21" s="1507"/>
    </row>
    <row r="22" spans="3:29" ht="1.5" customHeight="1" x14ac:dyDescent="0.25"/>
    <row r="23" spans="3:29" ht="10.5" customHeight="1" x14ac:dyDescent="0.25">
      <c r="C23" s="1506" t="s">
        <v>6238</v>
      </c>
      <c r="D23" s="1506"/>
      <c r="E23" s="1506"/>
      <c r="F23" s="1506"/>
      <c r="G23" s="1506"/>
      <c r="H23" s="1506"/>
      <c r="I23" s="1510" t="s">
        <v>1005</v>
      </c>
      <c r="J23" s="1510"/>
      <c r="K23" s="1510"/>
      <c r="L23" s="1510"/>
      <c r="M23" s="1510"/>
      <c r="N23" s="1510"/>
      <c r="O23" s="1510"/>
      <c r="P23" s="1510"/>
      <c r="Q23" s="1510"/>
      <c r="S23" s="1507">
        <v>4186.75</v>
      </c>
      <c r="T23" s="1507"/>
      <c r="U23" s="1507"/>
      <c r="V23" s="1507"/>
    </row>
    <row r="24" spans="3:29" ht="0.75" customHeight="1" x14ac:dyDescent="0.25"/>
    <row r="25" spans="3:29" ht="11.25" customHeight="1" x14ac:dyDescent="0.25">
      <c r="C25" s="1506" t="s">
        <v>2109</v>
      </c>
      <c r="D25" s="1506"/>
      <c r="E25" s="1506"/>
      <c r="F25" s="1506"/>
      <c r="G25" s="1506"/>
      <c r="H25" s="1506"/>
      <c r="I25" s="1510" t="s">
        <v>94</v>
      </c>
      <c r="J25" s="1510"/>
      <c r="K25" s="1510"/>
      <c r="L25" s="1510"/>
      <c r="M25" s="1510"/>
      <c r="N25" s="1510"/>
      <c r="O25" s="1510"/>
      <c r="P25" s="1510"/>
      <c r="Q25" s="1510"/>
      <c r="Z25" s="1507">
        <v>73899.039999999994</v>
      </c>
      <c r="AA25" s="1507"/>
      <c r="AB25" s="1507"/>
      <c r="AC25" s="1507"/>
    </row>
    <row r="26" spans="3:29" ht="1.5" customHeight="1" x14ac:dyDescent="0.25"/>
    <row r="27" spans="3:29" ht="11.25" customHeight="1" x14ac:dyDescent="0.25">
      <c r="C27" s="1506" t="s">
        <v>2127</v>
      </c>
      <c r="D27" s="1506"/>
      <c r="E27" s="1506"/>
      <c r="F27" s="1506"/>
      <c r="G27" s="1506"/>
      <c r="H27" s="1506"/>
      <c r="I27" s="1510" t="s">
        <v>2128</v>
      </c>
      <c r="J27" s="1510"/>
      <c r="K27" s="1510"/>
      <c r="L27" s="1510"/>
      <c r="M27" s="1510"/>
      <c r="N27" s="1510"/>
      <c r="O27" s="1510"/>
      <c r="P27" s="1510"/>
      <c r="Q27" s="1510"/>
      <c r="S27" s="1507">
        <v>1</v>
      </c>
      <c r="T27" s="1507"/>
      <c r="U27" s="1507"/>
      <c r="V27" s="1507"/>
    </row>
    <row r="28" spans="3:29" ht="1.5" customHeight="1" x14ac:dyDescent="0.25"/>
    <row r="29" spans="3:29" ht="10.5" customHeight="1" x14ac:dyDescent="0.25">
      <c r="C29" s="1506" t="s">
        <v>6255</v>
      </c>
      <c r="D29" s="1506"/>
      <c r="E29" s="1506"/>
      <c r="F29" s="1506"/>
      <c r="G29" s="1506"/>
      <c r="H29" s="1506"/>
      <c r="I29" s="1510" t="s">
        <v>985</v>
      </c>
      <c r="J29" s="1510"/>
      <c r="K29" s="1510"/>
      <c r="L29" s="1510"/>
      <c r="M29" s="1510"/>
      <c r="N29" s="1510"/>
      <c r="O29" s="1510"/>
      <c r="P29" s="1510"/>
      <c r="Q29" s="1510"/>
      <c r="S29" s="1507">
        <v>1</v>
      </c>
      <c r="T29" s="1507"/>
      <c r="U29" s="1507"/>
      <c r="V29" s="1507"/>
    </row>
    <row r="30" spans="3:29" ht="1.5" customHeight="1" x14ac:dyDescent="0.25"/>
    <row r="31" spans="3:29" ht="11.25" customHeight="1" x14ac:dyDescent="0.25">
      <c r="C31" s="1506" t="s">
        <v>2111</v>
      </c>
      <c r="D31" s="1506"/>
      <c r="E31" s="1506"/>
      <c r="F31" s="1506"/>
      <c r="G31" s="1506"/>
      <c r="H31" s="1506"/>
      <c r="I31" s="1510" t="s">
        <v>2108</v>
      </c>
      <c r="J31" s="1510"/>
      <c r="K31" s="1510"/>
      <c r="L31" s="1510"/>
      <c r="M31" s="1510"/>
      <c r="N31" s="1510"/>
      <c r="O31" s="1510"/>
      <c r="P31" s="1510"/>
      <c r="Q31" s="1510"/>
      <c r="S31" s="1507">
        <v>70627.05</v>
      </c>
      <c r="T31" s="1507"/>
      <c r="U31" s="1507"/>
      <c r="V31" s="1507"/>
    </row>
    <row r="32" spans="3:29" ht="1.5" customHeight="1" x14ac:dyDescent="0.25"/>
    <row r="33" spans="3:22" ht="10.5" customHeight="1" x14ac:dyDescent="0.25">
      <c r="C33" s="1506" t="s">
        <v>6240</v>
      </c>
      <c r="D33" s="1506"/>
      <c r="E33" s="1506"/>
      <c r="F33" s="1506"/>
      <c r="G33" s="1506"/>
      <c r="H33" s="1506"/>
      <c r="I33" s="1510" t="s">
        <v>1046</v>
      </c>
      <c r="J33" s="1510"/>
      <c r="K33" s="1510"/>
      <c r="L33" s="1510"/>
      <c r="M33" s="1510"/>
      <c r="N33" s="1510"/>
      <c r="O33" s="1510"/>
      <c r="P33" s="1510"/>
      <c r="Q33" s="1510"/>
      <c r="S33" s="1507">
        <v>4270.99</v>
      </c>
      <c r="T33" s="1507"/>
      <c r="U33" s="1507"/>
      <c r="V33" s="1507"/>
    </row>
    <row r="34" spans="3:22" ht="1.5" customHeight="1" x14ac:dyDescent="0.25"/>
    <row r="35" spans="3:22" ht="10.5" customHeight="1" x14ac:dyDescent="0.25">
      <c r="C35" s="1506" t="s">
        <v>6241</v>
      </c>
      <c r="D35" s="1506"/>
      <c r="E35" s="1506"/>
      <c r="F35" s="1506"/>
      <c r="G35" s="1506"/>
      <c r="H35" s="1506"/>
      <c r="I35" s="1510" t="s">
        <v>996</v>
      </c>
      <c r="J35" s="1510"/>
      <c r="K35" s="1510"/>
      <c r="L35" s="1510"/>
      <c r="M35" s="1510"/>
      <c r="N35" s="1510"/>
      <c r="O35" s="1510"/>
      <c r="P35" s="1510"/>
      <c r="Q35" s="1510"/>
      <c r="S35" s="1507">
        <v>10903.31</v>
      </c>
      <c r="T35" s="1507"/>
      <c r="U35" s="1507"/>
      <c r="V35" s="1507"/>
    </row>
    <row r="36" spans="3:22" ht="1.5" customHeight="1" x14ac:dyDescent="0.25"/>
    <row r="37" spans="3:22" ht="10.5" customHeight="1" x14ac:dyDescent="0.25">
      <c r="C37" s="1506" t="s">
        <v>6242</v>
      </c>
      <c r="D37" s="1506"/>
      <c r="E37" s="1506"/>
      <c r="F37" s="1506"/>
      <c r="G37" s="1506"/>
      <c r="H37" s="1506"/>
      <c r="I37" s="1510" t="s">
        <v>1021</v>
      </c>
      <c r="J37" s="1510"/>
      <c r="K37" s="1510"/>
      <c r="L37" s="1510"/>
      <c r="M37" s="1510"/>
      <c r="N37" s="1510"/>
      <c r="O37" s="1510"/>
      <c r="P37" s="1510"/>
      <c r="Q37" s="1510"/>
      <c r="S37" s="1507">
        <v>2725.83</v>
      </c>
      <c r="T37" s="1507"/>
      <c r="U37" s="1507"/>
      <c r="V37" s="1507"/>
    </row>
    <row r="38" spans="3:22" ht="1.5" customHeight="1" x14ac:dyDescent="0.25"/>
    <row r="39" spans="3:22" ht="10.5" customHeight="1" x14ac:dyDescent="0.25">
      <c r="C39" s="1506" t="s">
        <v>6243</v>
      </c>
      <c r="D39" s="1506"/>
      <c r="E39" s="1506"/>
      <c r="F39" s="1506"/>
      <c r="G39" s="1506"/>
      <c r="H39" s="1506"/>
      <c r="I39" s="1510" t="s">
        <v>1044</v>
      </c>
      <c r="J39" s="1510"/>
      <c r="K39" s="1510"/>
      <c r="L39" s="1510"/>
      <c r="M39" s="1510"/>
      <c r="N39" s="1510"/>
      <c r="O39" s="1510"/>
      <c r="P39" s="1510"/>
      <c r="Q39" s="1510"/>
      <c r="S39" s="1507">
        <v>1090.33</v>
      </c>
      <c r="T39" s="1507"/>
      <c r="U39" s="1507"/>
      <c r="V39" s="1507"/>
    </row>
    <row r="40" spans="3:22" ht="1.5" customHeight="1" x14ac:dyDescent="0.25"/>
    <row r="41" spans="3:22" ht="10.5" customHeight="1" x14ac:dyDescent="0.25">
      <c r="C41" s="1506" t="s">
        <v>6244</v>
      </c>
      <c r="D41" s="1506"/>
      <c r="E41" s="1506"/>
      <c r="F41" s="1506"/>
      <c r="G41" s="1506"/>
      <c r="H41" s="1506"/>
      <c r="I41" s="1510" t="s">
        <v>993</v>
      </c>
      <c r="J41" s="1510"/>
      <c r="K41" s="1510"/>
      <c r="L41" s="1510"/>
      <c r="M41" s="1510"/>
      <c r="N41" s="1510"/>
      <c r="O41" s="1510"/>
      <c r="P41" s="1510"/>
      <c r="Q41" s="1510"/>
      <c r="S41" s="1507">
        <v>13083.96</v>
      </c>
      <c r="T41" s="1507"/>
      <c r="U41" s="1507"/>
      <c r="V41" s="1507"/>
    </row>
    <row r="42" spans="3:22" ht="1.5" customHeight="1" x14ac:dyDescent="0.25"/>
    <row r="43" spans="3:22" ht="10.5" customHeight="1" x14ac:dyDescent="0.25">
      <c r="C43" s="1506" t="s">
        <v>6245</v>
      </c>
      <c r="D43" s="1506"/>
      <c r="E43" s="1506"/>
      <c r="F43" s="1506"/>
      <c r="G43" s="1506"/>
      <c r="H43" s="1506"/>
      <c r="I43" s="1510" t="s">
        <v>6307</v>
      </c>
      <c r="J43" s="1510"/>
      <c r="K43" s="1510"/>
      <c r="L43" s="1510"/>
      <c r="M43" s="1510"/>
      <c r="N43" s="1510"/>
      <c r="O43" s="1510"/>
      <c r="P43" s="1510"/>
      <c r="Q43" s="1510"/>
      <c r="S43" s="1507">
        <v>31414.59</v>
      </c>
      <c r="T43" s="1507"/>
      <c r="U43" s="1507"/>
      <c r="V43" s="1507"/>
    </row>
    <row r="44" spans="3:22" ht="1.5" customHeight="1" x14ac:dyDescent="0.25"/>
    <row r="45" spans="3:22" ht="10.5" customHeight="1" x14ac:dyDescent="0.25">
      <c r="C45" s="1506" t="s">
        <v>6231</v>
      </c>
      <c r="D45" s="1506"/>
      <c r="E45" s="1506"/>
      <c r="F45" s="1506"/>
      <c r="G45" s="1506"/>
      <c r="H45" s="1506"/>
      <c r="I45" s="1510" t="s">
        <v>990</v>
      </c>
      <c r="J45" s="1510"/>
      <c r="K45" s="1510"/>
      <c r="L45" s="1510"/>
      <c r="M45" s="1510"/>
      <c r="N45" s="1510"/>
      <c r="O45" s="1510"/>
      <c r="P45" s="1510"/>
      <c r="Q45" s="1510"/>
      <c r="S45" s="1507">
        <v>5233.6000000000004</v>
      </c>
      <c r="T45" s="1507"/>
      <c r="U45" s="1507"/>
      <c r="V45" s="1507"/>
    </row>
    <row r="46" spans="3:22" ht="1.5" customHeight="1" x14ac:dyDescent="0.25"/>
    <row r="47" spans="3:22" ht="10.5" customHeight="1" x14ac:dyDescent="0.25">
      <c r="C47" s="1506" t="s">
        <v>6247</v>
      </c>
      <c r="D47" s="1506"/>
      <c r="E47" s="1506"/>
      <c r="F47" s="1506"/>
      <c r="G47" s="1506"/>
      <c r="H47" s="1506"/>
      <c r="I47" s="1510" t="s">
        <v>6042</v>
      </c>
      <c r="J47" s="1510"/>
      <c r="K47" s="1510"/>
      <c r="L47" s="1510"/>
      <c r="M47" s="1510"/>
      <c r="N47" s="1510"/>
      <c r="O47" s="1510"/>
      <c r="P47" s="1510"/>
      <c r="Q47" s="1510"/>
      <c r="S47" s="1507">
        <v>814.11</v>
      </c>
      <c r="T47" s="1507"/>
      <c r="U47" s="1507"/>
      <c r="V47" s="1507"/>
    </row>
    <row r="48" spans="3:22" ht="1.5" customHeight="1" x14ac:dyDescent="0.25"/>
    <row r="49" spans="3:33" ht="10.5" customHeight="1" x14ac:dyDescent="0.25">
      <c r="C49" s="1506" t="s">
        <v>6248</v>
      </c>
      <c r="D49" s="1506"/>
      <c r="E49" s="1506"/>
      <c r="F49" s="1506"/>
      <c r="G49" s="1506"/>
      <c r="H49" s="1506"/>
      <c r="I49" s="1510" t="s">
        <v>985</v>
      </c>
      <c r="J49" s="1510"/>
      <c r="K49" s="1510"/>
      <c r="L49" s="1510"/>
      <c r="M49" s="1510"/>
      <c r="N49" s="1510"/>
      <c r="O49" s="1510"/>
      <c r="P49" s="1510"/>
      <c r="Q49" s="1510"/>
      <c r="S49" s="1507">
        <v>1090.33</v>
      </c>
      <c r="T49" s="1507"/>
      <c r="U49" s="1507"/>
      <c r="V49" s="1507"/>
    </row>
    <row r="50" spans="3:33" ht="1.5" customHeight="1" x14ac:dyDescent="0.25"/>
    <row r="51" spans="3:33" ht="11.25" customHeight="1" x14ac:dyDescent="0.25">
      <c r="C51" s="1506" t="s">
        <v>6416</v>
      </c>
      <c r="D51" s="1506"/>
      <c r="E51" s="1506"/>
      <c r="F51" s="1506"/>
      <c r="G51" s="1506"/>
      <c r="H51" s="1506"/>
      <c r="I51" s="1510" t="s">
        <v>6417</v>
      </c>
      <c r="J51" s="1510"/>
      <c r="K51" s="1510"/>
      <c r="L51" s="1510"/>
      <c r="M51" s="1510"/>
      <c r="N51" s="1510"/>
      <c r="O51" s="1510"/>
      <c r="P51" s="1510"/>
      <c r="Q51" s="1510"/>
      <c r="S51" s="1507">
        <v>3270.99</v>
      </c>
      <c r="T51" s="1507"/>
      <c r="U51" s="1507"/>
      <c r="V51" s="1507"/>
    </row>
    <row r="52" spans="3:33" ht="1.5" customHeight="1" x14ac:dyDescent="0.25"/>
    <row r="53" spans="3:33" ht="10.5" customHeight="1" x14ac:dyDescent="0.25">
      <c r="C53" s="1506" t="s">
        <v>6256</v>
      </c>
      <c r="D53" s="1506"/>
      <c r="E53" s="1506"/>
      <c r="F53" s="1506"/>
      <c r="G53" s="1506"/>
      <c r="H53" s="1506"/>
      <c r="I53" s="1510" t="s">
        <v>996</v>
      </c>
      <c r="J53" s="1510"/>
      <c r="K53" s="1510"/>
      <c r="L53" s="1510"/>
      <c r="M53" s="1510"/>
      <c r="N53" s="1510"/>
      <c r="O53" s="1510"/>
      <c r="P53" s="1510"/>
      <c r="Q53" s="1510"/>
      <c r="S53" s="1507">
        <v>3270.99</v>
      </c>
      <c r="T53" s="1507"/>
      <c r="U53" s="1507"/>
      <c r="V53" s="1507"/>
    </row>
    <row r="54" spans="3:33" ht="9" customHeight="1" x14ac:dyDescent="0.25"/>
    <row r="55" spans="3:33" ht="1.5" customHeight="1" x14ac:dyDescent="0.25"/>
    <row r="56" spans="3:33" ht="10.5" customHeight="1" x14ac:dyDescent="0.25">
      <c r="C56" s="1506" t="s">
        <v>2112</v>
      </c>
      <c r="D56" s="1506"/>
      <c r="E56" s="1506"/>
      <c r="F56" s="1506"/>
      <c r="G56" s="1506"/>
      <c r="H56" s="1506"/>
      <c r="I56" s="1510" t="s">
        <v>2113</v>
      </c>
      <c r="J56" s="1510"/>
      <c r="K56" s="1510"/>
      <c r="L56" s="1510"/>
      <c r="M56" s="1510"/>
      <c r="N56" s="1510"/>
      <c r="O56" s="1510"/>
      <c r="P56" s="1510"/>
      <c r="Q56" s="1510"/>
      <c r="AF56" s="1507">
        <v>44205.96</v>
      </c>
      <c r="AG56" s="1507"/>
    </row>
    <row r="57" spans="3:33" ht="0.75" customHeight="1" x14ac:dyDescent="0.25"/>
    <row r="58" spans="3:33" ht="11.25" customHeight="1" x14ac:dyDescent="0.25">
      <c r="C58" s="1506" t="s">
        <v>2114</v>
      </c>
      <c r="D58" s="1506"/>
      <c r="E58" s="1506"/>
      <c r="F58" s="1506"/>
      <c r="G58" s="1506"/>
      <c r="H58" s="1506"/>
      <c r="I58" s="1510" t="s">
        <v>95</v>
      </c>
      <c r="J58" s="1510"/>
      <c r="K58" s="1510"/>
      <c r="L58" s="1510"/>
      <c r="M58" s="1510"/>
      <c r="N58" s="1510"/>
      <c r="O58" s="1510"/>
      <c r="P58" s="1510"/>
      <c r="Q58" s="1510"/>
      <c r="Z58" s="1507">
        <v>44205.96</v>
      </c>
      <c r="AA58" s="1507"/>
      <c r="AB58" s="1507"/>
      <c r="AC58" s="1507"/>
    </row>
    <row r="59" spans="3:33" ht="1.5" customHeight="1" x14ac:dyDescent="0.25"/>
    <row r="60" spans="3:33" ht="11.25" customHeight="1" x14ac:dyDescent="0.25">
      <c r="C60" s="1506" t="s">
        <v>2115</v>
      </c>
      <c r="D60" s="1506"/>
      <c r="E60" s="1506"/>
      <c r="F60" s="1506"/>
      <c r="G60" s="1506"/>
      <c r="H60" s="1506"/>
      <c r="I60" s="1510" t="s">
        <v>2108</v>
      </c>
      <c r="J60" s="1510"/>
      <c r="K60" s="1510"/>
      <c r="L60" s="1510"/>
      <c r="M60" s="1510"/>
      <c r="N60" s="1510"/>
      <c r="O60" s="1510"/>
      <c r="P60" s="1510"/>
      <c r="Q60" s="1510"/>
      <c r="S60" s="1507">
        <v>44205.96</v>
      </c>
      <c r="T60" s="1507"/>
      <c r="U60" s="1507"/>
      <c r="V60" s="1507"/>
    </row>
    <row r="61" spans="3:33" ht="1.5" customHeight="1" x14ac:dyDescent="0.25"/>
    <row r="62" spans="3:33" ht="10.5" customHeight="1" x14ac:dyDescent="0.25">
      <c r="C62" s="1506" t="s">
        <v>6232</v>
      </c>
      <c r="D62" s="1506"/>
      <c r="E62" s="1506"/>
      <c r="F62" s="1506"/>
      <c r="G62" s="1506"/>
      <c r="H62" s="1506"/>
      <c r="I62" s="1510" t="s">
        <v>996</v>
      </c>
      <c r="J62" s="1510"/>
      <c r="K62" s="1510"/>
      <c r="L62" s="1510"/>
      <c r="M62" s="1510"/>
      <c r="N62" s="1510"/>
      <c r="O62" s="1510"/>
      <c r="P62" s="1510"/>
      <c r="Q62" s="1510"/>
      <c r="S62" s="1507">
        <v>4361.32</v>
      </c>
      <c r="T62" s="1507"/>
      <c r="U62" s="1507"/>
      <c r="V62" s="1507"/>
    </row>
    <row r="63" spans="3:33" ht="1.5" customHeight="1" x14ac:dyDescent="0.25"/>
    <row r="64" spans="3:33" ht="10.5" customHeight="1" x14ac:dyDescent="0.25">
      <c r="C64" s="1506" t="s">
        <v>6233</v>
      </c>
      <c r="D64" s="1506"/>
      <c r="E64" s="1506"/>
      <c r="F64" s="1506"/>
      <c r="G64" s="1506"/>
      <c r="H64" s="1506"/>
      <c r="I64" s="1510" t="s">
        <v>993</v>
      </c>
      <c r="J64" s="1510"/>
      <c r="K64" s="1510"/>
      <c r="L64" s="1510"/>
      <c r="M64" s="1510"/>
      <c r="N64" s="1510"/>
      <c r="O64" s="1510"/>
      <c r="P64" s="1510"/>
      <c r="Q64" s="1510"/>
      <c r="S64" s="1507">
        <v>2180.66</v>
      </c>
      <c r="T64" s="1507"/>
      <c r="U64" s="1507"/>
      <c r="V64" s="1507"/>
    </row>
    <row r="65" spans="3:33" ht="1.5" customHeight="1" x14ac:dyDescent="0.25"/>
    <row r="66" spans="3:33" ht="10.5" customHeight="1" x14ac:dyDescent="0.25">
      <c r="C66" s="1506" t="s">
        <v>6234</v>
      </c>
      <c r="D66" s="1506"/>
      <c r="E66" s="1506"/>
      <c r="F66" s="1506"/>
      <c r="G66" s="1506"/>
      <c r="H66" s="1506"/>
      <c r="I66" s="1510" t="s">
        <v>1053</v>
      </c>
      <c r="J66" s="1510"/>
      <c r="K66" s="1510"/>
      <c r="L66" s="1510"/>
      <c r="M66" s="1510"/>
      <c r="N66" s="1510"/>
      <c r="O66" s="1510"/>
      <c r="P66" s="1510"/>
      <c r="Q66" s="1510"/>
      <c r="S66" s="1507">
        <v>4361.32</v>
      </c>
      <c r="T66" s="1507"/>
      <c r="U66" s="1507"/>
      <c r="V66" s="1507"/>
    </row>
    <row r="67" spans="3:33" ht="1.5" customHeight="1" x14ac:dyDescent="0.25"/>
    <row r="68" spans="3:33" ht="10.5" customHeight="1" x14ac:dyDescent="0.25">
      <c r="C68" s="1506" t="s">
        <v>6251</v>
      </c>
      <c r="D68" s="1506"/>
      <c r="E68" s="1506"/>
      <c r="F68" s="1506"/>
      <c r="G68" s="1506"/>
      <c r="H68" s="1506"/>
      <c r="I68" s="1510" t="s">
        <v>1029</v>
      </c>
      <c r="J68" s="1510"/>
      <c r="K68" s="1510"/>
      <c r="L68" s="1510"/>
      <c r="M68" s="1510"/>
      <c r="N68" s="1510"/>
      <c r="O68" s="1510"/>
      <c r="P68" s="1510"/>
      <c r="Q68" s="1510"/>
      <c r="S68" s="1507">
        <v>21309.02</v>
      </c>
      <c r="T68" s="1507"/>
      <c r="U68" s="1507"/>
      <c r="V68" s="1507"/>
    </row>
    <row r="69" spans="3:33" ht="1.5" customHeight="1" x14ac:dyDescent="0.25"/>
    <row r="70" spans="3:33" ht="10.5" customHeight="1" x14ac:dyDescent="0.25">
      <c r="C70" s="1506" t="s">
        <v>6235</v>
      </c>
      <c r="D70" s="1506"/>
      <c r="E70" s="1506"/>
      <c r="F70" s="1506"/>
      <c r="G70" s="1506"/>
      <c r="H70" s="1506"/>
      <c r="I70" s="1510" t="s">
        <v>997</v>
      </c>
      <c r="J70" s="1510"/>
      <c r="K70" s="1510"/>
      <c r="L70" s="1510"/>
      <c r="M70" s="1510"/>
      <c r="N70" s="1510"/>
      <c r="O70" s="1510"/>
      <c r="P70" s="1510"/>
      <c r="Q70" s="1510"/>
      <c r="S70" s="1507">
        <v>11993.64</v>
      </c>
      <c r="T70" s="1507"/>
      <c r="U70" s="1507"/>
      <c r="V70" s="1507"/>
    </row>
    <row r="71" spans="3:33" ht="9" customHeight="1" x14ac:dyDescent="0.25"/>
    <row r="72" spans="3:33" ht="7.5" customHeight="1" x14ac:dyDescent="0.25"/>
    <row r="73" spans="3:33" ht="10.5" customHeight="1" x14ac:dyDescent="0.25">
      <c r="P73" s="1420" t="s">
        <v>0</v>
      </c>
      <c r="Q73" s="1420"/>
      <c r="R73" s="1420"/>
      <c r="S73" s="1420"/>
      <c r="T73" s="1420"/>
      <c r="U73" s="1420"/>
      <c r="V73" s="1420"/>
      <c r="W73" s="1420"/>
      <c r="AE73" s="1425">
        <v>175271.2</v>
      </c>
      <c r="AF73" s="1425"/>
      <c r="AG73" s="1425"/>
    </row>
    <row r="74" spans="3:33" ht="6.75" customHeight="1" x14ac:dyDescent="0.25">
      <c r="P74" s="1420"/>
      <c r="Q74" s="1420"/>
      <c r="R74" s="1420"/>
      <c r="S74" s="1420"/>
      <c r="T74" s="1420"/>
      <c r="U74" s="1420"/>
      <c r="V74" s="1420"/>
      <c r="W74" s="1420"/>
    </row>
    <row r="75" spans="3:33" ht="3.75" customHeight="1" x14ac:dyDescent="0.25"/>
    <row r="76" spans="3:33" ht="10.5" customHeight="1" x14ac:dyDescent="0.25">
      <c r="Q76" s="1509" t="s">
        <v>2122</v>
      </c>
      <c r="R76" s="1509"/>
      <c r="S76" s="1509"/>
    </row>
    <row r="77" spans="3:33" ht="19.5" customHeight="1" x14ac:dyDescent="0.25"/>
    <row r="78" spans="3:33" ht="15" customHeight="1" x14ac:dyDescent="0.25">
      <c r="K78" s="1508" t="s">
        <v>2074</v>
      </c>
      <c r="L78" s="1508"/>
      <c r="M78" s="1508"/>
      <c r="N78" s="1508"/>
      <c r="O78" s="1508"/>
      <c r="P78" s="1508"/>
      <c r="Q78" s="1508"/>
      <c r="R78" s="1508"/>
      <c r="S78" s="1508"/>
      <c r="T78" s="1508"/>
      <c r="X78" s="1425">
        <v>131065.24</v>
      </c>
      <c r="Y78" s="1425"/>
      <c r="Z78" s="1425"/>
      <c r="AA78" s="1425"/>
      <c r="AB78" s="1425"/>
      <c r="AC78" s="1425"/>
    </row>
    <row r="79" spans="3:33" ht="14.25" customHeight="1" x14ac:dyDescent="0.25">
      <c r="K79" s="1506" t="s">
        <v>2123</v>
      </c>
      <c r="L79" s="1506"/>
      <c r="M79" s="1506"/>
      <c r="N79" s="1506"/>
      <c r="O79" s="1506"/>
      <c r="P79" s="1506"/>
      <c r="Q79" s="1506"/>
      <c r="R79" s="1506"/>
      <c r="S79" s="1506"/>
      <c r="T79" s="1506"/>
      <c r="U79" s="1506"/>
      <c r="X79" s="1507">
        <v>57166.2</v>
      </c>
      <c r="Y79" s="1507"/>
      <c r="Z79" s="1507"/>
      <c r="AA79" s="1507"/>
      <c r="AB79" s="1507"/>
      <c r="AC79" s="1507"/>
    </row>
    <row r="80" spans="3:33" ht="14.25" customHeight="1" x14ac:dyDescent="0.25">
      <c r="K80" s="1506" t="s">
        <v>175</v>
      </c>
      <c r="L80" s="1506"/>
      <c r="M80" s="1506"/>
      <c r="N80" s="1506"/>
      <c r="O80" s="1506"/>
      <c r="P80" s="1506"/>
      <c r="Q80" s="1506"/>
      <c r="R80" s="1506"/>
      <c r="S80" s="1506"/>
      <c r="T80" s="1506"/>
      <c r="U80" s="1506"/>
      <c r="X80" s="1507">
        <v>0</v>
      </c>
      <c r="Y80" s="1507"/>
      <c r="Z80" s="1507"/>
      <c r="AA80" s="1507"/>
      <c r="AB80" s="1507"/>
      <c r="AC80" s="1507"/>
    </row>
    <row r="81" spans="11:29" ht="10.5" customHeight="1" x14ac:dyDescent="0.25">
      <c r="K81" s="1506" t="s">
        <v>94</v>
      </c>
      <c r="L81" s="1506"/>
      <c r="M81" s="1506"/>
      <c r="N81" s="1506"/>
      <c r="O81" s="1506"/>
      <c r="P81" s="1506"/>
      <c r="Q81" s="1506"/>
      <c r="R81" s="1506"/>
      <c r="S81" s="1506"/>
      <c r="T81" s="1506"/>
      <c r="U81" s="1506"/>
      <c r="X81" s="1507">
        <v>73899.039999999994</v>
      </c>
      <c r="Y81" s="1507"/>
      <c r="Z81" s="1507"/>
      <c r="AA81" s="1507"/>
      <c r="AB81" s="1507"/>
      <c r="AC81" s="1507"/>
    </row>
    <row r="82" spans="11:29" ht="3" customHeight="1" x14ac:dyDescent="0.25"/>
    <row r="83" spans="11:29" ht="9" customHeight="1" x14ac:dyDescent="0.25"/>
    <row r="84" spans="11:29" ht="15" customHeight="1" x14ac:dyDescent="0.25">
      <c r="K84" s="1508" t="s">
        <v>2077</v>
      </c>
      <c r="L84" s="1508"/>
      <c r="M84" s="1508"/>
      <c r="N84" s="1508"/>
      <c r="O84" s="1508"/>
      <c r="P84" s="1508"/>
      <c r="Q84" s="1508"/>
      <c r="R84" s="1508"/>
      <c r="S84" s="1508"/>
      <c r="T84" s="1508"/>
      <c r="X84" s="1425">
        <v>44205.96</v>
      </c>
      <c r="Y84" s="1425"/>
      <c r="Z84" s="1425"/>
      <c r="AA84" s="1425"/>
      <c r="AB84" s="1425"/>
      <c r="AC84" s="1425"/>
    </row>
    <row r="85" spans="11:29" ht="14.25" customHeight="1" x14ac:dyDescent="0.25">
      <c r="K85" s="1506" t="s">
        <v>95</v>
      </c>
      <c r="L85" s="1506"/>
      <c r="M85" s="1506"/>
      <c r="N85" s="1506"/>
      <c r="O85" s="1506"/>
      <c r="P85" s="1506"/>
      <c r="Q85" s="1506"/>
      <c r="R85" s="1506"/>
      <c r="S85" s="1506"/>
      <c r="T85" s="1506"/>
      <c r="U85" s="1506"/>
      <c r="X85" s="1507">
        <v>44205.96</v>
      </c>
      <c r="Y85" s="1507"/>
      <c r="Z85" s="1507"/>
      <c r="AA85" s="1507"/>
      <c r="AB85" s="1507"/>
      <c r="AC85" s="1507"/>
    </row>
    <row r="86" spans="11:29" ht="14.25" customHeight="1" x14ac:dyDescent="0.25">
      <c r="K86" s="1506" t="s">
        <v>176</v>
      </c>
      <c r="L86" s="1506"/>
      <c r="M86" s="1506"/>
      <c r="N86" s="1506"/>
      <c r="O86" s="1506"/>
      <c r="P86" s="1506"/>
      <c r="Q86" s="1506"/>
      <c r="R86" s="1506"/>
      <c r="S86" s="1506"/>
      <c r="T86" s="1506"/>
      <c r="U86" s="1506"/>
      <c r="X86" s="1507">
        <v>0</v>
      </c>
      <c r="Y86" s="1507"/>
      <c r="Z86" s="1507"/>
      <c r="AA86" s="1507"/>
      <c r="AB86" s="1507"/>
      <c r="AC86" s="1507"/>
    </row>
    <row r="87" spans="11:29" ht="14.25" customHeight="1" x14ac:dyDescent="0.25">
      <c r="K87" s="1506" t="s">
        <v>96</v>
      </c>
      <c r="L87" s="1506"/>
      <c r="M87" s="1506"/>
      <c r="N87" s="1506"/>
      <c r="O87" s="1506"/>
      <c r="P87" s="1506"/>
      <c r="Q87" s="1506"/>
      <c r="R87" s="1506"/>
      <c r="S87" s="1506"/>
      <c r="T87" s="1506"/>
      <c r="U87" s="1506"/>
      <c r="X87" s="1507">
        <v>0</v>
      </c>
      <c r="Y87" s="1507"/>
      <c r="Z87" s="1507"/>
      <c r="AA87" s="1507"/>
      <c r="AB87" s="1507"/>
      <c r="AC87" s="1507"/>
    </row>
    <row r="88" spans="11:29" ht="10.5" customHeight="1" x14ac:dyDescent="0.25">
      <c r="K88" s="1506" t="s">
        <v>2080</v>
      </c>
      <c r="L88" s="1506"/>
      <c r="M88" s="1506"/>
      <c r="N88" s="1506"/>
      <c r="O88" s="1506"/>
      <c r="P88" s="1506"/>
      <c r="Q88" s="1506"/>
      <c r="R88" s="1506"/>
      <c r="S88" s="1506"/>
      <c r="T88" s="1506"/>
      <c r="U88" s="1506"/>
      <c r="X88" s="1507">
        <v>0</v>
      </c>
      <c r="Y88" s="1507"/>
      <c r="Z88" s="1507"/>
      <c r="AA88" s="1507"/>
      <c r="AB88" s="1507"/>
      <c r="AC88" s="1507"/>
    </row>
    <row r="89" spans="11:29" ht="3" customHeight="1" x14ac:dyDescent="0.25"/>
    <row r="90" spans="11:29" ht="9" customHeight="1" x14ac:dyDescent="0.25"/>
    <row r="91" spans="11:29" ht="15" customHeight="1" x14ac:dyDescent="0.25">
      <c r="K91" s="1508" t="s">
        <v>2124</v>
      </c>
      <c r="L91" s="1508"/>
      <c r="M91" s="1508"/>
      <c r="N91" s="1508"/>
      <c r="O91" s="1508"/>
      <c r="P91" s="1508"/>
      <c r="Q91" s="1508"/>
      <c r="R91" s="1508"/>
      <c r="S91" s="1508"/>
      <c r="T91" s="1508"/>
      <c r="X91" s="1425">
        <v>0</v>
      </c>
      <c r="Y91" s="1425"/>
      <c r="Z91" s="1425"/>
      <c r="AA91" s="1425"/>
      <c r="AB91" s="1425"/>
      <c r="AC91" s="1425"/>
    </row>
    <row r="92" spans="11:29" ht="10.5" customHeight="1" x14ac:dyDescent="0.25">
      <c r="K92" s="1506" t="s">
        <v>2123</v>
      </c>
      <c r="L92" s="1506"/>
      <c r="M92" s="1506"/>
      <c r="N92" s="1506"/>
      <c r="O92" s="1506"/>
      <c r="P92" s="1506"/>
      <c r="Q92" s="1506"/>
      <c r="R92" s="1506"/>
      <c r="S92" s="1506"/>
      <c r="T92" s="1506"/>
      <c r="U92" s="1506"/>
      <c r="X92" s="1507">
        <v>0</v>
      </c>
      <c r="Y92" s="1507"/>
      <c r="Z92" s="1507"/>
      <c r="AA92" s="1507"/>
      <c r="AB92" s="1507"/>
      <c r="AC92" s="1507"/>
    </row>
    <row r="93" spans="11:29" ht="3" customHeight="1" x14ac:dyDescent="0.25"/>
    <row r="94" spans="11:29" ht="9.75" customHeight="1" x14ac:dyDescent="0.25"/>
    <row r="95" spans="11:29" ht="10.5" customHeight="1" x14ac:dyDescent="0.25">
      <c r="K95" s="1424" t="s">
        <v>0</v>
      </c>
      <c r="L95" s="1424"/>
      <c r="X95" s="1425">
        <v>175271.2</v>
      </c>
      <c r="Y95" s="1425"/>
      <c r="Z95" s="1425"/>
      <c r="AA95" s="1425"/>
      <c r="AB95" s="1425"/>
      <c r="AC95" s="1425"/>
    </row>
  </sheetData>
  <mergeCells count="127">
    <mergeCell ref="K92:U92"/>
    <mergeCell ref="X92:AC92"/>
    <mergeCell ref="K95:L95"/>
    <mergeCell ref="X95:AC95"/>
    <mergeCell ref="K87:U87"/>
    <mergeCell ref="X87:AC87"/>
    <mergeCell ref="K88:U88"/>
    <mergeCell ref="X88:AC88"/>
    <mergeCell ref="K91:T91"/>
    <mergeCell ref="X91:AC91"/>
    <mergeCell ref="K84:T84"/>
    <mergeCell ref="X84:AC84"/>
    <mergeCell ref="K85:U85"/>
    <mergeCell ref="X85:AC85"/>
    <mergeCell ref="K86:U86"/>
    <mergeCell ref="X86:AC86"/>
    <mergeCell ref="K79:U79"/>
    <mergeCell ref="X79:AC79"/>
    <mergeCell ref="K80:U80"/>
    <mergeCell ref="X80:AC80"/>
    <mergeCell ref="K81:U81"/>
    <mergeCell ref="X81:AC81"/>
    <mergeCell ref="P73:W74"/>
    <mergeCell ref="AE73:AG73"/>
    <mergeCell ref="Q76:S76"/>
    <mergeCell ref="K78:T78"/>
    <mergeCell ref="X78:AC78"/>
    <mergeCell ref="C68:H68"/>
    <mergeCell ref="I68:Q68"/>
    <mergeCell ref="S68:V68"/>
    <mergeCell ref="C70:H70"/>
    <mergeCell ref="I70:Q70"/>
    <mergeCell ref="S70:V70"/>
    <mergeCell ref="C64:H64"/>
    <mergeCell ref="I64:Q64"/>
    <mergeCell ref="S64:V64"/>
    <mergeCell ref="C66:H66"/>
    <mergeCell ref="I66:Q66"/>
    <mergeCell ref="S66:V66"/>
    <mergeCell ref="C60:H60"/>
    <mergeCell ref="I60:Q60"/>
    <mergeCell ref="S60:V60"/>
    <mergeCell ref="C62:H62"/>
    <mergeCell ref="I62:Q62"/>
    <mergeCell ref="S62:V62"/>
    <mergeCell ref="C56:H56"/>
    <mergeCell ref="I56:Q56"/>
    <mergeCell ref="AF56:AG56"/>
    <mergeCell ref="C58:H58"/>
    <mergeCell ref="I58:Q58"/>
    <mergeCell ref="Z58:AC58"/>
    <mergeCell ref="C51:H51"/>
    <mergeCell ref="I51:Q51"/>
    <mergeCell ref="S51:V51"/>
    <mergeCell ref="C53:H53"/>
    <mergeCell ref="I53:Q53"/>
    <mergeCell ref="S53:V53"/>
    <mergeCell ref="C47:H47"/>
    <mergeCell ref="I47:Q47"/>
    <mergeCell ref="S47:V47"/>
    <mergeCell ref="C49:H49"/>
    <mergeCell ref="I49:Q49"/>
    <mergeCell ref="S49:V49"/>
    <mergeCell ref="C43:H43"/>
    <mergeCell ref="I43:Q43"/>
    <mergeCell ref="S43:V43"/>
    <mergeCell ref="C45:H45"/>
    <mergeCell ref="I45:Q45"/>
    <mergeCell ref="S45:V45"/>
    <mergeCell ref="C39:H39"/>
    <mergeCell ref="I39:Q39"/>
    <mergeCell ref="S39:V39"/>
    <mergeCell ref="C41:H41"/>
    <mergeCell ref="I41:Q41"/>
    <mergeCell ref="S41:V41"/>
    <mergeCell ref="C35:H35"/>
    <mergeCell ref="I35:Q35"/>
    <mergeCell ref="S35:V35"/>
    <mergeCell ref="C37:H37"/>
    <mergeCell ref="I37:Q37"/>
    <mergeCell ref="S37:V37"/>
    <mergeCell ref="Z25:AC25"/>
    <mergeCell ref="C27:H27"/>
    <mergeCell ref="I27:Q27"/>
    <mergeCell ref="S27:V27"/>
    <mergeCell ref="C21:H21"/>
    <mergeCell ref="I21:Q21"/>
    <mergeCell ref="S21:V21"/>
    <mergeCell ref="C23:H23"/>
    <mergeCell ref="I23:Q23"/>
    <mergeCell ref="S23:V23"/>
    <mergeCell ref="A2:D2"/>
    <mergeCell ref="A1:AG1"/>
    <mergeCell ref="A3:AG3"/>
    <mergeCell ref="A4:AG4"/>
    <mergeCell ref="A5:AG5"/>
    <mergeCell ref="C29:H29"/>
    <mergeCell ref="I29:Q29"/>
    <mergeCell ref="C31:H31"/>
    <mergeCell ref="I31:Q31"/>
    <mergeCell ref="AA9:AC9"/>
    <mergeCell ref="AF9:AG9"/>
    <mergeCell ref="AF11:AG11"/>
    <mergeCell ref="C11:H11"/>
    <mergeCell ref="I11:Q11"/>
    <mergeCell ref="C13:H13"/>
    <mergeCell ref="I13:Q13"/>
    <mergeCell ref="Z13:AC13"/>
    <mergeCell ref="C15:H15"/>
    <mergeCell ref="I15:Q15"/>
    <mergeCell ref="S15:V15"/>
    <mergeCell ref="C17:H17"/>
    <mergeCell ref="I17:Q17"/>
    <mergeCell ref="S17:V17"/>
    <mergeCell ref="C25:H25"/>
    <mergeCell ref="C33:H33"/>
    <mergeCell ref="I33:Q33"/>
    <mergeCell ref="S33:V33"/>
    <mergeCell ref="S29:V29"/>
    <mergeCell ref="S31:V31"/>
    <mergeCell ref="I19:Q19"/>
    <mergeCell ref="S19:V19"/>
    <mergeCell ref="C9:E9"/>
    <mergeCell ref="I9:M9"/>
    <mergeCell ref="S9:V9"/>
    <mergeCell ref="C19:H19"/>
    <mergeCell ref="I25:Q2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4"/>
  <sheetViews>
    <sheetView workbookViewId="0">
      <selection sqref="A1:XFD1048576"/>
    </sheetView>
  </sheetViews>
  <sheetFormatPr defaultColWidth="6.85546875" defaultRowHeight="12.75" customHeight="1" x14ac:dyDescent="0.25"/>
  <cols>
    <col min="1" max="1" width="1.140625" style="1110" customWidth="1"/>
    <col min="2" max="2" width="1" style="1110" customWidth="1"/>
    <col min="3" max="3" width="7.28515625" style="1110" customWidth="1"/>
    <col min="4" max="4" width="1.140625" style="1110" customWidth="1"/>
    <col min="5" max="5" width="5.5703125" style="1110" customWidth="1"/>
    <col min="6" max="6" width="1.140625" style="1110" customWidth="1"/>
    <col min="7" max="7" width="1.28515625" style="1110" customWidth="1"/>
    <col min="8" max="8" width="2.28515625" style="1110" customWidth="1"/>
    <col min="9" max="9" width="11.5703125" style="1110" customWidth="1"/>
    <col min="10" max="10" width="1.5703125" style="1110" customWidth="1"/>
    <col min="11" max="11" width="2.5703125" style="1110" customWidth="1"/>
    <col min="12" max="12" width="11.42578125" style="1110" customWidth="1"/>
    <col min="13" max="13" width="2" style="1110" customWidth="1"/>
    <col min="14" max="14" width="13.28515625" style="1110" customWidth="1"/>
    <col min="15" max="15" width="2.28515625" style="1110" customWidth="1"/>
    <col min="16" max="16" width="1.140625" style="1110" customWidth="1"/>
    <col min="17" max="17" width="7.28515625" style="1110" customWidth="1"/>
    <col min="18" max="18" width="1.42578125" style="1110" customWidth="1"/>
    <col min="19" max="19" width="4.7109375" style="1110" customWidth="1"/>
    <col min="20" max="20" width="4.5703125" style="1110" customWidth="1"/>
    <col min="21" max="21" width="2.28515625" style="1110" customWidth="1"/>
    <col min="22" max="22" width="3.42578125" style="1110" customWidth="1"/>
    <col min="23" max="23" width="1" style="1110" customWidth="1"/>
    <col min="24" max="24" width="1.42578125" style="1110" customWidth="1"/>
    <col min="25" max="25" width="1.7109375" style="1110" customWidth="1"/>
    <col min="26" max="26" width="2" style="1110" customWidth="1"/>
    <col min="27" max="27" width="1.140625" style="1110" customWidth="1"/>
    <col min="28" max="28" width="4.5703125" style="1110" customWidth="1"/>
    <col min="29" max="29" width="7.140625" style="1110" customWidth="1"/>
    <col min="30" max="30" width="3.5703125" style="1110" customWidth="1"/>
    <col min="31" max="31" width="2" style="1110" customWidth="1"/>
    <col min="32" max="32" width="5.140625" style="1110" customWidth="1"/>
    <col min="33" max="33" width="10.85546875" style="1110" customWidth="1"/>
    <col min="34" max="34" width="1" style="1110" customWidth="1"/>
    <col min="35" max="35" width="1.140625" style="1110" customWidth="1"/>
    <col min="36" max="36" width="1.7109375" style="1110" customWidth="1"/>
    <col min="37" max="37" width="5.85546875" style="1110" customWidth="1"/>
    <col min="38" max="16384" width="6.85546875" style="1110"/>
  </cols>
  <sheetData>
    <row r="1" spans="1:33" s="1109" customFormat="1" ht="15" customHeight="1" x14ac:dyDescent="0.25">
      <c r="A1" s="1512" t="str">
        <f>'CADASTRO BASE RECEITA '!A$1</f>
        <v>PROPOSTA ORÇAMENTÁRIA PARA 2016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  <c r="Y1" s="1512"/>
      <c r="Z1" s="1512"/>
      <c r="AA1" s="1512"/>
      <c r="AB1" s="1512"/>
      <c r="AC1" s="1512"/>
      <c r="AD1" s="1512"/>
      <c r="AE1" s="1512"/>
      <c r="AF1" s="1512"/>
      <c r="AG1" s="1512"/>
    </row>
    <row r="2" spans="1:33" s="1109" customFormat="1" ht="15" customHeight="1" x14ac:dyDescent="0.25">
      <c r="A2" s="1512"/>
      <c r="B2" s="1512"/>
      <c r="C2" s="1512"/>
      <c r="D2" s="1512"/>
    </row>
    <row r="3" spans="1:33" s="1109" customFormat="1" ht="15" customHeight="1" x14ac:dyDescent="0.25">
      <c r="A3" s="1512" t="s">
        <v>177</v>
      </c>
      <c r="B3" s="1512"/>
      <c r="C3" s="1512"/>
      <c r="D3" s="1512"/>
      <c r="E3" s="1512"/>
      <c r="F3" s="1512"/>
      <c r="G3" s="1512"/>
      <c r="H3" s="1512"/>
      <c r="I3" s="1512"/>
      <c r="J3" s="1512"/>
      <c r="K3" s="1512"/>
      <c r="L3" s="1512"/>
      <c r="M3" s="1512"/>
      <c r="N3" s="1512"/>
      <c r="O3" s="1512"/>
      <c r="P3" s="1512"/>
      <c r="Q3" s="1512"/>
      <c r="R3" s="1512"/>
      <c r="S3" s="1512"/>
      <c r="T3" s="1512"/>
      <c r="U3" s="1512"/>
      <c r="V3" s="1512"/>
      <c r="W3" s="1512"/>
      <c r="X3" s="1512"/>
      <c r="Y3" s="1512"/>
      <c r="Z3" s="1512"/>
      <c r="AA3" s="1512"/>
      <c r="AB3" s="1512"/>
      <c r="AC3" s="1512"/>
      <c r="AD3" s="1512"/>
      <c r="AE3" s="1512"/>
      <c r="AF3" s="1512"/>
      <c r="AG3" s="1512"/>
    </row>
    <row r="4" spans="1:33" s="1109" customFormat="1" ht="16.5" customHeight="1" x14ac:dyDescent="0.25">
      <c r="A4" s="1514" t="s">
        <v>184</v>
      </c>
      <c r="B4" s="1514"/>
      <c r="C4" s="1514"/>
      <c r="D4" s="1514"/>
      <c r="E4" s="1514"/>
      <c r="F4" s="1514"/>
      <c r="G4" s="1514"/>
      <c r="H4" s="1514"/>
      <c r="I4" s="1514"/>
      <c r="J4" s="1514"/>
      <c r="K4" s="1514"/>
      <c r="L4" s="1514"/>
      <c r="M4" s="1514"/>
      <c r="N4" s="1514"/>
      <c r="O4" s="1514"/>
      <c r="P4" s="1514"/>
      <c r="Q4" s="1514"/>
      <c r="R4" s="1514"/>
      <c r="S4" s="1514"/>
      <c r="T4" s="1514"/>
      <c r="U4" s="1514"/>
      <c r="V4" s="1514"/>
      <c r="W4" s="1514"/>
      <c r="X4" s="1514"/>
      <c r="Y4" s="1514"/>
      <c r="Z4" s="1514"/>
      <c r="AA4" s="1514"/>
      <c r="AB4" s="1514"/>
      <c r="AC4" s="1514"/>
      <c r="AD4" s="1514"/>
      <c r="AE4" s="1514"/>
      <c r="AF4" s="1514"/>
      <c r="AG4" s="1514"/>
    </row>
    <row r="5" spans="1:33" s="1109" customFormat="1" ht="15" customHeight="1" x14ac:dyDescent="0.2">
      <c r="A5" s="1513" t="s">
        <v>11846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3"/>
      <c r="Z5" s="1513"/>
      <c r="AA5" s="1513"/>
      <c r="AB5" s="1513"/>
      <c r="AC5" s="1513"/>
      <c r="AD5" s="1513"/>
      <c r="AE5" s="1513"/>
      <c r="AF5" s="1513"/>
      <c r="AG5" s="1513"/>
    </row>
    <row r="6" spans="1:33" ht="12" customHeight="1" x14ac:dyDescent="0.25"/>
    <row r="7" spans="1:33" ht="12" customHeight="1" x14ac:dyDescent="0.25"/>
    <row r="8" spans="1:33" ht="1.5" customHeight="1" x14ac:dyDescent="0.25"/>
    <row r="9" spans="1:33" ht="11.25" customHeight="1" x14ac:dyDescent="0.25">
      <c r="C9" s="1424" t="s">
        <v>2099</v>
      </c>
      <c r="D9" s="1424"/>
      <c r="E9" s="1424"/>
      <c r="I9" s="1424" t="s">
        <v>2100</v>
      </c>
      <c r="J9" s="1424"/>
      <c r="K9" s="1424"/>
      <c r="L9" s="1424"/>
      <c r="M9" s="1424"/>
      <c r="S9" s="1420" t="s">
        <v>2101</v>
      </c>
      <c r="T9" s="1420"/>
      <c r="U9" s="1420"/>
      <c r="V9" s="1420"/>
      <c r="AA9" s="1420" t="s">
        <v>2102</v>
      </c>
      <c r="AB9" s="1420"/>
      <c r="AC9" s="1420"/>
      <c r="AF9" s="1420" t="s">
        <v>2103</v>
      </c>
      <c r="AG9" s="1420"/>
    </row>
    <row r="10" spans="1:33" ht="0.75" customHeight="1" x14ac:dyDescent="0.25"/>
    <row r="11" spans="1:33" ht="13.5" customHeight="1" x14ac:dyDescent="0.25">
      <c r="C11" s="182" t="s">
        <v>1986</v>
      </c>
      <c r="E11" s="1511">
        <v>2</v>
      </c>
      <c r="F11" s="1511"/>
      <c r="H11" s="1506" t="s">
        <v>6230</v>
      </c>
      <c r="I11" s="1506"/>
      <c r="J11" s="1506"/>
      <c r="K11" s="1506"/>
      <c r="L11" s="1506"/>
      <c r="M11" s="1506"/>
      <c r="N11" s="1506"/>
      <c r="O11" s="1506"/>
      <c r="P11" s="1506"/>
      <c r="Q11" s="1506"/>
    </row>
    <row r="12" spans="1:33" ht="12" customHeight="1" x14ac:dyDescent="0.25">
      <c r="C12" s="182" t="s">
        <v>458</v>
      </c>
      <c r="E12" s="1511">
        <v>8</v>
      </c>
      <c r="F12" s="1511"/>
      <c r="H12" s="1506" t="s">
        <v>11785</v>
      </c>
      <c r="I12" s="1506"/>
      <c r="J12" s="1506"/>
      <c r="K12" s="1506"/>
      <c r="L12" s="1506"/>
      <c r="M12" s="1506"/>
      <c r="N12" s="1506"/>
      <c r="O12" s="1506"/>
      <c r="P12" s="1506"/>
      <c r="Q12" s="1506"/>
    </row>
    <row r="13" spans="1:33" ht="1.5" customHeight="1" x14ac:dyDescent="0.25"/>
    <row r="14" spans="1:33" ht="10.5" customHeight="1" x14ac:dyDescent="0.25">
      <c r="C14" s="1506" t="s">
        <v>2104</v>
      </c>
      <c r="D14" s="1506"/>
      <c r="E14" s="1506"/>
      <c r="F14" s="1506"/>
      <c r="G14" s="1506"/>
      <c r="H14" s="1506"/>
      <c r="I14" s="1510" t="s">
        <v>2105</v>
      </c>
      <c r="J14" s="1510"/>
      <c r="K14" s="1510"/>
      <c r="L14" s="1510"/>
      <c r="M14" s="1510"/>
      <c r="N14" s="1510"/>
      <c r="O14" s="1510"/>
      <c r="P14" s="1510"/>
      <c r="Q14" s="1510"/>
      <c r="AF14" s="1507">
        <v>1</v>
      </c>
      <c r="AG14" s="1507"/>
    </row>
    <row r="15" spans="1:33" ht="0.75" customHeight="1" x14ac:dyDescent="0.25"/>
    <row r="16" spans="1:33" ht="11.25" customHeight="1" x14ac:dyDescent="0.25">
      <c r="C16" s="1506" t="s">
        <v>2109</v>
      </c>
      <c r="D16" s="1506"/>
      <c r="E16" s="1506"/>
      <c r="F16" s="1506"/>
      <c r="G16" s="1506"/>
      <c r="H16" s="1506"/>
      <c r="I16" s="1510" t="s">
        <v>94</v>
      </c>
      <c r="J16" s="1510"/>
      <c r="K16" s="1510"/>
      <c r="L16" s="1510"/>
      <c r="M16" s="1510"/>
      <c r="N16" s="1510"/>
      <c r="O16" s="1510"/>
      <c r="P16" s="1510"/>
      <c r="Q16" s="1510"/>
      <c r="Z16" s="1507">
        <v>1</v>
      </c>
      <c r="AA16" s="1507"/>
      <c r="AB16" s="1507"/>
      <c r="AC16" s="1507"/>
    </row>
    <row r="17" spans="3:33" ht="1.5" customHeight="1" x14ac:dyDescent="0.25"/>
    <row r="18" spans="3:33" ht="11.25" customHeight="1" x14ac:dyDescent="0.25">
      <c r="C18" s="1506" t="s">
        <v>2111</v>
      </c>
      <c r="D18" s="1506"/>
      <c r="E18" s="1506"/>
      <c r="F18" s="1506"/>
      <c r="G18" s="1506"/>
      <c r="H18" s="1506"/>
      <c r="I18" s="1510" t="s">
        <v>2108</v>
      </c>
      <c r="J18" s="1510"/>
      <c r="K18" s="1510"/>
      <c r="L18" s="1510"/>
      <c r="M18" s="1510"/>
      <c r="N18" s="1510"/>
      <c r="O18" s="1510"/>
      <c r="P18" s="1510"/>
      <c r="Q18" s="1510"/>
      <c r="S18" s="1507">
        <v>1</v>
      </c>
      <c r="T18" s="1507"/>
      <c r="U18" s="1507"/>
      <c r="V18" s="1507"/>
    </row>
    <row r="19" spans="3:33" ht="9" customHeight="1" x14ac:dyDescent="0.25"/>
    <row r="20" spans="3:33" ht="1.5" customHeight="1" x14ac:dyDescent="0.25"/>
    <row r="21" spans="3:33" ht="10.5" customHeight="1" x14ac:dyDescent="0.25">
      <c r="C21" s="1506" t="s">
        <v>2112</v>
      </c>
      <c r="D21" s="1506"/>
      <c r="E21" s="1506"/>
      <c r="F21" s="1506"/>
      <c r="G21" s="1506"/>
      <c r="H21" s="1506"/>
      <c r="I21" s="1510" t="s">
        <v>2113</v>
      </c>
      <c r="J21" s="1510"/>
      <c r="K21" s="1510"/>
      <c r="L21" s="1510"/>
      <c r="M21" s="1510"/>
      <c r="N21" s="1510"/>
      <c r="O21" s="1510"/>
      <c r="P21" s="1510"/>
      <c r="Q21" s="1510"/>
      <c r="AF21" s="1507">
        <v>1501</v>
      </c>
      <c r="AG21" s="1507"/>
    </row>
    <row r="22" spans="3:33" ht="0.75" customHeight="1" x14ac:dyDescent="0.25"/>
    <row r="23" spans="3:33" ht="11.25" customHeight="1" x14ac:dyDescent="0.25">
      <c r="C23" s="1506" t="s">
        <v>2114</v>
      </c>
      <c r="D23" s="1506"/>
      <c r="E23" s="1506"/>
      <c r="F23" s="1506"/>
      <c r="G23" s="1506"/>
      <c r="H23" s="1506"/>
      <c r="I23" s="1510" t="s">
        <v>95</v>
      </c>
      <c r="J23" s="1510"/>
      <c r="K23" s="1510"/>
      <c r="L23" s="1510"/>
      <c r="M23" s="1510"/>
      <c r="N23" s="1510"/>
      <c r="O23" s="1510"/>
      <c r="P23" s="1510"/>
      <c r="Q23" s="1510"/>
      <c r="Z23" s="1507">
        <v>1501</v>
      </c>
      <c r="AA23" s="1507"/>
      <c r="AB23" s="1507"/>
      <c r="AC23" s="1507"/>
    </row>
    <row r="24" spans="3:33" ht="1.5" customHeight="1" x14ac:dyDescent="0.25"/>
    <row r="25" spans="3:33" ht="11.25" customHeight="1" x14ac:dyDescent="0.25">
      <c r="C25" s="1506" t="s">
        <v>2117</v>
      </c>
      <c r="D25" s="1506"/>
      <c r="E25" s="1506"/>
      <c r="F25" s="1506"/>
      <c r="G25" s="1506"/>
      <c r="H25" s="1506"/>
      <c r="I25" s="1510" t="s">
        <v>2118</v>
      </c>
      <c r="J25" s="1510"/>
      <c r="K25" s="1510"/>
      <c r="L25" s="1510"/>
      <c r="M25" s="1510"/>
      <c r="N25" s="1510"/>
      <c r="O25" s="1510"/>
      <c r="P25" s="1510"/>
      <c r="Q25" s="1510"/>
      <c r="S25" s="1507">
        <v>1</v>
      </c>
      <c r="T25" s="1507"/>
      <c r="U25" s="1507"/>
      <c r="V25" s="1507"/>
    </row>
    <row r="26" spans="3:33" ht="1.5" customHeight="1" x14ac:dyDescent="0.25"/>
    <row r="27" spans="3:33" ht="11.25" customHeight="1" x14ac:dyDescent="0.25">
      <c r="C27" s="1506" t="s">
        <v>2115</v>
      </c>
      <c r="D27" s="1506"/>
      <c r="E27" s="1506"/>
      <c r="F27" s="1506"/>
      <c r="G27" s="1506"/>
      <c r="H27" s="1506"/>
      <c r="I27" s="1510" t="s">
        <v>2108</v>
      </c>
      <c r="J27" s="1510"/>
      <c r="K27" s="1510"/>
      <c r="L27" s="1510"/>
      <c r="M27" s="1510"/>
      <c r="N27" s="1510"/>
      <c r="O27" s="1510"/>
      <c r="P27" s="1510"/>
      <c r="Q27" s="1510"/>
      <c r="S27" s="1507">
        <v>1500</v>
      </c>
      <c r="T27" s="1507"/>
      <c r="U27" s="1507"/>
      <c r="V27" s="1507"/>
    </row>
    <row r="28" spans="3:33" ht="9" customHeight="1" x14ac:dyDescent="0.25"/>
    <row r="29" spans="3:33" ht="4.5" customHeight="1" x14ac:dyDescent="0.25"/>
    <row r="30" spans="3:33" ht="12" customHeight="1" x14ac:dyDescent="0.25">
      <c r="P30" s="1420" t="s">
        <v>2116</v>
      </c>
      <c r="Q30" s="1420"/>
      <c r="R30" s="1420"/>
      <c r="S30" s="1420"/>
      <c r="T30" s="1420"/>
      <c r="U30" s="1420"/>
      <c r="V30" s="1420"/>
      <c r="W30" s="1420"/>
      <c r="AE30" s="1425">
        <v>1502</v>
      </c>
      <c r="AF30" s="1425"/>
      <c r="AG30" s="1425"/>
    </row>
    <row r="31" spans="3:33" ht="6.75" customHeight="1" x14ac:dyDescent="0.25"/>
    <row r="32" spans="3:33" ht="5.25" customHeight="1" x14ac:dyDescent="0.25"/>
    <row r="33" spans="11:33" ht="10.5" customHeight="1" x14ac:dyDescent="0.25">
      <c r="P33" s="1420" t="s">
        <v>2121</v>
      </c>
      <c r="Q33" s="1420"/>
      <c r="R33" s="1420"/>
      <c r="S33" s="1420"/>
      <c r="T33" s="1420"/>
      <c r="U33" s="1420"/>
      <c r="V33" s="1420"/>
      <c r="W33" s="1420"/>
      <c r="AE33" s="1425">
        <v>1502</v>
      </c>
      <c r="AF33" s="1425"/>
      <c r="AG33" s="1425"/>
    </row>
    <row r="34" spans="11:33" ht="6" customHeight="1" x14ac:dyDescent="0.25">
      <c r="P34" s="1420"/>
      <c r="Q34" s="1420"/>
      <c r="R34" s="1420"/>
      <c r="S34" s="1420"/>
      <c r="T34" s="1420"/>
      <c r="U34" s="1420"/>
      <c r="V34" s="1420"/>
      <c r="W34" s="1420"/>
    </row>
    <row r="35" spans="11:33" ht="7.5" customHeight="1" x14ac:dyDescent="0.25"/>
    <row r="36" spans="11:33" ht="10.5" customHeight="1" x14ac:dyDescent="0.25">
      <c r="P36" s="1420" t="s">
        <v>0</v>
      </c>
      <c r="Q36" s="1420"/>
      <c r="R36" s="1420"/>
      <c r="S36" s="1420"/>
      <c r="T36" s="1420"/>
      <c r="U36" s="1420"/>
      <c r="V36" s="1420"/>
      <c r="W36" s="1420"/>
      <c r="AE36" s="1425">
        <v>1502</v>
      </c>
      <c r="AF36" s="1425"/>
      <c r="AG36" s="1425"/>
    </row>
    <row r="37" spans="11:33" ht="6.75" customHeight="1" x14ac:dyDescent="0.25">
      <c r="P37" s="1420"/>
      <c r="Q37" s="1420"/>
      <c r="R37" s="1420"/>
      <c r="S37" s="1420"/>
      <c r="T37" s="1420"/>
      <c r="U37" s="1420"/>
      <c r="V37" s="1420"/>
      <c r="W37" s="1420"/>
    </row>
    <row r="38" spans="11:33" ht="3.75" customHeight="1" x14ac:dyDescent="0.25"/>
    <row r="39" spans="11:33" ht="10.5" customHeight="1" x14ac:dyDescent="0.25">
      <c r="Q39" s="1509" t="s">
        <v>2122</v>
      </c>
      <c r="R39" s="1509"/>
      <c r="S39" s="1509"/>
    </row>
    <row r="40" spans="11:33" ht="20.25" customHeight="1" x14ac:dyDescent="0.25"/>
    <row r="41" spans="11:33" ht="15" customHeight="1" x14ac:dyDescent="0.25">
      <c r="K41" s="1508" t="s">
        <v>2074</v>
      </c>
      <c r="L41" s="1508"/>
      <c r="M41" s="1508"/>
      <c r="N41" s="1508"/>
      <c r="O41" s="1508"/>
      <c r="P41" s="1508"/>
      <c r="Q41" s="1508"/>
      <c r="R41" s="1508"/>
      <c r="S41" s="1508"/>
      <c r="T41" s="1508"/>
      <c r="X41" s="1425">
        <v>1</v>
      </c>
      <c r="Y41" s="1425"/>
      <c r="Z41" s="1425"/>
      <c r="AA41" s="1425"/>
      <c r="AB41" s="1425"/>
      <c r="AC41" s="1425"/>
    </row>
    <row r="42" spans="11:33" ht="14.25" customHeight="1" x14ac:dyDescent="0.25">
      <c r="K42" s="1506" t="s">
        <v>2123</v>
      </c>
      <c r="L42" s="1506"/>
      <c r="M42" s="1506"/>
      <c r="N42" s="1506"/>
      <c r="O42" s="1506"/>
      <c r="P42" s="1506"/>
      <c r="Q42" s="1506"/>
      <c r="R42" s="1506"/>
      <c r="S42" s="1506"/>
      <c r="T42" s="1506"/>
      <c r="U42" s="1506"/>
      <c r="X42" s="1507">
        <v>0</v>
      </c>
      <c r="Y42" s="1507"/>
      <c r="Z42" s="1507"/>
      <c r="AA42" s="1507"/>
      <c r="AB42" s="1507"/>
      <c r="AC42" s="1507"/>
    </row>
    <row r="43" spans="11:33" ht="14.25" customHeight="1" x14ac:dyDescent="0.25">
      <c r="K43" s="1506" t="s">
        <v>175</v>
      </c>
      <c r="L43" s="1506"/>
      <c r="M43" s="1506"/>
      <c r="N43" s="1506"/>
      <c r="O43" s="1506"/>
      <c r="P43" s="1506"/>
      <c r="Q43" s="1506"/>
      <c r="R43" s="1506"/>
      <c r="S43" s="1506"/>
      <c r="T43" s="1506"/>
      <c r="U43" s="1506"/>
      <c r="X43" s="1507">
        <v>0</v>
      </c>
      <c r="Y43" s="1507"/>
      <c r="Z43" s="1507"/>
      <c r="AA43" s="1507"/>
      <c r="AB43" s="1507"/>
      <c r="AC43" s="1507"/>
    </row>
    <row r="44" spans="11:33" ht="10.5" customHeight="1" x14ac:dyDescent="0.25">
      <c r="K44" s="1506" t="s">
        <v>94</v>
      </c>
      <c r="L44" s="1506"/>
      <c r="M44" s="1506"/>
      <c r="N44" s="1506"/>
      <c r="O44" s="1506"/>
      <c r="P44" s="1506"/>
      <c r="Q44" s="1506"/>
      <c r="R44" s="1506"/>
      <c r="S44" s="1506"/>
      <c r="T44" s="1506"/>
      <c r="U44" s="1506"/>
      <c r="X44" s="1507">
        <v>1</v>
      </c>
      <c r="Y44" s="1507"/>
      <c r="Z44" s="1507"/>
      <c r="AA44" s="1507"/>
      <c r="AB44" s="1507"/>
      <c r="AC44" s="1507"/>
    </row>
    <row r="45" spans="11:33" ht="3" customHeight="1" x14ac:dyDescent="0.25"/>
    <row r="46" spans="11:33" ht="9" customHeight="1" x14ac:dyDescent="0.25"/>
    <row r="47" spans="11:33" ht="15" customHeight="1" x14ac:dyDescent="0.25">
      <c r="K47" s="1508" t="s">
        <v>2077</v>
      </c>
      <c r="L47" s="1508"/>
      <c r="M47" s="1508"/>
      <c r="N47" s="1508"/>
      <c r="O47" s="1508"/>
      <c r="P47" s="1508"/>
      <c r="Q47" s="1508"/>
      <c r="R47" s="1508"/>
      <c r="S47" s="1508"/>
      <c r="T47" s="1508"/>
      <c r="X47" s="1425">
        <v>1501</v>
      </c>
      <c r="Y47" s="1425"/>
      <c r="Z47" s="1425"/>
      <c r="AA47" s="1425"/>
      <c r="AB47" s="1425"/>
      <c r="AC47" s="1425"/>
    </row>
    <row r="48" spans="11:33" ht="14.25" customHeight="1" x14ac:dyDescent="0.25">
      <c r="K48" s="1506" t="s">
        <v>95</v>
      </c>
      <c r="L48" s="1506"/>
      <c r="M48" s="1506"/>
      <c r="N48" s="1506"/>
      <c r="O48" s="1506"/>
      <c r="P48" s="1506"/>
      <c r="Q48" s="1506"/>
      <c r="R48" s="1506"/>
      <c r="S48" s="1506"/>
      <c r="T48" s="1506"/>
      <c r="U48" s="1506"/>
      <c r="X48" s="1507">
        <v>1501</v>
      </c>
      <c r="Y48" s="1507"/>
      <c r="Z48" s="1507"/>
      <c r="AA48" s="1507"/>
      <c r="AB48" s="1507"/>
      <c r="AC48" s="1507"/>
    </row>
    <row r="49" spans="11:29" ht="14.25" customHeight="1" x14ac:dyDescent="0.25">
      <c r="K49" s="1506" t="s">
        <v>176</v>
      </c>
      <c r="L49" s="1506"/>
      <c r="M49" s="1506"/>
      <c r="N49" s="1506"/>
      <c r="O49" s="1506"/>
      <c r="P49" s="1506"/>
      <c r="Q49" s="1506"/>
      <c r="R49" s="1506"/>
      <c r="S49" s="1506"/>
      <c r="T49" s="1506"/>
      <c r="U49" s="1506"/>
      <c r="X49" s="1507">
        <v>0</v>
      </c>
      <c r="Y49" s="1507"/>
      <c r="Z49" s="1507"/>
      <c r="AA49" s="1507"/>
      <c r="AB49" s="1507"/>
      <c r="AC49" s="1507"/>
    </row>
    <row r="50" spans="11:29" ht="14.25" customHeight="1" x14ac:dyDescent="0.25">
      <c r="K50" s="1506" t="s">
        <v>96</v>
      </c>
      <c r="L50" s="1506"/>
      <c r="M50" s="1506"/>
      <c r="N50" s="1506"/>
      <c r="O50" s="1506"/>
      <c r="P50" s="1506"/>
      <c r="Q50" s="1506"/>
      <c r="R50" s="1506"/>
      <c r="S50" s="1506"/>
      <c r="T50" s="1506"/>
      <c r="U50" s="1506"/>
      <c r="X50" s="1507">
        <v>0</v>
      </c>
      <c r="Y50" s="1507"/>
      <c r="Z50" s="1507"/>
      <c r="AA50" s="1507"/>
      <c r="AB50" s="1507"/>
      <c r="AC50" s="1507"/>
    </row>
    <row r="51" spans="11:29" ht="10.5" customHeight="1" x14ac:dyDescent="0.25">
      <c r="K51" s="1506" t="s">
        <v>2080</v>
      </c>
      <c r="L51" s="1506"/>
      <c r="M51" s="1506"/>
      <c r="N51" s="1506"/>
      <c r="O51" s="1506"/>
      <c r="P51" s="1506"/>
      <c r="Q51" s="1506"/>
      <c r="R51" s="1506"/>
      <c r="S51" s="1506"/>
      <c r="T51" s="1506"/>
      <c r="U51" s="1506"/>
      <c r="X51" s="1507">
        <v>0</v>
      </c>
      <c r="Y51" s="1507"/>
      <c r="Z51" s="1507"/>
      <c r="AA51" s="1507"/>
      <c r="AB51" s="1507"/>
      <c r="AC51" s="1507"/>
    </row>
    <row r="52" spans="11:29" ht="3" customHeight="1" x14ac:dyDescent="0.25"/>
    <row r="53" spans="11:29" ht="9" customHeight="1" x14ac:dyDescent="0.25"/>
    <row r="54" spans="11:29" ht="15" customHeight="1" x14ac:dyDescent="0.25">
      <c r="K54" s="1508" t="s">
        <v>2124</v>
      </c>
      <c r="L54" s="1508"/>
      <c r="M54" s="1508"/>
      <c r="N54" s="1508"/>
      <c r="O54" s="1508"/>
      <c r="P54" s="1508"/>
      <c r="Q54" s="1508"/>
      <c r="R54" s="1508"/>
      <c r="S54" s="1508"/>
      <c r="T54" s="1508"/>
      <c r="X54" s="1425">
        <v>0</v>
      </c>
      <c r="Y54" s="1425"/>
      <c r="Z54" s="1425"/>
      <c r="AA54" s="1425"/>
      <c r="AB54" s="1425"/>
      <c r="AC54" s="1425"/>
    </row>
    <row r="55" spans="11:29" ht="10.5" customHeight="1" x14ac:dyDescent="0.25">
      <c r="K55" s="1506" t="s">
        <v>2123</v>
      </c>
      <c r="L55" s="1506"/>
      <c r="M55" s="1506"/>
      <c r="N55" s="1506"/>
      <c r="O55" s="1506"/>
      <c r="P55" s="1506"/>
      <c r="Q55" s="1506"/>
      <c r="R55" s="1506"/>
      <c r="S55" s="1506"/>
      <c r="T55" s="1506"/>
      <c r="U55" s="1506"/>
      <c r="X55" s="1507">
        <v>0</v>
      </c>
      <c r="Y55" s="1507"/>
      <c r="Z55" s="1507"/>
      <c r="AA55" s="1507"/>
      <c r="AB55" s="1507"/>
      <c r="AC55" s="1507"/>
    </row>
    <row r="56" spans="11:29" ht="3" customHeight="1" x14ac:dyDescent="0.25"/>
    <row r="57" spans="11:29" ht="9.75" customHeight="1" x14ac:dyDescent="0.25"/>
    <row r="58" spans="11:29" ht="10.5" customHeight="1" x14ac:dyDescent="0.25">
      <c r="K58" s="1424" t="s">
        <v>0</v>
      </c>
      <c r="L58" s="1424"/>
      <c r="X58" s="1425">
        <v>1502</v>
      </c>
      <c r="Y58" s="1425"/>
      <c r="Z58" s="1425"/>
      <c r="AA58" s="1425"/>
      <c r="AB58" s="1425"/>
      <c r="AC58" s="1425"/>
    </row>
    <row r="59" spans="11:29" ht="1.5" customHeight="1" x14ac:dyDescent="0.25"/>
    <row r="60" spans="11:29" ht="28.5" customHeight="1" x14ac:dyDescent="0.25"/>
    <row r="61" spans="11:29" ht="11.25" customHeight="1" x14ac:dyDescent="0.25"/>
    <row r="62" spans="11:29" ht="91.5" customHeight="1" x14ac:dyDescent="0.25"/>
    <row r="63" spans="11:29" ht="409.6" customHeight="1" x14ac:dyDescent="0.25"/>
    <row r="64" spans="11:29" ht="19.5" customHeight="1" x14ac:dyDescent="0.25"/>
  </sheetData>
  <mergeCells count="66">
    <mergeCell ref="K55:U55"/>
    <mergeCell ref="X55:AC55"/>
    <mergeCell ref="K58:L58"/>
    <mergeCell ref="X58:AC58"/>
    <mergeCell ref="K50:U50"/>
    <mergeCell ref="X50:AC50"/>
    <mergeCell ref="K51:U51"/>
    <mergeCell ref="X51:AC51"/>
    <mergeCell ref="K54:T54"/>
    <mergeCell ref="X54:AC54"/>
    <mergeCell ref="P33:W34"/>
    <mergeCell ref="AE33:AG33"/>
    <mergeCell ref="P36:W37"/>
    <mergeCell ref="AE36:AG36"/>
    <mergeCell ref="K43:U43"/>
    <mergeCell ref="X43:AC43"/>
    <mergeCell ref="Q39:S39"/>
    <mergeCell ref="C27:H27"/>
    <mergeCell ref="I27:Q27"/>
    <mergeCell ref="S27:V27"/>
    <mergeCell ref="P30:W30"/>
    <mergeCell ref="AE30:AG30"/>
    <mergeCell ref="A2:D2"/>
    <mergeCell ref="A1:AG1"/>
    <mergeCell ref="A3:AG3"/>
    <mergeCell ref="A4:AG4"/>
    <mergeCell ref="A5:AG5"/>
    <mergeCell ref="X49:AC49"/>
    <mergeCell ref="K48:U48"/>
    <mergeCell ref="X48:AC48"/>
    <mergeCell ref="K49:U49"/>
    <mergeCell ref="X41:AC41"/>
    <mergeCell ref="K42:U42"/>
    <mergeCell ref="X42:AC42"/>
    <mergeCell ref="K41:T41"/>
    <mergeCell ref="K44:U44"/>
    <mergeCell ref="X44:AC44"/>
    <mergeCell ref="K47:T47"/>
    <mergeCell ref="X47:AC47"/>
    <mergeCell ref="AF9:AG9"/>
    <mergeCell ref="E11:F11"/>
    <mergeCell ref="H11:Q11"/>
    <mergeCell ref="C16:H16"/>
    <mergeCell ref="I16:Q16"/>
    <mergeCell ref="Z16:AC16"/>
    <mergeCell ref="C9:E9"/>
    <mergeCell ref="I9:M9"/>
    <mergeCell ref="S9:V9"/>
    <mergeCell ref="AA9:AC9"/>
    <mergeCell ref="E12:F12"/>
    <mergeCell ref="H12:Q12"/>
    <mergeCell ref="C14:H14"/>
    <mergeCell ref="I14:Q14"/>
    <mergeCell ref="AF14:AG14"/>
    <mergeCell ref="C18:H18"/>
    <mergeCell ref="I18:Q18"/>
    <mergeCell ref="S18:V18"/>
    <mergeCell ref="C21:H21"/>
    <mergeCell ref="I21:Q21"/>
    <mergeCell ref="AF21:AG21"/>
    <mergeCell ref="C23:H23"/>
    <mergeCell ref="I23:Q23"/>
    <mergeCell ref="Z23:AC23"/>
    <mergeCell ref="C25:H25"/>
    <mergeCell ref="I25:Q25"/>
    <mergeCell ref="S25:V25"/>
  </mergeCells>
  <pageMargins left="0.51181102362204722" right="0.51181102362204722" top="0.78740157480314965" bottom="0.78740157480314965" header="0.31496062992125984" footer="0.31496062992125984"/>
  <pageSetup paperSize="9" scale="70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G7" sqref="G7"/>
    </sheetView>
  </sheetViews>
  <sheetFormatPr defaultColWidth="32" defaultRowHeight="12" x14ac:dyDescent="0.2"/>
  <cols>
    <col min="1" max="1" width="41.85546875" style="3" customWidth="1"/>
    <col min="2" max="2" width="18.140625" style="75" customWidth="1"/>
    <col min="3" max="3" width="15.140625" style="85" customWidth="1"/>
    <col min="4" max="4" width="15" style="3" customWidth="1"/>
    <col min="5" max="5" width="16.140625" style="3" customWidth="1"/>
    <col min="6" max="6" width="16.85546875" style="3" customWidth="1"/>
    <col min="7" max="7" width="17.140625" style="3" customWidth="1"/>
    <col min="8" max="18" width="13.7109375" style="3" customWidth="1"/>
    <col min="19" max="16384" width="32" style="3"/>
  </cols>
  <sheetData>
    <row r="1" spans="1:10" ht="18.75" x14ac:dyDescent="0.3">
      <c r="A1" s="1516" t="str">
        <f>'CADASTRO BASE RECEITA '!A$1</f>
        <v>PROPOSTA ORÇAMENTÁRIA PARA 2016</v>
      </c>
      <c r="B1" s="1517"/>
      <c r="C1" s="1517"/>
      <c r="D1" s="1517"/>
      <c r="E1" s="1517"/>
      <c r="F1" s="1517"/>
      <c r="G1" s="1517"/>
      <c r="H1" s="86"/>
      <c r="I1" s="86"/>
      <c r="J1" s="87"/>
    </row>
    <row r="2" spans="1:10" ht="15.75" x14ac:dyDescent="0.25">
      <c r="A2" s="1518"/>
      <c r="B2" s="1519"/>
      <c r="C2" s="1519"/>
      <c r="D2" s="1519"/>
      <c r="E2" s="1519"/>
      <c r="F2" s="1519"/>
      <c r="G2" s="1519"/>
      <c r="H2" s="86"/>
      <c r="I2" s="86"/>
      <c r="J2" s="87"/>
    </row>
    <row r="3" spans="1:10" ht="15.75" x14ac:dyDescent="0.25">
      <c r="A3" s="1520" t="s">
        <v>203</v>
      </c>
      <c r="B3" s="1521"/>
      <c r="C3" s="1521"/>
      <c r="D3" s="1521"/>
      <c r="E3" s="1521"/>
      <c r="F3" s="1521"/>
      <c r="G3" s="1521"/>
      <c r="H3" s="88"/>
      <c r="I3" s="88"/>
      <c r="J3" s="89"/>
    </row>
    <row r="4" spans="1:10" x14ac:dyDescent="0.2">
      <c r="A4" s="74"/>
      <c r="C4" s="3"/>
    </row>
    <row r="5" spans="1:10" ht="15.75" x14ac:dyDescent="0.25">
      <c r="A5" s="1520" t="s">
        <v>922</v>
      </c>
      <c r="B5" s="1521"/>
      <c r="C5" s="1521"/>
      <c r="D5" s="1521"/>
      <c r="E5" s="1521"/>
      <c r="F5" s="1521"/>
      <c r="G5" s="1521"/>
      <c r="H5" s="120"/>
      <c r="I5" s="120"/>
      <c r="J5" s="121"/>
    </row>
    <row r="6" spans="1:10" x14ac:dyDescent="0.2">
      <c r="A6" s="74"/>
      <c r="C6" s="3"/>
    </row>
    <row r="7" spans="1:10" ht="15" x14ac:dyDescent="0.25">
      <c r="A7" s="1515" t="s">
        <v>188</v>
      </c>
      <c r="B7" s="1060">
        <v>2013</v>
      </c>
      <c r="C7" s="1060">
        <f>B7+1</f>
        <v>2014</v>
      </c>
      <c r="D7" s="1060">
        <f>C7+1</f>
        <v>2015</v>
      </c>
      <c r="E7" s="1060">
        <f>D7+1</f>
        <v>2016</v>
      </c>
      <c r="F7" s="1060">
        <f>E7+1</f>
        <v>2017</v>
      </c>
      <c r="G7" s="1060">
        <f>F7+1</f>
        <v>2018</v>
      </c>
    </row>
    <row r="8" spans="1:10" ht="12.75" customHeight="1" x14ac:dyDescent="0.25">
      <c r="A8" s="1515"/>
      <c r="B8" s="1060" t="s">
        <v>189</v>
      </c>
      <c r="C8" s="1061" t="s">
        <v>189</v>
      </c>
      <c r="D8" s="1061" t="s">
        <v>190</v>
      </c>
      <c r="E8" s="1061" t="s">
        <v>191</v>
      </c>
      <c r="F8" s="1061" t="s">
        <v>191</v>
      </c>
      <c r="G8" s="1061" t="s">
        <v>191</v>
      </c>
    </row>
    <row r="9" spans="1:10" ht="22.9" customHeight="1" x14ac:dyDescent="0.25">
      <c r="A9" s="1062" t="s">
        <v>192</v>
      </c>
      <c r="B9" s="1063">
        <v>33262.620000000003</v>
      </c>
      <c r="C9" s="1063">
        <v>0</v>
      </c>
      <c r="D9" s="1063">
        <v>0</v>
      </c>
      <c r="E9" s="1064">
        <f>(D9*(1+[3]Parâmetros!E21)+[3]Projeções!G29-[3]Projeções!G47-[3]Projeções!G59)</f>
        <v>-4641411.9105599988</v>
      </c>
      <c r="F9" s="1064">
        <f>(E9*(1+[3]Parâmetros!F21)+[3]Projeções!H29-[3]Projeções!H47-[3]Projeções!H59)</f>
        <v>-9511181.2871195488</v>
      </c>
      <c r="G9" s="1064">
        <f>(F9*(1+[3]Parâmetros!G21)+[3]Projeções!I29-[3]Projeções!I47-[3]Projeções!I59)</f>
        <v>-14622978.201694109</v>
      </c>
    </row>
    <row r="10" spans="1:10" ht="14.25" x14ac:dyDescent="0.2">
      <c r="A10" s="1065" t="s">
        <v>193</v>
      </c>
      <c r="B10" s="1063">
        <v>1892277.05</v>
      </c>
      <c r="C10" s="1063">
        <v>119355.03</v>
      </c>
      <c r="D10" s="1063">
        <f>1613481.29-560796.46-7914.87</f>
        <v>1044769.9600000001</v>
      </c>
      <c r="E10" s="1066">
        <f>(B10+C10+D10)/3</f>
        <v>1018800.68</v>
      </c>
      <c r="F10" s="1066">
        <f>(C10+D10+E10)/3</f>
        <v>727641.89</v>
      </c>
      <c r="G10" s="1066">
        <f>(D10+E10+F10)/3</f>
        <v>930404.17666666675</v>
      </c>
    </row>
    <row r="11" spans="1:10" ht="22.9" customHeight="1" x14ac:dyDescent="0.25">
      <c r="A11" s="1062" t="s">
        <v>194</v>
      </c>
      <c r="B11" s="1066">
        <f t="shared" ref="B11:G11" si="0">IF(B9-B10&lt;0,0,B9-B10)</f>
        <v>0</v>
      </c>
      <c r="C11" s="1066">
        <f t="shared" si="0"/>
        <v>0</v>
      </c>
      <c r="D11" s="1066">
        <f t="shared" si="0"/>
        <v>0</v>
      </c>
      <c r="E11" s="1066">
        <f>IF(E9-E10&lt;0,0,E9-E10)</f>
        <v>0</v>
      </c>
      <c r="F11" s="1066">
        <f t="shared" si="0"/>
        <v>0</v>
      </c>
      <c r="G11" s="1066">
        <f t="shared" si="0"/>
        <v>0</v>
      </c>
    </row>
    <row r="12" spans="1:10" ht="22.9" customHeight="1" x14ac:dyDescent="0.25">
      <c r="A12" s="1062" t="s">
        <v>195</v>
      </c>
      <c r="B12" s="1066">
        <v>0</v>
      </c>
      <c r="C12" s="1066">
        <v>0</v>
      </c>
      <c r="D12" s="1066">
        <v>0</v>
      </c>
      <c r="E12" s="1066">
        <v>0</v>
      </c>
      <c r="F12" s="1066">
        <v>0</v>
      </c>
      <c r="G12" s="1066">
        <v>0</v>
      </c>
    </row>
    <row r="13" spans="1:10" ht="22.9" customHeight="1" x14ac:dyDescent="0.25">
      <c r="A13" s="1062" t="s">
        <v>196</v>
      </c>
      <c r="B13" s="1066">
        <f t="shared" ref="B13:G13" si="1">B11-B12</f>
        <v>0</v>
      </c>
      <c r="C13" s="1066">
        <f t="shared" si="1"/>
        <v>0</v>
      </c>
      <c r="D13" s="1066">
        <f t="shared" si="1"/>
        <v>0</v>
      </c>
      <c r="E13" s="1066">
        <f>E11-E12</f>
        <v>0</v>
      </c>
      <c r="F13" s="1066">
        <f t="shared" si="1"/>
        <v>0</v>
      </c>
      <c r="G13" s="1066">
        <f t="shared" si="1"/>
        <v>0</v>
      </c>
    </row>
    <row r="14" spans="1:10" s="76" customFormat="1" ht="22.15" customHeight="1" x14ac:dyDescent="0.25">
      <c r="A14" s="1062" t="s">
        <v>197</v>
      </c>
      <c r="B14" s="1063"/>
      <c r="C14" s="1066">
        <f>C13-B13</f>
        <v>0</v>
      </c>
      <c r="D14" s="1066">
        <f>D13-C13</f>
        <v>0</v>
      </c>
      <c r="E14" s="1066">
        <f>E13-D13</f>
        <v>0</v>
      </c>
      <c r="F14" s="1066">
        <f>F13-E13</f>
        <v>0</v>
      </c>
      <c r="G14" s="1066">
        <f>G13-F13</f>
        <v>0</v>
      </c>
    </row>
    <row r="15" spans="1:10" s="79" customFormat="1" ht="15" x14ac:dyDescent="0.25">
      <c r="A15" s="77"/>
      <c r="B15" s="78"/>
      <c r="C15" s="78"/>
      <c r="D15" s="78"/>
      <c r="E15" s="78"/>
      <c r="F15" s="78"/>
      <c r="G15" s="78"/>
    </row>
    <row r="16" spans="1:10" ht="15" x14ac:dyDescent="0.25">
      <c r="A16" s="80" t="s">
        <v>202</v>
      </c>
      <c r="B16" s="1067"/>
      <c r="C16" s="81"/>
      <c r="D16" s="81"/>
      <c r="E16" s="81"/>
      <c r="F16" s="81"/>
      <c r="G16" s="82" t="s">
        <v>198</v>
      </c>
    </row>
    <row r="17" spans="1:7" ht="15" x14ac:dyDescent="0.25">
      <c r="A17" s="1515" t="s">
        <v>199</v>
      </c>
      <c r="B17" s="1060">
        <v>2013</v>
      </c>
      <c r="C17" s="1060">
        <f>B17+1</f>
        <v>2014</v>
      </c>
      <c r="D17" s="1060">
        <f>C17+1</f>
        <v>2015</v>
      </c>
      <c r="E17" s="1060">
        <f>D17+1</f>
        <v>2016</v>
      </c>
      <c r="F17" s="1060">
        <f>E17+1</f>
        <v>2017</v>
      </c>
      <c r="G17" s="1060">
        <f>F17+1</f>
        <v>2018</v>
      </c>
    </row>
    <row r="18" spans="1:7" ht="15" x14ac:dyDescent="0.25">
      <c r="A18" s="1515"/>
      <c r="B18" s="1060" t="s">
        <v>200</v>
      </c>
      <c r="C18" s="1061" t="s">
        <v>200</v>
      </c>
      <c r="D18" s="1061" t="s">
        <v>190</v>
      </c>
      <c r="E18" s="1061" t="s">
        <v>191</v>
      </c>
      <c r="F18" s="1061" t="s">
        <v>191</v>
      </c>
      <c r="G18" s="1061" t="s">
        <v>191</v>
      </c>
    </row>
    <row r="19" spans="1:7" s="83" customFormat="1" ht="15" x14ac:dyDescent="0.25">
      <c r="A19" s="1068" t="s">
        <v>923</v>
      </c>
      <c r="B19" s="1069">
        <f>[3]Plano!D23</f>
        <v>0</v>
      </c>
      <c r="C19" s="1069">
        <f>[3]Plano!E23</f>
        <v>0</v>
      </c>
      <c r="D19" s="1069">
        <f>[3]Plano!F23</f>
        <v>0</v>
      </c>
      <c r="E19" s="1070"/>
      <c r="F19" s="1070"/>
      <c r="G19" s="1070"/>
    </row>
    <row r="20" spans="1:7" ht="15" x14ac:dyDescent="0.25">
      <c r="A20" s="1062" t="s">
        <v>924</v>
      </c>
      <c r="B20" s="1064">
        <f>[3]Plano!D39</f>
        <v>0</v>
      </c>
      <c r="C20" s="1064">
        <f>[3]Plano!E39</f>
        <v>0</v>
      </c>
      <c r="D20" s="1064">
        <v>0</v>
      </c>
      <c r="E20" s="1064">
        <f>[3]Projeções!G46</f>
        <v>0</v>
      </c>
      <c r="F20" s="1064">
        <f>[3]Projeções!H46</f>
        <v>0</v>
      </c>
      <c r="G20" s="1064">
        <f>[3]Projeções!I46</f>
        <v>0</v>
      </c>
    </row>
    <row r="21" spans="1:7" ht="15" x14ac:dyDescent="0.25">
      <c r="A21" s="1062" t="s">
        <v>925</v>
      </c>
      <c r="B21" s="1064">
        <f>[3]Plano!D52</f>
        <v>0</v>
      </c>
      <c r="C21" s="1064">
        <f>[3]Plano!E52</f>
        <v>0</v>
      </c>
      <c r="D21" s="1064">
        <f>[3]Plano!F52</f>
        <v>1860874.6799999978</v>
      </c>
      <c r="E21" s="1064">
        <f>[3]Projeções!G59</f>
        <v>0</v>
      </c>
      <c r="F21" s="1064">
        <f>[3]Projeções!H59</f>
        <v>0</v>
      </c>
      <c r="G21" s="1064">
        <f>[3]Projeções!I59</f>
        <v>0</v>
      </c>
    </row>
    <row r="22" spans="1:7" ht="15.75" hidden="1" customHeight="1" thickTop="1" x14ac:dyDescent="0.2">
      <c r="A22" s="1071" t="s">
        <v>201</v>
      </c>
      <c r="B22" s="1072"/>
      <c r="C22" s="1072"/>
      <c r="D22" s="1072"/>
      <c r="E22" s="1072"/>
      <c r="F22" s="1072"/>
      <c r="G22" s="1072"/>
    </row>
    <row r="23" spans="1:7" ht="14.25" x14ac:dyDescent="0.2">
      <c r="A23" s="1073"/>
      <c r="B23" s="1072"/>
      <c r="C23" s="1072"/>
      <c r="D23" s="1072"/>
      <c r="E23" s="1072"/>
      <c r="F23" s="1072"/>
      <c r="G23" s="1072"/>
    </row>
    <row r="24" spans="1:7" x14ac:dyDescent="0.2">
      <c r="A24" s="74"/>
      <c r="C24" s="3"/>
    </row>
    <row r="25" spans="1:7" x14ac:dyDescent="0.2">
      <c r="A25" s="74"/>
      <c r="C25" s="3"/>
    </row>
    <row r="26" spans="1:7" x14ac:dyDescent="0.2">
      <c r="A26" s="74"/>
      <c r="C26" s="3"/>
    </row>
    <row r="27" spans="1:7" x14ac:dyDescent="0.2">
      <c r="A27" s="74"/>
      <c r="C27" s="3"/>
    </row>
    <row r="28" spans="1:7" x14ac:dyDescent="0.2">
      <c r="A28" s="74"/>
      <c r="C28" s="3"/>
    </row>
    <row r="29" spans="1:7" x14ac:dyDescent="0.2">
      <c r="A29" s="74"/>
      <c r="C29" s="3"/>
    </row>
    <row r="30" spans="1:7" x14ac:dyDescent="0.2">
      <c r="A30" s="84"/>
    </row>
    <row r="31" spans="1:7" x14ac:dyDescent="0.2">
      <c r="A31" s="84"/>
    </row>
    <row r="32" spans="1:7" x14ac:dyDescent="0.2">
      <c r="A32" s="84"/>
    </row>
    <row r="33" spans="1:1" x14ac:dyDescent="0.2">
      <c r="A33" s="84"/>
    </row>
    <row r="34" spans="1:1" x14ac:dyDescent="0.2">
      <c r="A34" s="84"/>
    </row>
    <row r="35" spans="1:1" x14ac:dyDescent="0.2">
      <c r="A35" s="84"/>
    </row>
    <row r="36" spans="1:1" x14ac:dyDescent="0.2">
      <c r="A36" s="84"/>
    </row>
    <row r="37" spans="1:1" x14ac:dyDescent="0.2">
      <c r="A37" s="84"/>
    </row>
    <row r="38" spans="1:1" x14ac:dyDescent="0.2">
      <c r="A38" s="84"/>
    </row>
    <row r="39" spans="1:1" x14ac:dyDescent="0.2">
      <c r="A39" s="84"/>
    </row>
    <row r="40" spans="1:1" x14ac:dyDescent="0.2">
      <c r="A40" s="84"/>
    </row>
    <row r="41" spans="1:1" x14ac:dyDescent="0.2">
      <c r="A41" s="84"/>
    </row>
    <row r="42" spans="1:1" x14ac:dyDescent="0.2">
      <c r="A42" s="84"/>
    </row>
    <row r="43" spans="1:1" x14ac:dyDescent="0.2">
      <c r="A43" s="84"/>
    </row>
  </sheetData>
  <mergeCells count="6">
    <mergeCell ref="A17:A18"/>
    <mergeCell ref="A1:G1"/>
    <mergeCell ref="A2:G2"/>
    <mergeCell ref="A3:G3"/>
    <mergeCell ref="A5:G5"/>
    <mergeCell ref="A7:A8"/>
  </mergeCells>
  <phoneticPr fontId="46" type="noConversion"/>
  <pageMargins left="0.51181102362204722" right="0.51181102362204722" top="0.78740157480314965" bottom="0.78740157480314965" header="0.31496062992125984" footer="0.31496062992125984"/>
  <pageSetup paperSize="9" scale="95" orientation="landscape" verticalDpi="7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view="pageLayout" zoomScaleNormal="75" workbookViewId="0">
      <selection activeCell="A4" sqref="A4:H4"/>
    </sheetView>
  </sheetViews>
  <sheetFormatPr defaultRowHeight="15" x14ac:dyDescent="0.25"/>
  <cols>
    <col min="1" max="1" width="35.85546875" customWidth="1"/>
    <col min="2" max="2" width="17.85546875" customWidth="1"/>
    <col min="3" max="4" width="17.28515625" customWidth="1"/>
    <col min="5" max="5" width="12.42578125" customWidth="1"/>
    <col min="6" max="6" width="17.5703125" customWidth="1"/>
    <col min="7" max="7" width="14.85546875" customWidth="1"/>
    <col min="8" max="8" width="13.85546875" customWidth="1"/>
    <col min="9" max="9" width="17.7109375" customWidth="1"/>
  </cols>
  <sheetData>
    <row r="1" spans="1:9" s="11" customFormat="1" ht="21" x14ac:dyDescent="0.35">
      <c r="A1" s="1253" t="str">
        <f>'CADASTRO BASE RECEITA '!A1</f>
        <v>PROPOSTA ORÇAMENTÁRIA PARA 2016</v>
      </c>
      <c r="B1" s="1253"/>
      <c r="C1" s="1253"/>
      <c r="D1" s="1253"/>
      <c r="E1" s="1253"/>
      <c r="F1" s="1253"/>
      <c r="G1" s="1253"/>
      <c r="H1" s="1253"/>
      <c r="I1" s="10"/>
    </row>
    <row r="2" spans="1:9" s="11" customFormat="1" ht="21" x14ac:dyDescent="0.35">
      <c r="A2" s="8"/>
      <c r="B2" s="9"/>
      <c r="C2" s="10"/>
      <c r="D2" s="10"/>
      <c r="E2" s="10"/>
      <c r="F2" s="10"/>
      <c r="G2" s="10"/>
      <c r="H2" s="10"/>
      <c r="I2" s="10"/>
    </row>
    <row r="3" spans="1:9" ht="15.75" x14ac:dyDescent="0.25">
      <c r="A3" s="1254" t="s">
        <v>16</v>
      </c>
      <c r="B3" s="1254"/>
      <c r="C3" s="1254"/>
      <c r="D3" s="1254"/>
      <c r="E3" s="1254"/>
      <c r="F3" s="1254"/>
      <c r="G3" s="1254"/>
      <c r="H3" s="1254"/>
      <c r="I3" s="103"/>
    </row>
    <row r="4" spans="1:9" ht="15.75" x14ac:dyDescent="0.25">
      <c r="A4" s="1254" t="s">
        <v>2239</v>
      </c>
      <c r="B4" s="1254"/>
      <c r="C4" s="1254"/>
      <c r="D4" s="1254"/>
      <c r="E4" s="1254"/>
      <c r="F4" s="1254"/>
      <c r="G4" s="1254"/>
      <c r="H4" s="1254"/>
      <c r="I4" s="103"/>
    </row>
    <row r="6" spans="1:9" ht="15.75" x14ac:dyDescent="0.25">
      <c r="A6" s="1257" t="s">
        <v>234</v>
      </c>
      <c r="B6" s="1257">
        <v>2012</v>
      </c>
      <c r="C6" s="1257">
        <v>2013</v>
      </c>
      <c r="D6" s="1257">
        <v>2014</v>
      </c>
      <c r="E6" s="1257" t="s">
        <v>235</v>
      </c>
      <c r="F6" s="342">
        <v>2015</v>
      </c>
      <c r="G6" s="1257" t="s">
        <v>235</v>
      </c>
      <c r="H6" s="342" t="s">
        <v>236</v>
      </c>
      <c r="I6" s="270"/>
    </row>
    <row r="7" spans="1:9" ht="15.75" x14ac:dyDescent="0.25">
      <c r="A7" s="1257"/>
      <c r="B7" s="1257"/>
      <c r="C7" s="1257"/>
      <c r="D7" s="1257"/>
      <c r="E7" s="1257"/>
      <c r="F7" s="342" t="s">
        <v>213</v>
      </c>
      <c r="G7" s="1257"/>
      <c r="H7" s="342" t="s">
        <v>235</v>
      </c>
      <c r="I7" s="270"/>
    </row>
    <row r="8" spans="1:9" s="1" customFormat="1" ht="15.75" x14ac:dyDescent="0.25">
      <c r="A8" s="340" t="s">
        <v>246</v>
      </c>
      <c r="B8" s="315">
        <f>'CADASTRO BASE RECEITA '!B52</f>
        <v>12560.82</v>
      </c>
      <c r="C8" s="315">
        <f>'CADASTRO BASE RECEITA '!C52</f>
        <v>9995.35</v>
      </c>
      <c r="D8" s="315">
        <f>'CADASTRO BASE RECEITA '!D52</f>
        <v>22670.46</v>
      </c>
      <c r="E8" s="316">
        <f>(((C8-B8)/B8)+(D8-C8)/C8)/2</f>
        <v>0.53192841779761268</v>
      </c>
      <c r="F8" s="315">
        <f>'CADASTRO BASE RECEITA '!F52</f>
        <v>48711.555</v>
      </c>
      <c r="G8" s="316">
        <f>(((C8-B8)/B8)+((D8-C8)/C8)+((F8-D8)/D8))/3</f>
        <v>0.73751214630681117</v>
      </c>
      <c r="H8" s="317">
        <f t="shared" ref="H8:H15" si="0">(G8+E8)/2</f>
        <v>0.63472028205221198</v>
      </c>
      <c r="I8" s="271"/>
    </row>
    <row r="9" spans="1:9" s="1" customFormat="1" ht="15.75" x14ac:dyDescent="0.25">
      <c r="A9" s="340" t="s">
        <v>247</v>
      </c>
      <c r="B9" s="315">
        <f>'CADASTRO BASE RECEITA '!B55</f>
        <v>63275.17</v>
      </c>
      <c r="C9" s="315">
        <f>'CADASTRO BASE RECEITA '!C55</f>
        <v>154782.79</v>
      </c>
      <c r="D9" s="315">
        <f>'CADASTRO BASE RECEITA '!D55</f>
        <v>183536.29</v>
      </c>
      <c r="E9" s="316">
        <f t="shared" ref="E9:E16" si="1">(((C9-B9)/B9)+(D9-C9)/C9)/2</f>
        <v>0.81597603278968933</v>
      </c>
      <c r="F9" s="315">
        <f>'CADASTRO BASE RECEITA '!F55</f>
        <v>107553.85500000001</v>
      </c>
      <c r="G9" s="316">
        <f t="shared" ref="G9:G17" si="2">(((C9-B9)/B9)+((D9-C9)/C9)+((F9-D9)/D9))/3</f>
        <v>0.40598690786488034</v>
      </c>
      <c r="H9" s="317">
        <f t="shared" si="0"/>
        <v>0.61098147032728489</v>
      </c>
      <c r="I9" s="271"/>
    </row>
    <row r="10" spans="1:9" s="1" customFormat="1" ht="15.75" x14ac:dyDescent="0.25">
      <c r="A10" s="341" t="s">
        <v>1940</v>
      </c>
      <c r="B10" s="315">
        <f>'CADASTRO BASE RECEITA '!B53</f>
        <v>120916.65</v>
      </c>
      <c r="C10" s="315">
        <f>'CADASTRO BASE RECEITA '!C53</f>
        <v>176493.03</v>
      </c>
      <c r="D10" s="315">
        <f>'CADASTRO BASE RECEITA '!D53</f>
        <v>188072.3</v>
      </c>
      <c r="E10" s="316">
        <f t="shared" si="1"/>
        <v>0.26261652773308031</v>
      </c>
      <c r="F10" s="315">
        <f>'CADASTRO BASE RECEITA '!F53</f>
        <v>173469.85500000001</v>
      </c>
      <c r="G10" s="316">
        <f t="shared" si="2"/>
        <v>0.14919677836227241</v>
      </c>
      <c r="H10" s="317">
        <f t="shared" si="0"/>
        <v>0.20590665304767636</v>
      </c>
      <c r="I10" s="271"/>
    </row>
    <row r="11" spans="1:9" s="1" customFormat="1" ht="15.75" x14ac:dyDescent="0.25">
      <c r="A11" s="341" t="s">
        <v>1941</v>
      </c>
      <c r="B11" s="315">
        <f>'CADASTRO BASE RECEITA '!B54</f>
        <v>26122.93</v>
      </c>
      <c r="C11" s="315">
        <f>'CADASTRO BASE RECEITA '!C54</f>
        <v>9920.2900000000009</v>
      </c>
      <c r="D11" s="315">
        <f>'CADASTRO BASE RECEITA '!D54</f>
        <v>24324.74</v>
      </c>
      <c r="E11" s="316">
        <f t="shared" si="1"/>
        <v>0.41588657627236081</v>
      </c>
      <c r="F11" s="315">
        <f>'CADASTRO BASE RECEITA '!F54</f>
        <v>25403.399999999998</v>
      </c>
      <c r="G11" s="316">
        <f t="shared" si="2"/>
        <v>0.29203910195450788</v>
      </c>
      <c r="H11" s="317">
        <f t="shared" si="0"/>
        <v>0.35396283911343435</v>
      </c>
      <c r="I11" s="271"/>
    </row>
    <row r="12" spans="1:9" s="1" customFormat="1" ht="15.75" x14ac:dyDescent="0.25">
      <c r="A12" s="340" t="s">
        <v>248</v>
      </c>
      <c r="B12" s="315">
        <f>'CADASTRO BASE RECEITA '!B56</f>
        <v>44011.67</v>
      </c>
      <c r="C12" s="315">
        <f>'CADASTRO BASE RECEITA '!C56</f>
        <v>80669.97</v>
      </c>
      <c r="D12" s="315">
        <f>'CADASTRO BASE RECEITA '!D56</f>
        <v>46829.8</v>
      </c>
      <c r="E12" s="316">
        <f t="shared" si="1"/>
        <v>0.20671660334880088</v>
      </c>
      <c r="F12" s="315">
        <f>'CADASTRO BASE RECEITA '!F56</f>
        <v>40205.805</v>
      </c>
      <c r="G12" s="316">
        <f t="shared" si="2"/>
        <v>9.066163983195423E-2</v>
      </c>
      <c r="H12" s="317">
        <f t="shared" si="0"/>
        <v>0.14868912159037756</v>
      </c>
      <c r="I12" s="271"/>
    </row>
    <row r="13" spans="1:9" s="1" customFormat="1" ht="15.75" x14ac:dyDescent="0.25">
      <c r="A13" s="340" t="s">
        <v>12</v>
      </c>
      <c r="B13" s="315">
        <f>'CADASTRO BASE RECEITA '!B58</f>
        <v>75127.350000000006</v>
      </c>
      <c r="C13" s="315">
        <f>'CADASTRO BASE RECEITA '!C58</f>
        <v>75127.350000000006</v>
      </c>
      <c r="D13" s="315">
        <f>'CADASTRO BASE RECEITA '!D58</f>
        <v>135503.47</v>
      </c>
      <c r="E13" s="316">
        <f t="shared" si="1"/>
        <v>0.40182516753219694</v>
      </c>
      <c r="F13" s="315">
        <f>'CADASTRO BASE RECEITA '!F58</f>
        <v>69557.790000000008</v>
      </c>
      <c r="G13" s="316">
        <f t="shared" si="2"/>
        <v>0.1056596043085048</v>
      </c>
      <c r="H13" s="317">
        <f t="shared" si="0"/>
        <v>0.25374238592035087</v>
      </c>
      <c r="I13" s="271"/>
    </row>
    <row r="14" spans="1:9" s="1" customFormat="1" ht="15.75" x14ac:dyDescent="0.25">
      <c r="A14" s="340" t="s">
        <v>13</v>
      </c>
      <c r="B14" s="315">
        <f>'CADASTRO BASE RECEITA '!B57</f>
        <v>9671.94</v>
      </c>
      <c r="C14" s="315">
        <f>'CADASTRO BASE RECEITA '!C57</f>
        <v>15512.61</v>
      </c>
      <c r="D14" s="315">
        <f>'CADASTRO BASE RECEITA '!D57</f>
        <v>27036.83</v>
      </c>
      <c r="E14" s="316">
        <f t="shared" si="1"/>
        <v>0.67338575008823831</v>
      </c>
      <c r="F14" s="315">
        <f>'CADASTRO BASE RECEITA '!F57</f>
        <v>35512.649999999994</v>
      </c>
      <c r="G14" s="316">
        <f t="shared" si="2"/>
        <v>0.55342104454203589</v>
      </c>
      <c r="H14" s="317">
        <f t="shared" si="0"/>
        <v>0.61340339731513716</v>
      </c>
      <c r="I14" s="271"/>
    </row>
    <row r="15" spans="1:9" s="1" customFormat="1" ht="15.75" x14ac:dyDescent="0.25">
      <c r="A15" s="340" t="s">
        <v>14</v>
      </c>
      <c r="B15" s="315">
        <f>'CADASTRO BASE RECEITA '!B61</f>
        <v>936.4</v>
      </c>
      <c r="C15" s="315">
        <f>'CADASTRO BASE RECEITA '!C61</f>
        <v>3253.3</v>
      </c>
      <c r="D15" s="315">
        <f>'CADASTRO BASE RECEITA '!D61</f>
        <v>3080.04</v>
      </c>
      <c r="E15" s="316">
        <f t="shared" si="1"/>
        <v>1.2105032211041966</v>
      </c>
      <c r="F15" s="315">
        <f>'CADASTRO BASE RECEITA '!F61</f>
        <v>16690.050000000003</v>
      </c>
      <c r="G15" s="316">
        <f t="shared" si="2"/>
        <v>2.2799278236927165</v>
      </c>
      <c r="H15" s="317">
        <f t="shared" si="0"/>
        <v>1.7452155223984565</v>
      </c>
      <c r="I15" s="271"/>
    </row>
    <row r="16" spans="1:9" s="1" customFormat="1" ht="15.75" x14ac:dyDescent="0.25">
      <c r="A16" s="340" t="s">
        <v>15</v>
      </c>
      <c r="B16" s="315">
        <f>'CADASTRO BASE RECEITA '!B62</f>
        <v>147</v>
      </c>
      <c r="C16" s="315">
        <f>'CADASTRO BASE RECEITA '!C62+0.001</f>
        <v>1441.9010000000001</v>
      </c>
      <c r="D16" s="315">
        <f>'CADASTRO BASE RECEITA '!D62</f>
        <v>15755.9</v>
      </c>
      <c r="E16" s="316">
        <f t="shared" si="1"/>
        <v>9.3680110889348569</v>
      </c>
      <c r="F16" s="315">
        <f>'CADASTRO BASE RECEITA '!F62+0.000001</f>
        <v>17710.470001000002</v>
      </c>
      <c r="G16" s="316">
        <f t="shared" si="2"/>
        <v>6.2866917965819669</v>
      </c>
      <c r="H16" s="317">
        <f>E16</f>
        <v>9.3680110889348569</v>
      </c>
      <c r="I16" s="271"/>
    </row>
    <row r="17" spans="1:9" s="1" customFormat="1" ht="15.75" x14ac:dyDescent="0.25">
      <c r="A17" s="342" t="s">
        <v>244</v>
      </c>
      <c r="B17" s="335">
        <f>SUM(B8:B16)</f>
        <v>352769.93</v>
      </c>
      <c r="C17" s="335">
        <f>SUM(C8:C16)</f>
        <v>527196.59100000001</v>
      </c>
      <c r="D17" s="335">
        <f>SUM(D8:D16)</f>
        <v>646809.82999999996</v>
      </c>
      <c r="E17" s="332">
        <f>(((C17-B17)/B17)+(D17-C17)/C17)/2</f>
        <v>0.36066711732507906</v>
      </c>
      <c r="F17" s="335">
        <f>SUM(F8:F16)</f>
        <v>534815.43000100006</v>
      </c>
      <c r="G17" s="332">
        <f t="shared" si="2"/>
        <v>0.18272845033304919</v>
      </c>
      <c r="H17" s="334">
        <f>(G17+E17)/2</f>
        <v>0.27169778382906412</v>
      </c>
      <c r="I17" s="271"/>
    </row>
    <row r="19" spans="1:9" x14ac:dyDescent="0.25">
      <c r="A19" s="4"/>
      <c r="B19" s="1"/>
      <c r="G19" s="538"/>
    </row>
    <row r="20" spans="1:9" x14ac:dyDescent="0.25">
      <c r="A20" s="4"/>
      <c r="B20" s="1"/>
    </row>
    <row r="21" spans="1:9" x14ac:dyDescent="0.25">
      <c r="A21" s="1252"/>
      <c r="B21" s="1252"/>
      <c r="C21" s="1252"/>
      <c r="D21" s="1252"/>
      <c r="E21" s="1252"/>
      <c r="F21" s="5"/>
      <c r="G21" s="1252"/>
      <c r="H21" s="1252"/>
    </row>
    <row r="22" spans="1:9" x14ac:dyDescent="0.25">
      <c r="A22" s="1252"/>
      <c r="B22" s="1252"/>
      <c r="C22" s="2"/>
      <c r="D22" s="138"/>
      <c r="E22" s="138"/>
      <c r="F22" s="5"/>
      <c r="G22" s="1252"/>
      <c r="H22" s="1252"/>
    </row>
    <row r="23" spans="1:9" x14ac:dyDescent="0.25">
      <c r="A23" s="1252"/>
      <c r="B23" s="1252"/>
    </row>
  </sheetData>
  <mergeCells count="15">
    <mergeCell ref="A23:B23"/>
    <mergeCell ref="A6:A7"/>
    <mergeCell ref="B6:B7"/>
    <mergeCell ref="C6:C7"/>
    <mergeCell ref="A1:H1"/>
    <mergeCell ref="G21:H21"/>
    <mergeCell ref="G22:H22"/>
    <mergeCell ref="D6:D7"/>
    <mergeCell ref="E6:E7"/>
    <mergeCell ref="A3:H3"/>
    <mergeCell ref="A4:H4"/>
    <mergeCell ref="A21:B21"/>
    <mergeCell ref="A22:B22"/>
    <mergeCell ref="C21:E21"/>
    <mergeCell ref="G6:G7"/>
  </mergeCells>
  <phoneticPr fontId="46" type="noConversion"/>
  <printOptions horizontalCentered="1"/>
  <pageMargins left="7.874015748031496E-2" right="7.874015748031496E-2" top="1.3779527559055118" bottom="0.78740157480314965" header="0.31496062992125984" footer="0.31496062992125984"/>
  <pageSetup paperSize="9" scale="85" orientation="landscape" r:id="rId1"/>
  <headerFooter>
    <oddHeader>&amp;L                                                               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sqref="A1:XFD1048576"/>
    </sheetView>
  </sheetViews>
  <sheetFormatPr defaultRowHeight="15" x14ac:dyDescent="0.25"/>
  <cols>
    <col min="1" max="1" width="16.7109375" customWidth="1"/>
    <col min="2" max="2" width="29.7109375" customWidth="1"/>
    <col min="3" max="3" width="10.140625" customWidth="1"/>
    <col min="4" max="4" width="11" customWidth="1"/>
    <col min="5" max="5" width="9.28515625" bestFit="1" customWidth="1"/>
    <col min="6" max="6" width="10.85546875" customWidth="1"/>
  </cols>
  <sheetData>
    <row r="1" spans="1:7" ht="18.75" x14ac:dyDescent="0.3">
      <c r="A1" s="1516" t="str">
        <f>'CADASTRO BASE RECEITA '!A$1</f>
        <v>PROPOSTA ORÇAMENTÁRIA PARA 2016</v>
      </c>
      <c r="B1" s="1517"/>
      <c r="C1" s="1517"/>
      <c r="D1" s="1517"/>
      <c r="E1" s="1517"/>
      <c r="F1" s="1517"/>
      <c r="G1" s="90"/>
    </row>
    <row r="2" spans="1:7" ht="15.75" x14ac:dyDescent="0.25">
      <c r="A2" s="1518"/>
      <c r="B2" s="1519"/>
      <c r="C2" s="1519"/>
      <c r="D2" s="1519"/>
      <c r="E2" s="1519"/>
      <c r="F2" s="1519"/>
      <c r="G2" s="86"/>
    </row>
    <row r="3" spans="1:7" ht="15.75" x14ac:dyDescent="0.25">
      <c r="A3" s="1524" t="s">
        <v>204</v>
      </c>
      <c r="B3" s="1525"/>
      <c r="C3" s="1525"/>
      <c r="D3" s="1525"/>
      <c r="E3" s="1525"/>
      <c r="F3" s="1525"/>
    </row>
    <row r="4" spans="1:7" ht="15.75" thickBot="1" x14ac:dyDescent="0.3">
      <c r="A4" s="2"/>
      <c r="B4" s="2"/>
      <c r="C4" s="2"/>
    </row>
    <row r="5" spans="1:7" ht="15.75" thickTop="1" x14ac:dyDescent="0.25">
      <c r="A5" s="1528" t="s">
        <v>205</v>
      </c>
      <c r="B5" s="1526" t="s">
        <v>206</v>
      </c>
      <c r="C5" s="1530" t="s">
        <v>34</v>
      </c>
      <c r="D5" s="1530"/>
      <c r="E5" s="1530"/>
      <c r="F5" s="1531"/>
    </row>
    <row r="6" spans="1:7" x14ac:dyDescent="0.25">
      <c r="A6" s="1529"/>
      <c r="B6" s="1527"/>
      <c r="C6" s="93" t="s">
        <v>207</v>
      </c>
      <c r="D6" s="93" t="s">
        <v>208</v>
      </c>
      <c r="E6" s="93" t="s">
        <v>209</v>
      </c>
      <c r="F6" s="96" t="s">
        <v>210</v>
      </c>
    </row>
    <row r="7" spans="1:7" x14ac:dyDescent="0.25">
      <c r="A7" s="97">
        <v>2010</v>
      </c>
      <c r="B7" s="1230">
        <v>132467</v>
      </c>
      <c r="C7" s="94">
        <v>313.34500000000003</v>
      </c>
      <c r="D7" s="94">
        <v>0</v>
      </c>
      <c r="E7" s="94">
        <v>0</v>
      </c>
      <c r="F7" s="91">
        <v>313.35000000000002</v>
      </c>
    </row>
    <row r="8" spans="1:7" x14ac:dyDescent="0.25">
      <c r="A8" s="97">
        <v>2016</v>
      </c>
      <c r="B8" s="98" t="s">
        <v>11786</v>
      </c>
      <c r="C8" s="94">
        <v>42893.29</v>
      </c>
      <c r="D8" s="94">
        <v>0</v>
      </c>
      <c r="E8" s="94">
        <v>0</v>
      </c>
      <c r="F8" s="91">
        <v>42893.29</v>
      </c>
    </row>
    <row r="9" spans="1:7" ht="15.75" thickBot="1" x14ac:dyDescent="0.3">
      <c r="A9" s="1522" t="s">
        <v>40</v>
      </c>
      <c r="B9" s="1523"/>
      <c r="C9" s="95">
        <f>SUM(C7:C8)</f>
        <v>43206.635000000002</v>
      </c>
      <c r="D9" s="95">
        <f>SUM(D7:D8)</f>
        <v>0</v>
      </c>
      <c r="E9" s="95">
        <f>SUM(E7:E8)</f>
        <v>0</v>
      </c>
      <c r="F9" s="92">
        <f>SUM(F7:F8)</f>
        <v>43206.64</v>
      </c>
    </row>
    <row r="10" spans="1:7" ht="15.75" thickTop="1" x14ac:dyDescent="0.25"/>
  </sheetData>
  <mergeCells count="7">
    <mergeCell ref="A9:B9"/>
    <mergeCell ref="A1:F1"/>
    <mergeCell ref="A2:F2"/>
    <mergeCell ref="A3:F3"/>
    <mergeCell ref="B5:B6"/>
    <mergeCell ref="A5:A6"/>
    <mergeCell ref="C5:F5"/>
  </mergeCells>
  <phoneticPr fontId="46" type="noConversion"/>
  <pageMargins left="0.51181102362204722" right="0.51181102362204722" top="0.78740157480314965" bottom="0.78740157480314965" header="0.31496062992125984" footer="0.31496062992125984"/>
  <pageSetup paperSize="9" orientation="portrait" verticalDpi="72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7"/>
  <sheetViews>
    <sheetView workbookViewId="0"/>
  </sheetViews>
  <sheetFormatPr defaultRowHeight="15" x14ac:dyDescent="0.25"/>
  <sheetData>
    <row r="2" spans="1:17" x14ac:dyDescent="0.25">
      <c r="A2" s="1252"/>
      <c r="B2" s="1252"/>
      <c r="C2" s="1252"/>
      <c r="D2" s="1252"/>
      <c r="E2" s="1252"/>
      <c r="F2" s="1252"/>
      <c r="G2" s="1252"/>
      <c r="H2" s="1252"/>
      <c r="I2" s="1252"/>
    </row>
    <row r="4" spans="1:17" x14ac:dyDescent="0.25">
      <c r="A4" s="239"/>
    </row>
    <row r="6" spans="1:17" x14ac:dyDescent="0.25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</row>
    <row r="8" spans="1:17" x14ac:dyDescent="0.25">
      <c r="A8" s="239"/>
    </row>
    <row r="9" spans="1:17" x14ac:dyDescent="0.25">
      <c r="A9" s="239"/>
    </row>
    <row r="10" spans="1:17" x14ac:dyDescent="0.25">
      <c r="A10" s="239"/>
    </row>
    <row r="11" spans="1:17" x14ac:dyDescent="0.25">
      <c r="A11" s="239"/>
    </row>
    <row r="12" spans="1:17" x14ac:dyDescent="0.25">
      <c r="A12" s="239"/>
    </row>
    <row r="13" spans="1:17" x14ac:dyDescent="0.25">
      <c r="A13" s="239"/>
    </row>
    <row r="14" spans="1:17" x14ac:dyDescent="0.25">
      <c r="A14" s="239"/>
    </row>
    <row r="15" spans="1:17" x14ac:dyDescent="0.25">
      <c r="A15" s="239"/>
    </row>
    <row r="16" spans="1:17" x14ac:dyDescent="0.25">
      <c r="A16" s="239"/>
    </row>
    <row r="17" spans="1:1" x14ac:dyDescent="0.25">
      <c r="A17" s="239"/>
    </row>
    <row r="18" spans="1:1" x14ac:dyDescent="0.25">
      <c r="A18" s="239"/>
    </row>
    <row r="19" spans="1:1" x14ac:dyDescent="0.25">
      <c r="A19" s="239"/>
    </row>
    <row r="20" spans="1:1" x14ac:dyDescent="0.25">
      <c r="A20" s="239"/>
    </row>
    <row r="22" spans="1:1" x14ac:dyDescent="0.25">
      <c r="A22" s="239"/>
    </row>
    <row r="23" spans="1:1" x14ac:dyDescent="0.25">
      <c r="A23" s="239"/>
    </row>
    <row r="24" spans="1:1" x14ac:dyDescent="0.25">
      <c r="A24" s="239"/>
    </row>
    <row r="25" spans="1:1" x14ac:dyDescent="0.25">
      <c r="A25" s="239"/>
    </row>
    <row r="26" spans="1:1" x14ac:dyDescent="0.25">
      <c r="A26" s="239"/>
    </row>
    <row r="27" spans="1:1" x14ac:dyDescent="0.25">
      <c r="A27" s="239"/>
    </row>
  </sheetData>
  <mergeCells count="1">
    <mergeCell ref="A2:I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8" sqref="L1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view="pageLayout" topLeftCell="A13" zoomScale="90" zoomScaleNormal="85" zoomScalePageLayoutView="90" workbookViewId="0">
      <selection activeCell="E39" sqref="E39"/>
    </sheetView>
  </sheetViews>
  <sheetFormatPr defaultRowHeight="15" x14ac:dyDescent="0.25"/>
  <cols>
    <col min="1" max="1" width="4.7109375" style="1059" customWidth="1"/>
    <col min="2" max="2" width="34.5703125" customWidth="1"/>
    <col min="3" max="3" width="17.85546875" customWidth="1"/>
    <col min="4" max="4" width="11.140625" customWidth="1"/>
    <col min="5" max="5" width="22" customWidth="1"/>
  </cols>
  <sheetData>
    <row r="1" spans="2:6" ht="18" x14ac:dyDescent="0.25">
      <c r="B1" s="1260" t="str">
        <f>'CADASTRO BASE RECEITA '!A$1</f>
        <v>PROPOSTA ORÇAMENTÁRIA PARA 2016</v>
      </c>
      <c r="C1" s="1261"/>
      <c r="D1" s="1261"/>
      <c r="E1" s="1261"/>
      <c r="F1" s="104"/>
    </row>
    <row r="2" spans="2:6" ht="18" x14ac:dyDescent="0.25">
      <c r="B2" s="101"/>
      <c r="C2" s="102"/>
      <c r="D2" s="102"/>
      <c r="E2" s="102"/>
      <c r="F2" s="102"/>
    </row>
    <row r="3" spans="2:6" x14ac:dyDescent="0.25">
      <c r="B3" s="1262" t="s">
        <v>32</v>
      </c>
      <c r="C3" s="1262"/>
      <c r="D3" s="1262"/>
      <c r="E3" s="1262"/>
      <c r="F3" s="105"/>
    </row>
    <row r="5" spans="2:6" x14ac:dyDescent="0.25">
      <c r="B5" s="350" t="s">
        <v>33</v>
      </c>
      <c r="C5" s="350" t="s">
        <v>34</v>
      </c>
      <c r="D5" s="350" t="s">
        <v>235</v>
      </c>
    </row>
    <row r="6" spans="2:6" x14ac:dyDescent="0.25">
      <c r="B6" s="343" t="s">
        <v>35</v>
      </c>
      <c r="C6" s="344">
        <f>Parâmetros!D124*Parâmetros!D169</f>
        <v>377020.17</v>
      </c>
      <c r="D6" s="539">
        <f>C6/C11</f>
        <v>0.13139439800714148</v>
      </c>
    </row>
    <row r="7" spans="2:6" x14ac:dyDescent="0.25">
      <c r="B7" s="343" t="s">
        <v>36</v>
      </c>
      <c r="C7" s="344">
        <f>Parâmetros!D125*Parâmetros!D170</f>
        <v>1203899.8399999999</v>
      </c>
      <c r="D7" s="539">
        <f>C7/C11</f>
        <v>0.41956825476391335</v>
      </c>
    </row>
    <row r="8" spans="2:6" x14ac:dyDescent="0.25">
      <c r="B8" s="345" t="s">
        <v>37</v>
      </c>
      <c r="C8" s="346">
        <f>Parâmetros!D126*Parâmetros!D171</f>
        <v>1111294.9100000001</v>
      </c>
      <c r="D8" s="540">
        <f>C8/C11</f>
        <v>0.38729473202415271</v>
      </c>
    </row>
    <row r="9" spans="2:6" x14ac:dyDescent="0.25">
      <c r="B9" s="345" t="s">
        <v>38</v>
      </c>
      <c r="C9" s="346">
        <f>(Parâmetros!D129+Parâmetros!D130+Parâmetros!D131)*Parâmetros!D172</f>
        <v>118596.69</v>
      </c>
      <c r="D9" s="540">
        <f>C9/C11</f>
        <v>4.1331848872142772E-2</v>
      </c>
    </row>
    <row r="10" spans="2:6" x14ac:dyDescent="0.25">
      <c r="B10" s="343" t="s">
        <v>39</v>
      </c>
      <c r="C10" s="344">
        <f>(Parâmetros!D127+Parâmetros!D128)*Parâmetros!D173</f>
        <v>58566.2</v>
      </c>
      <c r="D10" s="539">
        <f>C10/C11</f>
        <v>2.0410766332649655E-2</v>
      </c>
    </row>
    <row r="11" spans="2:6" x14ac:dyDescent="0.25">
      <c r="B11" s="351" t="s">
        <v>40</v>
      </c>
      <c r="C11" s="352">
        <f>SUM(C6:C10)</f>
        <v>2869377.81</v>
      </c>
      <c r="D11" s="541">
        <f>SUM(D6:D10)</f>
        <v>1</v>
      </c>
    </row>
    <row r="13" spans="2:6" x14ac:dyDescent="0.25">
      <c r="B13" s="353" t="s">
        <v>41</v>
      </c>
      <c r="C13" s="353" t="s">
        <v>34</v>
      </c>
      <c r="D13" s="353" t="s">
        <v>235</v>
      </c>
      <c r="E13" s="353" t="s">
        <v>42</v>
      </c>
    </row>
    <row r="14" spans="2:6" x14ac:dyDescent="0.25">
      <c r="B14" s="347" t="s">
        <v>239</v>
      </c>
      <c r="C14" s="348">
        <f>'ORCAMENTO RECEITA ANALITICO'!H142</f>
        <v>6985256</v>
      </c>
      <c r="D14" s="349">
        <f t="shared" ref="D14:D20" si="0">C14/C$21</f>
        <v>0.58803415854249586</v>
      </c>
      <c r="E14" s="348">
        <f>C$11*D14</f>
        <v>1687292.1660438597</v>
      </c>
    </row>
    <row r="15" spans="2:6" x14ac:dyDescent="0.25">
      <c r="B15" s="347" t="s">
        <v>238</v>
      </c>
      <c r="C15" s="348">
        <f>'ORCAMENTO RECEITA ANALITICO'!H155</f>
        <v>593.29349374999993</v>
      </c>
      <c r="D15" s="349">
        <f t="shared" si="0"/>
        <v>4.9944746529836377E-5</v>
      </c>
      <c r="E15" s="348">
        <f t="shared" ref="E15:E20" si="1">C$11*D15</f>
        <v>143.31034741878702</v>
      </c>
    </row>
    <row r="16" spans="2:6" x14ac:dyDescent="0.25">
      <c r="B16" s="347" t="s">
        <v>43</v>
      </c>
      <c r="C16" s="348">
        <f>'ORCAMENTO RECEITA ANALITICO'!H182</f>
        <v>24599.272915156555</v>
      </c>
      <c r="D16" s="349">
        <f t="shared" si="0"/>
        <v>2.0708207042692914E-3</v>
      </c>
      <c r="E16" s="348">
        <f t="shared" si="1"/>
        <v>5941.9669773188771</v>
      </c>
    </row>
    <row r="17" spans="2:5" x14ac:dyDescent="0.25">
      <c r="B17" s="347" t="s">
        <v>19</v>
      </c>
      <c r="C17" s="348">
        <f>'ORCAMENTO RECEITA ANALITICO'!H192</f>
        <v>4476652.7626842177</v>
      </c>
      <c r="D17" s="349">
        <f t="shared" si="0"/>
        <v>0.37685444032286763</v>
      </c>
      <c r="E17" s="348">
        <f t="shared" si="1"/>
        <v>1081337.7686624057</v>
      </c>
    </row>
    <row r="18" spans="2:5" x14ac:dyDescent="0.25">
      <c r="B18" s="347" t="s">
        <v>237</v>
      </c>
      <c r="C18" s="348">
        <f>'ORCAMENTO RECEITA ANALITICO'!H197</f>
        <v>297408.21263460768</v>
      </c>
      <c r="D18" s="349">
        <f t="shared" si="0"/>
        <v>2.5036475121344045E-2</v>
      </c>
      <c r="E18" s="348">
        <f t="shared" si="1"/>
        <v>71839.106153801666</v>
      </c>
    </row>
    <row r="19" spans="2:5" x14ac:dyDescent="0.25">
      <c r="B19" s="347" t="s">
        <v>44</v>
      </c>
      <c r="C19" s="348">
        <f>'ORCAMENTO RECEITA ANALITICO'!H202</f>
        <v>84226.859054954286</v>
      </c>
      <c r="D19" s="349">
        <f t="shared" si="0"/>
        <v>7.0904015817111702E-3</v>
      </c>
      <c r="E19" s="348">
        <f t="shared" si="1"/>
        <v>20345.040962550935</v>
      </c>
    </row>
    <row r="20" spans="2:5" x14ac:dyDescent="0.25">
      <c r="B20" s="347" t="s">
        <v>935</v>
      </c>
      <c r="C20" s="348">
        <f>21876192*Parâmetros!D140</f>
        <v>10260.590333759999</v>
      </c>
      <c r="D20" s="349">
        <f t="shared" si="0"/>
        <v>8.6375898078206836E-4</v>
      </c>
      <c r="E20" s="348">
        <f t="shared" si="1"/>
        <v>2478.4508526442833</v>
      </c>
    </row>
    <row r="21" spans="2:5" x14ac:dyDescent="0.25">
      <c r="B21" s="354" t="s">
        <v>40</v>
      </c>
      <c r="C21" s="355">
        <f>SUM(C14:C20)</f>
        <v>11878996.991116447</v>
      </c>
      <c r="D21" s="356">
        <f>SUM(D14:D20)</f>
        <v>0.99999999999999989</v>
      </c>
      <c r="E21" s="355">
        <f>SUM(E14:E20)</f>
        <v>2869377.8099999996</v>
      </c>
    </row>
    <row r="23" spans="2:5" x14ac:dyDescent="0.25">
      <c r="B23" s="1259" t="s">
        <v>45</v>
      </c>
      <c r="C23" s="1259"/>
      <c r="D23" s="1259"/>
    </row>
    <row r="24" spans="2:5" x14ac:dyDescent="0.25">
      <c r="B24" s="351" t="s">
        <v>239</v>
      </c>
      <c r="C24" s="352">
        <f t="shared" ref="C24:C29" si="2">C14*D24</f>
        <v>1397051.2000000002</v>
      </c>
      <c r="D24" s="357">
        <v>0.2</v>
      </c>
    </row>
    <row r="25" spans="2:5" x14ac:dyDescent="0.25">
      <c r="B25" s="351" t="s">
        <v>238</v>
      </c>
      <c r="C25" s="352">
        <f t="shared" si="2"/>
        <v>118.65869874999999</v>
      </c>
      <c r="D25" s="357">
        <v>0.2</v>
      </c>
    </row>
    <row r="26" spans="2:5" x14ac:dyDescent="0.25">
      <c r="B26" s="351" t="s">
        <v>43</v>
      </c>
      <c r="C26" s="352">
        <f t="shared" si="2"/>
        <v>4919.8545830313114</v>
      </c>
      <c r="D26" s="357">
        <v>0.2</v>
      </c>
    </row>
    <row r="27" spans="2:5" x14ac:dyDescent="0.25">
      <c r="B27" s="351" t="s">
        <v>19</v>
      </c>
      <c r="C27" s="352">
        <f>C17*D27</f>
        <v>895330.55253684358</v>
      </c>
      <c r="D27" s="357">
        <v>0.2</v>
      </c>
    </row>
    <row r="28" spans="2:5" x14ac:dyDescent="0.25">
      <c r="B28" s="351" t="s">
        <v>237</v>
      </c>
      <c r="C28" s="352">
        <f t="shared" si="2"/>
        <v>59481.64252692154</v>
      </c>
      <c r="D28" s="357">
        <v>0.2</v>
      </c>
    </row>
    <row r="29" spans="2:5" x14ac:dyDescent="0.25">
      <c r="B29" s="351" t="s">
        <v>44</v>
      </c>
      <c r="C29" s="352">
        <f t="shared" si="2"/>
        <v>16845.371810990859</v>
      </c>
      <c r="D29" s="357">
        <v>0.2</v>
      </c>
    </row>
    <row r="30" spans="2:5" x14ac:dyDescent="0.25">
      <c r="B30" s="358" t="s">
        <v>40</v>
      </c>
      <c r="C30" s="1258">
        <f>SUM(C24:C29)</f>
        <v>2373747.280156537</v>
      </c>
      <c r="D30" s="1258"/>
    </row>
    <row r="32" spans="2:5" x14ac:dyDescent="0.25">
      <c r="B32" s="1259" t="s">
        <v>46</v>
      </c>
      <c r="C32" s="1259"/>
      <c r="D32" s="1259"/>
    </row>
    <row r="33" spans="2:5" x14ac:dyDescent="0.25">
      <c r="B33" s="359" t="s">
        <v>47</v>
      </c>
      <c r="C33" s="360">
        <f>C11-C30:C30</f>
        <v>495630.5298434631</v>
      </c>
      <c r="D33" s="361">
        <f>C33/C11</f>
        <v>0.17273101092374554</v>
      </c>
    </row>
    <row r="38" spans="2:5" x14ac:dyDescent="0.25">
      <c r="E38" s="32"/>
    </row>
    <row r="39" spans="2:5" x14ac:dyDescent="0.25">
      <c r="E39" s="32"/>
    </row>
    <row r="40" spans="2:5" x14ac:dyDescent="0.25">
      <c r="E40" s="32"/>
    </row>
    <row r="41" spans="2:5" x14ac:dyDescent="0.25">
      <c r="E41" s="32"/>
    </row>
    <row r="42" spans="2:5" x14ac:dyDescent="0.25">
      <c r="E42" s="32"/>
    </row>
    <row r="43" spans="2:5" x14ac:dyDescent="0.25">
      <c r="E43" s="32"/>
    </row>
    <row r="46" spans="2:5" x14ac:dyDescent="0.25">
      <c r="E46" s="32"/>
    </row>
  </sheetData>
  <mergeCells count="5">
    <mergeCell ref="C30:D30"/>
    <mergeCell ref="B32:D32"/>
    <mergeCell ref="B1:E1"/>
    <mergeCell ref="B3:E3"/>
    <mergeCell ref="B23:D23"/>
  </mergeCells>
  <phoneticPr fontId="46" type="noConversion"/>
  <printOptions horizontalCentered="1"/>
  <pageMargins left="0.51181102362204722" right="0.51181102362204722" top="1.3779527559055118" bottom="0.78740157480314965" header="0.31496062992125984" footer="0.31496062992125984"/>
  <pageSetup paperSize="9" scale="80" orientation="portrait" verticalDpi="72" r:id="rId1"/>
  <headerFooter>
    <oddHeader>&amp;L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2"/>
  <sheetViews>
    <sheetView view="pageLayout" zoomScaleNormal="100" workbookViewId="0">
      <selection activeCell="F4" sqref="F4"/>
    </sheetView>
  </sheetViews>
  <sheetFormatPr defaultRowHeight="15" x14ac:dyDescent="0.25"/>
  <cols>
    <col min="1" max="1" width="5.85546875" style="31" customWidth="1"/>
    <col min="2" max="2" width="21.85546875" style="31" customWidth="1"/>
    <col min="3" max="3" width="93.85546875" style="31" customWidth="1"/>
    <col min="4" max="4" width="20.42578125" style="31" customWidth="1"/>
    <col min="5" max="5" width="12.42578125" style="31" customWidth="1"/>
    <col min="6" max="6" width="13.5703125" style="31" bestFit="1" customWidth="1"/>
    <col min="7" max="16384" width="9.140625" style="31"/>
  </cols>
  <sheetData>
    <row r="1" spans="1:6" x14ac:dyDescent="0.25">
      <c r="B1" s="1263" t="str">
        <f>'CADASTRO BASE RECEITA '!A1</f>
        <v>PROPOSTA ORÇAMENTÁRIA PARA 2016</v>
      </c>
      <c r="C1" s="1263"/>
      <c r="D1" s="1263"/>
    </row>
    <row r="2" spans="1:6" x14ac:dyDescent="0.25">
      <c r="D2" s="572"/>
    </row>
    <row r="3" spans="1:6" x14ac:dyDescent="0.25">
      <c r="A3" s="1264" t="s">
        <v>10</v>
      </c>
      <c r="B3" s="1264"/>
      <c r="C3" s="1264"/>
      <c r="D3" s="1264"/>
    </row>
    <row r="4" spans="1:6" s="115" customFormat="1" x14ac:dyDescent="0.25">
      <c r="A4" s="573" t="s">
        <v>106</v>
      </c>
      <c r="B4" s="573" t="s">
        <v>302</v>
      </c>
      <c r="C4" s="574" t="s">
        <v>215</v>
      </c>
      <c r="D4" s="575">
        <v>2016</v>
      </c>
      <c r="E4" s="575">
        <v>2017</v>
      </c>
      <c r="F4" s="575">
        <v>2018</v>
      </c>
    </row>
    <row r="5" spans="1:6" x14ac:dyDescent="0.25">
      <c r="A5" s="367">
        <v>1</v>
      </c>
      <c r="B5" s="368" t="s">
        <v>299</v>
      </c>
      <c r="C5" s="368" t="s">
        <v>6590</v>
      </c>
      <c r="D5" s="576">
        <f>(D6+D7)/2</f>
        <v>5.5500000000000001E-2</v>
      </c>
      <c r="E5" s="576">
        <f>(E6+E7)/2</f>
        <v>0.05</v>
      </c>
      <c r="F5" s="576">
        <f>(F6+F7)/2</f>
        <v>4.7350000000000003E-2</v>
      </c>
    </row>
    <row r="6" spans="1:6" x14ac:dyDescent="0.25">
      <c r="A6" s="369" t="s">
        <v>1935</v>
      </c>
      <c r="B6" s="367" t="s">
        <v>299</v>
      </c>
      <c r="C6" s="367" t="s">
        <v>6591</v>
      </c>
      <c r="D6" s="577">
        <v>5.6000000000000001E-2</v>
      </c>
      <c r="E6" s="577">
        <v>4.4999999999999998E-2</v>
      </c>
      <c r="F6" s="577">
        <v>4.4999999999999998E-2</v>
      </c>
    </row>
    <row r="7" spans="1:6" x14ac:dyDescent="0.25">
      <c r="A7" s="369" t="s">
        <v>1936</v>
      </c>
      <c r="B7" s="367" t="s">
        <v>299</v>
      </c>
      <c r="C7" s="367" t="s">
        <v>6592</v>
      </c>
      <c r="D7" s="577">
        <v>5.5E-2</v>
      </c>
      <c r="E7" s="577">
        <v>5.5E-2</v>
      </c>
      <c r="F7" s="577">
        <v>4.9700000000000001E-2</v>
      </c>
    </row>
    <row r="8" spans="1:6" s="115" customFormat="1" x14ac:dyDescent="0.25">
      <c r="A8" s="368">
        <v>3</v>
      </c>
      <c r="B8" s="368" t="s">
        <v>1938</v>
      </c>
      <c r="C8" s="368" t="s">
        <v>6593</v>
      </c>
      <c r="D8" s="576">
        <v>1.2999999999999999E-2</v>
      </c>
      <c r="E8" s="576">
        <v>1.9E-2</v>
      </c>
      <c r="F8" s="576">
        <v>2.4E-2</v>
      </c>
    </row>
    <row r="9" spans="1:6" s="115" customFormat="1" x14ac:dyDescent="0.25">
      <c r="A9" s="368">
        <f>A8+1</f>
        <v>4</v>
      </c>
      <c r="B9" s="368" t="s">
        <v>1937</v>
      </c>
      <c r="C9" s="368" t="s">
        <v>6594</v>
      </c>
      <c r="D9" s="576">
        <v>0.115</v>
      </c>
      <c r="E9" s="576">
        <v>0.105</v>
      </c>
      <c r="F9" s="576">
        <v>0.1</v>
      </c>
    </row>
    <row r="10" spans="1:6" s="115" customFormat="1" x14ac:dyDescent="0.25">
      <c r="A10" s="368">
        <f t="shared" ref="A10:A19" si="0">A9+1</f>
        <v>5</v>
      </c>
      <c r="B10" s="368" t="s">
        <v>299</v>
      </c>
      <c r="C10" s="368" t="s">
        <v>6595</v>
      </c>
      <c r="D10" s="576">
        <v>3.3000000000000002E-2</v>
      </c>
      <c r="E10" s="576">
        <v>3.2199999999999999E-2</v>
      </c>
      <c r="F10" s="576">
        <v>3.3000000000000002E-2</v>
      </c>
    </row>
    <row r="11" spans="1:6" x14ac:dyDescent="0.25">
      <c r="A11" s="534">
        <f>A10+1</f>
        <v>6</v>
      </c>
      <c r="B11" s="534" t="s">
        <v>150</v>
      </c>
      <c r="C11" s="534" t="s">
        <v>364</v>
      </c>
      <c r="D11" s="556">
        <f>100%-D13-D14-D18-D19</f>
        <v>0.48</v>
      </c>
      <c r="E11" s="556" t="s">
        <v>983</v>
      </c>
      <c r="F11" s="556" t="s">
        <v>984</v>
      </c>
    </row>
    <row r="12" spans="1:6" x14ac:dyDescent="0.25">
      <c r="A12" s="534">
        <f t="shared" si="0"/>
        <v>7</v>
      </c>
      <c r="B12" s="534" t="s">
        <v>150</v>
      </c>
      <c r="C12" s="534" t="s">
        <v>417</v>
      </c>
      <c r="D12" s="556">
        <f>100%-D16</f>
        <v>0.72</v>
      </c>
      <c r="E12" s="556" t="s">
        <v>983</v>
      </c>
      <c r="F12" s="556" t="s">
        <v>984</v>
      </c>
    </row>
    <row r="13" spans="1:6" x14ac:dyDescent="0.25">
      <c r="A13" s="534">
        <f t="shared" si="0"/>
        <v>8</v>
      </c>
      <c r="B13" s="534" t="s">
        <v>150</v>
      </c>
      <c r="C13" s="534" t="s">
        <v>367</v>
      </c>
      <c r="D13" s="557">
        <v>0.25</v>
      </c>
      <c r="E13" s="556" t="s">
        <v>983</v>
      </c>
      <c r="F13" s="556" t="s">
        <v>984</v>
      </c>
    </row>
    <row r="14" spans="1:6" x14ac:dyDescent="0.25">
      <c r="A14" s="534">
        <f t="shared" si="0"/>
        <v>9</v>
      </c>
      <c r="B14" s="534" t="s">
        <v>150</v>
      </c>
      <c r="C14" s="534" t="s">
        <v>366</v>
      </c>
      <c r="D14" s="557">
        <v>0.03</v>
      </c>
      <c r="E14" s="556" t="s">
        <v>983</v>
      </c>
      <c r="F14" s="556" t="s">
        <v>984</v>
      </c>
    </row>
    <row r="15" spans="1:6" x14ac:dyDescent="0.25">
      <c r="A15" s="534">
        <f t="shared" si="0"/>
        <v>10</v>
      </c>
      <c r="B15" s="534" t="s">
        <v>150</v>
      </c>
      <c r="C15" s="534" t="s">
        <v>362</v>
      </c>
      <c r="D15" s="557">
        <v>0.08</v>
      </c>
      <c r="E15" s="556" t="s">
        <v>983</v>
      </c>
      <c r="F15" s="556" t="s">
        <v>984</v>
      </c>
    </row>
    <row r="16" spans="1:6" x14ac:dyDescent="0.25">
      <c r="A16" s="534">
        <f t="shared" si="0"/>
        <v>11</v>
      </c>
      <c r="B16" s="534" t="s">
        <v>150</v>
      </c>
      <c r="C16" s="534" t="s">
        <v>418</v>
      </c>
      <c r="D16" s="556">
        <v>0.28000000000000003</v>
      </c>
      <c r="E16" s="556" t="s">
        <v>983</v>
      </c>
      <c r="F16" s="556" t="s">
        <v>984</v>
      </c>
    </row>
    <row r="17" spans="1:6" x14ac:dyDescent="0.25">
      <c r="A17" s="534">
        <f t="shared" si="0"/>
        <v>12</v>
      </c>
      <c r="B17" s="534" t="s">
        <v>150</v>
      </c>
      <c r="C17" s="534" t="s">
        <v>361</v>
      </c>
      <c r="D17" s="557">
        <v>0.2</v>
      </c>
      <c r="E17" s="556" t="s">
        <v>983</v>
      </c>
      <c r="F17" s="556" t="s">
        <v>984</v>
      </c>
    </row>
    <row r="18" spans="1:6" x14ac:dyDescent="0.25">
      <c r="A18" s="535">
        <f t="shared" si="0"/>
        <v>13</v>
      </c>
      <c r="B18" s="535" t="s">
        <v>150</v>
      </c>
      <c r="C18" s="535" t="s">
        <v>363</v>
      </c>
      <c r="D18" s="558">
        <v>0.15</v>
      </c>
      <c r="E18" s="578" t="s">
        <v>983</v>
      </c>
      <c r="F18" s="578" t="s">
        <v>984</v>
      </c>
    </row>
    <row r="19" spans="1:6" x14ac:dyDescent="0.25">
      <c r="A19" s="535">
        <f t="shared" si="0"/>
        <v>14</v>
      </c>
      <c r="B19" s="535" t="s">
        <v>150</v>
      </c>
      <c r="C19" s="535" t="s">
        <v>365</v>
      </c>
      <c r="D19" s="558">
        <v>0.09</v>
      </c>
      <c r="E19" s="578" t="s">
        <v>983</v>
      </c>
      <c r="F19" s="578" t="s">
        <v>984</v>
      </c>
    </row>
    <row r="20" spans="1:6" s="115" customFormat="1" x14ac:dyDescent="0.25">
      <c r="A20" s="368">
        <v>16</v>
      </c>
      <c r="B20" s="368" t="s">
        <v>251</v>
      </c>
      <c r="C20" s="368" t="s">
        <v>6616</v>
      </c>
      <c r="D20" s="576">
        <f>'CRESCIMENTO MÉDIO DE ARRECADAÇÃ'!H24</f>
        <v>0.11204175787016893</v>
      </c>
      <c r="E20" s="576" t="s">
        <v>983</v>
      </c>
      <c r="F20" s="576" t="s">
        <v>984</v>
      </c>
    </row>
    <row r="21" spans="1:6" x14ac:dyDescent="0.25">
      <c r="A21" s="362">
        <f>A20+1</f>
        <v>17</v>
      </c>
      <c r="B21" s="362" t="s">
        <v>251</v>
      </c>
      <c r="C21" s="362" t="s">
        <v>6596</v>
      </c>
      <c r="D21" s="559">
        <f>'CADASTRO BASE RECEITA '!G52</f>
        <v>23484.546249999999</v>
      </c>
      <c r="E21" s="579" t="s">
        <v>983</v>
      </c>
      <c r="F21" s="579" t="s">
        <v>984</v>
      </c>
    </row>
    <row r="22" spans="1:6" x14ac:dyDescent="0.25">
      <c r="A22" s="362">
        <f t="shared" ref="A22:A85" si="1">A21+1</f>
        <v>18</v>
      </c>
      <c r="B22" s="362" t="s">
        <v>251</v>
      </c>
      <c r="C22" s="362" t="s">
        <v>6597</v>
      </c>
      <c r="D22" s="559">
        <f>'CADASTRO BASE RECEITA '!G53</f>
        <v>164737.95874999999</v>
      </c>
      <c r="E22" s="579" t="s">
        <v>983</v>
      </c>
      <c r="F22" s="579" t="s">
        <v>984</v>
      </c>
    </row>
    <row r="23" spans="1:6" x14ac:dyDescent="0.25">
      <c r="A23" s="362">
        <f t="shared" si="1"/>
        <v>19</v>
      </c>
      <c r="B23" s="362" t="s">
        <v>251</v>
      </c>
      <c r="C23" s="362" t="s">
        <v>6598</v>
      </c>
      <c r="D23" s="559">
        <f>'CADASTRO BASE RECEITA '!G54</f>
        <v>21442.84</v>
      </c>
      <c r="E23" s="579" t="s">
        <v>983</v>
      </c>
      <c r="F23" s="579" t="s">
        <v>984</v>
      </c>
    </row>
    <row r="24" spans="1:6" x14ac:dyDescent="0.25">
      <c r="A24" s="362">
        <f t="shared" si="1"/>
        <v>20</v>
      </c>
      <c r="B24" s="362" t="s">
        <v>251</v>
      </c>
      <c r="C24" s="362" t="s">
        <v>6599</v>
      </c>
      <c r="D24" s="559">
        <f>'CADASTRO BASE RECEITA '!G56</f>
        <v>52929.311249999999</v>
      </c>
      <c r="E24" s="579" t="s">
        <v>983</v>
      </c>
      <c r="F24" s="579" t="s">
        <v>984</v>
      </c>
    </row>
    <row r="25" spans="1:6" x14ac:dyDescent="0.25">
      <c r="A25" s="362">
        <f t="shared" si="1"/>
        <v>21</v>
      </c>
      <c r="B25" s="362" t="s">
        <v>251</v>
      </c>
      <c r="C25" s="362" t="s">
        <v>6600</v>
      </c>
      <c r="D25" s="559">
        <f>'CADASTRO BASE RECEITA '!G55</f>
        <v>127287.02625</v>
      </c>
      <c r="E25" s="579" t="s">
        <v>983</v>
      </c>
      <c r="F25" s="579" t="s">
        <v>984</v>
      </c>
    </row>
    <row r="26" spans="1:6" x14ac:dyDescent="0.25">
      <c r="A26" s="362">
        <f t="shared" si="1"/>
        <v>22</v>
      </c>
      <c r="B26" s="362" t="s">
        <v>251</v>
      </c>
      <c r="C26" s="362" t="s">
        <v>303</v>
      </c>
      <c r="D26" s="559">
        <v>500</v>
      </c>
      <c r="E26" s="579" t="s">
        <v>983</v>
      </c>
      <c r="F26" s="579" t="s">
        <v>984</v>
      </c>
    </row>
    <row r="27" spans="1:6" x14ac:dyDescent="0.25">
      <c r="A27" s="362">
        <f t="shared" si="1"/>
        <v>23</v>
      </c>
      <c r="B27" s="362" t="s">
        <v>251</v>
      </c>
      <c r="C27" s="362" t="s">
        <v>305</v>
      </c>
      <c r="D27" s="559">
        <v>500</v>
      </c>
      <c r="E27" s="579" t="s">
        <v>983</v>
      </c>
      <c r="F27" s="579" t="s">
        <v>984</v>
      </c>
    </row>
    <row r="28" spans="1:6" s="544" customFormat="1" ht="28.5" customHeight="1" x14ac:dyDescent="0.25">
      <c r="A28" s="362">
        <f t="shared" si="1"/>
        <v>24</v>
      </c>
      <c r="B28" s="363" t="s">
        <v>251</v>
      </c>
      <c r="C28" s="363" t="s">
        <v>312</v>
      </c>
      <c r="D28" s="560">
        <v>500</v>
      </c>
      <c r="E28" s="579" t="s">
        <v>983</v>
      </c>
      <c r="F28" s="579" t="s">
        <v>984</v>
      </c>
    </row>
    <row r="29" spans="1:6" x14ac:dyDescent="0.25">
      <c r="A29" s="362">
        <f t="shared" si="1"/>
        <v>25</v>
      </c>
      <c r="B29" s="362" t="s">
        <v>251</v>
      </c>
      <c r="C29" s="362" t="s">
        <v>308</v>
      </c>
      <c r="D29" s="559">
        <v>500</v>
      </c>
      <c r="E29" s="579" t="s">
        <v>983</v>
      </c>
      <c r="F29" s="579" t="s">
        <v>984</v>
      </c>
    </row>
    <row r="30" spans="1:6" x14ac:dyDescent="0.25">
      <c r="A30" s="362">
        <f t="shared" si="1"/>
        <v>26</v>
      </c>
      <c r="B30" s="362" t="s">
        <v>251</v>
      </c>
      <c r="C30" s="362" t="s">
        <v>304</v>
      </c>
      <c r="D30" s="559">
        <v>500</v>
      </c>
      <c r="E30" s="579" t="s">
        <v>983</v>
      </c>
      <c r="F30" s="579" t="s">
        <v>984</v>
      </c>
    </row>
    <row r="31" spans="1:6" x14ac:dyDescent="0.25">
      <c r="A31" s="362">
        <f t="shared" si="1"/>
        <v>27</v>
      </c>
      <c r="B31" s="362" t="s">
        <v>251</v>
      </c>
      <c r="C31" s="362" t="s">
        <v>306</v>
      </c>
      <c r="D31" s="559">
        <v>1000</v>
      </c>
      <c r="E31" s="579" t="s">
        <v>983</v>
      </c>
      <c r="F31" s="579" t="s">
        <v>984</v>
      </c>
    </row>
    <row r="32" spans="1:6" x14ac:dyDescent="0.25">
      <c r="A32" s="362">
        <f t="shared" si="1"/>
        <v>28</v>
      </c>
      <c r="B32" s="362" t="s">
        <v>251</v>
      </c>
      <c r="C32" s="362" t="s">
        <v>307</v>
      </c>
      <c r="D32" s="559">
        <v>500</v>
      </c>
      <c r="E32" s="579" t="s">
        <v>983</v>
      </c>
      <c r="F32" s="579" t="s">
        <v>984</v>
      </c>
    </row>
    <row r="33" spans="1:6" x14ac:dyDescent="0.25">
      <c r="A33" s="362">
        <f t="shared" si="1"/>
        <v>29</v>
      </c>
      <c r="B33" s="362" t="s">
        <v>251</v>
      </c>
      <c r="C33" s="362" t="s">
        <v>309</v>
      </c>
      <c r="D33" s="559">
        <v>500</v>
      </c>
      <c r="E33" s="579" t="s">
        <v>983</v>
      </c>
      <c r="F33" s="579" t="s">
        <v>984</v>
      </c>
    </row>
    <row r="34" spans="1:6" x14ac:dyDescent="0.25">
      <c r="A34" s="362">
        <f t="shared" si="1"/>
        <v>30</v>
      </c>
      <c r="B34" s="362" t="s">
        <v>251</v>
      </c>
      <c r="C34" s="362" t="s">
        <v>310</v>
      </c>
      <c r="D34" s="559">
        <v>500</v>
      </c>
      <c r="E34" s="579" t="s">
        <v>983</v>
      </c>
      <c r="F34" s="579" t="s">
        <v>984</v>
      </c>
    </row>
    <row r="35" spans="1:6" x14ac:dyDescent="0.25">
      <c r="A35" s="362">
        <f t="shared" si="1"/>
        <v>31</v>
      </c>
      <c r="B35" s="362" t="s">
        <v>251</v>
      </c>
      <c r="C35" s="362" t="s">
        <v>311</v>
      </c>
      <c r="D35" s="559">
        <v>500</v>
      </c>
      <c r="E35" s="579" t="s">
        <v>983</v>
      </c>
      <c r="F35" s="579" t="s">
        <v>984</v>
      </c>
    </row>
    <row r="36" spans="1:6" x14ac:dyDescent="0.25">
      <c r="A36" s="362">
        <f t="shared" si="1"/>
        <v>32</v>
      </c>
      <c r="B36" s="362" t="s">
        <v>251</v>
      </c>
      <c r="C36" s="362" t="s">
        <v>313</v>
      </c>
      <c r="D36" s="559">
        <v>500</v>
      </c>
      <c r="E36" s="579" t="s">
        <v>983</v>
      </c>
      <c r="F36" s="579" t="s">
        <v>984</v>
      </c>
    </row>
    <row r="37" spans="1:6" x14ac:dyDescent="0.25">
      <c r="A37" s="362">
        <f t="shared" si="1"/>
        <v>33</v>
      </c>
      <c r="B37" s="362" t="s">
        <v>251</v>
      </c>
      <c r="C37" s="362" t="s">
        <v>314</v>
      </c>
      <c r="D37" s="559">
        <v>500</v>
      </c>
      <c r="E37" s="579" t="s">
        <v>983</v>
      </c>
      <c r="F37" s="579" t="s">
        <v>984</v>
      </c>
    </row>
    <row r="38" spans="1:6" x14ac:dyDescent="0.25">
      <c r="A38" s="362">
        <f t="shared" si="1"/>
        <v>34</v>
      </c>
      <c r="B38" s="362" t="s">
        <v>251</v>
      </c>
      <c r="C38" s="362" t="s">
        <v>1680</v>
      </c>
      <c r="D38" s="559">
        <v>5000</v>
      </c>
      <c r="E38" s="579" t="s">
        <v>983</v>
      </c>
      <c r="F38" s="579" t="s">
        <v>984</v>
      </c>
    </row>
    <row r="39" spans="1:6" x14ac:dyDescent="0.25">
      <c r="A39" s="362">
        <f t="shared" si="1"/>
        <v>35</v>
      </c>
      <c r="B39" s="362" t="s">
        <v>251</v>
      </c>
      <c r="C39" s="362" t="s">
        <v>315</v>
      </c>
      <c r="D39" s="559">
        <v>500</v>
      </c>
      <c r="E39" s="579" t="s">
        <v>983</v>
      </c>
      <c r="F39" s="579" t="s">
        <v>984</v>
      </c>
    </row>
    <row r="40" spans="1:6" x14ac:dyDescent="0.25">
      <c r="A40" s="362">
        <f t="shared" si="1"/>
        <v>36</v>
      </c>
      <c r="B40" s="362" t="s">
        <v>251</v>
      </c>
      <c r="C40" s="362" t="s">
        <v>316</v>
      </c>
      <c r="D40" s="559">
        <v>500</v>
      </c>
      <c r="E40" s="579" t="s">
        <v>983</v>
      </c>
      <c r="F40" s="579" t="s">
        <v>984</v>
      </c>
    </row>
    <row r="41" spans="1:6" x14ac:dyDescent="0.25">
      <c r="A41" s="362">
        <f t="shared" si="1"/>
        <v>37</v>
      </c>
      <c r="B41" s="362" t="s">
        <v>251</v>
      </c>
      <c r="C41" s="362" t="s">
        <v>317</v>
      </c>
      <c r="D41" s="559">
        <v>500</v>
      </c>
      <c r="E41" s="579" t="s">
        <v>983</v>
      </c>
      <c r="F41" s="579" t="s">
        <v>984</v>
      </c>
    </row>
    <row r="42" spans="1:6" x14ac:dyDescent="0.25">
      <c r="A42" s="362">
        <f t="shared" si="1"/>
        <v>38</v>
      </c>
      <c r="B42" s="362" t="s">
        <v>251</v>
      </c>
      <c r="C42" s="362" t="s">
        <v>318</v>
      </c>
      <c r="D42" s="559">
        <v>3000</v>
      </c>
      <c r="E42" s="579" t="s">
        <v>983</v>
      </c>
      <c r="F42" s="579" t="s">
        <v>984</v>
      </c>
    </row>
    <row r="43" spans="1:6" x14ac:dyDescent="0.25">
      <c r="A43" s="362">
        <f t="shared" si="1"/>
        <v>39</v>
      </c>
      <c r="B43" s="362" t="s">
        <v>251</v>
      </c>
      <c r="C43" s="362" t="s">
        <v>939</v>
      </c>
      <c r="D43" s="559">
        <v>4000</v>
      </c>
      <c r="E43" s="579" t="s">
        <v>983</v>
      </c>
      <c r="F43" s="579" t="s">
        <v>984</v>
      </c>
    </row>
    <row r="44" spans="1:6" x14ac:dyDescent="0.25">
      <c r="A44" s="362">
        <f t="shared" si="1"/>
        <v>40</v>
      </c>
      <c r="B44" s="362" t="s">
        <v>251</v>
      </c>
      <c r="C44" s="362" t="s">
        <v>1681</v>
      </c>
      <c r="D44" s="559">
        <v>5000</v>
      </c>
      <c r="E44" s="579" t="s">
        <v>983</v>
      </c>
      <c r="F44" s="579" t="s">
        <v>984</v>
      </c>
    </row>
    <row r="45" spans="1:6" x14ac:dyDescent="0.25">
      <c r="A45" s="362">
        <f t="shared" si="1"/>
        <v>41</v>
      </c>
      <c r="B45" s="362" t="s">
        <v>251</v>
      </c>
      <c r="C45" s="362" t="s">
        <v>1682</v>
      </c>
      <c r="D45" s="559">
        <v>500</v>
      </c>
      <c r="E45" s="579" t="s">
        <v>983</v>
      </c>
      <c r="F45" s="579" t="s">
        <v>984</v>
      </c>
    </row>
    <row r="46" spans="1:6" x14ac:dyDescent="0.25">
      <c r="A46" s="362">
        <f t="shared" si="1"/>
        <v>42</v>
      </c>
      <c r="B46" s="362" t="s">
        <v>251</v>
      </c>
      <c r="C46" s="362" t="s">
        <v>1917</v>
      </c>
      <c r="D46" s="559">
        <v>3000</v>
      </c>
      <c r="E46" s="579" t="s">
        <v>983</v>
      </c>
      <c r="F46" s="579" t="s">
        <v>984</v>
      </c>
    </row>
    <row r="47" spans="1:6" x14ac:dyDescent="0.25">
      <c r="A47" s="362">
        <f t="shared" si="1"/>
        <v>43</v>
      </c>
      <c r="B47" s="362" t="s">
        <v>251</v>
      </c>
      <c r="C47" s="362" t="s">
        <v>1918</v>
      </c>
      <c r="D47" s="559">
        <v>2000</v>
      </c>
      <c r="E47" s="579" t="s">
        <v>983</v>
      </c>
      <c r="F47" s="579" t="s">
        <v>984</v>
      </c>
    </row>
    <row r="48" spans="1:6" s="544" customFormat="1" ht="30" x14ac:dyDescent="0.25">
      <c r="A48" s="362">
        <f t="shared" si="1"/>
        <v>44</v>
      </c>
      <c r="B48" s="362" t="s">
        <v>319</v>
      </c>
      <c r="C48" s="363" t="s">
        <v>320</v>
      </c>
      <c r="D48" s="559">
        <v>500</v>
      </c>
      <c r="E48" s="579" t="s">
        <v>983</v>
      </c>
      <c r="F48" s="579" t="s">
        <v>984</v>
      </c>
    </row>
    <row r="49" spans="1:6" s="544" customFormat="1" ht="30" x14ac:dyDescent="0.25">
      <c r="A49" s="362">
        <f t="shared" si="1"/>
        <v>45</v>
      </c>
      <c r="B49" s="362" t="s">
        <v>319</v>
      </c>
      <c r="C49" s="363" t="s">
        <v>321</v>
      </c>
      <c r="D49" s="559">
        <v>500</v>
      </c>
      <c r="E49" s="579" t="s">
        <v>983</v>
      </c>
      <c r="F49" s="579" t="s">
        <v>984</v>
      </c>
    </row>
    <row r="50" spans="1:6" s="544" customFormat="1" ht="30" x14ac:dyDescent="0.25">
      <c r="A50" s="362">
        <f t="shared" si="1"/>
        <v>46</v>
      </c>
      <c r="B50" s="362" t="s">
        <v>319</v>
      </c>
      <c r="C50" s="363" t="s">
        <v>322</v>
      </c>
      <c r="D50" s="559">
        <v>500</v>
      </c>
      <c r="E50" s="579" t="s">
        <v>983</v>
      </c>
      <c r="F50" s="579" t="s">
        <v>984</v>
      </c>
    </row>
    <row r="51" spans="1:6" s="544" customFormat="1" x14ac:dyDescent="0.25">
      <c r="A51" s="362">
        <f t="shared" si="1"/>
        <v>47</v>
      </c>
      <c r="B51" s="362" t="s">
        <v>319</v>
      </c>
      <c r="C51" s="363" t="s">
        <v>323</v>
      </c>
      <c r="D51" s="559">
        <v>500</v>
      </c>
      <c r="E51" s="579" t="s">
        <v>983</v>
      </c>
      <c r="F51" s="579" t="s">
        <v>984</v>
      </c>
    </row>
    <row r="52" spans="1:6" x14ac:dyDescent="0.25">
      <c r="A52" s="362">
        <f t="shared" si="1"/>
        <v>48</v>
      </c>
      <c r="B52" s="362" t="s">
        <v>252</v>
      </c>
      <c r="C52" s="362" t="s">
        <v>1707</v>
      </c>
      <c r="D52" s="559">
        <v>4000</v>
      </c>
      <c r="E52" s="579"/>
      <c r="F52" s="579"/>
    </row>
    <row r="53" spans="1:6" x14ac:dyDescent="0.25">
      <c r="A53" s="362">
        <f t="shared" si="1"/>
        <v>49</v>
      </c>
      <c r="B53" s="362" t="s">
        <v>252</v>
      </c>
      <c r="C53" s="362" t="s">
        <v>324</v>
      </c>
      <c r="D53" s="559">
        <f>'CADASTRO BASE RECEITA '!I65</f>
        <v>24.127500000000001</v>
      </c>
      <c r="E53" s="579" t="s">
        <v>983</v>
      </c>
      <c r="F53" s="579" t="s">
        <v>984</v>
      </c>
    </row>
    <row r="54" spans="1:6" s="544" customFormat="1" ht="30" x14ac:dyDescent="0.25">
      <c r="A54" s="362">
        <f t="shared" si="1"/>
        <v>50</v>
      </c>
      <c r="B54" s="362" t="s">
        <v>252</v>
      </c>
      <c r="C54" s="363" t="s">
        <v>325</v>
      </c>
      <c r="D54" s="560">
        <f>'CADASTRO BASE RECEITA '!I66</f>
        <v>24075.228749999998</v>
      </c>
      <c r="E54" s="579" t="s">
        <v>983</v>
      </c>
      <c r="F54" s="579" t="s">
        <v>984</v>
      </c>
    </row>
    <row r="55" spans="1:6" s="544" customFormat="1" x14ac:dyDescent="0.25">
      <c r="A55" s="362">
        <f t="shared" si="1"/>
        <v>51</v>
      </c>
      <c r="B55" s="362" t="s">
        <v>252</v>
      </c>
      <c r="C55" s="363" t="s">
        <v>326</v>
      </c>
      <c r="D55" s="560">
        <f>'CADASTRO BASE RECEITA '!I67</f>
        <v>1142.36625</v>
      </c>
      <c r="E55" s="579" t="s">
        <v>983</v>
      </c>
      <c r="F55" s="579" t="s">
        <v>984</v>
      </c>
    </row>
    <row r="56" spans="1:6" s="544" customFormat="1" x14ac:dyDescent="0.25">
      <c r="A56" s="362">
        <f t="shared" si="1"/>
        <v>52</v>
      </c>
      <c r="B56" s="362" t="s">
        <v>252</v>
      </c>
      <c r="C56" s="363" t="s">
        <v>327</v>
      </c>
      <c r="D56" s="560">
        <f>'CADASTRO BASE RECEITA '!I68</f>
        <v>927.03749999999991</v>
      </c>
      <c r="E56" s="579" t="s">
        <v>983</v>
      </c>
      <c r="F56" s="579" t="s">
        <v>984</v>
      </c>
    </row>
    <row r="57" spans="1:6" s="544" customFormat="1" x14ac:dyDescent="0.25">
      <c r="A57" s="362">
        <f t="shared" si="1"/>
        <v>53</v>
      </c>
      <c r="B57" s="362" t="s">
        <v>252</v>
      </c>
      <c r="C57" s="363" t="s">
        <v>328</v>
      </c>
      <c r="D57" s="560">
        <f>'CADASTRO BASE RECEITA '!I70</f>
        <v>2085.6887500000003</v>
      </c>
      <c r="E57" s="579" t="s">
        <v>983</v>
      </c>
      <c r="F57" s="579" t="s">
        <v>984</v>
      </c>
    </row>
    <row r="58" spans="1:6" s="544" customFormat="1" x14ac:dyDescent="0.25">
      <c r="A58" s="362">
        <f t="shared" si="1"/>
        <v>54</v>
      </c>
      <c r="B58" s="362" t="s">
        <v>252</v>
      </c>
      <c r="C58" s="363" t="s">
        <v>329</v>
      </c>
      <c r="D58" s="560">
        <f>'CADASTRO BASE RECEITA '!I71</f>
        <v>421.6825</v>
      </c>
      <c r="E58" s="579" t="s">
        <v>983</v>
      </c>
      <c r="F58" s="579" t="s">
        <v>984</v>
      </c>
    </row>
    <row r="59" spans="1:6" s="544" customFormat="1" x14ac:dyDescent="0.25">
      <c r="A59" s="362">
        <f t="shared" si="1"/>
        <v>55</v>
      </c>
      <c r="B59" s="362" t="s">
        <v>252</v>
      </c>
      <c r="C59" s="363" t="s">
        <v>6630</v>
      </c>
      <c r="D59" s="560">
        <v>100</v>
      </c>
      <c r="E59" s="579" t="s">
        <v>983</v>
      </c>
      <c r="F59" s="579" t="s">
        <v>984</v>
      </c>
    </row>
    <row r="60" spans="1:6" s="544" customFormat="1" x14ac:dyDescent="0.25">
      <c r="A60" s="362">
        <f t="shared" si="1"/>
        <v>56</v>
      </c>
      <c r="B60" s="362" t="s">
        <v>252</v>
      </c>
      <c r="C60" s="363" t="s">
        <v>330</v>
      </c>
      <c r="D60" s="560">
        <f>'CADASTRO BASE RECEITA '!I75</f>
        <v>380.68125000000003</v>
      </c>
      <c r="E60" s="579" t="s">
        <v>983</v>
      </c>
      <c r="F60" s="579" t="s">
        <v>984</v>
      </c>
    </row>
    <row r="61" spans="1:6" s="544" customFormat="1" x14ac:dyDescent="0.25">
      <c r="A61" s="362">
        <f t="shared" si="1"/>
        <v>57</v>
      </c>
      <c r="B61" s="362" t="s">
        <v>252</v>
      </c>
      <c r="C61" s="363" t="s">
        <v>331</v>
      </c>
      <c r="D61" s="560">
        <v>100</v>
      </c>
      <c r="E61" s="579" t="s">
        <v>983</v>
      </c>
      <c r="F61" s="579" t="s">
        <v>984</v>
      </c>
    </row>
    <row r="62" spans="1:6" s="544" customFormat="1" x14ac:dyDescent="0.25">
      <c r="A62" s="362">
        <f t="shared" si="1"/>
        <v>58</v>
      </c>
      <c r="B62" s="362" t="s">
        <v>252</v>
      </c>
      <c r="C62" s="363" t="s">
        <v>457</v>
      </c>
      <c r="D62" s="560">
        <v>100</v>
      </c>
      <c r="E62" s="579" t="s">
        <v>983</v>
      </c>
      <c r="F62" s="579" t="s">
        <v>984</v>
      </c>
    </row>
    <row r="63" spans="1:6" s="544" customFormat="1" x14ac:dyDescent="0.25">
      <c r="A63" s="362">
        <f t="shared" si="1"/>
        <v>59</v>
      </c>
      <c r="B63" s="362" t="s">
        <v>252</v>
      </c>
      <c r="C63" s="363" t="s">
        <v>959</v>
      </c>
      <c r="D63" s="560">
        <v>100</v>
      </c>
      <c r="E63" s="579" t="s">
        <v>983</v>
      </c>
      <c r="F63" s="579" t="s">
        <v>984</v>
      </c>
    </row>
    <row r="64" spans="1:6" s="544" customFormat="1" x14ac:dyDescent="0.25">
      <c r="A64" s="362">
        <f t="shared" si="1"/>
        <v>60</v>
      </c>
      <c r="B64" s="362" t="s">
        <v>252</v>
      </c>
      <c r="C64" s="363" t="s">
        <v>6633</v>
      </c>
      <c r="D64" s="560">
        <v>100</v>
      </c>
      <c r="E64" s="579" t="s">
        <v>983</v>
      </c>
      <c r="F64" s="579" t="s">
        <v>984</v>
      </c>
    </row>
    <row r="65" spans="1:6" s="544" customFormat="1" x14ac:dyDescent="0.25">
      <c r="A65" s="362">
        <f t="shared" si="1"/>
        <v>61</v>
      </c>
      <c r="B65" s="362" t="s">
        <v>252</v>
      </c>
      <c r="C65" s="363" t="s">
        <v>332</v>
      </c>
      <c r="D65" s="560">
        <f>'CADASTRO BASE RECEITA '!I80</f>
        <v>209.55874999999997</v>
      </c>
      <c r="E65" s="579" t="s">
        <v>983</v>
      </c>
      <c r="F65" s="579" t="s">
        <v>984</v>
      </c>
    </row>
    <row r="66" spans="1:6" s="544" customFormat="1" x14ac:dyDescent="0.25">
      <c r="A66" s="362">
        <f t="shared" si="1"/>
        <v>62</v>
      </c>
      <c r="B66" s="362" t="s">
        <v>252</v>
      </c>
      <c r="C66" s="363" t="s">
        <v>333</v>
      </c>
      <c r="D66" s="560">
        <f>'CADASTRO BASE RECEITA '!I81</f>
        <v>1424.2912500000002</v>
      </c>
      <c r="E66" s="579" t="s">
        <v>983</v>
      </c>
      <c r="F66" s="579" t="s">
        <v>984</v>
      </c>
    </row>
    <row r="67" spans="1:6" s="544" customFormat="1" x14ac:dyDescent="0.25">
      <c r="A67" s="362">
        <f t="shared" si="1"/>
        <v>63</v>
      </c>
      <c r="B67" s="362" t="s">
        <v>252</v>
      </c>
      <c r="C67" s="363" t="s">
        <v>334</v>
      </c>
      <c r="D67" s="560">
        <f>'CADASTRO BASE RECEITA '!I82</f>
        <v>70.926249999999996</v>
      </c>
      <c r="E67" s="579" t="s">
        <v>983</v>
      </c>
      <c r="F67" s="579" t="s">
        <v>984</v>
      </c>
    </row>
    <row r="68" spans="1:6" s="544" customFormat="1" x14ac:dyDescent="0.25">
      <c r="A68" s="362">
        <f t="shared" si="1"/>
        <v>64</v>
      </c>
      <c r="B68" s="362" t="s">
        <v>252</v>
      </c>
      <c r="C68" s="363" t="s">
        <v>335</v>
      </c>
      <c r="D68" s="560">
        <f>'CADASTRO BASE RECEITA '!I83</f>
        <v>1200.4775</v>
      </c>
      <c r="E68" s="579" t="s">
        <v>983</v>
      </c>
      <c r="F68" s="579" t="s">
        <v>984</v>
      </c>
    </row>
    <row r="69" spans="1:6" s="544" customFormat="1" x14ac:dyDescent="0.25">
      <c r="A69" s="362">
        <f t="shared" si="1"/>
        <v>65</v>
      </c>
      <c r="B69" s="362" t="s">
        <v>252</v>
      </c>
      <c r="C69" s="363" t="s">
        <v>336</v>
      </c>
      <c r="D69" s="560">
        <f>'CADASTRO BASE RECEITA '!I84</f>
        <v>8428.1162500000009</v>
      </c>
      <c r="E69" s="579" t="s">
        <v>983</v>
      </c>
      <c r="F69" s="579" t="s">
        <v>984</v>
      </c>
    </row>
    <row r="70" spans="1:6" x14ac:dyDescent="0.25">
      <c r="A70" s="362">
        <f t="shared" si="1"/>
        <v>66</v>
      </c>
      <c r="B70" s="362" t="s">
        <v>252</v>
      </c>
      <c r="C70" s="362" t="s">
        <v>337</v>
      </c>
      <c r="D70" s="560">
        <f>'CADASTRO BASE RECEITA '!I85</f>
        <v>790.3175</v>
      </c>
      <c r="E70" s="579" t="s">
        <v>983</v>
      </c>
      <c r="F70" s="579" t="s">
        <v>984</v>
      </c>
    </row>
    <row r="71" spans="1:6" x14ac:dyDescent="0.25">
      <c r="A71" s="362">
        <f t="shared" si="1"/>
        <v>67</v>
      </c>
      <c r="B71" s="362" t="s">
        <v>252</v>
      </c>
      <c r="C71" s="362" t="s">
        <v>338</v>
      </c>
      <c r="D71" s="559">
        <f>'CADASTRO BASE RECEITA '!I90</f>
        <v>58.264999999999993</v>
      </c>
      <c r="E71" s="579" t="s">
        <v>983</v>
      </c>
      <c r="F71" s="579" t="s">
        <v>984</v>
      </c>
    </row>
    <row r="72" spans="1:6" x14ac:dyDescent="0.25">
      <c r="A72" s="362">
        <f t="shared" si="1"/>
        <v>68</v>
      </c>
      <c r="B72" s="362" t="s">
        <v>252</v>
      </c>
      <c r="C72" s="362" t="s">
        <v>339</v>
      </c>
      <c r="D72" s="559">
        <f>'CADASTRO BASE RECEITA '!I91</f>
        <v>695.03125</v>
      </c>
      <c r="E72" s="579" t="s">
        <v>983</v>
      </c>
      <c r="F72" s="579" t="s">
        <v>984</v>
      </c>
    </row>
    <row r="73" spans="1:6" x14ac:dyDescent="0.25">
      <c r="A73" s="362">
        <f t="shared" si="1"/>
        <v>69</v>
      </c>
      <c r="B73" s="362" t="s">
        <v>252</v>
      </c>
      <c r="C73" s="362" t="s">
        <v>898</v>
      </c>
      <c r="D73" s="559">
        <f>'CADASTRO BASE RECEITA '!I93</f>
        <v>61.082500000000003</v>
      </c>
      <c r="E73" s="579" t="s">
        <v>983</v>
      </c>
      <c r="F73" s="579" t="s">
        <v>984</v>
      </c>
    </row>
    <row r="74" spans="1:6" x14ac:dyDescent="0.25">
      <c r="A74" s="362">
        <f t="shared" si="1"/>
        <v>70</v>
      </c>
      <c r="B74" s="362" t="s">
        <v>252</v>
      </c>
      <c r="C74" s="362" t="s">
        <v>340</v>
      </c>
      <c r="D74" s="559">
        <v>50</v>
      </c>
      <c r="E74" s="579" t="s">
        <v>983</v>
      </c>
      <c r="F74" s="579" t="s">
        <v>984</v>
      </c>
    </row>
    <row r="75" spans="1:6" x14ac:dyDescent="0.25">
      <c r="A75" s="362">
        <f t="shared" si="1"/>
        <v>71</v>
      </c>
      <c r="B75" s="362" t="s">
        <v>252</v>
      </c>
      <c r="C75" s="362" t="s">
        <v>341</v>
      </c>
      <c r="D75" s="559">
        <v>50</v>
      </c>
      <c r="E75" s="579" t="s">
        <v>983</v>
      </c>
      <c r="F75" s="579" t="s">
        <v>984</v>
      </c>
    </row>
    <row r="76" spans="1:6" x14ac:dyDescent="0.25">
      <c r="A76" s="362">
        <f t="shared" si="1"/>
        <v>72</v>
      </c>
      <c r="B76" s="362" t="s">
        <v>252</v>
      </c>
      <c r="C76" s="362" t="s">
        <v>424</v>
      </c>
      <c r="D76" s="559">
        <v>50</v>
      </c>
      <c r="E76" s="579" t="s">
        <v>983</v>
      </c>
      <c r="F76" s="579" t="s">
        <v>984</v>
      </c>
    </row>
    <row r="77" spans="1:6" x14ac:dyDescent="0.25">
      <c r="A77" s="362">
        <f t="shared" si="1"/>
        <v>73</v>
      </c>
      <c r="B77" s="362" t="s">
        <v>252</v>
      </c>
      <c r="C77" s="362" t="s">
        <v>957</v>
      </c>
      <c r="D77" s="559">
        <f>'CADASTRO BASE RECEITA '!I102</f>
        <v>326.06875000000002</v>
      </c>
      <c r="E77" s="579" t="s">
        <v>983</v>
      </c>
      <c r="F77" s="579" t="s">
        <v>984</v>
      </c>
    </row>
    <row r="78" spans="1:6" x14ac:dyDescent="0.25">
      <c r="A78" s="362">
        <f t="shared" si="1"/>
        <v>74</v>
      </c>
      <c r="B78" s="362" t="s">
        <v>252</v>
      </c>
      <c r="C78" s="362" t="s">
        <v>6637</v>
      </c>
      <c r="D78" s="559">
        <v>100</v>
      </c>
      <c r="E78" s="579" t="s">
        <v>983</v>
      </c>
      <c r="F78" s="579" t="s">
        <v>984</v>
      </c>
    </row>
    <row r="79" spans="1:6" x14ac:dyDescent="0.25">
      <c r="A79" s="362">
        <f t="shared" si="1"/>
        <v>75</v>
      </c>
      <c r="B79" s="362" t="s">
        <v>252</v>
      </c>
      <c r="C79" s="362" t="s">
        <v>342</v>
      </c>
      <c r="D79" s="559">
        <f>'CADASTRO BASE RECEITA '!I97</f>
        <v>1566.5012500000003</v>
      </c>
      <c r="E79" s="579" t="s">
        <v>983</v>
      </c>
      <c r="F79" s="579" t="s">
        <v>984</v>
      </c>
    </row>
    <row r="80" spans="1:6" x14ac:dyDescent="0.25">
      <c r="A80" s="362">
        <f t="shared" si="1"/>
        <v>76</v>
      </c>
      <c r="B80" s="362" t="s">
        <v>252</v>
      </c>
      <c r="C80" s="362" t="s">
        <v>343</v>
      </c>
      <c r="D80" s="559">
        <f>'CADASTRO BASE RECEITA '!I98</f>
        <v>4185.7700000000004</v>
      </c>
      <c r="E80" s="579" t="s">
        <v>983</v>
      </c>
      <c r="F80" s="579" t="s">
        <v>984</v>
      </c>
    </row>
    <row r="81" spans="1:6" x14ac:dyDescent="0.25">
      <c r="A81" s="362">
        <f t="shared" si="1"/>
        <v>77</v>
      </c>
      <c r="B81" s="362" t="s">
        <v>252</v>
      </c>
      <c r="C81" s="362" t="s">
        <v>960</v>
      </c>
      <c r="D81" s="559">
        <v>50</v>
      </c>
      <c r="E81" s="579" t="s">
        <v>983</v>
      </c>
      <c r="F81" s="579" t="s">
        <v>984</v>
      </c>
    </row>
    <row r="82" spans="1:6" x14ac:dyDescent="0.25">
      <c r="A82" s="362">
        <f t="shared" si="1"/>
        <v>78</v>
      </c>
      <c r="B82" s="362" t="s">
        <v>252</v>
      </c>
      <c r="C82" s="362" t="s">
        <v>1726</v>
      </c>
      <c r="D82" s="559">
        <v>50</v>
      </c>
      <c r="E82" s="579" t="s">
        <v>983</v>
      </c>
      <c r="F82" s="579" t="s">
        <v>984</v>
      </c>
    </row>
    <row r="83" spans="1:6" x14ac:dyDescent="0.25">
      <c r="A83" s="362">
        <f t="shared" si="1"/>
        <v>79</v>
      </c>
      <c r="B83" s="362" t="s">
        <v>252</v>
      </c>
      <c r="C83" s="580" t="s">
        <v>6787</v>
      </c>
      <c r="D83" s="559">
        <v>50</v>
      </c>
      <c r="E83" s="579" t="s">
        <v>983</v>
      </c>
      <c r="F83" s="579" t="s">
        <v>984</v>
      </c>
    </row>
    <row r="84" spans="1:6" x14ac:dyDescent="0.25">
      <c r="A84" s="362">
        <f t="shared" si="1"/>
        <v>80</v>
      </c>
      <c r="B84" s="362" t="s">
        <v>252</v>
      </c>
      <c r="C84" s="580" t="s">
        <v>6789</v>
      </c>
      <c r="D84" s="559">
        <v>50</v>
      </c>
      <c r="E84" s="579" t="s">
        <v>983</v>
      </c>
      <c r="F84" s="579" t="s">
        <v>984</v>
      </c>
    </row>
    <row r="85" spans="1:6" x14ac:dyDescent="0.25">
      <c r="A85" s="362">
        <f t="shared" si="1"/>
        <v>81</v>
      </c>
      <c r="B85" s="362" t="s">
        <v>252</v>
      </c>
      <c r="C85" s="362" t="s">
        <v>344</v>
      </c>
      <c r="D85" s="559">
        <f>'CADASTRO BASE RECEITA '!I103</f>
        <v>20381.177499999998</v>
      </c>
      <c r="E85" s="579" t="s">
        <v>983</v>
      </c>
      <c r="F85" s="579" t="s">
        <v>984</v>
      </c>
    </row>
    <row r="86" spans="1:6" x14ac:dyDescent="0.25">
      <c r="A86" s="362">
        <f t="shared" ref="A86:A149" si="2">A85+1</f>
        <v>82</v>
      </c>
      <c r="B86" s="362" t="s">
        <v>252</v>
      </c>
      <c r="C86" s="362" t="s">
        <v>940</v>
      </c>
      <c r="D86" s="559">
        <v>100</v>
      </c>
      <c r="E86" s="579" t="s">
        <v>983</v>
      </c>
      <c r="F86" s="579" t="s">
        <v>984</v>
      </c>
    </row>
    <row r="87" spans="1:6" x14ac:dyDescent="0.25">
      <c r="A87" s="362">
        <f t="shared" si="2"/>
        <v>83</v>
      </c>
      <c r="B87" s="362" t="s">
        <v>252</v>
      </c>
      <c r="C87" s="362" t="s">
        <v>6640</v>
      </c>
      <c r="D87" s="559">
        <v>50</v>
      </c>
      <c r="E87" s="579" t="s">
        <v>983</v>
      </c>
      <c r="F87" s="579" t="s">
        <v>984</v>
      </c>
    </row>
    <row r="88" spans="1:6" x14ac:dyDescent="0.25">
      <c r="A88" s="362">
        <f t="shared" si="2"/>
        <v>84</v>
      </c>
      <c r="B88" s="362" t="s">
        <v>346</v>
      </c>
      <c r="C88" s="362" t="s">
        <v>345</v>
      </c>
      <c r="D88" s="559">
        <v>100</v>
      </c>
      <c r="E88" s="579" t="s">
        <v>983</v>
      </c>
      <c r="F88" s="579" t="s">
        <v>984</v>
      </c>
    </row>
    <row r="89" spans="1:6" x14ac:dyDescent="0.25">
      <c r="A89" s="362">
        <f t="shared" si="2"/>
        <v>85</v>
      </c>
      <c r="B89" s="362" t="s">
        <v>346</v>
      </c>
      <c r="C89" s="362" t="s">
        <v>1737</v>
      </c>
      <c r="D89" s="559">
        <v>1000</v>
      </c>
      <c r="E89" s="579" t="s">
        <v>983</v>
      </c>
      <c r="F89" s="579" t="s">
        <v>984</v>
      </c>
    </row>
    <row r="90" spans="1:6" x14ac:dyDescent="0.25">
      <c r="A90" s="362">
        <f t="shared" si="2"/>
        <v>86</v>
      </c>
      <c r="B90" s="362" t="s">
        <v>346</v>
      </c>
      <c r="C90" s="362" t="s">
        <v>347</v>
      </c>
      <c r="D90" s="559">
        <v>100</v>
      </c>
      <c r="E90" s="579" t="s">
        <v>983</v>
      </c>
      <c r="F90" s="579" t="s">
        <v>984</v>
      </c>
    </row>
    <row r="91" spans="1:6" x14ac:dyDescent="0.25">
      <c r="A91" s="362">
        <f t="shared" si="2"/>
        <v>87</v>
      </c>
      <c r="B91" s="362" t="s">
        <v>346</v>
      </c>
      <c r="C91" s="362" t="s">
        <v>348</v>
      </c>
      <c r="D91" s="560">
        <v>100</v>
      </c>
      <c r="E91" s="579" t="s">
        <v>983</v>
      </c>
      <c r="F91" s="579" t="s">
        <v>984</v>
      </c>
    </row>
    <row r="92" spans="1:6" x14ac:dyDescent="0.25">
      <c r="A92" s="362">
        <f t="shared" si="2"/>
        <v>88</v>
      </c>
      <c r="B92" s="362" t="s">
        <v>346</v>
      </c>
      <c r="C92" s="362" t="s">
        <v>349</v>
      </c>
      <c r="D92" s="560">
        <v>100</v>
      </c>
      <c r="E92" s="579" t="s">
        <v>983</v>
      </c>
      <c r="F92" s="579" t="s">
        <v>984</v>
      </c>
    </row>
    <row r="93" spans="1:6" x14ac:dyDescent="0.25">
      <c r="A93" s="362">
        <f t="shared" si="2"/>
        <v>89</v>
      </c>
      <c r="B93" s="362" t="s">
        <v>346</v>
      </c>
      <c r="C93" s="362" t="s">
        <v>350</v>
      </c>
      <c r="D93" s="560">
        <v>100</v>
      </c>
      <c r="E93" s="579" t="s">
        <v>983</v>
      </c>
      <c r="F93" s="579" t="s">
        <v>984</v>
      </c>
    </row>
    <row r="94" spans="1:6" x14ac:dyDescent="0.25">
      <c r="A94" s="362">
        <f t="shared" si="2"/>
        <v>90</v>
      </c>
      <c r="B94" s="362" t="s">
        <v>346</v>
      </c>
      <c r="C94" s="362" t="s">
        <v>941</v>
      </c>
      <c r="D94" s="559">
        <f>5814.99/8*12</f>
        <v>8722.4850000000006</v>
      </c>
      <c r="E94" s="579" t="s">
        <v>983</v>
      </c>
      <c r="F94" s="579" t="s">
        <v>984</v>
      </c>
    </row>
    <row r="95" spans="1:6" x14ac:dyDescent="0.25">
      <c r="A95" s="362">
        <f t="shared" si="2"/>
        <v>91</v>
      </c>
      <c r="B95" s="362" t="s">
        <v>346</v>
      </c>
      <c r="C95" s="362" t="s">
        <v>942</v>
      </c>
      <c r="D95" s="559">
        <f>20041.63/8*12</f>
        <v>30062.445</v>
      </c>
      <c r="E95" s="579" t="s">
        <v>983</v>
      </c>
      <c r="F95" s="579" t="s">
        <v>984</v>
      </c>
    </row>
    <row r="96" spans="1:6" x14ac:dyDescent="0.25">
      <c r="A96" s="362">
        <f t="shared" si="2"/>
        <v>92</v>
      </c>
      <c r="B96" s="362" t="s">
        <v>346</v>
      </c>
      <c r="C96" s="362" t="s">
        <v>943</v>
      </c>
      <c r="D96" s="559">
        <v>500</v>
      </c>
      <c r="E96" s="579" t="s">
        <v>983</v>
      </c>
      <c r="F96" s="579" t="s">
        <v>984</v>
      </c>
    </row>
    <row r="97" spans="1:6" x14ac:dyDescent="0.25">
      <c r="A97" s="362">
        <f t="shared" si="2"/>
        <v>93</v>
      </c>
      <c r="B97" s="362" t="s">
        <v>346</v>
      </c>
      <c r="C97" s="362" t="s">
        <v>944</v>
      </c>
      <c r="D97" s="559">
        <v>500</v>
      </c>
      <c r="E97" s="579" t="s">
        <v>983</v>
      </c>
      <c r="F97" s="579" t="s">
        <v>984</v>
      </c>
    </row>
    <row r="98" spans="1:6" x14ac:dyDescent="0.25">
      <c r="A98" s="362">
        <f t="shared" si="2"/>
        <v>94</v>
      </c>
      <c r="B98" s="362" t="s">
        <v>346</v>
      </c>
      <c r="C98" s="362" t="s">
        <v>945</v>
      </c>
      <c r="D98" s="559">
        <v>500</v>
      </c>
      <c r="E98" s="579" t="s">
        <v>983</v>
      </c>
      <c r="F98" s="579" t="s">
        <v>984</v>
      </c>
    </row>
    <row r="99" spans="1:6" x14ac:dyDescent="0.25">
      <c r="A99" s="362">
        <f t="shared" si="2"/>
        <v>95</v>
      </c>
      <c r="B99" s="362" t="s">
        <v>346</v>
      </c>
      <c r="C99" s="362" t="s">
        <v>946</v>
      </c>
      <c r="D99" s="559">
        <f>1579.63/8*12</f>
        <v>2369.4450000000002</v>
      </c>
      <c r="E99" s="579" t="s">
        <v>983</v>
      </c>
      <c r="F99" s="579" t="s">
        <v>984</v>
      </c>
    </row>
    <row r="100" spans="1:6" x14ac:dyDescent="0.25">
      <c r="A100" s="362">
        <f t="shared" si="2"/>
        <v>96</v>
      </c>
      <c r="B100" s="362" t="s">
        <v>346</v>
      </c>
      <c r="C100" s="362" t="s">
        <v>947</v>
      </c>
      <c r="D100" s="559">
        <f>67.4/8*12</f>
        <v>101.10000000000001</v>
      </c>
      <c r="E100" s="579" t="s">
        <v>983</v>
      </c>
      <c r="F100" s="579" t="s">
        <v>984</v>
      </c>
    </row>
    <row r="101" spans="1:6" x14ac:dyDescent="0.25">
      <c r="A101" s="362">
        <f t="shared" si="2"/>
        <v>97</v>
      </c>
      <c r="B101" s="362" t="s">
        <v>346</v>
      </c>
      <c r="C101" s="362" t="s">
        <v>949</v>
      </c>
      <c r="D101" s="559">
        <f>33.7/8*12</f>
        <v>50.550000000000004</v>
      </c>
      <c r="E101" s="579" t="s">
        <v>983</v>
      </c>
      <c r="F101" s="579" t="s">
        <v>984</v>
      </c>
    </row>
    <row r="102" spans="1:6" x14ac:dyDescent="0.25">
      <c r="A102" s="362">
        <f t="shared" si="2"/>
        <v>98</v>
      </c>
      <c r="B102" s="362" t="s">
        <v>346</v>
      </c>
      <c r="C102" s="362" t="s">
        <v>944</v>
      </c>
      <c r="D102" s="559">
        <f>68.5/8*12</f>
        <v>102.75</v>
      </c>
      <c r="E102" s="579" t="s">
        <v>983</v>
      </c>
      <c r="F102" s="579" t="s">
        <v>984</v>
      </c>
    </row>
    <row r="103" spans="1:6" x14ac:dyDescent="0.25">
      <c r="A103" s="362">
        <f t="shared" si="2"/>
        <v>99</v>
      </c>
      <c r="B103" s="362" t="s">
        <v>346</v>
      </c>
      <c r="C103" s="362" t="s">
        <v>948</v>
      </c>
      <c r="D103" s="559">
        <f>673.32/8*12</f>
        <v>1009.98</v>
      </c>
      <c r="E103" s="579" t="s">
        <v>983</v>
      </c>
      <c r="F103" s="579" t="s">
        <v>984</v>
      </c>
    </row>
    <row r="104" spans="1:6" x14ac:dyDescent="0.25">
      <c r="A104" s="362">
        <f t="shared" si="2"/>
        <v>100</v>
      </c>
      <c r="B104" s="362" t="s">
        <v>346</v>
      </c>
      <c r="C104" s="362" t="s">
        <v>950</v>
      </c>
      <c r="D104" s="559">
        <f>(2544.5+6260.06)/8*12</f>
        <v>13206.840000000002</v>
      </c>
      <c r="E104" s="579" t="s">
        <v>983</v>
      </c>
      <c r="F104" s="579" t="s">
        <v>984</v>
      </c>
    </row>
    <row r="105" spans="1:6" x14ac:dyDescent="0.25">
      <c r="A105" s="362">
        <f t="shared" si="2"/>
        <v>101</v>
      </c>
      <c r="B105" s="362" t="s">
        <v>346</v>
      </c>
      <c r="C105" s="362" t="s">
        <v>951</v>
      </c>
      <c r="D105" s="559">
        <f>917.13/8*12</f>
        <v>1375.6949999999999</v>
      </c>
      <c r="E105" s="579" t="s">
        <v>983</v>
      </c>
      <c r="F105" s="579" t="s">
        <v>984</v>
      </c>
    </row>
    <row r="106" spans="1:6" x14ac:dyDescent="0.25">
      <c r="A106" s="362">
        <f t="shared" si="2"/>
        <v>102</v>
      </c>
      <c r="B106" s="362" t="s">
        <v>346</v>
      </c>
      <c r="C106" s="362" t="s">
        <v>952</v>
      </c>
      <c r="D106" s="559">
        <v>500</v>
      </c>
      <c r="E106" s="579" t="s">
        <v>983</v>
      </c>
      <c r="F106" s="579" t="s">
        <v>984</v>
      </c>
    </row>
    <row r="107" spans="1:6" x14ac:dyDescent="0.25">
      <c r="A107" s="362">
        <f t="shared" si="2"/>
        <v>103</v>
      </c>
      <c r="B107" s="362" t="s">
        <v>346</v>
      </c>
      <c r="C107" s="362" t="s">
        <v>953</v>
      </c>
      <c r="D107" s="559">
        <f>8271/8*12</f>
        <v>12406.5</v>
      </c>
      <c r="E107" s="579" t="s">
        <v>983</v>
      </c>
      <c r="F107" s="579" t="s">
        <v>984</v>
      </c>
    </row>
    <row r="108" spans="1:6" x14ac:dyDescent="0.25">
      <c r="A108" s="362">
        <f t="shared" si="2"/>
        <v>104</v>
      </c>
      <c r="B108" s="362" t="s">
        <v>346</v>
      </c>
      <c r="C108" s="362" t="s">
        <v>1927</v>
      </c>
      <c r="D108" s="559">
        <v>500</v>
      </c>
      <c r="E108" s="579" t="s">
        <v>983</v>
      </c>
      <c r="F108" s="579" t="s">
        <v>984</v>
      </c>
    </row>
    <row r="109" spans="1:6" x14ac:dyDescent="0.25">
      <c r="A109" s="362">
        <f t="shared" si="2"/>
        <v>105</v>
      </c>
      <c r="B109" s="362" t="s">
        <v>351</v>
      </c>
      <c r="C109" s="362" t="s">
        <v>6612</v>
      </c>
      <c r="D109" s="561">
        <v>6985256</v>
      </c>
      <c r="E109" s="579" t="s">
        <v>983</v>
      </c>
      <c r="F109" s="579" t="s">
        <v>984</v>
      </c>
    </row>
    <row r="110" spans="1:6" x14ac:dyDescent="0.25">
      <c r="A110" s="362">
        <f t="shared" si="2"/>
        <v>106</v>
      </c>
      <c r="B110" s="362" t="s">
        <v>351</v>
      </c>
      <c r="C110" s="362" t="s">
        <v>6613</v>
      </c>
      <c r="D110" s="561">
        <v>304633</v>
      </c>
      <c r="E110" s="579" t="s">
        <v>983</v>
      </c>
      <c r="F110" s="579" t="s">
        <v>984</v>
      </c>
    </row>
    <row r="111" spans="1:6" x14ac:dyDescent="0.25">
      <c r="A111" s="362">
        <f t="shared" si="2"/>
        <v>107</v>
      </c>
      <c r="B111" s="362" t="s">
        <v>351</v>
      </c>
      <c r="C111" s="362" t="s">
        <v>6614</v>
      </c>
      <c r="D111" s="561">
        <v>228813</v>
      </c>
      <c r="E111" s="579" t="s">
        <v>983</v>
      </c>
      <c r="F111" s="579" t="s">
        <v>984</v>
      </c>
    </row>
    <row r="112" spans="1:6" x14ac:dyDescent="0.25">
      <c r="A112" s="362">
        <f t="shared" si="2"/>
        <v>108</v>
      </c>
      <c r="B112" s="362" t="s">
        <v>351</v>
      </c>
      <c r="C112" s="362" t="s">
        <v>6601</v>
      </c>
      <c r="D112" s="559">
        <f>'Cresc. Arrec. Transf. Const.'!E24</f>
        <v>10689.612499999999</v>
      </c>
      <c r="E112" s="579" t="s">
        <v>983</v>
      </c>
      <c r="F112" s="579" t="s">
        <v>984</v>
      </c>
    </row>
    <row r="113" spans="1:6" x14ac:dyDescent="0.25">
      <c r="A113" s="362">
        <f t="shared" si="2"/>
        <v>109</v>
      </c>
      <c r="B113" s="362" t="s">
        <v>351</v>
      </c>
      <c r="C113" s="362" t="s">
        <v>6602</v>
      </c>
      <c r="D113" s="559">
        <f>'Cresc. Arrec. Transf. Const.'!E32</f>
        <v>84139.852500000008</v>
      </c>
      <c r="E113" s="579" t="s">
        <v>983</v>
      </c>
      <c r="F113" s="579" t="s">
        <v>984</v>
      </c>
    </row>
    <row r="114" spans="1:6" x14ac:dyDescent="0.25">
      <c r="A114" s="362">
        <f t="shared" si="2"/>
        <v>110</v>
      </c>
      <c r="B114" s="362" t="s">
        <v>351</v>
      </c>
      <c r="C114" s="362" t="s">
        <v>1757</v>
      </c>
      <c r="D114" s="559">
        <f>'Cresc. Arrec. Transf. Const.'!E31</f>
        <v>10200.669704953629</v>
      </c>
      <c r="E114" s="579" t="s">
        <v>983</v>
      </c>
      <c r="F114" s="579" t="s">
        <v>984</v>
      </c>
    </row>
    <row r="115" spans="1:6" x14ac:dyDescent="0.25">
      <c r="A115" s="362">
        <f t="shared" si="2"/>
        <v>111</v>
      </c>
      <c r="B115" s="362" t="s">
        <v>351</v>
      </c>
      <c r="C115" s="362" t="s">
        <v>352</v>
      </c>
      <c r="D115" s="559">
        <v>24.44</v>
      </c>
      <c r="E115" s="579" t="s">
        <v>983</v>
      </c>
      <c r="F115" s="579" t="s">
        <v>984</v>
      </c>
    </row>
    <row r="116" spans="1:6" x14ac:dyDescent="0.25">
      <c r="A116" s="362">
        <f t="shared" si="2"/>
        <v>112</v>
      </c>
      <c r="B116" s="362" t="s">
        <v>351</v>
      </c>
      <c r="C116" s="362" t="s">
        <v>353</v>
      </c>
      <c r="D116" s="562">
        <f>'CADASTRO BASE RECEITA '!B188</f>
        <v>5264</v>
      </c>
      <c r="E116" s="579" t="s">
        <v>983</v>
      </c>
      <c r="F116" s="579" t="s">
        <v>984</v>
      </c>
    </row>
    <row r="117" spans="1:6" x14ac:dyDescent="0.25">
      <c r="A117" s="362">
        <f t="shared" si="2"/>
        <v>113</v>
      </c>
      <c r="B117" s="362" t="s">
        <v>351</v>
      </c>
      <c r="C117" s="362" t="s">
        <v>354</v>
      </c>
      <c r="D117" s="559">
        <f>21919.69/5264</f>
        <v>4.1640748480243159</v>
      </c>
      <c r="E117" s="579" t="s">
        <v>983</v>
      </c>
      <c r="F117" s="579" t="s">
        <v>984</v>
      </c>
    </row>
    <row r="118" spans="1:6" x14ac:dyDescent="0.25">
      <c r="A118" s="362">
        <f t="shared" si="2"/>
        <v>114</v>
      </c>
      <c r="B118" s="362" t="s">
        <v>351</v>
      </c>
      <c r="C118" s="362" t="s">
        <v>355</v>
      </c>
      <c r="D118" s="559">
        <f>21925.8/5264</f>
        <v>4.1652355623100306</v>
      </c>
      <c r="E118" s="579" t="s">
        <v>983</v>
      </c>
      <c r="F118" s="579" t="s">
        <v>984</v>
      </c>
    </row>
    <row r="119" spans="1:6" x14ac:dyDescent="0.25">
      <c r="A119" s="362">
        <f t="shared" si="2"/>
        <v>115</v>
      </c>
      <c r="B119" s="362" t="s">
        <v>351</v>
      </c>
      <c r="C119" s="362" t="s">
        <v>356</v>
      </c>
      <c r="D119" s="559">
        <v>2200</v>
      </c>
      <c r="E119" s="579" t="s">
        <v>983</v>
      </c>
      <c r="F119" s="579" t="s">
        <v>984</v>
      </c>
    </row>
    <row r="120" spans="1:6" x14ac:dyDescent="0.25">
      <c r="A120" s="362">
        <f t="shared" si="2"/>
        <v>116</v>
      </c>
      <c r="B120" s="362" t="s">
        <v>351</v>
      </c>
      <c r="C120" s="362" t="s">
        <v>954</v>
      </c>
      <c r="D120" s="559">
        <f>56*12</f>
        <v>672</v>
      </c>
      <c r="E120" s="579" t="s">
        <v>983</v>
      </c>
      <c r="F120" s="579" t="s">
        <v>984</v>
      </c>
    </row>
    <row r="121" spans="1:6" x14ac:dyDescent="0.25">
      <c r="A121" s="362">
        <f t="shared" si="2"/>
        <v>117</v>
      </c>
      <c r="B121" s="362" t="s">
        <v>351</v>
      </c>
      <c r="C121" s="362" t="s">
        <v>357</v>
      </c>
      <c r="D121" s="563">
        <v>2</v>
      </c>
      <c r="E121" s="579" t="s">
        <v>983</v>
      </c>
      <c r="F121" s="579" t="s">
        <v>984</v>
      </c>
    </row>
    <row r="122" spans="1:6" x14ac:dyDescent="0.25">
      <c r="A122" s="362">
        <f t="shared" si="2"/>
        <v>118</v>
      </c>
      <c r="B122" s="362" t="s">
        <v>351</v>
      </c>
      <c r="C122" s="362" t="s">
        <v>358</v>
      </c>
      <c r="D122" s="559">
        <v>300</v>
      </c>
      <c r="E122" s="579" t="s">
        <v>983</v>
      </c>
      <c r="F122" s="579" t="s">
        <v>984</v>
      </c>
    </row>
    <row r="123" spans="1:6" s="115" customFormat="1" x14ac:dyDescent="0.25">
      <c r="A123" s="362">
        <f t="shared" si="2"/>
        <v>119</v>
      </c>
      <c r="B123" s="536" t="s">
        <v>351</v>
      </c>
      <c r="C123" s="536" t="s">
        <v>359</v>
      </c>
      <c r="D123" s="564">
        <v>391.92</v>
      </c>
      <c r="E123" s="581" t="s">
        <v>983</v>
      </c>
      <c r="F123" s="581" t="s">
        <v>984</v>
      </c>
    </row>
    <row r="124" spans="1:6" s="230" customFormat="1" x14ac:dyDescent="0.25">
      <c r="A124" s="362">
        <f t="shared" si="2"/>
        <v>120</v>
      </c>
      <c r="B124" s="364" t="s">
        <v>351</v>
      </c>
      <c r="C124" s="364" t="s">
        <v>6603</v>
      </c>
      <c r="D124" s="565">
        <v>103</v>
      </c>
      <c r="E124" s="582" t="s">
        <v>983</v>
      </c>
      <c r="F124" s="582" t="s">
        <v>984</v>
      </c>
    </row>
    <row r="125" spans="1:6" s="230" customFormat="1" x14ac:dyDescent="0.25">
      <c r="A125" s="362">
        <f t="shared" si="2"/>
        <v>121</v>
      </c>
      <c r="B125" s="364" t="s">
        <v>351</v>
      </c>
      <c r="C125" s="364" t="s">
        <v>6604</v>
      </c>
      <c r="D125" s="565">
        <v>286</v>
      </c>
      <c r="E125" s="582" t="s">
        <v>983</v>
      </c>
      <c r="F125" s="582" t="s">
        <v>984</v>
      </c>
    </row>
    <row r="126" spans="1:6" s="230" customFormat="1" x14ac:dyDescent="0.25">
      <c r="A126" s="362">
        <f t="shared" si="2"/>
        <v>122</v>
      </c>
      <c r="B126" s="364" t="s">
        <v>351</v>
      </c>
      <c r="C126" s="364" t="s">
        <v>6605</v>
      </c>
      <c r="D126" s="565">
        <v>253</v>
      </c>
      <c r="E126" s="582" t="s">
        <v>983</v>
      </c>
      <c r="F126" s="582" t="s">
        <v>984</v>
      </c>
    </row>
    <row r="127" spans="1:6" s="230" customFormat="1" x14ac:dyDescent="0.25">
      <c r="A127" s="362">
        <f t="shared" si="2"/>
        <v>123</v>
      </c>
      <c r="B127" s="364" t="s">
        <v>351</v>
      </c>
      <c r="C127" s="364" t="s">
        <v>6606</v>
      </c>
      <c r="D127" s="565">
        <v>18</v>
      </c>
      <c r="E127" s="582" t="s">
        <v>983</v>
      </c>
      <c r="F127" s="582" t="s">
        <v>984</v>
      </c>
    </row>
    <row r="128" spans="1:6" s="230" customFormat="1" x14ac:dyDescent="0.25">
      <c r="A128" s="362">
        <f t="shared" si="2"/>
        <v>124</v>
      </c>
      <c r="B128" s="364" t="s">
        <v>351</v>
      </c>
      <c r="C128" s="364" t="s">
        <v>6615</v>
      </c>
      <c r="D128" s="565">
        <v>2</v>
      </c>
      <c r="E128" s="582" t="s">
        <v>983</v>
      </c>
      <c r="F128" s="582" t="s">
        <v>984</v>
      </c>
    </row>
    <row r="129" spans="1:6" s="230" customFormat="1" x14ac:dyDescent="0.25">
      <c r="A129" s="362">
        <f t="shared" si="2"/>
        <v>125</v>
      </c>
      <c r="B129" s="364" t="s">
        <v>351</v>
      </c>
      <c r="C129" s="364" t="s">
        <v>6607</v>
      </c>
      <c r="D129" s="565">
        <v>0</v>
      </c>
      <c r="E129" s="582" t="s">
        <v>983</v>
      </c>
      <c r="F129" s="582" t="s">
        <v>984</v>
      </c>
    </row>
    <row r="130" spans="1:6" s="230" customFormat="1" x14ac:dyDescent="0.25">
      <c r="A130" s="362">
        <f t="shared" si="2"/>
        <v>126</v>
      </c>
      <c r="B130" s="364" t="s">
        <v>351</v>
      </c>
      <c r="C130" s="364" t="s">
        <v>6608</v>
      </c>
      <c r="D130" s="565">
        <v>16</v>
      </c>
      <c r="E130" s="582" t="s">
        <v>983</v>
      </c>
      <c r="F130" s="582" t="s">
        <v>984</v>
      </c>
    </row>
    <row r="131" spans="1:6" s="230" customFormat="1" x14ac:dyDescent="0.25">
      <c r="A131" s="362">
        <f t="shared" si="2"/>
        <v>127</v>
      </c>
      <c r="B131" s="364" t="s">
        <v>351</v>
      </c>
      <c r="C131" s="364" t="s">
        <v>6609</v>
      </c>
      <c r="D131" s="565">
        <v>11</v>
      </c>
      <c r="E131" s="582" t="s">
        <v>983</v>
      </c>
      <c r="F131" s="582" t="s">
        <v>984</v>
      </c>
    </row>
    <row r="132" spans="1:6" x14ac:dyDescent="0.25">
      <c r="A132" s="362">
        <f t="shared" si="2"/>
        <v>128</v>
      </c>
      <c r="B132" s="364" t="s">
        <v>351</v>
      </c>
      <c r="C132" s="364" t="s">
        <v>360</v>
      </c>
      <c r="D132" s="565">
        <v>200</v>
      </c>
      <c r="E132" s="582" t="s">
        <v>983</v>
      </c>
      <c r="F132" s="582" t="s">
        <v>984</v>
      </c>
    </row>
    <row r="133" spans="1:6" x14ac:dyDescent="0.25">
      <c r="A133" s="362">
        <f t="shared" si="2"/>
        <v>129</v>
      </c>
      <c r="B133" s="362" t="s">
        <v>351</v>
      </c>
      <c r="C133" s="362" t="s">
        <v>421</v>
      </c>
      <c r="D133" s="563">
        <v>9</v>
      </c>
      <c r="E133" s="579" t="s">
        <v>983</v>
      </c>
      <c r="F133" s="579" t="s">
        <v>984</v>
      </c>
    </row>
    <row r="134" spans="1:6" x14ac:dyDescent="0.25">
      <c r="A134" s="362">
        <f t="shared" si="2"/>
        <v>130</v>
      </c>
      <c r="B134" s="362" t="s">
        <v>351</v>
      </c>
      <c r="C134" s="362" t="s">
        <v>370</v>
      </c>
      <c r="D134" s="559">
        <v>1088.98</v>
      </c>
      <c r="E134" s="579" t="s">
        <v>983</v>
      </c>
      <c r="F134" s="579" t="s">
        <v>984</v>
      </c>
    </row>
    <row r="135" spans="1:6" x14ac:dyDescent="0.25">
      <c r="A135" s="362">
        <f t="shared" si="2"/>
        <v>131</v>
      </c>
      <c r="B135" s="362" t="s">
        <v>351</v>
      </c>
      <c r="C135" s="362" t="s">
        <v>369</v>
      </c>
      <c r="D135" s="559">
        <v>10239.08</v>
      </c>
      <c r="E135" s="579" t="s">
        <v>983</v>
      </c>
      <c r="F135" s="579" t="s">
        <v>984</v>
      </c>
    </row>
    <row r="136" spans="1:6" x14ac:dyDescent="0.25">
      <c r="A136" s="362">
        <f t="shared" si="2"/>
        <v>132</v>
      </c>
      <c r="B136" s="362" t="s">
        <v>351</v>
      </c>
      <c r="C136" s="362" t="s">
        <v>368</v>
      </c>
      <c r="D136" s="559">
        <v>3111.38</v>
      </c>
      <c r="E136" s="579" t="s">
        <v>983</v>
      </c>
      <c r="F136" s="579" t="s">
        <v>984</v>
      </c>
    </row>
    <row r="137" spans="1:6" x14ac:dyDescent="0.25">
      <c r="A137" s="362">
        <f t="shared" si="2"/>
        <v>133</v>
      </c>
      <c r="B137" s="362" t="s">
        <v>351</v>
      </c>
      <c r="C137" s="362" t="s">
        <v>1944</v>
      </c>
      <c r="D137" s="559">
        <v>0.5</v>
      </c>
      <c r="E137" s="579" t="s">
        <v>983</v>
      </c>
      <c r="F137" s="579" t="s">
        <v>984</v>
      </c>
    </row>
    <row r="138" spans="1:6" x14ac:dyDescent="0.25">
      <c r="A138" s="362">
        <f t="shared" si="2"/>
        <v>134</v>
      </c>
      <c r="B138" s="362" t="s">
        <v>351</v>
      </c>
      <c r="C138" s="362" t="s">
        <v>1946</v>
      </c>
      <c r="D138" s="559">
        <v>0.3</v>
      </c>
      <c r="E138" s="579" t="s">
        <v>983</v>
      </c>
      <c r="F138" s="579" t="s">
        <v>984</v>
      </c>
    </row>
    <row r="139" spans="1:6" x14ac:dyDescent="0.25">
      <c r="A139" s="362">
        <f t="shared" si="2"/>
        <v>135</v>
      </c>
      <c r="B139" s="362" t="s">
        <v>351</v>
      </c>
      <c r="C139" s="362" t="s">
        <v>1945</v>
      </c>
      <c r="D139" s="559">
        <v>0.5</v>
      </c>
      <c r="E139" s="579" t="s">
        <v>983</v>
      </c>
      <c r="F139" s="579" t="s">
        <v>984</v>
      </c>
    </row>
    <row r="140" spans="1:6" s="115" customFormat="1" x14ac:dyDescent="0.25">
      <c r="A140" s="362">
        <f t="shared" si="2"/>
        <v>136</v>
      </c>
      <c r="B140" s="536" t="s">
        <v>351</v>
      </c>
      <c r="C140" s="536" t="s">
        <v>6610</v>
      </c>
      <c r="D140" s="1116">
        <f>'CADASTRO BASE RECEITA '!C182</f>
        <v>4.6903E-4</v>
      </c>
      <c r="E140" s="581" t="s">
        <v>983</v>
      </c>
      <c r="F140" s="581" t="s">
        <v>984</v>
      </c>
    </row>
    <row r="141" spans="1:6" x14ac:dyDescent="0.25">
      <c r="A141" s="362">
        <f t="shared" si="2"/>
        <v>137</v>
      </c>
      <c r="B141" s="362" t="s">
        <v>351</v>
      </c>
      <c r="C141" s="362" t="s">
        <v>371</v>
      </c>
      <c r="D141" s="559">
        <v>48966742</v>
      </c>
      <c r="E141" s="579" t="s">
        <v>983</v>
      </c>
      <c r="F141" s="579" t="s">
        <v>984</v>
      </c>
    </row>
    <row r="142" spans="1:6" x14ac:dyDescent="0.25">
      <c r="A142" s="362">
        <f t="shared" si="2"/>
        <v>138</v>
      </c>
      <c r="B142" s="362" t="s">
        <v>351</v>
      </c>
      <c r="C142" s="362" t="s">
        <v>372</v>
      </c>
      <c r="D142" s="559">
        <v>37645042</v>
      </c>
      <c r="E142" s="579" t="s">
        <v>983</v>
      </c>
      <c r="F142" s="579" t="s">
        <v>984</v>
      </c>
    </row>
    <row r="143" spans="1:6" x14ac:dyDescent="0.25">
      <c r="A143" s="362">
        <f t="shared" si="2"/>
        <v>139</v>
      </c>
      <c r="B143" s="362" t="s">
        <v>351</v>
      </c>
      <c r="C143" s="362" t="s">
        <v>982</v>
      </c>
      <c r="D143" s="559">
        <v>48744.81</v>
      </c>
      <c r="E143" s="579" t="s">
        <v>983</v>
      </c>
      <c r="F143" s="579" t="s">
        <v>984</v>
      </c>
    </row>
    <row r="144" spans="1:6" x14ac:dyDescent="0.25">
      <c r="A144" s="362">
        <f t="shared" si="2"/>
        <v>140</v>
      </c>
      <c r="B144" s="362" t="s">
        <v>351</v>
      </c>
      <c r="C144" s="362" t="s">
        <v>373</v>
      </c>
      <c r="D144" s="559">
        <v>800000</v>
      </c>
      <c r="E144" s="579" t="s">
        <v>983</v>
      </c>
      <c r="F144" s="579" t="s">
        <v>984</v>
      </c>
    </row>
    <row r="145" spans="1:6" x14ac:dyDescent="0.25">
      <c r="A145" s="362">
        <f t="shared" si="2"/>
        <v>141</v>
      </c>
      <c r="B145" s="362" t="s">
        <v>351</v>
      </c>
      <c r="C145" s="362" t="s">
        <v>383</v>
      </c>
      <c r="D145" s="559">
        <v>7770763420</v>
      </c>
      <c r="E145" s="579" t="s">
        <v>983</v>
      </c>
      <c r="F145" s="579" t="s">
        <v>984</v>
      </c>
    </row>
    <row r="146" spans="1:6" x14ac:dyDescent="0.25">
      <c r="A146" s="362">
        <f t="shared" si="2"/>
        <v>142</v>
      </c>
      <c r="B146" s="362" t="s">
        <v>351</v>
      </c>
      <c r="C146" s="362" t="s">
        <v>374</v>
      </c>
      <c r="D146" s="559">
        <f>'Cresc. Arrec. Transf. Const.'!E23</f>
        <v>253380.75374999997</v>
      </c>
      <c r="E146" s="579" t="s">
        <v>983</v>
      </c>
      <c r="F146" s="579" t="s">
        <v>984</v>
      </c>
    </row>
    <row r="147" spans="1:6" x14ac:dyDescent="0.25">
      <c r="A147" s="362">
        <f t="shared" si="2"/>
        <v>143</v>
      </c>
      <c r="B147" s="362" t="s">
        <v>351</v>
      </c>
      <c r="C147" s="362" t="s">
        <v>375</v>
      </c>
      <c r="D147" s="559">
        <v>146204531</v>
      </c>
      <c r="E147" s="579" t="s">
        <v>983</v>
      </c>
      <c r="F147" s="579" t="s">
        <v>984</v>
      </c>
    </row>
    <row r="148" spans="1:6" x14ac:dyDescent="0.25">
      <c r="A148" s="362">
        <f t="shared" si="2"/>
        <v>144</v>
      </c>
      <c r="B148" s="362" t="s">
        <v>351</v>
      </c>
      <c r="C148" s="362" t="s">
        <v>376</v>
      </c>
      <c r="D148" s="559">
        <v>26157922</v>
      </c>
      <c r="E148" s="579" t="s">
        <v>983</v>
      </c>
      <c r="F148" s="579" t="s">
        <v>984</v>
      </c>
    </row>
    <row r="149" spans="1:6" x14ac:dyDescent="0.25">
      <c r="A149" s="362">
        <f t="shared" si="2"/>
        <v>145</v>
      </c>
      <c r="B149" s="362" t="s">
        <v>351</v>
      </c>
      <c r="C149" s="362" t="s">
        <v>6611</v>
      </c>
      <c r="D149" s="566">
        <f>'CADASTRO BASE RECEITA '!H124</f>
        <v>7.7837668134053337E-4</v>
      </c>
      <c r="E149" s="579" t="s">
        <v>983</v>
      </c>
      <c r="F149" s="579" t="s">
        <v>984</v>
      </c>
    </row>
    <row r="150" spans="1:6" x14ac:dyDescent="0.25">
      <c r="A150" s="362">
        <f t="shared" ref="A150:A213" si="3">A149+1</f>
        <v>146</v>
      </c>
      <c r="B150" s="362" t="s">
        <v>351</v>
      </c>
      <c r="C150" s="362" t="s">
        <v>377</v>
      </c>
      <c r="D150" s="561">
        <f>'CADASTRO BASE RECEITA '!H128</f>
        <v>10333.07</v>
      </c>
      <c r="E150" s="579" t="s">
        <v>983</v>
      </c>
      <c r="F150" s="579" t="s">
        <v>984</v>
      </c>
    </row>
    <row r="151" spans="1:6" x14ac:dyDescent="0.25">
      <c r="A151" s="362">
        <f t="shared" si="3"/>
        <v>147</v>
      </c>
      <c r="B151" s="362" t="s">
        <v>351</v>
      </c>
      <c r="C151" s="362" t="s">
        <v>378</v>
      </c>
      <c r="D151" s="561">
        <f>'CADASTRO BASE RECEITA '!H129</f>
        <v>2475</v>
      </c>
      <c r="E151" s="579" t="s">
        <v>983</v>
      </c>
      <c r="F151" s="579" t="s">
        <v>984</v>
      </c>
    </row>
    <row r="152" spans="1:6" x14ac:dyDescent="0.25">
      <c r="A152" s="362">
        <f t="shared" si="3"/>
        <v>148</v>
      </c>
      <c r="B152" s="362" t="s">
        <v>351</v>
      </c>
      <c r="C152" s="362" t="s">
        <v>379</v>
      </c>
      <c r="D152" s="561">
        <f>'CADASTRO BASE RECEITA '!H132</f>
        <v>522.25</v>
      </c>
      <c r="E152" s="579" t="s">
        <v>983</v>
      </c>
      <c r="F152" s="579" t="s">
        <v>984</v>
      </c>
    </row>
    <row r="153" spans="1:6" x14ac:dyDescent="0.25">
      <c r="A153" s="362">
        <f t="shared" si="3"/>
        <v>149</v>
      </c>
      <c r="B153" s="362" t="s">
        <v>351</v>
      </c>
      <c r="C153" s="362" t="s">
        <v>380</v>
      </c>
      <c r="D153" s="561">
        <f>22662.59/9*12</f>
        <v>30216.786666666667</v>
      </c>
      <c r="E153" s="579" t="s">
        <v>983</v>
      </c>
      <c r="F153" s="579" t="s">
        <v>984</v>
      </c>
    </row>
    <row r="154" spans="1:6" x14ac:dyDescent="0.25">
      <c r="A154" s="362">
        <f t="shared" si="3"/>
        <v>150</v>
      </c>
      <c r="B154" s="362" t="s">
        <v>351</v>
      </c>
      <c r="C154" s="362" t="s">
        <v>440</v>
      </c>
      <c r="D154" s="561">
        <f>D116*1.86</f>
        <v>9791.0400000000009</v>
      </c>
      <c r="E154" s="579" t="s">
        <v>983</v>
      </c>
      <c r="F154" s="579" t="s">
        <v>984</v>
      </c>
    </row>
    <row r="155" spans="1:6" x14ac:dyDescent="0.25">
      <c r="A155" s="362">
        <f t="shared" si="3"/>
        <v>151</v>
      </c>
      <c r="B155" s="362" t="s">
        <v>351</v>
      </c>
      <c r="C155" s="362" t="s">
        <v>6645</v>
      </c>
      <c r="D155" s="561">
        <f>'CADASTRO BASE RECEITA '!H135+62626.3</f>
        <v>73876.3</v>
      </c>
      <c r="E155" s="579" t="s">
        <v>983</v>
      </c>
      <c r="F155" s="579" t="s">
        <v>984</v>
      </c>
    </row>
    <row r="156" spans="1:6" x14ac:dyDescent="0.25">
      <c r="A156" s="362">
        <f t="shared" si="3"/>
        <v>152</v>
      </c>
      <c r="B156" s="362" t="s">
        <v>351</v>
      </c>
      <c r="C156" s="362" t="s">
        <v>6646</v>
      </c>
      <c r="D156" s="561">
        <f>'CADASTRO BASE RECEITA '!H137+3636.2</f>
        <v>3751.7049999999999</v>
      </c>
      <c r="E156" s="579" t="s">
        <v>983</v>
      </c>
      <c r="F156" s="579" t="s">
        <v>984</v>
      </c>
    </row>
    <row r="157" spans="1:6" x14ac:dyDescent="0.25">
      <c r="A157" s="362">
        <f t="shared" si="3"/>
        <v>153</v>
      </c>
      <c r="B157" s="362" t="s">
        <v>351</v>
      </c>
      <c r="C157" s="362" t="s">
        <v>10004</v>
      </c>
      <c r="D157" s="561">
        <v>47145</v>
      </c>
      <c r="E157" s="579" t="s">
        <v>983</v>
      </c>
      <c r="F157" s="579" t="s">
        <v>984</v>
      </c>
    </row>
    <row r="158" spans="1:6" x14ac:dyDescent="0.25">
      <c r="A158" s="362">
        <f t="shared" si="3"/>
        <v>154</v>
      </c>
      <c r="B158" s="362" t="s">
        <v>351</v>
      </c>
      <c r="C158" s="362" t="s">
        <v>6647</v>
      </c>
      <c r="D158" s="561">
        <f>'CADASTRO BASE RECEITA '!H136+30000</f>
        <v>35287.354999999996</v>
      </c>
      <c r="E158" s="579" t="s">
        <v>983</v>
      </c>
      <c r="F158" s="579" t="s">
        <v>984</v>
      </c>
    </row>
    <row r="159" spans="1:6" x14ac:dyDescent="0.25">
      <c r="A159" s="362">
        <f t="shared" si="3"/>
        <v>155</v>
      </c>
      <c r="B159" s="362" t="s">
        <v>351</v>
      </c>
      <c r="C159" s="362" t="s">
        <v>958</v>
      </c>
      <c r="D159" s="561">
        <f>9000*12</f>
        <v>108000</v>
      </c>
      <c r="E159" s="579" t="s">
        <v>983</v>
      </c>
      <c r="F159" s="579" t="s">
        <v>984</v>
      </c>
    </row>
    <row r="160" spans="1:6" x14ac:dyDescent="0.25">
      <c r="A160" s="362">
        <f t="shared" si="3"/>
        <v>156</v>
      </c>
      <c r="B160" s="362" t="s">
        <v>351</v>
      </c>
      <c r="C160" s="362" t="s">
        <v>381</v>
      </c>
      <c r="D160" s="561">
        <v>1000</v>
      </c>
      <c r="E160" s="579" t="s">
        <v>983</v>
      </c>
      <c r="F160" s="579" t="s">
        <v>984</v>
      </c>
    </row>
    <row r="161" spans="1:6" x14ac:dyDescent="0.25">
      <c r="A161" s="362">
        <f t="shared" si="3"/>
        <v>157</v>
      </c>
      <c r="B161" s="362" t="s">
        <v>351</v>
      </c>
      <c r="C161" s="362" t="s">
        <v>382</v>
      </c>
      <c r="D161" s="561">
        <f>380000+300000-200000</f>
        <v>480000</v>
      </c>
      <c r="E161" s="579" t="s">
        <v>983</v>
      </c>
      <c r="F161" s="579" t="s">
        <v>984</v>
      </c>
    </row>
    <row r="162" spans="1:6" x14ac:dyDescent="0.25">
      <c r="A162" s="362">
        <f t="shared" si="3"/>
        <v>158</v>
      </c>
      <c r="B162" s="362" t="s">
        <v>351</v>
      </c>
      <c r="C162" s="362" t="s">
        <v>426</v>
      </c>
      <c r="D162" s="561">
        <f>'Proj. Retorno e Retenção Fundeb'!E14</f>
        <v>1687292.1660438597</v>
      </c>
      <c r="E162" s="579" t="s">
        <v>983</v>
      </c>
      <c r="F162" s="579" t="s">
        <v>984</v>
      </c>
    </row>
    <row r="163" spans="1:6" x14ac:dyDescent="0.25">
      <c r="A163" s="362">
        <f t="shared" si="3"/>
        <v>159</v>
      </c>
      <c r="B163" s="362" t="s">
        <v>351</v>
      </c>
      <c r="C163" s="362" t="s">
        <v>425</v>
      </c>
      <c r="D163" s="561">
        <f>'Proj. Retorno e Retenção Fundeb'!E15</f>
        <v>143.31034741878702</v>
      </c>
      <c r="E163" s="579" t="s">
        <v>983</v>
      </c>
      <c r="F163" s="579" t="s">
        <v>984</v>
      </c>
    </row>
    <row r="164" spans="1:6" x14ac:dyDescent="0.25">
      <c r="A164" s="362">
        <f t="shared" si="3"/>
        <v>160</v>
      </c>
      <c r="B164" s="362" t="s">
        <v>351</v>
      </c>
      <c r="C164" s="362" t="s">
        <v>427</v>
      </c>
      <c r="D164" s="561">
        <f>'Proj. Retorno e Retenção Fundeb'!E16</f>
        <v>5941.9669773188771</v>
      </c>
      <c r="E164" s="579" t="s">
        <v>983</v>
      </c>
      <c r="F164" s="579" t="s">
        <v>984</v>
      </c>
    </row>
    <row r="165" spans="1:6" x14ac:dyDescent="0.25">
      <c r="A165" s="362">
        <f t="shared" si="3"/>
        <v>161</v>
      </c>
      <c r="B165" s="362" t="s">
        <v>351</v>
      </c>
      <c r="C165" s="362" t="s">
        <v>428</v>
      </c>
      <c r="D165" s="561">
        <f>'Proj. Retorno e Retenção Fundeb'!E17</f>
        <v>1081337.7686624057</v>
      </c>
      <c r="E165" s="579" t="s">
        <v>983</v>
      </c>
      <c r="F165" s="579" t="s">
        <v>984</v>
      </c>
    </row>
    <row r="166" spans="1:6" x14ac:dyDescent="0.25">
      <c r="A166" s="362">
        <f t="shared" si="3"/>
        <v>162</v>
      </c>
      <c r="B166" s="362" t="s">
        <v>351</v>
      </c>
      <c r="C166" s="362" t="s">
        <v>429</v>
      </c>
      <c r="D166" s="561">
        <f>'Proj. Retorno e Retenção Fundeb'!E18</f>
        <v>71839.106153801666</v>
      </c>
      <c r="E166" s="579" t="s">
        <v>983</v>
      </c>
      <c r="F166" s="579" t="s">
        <v>984</v>
      </c>
    </row>
    <row r="167" spans="1:6" x14ac:dyDescent="0.25">
      <c r="A167" s="362">
        <f t="shared" si="3"/>
        <v>163</v>
      </c>
      <c r="B167" s="362" t="s">
        <v>351</v>
      </c>
      <c r="C167" s="362" t="s">
        <v>430</v>
      </c>
      <c r="D167" s="561">
        <f>'Proj. Retorno e Retenção Fundeb'!E19</f>
        <v>20345.040962550935</v>
      </c>
      <c r="E167" s="579" t="s">
        <v>983</v>
      </c>
      <c r="F167" s="579" t="s">
        <v>984</v>
      </c>
    </row>
    <row r="168" spans="1:6" x14ac:dyDescent="0.25">
      <c r="A168" s="362">
        <f t="shared" si="3"/>
        <v>164</v>
      </c>
      <c r="B168" s="362" t="s">
        <v>351</v>
      </c>
      <c r="C168" s="362" t="s">
        <v>431</v>
      </c>
      <c r="D168" s="561">
        <f>'Proj. Retorno e Retenção Fundeb'!E20</f>
        <v>2478.4508526442833</v>
      </c>
      <c r="E168" s="579" t="s">
        <v>983</v>
      </c>
      <c r="F168" s="579" t="s">
        <v>984</v>
      </c>
    </row>
    <row r="169" spans="1:6" s="116" customFormat="1" x14ac:dyDescent="0.25">
      <c r="A169" s="362">
        <f t="shared" si="3"/>
        <v>165</v>
      </c>
      <c r="B169" s="364" t="s">
        <v>351</v>
      </c>
      <c r="C169" s="364" t="s">
        <v>384</v>
      </c>
      <c r="D169" s="567">
        <v>3660.39</v>
      </c>
      <c r="E169" s="582" t="s">
        <v>983</v>
      </c>
      <c r="F169" s="582" t="s">
        <v>984</v>
      </c>
    </row>
    <row r="170" spans="1:6" s="116" customFormat="1" x14ac:dyDescent="0.25">
      <c r="A170" s="362">
        <f t="shared" si="3"/>
        <v>166</v>
      </c>
      <c r="B170" s="364" t="s">
        <v>351</v>
      </c>
      <c r="C170" s="364" t="s">
        <v>385</v>
      </c>
      <c r="D170" s="567">
        <v>4209.4399999999996</v>
      </c>
      <c r="E170" s="582" t="s">
        <v>983</v>
      </c>
      <c r="F170" s="582" t="s">
        <v>984</v>
      </c>
    </row>
    <row r="171" spans="1:6" s="116" customFormat="1" x14ac:dyDescent="0.25">
      <c r="A171" s="362">
        <f t="shared" si="3"/>
        <v>167</v>
      </c>
      <c r="B171" s="364" t="s">
        <v>351</v>
      </c>
      <c r="C171" s="364" t="s">
        <v>386</v>
      </c>
      <c r="D171" s="567">
        <v>4392.47</v>
      </c>
      <c r="E171" s="582" t="s">
        <v>983</v>
      </c>
      <c r="F171" s="582" t="s">
        <v>984</v>
      </c>
    </row>
    <row r="172" spans="1:6" s="116" customFormat="1" x14ac:dyDescent="0.25">
      <c r="A172" s="362">
        <f t="shared" si="3"/>
        <v>168</v>
      </c>
      <c r="B172" s="364" t="s">
        <v>351</v>
      </c>
      <c r="C172" s="364" t="s">
        <v>387</v>
      </c>
      <c r="D172" s="567">
        <v>4392.47</v>
      </c>
      <c r="E172" s="582" t="s">
        <v>983</v>
      </c>
      <c r="F172" s="582" t="s">
        <v>984</v>
      </c>
    </row>
    <row r="173" spans="1:6" s="116" customFormat="1" x14ac:dyDescent="0.25">
      <c r="A173" s="362">
        <f t="shared" si="3"/>
        <v>169</v>
      </c>
      <c r="B173" s="364" t="s">
        <v>351</v>
      </c>
      <c r="C173" s="364" t="s">
        <v>388</v>
      </c>
      <c r="D173" s="567">
        <v>2928.31</v>
      </c>
      <c r="E173" s="582" t="s">
        <v>983</v>
      </c>
      <c r="F173" s="582" t="s">
        <v>984</v>
      </c>
    </row>
    <row r="174" spans="1:6" x14ac:dyDescent="0.25">
      <c r="A174" s="362">
        <f t="shared" si="3"/>
        <v>170</v>
      </c>
      <c r="B174" s="362" t="s">
        <v>392</v>
      </c>
      <c r="C174" s="362" t="s">
        <v>389</v>
      </c>
      <c r="D174" s="561">
        <f>'CADASTRO BASE RECEITA '!G149</f>
        <v>1946.875</v>
      </c>
      <c r="E174" s="579" t="s">
        <v>983</v>
      </c>
      <c r="F174" s="579" t="s">
        <v>984</v>
      </c>
    </row>
    <row r="175" spans="1:6" x14ac:dyDescent="0.25">
      <c r="A175" s="362">
        <f t="shared" si="3"/>
        <v>171</v>
      </c>
      <c r="B175" s="362" t="s">
        <v>392</v>
      </c>
      <c r="C175" s="362" t="s">
        <v>390</v>
      </c>
      <c r="D175" s="561">
        <f>'CADASTRO BASE RECEITA '!G150</f>
        <v>11214.938750000001</v>
      </c>
      <c r="E175" s="579" t="s">
        <v>983</v>
      </c>
      <c r="F175" s="579" t="s">
        <v>984</v>
      </c>
    </row>
    <row r="176" spans="1:6" x14ac:dyDescent="0.25">
      <c r="A176" s="362">
        <f t="shared" si="3"/>
        <v>172</v>
      </c>
      <c r="B176" s="362" t="s">
        <v>392</v>
      </c>
      <c r="C176" s="362" t="s">
        <v>391</v>
      </c>
      <c r="D176" s="561">
        <v>0</v>
      </c>
      <c r="E176" s="579" t="s">
        <v>983</v>
      </c>
      <c r="F176" s="579" t="s">
        <v>984</v>
      </c>
    </row>
    <row r="177" spans="1:6" x14ac:dyDescent="0.25">
      <c r="A177" s="362">
        <f t="shared" si="3"/>
        <v>173</v>
      </c>
      <c r="B177" s="362" t="s">
        <v>392</v>
      </c>
      <c r="C177" s="362" t="s">
        <v>422</v>
      </c>
      <c r="D177" s="561">
        <f>4500</f>
        <v>4500</v>
      </c>
      <c r="E177" s="579" t="s">
        <v>983</v>
      </c>
      <c r="F177" s="579" t="s">
        <v>984</v>
      </c>
    </row>
    <row r="178" spans="1:6" x14ac:dyDescent="0.25">
      <c r="A178" s="362">
        <f t="shared" si="3"/>
        <v>174</v>
      </c>
      <c r="B178" s="362" t="s">
        <v>392</v>
      </c>
      <c r="C178" s="362" t="s">
        <v>955</v>
      </c>
      <c r="D178" s="561">
        <f>500*12</f>
        <v>6000</v>
      </c>
      <c r="E178" s="579" t="s">
        <v>983</v>
      </c>
      <c r="F178" s="579" t="s">
        <v>984</v>
      </c>
    </row>
    <row r="179" spans="1:6" x14ac:dyDescent="0.25">
      <c r="A179" s="362">
        <f t="shared" si="3"/>
        <v>175</v>
      </c>
      <c r="B179" s="362" t="s">
        <v>392</v>
      </c>
      <c r="C179" s="362" t="s">
        <v>1930</v>
      </c>
      <c r="D179" s="561">
        <f>'CADASTRO BASE RECEITA '!G154</f>
        <v>57302.5</v>
      </c>
      <c r="E179" s="579" t="s">
        <v>983</v>
      </c>
      <c r="F179" s="579" t="s">
        <v>984</v>
      </c>
    </row>
    <row r="180" spans="1:6" x14ac:dyDescent="0.25">
      <c r="A180" s="362">
        <f t="shared" si="3"/>
        <v>176</v>
      </c>
      <c r="B180" s="362" t="s">
        <v>392</v>
      </c>
      <c r="C180" s="362" t="s">
        <v>423</v>
      </c>
      <c r="D180" s="568">
        <v>12</v>
      </c>
      <c r="E180" s="579" t="s">
        <v>983</v>
      </c>
      <c r="F180" s="579" t="s">
        <v>984</v>
      </c>
    </row>
    <row r="181" spans="1:6" x14ac:dyDescent="0.25">
      <c r="A181" s="362">
        <f t="shared" si="3"/>
        <v>177</v>
      </c>
      <c r="B181" s="362" t="s">
        <v>392</v>
      </c>
      <c r="C181" s="362" t="s">
        <v>6828</v>
      </c>
      <c r="D181" s="561">
        <f>20904/9*12</f>
        <v>27872</v>
      </c>
      <c r="E181" s="579" t="s">
        <v>983</v>
      </c>
      <c r="F181" s="579" t="s">
        <v>984</v>
      </c>
    </row>
    <row r="182" spans="1:6" x14ac:dyDescent="0.25">
      <c r="A182" s="362">
        <f t="shared" si="3"/>
        <v>178</v>
      </c>
      <c r="B182" s="362" t="s">
        <v>392</v>
      </c>
      <c r="C182" s="362" t="s">
        <v>393</v>
      </c>
      <c r="D182" s="561">
        <v>33986</v>
      </c>
      <c r="E182" s="579" t="s">
        <v>983</v>
      </c>
      <c r="F182" s="579" t="s">
        <v>984</v>
      </c>
    </row>
    <row r="183" spans="1:6" x14ac:dyDescent="0.25">
      <c r="A183" s="362">
        <f t="shared" si="3"/>
        <v>179</v>
      </c>
      <c r="B183" s="362" t="s">
        <v>392</v>
      </c>
      <c r="C183" s="362" t="s">
        <v>394</v>
      </c>
      <c r="D183" s="561">
        <v>100</v>
      </c>
      <c r="E183" s="579" t="s">
        <v>983</v>
      </c>
      <c r="F183" s="579" t="s">
        <v>984</v>
      </c>
    </row>
    <row r="184" spans="1:6" x14ac:dyDescent="0.25">
      <c r="A184" s="362">
        <f t="shared" si="3"/>
        <v>180</v>
      </c>
      <c r="B184" s="362" t="s">
        <v>392</v>
      </c>
      <c r="C184" s="362" t="s">
        <v>899</v>
      </c>
      <c r="D184" s="561">
        <v>100</v>
      </c>
      <c r="E184" s="579" t="s">
        <v>983</v>
      </c>
      <c r="F184" s="579" t="s">
        <v>984</v>
      </c>
    </row>
    <row r="185" spans="1:6" ht="30" x14ac:dyDescent="0.25">
      <c r="A185" s="362">
        <f t="shared" si="3"/>
        <v>181</v>
      </c>
      <c r="B185" s="365" t="s">
        <v>392</v>
      </c>
      <c r="C185" s="366" t="s">
        <v>6650</v>
      </c>
      <c r="D185" s="569">
        <v>10000</v>
      </c>
      <c r="E185" s="579" t="s">
        <v>983</v>
      </c>
      <c r="F185" s="579" t="s">
        <v>984</v>
      </c>
    </row>
    <row r="186" spans="1:6" ht="30" x14ac:dyDescent="0.25">
      <c r="A186" s="362">
        <f t="shared" si="3"/>
        <v>182</v>
      </c>
      <c r="B186" s="365" t="s">
        <v>392</v>
      </c>
      <c r="C186" s="366" t="s">
        <v>6651</v>
      </c>
      <c r="D186" s="569">
        <v>15000</v>
      </c>
      <c r="E186" s="579" t="s">
        <v>983</v>
      </c>
      <c r="F186" s="579" t="s">
        <v>984</v>
      </c>
    </row>
    <row r="187" spans="1:6" x14ac:dyDescent="0.25">
      <c r="A187" s="362">
        <f t="shared" si="3"/>
        <v>183</v>
      </c>
      <c r="B187" s="365" t="s">
        <v>392</v>
      </c>
      <c r="C187" s="362" t="s">
        <v>6765</v>
      </c>
      <c r="D187" s="569">
        <v>10000</v>
      </c>
      <c r="E187" s="579" t="s">
        <v>983</v>
      </c>
      <c r="F187" s="579" t="s">
        <v>984</v>
      </c>
    </row>
    <row r="188" spans="1:6" x14ac:dyDescent="0.25">
      <c r="A188" s="362">
        <f t="shared" si="3"/>
        <v>184</v>
      </c>
      <c r="B188" s="365" t="s">
        <v>392</v>
      </c>
      <c r="C188" s="362" t="s">
        <v>6766</v>
      </c>
      <c r="D188" s="569">
        <v>8000</v>
      </c>
      <c r="E188" s="579" t="s">
        <v>983</v>
      </c>
      <c r="F188" s="579" t="s">
        <v>984</v>
      </c>
    </row>
    <row r="189" spans="1:6" x14ac:dyDescent="0.25">
      <c r="A189" s="362">
        <f t="shared" si="3"/>
        <v>185</v>
      </c>
      <c r="B189" s="362" t="s">
        <v>392</v>
      </c>
      <c r="C189" s="362" t="s">
        <v>6763</v>
      </c>
      <c r="D189" s="561">
        <v>3000</v>
      </c>
      <c r="E189" s="579" t="s">
        <v>983</v>
      </c>
      <c r="F189" s="579" t="s">
        <v>984</v>
      </c>
    </row>
    <row r="190" spans="1:6" x14ac:dyDescent="0.25">
      <c r="A190" s="362">
        <f t="shared" si="3"/>
        <v>186</v>
      </c>
      <c r="B190" s="362" t="s">
        <v>392</v>
      </c>
      <c r="C190" s="362" t="s">
        <v>6764</v>
      </c>
      <c r="D190" s="561">
        <v>15000</v>
      </c>
      <c r="E190" s="579" t="s">
        <v>983</v>
      </c>
      <c r="F190" s="579" t="s">
        <v>984</v>
      </c>
    </row>
    <row r="191" spans="1:6" s="544" customFormat="1" ht="30" x14ac:dyDescent="0.25">
      <c r="A191" s="362">
        <f t="shared" si="3"/>
        <v>187</v>
      </c>
      <c r="B191" s="363" t="s">
        <v>395</v>
      </c>
      <c r="C191" s="363" t="s">
        <v>396</v>
      </c>
      <c r="D191" s="570">
        <f>'CADASTRO BASE RECEITA '!H171</f>
        <v>211.97875000000002</v>
      </c>
      <c r="E191" s="579" t="s">
        <v>983</v>
      </c>
      <c r="F191" s="579" t="s">
        <v>984</v>
      </c>
    </row>
    <row r="192" spans="1:6" x14ac:dyDescent="0.25">
      <c r="A192" s="362">
        <f t="shared" si="3"/>
        <v>188</v>
      </c>
      <c r="B192" s="363" t="s">
        <v>395</v>
      </c>
      <c r="C192" s="362" t="s">
        <v>397</v>
      </c>
      <c r="D192" s="561">
        <f>'CADASTRO BASE RECEITA '!H172</f>
        <v>196.91874999999999</v>
      </c>
      <c r="E192" s="579" t="s">
        <v>983</v>
      </c>
      <c r="F192" s="579" t="s">
        <v>984</v>
      </c>
    </row>
    <row r="193" spans="1:6" x14ac:dyDescent="0.25">
      <c r="A193" s="362">
        <f t="shared" si="3"/>
        <v>189</v>
      </c>
      <c r="B193" s="363" t="s">
        <v>395</v>
      </c>
      <c r="C193" s="362" t="s">
        <v>6797</v>
      </c>
      <c r="D193" s="561">
        <v>100</v>
      </c>
      <c r="E193" s="579" t="s">
        <v>983</v>
      </c>
      <c r="F193" s="579" t="s">
        <v>984</v>
      </c>
    </row>
    <row r="194" spans="1:6" x14ac:dyDescent="0.25">
      <c r="A194" s="362">
        <f t="shared" si="3"/>
        <v>190</v>
      </c>
      <c r="B194" s="363" t="s">
        <v>395</v>
      </c>
      <c r="C194" s="362" t="s">
        <v>398</v>
      </c>
      <c r="D194" s="561">
        <v>100</v>
      </c>
      <c r="E194" s="579" t="s">
        <v>983</v>
      </c>
      <c r="F194" s="579" t="s">
        <v>984</v>
      </c>
    </row>
    <row r="195" spans="1:6" s="544" customFormat="1" ht="30" x14ac:dyDescent="0.25">
      <c r="A195" s="362">
        <f t="shared" si="3"/>
        <v>191</v>
      </c>
      <c r="B195" s="363" t="s">
        <v>395</v>
      </c>
      <c r="C195" s="363" t="s">
        <v>6664</v>
      </c>
      <c r="D195" s="570">
        <f>'CADASTRO BASE RECEITA '!H174</f>
        <v>1009.4025000000001</v>
      </c>
      <c r="E195" s="579" t="s">
        <v>983</v>
      </c>
      <c r="F195" s="579" t="s">
        <v>984</v>
      </c>
    </row>
    <row r="196" spans="1:6" s="544" customFormat="1" ht="30" x14ac:dyDescent="0.25">
      <c r="A196" s="362">
        <f t="shared" si="3"/>
        <v>192</v>
      </c>
      <c r="B196" s="363" t="s">
        <v>395</v>
      </c>
      <c r="C196" s="363" t="s">
        <v>6663</v>
      </c>
      <c r="D196" s="570">
        <v>100</v>
      </c>
      <c r="E196" s="579" t="s">
        <v>983</v>
      </c>
      <c r="F196" s="579" t="s">
        <v>984</v>
      </c>
    </row>
    <row r="197" spans="1:6" ht="30" x14ac:dyDescent="0.25">
      <c r="A197" s="362">
        <f t="shared" si="3"/>
        <v>193</v>
      </c>
      <c r="B197" s="362" t="s">
        <v>395</v>
      </c>
      <c r="C197" s="363" t="s">
        <v>6677</v>
      </c>
      <c r="D197" s="561">
        <v>100</v>
      </c>
      <c r="E197" s="579" t="s">
        <v>983</v>
      </c>
      <c r="F197" s="579" t="s">
        <v>984</v>
      </c>
    </row>
    <row r="198" spans="1:6" ht="30" x14ac:dyDescent="0.25">
      <c r="A198" s="362">
        <f t="shared" si="3"/>
        <v>194</v>
      </c>
      <c r="B198" s="362" t="s">
        <v>395</v>
      </c>
      <c r="C198" s="363" t="s">
        <v>6678</v>
      </c>
      <c r="D198" s="561">
        <v>100</v>
      </c>
      <c r="E198" s="579" t="s">
        <v>983</v>
      </c>
      <c r="F198" s="579" t="s">
        <v>984</v>
      </c>
    </row>
    <row r="199" spans="1:6" x14ac:dyDescent="0.25">
      <c r="A199" s="362">
        <f t="shared" si="3"/>
        <v>195</v>
      </c>
      <c r="B199" s="362" t="s">
        <v>395</v>
      </c>
      <c r="C199" s="362" t="s">
        <v>6680</v>
      </c>
      <c r="D199" s="561">
        <v>100</v>
      </c>
      <c r="E199" s="579" t="s">
        <v>983</v>
      </c>
      <c r="F199" s="579" t="s">
        <v>984</v>
      </c>
    </row>
    <row r="200" spans="1:6" x14ac:dyDescent="0.25">
      <c r="A200" s="362">
        <f t="shared" si="3"/>
        <v>196</v>
      </c>
      <c r="B200" s="362" t="s">
        <v>395</v>
      </c>
      <c r="C200" s="362" t="s">
        <v>6681</v>
      </c>
      <c r="D200" s="561">
        <v>100</v>
      </c>
      <c r="E200" s="579" t="s">
        <v>983</v>
      </c>
      <c r="F200" s="579" t="s">
        <v>984</v>
      </c>
    </row>
    <row r="201" spans="1:6" x14ac:dyDescent="0.25">
      <c r="A201" s="362">
        <f t="shared" si="3"/>
        <v>197</v>
      </c>
      <c r="B201" s="362" t="s">
        <v>395</v>
      </c>
      <c r="C201" s="362" t="s">
        <v>6686</v>
      </c>
      <c r="D201" s="561">
        <v>100</v>
      </c>
      <c r="E201" s="579" t="s">
        <v>983</v>
      </c>
      <c r="F201" s="579" t="s">
        <v>984</v>
      </c>
    </row>
    <row r="202" spans="1:6" x14ac:dyDescent="0.25">
      <c r="A202" s="362">
        <f t="shared" si="3"/>
        <v>198</v>
      </c>
      <c r="B202" s="362" t="s">
        <v>395</v>
      </c>
      <c r="C202" s="362" t="s">
        <v>6687</v>
      </c>
      <c r="D202" s="561">
        <v>100</v>
      </c>
      <c r="E202" s="579" t="s">
        <v>983</v>
      </c>
      <c r="F202" s="579" t="s">
        <v>984</v>
      </c>
    </row>
    <row r="203" spans="1:6" x14ac:dyDescent="0.25">
      <c r="A203" s="362">
        <f t="shared" si="3"/>
        <v>199</v>
      </c>
      <c r="B203" s="363" t="s">
        <v>395</v>
      </c>
      <c r="C203" s="362" t="s">
        <v>399</v>
      </c>
      <c r="D203" s="561">
        <v>100</v>
      </c>
      <c r="E203" s="579" t="s">
        <v>983</v>
      </c>
      <c r="F203" s="579" t="s">
        <v>984</v>
      </c>
    </row>
    <row r="204" spans="1:6" x14ac:dyDescent="0.25">
      <c r="A204" s="362">
        <f t="shared" si="3"/>
        <v>200</v>
      </c>
      <c r="B204" s="363" t="s">
        <v>395</v>
      </c>
      <c r="C204" s="362" t="s">
        <v>6690</v>
      </c>
      <c r="D204" s="561">
        <v>100</v>
      </c>
      <c r="E204" s="579" t="s">
        <v>983</v>
      </c>
      <c r="F204" s="579" t="s">
        <v>984</v>
      </c>
    </row>
    <row r="205" spans="1:6" x14ac:dyDescent="0.25">
      <c r="A205" s="362">
        <f t="shared" si="3"/>
        <v>201</v>
      </c>
      <c r="B205" s="363" t="s">
        <v>395</v>
      </c>
      <c r="C205" s="362" t="s">
        <v>6689</v>
      </c>
      <c r="D205" s="561">
        <v>100</v>
      </c>
      <c r="E205" s="579" t="s">
        <v>983</v>
      </c>
      <c r="F205" s="579" t="s">
        <v>984</v>
      </c>
    </row>
    <row r="206" spans="1:6" x14ac:dyDescent="0.25">
      <c r="A206" s="362">
        <f t="shared" si="3"/>
        <v>202</v>
      </c>
      <c r="B206" s="363" t="s">
        <v>395</v>
      </c>
      <c r="C206" s="362" t="s">
        <v>400</v>
      </c>
      <c r="D206" s="561">
        <v>100</v>
      </c>
      <c r="E206" s="579" t="s">
        <v>983</v>
      </c>
      <c r="F206" s="579" t="s">
        <v>984</v>
      </c>
    </row>
    <row r="207" spans="1:6" x14ac:dyDescent="0.25">
      <c r="A207" s="362">
        <f t="shared" si="3"/>
        <v>203</v>
      </c>
      <c r="B207" s="363" t="s">
        <v>395</v>
      </c>
      <c r="C207" s="362" t="s">
        <v>401</v>
      </c>
      <c r="D207" s="561">
        <v>500</v>
      </c>
      <c r="E207" s="579" t="s">
        <v>983</v>
      </c>
      <c r="F207" s="579" t="s">
        <v>984</v>
      </c>
    </row>
    <row r="208" spans="1:6" x14ac:dyDescent="0.25">
      <c r="A208" s="362">
        <f t="shared" si="3"/>
        <v>204</v>
      </c>
      <c r="B208" s="363" t="s">
        <v>395</v>
      </c>
      <c r="C208" s="362" t="s">
        <v>402</v>
      </c>
      <c r="D208" s="561">
        <v>500</v>
      </c>
      <c r="E208" s="579" t="s">
        <v>983</v>
      </c>
      <c r="F208" s="579" t="s">
        <v>984</v>
      </c>
    </row>
    <row r="209" spans="1:6" x14ac:dyDescent="0.25">
      <c r="A209" s="362">
        <f t="shared" si="3"/>
        <v>205</v>
      </c>
      <c r="B209" s="363" t="s">
        <v>395</v>
      </c>
      <c r="C209" s="362" t="s">
        <v>900</v>
      </c>
      <c r="D209" s="561">
        <v>500</v>
      </c>
      <c r="E209" s="579" t="s">
        <v>983</v>
      </c>
      <c r="F209" s="579" t="s">
        <v>984</v>
      </c>
    </row>
    <row r="210" spans="1:6" x14ac:dyDescent="0.25">
      <c r="A210" s="362">
        <f t="shared" si="3"/>
        <v>206</v>
      </c>
      <c r="B210" s="363" t="s">
        <v>395</v>
      </c>
      <c r="C210" s="362" t="s">
        <v>6693</v>
      </c>
      <c r="D210" s="561">
        <v>100</v>
      </c>
      <c r="E210" s="579" t="s">
        <v>983</v>
      </c>
      <c r="F210" s="579" t="s">
        <v>984</v>
      </c>
    </row>
    <row r="211" spans="1:6" x14ac:dyDescent="0.25">
      <c r="A211" s="362">
        <f t="shared" si="3"/>
        <v>207</v>
      </c>
      <c r="B211" s="363" t="s">
        <v>395</v>
      </c>
      <c r="C211" s="362" t="s">
        <v>1832</v>
      </c>
      <c r="D211" s="561">
        <v>500</v>
      </c>
      <c r="E211" s="579" t="s">
        <v>983</v>
      </c>
      <c r="F211" s="579" t="s">
        <v>984</v>
      </c>
    </row>
    <row r="212" spans="1:6" x14ac:dyDescent="0.25">
      <c r="A212" s="362">
        <f t="shared" si="3"/>
        <v>208</v>
      </c>
      <c r="B212" s="363" t="s">
        <v>395</v>
      </c>
      <c r="C212" s="362" t="s">
        <v>6694</v>
      </c>
      <c r="D212" s="561">
        <v>500</v>
      </c>
      <c r="E212" s="579" t="s">
        <v>983</v>
      </c>
      <c r="F212" s="579" t="s">
        <v>984</v>
      </c>
    </row>
    <row r="213" spans="1:6" x14ac:dyDescent="0.25">
      <c r="A213" s="362">
        <f t="shared" si="3"/>
        <v>209</v>
      </c>
      <c r="B213" s="363" t="s">
        <v>395</v>
      </c>
      <c r="C213" s="362" t="s">
        <v>403</v>
      </c>
      <c r="D213" s="561">
        <f>1534.38+31895.39+15932.91+2626.19</f>
        <v>51988.869999999995</v>
      </c>
      <c r="E213" s="579" t="s">
        <v>983</v>
      </c>
      <c r="F213" s="579" t="s">
        <v>984</v>
      </c>
    </row>
    <row r="214" spans="1:6" x14ac:dyDescent="0.25">
      <c r="A214" s="362">
        <f t="shared" ref="A214:A277" si="4">A213+1</f>
        <v>210</v>
      </c>
      <c r="B214" s="363" t="s">
        <v>395</v>
      </c>
      <c r="C214" s="362" t="s">
        <v>404</v>
      </c>
      <c r="D214" s="561">
        <v>140000</v>
      </c>
      <c r="E214" s="579" t="s">
        <v>983</v>
      </c>
      <c r="F214" s="579" t="s">
        <v>984</v>
      </c>
    </row>
    <row r="215" spans="1:6" x14ac:dyDescent="0.25">
      <c r="A215" s="362">
        <f t="shared" si="4"/>
        <v>211</v>
      </c>
      <c r="B215" s="363" t="s">
        <v>395</v>
      </c>
      <c r="C215" s="362" t="s">
        <v>405</v>
      </c>
      <c r="D215" s="561">
        <v>500</v>
      </c>
      <c r="E215" s="579" t="s">
        <v>983</v>
      </c>
      <c r="F215" s="579" t="s">
        <v>984</v>
      </c>
    </row>
    <row r="216" spans="1:6" x14ac:dyDescent="0.25">
      <c r="A216" s="362">
        <f t="shared" si="4"/>
        <v>212</v>
      </c>
      <c r="B216" s="363" t="s">
        <v>395</v>
      </c>
      <c r="C216" s="362" t="s">
        <v>406</v>
      </c>
      <c r="D216" s="561">
        <v>3500</v>
      </c>
      <c r="E216" s="579" t="s">
        <v>983</v>
      </c>
      <c r="F216" s="579" t="s">
        <v>984</v>
      </c>
    </row>
    <row r="217" spans="1:6" x14ac:dyDescent="0.25">
      <c r="A217" s="362">
        <f t="shared" si="4"/>
        <v>213</v>
      </c>
      <c r="B217" s="363" t="s">
        <v>395</v>
      </c>
      <c r="C217" s="362" t="s">
        <v>407</v>
      </c>
      <c r="D217" s="561">
        <v>500</v>
      </c>
      <c r="E217" s="579" t="s">
        <v>983</v>
      </c>
      <c r="F217" s="579" t="s">
        <v>984</v>
      </c>
    </row>
    <row r="218" spans="1:6" x14ac:dyDescent="0.25">
      <c r="A218" s="362">
        <f t="shared" si="4"/>
        <v>214</v>
      </c>
      <c r="B218" s="363" t="s">
        <v>395</v>
      </c>
      <c r="C218" s="362" t="s">
        <v>6696</v>
      </c>
      <c r="D218" s="561">
        <v>100</v>
      </c>
      <c r="E218" s="579" t="s">
        <v>983</v>
      </c>
      <c r="F218" s="579" t="s">
        <v>984</v>
      </c>
    </row>
    <row r="219" spans="1:6" ht="30" x14ac:dyDescent="0.25">
      <c r="A219" s="362">
        <f t="shared" si="4"/>
        <v>215</v>
      </c>
      <c r="B219" s="363" t="s">
        <v>395</v>
      </c>
      <c r="C219" s="363" t="s">
        <v>408</v>
      </c>
      <c r="D219" s="561">
        <v>1000</v>
      </c>
      <c r="E219" s="579" t="s">
        <v>983</v>
      </c>
      <c r="F219" s="579" t="s">
        <v>984</v>
      </c>
    </row>
    <row r="220" spans="1:6" x14ac:dyDescent="0.25">
      <c r="A220" s="362">
        <f t="shared" si="4"/>
        <v>216</v>
      </c>
      <c r="B220" s="363" t="s">
        <v>395</v>
      </c>
      <c r="C220" s="362" t="s">
        <v>409</v>
      </c>
      <c r="D220" s="561">
        <v>1000</v>
      </c>
      <c r="E220" s="579" t="s">
        <v>983</v>
      </c>
      <c r="F220" s="579" t="s">
        <v>984</v>
      </c>
    </row>
    <row r="221" spans="1:6" x14ac:dyDescent="0.25">
      <c r="A221" s="362">
        <f t="shared" si="4"/>
        <v>217</v>
      </c>
      <c r="B221" s="363" t="s">
        <v>395</v>
      </c>
      <c r="C221" s="362" t="s">
        <v>6719</v>
      </c>
      <c r="D221" s="561">
        <v>100</v>
      </c>
      <c r="E221" s="579" t="s">
        <v>983</v>
      </c>
      <c r="F221" s="579" t="s">
        <v>984</v>
      </c>
    </row>
    <row r="222" spans="1:6" x14ac:dyDescent="0.25">
      <c r="A222" s="362">
        <f t="shared" si="4"/>
        <v>218</v>
      </c>
      <c r="B222" s="363" t="s">
        <v>395</v>
      </c>
      <c r="C222" s="362" t="s">
        <v>6720</v>
      </c>
      <c r="D222" s="561">
        <v>100</v>
      </c>
      <c r="E222" s="579" t="s">
        <v>983</v>
      </c>
      <c r="F222" s="579" t="s">
        <v>984</v>
      </c>
    </row>
    <row r="223" spans="1:6" x14ac:dyDescent="0.25">
      <c r="A223" s="362">
        <f t="shared" si="4"/>
        <v>219</v>
      </c>
      <c r="B223" s="363" t="s">
        <v>395</v>
      </c>
      <c r="C223" s="362" t="s">
        <v>6721</v>
      </c>
      <c r="D223" s="561">
        <v>100</v>
      </c>
      <c r="E223" s="579" t="s">
        <v>983</v>
      </c>
      <c r="F223" s="579" t="s">
        <v>984</v>
      </c>
    </row>
    <row r="224" spans="1:6" x14ac:dyDescent="0.25">
      <c r="A224" s="362">
        <f t="shared" si="4"/>
        <v>220</v>
      </c>
      <c r="B224" s="363" t="s">
        <v>395</v>
      </c>
      <c r="C224" s="362" t="s">
        <v>6722</v>
      </c>
      <c r="D224" s="561">
        <v>100</v>
      </c>
      <c r="E224" s="579" t="s">
        <v>983</v>
      </c>
      <c r="F224" s="579" t="s">
        <v>984</v>
      </c>
    </row>
    <row r="225" spans="1:6" x14ac:dyDescent="0.25">
      <c r="A225" s="362">
        <f t="shared" si="4"/>
        <v>221</v>
      </c>
      <c r="B225" s="363" t="s">
        <v>395</v>
      </c>
      <c r="C225" s="362" t="s">
        <v>410</v>
      </c>
      <c r="D225" s="561">
        <v>5000</v>
      </c>
      <c r="E225" s="579" t="s">
        <v>983</v>
      </c>
      <c r="F225" s="579" t="s">
        <v>984</v>
      </c>
    </row>
    <row r="226" spans="1:6" ht="30" x14ac:dyDescent="0.25">
      <c r="A226" s="362">
        <f t="shared" si="4"/>
        <v>222</v>
      </c>
      <c r="B226" s="363" t="s">
        <v>395</v>
      </c>
      <c r="C226" s="363" t="s">
        <v>411</v>
      </c>
      <c r="D226" s="561">
        <v>5747.9</v>
      </c>
      <c r="E226" s="579" t="s">
        <v>983</v>
      </c>
      <c r="F226" s="579" t="s">
        <v>984</v>
      </c>
    </row>
    <row r="227" spans="1:6" x14ac:dyDescent="0.25">
      <c r="A227" s="362">
        <f t="shared" si="4"/>
        <v>223</v>
      </c>
      <c r="B227" s="363" t="s">
        <v>395</v>
      </c>
      <c r="C227" s="363" t="s">
        <v>6724</v>
      </c>
      <c r="D227" s="561">
        <v>1500</v>
      </c>
      <c r="E227" s="579" t="s">
        <v>983</v>
      </c>
      <c r="F227" s="579" t="s">
        <v>984</v>
      </c>
    </row>
    <row r="228" spans="1:6" x14ac:dyDescent="0.25">
      <c r="A228" s="362">
        <f t="shared" si="4"/>
        <v>224</v>
      </c>
      <c r="B228" s="363" t="s">
        <v>395</v>
      </c>
      <c r="C228" s="363" t="s">
        <v>6725</v>
      </c>
      <c r="D228" s="561">
        <v>100</v>
      </c>
      <c r="E228" s="579" t="s">
        <v>983</v>
      </c>
      <c r="F228" s="579" t="s">
        <v>984</v>
      </c>
    </row>
    <row r="229" spans="1:6" x14ac:dyDescent="0.25">
      <c r="A229" s="362">
        <f t="shared" si="4"/>
        <v>225</v>
      </c>
      <c r="B229" s="363" t="s">
        <v>395</v>
      </c>
      <c r="C229" s="362" t="s">
        <v>412</v>
      </c>
      <c r="D229" s="561">
        <v>300000</v>
      </c>
      <c r="E229" s="579" t="s">
        <v>983</v>
      </c>
      <c r="F229" s="579" t="s">
        <v>984</v>
      </c>
    </row>
    <row r="230" spans="1:6" x14ac:dyDescent="0.25">
      <c r="A230" s="362">
        <f t="shared" si="4"/>
        <v>226</v>
      </c>
      <c r="B230" s="363" t="s">
        <v>395</v>
      </c>
      <c r="C230" s="542" t="s">
        <v>6726</v>
      </c>
      <c r="D230" s="561">
        <v>21300</v>
      </c>
      <c r="E230" s="579" t="s">
        <v>983</v>
      </c>
      <c r="F230" s="579" t="s">
        <v>984</v>
      </c>
    </row>
    <row r="231" spans="1:6" x14ac:dyDescent="0.25">
      <c r="A231" s="362">
        <f t="shared" si="4"/>
        <v>227</v>
      </c>
      <c r="B231" s="363" t="s">
        <v>395</v>
      </c>
      <c r="C231" s="542" t="s">
        <v>6727</v>
      </c>
      <c r="D231" s="561">
        <v>22381</v>
      </c>
      <c r="E231" s="579" t="s">
        <v>983</v>
      </c>
      <c r="F231" s="579" t="s">
        <v>984</v>
      </c>
    </row>
    <row r="232" spans="1:6" x14ac:dyDescent="0.25">
      <c r="A232" s="362">
        <f t="shared" si="4"/>
        <v>228</v>
      </c>
      <c r="B232" s="363" t="s">
        <v>395</v>
      </c>
      <c r="C232" s="542" t="s">
        <v>6728</v>
      </c>
      <c r="D232" s="561">
        <v>21768.3</v>
      </c>
      <c r="E232" s="579" t="s">
        <v>983</v>
      </c>
      <c r="F232" s="579" t="s">
        <v>984</v>
      </c>
    </row>
    <row r="233" spans="1:6" x14ac:dyDescent="0.25">
      <c r="A233" s="362">
        <f t="shared" si="4"/>
        <v>229</v>
      </c>
      <c r="B233" s="363" t="s">
        <v>395</v>
      </c>
      <c r="C233" s="542" t="s">
        <v>6729</v>
      </c>
      <c r="D233" s="561">
        <v>8000</v>
      </c>
      <c r="E233" s="579" t="s">
        <v>983</v>
      </c>
      <c r="F233" s="579" t="s">
        <v>984</v>
      </c>
    </row>
    <row r="234" spans="1:6" x14ac:dyDescent="0.25">
      <c r="A234" s="362">
        <f t="shared" si="4"/>
        <v>230</v>
      </c>
      <c r="B234" s="363" t="s">
        <v>395</v>
      </c>
      <c r="C234" s="542" t="s">
        <v>6730</v>
      </c>
      <c r="D234" s="561">
        <v>1000</v>
      </c>
      <c r="E234" s="579" t="s">
        <v>983</v>
      </c>
      <c r="F234" s="579" t="s">
        <v>984</v>
      </c>
    </row>
    <row r="235" spans="1:6" x14ac:dyDescent="0.25">
      <c r="A235" s="362">
        <f t="shared" si="4"/>
        <v>231</v>
      </c>
      <c r="B235" s="363" t="s">
        <v>395</v>
      </c>
      <c r="C235" s="542" t="s">
        <v>1971</v>
      </c>
      <c r="D235" s="561">
        <v>1</v>
      </c>
      <c r="E235" s="579" t="s">
        <v>983</v>
      </c>
      <c r="F235" s="579" t="s">
        <v>984</v>
      </c>
    </row>
    <row r="236" spans="1:6" x14ac:dyDescent="0.25">
      <c r="A236" s="362">
        <f t="shared" si="4"/>
        <v>232</v>
      </c>
      <c r="B236" s="363" t="s">
        <v>395</v>
      </c>
      <c r="C236" s="542" t="s">
        <v>6732</v>
      </c>
      <c r="D236" s="561">
        <v>11805.5</v>
      </c>
      <c r="E236" s="579" t="s">
        <v>983</v>
      </c>
      <c r="F236" s="579" t="s">
        <v>984</v>
      </c>
    </row>
    <row r="237" spans="1:6" x14ac:dyDescent="0.25">
      <c r="A237" s="362">
        <f t="shared" si="4"/>
        <v>233</v>
      </c>
      <c r="B237" s="363" t="s">
        <v>395</v>
      </c>
      <c r="C237" s="542" t="s">
        <v>6734</v>
      </c>
      <c r="D237" s="561">
        <v>7097.75</v>
      </c>
      <c r="E237" s="579" t="s">
        <v>983</v>
      </c>
      <c r="F237" s="579" t="s">
        <v>984</v>
      </c>
    </row>
    <row r="238" spans="1:6" x14ac:dyDescent="0.25">
      <c r="A238" s="362">
        <f t="shared" si="4"/>
        <v>234</v>
      </c>
      <c r="B238" s="363" t="s">
        <v>395</v>
      </c>
      <c r="C238" s="542" t="s">
        <v>6736</v>
      </c>
      <c r="D238" s="561">
        <v>24350</v>
      </c>
      <c r="E238" s="579" t="s">
        <v>983</v>
      </c>
      <c r="F238" s="579" t="s">
        <v>984</v>
      </c>
    </row>
    <row r="239" spans="1:6" x14ac:dyDescent="0.25">
      <c r="A239" s="362">
        <f t="shared" si="4"/>
        <v>235</v>
      </c>
      <c r="B239" s="363" t="s">
        <v>413</v>
      </c>
      <c r="C239" s="362" t="s">
        <v>414</v>
      </c>
      <c r="D239" s="561">
        <v>1000</v>
      </c>
      <c r="E239" s="579" t="s">
        <v>983</v>
      </c>
      <c r="F239" s="579" t="s">
        <v>984</v>
      </c>
    </row>
    <row r="240" spans="1:6" x14ac:dyDescent="0.25">
      <c r="A240" s="362">
        <f t="shared" si="4"/>
        <v>236</v>
      </c>
      <c r="B240" s="363" t="s">
        <v>413</v>
      </c>
      <c r="C240" s="362" t="s">
        <v>6741</v>
      </c>
      <c r="D240" s="561">
        <v>1000</v>
      </c>
      <c r="E240" s="579" t="s">
        <v>983</v>
      </c>
      <c r="F240" s="579" t="s">
        <v>984</v>
      </c>
    </row>
    <row r="241" spans="1:6" x14ac:dyDescent="0.25">
      <c r="A241" s="362">
        <f t="shared" si="4"/>
        <v>237</v>
      </c>
      <c r="B241" s="363" t="s">
        <v>413</v>
      </c>
      <c r="C241" s="362" t="s">
        <v>6740</v>
      </c>
      <c r="D241" s="561">
        <v>1000</v>
      </c>
      <c r="E241" s="579" t="s">
        <v>983</v>
      </c>
      <c r="F241" s="579" t="s">
        <v>984</v>
      </c>
    </row>
    <row r="242" spans="1:6" x14ac:dyDescent="0.25">
      <c r="A242" s="362">
        <f t="shared" si="4"/>
        <v>238</v>
      </c>
      <c r="B242" s="363" t="s">
        <v>413</v>
      </c>
      <c r="C242" s="362" t="s">
        <v>6739</v>
      </c>
      <c r="D242" s="561">
        <v>1000</v>
      </c>
      <c r="E242" s="579" t="s">
        <v>983</v>
      </c>
      <c r="F242" s="579" t="s">
        <v>984</v>
      </c>
    </row>
    <row r="243" spans="1:6" x14ac:dyDescent="0.25">
      <c r="A243" s="362">
        <f t="shared" si="4"/>
        <v>239</v>
      </c>
      <c r="B243" s="363" t="s">
        <v>413</v>
      </c>
      <c r="C243" s="362" t="s">
        <v>1278</v>
      </c>
      <c r="D243" s="561">
        <v>75000</v>
      </c>
      <c r="E243" s="579" t="s">
        <v>983</v>
      </c>
      <c r="F243" s="579" t="s">
        <v>984</v>
      </c>
    </row>
    <row r="244" spans="1:6" x14ac:dyDescent="0.25">
      <c r="A244" s="362">
        <f t="shared" si="4"/>
        <v>240</v>
      </c>
      <c r="B244" s="363" t="s">
        <v>413</v>
      </c>
      <c r="C244" s="362" t="s">
        <v>7793</v>
      </c>
      <c r="D244" s="561">
        <v>50000</v>
      </c>
      <c r="E244" s="579" t="s">
        <v>983</v>
      </c>
      <c r="F244" s="579" t="s">
        <v>984</v>
      </c>
    </row>
    <row r="245" spans="1:6" x14ac:dyDescent="0.25">
      <c r="A245" s="362">
        <f t="shared" si="4"/>
        <v>241</v>
      </c>
      <c r="B245" s="363" t="s">
        <v>413</v>
      </c>
      <c r="C245" s="362" t="s">
        <v>6744</v>
      </c>
      <c r="D245" s="561">
        <v>136500</v>
      </c>
      <c r="E245" s="579" t="s">
        <v>983</v>
      </c>
      <c r="F245" s="579" t="s">
        <v>984</v>
      </c>
    </row>
    <row r="246" spans="1:6" x14ac:dyDescent="0.25">
      <c r="A246" s="362">
        <f t="shared" si="4"/>
        <v>242</v>
      </c>
      <c r="B246" s="363" t="s">
        <v>413</v>
      </c>
      <c r="C246" s="362" t="s">
        <v>6745</v>
      </c>
      <c r="D246" s="561">
        <v>97500</v>
      </c>
      <c r="E246" s="579" t="s">
        <v>983</v>
      </c>
      <c r="F246" s="579" t="s">
        <v>984</v>
      </c>
    </row>
    <row r="247" spans="1:6" x14ac:dyDescent="0.25">
      <c r="A247" s="362">
        <f t="shared" si="4"/>
        <v>243</v>
      </c>
      <c r="B247" s="363" t="s">
        <v>413</v>
      </c>
      <c r="C247" s="362" t="s">
        <v>6750</v>
      </c>
      <c r="D247" s="561">
        <v>100000</v>
      </c>
      <c r="E247" s="579" t="s">
        <v>983</v>
      </c>
      <c r="F247" s="579" t="s">
        <v>984</v>
      </c>
    </row>
    <row r="248" spans="1:6" x14ac:dyDescent="0.25">
      <c r="A248" s="362">
        <f t="shared" si="4"/>
        <v>244</v>
      </c>
      <c r="B248" s="363" t="s">
        <v>413</v>
      </c>
      <c r="C248" s="362" t="s">
        <v>6774</v>
      </c>
      <c r="D248" s="561">
        <v>35000</v>
      </c>
      <c r="E248" s="579" t="s">
        <v>983</v>
      </c>
      <c r="F248" s="579" t="s">
        <v>984</v>
      </c>
    </row>
    <row r="249" spans="1:6" x14ac:dyDescent="0.25">
      <c r="A249" s="362">
        <f t="shared" si="4"/>
        <v>245</v>
      </c>
      <c r="B249" s="363" t="s">
        <v>413</v>
      </c>
      <c r="C249" s="362" t="s">
        <v>6776</v>
      </c>
      <c r="D249" s="561">
        <v>60000</v>
      </c>
      <c r="E249" s="579" t="s">
        <v>983</v>
      </c>
      <c r="F249" s="579" t="s">
        <v>984</v>
      </c>
    </row>
    <row r="250" spans="1:6" x14ac:dyDescent="0.25">
      <c r="A250" s="362">
        <f t="shared" si="4"/>
        <v>246</v>
      </c>
      <c r="B250" s="363" t="s">
        <v>413</v>
      </c>
      <c r="C250" s="362" t="s">
        <v>6777</v>
      </c>
      <c r="D250" s="561">
        <v>30000</v>
      </c>
      <c r="E250" s="579" t="s">
        <v>983</v>
      </c>
      <c r="F250" s="579" t="s">
        <v>984</v>
      </c>
    </row>
    <row r="251" spans="1:6" x14ac:dyDescent="0.25">
      <c r="A251" s="362">
        <f t="shared" si="4"/>
        <v>247</v>
      </c>
      <c r="B251" s="363" t="s">
        <v>413</v>
      </c>
      <c r="C251" s="726" t="s">
        <v>7794</v>
      </c>
      <c r="D251" s="561">
        <v>65000</v>
      </c>
      <c r="E251" s="579" t="s">
        <v>983</v>
      </c>
      <c r="F251" s="579" t="s">
        <v>984</v>
      </c>
    </row>
    <row r="252" spans="1:6" x14ac:dyDescent="0.25">
      <c r="A252" s="362">
        <f t="shared" si="4"/>
        <v>248</v>
      </c>
      <c r="B252" s="363" t="s">
        <v>413</v>
      </c>
      <c r="C252" s="726" t="s">
        <v>7796</v>
      </c>
      <c r="D252" s="561">
        <v>50000</v>
      </c>
      <c r="E252" s="579" t="s">
        <v>983</v>
      </c>
      <c r="F252" s="579" t="s">
        <v>984</v>
      </c>
    </row>
    <row r="253" spans="1:6" x14ac:dyDescent="0.25">
      <c r="A253" s="362">
        <f t="shared" si="4"/>
        <v>249</v>
      </c>
      <c r="B253" s="363" t="s">
        <v>413</v>
      </c>
      <c r="C253" s="726" t="s">
        <v>7798</v>
      </c>
      <c r="D253" s="561">
        <v>50000</v>
      </c>
      <c r="E253" s="579" t="s">
        <v>983</v>
      </c>
      <c r="F253" s="579" t="s">
        <v>984</v>
      </c>
    </row>
    <row r="254" spans="1:6" x14ac:dyDescent="0.25">
      <c r="A254" s="362">
        <f t="shared" si="4"/>
        <v>250</v>
      </c>
      <c r="B254" s="363" t="s">
        <v>413</v>
      </c>
      <c r="C254" s="726" t="s">
        <v>7801</v>
      </c>
      <c r="D254" s="561">
        <v>35000</v>
      </c>
      <c r="E254" s="579" t="s">
        <v>983</v>
      </c>
      <c r="F254" s="579" t="s">
        <v>984</v>
      </c>
    </row>
    <row r="255" spans="1:6" x14ac:dyDescent="0.25">
      <c r="A255" s="362">
        <f t="shared" si="4"/>
        <v>251</v>
      </c>
      <c r="B255" s="363" t="s">
        <v>413</v>
      </c>
      <c r="C255" s="362" t="s">
        <v>6754</v>
      </c>
      <c r="D255" s="561">
        <v>30000</v>
      </c>
      <c r="E255" s="579" t="s">
        <v>983</v>
      </c>
      <c r="F255" s="579" t="s">
        <v>984</v>
      </c>
    </row>
    <row r="256" spans="1:6" x14ac:dyDescent="0.25">
      <c r="A256" s="362">
        <f t="shared" si="4"/>
        <v>252</v>
      </c>
      <c r="B256" s="363" t="s">
        <v>413</v>
      </c>
      <c r="C256" s="362" t="s">
        <v>6757</v>
      </c>
      <c r="D256" s="561">
        <v>35000</v>
      </c>
      <c r="E256" s="579" t="s">
        <v>983</v>
      </c>
      <c r="F256" s="579" t="s">
        <v>984</v>
      </c>
    </row>
    <row r="257" spans="1:6" x14ac:dyDescent="0.25">
      <c r="A257" s="362">
        <f t="shared" si="4"/>
        <v>253</v>
      </c>
      <c r="B257" s="363" t="s">
        <v>413</v>
      </c>
      <c r="C257" s="362" t="s">
        <v>6760</v>
      </c>
      <c r="D257" s="561">
        <v>35000</v>
      </c>
      <c r="E257" s="579" t="s">
        <v>983</v>
      </c>
      <c r="F257" s="579" t="s">
        <v>984</v>
      </c>
    </row>
    <row r="258" spans="1:6" x14ac:dyDescent="0.25">
      <c r="A258" s="362">
        <f t="shared" si="4"/>
        <v>254</v>
      </c>
      <c r="B258" s="363" t="s">
        <v>413</v>
      </c>
      <c r="C258" s="362" t="s">
        <v>6769</v>
      </c>
      <c r="D258" s="561">
        <v>5000</v>
      </c>
      <c r="E258" s="579" t="s">
        <v>983</v>
      </c>
      <c r="F258" s="579" t="s">
        <v>984</v>
      </c>
    </row>
    <row r="259" spans="1:6" x14ac:dyDescent="0.25">
      <c r="A259" s="362">
        <f t="shared" si="4"/>
        <v>255</v>
      </c>
      <c r="B259" s="363" t="s">
        <v>413</v>
      </c>
      <c r="C259" s="362" t="s">
        <v>6772</v>
      </c>
      <c r="D259" s="561">
        <v>50000</v>
      </c>
      <c r="E259" s="579" t="s">
        <v>983</v>
      </c>
      <c r="F259" s="579" t="s">
        <v>984</v>
      </c>
    </row>
    <row r="260" spans="1:6" x14ac:dyDescent="0.25">
      <c r="A260" s="362">
        <f t="shared" si="4"/>
        <v>256</v>
      </c>
      <c r="B260" s="363" t="s">
        <v>413</v>
      </c>
      <c r="C260" s="362" t="s">
        <v>6781</v>
      </c>
      <c r="D260" s="561">
        <v>100000</v>
      </c>
      <c r="E260" s="579" t="s">
        <v>983</v>
      </c>
      <c r="F260" s="579" t="s">
        <v>984</v>
      </c>
    </row>
    <row r="261" spans="1:6" x14ac:dyDescent="0.25">
      <c r="A261" s="362">
        <f t="shared" si="4"/>
        <v>257</v>
      </c>
      <c r="B261" s="363" t="s">
        <v>413</v>
      </c>
      <c r="C261" s="542" t="s">
        <v>1640</v>
      </c>
      <c r="D261" s="561">
        <v>1000</v>
      </c>
      <c r="E261" s="579" t="s">
        <v>983</v>
      </c>
      <c r="F261" s="579" t="s">
        <v>984</v>
      </c>
    </row>
    <row r="262" spans="1:6" x14ac:dyDescent="0.25">
      <c r="A262" s="362">
        <f t="shared" si="4"/>
        <v>258</v>
      </c>
      <c r="B262" s="363" t="s">
        <v>413</v>
      </c>
      <c r="C262" s="542" t="s">
        <v>1642</v>
      </c>
      <c r="D262" s="561">
        <v>1500</v>
      </c>
      <c r="E262" s="579" t="s">
        <v>983</v>
      </c>
      <c r="F262" s="579" t="s">
        <v>984</v>
      </c>
    </row>
    <row r="263" spans="1:6" x14ac:dyDescent="0.25">
      <c r="A263" s="362">
        <f t="shared" si="4"/>
        <v>259</v>
      </c>
      <c r="B263" s="363" t="s">
        <v>413</v>
      </c>
      <c r="C263" s="542" t="s">
        <v>1644</v>
      </c>
      <c r="D263" s="561">
        <v>5000</v>
      </c>
      <c r="E263" s="579" t="s">
        <v>983</v>
      </c>
      <c r="F263" s="579" t="s">
        <v>984</v>
      </c>
    </row>
    <row r="264" spans="1:6" x14ac:dyDescent="0.25">
      <c r="A264" s="362">
        <f t="shared" si="4"/>
        <v>260</v>
      </c>
      <c r="B264" s="363" t="s">
        <v>413</v>
      </c>
      <c r="C264" s="580" t="s">
        <v>1647</v>
      </c>
      <c r="D264" s="561">
        <v>1000</v>
      </c>
      <c r="E264" s="579" t="s">
        <v>983</v>
      </c>
      <c r="F264" s="579" t="s">
        <v>984</v>
      </c>
    </row>
    <row r="265" spans="1:6" x14ac:dyDescent="0.25">
      <c r="A265" s="362">
        <f t="shared" si="4"/>
        <v>261</v>
      </c>
      <c r="B265" s="363" t="s">
        <v>413</v>
      </c>
      <c r="C265" s="580" t="s">
        <v>1649</v>
      </c>
      <c r="D265" s="561">
        <v>100</v>
      </c>
      <c r="E265" s="579" t="s">
        <v>983</v>
      </c>
      <c r="F265" s="579" t="s">
        <v>984</v>
      </c>
    </row>
    <row r="266" spans="1:6" x14ac:dyDescent="0.25">
      <c r="A266" s="362">
        <f t="shared" si="4"/>
        <v>262</v>
      </c>
      <c r="B266" s="363" t="s">
        <v>413</v>
      </c>
      <c r="C266" s="542" t="s">
        <v>1645</v>
      </c>
      <c r="D266" s="561">
        <v>100</v>
      </c>
      <c r="E266" s="579" t="s">
        <v>983</v>
      </c>
      <c r="F266" s="579" t="s">
        <v>984</v>
      </c>
    </row>
    <row r="267" spans="1:6" x14ac:dyDescent="0.25">
      <c r="A267" s="362">
        <f t="shared" si="4"/>
        <v>263</v>
      </c>
      <c r="B267" s="363" t="s">
        <v>413</v>
      </c>
      <c r="C267" s="542" t="s">
        <v>6783</v>
      </c>
      <c r="D267" s="561">
        <v>100</v>
      </c>
      <c r="E267" s="579" t="s">
        <v>983</v>
      </c>
      <c r="F267" s="579" t="s">
        <v>984</v>
      </c>
    </row>
    <row r="268" spans="1:6" x14ac:dyDescent="0.25">
      <c r="A268" s="362">
        <f t="shared" si="4"/>
        <v>264</v>
      </c>
      <c r="B268" s="363" t="s">
        <v>413</v>
      </c>
      <c r="C268" s="542" t="s">
        <v>6784</v>
      </c>
      <c r="D268" s="561">
        <v>5000</v>
      </c>
      <c r="E268" s="579" t="s">
        <v>983</v>
      </c>
      <c r="F268" s="579" t="s">
        <v>984</v>
      </c>
    </row>
    <row r="269" spans="1:6" x14ac:dyDescent="0.25">
      <c r="A269" s="362">
        <f t="shared" si="4"/>
        <v>265</v>
      </c>
      <c r="B269" s="363" t="s">
        <v>413</v>
      </c>
      <c r="C269" s="542" t="s">
        <v>1921</v>
      </c>
      <c r="D269" s="561">
        <v>100</v>
      </c>
      <c r="E269" s="579" t="s">
        <v>983</v>
      </c>
      <c r="F269" s="579" t="s">
        <v>984</v>
      </c>
    </row>
    <row r="270" spans="1:6" x14ac:dyDescent="0.25">
      <c r="A270" s="362">
        <f t="shared" si="4"/>
        <v>266</v>
      </c>
      <c r="B270" s="363" t="s">
        <v>413</v>
      </c>
      <c r="C270" s="542" t="s">
        <v>1922</v>
      </c>
      <c r="D270" s="561">
        <v>500</v>
      </c>
      <c r="E270" s="579" t="s">
        <v>983</v>
      </c>
      <c r="F270" s="579" t="s">
        <v>984</v>
      </c>
    </row>
    <row r="271" spans="1:6" x14ac:dyDescent="0.25">
      <c r="A271" s="362">
        <f t="shared" si="4"/>
        <v>267</v>
      </c>
      <c r="B271" s="363" t="s">
        <v>413</v>
      </c>
      <c r="C271" s="542" t="s">
        <v>1923</v>
      </c>
      <c r="D271" s="561">
        <v>100</v>
      </c>
      <c r="E271" s="579" t="s">
        <v>983</v>
      </c>
      <c r="F271" s="579" t="s">
        <v>984</v>
      </c>
    </row>
    <row r="272" spans="1:6" x14ac:dyDescent="0.25">
      <c r="A272" s="362">
        <f t="shared" si="4"/>
        <v>268</v>
      </c>
      <c r="B272" s="363" t="s">
        <v>413</v>
      </c>
      <c r="C272" s="542" t="s">
        <v>6802</v>
      </c>
      <c r="D272" s="561">
        <v>100</v>
      </c>
      <c r="E272" s="579" t="s">
        <v>983</v>
      </c>
      <c r="F272" s="579" t="s">
        <v>984</v>
      </c>
    </row>
    <row r="273" spans="1:6" x14ac:dyDescent="0.25">
      <c r="A273" s="362">
        <f t="shared" si="4"/>
        <v>269</v>
      </c>
      <c r="B273" s="363" t="s">
        <v>413</v>
      </c>
      <c r="C273" s="542" t="s">
        <v>6804</v>
      </c>
      <c r="D273" s="561">
        <v>100</v>
      </c>
      <c r="E273" s="579" t="s">
        <v>983</v>
      </c>
      <c r="F273" s="579" t="s">
        <v>984</v>
      </c>
    </row>
    <row r="274" spans="1:6" x14ac:dyDescent="0.25">
      <c r="A274" s="362">
        <f t="shared" si="4"/>
        <v>270</v>
      </c>
      <c r="B274" s="363" t="s">
        <v>413</v>
      </c>
      <c r="C274" s="542" t="s">
        <v>6803</v>
      </c>
      <c r="D274" s="561">
        <v>100</v>
      </c>
      <c r="E274" s="579" t="s">
        <v>983</v>
      </c>
      <c r="F274" s="579" t="s">
        <v>984</v>
      </c>
    </row>
    <row r="275" spans="1:6" x14ac:dyDescent="0.25">
      <c r="A275" s="362">
        <f t="shared" si="4"/>
        <v>271</v>
      </c>
      <c r="B275" s="363" t="s">
        <v>413</v>
      </c>
      <c r="C275" s="542" t="s">
        <v>6805</v>
      </c>
      <c r="D275" s="561">
        <v>100</v>
      </c>
      <c r="E275" s="579" t="s">
        <v>983</v>
      </c>
      <c r="F275" s="579" t="s">
        <v>984</v>
      </c>
    </row>
    <row r="276" spans="1:6" x14ac:dyDescent="0.25">
      <c r="A276" s="362">
        <f t="shared" si="4"/>
        <v>272</v>
      </c>
      <c r="B276" s="363" t="s">
        <v>413</v>
      </c>
      <c r="C276" s="542" t="s">
        <v>6806</v>
      </c>
      <c r="D276" s="561">
        <v>100</v>
      </c>
      <c r="E276" s="579" t="s">
        <v>983</v>
      </c>
      <c r="F276" s="579" t="s">
        <v>984</v>
      </c>
    </row>
    <row r="277" spans="1:6" x14ac:dyDescent="0.25">
      <c r="A277" s="362">
        <f t="shared" si="4"/>
        <v>273</v>
      </c>
      <c r="B277" s="363" t="s">
        <v>413</v>
      </c>
      <c r="C277" s="583" t="s">
        <v>6807</v>
      </c>
      <c r="D277" s="561">
        <v>100</v>
      </c>
      <c r="E277" s="579" t="s">
        <v>983</v>
      </c>
      <c r="F277" s="579" t="s">
        <v>984</v>
      </c>
    </row>
    <row r="278" spans="1:6" x14ac:dyDescent="0.25">
      <c r="A278" s="362">
        <f t="shared" ref="A278:A292" si="5">A277+1</f>
        <v>274</v>
      </c>
      <c r="B278" s="363" t="s">
        <v>413</v>
      </c>
      <c r="C278" s="542" t="s">
        <v>6808</v>
      </c>
      <c r="D278" s="561">
        <v>100</v>
      </c>
      <c r="E278" s="579" t="s">
        <v>983</v>
      </c>
      <c r="F278" s="579" t="s">
        <v>984</v>
      </c>
    </row>
    <row r="279" spans="1:6" x14ac:dyDescent="0.25">
      <c r="A279" s="362">
        <f t="shared" si="5"/>
        <v>275</v>
      </c>
      <c r="B279" s="363" t="s">
        <v>413</v>
      </c>
      <c r="C279" s="542" t="s">
        <v>6810</v>
      </c>
      <c r="D279" s="561">
        <v>100</v>
      </c>
      <c r="E279" s="579" t="s">
        <v>983</v>
      </c>
      <c r="F279" s="579" t="s">
        <v>984</v>
      </c>
    </row>
    <row r="280" spans="1:6" x14ac:dyDescent="0.25">
      <c r="A280" s="362">
        <f t="shared" si="5"/>
        <v>276</v>
      </c>
      <c r="B280" s="363" t="s">
        <v>413</v>
      </c>
      <c r="C280" s="542" t="s">
        <v>6811</v>
      </c>
      <c r="D280" s="561">
        <v>100</v>
      </c>
      <c r="E280" s="579" t="s">
        <v>983</v>
      </c>
      <c r="F280" s="579" t="s">
        <v>984</v>
      </c>
    </row>
    <row r="281" spans="1:6" x14ac:dyDescent="0.25">
      <c r="A281" s="362">
        <f t="shared" si="5"/>
        <v>277</v>
      </c>
      <c r="B281" s="363" t="s">
        <v>413</v>
      </c>
      <c r="C281" s="542" t="s">
        <v>6812</v>
      </c>
      <c r="D281" s="561">
        <v>100</v>
      </c>
      <c r="E281" s="579" t="s">
        <v>983</v>
      </c>
      <c r="F281" s="579" t="s">
        <v>984</v>
      </c>
    </row>
    <row r="282" spans="1:6" x14ac:dyDescent="0.25">
      <c r="A282" s="362">
        <f t="shared" si="5"/>
        <v>278</v>
      </c>
      <c r="B282" s="363" t="s">
        <v>413</v>
      </c>
      <c r="C282" s="542" t="s">
        <v>6814</v>
      </c>
      <c r="D282" s="561">
        <v>100</v>
      </c>
      <c r="E282" s="579" t="s">
        <v>983</v>
      </c>
      <c r="F282" s="579" t="s">
        <v>984</v>
      </c>
    </row>
    <row r="283" spans="1:6" x14ac:dyDescent="0.25">
      <c r="A283" s="362">
        <f t="shared" si="5"/>
        <v>279</v>
      </c>
      <c r="B283" s="363" t="s">
        <v>413</v>
      </c>
      <c r="C283" s="727" t="s">
        <v>7792</v>
      </c>
      <c r="D283" s="561">
        <v>100</v>
      </c>
      <c r="E283" s="579" t="s">
        <v>983</v>
      </c>
      <c r="F283" s="579" t="s">
        <v>984</v>
      </c>
    </row>
    <row r="284" spans="1:6" x14ac:dyDescent="0.25">
      <c r="A284" s="362">
        <f t="shared" si="5"/>
        <v>280</v>
      </c>
      <c r="B284" s="363" t="s">
        <v>413</v>
      </c>
      <c r="C284" s="726" t="s">
        <v>7794</v>
      </c>
      <c r="D284" s="561">
        <v>100</v>
      </c>
      <c r="E284" s="579" t="s">
        <v>983</v>
      </c>
      <c r="F284" s="579" t="s">
        <v>984</v>
      </c>
    </row>
    <row r="285" spans="1:6" x14ac:dyDescent="0.25">
      <c r="A285" s="362">
        <f t="shared" si="5"/>
        <v>281</v>
      </c>
      <c r="B285" s="363" t="s">
        <v>413</v>
      </c>
      <c r="C285" s="726" t="s">
        <v>7796</v>
      </c>
      <c r="D285" s="561">
        <v>100</v>
      </c>
      <c r="E285" s="579" t="s">
        <v>983</v>
      </c>
      <c r="F285" s="579" t="s">
        <v>984</v>
      </c>
    </row>
    <row r="286" spans="1:6" x14ac:dyDescent="0.25">
      <c r="A286" s="362">
        <f t="shared" si="5"/>
        <v>282</v>
      </c>
      <c r="B286" s="363" t="s">
        <v>413</v>
      </c>
      <c r="C286" s="726" t="s">
        <v>7798</v>
      </c>
      <c r="D286" s="561">
        <v>100</v>
      </c>
      <c r="E286" s="579" t="s">
        <v>983</v>
      </c>
      <c r="F286" s="579" t="s">
        <v>984</v>
      </c>
    </row>
    <row r="287" spans="1:6" x14ac:dyDescent="0.25">
      <c r="A287" s="362">
        <f t="shared" si="5"/>
        <v>283</v>
      </c>
      <c r="B287" s="363" t="s">
        <v>413</v>
      </c>
      <c r="C287" s="726" t="s">
        <v>7801</v>
      </c>
      <c r="D287" s="561">
        <v>100</v>
      </c>
      <c r="E287" s="579" t="s">
        <v>983</v>
      </c>
      <c r="F287" s="579" t="s">
        <v>984</v>
      </c>
    </row>
    <row r="288" spans="1:6" ht="18" customHeight="1" x14ac:dyDescent="0.25">
      <c r="A288" s="362">
        <f t="shared" si="5"/>
        <v>284</v>
      </c>
      <c r="B288" s="363" t="s">
        <v>413</v>
      </c>
      <c r="C288" s="542" t="s">
        <v>6813</v>
      </c>
      <c r="D288" s="561">
        <v>100</v>
      </c>
      <c r="E288" s="579" t="s">
        <v>983</v>
      </c>
      <c r="F288" s="579" t="s">
        <v>984</v>
      </c>
    </row>
    <row r="289" spans="1:6" x14ac:dyDescent="0.25">
      <c r="A289" s="362">
        <f t="shared" si="5"/>
        <v>285</v>
      </c>
      <c r="B289" s="363" t="s">
        <v>413</v>
      </c>
      <c r="C289" s="571" t="s">
        <v>1875</v>
      </c>
      <c r="D289" s="561">
        <v>500</v>
      </c>
      <c r="E289" s="579" t="s">
        <v>983</v>
      </c>
      <c r="F289" s="579" t="s">
        <v>984</v>
      </c>
    </row>
    <row r="290" spans="1:6" x14ac:dyDescent="0.25">
      <c r="A290" s="362">
        <f t="shared" si="5"/>
        <v>286</v>
      </c>
      <c r="B290" s="363" t="s">
        <v>415</v>
      </c>
      <c r="C290" s="362" t="s">
        <v>1964</v>
      </c>
      <c r="D290" s="561">
        <v>2100</v>
      </c>
      <c r="E290" s="579" t="s">
        <v>983</v>
      </c>
      <c r="F290" s="579" t="s">
        <v>984</v>
      </c>
    </row>
    <row r="291" spans="1:6" x14ac:dyDescent="0.25">
      <c r="A291" s="362">
        <f t="shared" si="5"/>
        <v>287</v>
      </c>
      <c r="B291" s="363" t="s">
        <v>415</v>
      </c>
      <c r="C291" s="362" t="s">
        <v>897</v>
      </c>
      <c r="D291" s="561">
        <v>100</v>
      </c>
      <c r="E291" s="579" t="s">
        <v>983</v>
      </c>
      <c r="F291" s="579" t="s">
        <v>984</v>
      </c>
    </row>
    <row r="292" spans="1:6" x14ac:dyDescent="0.25">
      <c r="A292" s="362">
        <f t="shared" si="5"/>
        <v>288</v>
      </c>
      <c r="B292" s="363" t="s">
        <v>442</v>
      </c>
      <c r="C292" s="362" t="s">
        <v>443</v>
      </c>
      <c r="D292" s="362">
        <f>4.49+9561.94-44933-59.52+119.03</f>
        <v>-35307.06</v>
      </c>
      <c r="E292" s="579" t="s">
        <v>983</v>
      </c>
      <c r="F292" s="579" t="s">
        <v>984</v>
      </c>
    </row>
  </sheetData>
  <mergeCells count="2">
    <mergeCell ref="B1:D1"/>
    <mergeCell ref="A3:D3"/>
  </mergeCells>
  <phoneticPr fontId="46" type="noConversion"/>
  <printOptions horizontalCentered="1"/>
  <pageMargins left="0.51181102362204722" right="0.51181102362204722" top="1.3779527559055118" bottom="0.78740157480314965" header="0.31496062992125984" footer="0.31496062992125984"/>
  <pageSetup paperSize="9" scale="80" orientation="landscape" verticalDpi="72" r:id="rId1"/>
  <headerFooter>
    <oddHeader>&amp;L                                                                       &amp;G&amp;C&amp;"Vivaldi,Regular"&amp;20Estado do Rio Grande do Sul
&amp;16Prefeitura Municipal de Chuvisca
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9"/>
  <sheetViews>
    <sheetView view="pageLayout" topLeftCell="A436" workbookViewId="0">
      <selection activeCell="D446" sqref="D446"/>
    </sheetView>
  </sheetViews>
  <sheetFormatPr defaultColWidth="7.85546875" defaultRowHeight="15" customHeight="1" x14ac:dyDescent="0.25"/>
  <cols>
    <col min="1" max="1" width="1.140625" style="168" customWidth="1"/>
    <col min="2" max="2" width="7.5703125" style="168" customWidth="1"/>
    <col min="3" max="3" width="2" style="168" customWidth="1"/>
    <col min="4" max="4" width="19.7109375" style="168" customWidth="1"/>
    <col min="5" max="5" width="1.28515625" style="168" customWidth="1"/>
    <col min="6" max="6" width="16.5703125" style="168" customWidth="1"/>
    <col min="7" max="7" width="66.5703125" style="168" customWidth="1"/>
    <col min="8" max="9" width="16.140625" style="168" customWidth="1"/>
    <col min="10" max="10" width="16.28515625" style="168" customWidth="1"/>
    <col min="11" max="11" width="8.85546875" style="169" customWidth="1"/>
    <col min="12" max="12" width="1.5703125" style="168" customWidth="1"/>
    <col min="13" max="13" width="15.42578125" style="168" customWidth="1"/>
    <col min="14" max="14" width="1.7109375" style="168" customWidth="1"/>
    <col min="15" max="15" width="2" style="168" customWidth="1"/>
    <col min="16" max="16" width="8.5703125" style="168" bestFit="1" customWidth="1"/>
    <col min="17" max="254" width="6.85546875" style="168" customWidth="1"/>
    <col min="255" max="255" width="1.140625" style="168" customWidth="1"/>
    <col min="256" max="16384" width="7.85546875" style="168"/>
  </cols>
  <sheetData>
    <row r="1" spans="1:16" s="166" customFormat="1" ht="15" customHeight="1" x14ac:dyDescent="0.15">
      <c r="A1" s="1267" t="str">
        <f>'CADASTRO BASE RECEITA '!A1</f>
        <v>PROPOSTA ORÇAMENTÁRIA PARA 2016</v>
      </c>
      <c r="B1" s="1268"/>
      <c r="C1" s="1268"/>
      <c r="D1" s="1268"/>
      <c r="E1" s="1268"/>
      <c r="F1" s="1268"/>
      <c r="G1" s="1268"/>
      <c r="H1" s="1268"/>
      <c r="I1" s="1268"/>
      <c r="J1" s="1268"/>
      <c r="K1" s="1268"/>
    </row>
    <row r="2" spans="1:16" s="167" customFormat="1" ht="15" customHeight="1" x14ac:dyDescent="0.15">
      <c r="A2" s="1266" t="s">
        <v>441</v>
      </c>
      <c r="B2" s="1266"/>
      <c r="C2" s="1266"/>
      <c r="D2" s="1266"/>
      <c r="E2" s="1266"/>
      <c r="F2" s="1266"/>
      <c r="G2" s="1266"/>
      <c r="H2" s="1266"/>
      <c r="I2" s="1266"/>
      <c r="J2" s="1266"/>
      <c r="K2" s="1266"/>
    </row>
    <row r="3" spans="1:16" s="167" customFormat="1" ht="15" customHeight="1" x14ac:dyDescent="0.15">
      <c r="A3" s="1265"/>
      <c r="B3" s="1265"/>
      <c r="C3" s="1265"/>
      <c r="D3" s="1265"/>
      <c r="E3" s="1265"/>
      <c r="F3" s="1265"/>
      <c r="G3" s="1265"/>
      <c r="H3" s="1265"/>
      <c r="I3" s="1265"/>
      <c r="J3" s="1265"/>
      <c r="K3" s="1265"/>
    </row>
    <row r="4" spans="1:16" ht="22.9" customHeight="1" x14ac:dyDescent="0.25">
      <c r="B4" s="1126" t="s">
        <v>214</v>
      </c>
      <c r="C4" s="1125"/>
      <c r="D4" s="1126" t="s">
        <v>1281</v>
      </c>
      <c r="E4" s="1125"/>
      <c r="F4" s="1126" t="s">
        <v>1282</v>
      </c>
      <c r="G4" s="1126" t="s">
        <v>1292</v>
      </c>
      <c r="H4" s="1127">
        <v>2016</v>
      </c>
      <c r="I4" s="1127">
        <v>2017</v>
      </c>
      <c r="J4" s="1127">
        <v>2018</v>
      </c>
      <c r="K4" s="1126" t="s">
        <v>444</v>
      </c>
      <c r="L4" s="171"/>
      <c r="M4" s="171"/>
      <c r="N4" s="171"/>
    </row>
    <row r="5" spans="1:16" s="192" customFormat="1" ht="15" customHeight="1" x14ac:dyDescent="0.15">
      <c r="D5" s="215" t="s">
        <v>1673</v>
      </c>
      <c r="E5" s="221"/>
      <c r="F5" s="221"/>
      <c r="G5" s="192" t="s">
        <v>214</v>
      </c>
      <c r="H5" s="184">
        <f>H6+H350</f>
        <v>20675947.244147707</v>
      </c>
      <c r="I5" s="184">
        <f>I6+I350</f>
        <v>21932536.745355096</v>
      </c>
      <c r="J5" s="184">
        <f>J6+J350</f>
        <v>22971042.349774163</v>
      </c>
      <c r="K5" s="196"/>
    </row>
    <row r="6" spans="1:16" s="192" customFormat="1" ht="15" customHeight="1" x14ac:dyDescent="0.15">
      <c r="D6" s="215" t="s">
        <v>1674</v>
      </c>
      <c r="E6" s="221"/>
      <c r="F6" s="221"/>
      <c r="G6" s="192" t="s">
        <v>150</v>
      </c>
      <c r="H6" s="184">
        <f>H7+H64+H111+H138+H252</f>
        <v>19616347.244147707</v>
      </c>
      <c r="I6" s="184">
        <f>I7+I64+I111+I138+I252</f>
        <v>20546956.745355096</v>
      </c>
      <c r="J6" s="184">
        <f>J7+J64+J111+J138+J252</f>
        <v>21519855.136774164</v>
      </c>
      <c r="K6" s="196"/>
    </row>
    <row r="7" spans="1:16" s="192" customFormat="1" ht="15" customHeight="1" x14ac:dyDescent="0.15">
      <c r="D7" s="215" t="s">
        <v>1675</v>
      </c>
      <c r="E7" s="221"/>
      <c r="F7" s="221"/>
      <c r="G7" s="192" t="s">
        <v>1958</v>
      </c>
      <c r="H7" s="184">
        <f>H8+H33+H59</f>
        <v>514141.71452837944</v>
      </c>
      <c r="I7" s="184">
        <f>I8+I33+I59</f>
        <v>539848.77725479845</v>
      </c>
      <c r="J7" s="184">
        <f>J8+J33+J59</f>
        <v>565410.61496381322</v>
      </c>
      <c r="K7" s="196"/>
      <c r="M7" s="197"/>
    </row>
    <row r="8" spans="1:16" s="192" customFormat="1" ht="15" customHeight="1" x14ac:dyDescent="0.15">
      <c r="D8" s="215" t="s">
        <v>1676</v>
      </c>
      <c r="E8" s="221"/>
      <c r="F8" s="221"/>
      <c r="G8" s="192" t="s">
        <v>1677</v>
      </c>
      <c r="H8" s="184">
        <f>H9+H28+0.01</f>
        <v>474735.60439593991</v>
      </c>
      <c r="I8" s="184">
        <f>I9+I28+0.01</f>
        <v>498472.38411573693</v>
      </c>
      <c r="J8" s="184">
        <f>J9+J28+0.01</f>
        <v>522075.05103011709</v>
      </c>
      <c r="K8" s="196"/>
    </row>
    <row r="9" spans="1:16" s="192" customFormat="1" ht="15" customHeight="1" x14ac:dyDescent="0.15">
      <c r="D9" s="215" t="s">
        <v>1974</v>
      </c>
      <c r="E9" s="221"/>
      <c r="F9" s="221"/>
      <c r="G9" s="192" t="s">
        <v>1975</v>
      </c>
      <c r="H9" s="184">
        <f>H10+H14+H24</f>
        <v>318394.46660445543</v>
      </c>
      <c r="I9" s="184">
        <f>I10+I14+I24</f>
        <v>334314.18993467826</v>
      </c>
      <c r="J9" s="184">
        <f>J10+J14+J24</f>
        <v>350143.96682808525</v>
      </c>
      <c r="K9" s="196"/>
    </row>
    <row r="10" spans="1:16" s="192" customFormat="1" ht="15" customHeight="1" x14ac:dyDescent="0.15">
      <c r="D10" s="215" t="s">
        <v>1678</v>
      </c>
      <c r="E10" s="221"/>
      <c r="F10" s="221"/>
      <c r="G10" s="192" t="s">
        <v>1679</v>
      </c>
      <c r="H10" s="184">
        <f>Parâmetros!D21*(1+Parâmetros!D5)*(1+Parâmetros!D10)*(1+Parâmetros!D20)</f>
        <v>28474.875129555647</v>
      </c>
      <c r="I10" s="184">
        <f>H10*(1+Parâmetros!E$5)</f>
        <v>29898.61888603343</v>
      </c>
      <c r="J10" s="184">
        <f>I10*(1+Parâmetros!F$5)</f>
        <v>31314.318490287111</v>
      </c>
      <c r="K10" s="196"/>
    </row>
    <row r="11" spans="1:16" ht="15" customHeight="1" x14ac:dyDescent="0.15">
      <c r="B11" s="173">
        <v>1</v>
      </c>
      <c r="D11" s="174" t="s">
        <v>1293</v>
      </c>
      <c r="F11" s="175">
        <v>112110105000000</v>
      </c>
      <c r="G11" s="176" t="s">
        <v>1283</v>
      </c>
      <c r="H11" s="163">
        <f>H10*Parâmetros!D$11</f>
        <v>13667.94006218671</v>
      </c>
      <c r="I11" s="163">
        <f>H11*(1+Parâmetros!E$5)</f>
        <v>14351.337065296046</v>
      </c>
      <c r="J11" s="163">
        <f>I11*(1+Parâmetros!F$5)</f>
        <v>15030.872875337813</v>
      </c>
      <c r="K11" s="177">
        <v>1</v>
      </c>
      <c r="M11" s="178"/>
      <c r="P11" s="179"/>
    </row>
    <row r="12" spans="1:16" ht="15" customHeight="1" x14ac:dyDescent="0.15">
      <c r="B12" s="173">
        <v>2</v>
      </c>
      <c r="D12" s="174" t="s">
        <v>1294</v>
      </c>
      <c r="F12" s="175">
        <v>112110105000000</v>
      </c>
      <c r="G12" s="176" t="s">
        <v>1295</v>
      </c>
      <c r="H12" s="163">
        <f>H10*(Parâmetros!D$13+Parâmetros!D$14)</f>
        <v>7972.965036275582</v>
      </c>
      <c r="I12" s="163">
        <f>H12*(1+Parâmetros!E$5)</f>
        <v>8371.613288089362</v>
      </c>
      <c r="J12" s="163">
        <f>I12*(1+Parâmetros!F$5)</f>
        <v>8768.0091772803935</v>
      </c>
      <c r="K12" s="177">
        <v>20</v>
      </c>
      <c r="M12" s="178"/>
    </row>
    <row r="13" spans="1:16" ht="15" customHeight="1" x14ac:dyDescent="0.15">
      <c r="B13" s="173">
        <v>3</v>
      </c>
      <c r="D13" s="174" t="s">
        <v>1296</v>
      </c>
      <c r="F13" s="175">
        <v>112110105000000</v>
      </c>
      <c r="G13" s="176" t="s">
        <v>1297</v>
      </c>
      <c r="H13" s="163">
        <f>H10*(Parâmetros!D$18+Parâmetros!D$19)</f>
        <v>6833.9700310933549</v>
      </c>
      <c r="I13" s="163">
        <f>H13*(1+Parâmetros!E$5)</f>
        <v>7175.6685326480228</v>
      </c>
      <c r="J13" s="163">
        <f>I13*(1+Parâmetros!F$5)</f>
        <v>7515.4364376689064</v>
      </c>
      <c r="K13" s="177">
        <v>40</v>
      </c>
      <c r="M13" s="178"/>
    </row>
    <row r="14" spans="1:16" s="192" customFormat="1" ht="15" customHeight="1" x14ac:dyDescent="0.15">
      <c r="B14" s="219"/>
      <c r="D14" s="216" t="s">
        <v>1684</v>
      </c>
      <c r="E14" s="216"/>
      <c r="G14" s="220" t="s">
        <v>1685</v>
      </c>
      <c r="H14" s="217">
        <f>H15</f>
        <v>225743.12080148098</v>
      </c>
      <c r="I14" s="217">
        <f>I15</f>
        <v>237030.27684155505</v>
      </c>
      <c r="J14" s="217">
        <f>J15</f>
        <v>248253.6604500027</v>
      </c>
      <c r="K14" s="218"/>
    </row>
    <row r="15" spans="1:16" s="192" customFormat="1" ht="15" customHeight="1" x14ac:dyDescent="0.15">
      <c r="B15" s="219"/>
      <c r="D15" s="216" t="s">
        <v>1686</v>
      </c>
      <c r="E15" s="216"/>
      <c r="G15" s="220" t="s">
        <v>1959</v>
      </c>
      <c r="H15" s="217">
        <f>H16+H20</f>
        <v>225743.12080148098</v>
      </c>
      <c r="I15" s="217">
        <f>I16+I20</f>
        <v>237030.27684155505</v>
      </c>
      <c r="J15" s="217">
        <f>J16+J20</f>
        <v>248253.6604500027</v>
      </c>
      <c r="K15" s="218"/>
    </row>
    <row r="16" spans="1:16" s="192" customFormat="1" ht="15" customHeight="1" x14ac:dyDescent="0.15">
      <c r="B16" s="219"/>
      <c r="D16" s="216" t="s">
        <v>1687</v>
      </c>
      <c r="E16" s="216"/>
      <c r="G16" s="220" t="s">
        <v>1688</v>
      </c>
      <c r="H16" s="217">
        <f>Parâmetros!D22*(1+Parâmetros!D5)*(1+Parâmetros!D10)*(1+Parâmetros!D20)-0.01</f>
        <v>199743.80257224158</v>
      </c>
      <c r="I16" s="184">
        <f>H16*(1+Parâmetros!E$5)</f>
        <v>209730.99270085368</v>
      </c>
      <c r="J16" s="184">
        <f>I16*(1+Parâmetros!F$5)</f>
        <v>219661.75520523911</v>
      </c>
      <c r="K16" s="218"/>
    </row>
    <row r="17" spans="2:13" ht="15" customHeight="1" x14ac:dyDescent="0.15">
      <c r="B17" s="173">
        <v>4</v>
      </c>
      <c r="D17" s="174" t="s">
        <v>1298</v>
      </c>
      <c r="F17" s="175">
        <v>411210301000000</v>
      </c>
      <c r="G17" s="176" t="s">
        <v>1284</v>
      </c>
      <c r="H17" s="163">
        <f>'ORCAMENTO RECEITA ANALITICO'!H16*Parâmetros!D$11</f>
        <v>95877.025234675952</v>
      </c>
      <c r="I17" s="163">
        <f>H17*(1+Parâmetros!E$5)</f>
        <v>100670.87649640975</v>
      </c>
      <c r="J17" s="163">
        <f>I17*(1+Parâmetros!F$5)</f>
        <v>105437.64249851475</v>
      </c>
      <c r="K17" s="177">
        <v>1</v>
      </c>
      <c r="M17" s="178"/>
    </row>
    <row r="18" spans="2:13" ht="15" customHeight="1" x14ac:dyDescent="0.15">
      <c r="B18" s="173">
        <v>5</v>
      </c>
      <c r="D18" s="174" t="s">
        <v>1299</v>
      </c>
      <c r="F18" s="175">
        <v>411210301000000</v>
      </c>
      <c r="G18" s="176" t="s">
        <v>1300</v>
      </c>
      <c r="H18" s="163">
        <f>'ORCAMENTO RECEITA ANALITICO'!H16*(Parâmetros!D$13+Parâmetros!D$14)</f>
        <v>55928.264720227649</v>
      </c>
      <c r="I18" s="163">
        <f>H18*(1+Parâmetros!E$5)</f>
        <v>58724.677956239037</v>
      </c>
      <c r="J18" s="163">
        <f>I18*(1+Parâmetros!F$5)</f>
        <v>61505.291457466956</v>
      </c>
      <c r="K18" s="177">
        <v>20</v>
      </c>
      <c r="M18" s="178"/>
    </row>
    <row r="19" spans="2:13" ht="15" customHeight="1" x14ac:dyDescent="0.15">
      <c r="B19" s="173">
        <v>6</v>
      </c>
      <c r="D19" s="174" t="s">
        <v>1301</v>
      </c>
      <c r="F19" s="175">
        <v>411210301000000</v>
      </c>
      <c r="G19" s="176" t="s">
        <v>1302</v>
      </c>
      <c r="H19" s="163">
        <f>'ORCAMENTO RECEITA ANALITICO'!H16*(Parâmetros!D$18+Parâmetros!D$19)</f>
        <v>47938.512617337976</v>
      </c>
      <c r="I19" s="163">
        <f>H19*(1+Parâmetros!E$5)</f>
        <v>50335.438248204875</v>
      </c>
      <c r="J19" s="163">
        <f>I19*(1+Parâmetros!F$5)</f>
        <v>52718.821249257373</v>
      </c>
      <c r="K19" s="177">
        <v>40</v>
      </c>
      <c r="M19" s="178"/>
    </row>
    <row r="20" spans="2:13" s="192" customFormat="1" ht="15" customHeight="1" x14ac:dyDescent="0.15">
      <c r="D20" s="216" t="s">
        <v>1689</v>
      </c>
      <c r="G20" s="192" t="s">
        <v>1690</v>
      </c>
      <c r="H20" s="217">
        <f>(Parâmetros!D23)*(1+Parâmetros!D5)*(1+Parâmetros!D10)*(1+Parâmetros!D20)</f>
        <v>25999.318229239416</v>
      </c>
      <c r="I20" s="184">
        <f>H20*(1+Parâmetros!E$5)</f>
        <v>27299.284140701388</v>
      </c>
      <c r="J20" s="184">
        <f>I20*(1+Parâmetros!F$5)</f>
        <v>28591.905244763599</v>
      </c>
      <c r="K20" s="196"/>
    </row>
    <row r="21" spans="2:13" ht="15" customHeight="1" x14ac:dyDescent="0.15">
      <c r="B21" s="173">
        <v>7</v>
      </c>
      <c r="D21" s="174" t="s">
        <v>1303</v>
      </c>
      <c r="F21" s="175">
        <v>411210302000000</v>
      </c>
      <c r="G21" s="176" t="s">
        <v>1304</v>
      </c>
      <c r="H21" s="163">
        <f>H20*Parâmetros!D$11</f>
        <v>12479.672750034919</v>
      </c>
      <c r="I21" s="163">
        <f>H21*(1+Parâmetros!E$5)</f>
        <v>13103.656387536665</v>
      </c>
      <c r="J21" s="163">
        <f>I21*(1+Parâmetros!F$5)</f>
        <v>13724.114517486525</v>
      </c>
      <c r="K21" s="177">
        <v>1</v>
      </c>
      <c r="M21" s="178"/>
    </row>
    <row r="22" spans="2:13" ht="15" customHeight="1" x14ac:dyDescent="0.15">
      <c r="B22" s="173">
        <v>8</v>
      </c>
      <c r="D22" s="174" t="s">
        <v>1305</v>
      </c>
      <c r="F22" s="175">
        <v>411210302000000</v>
      </c>
      <c r="G22" s="176" t="s">
        <v>1306</v>
      </c>
      <c r="H22" s="163">
        <f>H20*(Parâmetros!D$13+Parâmetros!D$14)</f>
        <v>7279.8091041870375</v>
      </c>
      <c r="I22" s="163">
        <f>H22*(1+Parâmetros!E$5)</f>
        <v>7643.7995593963897</v>
      </c>
      <c r="J22" s="163">
        <f>I22*(1+Parâmetros!F$5)</f>
        <v>8005.7334685338092</v>
      </c>
      <c r="K22" s="177">
        <v>20</v>
      </c>
      <c r="M22" s="178"/>
    </row>
    <row r="23" spans="2:13" ht="15" customHeight="1" x14ac:dyDescent="0.15">
      <c r="B23" s="173">
        <v>9</v>
      </c>
      <c r="D23" s="174" t="s">
        <v>1307</v>
      </c>
      <c r="F23" s="175">
        <v>411210302000000</v>
      </c>
      <c r="G23" s="176" t="s">
        <v>1308</v>
      </c>
      <c r="H23" s="163">
        <f>H20*(Parâmetros!D$18+Parâmetros!D$19)</f>
        <v>6239.8363750174594</v>
      </c>
      <c r="I23" s="163">
        <f>H23*(1+Parâmetros!E$5)</f>
        <v>6551.8281937683323</v>
      </c>
      <c r="J23" s="163">
        <f>I23*(1+Parâmetros!F$5)</f>
        <v>6862.0572587432625</v>
      </c>
      <c r="K23" s="169">
        <v>40</v>
      </c>
      <c r="M23" s="178"/>
    </row>
    <row r="24" spans="2:13" s="192" customFormat="1" ht="15" customHeight="1" x14ac:dyDescent="0.15">
      <c r="D24" s="216" t="s">
        <v>1691</v>
      </c>
      <c r="G24" s="192" t="s">
        <v>1692</v>
      </c>
      <c r="H24" s="217">
        <f>Parâmetros!D24*(1+Parâmetros!D$5)*(1+Parâmetros!D10)*(1+Parâmetros!D20)-0.01</f>
        <v>64176.4706734188</v>
      </c>
      <c r="I24" s="184">
        <f>H24*(1+Parâmetros!E$5)</f>
        <v>67385.294207089741</v>
      </c>
      <c r="J24" s="184">
        <f>I24*(1+Parâmetros!F$5)</f>
        <v>70575.987887795447</v>
      </c>
      <c r="K24" s="196"/>
    </row>
    <row r="25" spans="2:13" ht="15" customHeight="1" x14ac:dyDescent="0.15">
      <c r="B25" s="173">
        <v>10</v>
      </c>
      <c r="D25" s="174" t="s">
        <v>1309</v>
      </c>
      <c r="F25" s="175">
        <v>112110106000000</v>
      </c>
      <c r="G25" s="176" t="s">
        <v>1285</v>
      </c>
      <c r="H25" s="163">
        <f>H24*Parâmetros!D$11</f>
        <v>30804.705923241025</v>
      </c>
      <c r="I25" s="163">
        <f>H25*(1+Parâmetros!E$5)</f>
        <v>32344.941219403077</v>
      </c>
      <c r="J25" s="163">
        <f>I25*(1+Parâmetros!F$5)</f>
        <v>33876.474186141815</v>
      </c>
      <c r="K25" s="177">
        <v>1</v>
      </c>
      <c r="M25" s="178"/>
    </row>
    <row r="26" spans="2:13" ht="15" customHeight="1" x14ac:dyDescent="0.15">
      <c r="B26" s="173">
        <v>11</v>
      </c>
      <c r="D26" s="174" t="s">
        <v>1310</v>
      </c>
      <c r="F26" s="175">
        <v>112110106000000</v>
      </c>
      <c r="G26" s="176" t="s">
        <v>1311</v>
      </c>
      <c r="H26" s="163">
        <f>H24*(Parâmetros!D$13+Parâmetros!D$14)</f>
        <v>17969.411788557267</v>
      </c>
      <c r="I26" s="163">
        <f>H26*(1+Parâmetros!E$5)</f>
        <v>18867.88237798513</v>
      </c>
      <c r="J26" s="163">
        <f>I26*(1+Parâmetros!F$5)</f>
        <v>19761.276608582724</v>
      </c>
      <c r="K26" s="169">
        <v>20</v>
      </c>
      <c r="M26" s="178"/>
    </row>
    <row r="27" spans="2:13" ht="15" customHeight="1" x14ac:dyDescent="0.15">
      <c r="B27" s="173">
        <v>12</v>
      </c>
      <c r="D27" s="174" t="s">
        <v>1312</v>
      </c>
      <c r="F27" s="175">
        <v>112110106000000</v>
      </c>
      <c r="G27" s="176" t="s">
        <v>1313</v>
      </c>
      <c r="H27" s="163">
        <f>H24*(Parâmetros!D$18+Parâmetros!D$19)</f>
        <v>15402.352961620512</v>
      </c>
      <c r="I27" s="163">
        <f>H27*(1+Parâmetros!E$5)</f>
        <v>16172.470609701539</v>
      </c>
      <c r="J27" s="163">
        <f>I27*(1+Parâmetros!F$5)</f>
        <v>16938.237093070908</v>
      </c>
      <c r="K27" s="177">
        <v>40</v>
      </c>
      <c r="M27" s="178"/>
    </row>
    <row r="28" spans="2:13" s="192" customFormat="1" ht="15" customHeight="1" x14ac:dyDescent="0.15">
      <c r="D28" s="216" t="s">
        <v>1693</v>
      </c>
      <c r="G28" s="192" t="s">
        <v>1694</v>
      </c>
      <c r="H28" s="217">
        <f>H29</f>
        <v>156341.12779148447</v>
      </c>
      <c r="I28" s="217">
        <f>I29</f>
        <v>164158.18418105869</v>
      </c>
      <c r="J28" s="217">
        <f>J29</f>
        <v>171931.07420203183</v>
      </c>
      <c r="K28" s="218"/>
    </row>
    <row r="29" spans="2:13" s="192" customFormat="1" ht="15" customHeight="1" x14ac:dyDescent="0.15">
      <c r="D29" s="216" t="s">
        <v>1695</v>
      </c>
      <c r="G29" s="192" t="s">
        <v>1696</v>
      </c>
      <c r="H29" s="217">
        <f>Parâmetros!D25*(1+Parâmetros!D$5)*(1+Parâmetros!D20)*(1+Parâmetros!D10)*(1+Parâmetros!D8)</f>
        <v>156341.12779148447</v>
      </c>
      <c r="I29" s="184">
        <f>H29*(1+Parâmetros!E$5)</f>
        <v>164158.18418105869</v>
      </c>
      <c r="J29" s="184">
        <f>I29*(1+Parâmetros!F$5)</f>
        <v>171931.07420203183</v>
      </c>
      <c r="K29" s="196"/>
    </row>
    <row r="30" spans="2:13" ht="15" customHeight="1" x14ac:dyDescent="0.15">
      <c r="B30" s="173">
        <v>13</v>
      </c>
      <c r="D30" s="174" t="s">
        <v>1314</v>
      </c>
      <c r="F30" s="175">
        <v>112110107000000</v>
      </c>
      <c r="G30" s="176" t="s">
        <v>1286</v>
      </c>
      <c r="H30" s="180">
        <f>H29*Parâmetros!D$11</f>
        <v>75043.741339912536</v>
      </c>
      <c r="I30" s="163">
        <f>H30*(1+Parâmetros!E$5)</f>
        <v>78795.928406908162</v>
      </c>
      <c r="J30" s="163">
        <f>I30*(1+Parâmetros!F$5)</f>
        <v>82526.915616975268</v>
      </c>
      <c r="K30" s="177">
        <v>1</v>
      </c>
      <c r="M30" s="178"/>
    </row>
    <row r="31" spans="2:13" ht="15" customHeight="1" x14ac:dyDescent="0.15">
      <c r="B31" s="173">
        <v>14</v>
      </c>
      <c r="D31" s="174" t="s">
        <v>1315</v>
      </c>
      <c r="F31" s="175">
        <v>112110107000000</v>
      </c>
      <c r="G31" s="176" t="s">
        <v>1316</v>
      </c>
      <c r="H31" s="180">
        <f>H29*(Parâmetros!D$13+Parâmetros!D$14)</f>
        <v>43775.515781615657</v>
      </c>
      <c r="I31" s="163">
        <f>H31*(1+Parâmetros!E$5)</f>
        <v>45964.291570696441</v>
      </c>
      <c r="J31" s="163">
        <f>I31*(1+Parâmetros!F$5)</f>
        <v>48140.70077656892</v>
      </c>
      <c r="K31" s="177">
        <v>20</v>
      </c>
      <c r="M31" s="178"/>
    </row>
    <row r="32" spans="2:13" ht="15" customHeight="1" x14ac:dyDescent="0.15">
      <c r="B32" s="173">
        <v>15</v>
      </c>
      <c r="D32" s="174" t="s">
        <v>1317</v>
      </c>
      <c r="F32" s="175">
        <v>112110107000000</v>
      </c>
      <c r="G32" s="176" t="s">
        <v>1318</v>
      </c>
      <c r="H32" s="180">
        <f>H29*(Parâmetros!D$18+Parâmetros!D$19)</f>
        <v>37521.870669956268</v>
      </c>
      <c r="I32" s="163">
        <f>H32*(1+Parâmetros!E$5)</f>
        <v>39397.964203454081</v>
      </c>
      <c r="J32" s="163">
        <f>I32*(1+Parâmetros!F$5)</f>
        <v>41263.457808487634</v>
      </c>
      <c r="K32" s="177">
        <v>40</v>
      </c>
      <c r="M32" s="178"/>
    </row>
    <row r="33" spans="2:13" s="192" customFormat="1" ht="15" customHeight="1" x14ac:dyDescent="0.15">
      <c r="B33" s="191"/>
      <c r="D33" s="215" t="s">
        <v>1697</v>
      </c>
      <c r="F33" s="194"/>
      <c r="G33" s="170" t="s">
        <v>1960</v>
      </c>
      <c r="H33" s="184">
        <f>SUM(H34+'ORCAMENTO RECEITA ANALITICO'!H45)</f>
        <v>36981.111816597142</v>
      </c>
      <c r="I33" s="184">
        <f>SUM(I34+'ORCAMENTO RECEITA ANALITICO'!I45)</f>
        <v>38830.145407427015</v>
      </c>
      <c r="J33" s="184">
        <f>SUM(J34+'ORCAMENTO RECEITA ANALITICO'!J45)</f>
        <v>40668.75184546868</v>
      </c>
      <c r="K33" s="195"/>
    </row>
    <row r="34" spans="2:13" s="192" customFormat="1" ht="15" customHeight="1" x14ac:dyDescent="0.15">
      <c r="D34" s="215" t="s">
        <v>1698</v>
      </c>
      <c r="G34" s="192" t="s">
        <v>1961</v>
      </c>
      <c r="H34" s="184">
        <f>SUM(H35:H44)+0.02</f>
        <v>6668.737868566699</v>
      </c>
      <c r="I34" s="184">
        <f>SUM(I35:I44)</f>
        <v>7002.1537619950359</v>
      </c>
      <c r="J34" s="184">
        <f>SUM(J35:J44)</f>
        <v>7333.7057426254996</v>
      </c>
      <c r="K34" s="196"/>
    </row>
    <row r="35" spans="2:13" ht="15" customHeight="1" x14ac:dyDescent="0.15">
      <c r="B35" s="173">
        <v>16</v>
      </c>
      <c r="D35" s="174" t="s">
        <v>1319</v>
      </c>
      <c r="F35" s="175">
        <v>112110201000000</v>
      </c>
      <c r="G35" s="176" t="s">
        <v>1287</v>
      </c>
      <c r="H35" s="163">
        <f>Parâmetros!D26*(1+Parâmetros!D5)*(1+Parâmetros!D10)*(1+Parâmetros!D20)</f>
        <v>606.24707896060909</v>
      </c>
      <c r="I35" s="163">
        <f>H35*(1+Parâmetros!E$5)</f>
        <v>636.55943290863956</v>
      </c>
      <c r="J35" s="163">
        <f>I35*(1+Parâmetros!F$5)</f>
        <v>666.70052205686363</v>
      </c>
      <c r="K35" s="177">
        <v>1</v>
      </c>
      <c r="M35" s="178"/>
    </row>
    <row r="36" spans="2:13" ht="15" customHeight="1" x14ac:dyDescent="0.15">
      <c r="B36" s="173">
        <v>17</v>
      </c>
      <c r="D36" s="174" t="s">
        <v>1320</v>
      </c>
      <c r="F36" s="175">
        <v>112110201000000</v>
      </c>
      <c r="G36" s="176" t="s">
        <v>1288</v>
      </c>
      <c r="H36" s="163">
        <f>Parâmetros!D27*(1+Parâmetros!D5)*(1+Parâmetros!D10)*(1+Parâmetros!D20)</f>
        <v>606.24707896060909</v>
      </c>
      <c r="I36" s="163">
        <f>H36*(1+Parâmetros!E$5)</f>
        <v>636.55943290863956</v>
      </c>
      <c r="J36" s="163">
        <f>I36*(1+Parâmetros!F$5)</f>
        <v>666.70052205686363</v>
      </c>
      <c r="K36" s="177">
        <v>1</v>
      </c>
      <c r="M36" s="178"/>
    </row>
    <row r="37" spans="2:13" ht="13.15" customHeight="1" x14ac:dyDescent="0.15">
      <c r="B37" s="173">
        <v>18</v>
      </c>
      <c r="D37" s="174" t="s">
        <v>1321</v>
      </c>
      <c r="F37" s="175">
        <v>112110201000000</v>
      </c>
      <c r="G37" s="182" t="s">
        <v>1289</v>
      </c>
      <c r="H37" s="163">
        <f>Parâmetros!D28*(1+Parâmetros!D5)*(1+Parâmetros!D10)*(1+Parâmetros!D20)</f>
        <v>606.24707896060909</v>
      </c>
      <c r="I37" s="163">
        <f>H37*(1+Parâmetros!E$5)</f>
        <v>636.55943290863956</v>
      </c>
      <c r="J37" s="163">
        <f>I37*(1+Parâmetros!F$5)</f>
        <v>666.70052205686363</v>
      </c>
      <c r="K37" s="177">
        <v>1</v>
      </c>
      <c r="M37" s="178"/>
    </row>
    <row r="38" spans="2:13" ht="15" customHeight="1" x14ac:dyDescent="0.15">
      <c r="B38" s="173">
        <v>19</v>
      </c>
      <c r="D38" s="174" t="s">
        <v>1322</v>
      </c>
      <c r="F38" s="175">
        <v>112110201000000</v>
      </c>
      <c r="G38" s="176" t="s">
        <v>1290</v>
      </c>
      <c r="H38" s="163">
        <f>Parâmetros!D29*(1+Parâmetros!D5)*(1+Parâmetros!D10)*(1+Parâmetros!D20)</f>
        <v>606.24707896060909</v>
      </c>
      <c r="I38" s="163">
        <f>H38*(1+Parâmetros!E$5)</f>
        <v>636.55943290863956</v>
      </c>
      <c r="J38" s="163">
        <f>I38*(1+Parâmetros!F$5)</f>
        <v>666.70052205686363</v>
      </c>
      <c r="K38" s="177">
        <v>1</v>
      </c>
      <c r="M38" s="178"/>
    </row>
    <row r="39" spans="2:13" ht="15" customHeight="1" x14ac:dyDescent="0.15">
      <c r="B39" s="173">
        <v>20</v>
      </c>
      <c r="D39" s="174" t="s">
        <v>1323</v>
      </c>
      <c r="F39" s="175">
        <v>112110201000000</v>
      </c>
      <c r="G39" s="182" t="s">
        <v>1291</v>
      </c>
      <c r="H39" s="163">
        <f>Parâmetros!D30*(1+Parâmetros!D5)*(1+Parâmetros!D10)*(1+Parâmetros!D20)</f>
        <v>606.24707896060909</v>
      </c>
      <c r="I39" s="163">
        <f>H39*(1+Parâmetros!E$5)</f>
        <v>636.55943290863956</v>
      </c>
      <c r="J39" s="163">
        <f>I39*(1+Parâmetros!F$5)</f>
        <v>666.70052205686363</v>
      </c>
      <c r="K39" s="177">
        <v>1</v>
      </c>
      <c r="M39" s="178"/>
    </row>
    <row r="40" spans="2:13" ht="15" customHeight="1" x14ac:dyDescent="0.15">
      <c r="B40" s="173">
        <v>21</v>
      </c>
      <c r="D40" s="174" t="s">
        <v>1324</v>
      </c>
      <c r="F40" s="175">
        <v>112110201000000</v>
      </c>
      <c r="G40" s="176" t="s">
        <v>1325</v>
      </c>
      <c r="H40" s="163">
        <f>Parâmetros!D31*(1+Parâmetros!D5)*(1+Parâmetros!D10)*(1+Parâmetros!D20)</f>
        <v>1212.4941579212182</v>
      </c>
      <c r="I40" s="163">
        <f>H40*(1+Parâmetros!E$5)</f>
        <v>1273.1188658172791</v>
      </c>
      <c r="J40" s="163">
        <f>I40*(1+Parâmetros!F$5)</f>
        <v>1333.4010441137273</v>
      </c>
      <c r="K40" s="177">
        <v>1</v>
      </c>
      <c r="M40" s="178"/>
    </row>
    <row r="41" spans="2:13" ht="15" customHeight="1" x14ac:dyDescent="0.15">
      <c r="B41" s="173">
        <v>22</v>
      </c>
      <c r="D41" s="174" t="s">
        <v>1326</v>
      </c>
      <c r="F41" s="175">
        <v>112110201000000</v>
      </c>
      <c r="G41" s="176" t="s">
        <v>1327</v>
      </c>
      <c r="H41" s="163">
        <f>Parâmetros!D32*(1+Parâmetros!D5)*(1+Parâmetros!D10)*(1+Parâmetros!D20)</f>
        <v>606.24707896060909</v>
      </c>
      <c r="I41" s="163">
        <f>H41*(1+Parâmetros!E$5)</f>
        <v>636.55943290863956</v>
      </c>
      <c r="J41" s="163">
        <f>I41*(1+Parâmetros!F$5)</f>
        <v>666.70052205686363</v>
      </c>
      <c r="K41" s="177">
        <v>1</v>
      </c>
      <c r="M41" s="178"/>
    </row>
    <row r="42" spans="2:13" ht="15" customHeight="1" x14ac:dyDescent="0.15">
      <c r="B42" s="173">
        <v>23</v>
      </c>
      <c r="D42" s="174" t="s">
        <v>1328</v>
      </c>
      <c r="F42" s="175">
        <v>112110201000000</v>
      </c>
      <c r="G42" s="176" t="s">
        <v>1329</v>
      </c>
      <c r="H42" s="163">
        <f>Parâmetros!D33*(1+Parâmetros!D5)*(1+Parâmetros!D10)*(1+Parâmetros!D20)</f>
        <v>606.24707896060909</v>
      </c>
      <c r="I42" s="163">
        <f>H42*(1+Parâmetros!E$5)</f>
        <v>636.55943290863956</v>
      </c>
      <c r="J42" s="163">
        <f>I42*(1+Parâmetros!F$5)</f>
        <v>666.70052205686363</v>
      </c>
      <c r="K42" s="177">
        <v>1</v>
      </c>
      <c r="M42" s="178"/>
    </row>
    <row r="43" spans="2:13" ht="15" customHeight="1" x14ac:dyDescent="0.15">
      <c r="B43" s="173">
        <v>24</v>
      </c>
      <c r="D43" s="174" t="s">
        <v>1330</v>
      </c>
      <c r="F43" s="175">
        <v>112110201000000</v>
      </c>
      <c r="G43" s="176" t="s">
        <v>1331</v>
      </c>
      <c r="H43" s="163">
        <f>Parâmetros!D34*(1+Parâmetros!D5)*(1+Parâmetros!D10)*(1+Parâmetros!D20)</f>
        <v>606.24707896060909</v>
      </c>
      <c r="I43" s="163">
        <f>H43*(1+Parâmetros!E$5)</f>
        <v>636.55943290863956</v>
      </c>
      <c r="J43" s="163">
        <f>I43*(1+Parâmetros!F$5)</f>
        <v>666.70052205686363</v>
      </c>
      <c r="K43" s="177">
        <v>1</v>
      </c>
      <c r="M43" s="178"/>
    </row>
    <row r="44" spans="2:13" ht="15" customHeight="1" x14ac:dyDescent="0.15">
      <c r="B44" s="173">
        <v>25</v>
      </c>
      <c r="D44" s="174" t="s">
        <v>1332</v>
      </c>
      <c r="F44" s="175">
        <v>112110201000000</v>
      </c>
      <c r="G44" s="176" t="s">
        <v>1333</v>
      </c>
      <c r="H44" s="163">
        <f>Parâmetros!D35*(1+Parâmetros!D5)*(1+Parâmetros!D10)*(1+Parâmetros!D20)</f>
        <v>606.24707896060909</v>
      </c>
      <c r="I44" s="163">
        <f>H44*(1+Parâmetros!E$5)</f>
        <v>636.55943290863956</v>
      </c>
      <c r="J44" s="163">
        <f>I44*(1+Parâmetros!F$5)</f>
        <v>666.70052205686363</v>
      </c>
      <c r="K44" s="177">
        <v>1</v>
      </c>
      <c r="M44" s="178"/>
    </row>
    <row r="45" spans="2:13" s="192" customFormat="1" ht="15" customHeight="1" x14ac:dyDescent="0.15">
      <c r="B45" s="191"/>
      <c r="D45" s="215" t="s">
        <v>1699</v>
      </c>
      <c r="F45" s="194"/>
      <c r="G45" s="170" t="s">
        <v>1700</v>
      </c>
      <c r="H45" s="184">
        <f>H46+H47+'ORCAMENTO RECEITA ANALITICO'!H49+H48+0.01</f>
        <v>30312.373948030447</v>
      </c>
      <c r="I45" s="184">
        <f>I46+I47+'ORCAMENTO RECEITA ANALITICO'!I49+I48+0.01</f>
        <v>31827.991645431979</v>
      </c>
      <c r="J45" s="184">
        <f>J46+J47+'ORCAMENTO RECEITA ANALITICO'!J49+J48+0.01</f>
        <v>33335.046102843182</v>
      </c>
      <c r="K45" s="195"/>
    </row>
    <row r="46" spans="2:13" ht="15" customHeight="1" x14ac:dyDescent="0.15">
      <c r="B46" s="173">
        <v>100</v>
      </c>
      <c r="D46" s="174" t="s">
        <v>1334</v>
      </c>
      <c r="F46" s="175">
        <v>112110202000000</v>
      </c>
      <c r="G46" s="176" t="s">
        <v>1335</v>
      </c>
      <c r="H46" s="163">
        <f>Parâmetros!D36*(1+Parâmetros!D5)*(1+Parâmetros!D10)*(1+Parâmetros!D20)</f>
        <v>606.24707896060909</v>
      </c>
      <c r="I46" s="163">
        <f>H46*(1+Parâmetros!E$5)</f>
        <v>636.55943290863956</v>
      </c>
      <c r="J46" s="163">
        <f>I46*(1+Parâmetros!F$5)</f>
        <v>666.70052205686363</v>
      </c>
      <c r="K46" s="177">
        <v>1</v>
      </c>
      <c r="M46" s="178"/>
    </row>
    <row r="47" spans="2:13" ht="15" customHeight="1" x14ac:dyDescent="0.15">
      <c r="B47" s="173">
        <v>101</v>
      </c>
      <c r="D47" s="174" t="s">
        <v>1336</v>
      </c>
      <c r="F47" s="175">
        <v>112110202000000</v>
      </c>
      <c r="G47" s="176" t="s">
        <v>1337</v>
      </c>
      <c r="H47" s="163">
        <f>Parâmetros!D37*(1+Parâmetros!D5)*(1+Parâmetros!D10)*(1+Parâmetros!D20)</f>
        <v>606.24707896060909</v>
      </c>
      <c r="I47" s="163">
        <f>H47*(1+Parâmetros!E$5)</f>
        <v>636.55943290863956</v>
      </c>
      <c r="J47" s="163">
        <f>I47*(1+Parâmetros!F$5)</f>
        <v>666.70052205686363</v>
      </c>
      <c r="K47" s="177">
        <v>1</v>
      </c>
      <c r="M47" s="178"/>
    </row>
    <row r="48" spans="2:13" ht="15" customHeight="1" x14ac:dyDescent="0.15">
      <c r="B48" s="173">
        <v>102</v>
      </c>
      <c r="D48" s="174" t="s">
        <v>1338</v>
      </c>
      <c r="F48" s="175">
        <v>112110202000000</v>
      </c>
      <c r="G48" s="176" t="s">
        <v>1339</v>
      </c>
      <c r="H48" s="163">
        <f>Parâmetros!D38*(1+Parâmetros!D5)*(1+Parâmetros!D10)*(1+Parâmetros!D20)</f>
        <v>6062.4707896060909</v>
      </c>
      <c r="I48" s="163">
        <f>H48*(1+Parâmetros!E$5)</f>
        <v>6365.5943290863961</v>
      </c>
      <c r="J48" s="163">
        <f>I48*(1+Parâmetros!F$5)</f>
        <v>6667.005220568637</v>
      </c>
      <c r="K48" s="177">
        <v>1</v>
      </c>
      <c r="M48" s="178"/>
    </row>
    <row r="49" spans="2:13" s="192" customFormat="1" ht="15" customHeight="1" x14ac:dyDescent="0.15">
      <c r="D49" s="215" t="s">
        <v>1701</v>
      </c>
      <c r="G49" s="192" t="s">
        <v>1702</v>
      </c>
      <c r="H49" s="184">
        <f>SUM(H50:H58)+0.01</f>
        <v>23037.399000503141</v>
      </c>
      <c r="I49" s="184">
        <f>SUM(I50:I58)+0.01</f>
        <v>24189.268450528303</v>
      </c>
      <c r="J49" s="184">
        <f>SUM(J50:J58)+0.01</f>
        <v>25334.629838160818</v>
      </c>
      <c r="K49" s="196"/>
    </row>
    <row r="50" spans="2:13" ht="15" customHeight="1" x14ac:dyDescent="0.15">
      <c r="B50" s="173">
        <v>200</v>
      </c>
      <c r="D50" s="174" t="s">
        <v>1340</v>
      </c>
      <c r="F50" s="175">
        <v>112110202000000</v>
      </c>
      <c r="G50" s="176" t="s">
        <v>1341</v>
      </c>
      <c r="H50" s="163">
        <f>Parâmetros!D39*(1+Parâmetros!D5)*(1+Parâmetros!D10)*(1+Parâmetros!D20)</f>
        <v>606.24707896060909</v>
      </c>
      <c r="I50" s="163">
        <f>H50*(1+Parâmetros!E$5)</f>
        <v>636.55943290863956</v>
      </c>
      <c r="J50" s="163">
        <f>I50*(1+Parâmetros!F$5)</f>
        <v>666.70052205686363</v>
      </c>
      <c r="K50" s="177">
        <v>1</v>
      </c>
      <c r="M50" s="178"/>
    </row>
    <row r="51" spans="2:13" ht="15" customHeight="1" x14ac:dyDescent="0.15">
      <c r="B51" s="173">
        <v>201</v>
      </c>
      <c r="D51" s="174" t="s">
        <v>1342</v>
      </c>
      <c r="F51" s="175">
        <v>112110202000000</v>
      </c>
      <c r="G51" s="176" t="s">
        <v>1343</v>
      </c>
      <c r="H51" s="163">
        <f>Parâmetros!D40*(1+Parâmetros!D5)*(1+Parâmetros!D10)*(1+Parâmetros!D20)</f>
        <v>606.24707896060909</v>
      </c>
      <c r="I51" s="163">
        <f>H51*(1+Parâmetros!E$5)</f>
        <v>636.55943290863956</v>
      </c>
      <c r="J51" s="163">
        <f>I51*(1+Parâmetros!F$5)</f>
        <v>666.70052205686363</v>
      </c>
      <c r="K51" s="177">
        <v>1</v>
      </c>
      <c r="M51" s="178"/>
    </row>
    <row r="52" spans="2:13" ht="15" customHeight="1" x14ac:dyDescent="0.15">
      <c r="B52" s="173">
        <v>202</v>
      </c>
      <c r="D52" s="174" t="s">
        <v>1344</v>
      </c>
      <c r="F52" s="175">
        <v>112110202000000</v>
      </c>
      <c r="G52" s="176" t="s">
        <v>1345</v>
      </c>
      <c r="H52" s="163">
        <f>Parâmetros!D41*(1+Parâmetros!D5)*(1+Parâmetros!D10)*(1+Parâmetros!D20)</f>
        <v>606.24707896060909</v>
      </c>
      <c r="I52" s="163">
        <f>H52*(1+Parâmetros!E$5)</f>
        <v>636.55943290863956</v>
      </c>
      <c r="J52" s="163">
        <f>I52*(1+Parâmetros!F$5)</f>
        <v>666.70052205686363</v>
      </c>
      <c r="K52" s="177">
        <v>1</v>
      </c>
      <c r="M52" s="178"/>
    </row>
    <row r="53" spans="2:13" ht="15" customHeight="1" x14ac:dyDescent="0.15">
      <c r="B53" s="173">
        <v>203</v>
      </c>
      <c r="D53" s="174" t="s">
        <v>1346</v>
      </c>
      <c r="F53" s="175">
        <v>112110202000000</v>
      </c>
      <c r="G53" s="176" t="s">
        <v>1347</v>
      </c>
      <c r="H53" s="163">
        <f>Parâmetros!D42*(1+Parâmetros!D5)*(1+Parâmetros!D10)*(1+Parâmetros!D20)</f>
        <v>3637.4824737636545</v>
      </c>
      <c r="I53" s="163">
        <f>H53*(1+Parâmetros!E$5)</f>
        <v>3819.3565974518374</v>
      </c>
      <c r="J53" s="163">
        <f>I53*(1+Parâmetros!F$5)</f>
        <v>4000.203132341182</v>
      </c>
      <c r="K53" s="177">
        <v>1</v>
      </c>
      <c r="M53" s="178"/>
    </row>
    <row r="54" spans="2:13" ht="15" customHeight="1" x14ac:dyDescent="0.15">
      <c r="B54" s="173">
        <v>204</v>
      </c>
      <c r="D54" s="174" t="s">
        <v>1348</v>
      </c>
      <c r="F54" s="175">
        <v>112110202000000</v>
      </c>
      <c r="G54" s="176" t="s">
        <v>1924</v>
      </c>
      <c r="H54" s="163">
        <f>Parâmetros!D43*(1+Parâmetros!D5)*(1+Parâmetros!D10)*(1+Parâmetros!D20)</f>
        <v>4849.9766316848727</v>
      </c>
      <c r="I54" s="163">
        <f>H54*(1+Parâmetros!E$5)</f>
        <v>5092.4754632691165</v>
      </c>
      <c r="J54" s="163">
        <f>I54*(1+Parâmetros!F$5)</f>
        <v>5333.6041764549091</v>
      </c>
      <c r="K54" s="177">
        <v>1</v>
      </c>
      <c r="M54" s="178"/>
    </row>
    <row r="55" spans="2:13" ht="15" customHeight="1" x14ac:dyDescent="0.15">
      <c r="B55" s="173">
        <v>205</v>
      </c>
      <c r="D55" s="174" t="s">
        <v>1350</v>
      </c>
      <c r="F55" s="175">
        <v>112110202000000</v>
      </c>
      <c r="G55" s="176" t="s">
        <v>1351</v>
      </c>
      <c r="H55" s="163">
        <f>Parâmetros!D45*(1+Parâmetros!D5)*(1+Parâmetros!D10)*(1+Parâmetros!D20)</f>
        <v>606.24707896060909</v>
      </c>
      <c r="I55" s="163">
        <f>H55*(1+Parâmetros!E$5)</f>
        <v>636.55943290863956</v>
      </c>
      <c r="J55" s="163">
        <f>I55*(1+Parâmetros!F$5)</f>
        <v>666.70052205686363</v>
      </c>
      <c r="K55" s="177">
        <v>1</v>
      </c>
      <c r="M55" s="178"/>
    </row>
    <row r="56" spans="2:13" ht="15" customHeight="1" x14ac:dyDescent="0.15">
      <c r="B56" s="173">
        <v>206</v>
      </c>
      <c r="D56" s="174" t="s">
        <v>1912</v>
      </c>
      <c r="F56" s="175">
        <v>112110202000000</v>
      </c>
      <c r="G56" s="176" t="s">
        <v>1349</v>
      </c>
      <c r="H56" s="163">
        <f>Parâmetros!D44*(1+Parâmetros!D5)*(1+Parâmetros!D10)*(1+Parâmetros!D20)</f>
        <v>6062.4707896060909</v>
      </c>
      <c r="I56" s="163">
        <f>H56*(1+Parâmetros!E$5)</f>
        <v>6365.5943290863961</v>
      </c>
      <c r="J56" s="163">
        <f>I56*(1+Parâmetros!F$5)</f>
        <v>6667.005220568637</v>
      </c>
      <c r="K56" s="177">
        <v>1</v>
      </c>
      <c r="M56" s="178"/>
    </row>
    <row r="57" spans="2:13" ht="15" customHeight="1" x14ac:dyDescent="0.15">
      <c r="B57" s="173">
        <v>207</v>
      </c>
      <c r="D57" s="174" t="s">
        <v>1913</v>
      </c>
      <c r="F57" s="175">
        <v>112110202000000</v>
      </c>
      <c r="G57" s="176" t="s">
        <v>1915</v>
      </c>
      <c r="H57" s="163">
        <f>Parâmetros!D46*(1+Parâmetros!D5)*(1+Parâmetros!D10)*(1+Parâmetros!D20)</f>
        <v>3637.4824737636545</v>
      </c>
      <c r="I57" s="163">
        <f>H57*(1+Parâmetros!E$5)</f>
        <v>3819.3565974518374</v>
      </c>
      <c r="J57" s="163">
        <f>I57*(1+Parâmetros!F$5)</f>
        <v>4000.203132341182</v>
      </c>
      <c r="K57" s="177">
        <v>1</v>
      </c>
      <c r="M57" s="178"/>
    </row>
    <row r="58" spans="2:13" ht="15" customHeight="1" x14ac:dyDescent="0.15">
      <c r="B58" s="173">
        <v>208</v>
      </c>
      <c r="D58" s="174" t="s">
        <v>1914</v>
      </c>
      <c r="F58" s="175">
        <v>112110202000000</v>
      </c>
      <c r="G58" s="176" t="s">
        <v>1916</v>
      </c>
      <c r="H58" s="163">
        <f>Parâmetros!D47*(1+Parâmetros!D5)*(1+Parâmetros!D10)*(1+Parâmetros!D20)</f>
        <v>2424.9883158424364</v>
      </c>
      <c r="I58" s="163">
        <f>H58*(1+Parâmetros!E$5)</f>
        <v>2546.2377316345583</v>
      </c>
      <c r="J58" s="163">
        <f>I58*(1+Parâmetros!F$5)</f>
        <v>2666.8020882274545</v>
      </c>
      <c r="K58" s="177">
        <v>1</v>
      </c>
      <c r="M58" s="178"/>
    </row>
    <row r="59" spans="2:13" s="192" customFormat="1" ht="15" customHeight="1" x14ac:dyDescent="0.15">
      <c r="D59" s="215" t="s">
        <v>1703</v>
      </c>
      <c r="G59" s="192" t="s">
        <v>1704</v>
      </c>
      <c r="H59" s="184">
        <f>SUM(H60:H63)+0.01</f>
        <v>2424.9983158424366</v>
      </c>
      <c r="I59" s="184">
        <f>SUM(I60:I63)+0.01</f>
        <v>2546.2477316345585</v>
      </c>
      <c r="J59" s="184">
        <f>SUM(J60:J63)+0.01</f>
        <v>2666.8120882274548</v>
      </c>
      <c r="K59" s="196"/>
    </row>
    <row r="60" spans="2:13" ht="15" customHeight="1" x14ac:dyDescent="0.15">
      <c r="B60" s="173">
        <v>300</v>
      </c>
      <c r="D60" s="174" t="s">
        <v>1352</v>
      </c>
      <c r="F60" s="175">
        <v>413110100000000</v>
      </c>
      <c r="G60" s="182" t="s">
        <v>1353</v>
      </c>
      <c r="H60" s="163">
        <f>Parâmetros!D48*(1+Parâmetros!D5)*(1+Parâmetros!D10)*(1+Parâmetros!D20)</f>
        <v>606.24707896060909</v>
      </c>
      <c r="I60" s="163">
        <f>H60*(1+Parâmetros!E$5)</f>
        <v>636.55943290863956</v>
      </c>
      <c r="J60" s="163">
        <f>I60*(1+Parâmetros!F$5)</f>
        <v>666.70052205686363</v>
      </c>
      <c r="K60" s="177">
        <v>1</v>
      </c>
      <c r="M60" s="178"/>
    </row>
    <row r="61" spans="2:13" ht="15" customHeight="1" x14ac:dyDescent="0.15">
      <c r="B61" s="173">
        <v>301</v>
      </c>
      <c r="D61" s="174" t="s">
        <v>1354</v>
      </c>
      <c r="F61" s="175">
        <v>413210100000000</v>
      </c>
      <c r="G61" s="182" t="s">
        <v>1355</v>
      </c>
      <c r="H61" s="163">
        <f>Parâmetros!D49*(1+Parâmetros!D5)*(1+Parâmetros!D10)*(1+Parâmetros!D20)</f>
        <v>606.24707896060909</v>
      </c>
      <c r="I61" s="163">
        <f>H61*(1+Parâmetros!E$5)</f>
        <v>636.55943290863956</v>
      </c>
      <c r="J61" s="163">
        <f>I61*(1+Parâmetros!F$5)</f>
        <v>666.70052205686363</v>
      </c>
      <c r="K61" s="177">
        <v>1</v>
      </c>
      <c r="M61" s="178"/>
    </row>
    <row r="62" spans="2:13" ht="15" customHeight="1" x14ac:dyDescent="0.15">
      <c r="B62" s="173">
        <v>302</v>
      </c>
      <c r="D62" s="174" t="s">
        <v>1356</v>
      </c>
      <c r="F62" s="175">
        <v>413310100000000</v>
      </c>
      <c r="G62" s="182" t="s">
        <v>1357</v>
      </c>
      <c r="H62" s="163">
        <f>Parâmetros!D50*(1+Parâmetros!D5)*(1+Parâmetros!D10)*(1+Parâmetros!D20)</f>
        <v>606.24707896060909</v>
      </c>
      <c r="I62" s="163">
        <f>H62*(1+Parâmetros!E$5)</f>
        <v>636.55943290863956</v>
      </c>
      <c r="J62" s="163">
        <f>I62*(1+Parâmetros!F$5)</f>
        <v>666.70052205686363</v>
      </c>
      <c r="K62" s="177">
        <v>1</v>
      </c>
      <c r="M62" s="178"/>
    </row>
    <row r="63" spans="2:13" ht="15" customHeight="1" x14ac:dyDescent="0.15">
      <c r="B63" s="173">
        <v>303</v>
      </c>
      <c r="D63" s="174" t="s">
        <v>1358</v>
      </c>
      <c r="F63" s="175">
        <v>413410100000000</v>
      </c>
      <c r="G63" s="182" t="s">
        <v>1359</v>
      </c>
      <c r="H63" s="163">
        <f>Parâmetros!D51*(1+Parâmetros!D5)*(1+Parâmetros!D10)*(1+Parâmetros!D20)</f>
        <v>606.24707896060909</v>
      </c>
      <c r="I63" s="163">
        <f>H63*(1+Parâmetros!E$5)</f>
        <v>636.55943290863956</v>
      </c>
      <c r="J63" s="163">
        <f>I63*(1+Parâmetros!F$5)</f>
        <v>666.70052205686363</v>
      </c>
      <c r="K63" s="177">
        <v>1</v>
      </c>
      <c r="M63" s="178"/>
    </row>
    <row r="64" spans="2:13" s="192" customFormat="1" ht="15" customHeight="1" x14ac:dyDescent="0.25">
      <c r="D64" s="193" t="s">
        <v>1683</v>
      </c>
      <c r="G64" s="192" t="s">
        <v>252</v>
      </c>
      <c r="H64" s="212">
        <f>H65+H67</f>
        <v>89062.986326755214</v>
      </c>
      <c r="I64" s="212">
        <f>I65+I67</f>
        <v>93516.147643092991</v>
      </c>
      <c r="J64" s="212">
        <f>J65+J67</f>
        <v>97944.138654493436</v>
      </c>
      <c r="K64" s="196"/>
      <c r="M64" s="199"/>
    </row>
    <row r="65" spans="2:13" s="192" customFormat="1" ht="15" customHeight="1" x14ac:dyDescent="0.25">
      <c r="D65" s="193" t="s">
        <v>1705</v>
      </c>
      <c r="G65" s="192" t="s">
        <v>1706</v>
      </c>
      <c r="H65" s="212">
        <f>H66</f>
        <v>4849.9766316848727</v>
      </c>
      <c r="I65" s="212">
        <f>I66</f>
        <v>5092.4754632691165</v>
      </c>
      <c r="J65" s="212">
        <f>J66</f>
        <v>5333.6041764549091</v>
      </c>
      <c r="K65" s="196"/>
      <c r="M65" s="199"/>
    </row>
    <row r="66" spans="2:13" ht="15" customHeight="1" x14ac:dyDescent="0.15">
      <c r="B66" s="173">
        <v>400</v>
      </c>
      <c r="D66" s="174" t="s">
        <v>1360</v>
      </c>
      <c r="F66" s="175">
        <v>112310105020000</v>
      </c>
      <c r="G66" s="176" t="s">
        <v>1361</v>
      </c>
      <c r="H66" s="163">
        <f>Parâmetros!D52*(1+Parâmetros!D5)*(1+Parâmetros!D10)*(1+Parâmetros!D20)</f>
        <v>4849.9766316848727</v>
      </c>
      <c r="I66" s="163">
        <f>H66*(1+Parâmetros!E$5)</f>
        <v>5092.4754632691165</v>
      </c>
      <c r="J66" s="163">
        <f>I66*(1+Parâmetros!F$5)</f>
        <v>5333.6041764549091</v>
      </c>
      <c r="K66" s="177">
        <v>1</v>
      </c>
      <c r="M66" s="178"/>
    </row>
    <row r="67" spans="2:13" s="192" customFormat="1" ht="15" customHeight="1" x14ac:dyDescent="0.15">
      <c r="B67" s="191"/>
      <c r="D67" s="193" t="s">
        <v>1708</v>
      </c>
      <c r="F67" s="194"/>
      <c r="G67" s="170" t="s">
        <v>1709</v>
      </c>
      <c r="H67" s="184">
        <f>H68+'ORCAMENTO RECEITA ANALITICO'!H71</f>
        <v>84213.009695070345</v>
      </c>
      <c r="I67" s="184">
        <f>I68+'ORCAMENTO RECEITA ANALITICO'!I71</f>
        <v>88423.672179823872</v>
      </c>
      <c r="J67" s="184">
        <f>J68+'ORCAMENTO RECEITA ANALITICO'!J71</f>
        <v>92610.53447803852</v>
      </c>
      <c r="K67" s="195"/>
    </row>
    <row r="68" spans="2:13" s="192" customFormat="1" ht="15" customHeight="1" x14ac:dyDescent="0.15">
      <c r="B68" s="191"/>
      <c r="D68" s="193" t="s">
        <v>1710</v>
      </c>
      <c r="F68" s="194"/>
      <c r="G68" s="170" t="s">
        <v>1711</v>
      </c>
      <c r="H68" s="184">
        <f t="shared" ref="H68:J69" si="0">H69</f>
        <v>29.254452795244191</v>
      </c>
      <c r="I68" s="184">
        <f t="shared" si="0"/>
        <v>30.717175435006403</v>
      </c>
      <c r="J68" s="184">
        <f t="shared" si="0"/>
        <v>32.171633691853955</v>
      </c>
      <c r="K68" s="195"/>
    </row>
    <row r="69" spans="2:13" s="192" customFormat="1" ht="15" customHeight="1" x14ac:dyDescent="0.15">
      <c r="B69" s="191"/>
      <c r="D69" s="193" t="s">
        <v>1712</v>
      </c>
      <c r="F69" s="194"/>
      <c r="G69" s="170" t="s">
        <v>1713</v>
      </c>
      <c r="H69" s="184">
        <f t="shared" si="0"/>
        <v>29.254452795244191</v>
      </c>
      <c r="I69" s="184">
        <f t="shared" si="0"/>
        <v>30.717175435006403</v>
      </c>
      <c r="J69" s="184">
        <f t="shared" si="0"/>
        <v>32.171633691853955</v>
      </c>
      <c r="K69" s="195"/>
    </row>
    <row r="70" spans="2:13" ht="15" customHeight="1" x14ac:dyDescent="0.15">
      <c r="B70" s="173">
        <v>450</v>
      </c>
      <c r="D70" s="174" t="s">
        <v>1362</v>
      </c>
      <c r="F70" s="175">
        <v>445210200000000</v>
      </c>
      <c r="G70" s="176" t="s">
        <v>1363</v>
      </c>
      <c r="H70" s="163">
        <f>Parâmetros!D53*(1+Parâmetros!D5)*(1+Parâmetros!D10)*(1+Parâmetros!D20)</f>
        <v>29.254452795244191</v>
      </c>
      <c r="I70" s="163">
        <f>H70*(1+Parâmetros!E$5)</f>
        <v>30.717175435006403</v>
      </c>
      <c r="J70" s="163">
        <f>I70*(1+Parâmetros!F$5)</f>
        <v>32.171633691853955</v>
      </c>
      <c r="K70" s="177">
        <v>1</v>
      </c>
      <c r="M70" s="178"/>
    </row>
    <row r="71" spans="2:13" s="192" customFormat="1" ht="15" customHeight="1" x14ac:dyDescent="0.15">
      <c r="B71" s="191"/>
      <c r="D71" s="193" t="s">
        <v>1714</v>
      </c>
      <c r="F71" s="194"/>
      <c r="G71" s="170" t="s">
        <v>1716</v>
      </c>
      <c r="H71" s="184">
        <f>H72+'ORCAMENTO RECEITA ANALITICO'!H106-0.01</f>
        <v>84183.755242275103</v>
      </c>
      <c r="I71" s="184">
        <f>I72+'ORCAMENTO RECEITA ANALITICO'!I106</f>
        <v>88392.955004388859</v>
      </c>
      <c r="J71" s="184">
        <f>J72+'ORCAMENTO RECEITA ANALITICO'!J106</f>
        <v>92578.362844346673</v>
      </c>
      <c r="K71" s="195"/>
    </row>
    <row r="72" spans="2:13" s="192" customFormat="1" ht="15" customHeight="1" x14ac:dyDescent="0.15">
      <c r="D72" s="192" t="s">
        <v>1715</v>
      </c>
      <c r="G72" s="192" t="s">
        <v>1717</v>
      </c>
      <c r="H72" s="200">
        <f>H73+H74+H84+H85+H86+H87+H91+H100+H101+H102+H103+H104+H105-0.03</f>
        <v>59289.832468281544</v>
      </c>
      <c r="I72" s="200">
        <f>I73+I74+I84+I85+I86+I87+I91+I100+I101+I102+I103+I104+I105-0.03</f>
        <v>62254.325591695619</v>
      </c>
      <c r="J72" s="200">
        <f>J73+J74+J84+J85+J86+J87+J91+J100+J101+J102+J103+J104+J105-0.03</f>
        <v>65202.069328962411</v>
      </c>
    </row>
    <row r="73" spans="2:13" ht="15" customHeight="1" x14ac:dyDescent="0.15">
      <c r="B73" s="173">
        <v>500</v>
      </c>
      <c r="D73" s="174" t="s">
        <v>1364</v>
      </c>
      <c r="F73" s="175">
        <v>445210100000000</v>
      </c>
      <c r="G73" s="176" t="s">
        <v>1365</v>
      </c>
      <c r="H73" s="163">
        <f>Parâmetros!D54*(1+Parâmetros!D5)*(1+Parâmetros!D10)*(1+Parâmetros!D20)</f>
        <v>29191.074209991944</v>
      </c>
      <c r="I73" s="163">
        <f>H73*(1+Parâmetros!E$5)</f>
        <v>30650.627920491545</v>
      </c>
      <c r="J73" s="163">
        <f>I73*(1+Parâmetros!F$5)</f>
        <v>32101.935152526818</v>
      </c>
      <c r="K73" s="177">
        <v>31</v>
      </c>
      <c r="M73" s="178"/>
    </row>
    <row r="74" spans="2:13" s="192" customFormat="1" ht="15" customHeight="1" x14ac:dyDescent="0.15">
      <c r="B74" s="191"/>
      <c r="D74" s="193" t="s">
        <v>1718</v>
      </c>
      <c r="F74" s="194"/>
      <c r="G74" s="170" t="s">
        <v>1719</v>
      </c>
      <c r="H74" s="184">
        <f>SUM(H75:H83)+0.01</f>
        <v>6495.8944044435184</v>
      </c>
      <c r="I74" s="184">
        <f>SUM(I75:I83)+0.01</f>
        <v>6820.6886246656932</v>
      </c>
      <c r="J74" s="184">
        <f>SUM(J75:J83)+0.01</f>
        <v>7143.6477575436138</v>
      </c>
      <c r="K74" s="195"/>
    </row>
    <row r="75" spans="2:13" ht="15" customHeight="1" x14ac:dyDescent="0.15">
      <c r="B75" s="173">
        <v>600</v>
      </c>
      <c r="D75" s="174" t="s">
        <v>1366</v>
      </c>
      <c r="F75" s="175">
        <v>445210100000000</v>
      </c>
      <c r="G75" s="176" t="s">
        <v>1367</v>
      </c>
      <c r="H75" s="163">
        <f>Parâmetros!D55*(1+Parâmetros!D5)*(1+Parâmetros!D10)*(1+Parâmetros!D20)</f>
        <v>1385.1124043313698</v>
      </c>
      <c r="I75" s="163">
        <f>H75*(1+Parâmetros!E$5)</f>
        <v>1454.3680245479384</v>
      </c>
      <c r="J75" s="163">
        <f>I75*(1+Parâmetros!F$5)</f>
        <v>1523.2323505102834</v>
      </c>
      <c r="K75" s="177">
        <v>4510</v>
      </c>
      <c r="M75" s="178"/>
    </row>
    <row r="76" spans="2:13" ht="15" customHeight="1" x14ac:dyDescent="0.15">
      <c r="B76" s="173">
        <v>601</v>
      </c>
      <c r="D76" s="174" t="s">
        <v>1368</v>
      </c>
      <c r="F76" s="175">
        <v>445210100000000</v>
      </c>
      <c r="G76" s="176" t="s">
        <v>1369</v>
      </c>
      <c r="H76" s="163">
        <f>Parâmetros!D56*(1+Parâmetros!D5)*(1+Parâmetros!D10)*(1+Parâmetros!D20)</f>
        <v>1124.0275529238911</v>
      </c>
      <c r="I76" s="163">
        <f>H76*(1+Parâmetros!E$5)</f>
        <v>1180.2289305700858</v>
      </c>
      <c r="J76" s="163">
        <f>I76*(1+Parâmetros!F$5)</f>
        <v>1236.1127704325793</v>
      </c>
      <c r="K76" s="177">
        <v>4770</v>
      </c>
      <c r="M76" s="178"/>
    </row>
    <row r="77" spans="2:13" ht="15" customHeight="1" x14ac:dyDescent="0.15">
      <c r="B77" s="173">
        <v>602</v>
      </c>
      <c r="D77" s="174" t="s">
        <v>1370</v>
      </c>
      <c r="F77" s="175">
        <v>445210100000000</v>
      </c>
      <c r="G77" s="176" t="s">
        <v>1371</v>
      </c>
      <c r="H77" s="163">
        <f>Parâmetros!D57*(1+Parâmetros!D5)*(1+Parâmetros!D10)*(1+Parâmetros!D20)</f>
        <v>2528.8854246170085</v>
      </c>
      <c r="I77" s="163">
        <f>H77*(1+Parâmetros!E$5)</f>
        <v>2655.3296958478591</v>
      </c>
      <c r="J77" s="163">
        <f>I77*(1+Parâmetros!F$5)</f>
        <v>2781.0595569462553</v>
      </c>
      <c r="K77" s="177">
        <v>4580</v>
      </c>
      <c r="M77" s="178"/>
    </row>
    <row r="78" spans="2:13" ht="15" customHeight="1" x14ac:dyDescent="0.15">
      <c r="B78" s="173">
        <v>603</v>
      </c>
      <c r="D78" s="174" t="s">
        <v>1372</v>
      </c>
      <c r="F78" s="175">
        <v>445210100000000</v>
      </c>
      <c r="G78" s="176" t="s">
        <v>1373</v>
      </c>
      <c r="H78" s="163">
        <f>Parâmetros!D58*(1+Parâmetros!D5)*(1+Parâmetros!D10)*(1+Parâmetros!D20)</f>
        <v>511.28756774761405</v>
      </c>
      <c r="I78" s="163">
        <f>H78*(1+Parâmetros!E$5)</f>
        <v>536.85194613499482</v>
      </c>
      <c r="J78" s="163">
        <f>I78*(1+Parâmetros!F$5)</f>
        <v>562.27188578448681</v>
      </c>
      <c r="K78" s="177">
        <v>4190</v>
      </c>
      <c r="M78" s="178"/>
    </row>
    <row r="79" spans="2:13" ht="15" customHeight="1" x14ac:dyDescent="0.15">
      <c r="B79" s="173">
        <v>604</v>
      </c>
      <c r="D79" s="174" t="s">
        <v>1374</v>
      </c>
      <c r="F79" s="175">
        <v>445210100000000</v>
      </c>
      <c r="G79" s="176" t="s">
        <v>1375</v>
      </c>
      <c r="H79" s="163">
        <f>Parâmetros!D60*(1+Parâmetros!D5)*(1+Parâmetros!D10)*(1+Parâmetros!D20)</f>
        <v>461.57379165514675</v>
      </c>
      <c r="I79" s="163">
        <f>H79*(1+Parâmetros!E$5)</f>
        <v>484.65248123790411</v>
      </c>
      <c r="J79" s="163">
        <f>I79*(1+Parâmetros!F$5)</f>
        <v>507.60077622451888</v>
      </c>
      <c r="K79" s="177">
        <v>4050</v>
      </c>
      <c r="M79" s="178"/>
    </row>
    <row r="80" spans="2:13" ht="15" customHeight="1" x14ac:dyDescent="0.15">
      <c r="B80" s="173">
        <v>605</v>
      </c>
      <c r="D80" s="174" t="s">
        <v>1376</v>
      </c>
      <c r="F80" s="175">
        <v>445210100000000</v>
      </c>
      <c r="G80" s="176" t="s">
        <v>1377</v>
      </c>
      <c r="H80" s="163">
        <f>Parâmetros!D61*(1+Parâmetros!D5)*(1+Parâmetros!D10)*(1+Parâmetros!D20)</f>
        <v>121.24941579212181</v>
      </c>
      <c r="I80" s="163">
        <f>H80*(1+Parâmetros!E$5)</f>
        <v>127.3118865817279</v>
      </c>
      <c r="J80" s="163">
        <f>I80*(1+Parâmetros!F$5)</f>
        <v>133.34010441137272</v>
      </c>
      <c r="K80" s="177">
        <v>4011</v>
      </c>
      <c r="M80" s="178"/>
    </row>
    <row r="81" spans="2:13" ht="15" customHeight="1" x14ac:dyDescent="0.15">
      <c r="B81" s="173">
        <v>606</v>
      </c>
      <c r="D81" s="174" t="s">
        <v>1378</v>
      </c>
      <c r="F81" s="175">
        <v>445210100000000</v>
      </c>
      <c r="G81" s="176" t="s">
        <v>1379</v>
      </c>
      <c r="H81" s="163">
        <f>Parâmetros!D62*(1+Parâmetros!D5)*(1+Parâmetros!D10)*(1+Parâmetros!D20)</f>
        <v>121.24941579212181</v>
      </c>
      <c r="I81" s="163">
        <f>H81*(1+Parâmetros!E$5)</f>
        <v>127.3118865817279</v>
      </c>
      <c r="J81" s="163">
        <f>I81*(1+Parâmetros!F$5)</f>
        <v>133.34010441137272</v>
      </c>
      <c r="K81" s="177">
        <v>4051</v>
      </c>
      <c r="M81" s="178"/>
    </row>
    <row r="82" spans="2:13" ht="15" customHeight="1" x14ac:dyDescent="0.15">
      <c r="B82" s="173">
        <v>607</v>
      </c>
      <c r="D82" s="174" t="s">
        <v>1380</v>
      </c>
      <c r="F82" s="175">
        <v>445210100000000</v>
      </c>
      <c r="G82" s="176" t="s">
        <v>1381</v>
      </c>
      <c r="H82" s="163">
        <f>Parâmetros!D63*(1+Parâmetros!$D$5)*(1+Parâmetros!$D$10)*(1+Parâmetros!$D$20)</f>
        <v>121.24941579212181</v>
      </c>
      <c r="I82" s="163">
        <f>H82*(1+Parâmetros!E$5)</f>
        <v>127.3118865817279</v>
      </c>
      <c r="J82" s="163">
        <f>I82*(1+Parâmetros!F$5)</f>
        <v>133.34010441137272</v>
      </c>
      <c r="K82" s="177">
        <v>4070</v>
      </c>
      <c r="M82" s="178"/>
    </row>
    <row r="83" spans="2:13" ht="15" customHeight="1" x14ac:dyDescent="0.15">
      <c r="B83" s="173">
        <v>608</v>
      </c>
      <c r="D83" s="174" t="s">
        <v>6631</v>
      </c>
      <c r="F83" s="175">
        <v>445210100000000</v>
      </c>
      <c r="G83" s="176" t="s">
        <v>6632</v>
      </c>
      <c r="H83" s="163">
        <f>Parâmetros!D64*(1+Parâmetros!$D$5)*(1+Parâmetros!$D$10)*(1+Parâmetros!$D$20)</f>
        <v>121.24941579212181</v>
      </c>
      <c r="I83" s="163">
        <f>H83*(1+Parâmetros!E$5)</f>
        <v>127.3118865817279</v>
      </c>
      <c r="J83" s="163">
        <f>I83*(1+Parâmetros!F$5)</f>
        <v>133.34010441137272</v>
      </c>
      <c r="K83" s="177">
        <v>4090</v>
      </c>
      <c r="M83" s="178"/>
    </row>
    <row r="84" spans="2:13" s="192" customFormat="1" ht="15" customHeight="1" x14ac:dyDescent="0.15">
      <c r="B84" s="191">
        <v>650</v>
      </c>
      <c r="D84" s="193" t="s">
        <v>1382</v>
      </c>
      <c r="F84" s="194">
        <v>445210100000000</v>
      </c>
      <c r="G84" s="170" t="s">
        <v>1383</v>
      </c>
      <c r="H84" s="184">
        <f>Parâmetros!D65*(1+Parâmetros!D5)*(1+Parâmetros!D10)*(1+Parâmetros!D20)</f>
        <v>254.08876011627302</v>
      </c>
      <c r="I84" s="184">
        <f>H84*(1+Parâmetros!E$5)</f>
        <v>266.79319812208666</v>
      </c>
      <c r="J84" s="184">
        <f>I84*(1+Parâmetros!F$5)</f>
        <v>279.42585605316748</v>
      </c>
      <c r="K84" s="196">
        <v>20</v>
      </c>
      <c r="M84" s="199"/>
    </row>
    <row r="85" spans="2:13" s="192" customFormat="1" ht="15" customHeight="1" x14ac:dyDescent="0.15">
      <c r="B85" s="191">
        <v>660</v>
      </c>
      <c r="D85" s="193" t="s">
        <v>1384</v>
      </c>
      <c r="F85" s="194">
        <v>445210100000000</v>
      </c>
      <c r="G85" s="170" t="s">
        <v>1385</v>
      </c>
      <c r="H85" s="184">
        <f>Parâmetros!D66*(1+Parâmetros!D5)*(1+Parâmetros!D10)*(1+Parâmetros!D20)</f>
        <v>1726.9448198033094</v>
      </c>
      <c r="I85" s="184">
        <f>H85*(1+Parâmetros!E$5)</f>
        <v>1813.292060793475</v>
      </c>
      <c r="J85" s="184">
        <f>I85*(1+Parâmetros!F$5)</f>
        <v>1899.151439872046</v>
      </c>
      <c r="K85" s="196">
        <v>40</v>
      </c>
      <c r="M85" s="199"/>
    </row>
    <row r="86" spans="2:13" s="192" customFormat="1" ht="15" customHeight="1" x14ac:dyDescent="0.15">
      <c r="B86" s="191">
        <v>670</v>
      </c>
      <c r="D86" s="193" t="s">
        <v>1386</v>
      </c>
      <c r="F86" s="194">
        <v>445210100000000</v>
      </c>
      <c r="G86" s="170" t="s">
        <v>1387</v>
      </c>
      <c r="H86" s="184">
        <f>Parâmetros!D67*(1+Parâmetros!D5)*(1+Parâmetros!D10)*(1+Parâmetros!D20)</f>
        <v>85.997663768259784</v>
      </c>
      <c r="I86" s="184">
        <f>H86*(1+Parâmetros!E$5)</f>
        <v>90.297546956672775</v>
      </c>
      <c r="J86" s="184">
        <f>I86*(1+Parâmetros!F$5)</f>
        <v>94.573135805071232</v>
      </c>
      <c r="K86" s="195">
        <v>1048</v>
      </c>
      <c r="M86" s="199"/>
    </row>
    <row r="87" spans="2:13" s="192" customFormat="1" ht="15" customHeight="1" x14ac:dyDescent="0.15">
      <c r="B87" s="191"/>
      <c r="D87" s="193" t="s">
        <v>1720</v>
      </c>
      <c r="F87" s="194"/>
      <c r="G87" s="170" t="s">
        <v>1721</v>
      </c>
      <c r="H87" s="184">
        <f>SUM(H88:H90)</f>
        <v>12632.869022524656</v>
      </c>
      <c r="I87" s="184">
        <f>SUM(I88:I90)</f>
        <v>13264.512473650891</v>
      </c>
      <c r="J87" s="184">
        <f>SUM(J88:J90)</f>
        <v>13892.587139278257</v>
      </c>
      <c r="K87" s="195"/>
    </row>
    <row r="88" spans="2:13" ht="15" customHeight="1" x14ac:dyDescent="0.15">
      <c r="B88" s="173">
        <v>700</v>
      </c>
      <c r="D88" s="174" t="s">
        <v>1388</v>
      </c>
      <c r="F88" s="175">
        <v>445210100000000</v>
      </c>
      <c r="G88" s="176" t="s">
        <v>1389</v>
      </c>
      <c r="H88" s="163">
        <f>Parâmetros!D68*(1+Parâmetros!D5)*(1+Parâmetros!D10)*(1+Parâmetros!D20)</f>
        <v>1455.5719554658688</v>
      </c>
      <c r="I88" s="163">
        <f>H88*(1+Parâmetros!E$5)</f>
        <v>1528.3505532391623</v>
      </c>
      <c r="J88" s="163">
        <f>I88*(1+Parâmetros!F$5)</f>
        <v>1600.7179519350366</v>
      </c>
      <c r="K88" s="181">
        <v>1049</v>
      </c>
      <c r="M88" s="178"/>
    </row>
    <row r="89" spans="2:13" ht="15" customHeight="1" x14ac:dyDescent="0.15">
      <c r="B89" s="173">
        <v>701</v>
      </c>
      <c r="D89" s="174" t="s">
        <v>1390</v>
      </c>
      <c r="F89" s="175">
        <v>445210100000000</v>
      </c>
      <c r="G89" s="176" t="s">
        <v>6785</v>
      </c>
      <c r="H89" s="163">
        <f>Parâmetros!D69*(1+Parâmetros!D5)*(1+Parâmetros!D10)*(1+Parâmetros!D20)</f>
        <v>10219.041715405885</v>
      </c>
      <c r="I89" s="163">
        <f>H89*(1+Parâmetros!E$5)</f>
        <v>10729.993801176181</v>
      </c>
      <c r="J89" s="163">
        <f>I89*(1+Parâmetros!F$5)</f>
        <v>11238.059007661872</v>
      </c>
      <c r="K89" s="177">
        <v>1011</v>
      </c>
      <c r="M89" s="178"/>
    </row>
    <row r="90" spans="2:13" ht="15" customHeight="1" x14ac:dyDescent="0.15">
      <c r="B90" s="173">
        <v>702</v>
      </c>
      <c r="D90" s="174" t="s">
        <v>1391</v>
      </c>
      <c r="F90" s="175">
        <v>445210100000000</v>
      </c>
      <c r="G90" s="176" t="s">
        <v>1392</v>
      </c>
      <c r="H90" s="163">
        <f>Parâmetros!D70*(1+Parâmetros!D5)*(1+Parâmetros!D10)*(1+Parâmetros!D20)</f>
        <v>958.25535165290228</v>
      </c>
      <c r="I90" s="163">
        <f>H90*(1+Parâmetros!E$5)</f>
        <v>1006.1681192355475</v>
      </c>
      <c r="J90" s="163">
        <f>I90*(1+Parâmetros!F$5)</f>
        <v>1053.8101796813507</v>
      </c>
      <c r="K90" s="181">
        <v>1009</v>
      </c>
      <c r="M90" s="178"/>
    </row>
    <row r="91" spans="2:13" s="192" customFormat="1" ht="15" customHeight="1" x14ac:dyDescent="0.15">
      <c r="D91" s="192" t="s">
        <v>1722</v>
      </c>
      <c r="G91" s="192" t="s">
        <v>1723</v>
      </c>
      <c r="H91" s="184">
        <f>H92+H93+H94+H95+H96+H97+H98+H99-0.01</f>
        <v>1685.8994706461631</v>
      </c>
      <c r="I91" s="184">
        <f>I92+I93+I94+I95+I96+I97+I98+I99-0.01</f>
        <v>1770.1949441784709</v>
      </c>
      <c r="J91" s="184">
        <f>J92+J93+J94+J95+J96+J97+J98+J99-0.01</f>
        <v>1854.0141482853214</v>
      </c>
      <c r="K91" s="196"/>
    </row>
    <row r="92" spans="2:13" ht="15" customHeight="1" x14ac:dyDescent="0.15">
      <c r="B92" s="173">
        <v>750</v>
      </c>
      <c r="D92" s="174" t="s">
        <v>1393</v>
      </c>
      <c r="F92" s="175">
        <v>445210100000000</v>
      </c>
      <c r="G92" s="176" t="s">
        <v>271</v>
      </c>
      <c r="H92" s="163">
        <f>Parâmetros!D71*(1+Parâmetros!D5)*(1+Parâmetros!D10)*(1+Parâmetros!D20)</f>
        <v>70.645972111279761</v>
      </c>
      <c r="I92" s="163">
        <f>H92*(1+Parâmetros!E$5)</f>
        <v>74.178270716843755</v>
      </c>
      <c r="J92" s="163">
        <f>I92*(1+Parâmetros!F$5)</f>
        <v>77.690611835286305</v>
      </c>
      <c r="K92" s="177">
        <v>1073</v>
      </c>
      <c r="M92" s="178"/>
    </row>
    <row r="93" spans="2:13" ht="15" customHeight="1" x14ac:dyDescent="0.15">
      <c r="B93" s="173">
        <v>751</v>
      </c>
      <c r="D93" s="174" t="s">
        <v>1394</v>
      </c>
      <c r="F93" s="175">
        <v>445210100000000</v>
      </c>
      <c r="G93" s="176" t="s">
        <v>272</v>
      </c>
      <c r="H93" s="163">
        <f>Parâmetros!D72*(1+Parâmetros!D5)*(1+Parâmetros!D10)*(1+Parâmetros!D20)</f>
        <v>842.7213301976816</v>
      </c>
      <c r="I93" s="163">
        <f>H93*(1+Parâmetros!E$5)</f>
        <v>884.85739670756573</v>
      </c>
      <c r="J93" s="163">
        <f>I93*(1+Parâmetros!F$5)</f>
        <v>926.75539444166895</v>
      </c>
      <c r="K93" s="177">
        <v>1074</v>
      </c>
      <c r="M93" s="178"/>
    </row>
    <row r="94" spans="2:13" ht="15" customHeight="1" x14ac:dyDescent="0.15">
      <c r="B94" s="173">
        <v>752</v>
      </c>
      <c r="D94" s="174" t="s">
        <v>1395</v>
      </c>
      <c r="F94" s="175">
        <v>445210100000000</v>
      </c>
      <c r="G94" s="176" t="s">
        <v>1396</v>
      </c>
      <c r="H94" s="163">
        <f>Parâmetros!D73*(1+Parâmetros!D5)*(1+Parâmetros!D10)*(1+Parâmetros!D20)</f>
        <v>74.062174401222805</v>
      </c>
      <c r="I94" s="163">
        <f>H94*(1+Parâmetros!E$5)</f>
        <v>77.765283121283943</v>
      </c>
      <c r="J94" s="163">
        <f>I94*(1+Parâmetros!F$5)</f>
        <v>81.447469277076735</v>
      </c>
      <c r="K94" s="177">
        <v>1099</v>
      </c>
      <c r="M94" s="178"/>
    </row>
    <row r="95" spans="2:13" ht="15" customHeight="1" x14ac:dyDescent="0.15">
      <c r="B95" s="173">
        <v>753</v>
      </c>
      <c r="D95" s="174" t="s">
        <v>1397</v>
      </c>
      <c r="F95" s="175">
        <v>445210100000000</v>
      </c>
      <c r="G95" s="176" t="s">
        <v>1398</v>
      </c>
      <c r="H95" s="163">
        <f>Parâmetros!D74*(1+Parâmetros!D5)*(1+Parâmetros!D10)*(1+Parâmetros!D20)</f>
        <v>60.624707896060904</v>
      </c>
      <c r="I95" s="163">
        <f>H95*(1+Parâmetros!E$5)</f>
        <v>63.655943290863952</v>
      </c>
      <c r="J95" s="163">
        <f>I95*(1+Parâmetros!F$5)</f>
        <v>66.67005220568636</v>
      </c>
      <c r="K95" s="177">
        <v>1106</v>
      </c>
      <c r="M95" s="178"/>
    </row>
    <row r="96" spans="2:13" ht="15" customHeight="1" x14ac:dyDescent="0.15">
      <c r="B96" s="173">
        <v>754</v>
      </c>
      <c r="D96" s="174" t="s">
        <v>1399</v>
      </c>
      <c r="F96" s="175">
        <v>445210100000000</v>
      </c>
      <c r="G96" s="176" t="s">
        <v>6634</v>
      </c>
      <c r="H96" s="163">
        <f>Parâmetros!D75*(1+Parâmetros!D5)*(1+Parâmetros!D10)*(1+Parâmetros!D20)</f>
        <v>60.624707896060904</v>
      </c>
      <c r="I96" s="163">
        <f>H96*(1+Parâmetros!E$5)</f>
        <v>63.655943290863952</v>
      </c>
      <c r="J96" s="163">
        <f>I96*(1+Parâmetros!F$5)</f>
        <v>66.67005220568636</v>
      </c>
      <c r="K96" s="177">
        <v>1109</v>
      </c>
      <c r="M96" s="178"/>
    </row>
    <row r="97" spans="2:13" ht="15" customHeight="1" x14ac:dyDescent="0.15">
      <c r="B97" s="173">
        <v>755</v>
      </c>
      <c r="D97" s="174" t="s">
        <v>1400</v>
      </c>
      <c r="F97" s="175">
        <v>445210100000000</v>
      </c>
      <c r="G97" s="176" t="s">
        <v>1401</v>
      </c>
      <c r="H97" s="163">
        <f>Parâmetros!D76*(1+Parâmetros!D5)*(1+Parâmetros!D10)*(1+Parâmetros!D20)</f>
        <v>60.624707896060904</v>
      </c>
      <c r="I97" s="163">
        <f>H97*(1+Parâmetros!E$5)</f>
        <v>63.655943290863952</v>
      </c>
      <c r="J97" s="163">
        <f>I97*(1+Parâmetros!F$5)</f>
        <v>66.67005220568636</v>
      </c>
      <c r="K97" s="177">
        <v>1110</v>
      </c>
      <c r="M97" s="178"/>
    </row>
    <row r="98" spans="2:13" ht="15" customHeight="1" x14ac:dyDescent="0.15">
      <c r="B98" s="173">
        <v>756</v>
      </c>
      <c r="D98" s="174" t="s">
        <v>1402</v>
      </c>
      <c r="F98" s="175">
        <v>445210100000000</v>
      </c>
      <c r="G98" s="176" t="s">
        <v>1403</v>
      </c>
      <c r="H98" s="163">
        <f>Parâmetros!D77*(1+Parâmetros!D$5)*(1+Parâmetros!D$10)*(1+Parâmetros!D$20)</f>
        <v>395.35645445567417</v>
      </c>
      <c r="I98" s="163">
        <f>H98*(1+Parâmetros!E$5)</f>
        <v>415.12427717845787</v>
      </c>
      <c r="J98" s="163">
        <f>I98*(1+Parâmetros!F$5)</f>
        <v>434.78041170285786</v>
      </c>
      <c r="K98" s="177">
        <v>1128</v>
      </c>
      <c r="M98" s="178"/>
    </row>
    <row r="99" spans="2:13" ht="15" customHeight="1" x14ac:dyDescent="0.15">
      <c r="B99" s="173">
        <v>757</v>
      </c>
      <c r="D99" s="174" t="s">
        <v>6635</v>
      </c>
      <c r="F99" s="175">
        <v>445210100000000</v>
      </c>
      <c r="G99" s="176" t="s">
        <v>6636</v>
      </c>
      <c r="H99" s="163">
        <f>Parâmetros!D78*(1+Parâmetros!D$5)*(1+Parâmetros!D$10)*(1+Parâmetros!D$20)</f>
        <v>121.24941579212181</v>
      </c>
      <c r="I99" s="163">
        <f>H99*(1+Parâmetros!E$5)</f>
        <v>127.3118865817279</v>
      </c>
      <c r="J99" s="163">
        <f>I99*(1+Parâmetros!F$5)</f>
        <v>133.34010441137272</v>
      </c>
      <c r="K99" s="177">
        <v>1149</v>
      </c>
      <c r="M99" s="178"/>
    </row>
    <row r="100" spans="2:13" ht="15" customHeight="1" x14ac:dyDescent="0.15">
      <c r="B100" s="173">
        <v>758</v>
      </c>
      <c r="D100" s="174" t="s">
        <v>1404</v>
      </c>
      <c r="F100" s="175">
        <v>445210100000000</v>
      </c>
      <c r="G100" s="176" t="s">
        <v>1405</v>
      </c>
      <c r="H100" s="163">
        <f>Parâmetros!D79*(1+Parâmetros!D5)*(1+Parâmetros!D10)*(1+Parâmetros!D20)</f>
        <v>1899.3736140012859</v>
      </c>
      <c r="I100" s="163">
        <f>H100*(1+Parâmetros!E$5)</f>
        <v>1994.3422947013503</v>
      </c>
      <c r="J100" s="163">
        <f>I100*(1+Parâmetros!F$5)</f>
        <v>2088.7744023554592</v>
      </c>
      <c r="K100" s="177">
        <v>1087</v>
      </c>
      <c r="M100" s="178"/>
    </row>
    <row r="101" spans="2:13" ht="15" customHeight="1" x14ac:dyDescent="0.15">
      <c r="B101" s="173">
        <v>759</v>
      </c>
      <c r="D101" s="174" t="s">
        <v>1406</v>
      </c>
      <c r="F101" s="175">
        <v>445210100000000</v>
      </c>
      <c r="G101" s="176" t="s">
        <v>6638</v>
      </c>
      <c r="H101" s="163">
        <f>Parâmetros!D80*(1+Parâmetros!D5)*(1+Parâmetros!D10)*(1+Parâmetros!D20)</f>
        <v>5075.2216714018978</v>
      </c>
      <c r="I101" s="163">
        <f>H101*(1+Parâmetros!E$5)</f>
        <v>5328.982754971993</v>
      </c>
      <c r="J101" s="163">
        <f>I101*(1+Parâmetros!F$5)</f>
        <v>5581.3100884199166</v>
      </c>
      <c r="K101" s="177">
        <v>1013</v>
      </c>
      <c r="M101" s="178"/>
    </row>
    <row r="102" spans="2:13" ht="15" customHeight="1" x14ac:dyDescent="0.15">
      <c r="B102" s="173">
        <v>760</v>
      </c>
      <c r="D102" s="174" t="s">
        <v>1407</v>
      </c>
      <c r="F102" s="175">
        <v>445210100000000</v>
      </c>
      <c r="G102" s="182" t="s">
        <v>1408</v>
      </c>
      <c r="H102" s="163">
        <f>Parâmetros!D81*(1+Parâmetros!D5)*(1+Parâmetros!D10)*(1+Parâmetros!D20)</f>
        <v>60.624707896060904</v>
      </c>
      <c r="I102" s="163">
        <f>H102*(1+Parâmetros!E$5)</f>
        <v>63.655943290863952</v>
      </c>
      <c r="J102" s="163">
        <f>I102*(1+Parâmetros!F$5)</f>
        <v>66.67005220568636</v>
      </c>
      <c r="K102" s="177">
        <v>1155</v>
      </c>
      <c r="M102" s="178"/>
    </row>
    <row r="103" spans="2:13" ht="15" customHeight="1" x14ac:dyDescent="0.15">
      <c r="B103" s="183">
        <v>761</v>
      </c>
      <c r="D103" s="174" t="s">
        <v>1724</v>
      </c>
      <c r="F103" s="175">
        <v>445210100000000</v>
      </c>
      <c r="G103" s="182" t="s">
        <v>1725</v>
      </c>
      <c r="H103" s="163">
        <f>Parâmetros!D82*(1+Parâmetros!D$5)*(1+Parâmetros!D$10)*(1+Parâmetros!D$20)</f>
        <v>60.624707896060904</v>
      </c>
      <c r="I103" s="163">
        <f>H103*(1+Parâmetros!E$5)</f>
        <v>63.655943290863952</v>
      </c>
      <c r="J103" s="163">
        <f>I103*(1+Parâmetros!F$5)</f>
        <v>66.67005220568636</v>
      </c>
      <c r="K103" s="177">
        <v>1146</v>
      </c>
      <c r="M103" s="178"/>
    </row>
    <row r="104" spans="2:13" ht="15" customHeight="1" x14ac:dyDescent="0.15">
      <c r="B104" s="183">
        <v>762</v>
      </c>
      <c r="D104" s="174" t="s">
        <v>6786</v>
      </c>
      <c r="F104" s="175">
        <v>445210100000000</v>
      </c>
      <c r="G104" s="182" t="s">
        <v>6787</v>
      </c>
      <c r="H104" s="163">
        <f>Parâmetros!D83*(1+Parâmetros!D$5)*(1+Parâmetros!D$10)*(1+Parâmetros!D$20)</f>
        <v>60.624707896060904</v>
      </c>
      <c r="I104" s="163">
        <f>H104*(1+Parâmetros!E$5)</f>
        <v>63.655943290863952</v>
      </c>
      <c r="J104" s="163">
        <f>I104*(1+Parâmetros!F$5)</f>
        <v>66.67005220568636</v>
      </c>
      <c r="K104" s="169">
        <v>1152</v>
      </c>
      <c r="M104" s="178"/>
    </row>
    <row r="105" spans="2:13" ht="15" customHeight="1" x14ac:dyDescent="0.15">
      <c r="B105" s="183">
        <v>763</v>
      </c>
      <c r="D105" s="174" t="s">
        <v>6788</v>
      </c>
      <c r="F105" s="175">
        <v>445210100000000</v>
      </c>
      <c r="G105" s="182" t="s">
        <v>6789</v>
      </c>
      <c r="H105" s="163">
        <f>Parâmetros!D84*(1+Parâmetros!D$5)*(1+Parâmetros!D$10)*(1+Parâmetros!D$20)</f>
        <v>60.624707896060904</v>
      </c>
      <c r="I105" s="163">
        <f>H105*(1+Parâmetros!E$5)</f>
        <v>63.655943290863952</v>
      </c>
      <c r="J105" s="163">
        <f>I105*(1+Parâmetros!F$5)</f>
        <v>66.67005220568636</v>
      </c>
      <c r="K105" s="169">
        <v>1153</v>
      </c>
      <c r="M105" s="178"/>
    </row>
    <row r="106" spans="2:13" s="192" customFormat="1" ht="15" customHeight="1" x14ac:dyDescent="0.15">
      <c r="D106" s="193" t="s">
        <v>1728</v>
      </c>
      <c r="F106" s="194"/>
      <c r="G106" s="171" t="s">
        <v>1729</v>
      </c>
      <c r="H106" s="184">
        <f>H107</f>
        <v>24893.932773993558</v>
      </c>
      <c r="I106" s="184">
        <f>I107</f>
        <v>26138.629412693237</v>
      </c>
      <c r="J106" s="184">
        <f>J107</f>
        <v>27376.293515384263</v>
      </c>
      <c r="K106" s="196"/>
    </row>
    <row r="107" spans="2:13" s="192" customFormat="1" ht="15" customHeight="1" x14ac:dyDescent="0.15">
      <c r="D107" s="192" t="s">
        <v>1727</v>
      </c>
      <c r="G107" s="192" t="s">
        <v>1730</v>
      </c>
      <c r="H107" s="214">
        <f>SUM(H108:H110)</f>
        <v>24893.932773993558</v>
      </c>
      <c r="I107" s="214">
        <f>SUM(I108:I110)</f>
        <v>26138.629412693237</v>
      </c>
      <c r="J107" s="214">
        <f>SUM(J108:J110)</f>
        <v>27376.293515384263</v>
      </c>
      <c r="K107" s="196"/>
    </row>
    <row r="108" spans="2:13" ht="15" customHeight="1" x14ac:dyDescent="0.15">
      <c r="B108" s="173">
        <v>800</v>
      </c>
      <c r="D108" s="174" t="s">
        <v>1409</v>
      </c>
      <c r="F108" s="175">
        <v>445210200000000</v>
      </c>
      <c r="G108" s="176" t="s">
        <v>279</v>
      </c>
      <c r="H108" s="163">
        <f>Parâmetros!D85*(1+Parâmetros!D5)*(1+Parâmetros!D10)*(1+Parâmetros!D20)</f>
        <v>24712.058650305375</v>
      </c>
      <c r="I108" s="163">
        <f>H108*(1+Parâmetros!E$5)</f>
        <v>25947.661582820645</v>
      </c>
      <c r="J108" s="163">
        <f>I108*(1+Parâmetros!F$5)</f>
        <v>27176.283358767203</v>
      </c>
      <c r="K108" s="177">
        <v>1</v>
      </c>
      <c r="M108" s="178"/>
    </row>
    <row r="109" spans="2:13" ht="15" customHeight="1" x14ac:dyDescent="0.15">
      <c r="B109" s="173">
        <v>801</v>
      </c>
      <c r="D109" s="174" t="s">
        <v>1410</v>
      </c>
      <c r="F109" s="175">
        <v>445210200000000</v>
      </c>
      <c r="G109" s="176" t="s">
        <v>1411</v>
      </c>
      <c r="H109" s="163">
        <f>Parâmetros!D86*(1+Parâmetros!D5)*(1+Parâmetros!D10)*(1+Parâmetros!D20)</f>
        <v>121.24941579212181</v>
      </c>
      <c r="I109" s="163">
        <f>H109*(1+Parâmetros!E$5)</f>
        <v>127.3118865817279</v>
      </c>
      <c r="J109" s="163">
        <f>I109*(1+Parâmetros!F$5)</f>
        <v>133.34010441137272</v>
      </c>
      <c r="K109" s="177">
        <v>1</v>
      </c>
      <c r="M109" s="178"/>
    </row>
    <row r="110" spans="2:13" ht="15" customHeight="1" x14ac:dyDescent="0.15">
      <c r="B110" s="173">
        <v>802</v>
      </c>
      <c r="D110" s="174" t="s">
        <v>1410</v>
      </c>
      <c r="F110" s="175">
        <v>445210200000000</v>
      </c>
      <c r="G110" s="176" t="s">
        <v>6639</v>
      </c>
      <c r="H110" s="163">
        <f>Parâmetros!D87*(1+Parâmetros!D5)*(1+Parâmetros!D10)*(1+Parâmetros!D20)</f>
        <v>60.624707896060904</v>
      </c>
      <c r="I110" s="163">
        <f>H110*(1+Parâmetros!E$5)</f>
        <v>63.655943290863952</v>
      </c>
      <c r="J110" s="163">
        <f>I110*(1+Parâmetros!F$5)</f>
        <v>66.67005220568636</v>
      </c>
      <c r="K110" s="177">
        <v>1</v>
      </c>
      <c r="M110" s="178"/>
    </row>
    <row r="111" spans="2:13" s="192" customFormat="1" ht="15" customHeight="1" x14ac:dyDescent="0.15">
      <c r="D111" s="192" t="s">
        <v>1731</v>
      </c>
      <c r="G111" s="192" t="s">
        <v>1733</v>
      </c>
      <c r="H111" s="184">
        <f>H112+'ORCAMENTO RECEITA ANALITICO'!H116+'ORCAMENTO RECEITA ANALITICO'!H121+H114+H132</f>
        <v>87283.253858353739</v>
      </c>
      <c r="I111" s="184">
        <f>I112+'ORCAMENTO RECEITA ANALITICO'!I116+'ORCAMENTO RECEITA ANALITICO'!I121+I114+I132</f>
        <v>91647.416551271424</v>
      </c>
      <c r="J111" s="184">
        <f>J112+'ORCAMENTO RECEITA ANALITICO'!J116+'ORCAMENTO RECEITA ANALITICO'!J121+J114+J132</f>
        <v>95986.921724974149</v>
      </c>
      <c r="K111" s="196"/>
    </row>
    <row r="112" spans="2:13" s="192" customFormat="1" ht="15" customHeight="1" x14ac:dyDescent="0.15">
      <c r="D112" s="192" t="s">
        <v>1732</v>
      </c>
      <c r="G112" s="192" t="s">
        <v>1734</v>
      </c>
      <c r="H112" s="184">
        <f>H113</f>
        <v>118.90189564125788</v>
      </c>
      <c r="I112" s="184">
        <f>I113</f>
        <v>124.84699042332078</v>
      </c>
      <c r="J112" s="184">
        <f>J113</f>
        <v>130.75849541986503</v>
      </c>
      <c r="K112" s="196"/>
    </row>
    <row r="113" spans="2:13" ht="15" customHeight="1" x14ac:dyDescent="0.15">
      <c r="B113" s="173">
        <v>850</v>
      </c>
      <c r="D113" s="174" t="s">
        <v>1412</v>
      </c>
      <c r="F113" s="175">
        <v>433111400000000</v>
      </c>
      <c r="G113" s="176" t="s">
        <v>1413</v>
      </c>
      <c r="H113" s="163">
        <f>Parâmetros!D88*(1+Parâmetros!D5)*(1+Parâmetros!D8)*(1+Parâmetros!D20)</f>
        <v>118.90189564125788</v>
      </c>
      <c r="I113" s="163">
        <f>H113*(1+Parâmetros!E$5)</f>
        <v>124.84699042332078</v>
      </c>
      <c r="J113" s="163">
        <f>I113*(1+Parâmetros!F$5)</f>
        <v>130.75849541986503</v>
      </c>
      <c r="K113" s="177">
        <v>1</v>
      </c>
      <c r="M113" s="178"/>
    </row>
    <row r="114" spans="2:13" s="192" customFormat="1" ht="15" customHeight="1" x14ac:dyDescent="0.15">
      <c r="B114" s="191"/>
      <c r="D114" s="193" t="s">
        <v>1735</v>
      </c>
      <c r="F114" s="194"/>
      <c r="G114" s="170" t="s">
        <v>1736</v>
      </c>
      <c r="H114" s="184">
        <f>H115</f>
        <v>1189.0189564125787</v>
      </c>
      <c r="I114" s="184">
        <f>I115</f>
        <v>1248.4699042332077</v>
      </c>
      <c r="J114" s="184">
        <f>J115</f>
        <v>1307.5849541986502</v>
      </c>
      <c r="K114" s="195"/>
      <c r="M114" s="199"/>
    </row>
    <row r="115" spans="2:13" ht="15" customHeight="1" x14ac:dyDescent="0.15">
      <c r="B115" s="173">
        <v>860</v>
      </c>
      <c r="D115" s="174" t="s">
        <v>1414</v>
      </c>
      <c r="F115" s="175">
        <v>433113300000000</v>
      </c>
      <c r="G115" s="176" t="s">
        <v>1415</v>
      </c>
      <c r="H115" s="163">
        <f>Parâmetros!D89*(1+Parâmetros!D5)*(1+Parâmetros!D8)*(1+Parâmetros!D20)</f>
        <v>1189.0189564125787</v>
      </c>
      <c r="I115" s="163">
        <f>H115*(1+Parâmetros!E$5)</f>
        <v>1248.4699042332077</v>
      </c>
      <c r="J115" s="163">
        <f>I115*(1+Parâmetros!F$5)</f>
        <v>1307.5849541986502</v>
      </c>
      <c r="K115" s="177">
        <v>40</v>
      </c>
      <c r="M115" s="178"/>
    </row>
    <row r="116" spans="2:13" s="192" customFormat="1" ht="15" customHeight="1" x14ac:dyDescent="0.15">
      <c r="B116" s="191"/>
      <c r="D116" s="193" t="s">
        <v>1738</v>
      </c>
      <c r="F116" s="194"/>
      <c r="G116" s="170" t="s">
        <v>1739</v>
      </c>
      <c r="H116" s="184">
        <f>SUM(H117:H120)-0.01</f>
        <v>475.59758256503153</v>
      </c>
      <c r="I116" s="184">
        <f>SUM(I117:I120)-0.01</f>
        <v>499.37796169328311</v>
      </c>
      <c r="J116" s="184">
        <f>SUM(J117:J120)-0.01</f>
        <v>523.02398167946012</v>
      </c>
      <c r="K116" s="195"/>
    </row>
    <row r="117" spans="2:13" ht="15" customHeight="1" x14ac:dyDescent="0.15">
      <c r="B117" s="173">
        <v>870</v>
      </c>
      <c r="D117" s="174" t="s">
        <v>1416</v>
      </c>
      <c r="F117" s="175">
        <v>433113700000000</v>
      </c>
      <c r="G117" s="176" t="s">
        <v>281</v>
      </c>
      <c r="H117" s="163">
        <f>Parâmetros!D90*(1+Parâmetros!D5)*(1+Parâmetros!D8)*(1+Parâmetros!D20)</f>
        <v>118.90189564125788</v>
      </c>
      <c r="I117" s="163">
        <f>H117*(1+Parâmetros!E$5)</f>
        <v>124.84699042332078</v>
      </c>
      <c r="J117" s="163">
        <f>I117*(1+Parâmetros!F$5)</f>
        <v>130.75849541986503</v>
      </c>
      <c r="K117" s="177">
        <v>1</v>
      </c>
      <c r="M117" s="178"/>
    </row>
    <row r="118" spans="2:13" ht="15" customHeight="1" x14ac:dyDescent="0.15">
      <c r="B118" s="173">
        <v>871</v>
      </c>
      <c r="D118" s="174" t="s">
        <v>1417</v>
      </c>
      <c r="F118" s="175">
        <v>433113700000000</v>
      </c>
      <c r="G118" s="176" t="s">
        <v>1418</v>
      </c>
      <c r="H118" s="163">
        <f>Parâmetros!D91*(1+Parâmetros!D5)*(1+Parâmetros!D8)*(1+Parâmetros!D20)</f>
        <v>118.90189564125788</v>
      </c>
      <c r="I118" s="163">
        <f>H118*(1+Parâmetros!E$5)</f>
        <v>124.84699042332078</v>
      </c>
      <c r="J118" s="163">
        <f>I118*(1+Parâmetros!F$5)</f>
        <v>130.75849541986503</v>
      </c>
      <c r="K118" s="177">
        <v>1</v>
      </c>
      <c r="M118" s="178"/>
    </row>
    <row r="119" spans="2:13" ht="15" customHeight="1" x14ac:dyDescent="0.15">
      <c r="B119" s="173">
        <v>872</v>
      </c>
      <c r="D119" s="174" t="s">
        <v>1419</v>
      </c>
      <c r="F119" s="175">
        <v>433113600000000</v>
      </c>
      <c r="G119" s="176" t="s">
        <v>283</v>
      </c>
      <c r="H119" s="163">
        <f>Parâmetros!D92*(1+Parâmetros!D5)*(1+Parâmetros!D8)*(1+Parâmetros!D20)</f>
        <v>118.90189564125788</v>
      </c>
      <c r="I119" s="163">
        <f>H119*(1+Parâmetros!E$5)</f>
        <v>124.84699042332078</v>
      </c>
      <c r="J119" s="163">
        <f>I119*(1+Parâmetros!F$5)</f>
        <v>130.75849541986503</v>
      </c>
      <c r="K119" s="177">
        <v>1</v>
      </c>
      <c r="M119" s="178"/>
    </row>
    <row r="120" spans="2:13" ht="15" customHeight="1" x14ac:dyDescent="0.15">
      <c r="B120" s="173">
        <v>873</v>
      </c>
      <c r="D120" s="174" t="s">
        <v>1420</v>
      </c>
      <c r="F120" s="175">
        <v>433113700000000</v>
      </c>
      <c r="G120" s="176" t="s">
        <v>1421</v>
      </c>
      <c r="H120" s="163">
        <f>Parâmetros!D93*(1+Parâmetros!D5)*(1+Parâmetros!D8)*(1+Parâmetros!D20)</f>
        <v>118.90189564125788</v>
      </c>
      <c r="I120" s="163">
        <f>H120*(1+Parâmetros!E$5)</f>
        <v>124.84699042332078</v>
      </c>
      <c r="J120" s="163">
        <f>I120*(1+Parâmetros!F$5)</f>
        <v>130.75849541986503</v>
      </c>
      <c r="K120" s="177">
        <v>1</v>
      </c>
      <c r="M120" s="178"/>
    </row>
    <row r="121" spans="2:13" s="192" customFormat="1" ht="15" customHeight="1" x14ac:dyDescent="0.15">
      <c r="B121" s="191"/>
      <c r="D121" s="193" t="s">
        <v>1740</v>
      </c>
      <c r="F121" s="194"/>
      <c r="G121" s="170" t="s">
        <v>1422</v>
      </c>
      <c r="H121" s="184">
        <f>SUM(H122:H131)+0.01</f>
        <v>52220.242237039733</v>
      </c>
      <c r="I121" s="184">
        <f>SUM(I122:I131)+0.01</f>
        <v>54831.253848891727</v>
      </c>
      <c r="J121" s="184">
        <f>SUM(J122:J131)+0.01</f>
        <v>57427.513245136754</v>
      </c>
      <c r="K121" s="195"/>
    </row>
    <row r="122" spans="2:13" ht="15" customHeight="1" x14ac:dyDescent="0.15">
      <c r="B122" s="173">
        <v>900</v>
      </c>
      <c r="D122" s="174" t="s">
        <v>1423</v>
      </c>
      <c r="F122" s="175">
        <v>433114000000000</v>
      </c>
      <c r="G122" s="176" t="s">
        <v>1424</v>
      </c>
      <c r="H122" s="163">
        <f>Parâmetros!D94*(1+Parâmetros!D5)*(1+Parâmetros!D8)*(1+Parâmetros!D20)</f>
        <v>10371.200012024374</v>
      </c>
      <c r="I122" s="163">
        <f>H122*(1+Parâmetros!E$5)</f>
        <v>10889.760012625593</v>
      </c>
      <c r="J122" s="163">
        <f>I122*(1+Parâmetros!F$5)</f>
        <v>11405.390149223414</v>
      </c>
      <c r="K122" s="177">
        <v>1</v>
      </c>
      <c r="M122" s="178"/>
    </row>
    <row r="123" spans="2:13" ht="15" customHeight="1" x14ac:dyDescent="0.15">
      <c r="B123" s="173">
        <v>901</v>
      </c>
      <c r="D123" s="174" t="s">
        <v>1425</v>
      </c>
      <c r="F123" s="175">
        <v>433114000000000</v>
      </c>
      <c r="G123" s="176" t="s">
        <v>1426</v>
      </c>
      <c r="H123" s="163">
        <f>Parâmetros!D95*(1+Parâmetros!D5)*(1+Parâmetros!D8)*(1+Parâmetros!D20)</f>
        <v>35744.816981110547</v>
      </c>
      <c r="I123" s="163">
        <f>H123*(1+Parâmetros!E$5)</f>
        <v>37532.057830166079</v>
      </c>
      <c r="J123" s="163">
        <f>I123*(1+Parâmetros!F$5)</f>
        <v>39309.200768424445</v>
      </c>
      <c r="K123" s="177">
        <v>1</v>
      </c>
      <c r="M123" s="178"/>
    </row>
    <row r="124" spans="2:13" ht="15" customHeight="1" x14ac:dyDescent="0.15">
      <c r="B124" s="173">
        <v>902</v>
      </c>
      <c r="D124" s="174" t="s">
        <v>1427</v>
      </c>
      <c r="F124" s="175">
        <v>433114000000000</v>
      </c>
      <c r="G124" s="176" t="s">
        <v>1428</v>
      </c>
      <c r="H124" s="163">
        <f>Parâmetros!D96*(1+Parâmetros!D5)*(1+Parâmetros!D8)*(1+Parâmetros!D20)</f>
        <v>594.50947820628937</v>
      </c>
      <c r="I124" s="163">
        <f>H124*(1+Parâmetros!E$5)</f>
        <v>624.23495211660384</v>
      </c>
      <c r="J124" s="163">
        <f>I124*(1+Parâmetros!F$5)</f>
        <v>653.79247709932508</v>
      </c>
      <c r="K124" s="177">
        <v>1</v>
      </c>
      <c r="M124" s="178"/>
    </row>
    <row r="125" spans="2:13" ht="15" customHeight="1" x14ac:dyDescent="0.15">
      <c r="B125" s="173">
        <v>903</v>
      </c>
      <c r="D125" s="174" t="s">
        <v>1429</v>
      </c>
      <c r="F125" s="175">
        <v>433114000000000</v>
      </c>
      <c r="G125" s="176" t="s">
        <v>1430</v>
      </c>
      <c r="H125" s="163">
        <f>Parâmetros!D97*(1+Parâmetros!D5)*(1+Parâmetros!D8)*(1+Parâmetros!D20)</f>
        <v>594.50947820628937</v>
      </c>
      <c r="I125" s="163">
        <f>H125*(1+Parâmetros!E$5)</f>
        <v>624.23495211660384</v>
      </c>
      <c r="J125" s="163">
        <f>I125*(1+Parâmetros!F$5)</f>
        <v>653.79247709932508</v>
      </c>
      <c r="K125" s="177">
        <v>1</v>
      </c>
      <c r="M125" s="178"/>
    </row>
    <row r="126" spans="2:13" ht="15" customHeight="1" x14ac:dyDescent="0.15">
      <c r="B126" s="173">
        <v>904</v>
      </c>
      <c r="D126" s="174" t="s">
        <v>1431</v>
      </c>
      <c r="F126" s="175">
        <v>433114000000000</v>
      </c>
      <c r="G126" s="176" t="s">
        <v>1432</v>
      </c>
      <c r="H126" s="163">
        <f>Parâmetros!D98*(1+Parâmetros!D5)*(1+Parâmetros!D8)*(1+Parâmetros!D20)</f>
        <v>594.50947820628937</v>
      </c>
      <c r="I126" s="163">
        <f>H126*(1+Parâmetros!E$5)</f>
        <v>624.23495211660384</v>
      </c>
      <c r="J126" s="163">
        <f>I126*(1+Parâmetros!F$5)</f>
        <v>653.79247709932508</v>
      </c>
      <c r="K126" s="177">
        <v>1</v>
      </c>
      <c r="M126" s="178"/>
    </row>
    <row r="127" spans="2:13" ht="15" customHeight="1" x14ac:dyDescent="0.15">
      <c r="B127" s="173">
        <v>905</v>
      </c>
      <c r="D127" s="174" t="s">
        <v>1433</v>
      </c>
      <c r="F127" s="175">
        <v>433114000000000</v>
      </c>
      <c r="G127" s="176" t="s">
        <v>1434</v>
      </c>
      <c r="H127" s="163">
        <f>Parâmetros!D99*(1+Parâmetros!D5)*(1+Parâmetros!D8)*(1+Parâmetros!D20)</f>
        <v>2817.315021177003</v>
      </c>
      <c r="I127" s="163">
        <f>H127*(1+Parâmetros!E$5)</f>
        <v>2958.1807722358535</v>
      </c>
      <c r="J127" s="163">
        <f>I127*(1+Parâmetros!F$5)</f>
        <v>3098.2506318012211</v>
      </c>
      <c r="K127" s="177">
        <v>1</v>
      </c>
      <c r="M127" s="178"/>
    </row>
    <row r="128" spans="2:13" ht="15" customHeight="1" x14ac:dyDescent="0.15">
      <c r="B128" s="173">
        <v>906</v>
      </c>
      <c r="D128" s="174" t="s">
        <v>1435</v>
      </c>
      <c r="F128" s="175">
        <v>433114000000000</v>
      </c>
      <c r="G128" s="176" t="s">
        <v>1436</v>
      </c>
      <c r="H128" s="163">
        <f>Parâmetros!D100*(1+Parâmetros!D5)*(1+Parâmetros!D8)*(1+Parâmetros!D20)</f>
        <v>120.20981649331172</v>
      </c>
      <c r="I128" s="163">
        <f>H128*(1+Parâmetros!E$5)</f>
        <v>126.22030731797732</v>
      </c>
      <c r="J128" s="163">
        <f>I128*(1+Parâmetros!F$5)</f>
        <v>132.19683886948354</v>
      </c>
      <c r="K128" s="177">
        <v>1</v>
      </c>
      <c r="M128" s="178"/>
    </row>
    <row r="129" spans="2:13" ht="15" customHeight="1" x14ac:dyDescent="0.15">
      <c r="B129" s="173">
        <v>907</v>
      </c>
      <c r="D129" s="174" t="s">
        <v>1437</v>
      </c>
      <c r="F129" s="175">
        <v>433114000000000</v>
      </c>
      <c r="G129" s="176" t="s">
        <v>1438</v>
      </c>
      <c r="H129" s="163">
        <f>Parâmetros!D101*(1+Parâmetros!D5)*(1+Parâmetros!D8)*(1+Parâmetros!D20)</f>
        <v>60.10490824665586</v>
      </c>
      <c r="I129" s="163">
        <f>H129*(1+Parâmetros!E$5)</f>
        <v>63.110153658988658</v>
      </c>
      <c r="J129" s="163">
        <f>I129*(1+Parâmetros!F$5)</f>
        <v>66.098419434741771</v>
      </c>
      <c r="K129" s="177">
        <v>1</v>
      </c>
      <c r="M129" s="178"/>
    </row>
    <row r="130" spans="2:13" ht="15" customHeight="1" x14ac:dyDescent="0.15">
      <c r="B130" s="173">
        <v>908</v>
      </c>
      <c r="D130" s="174" t="s">
        <v>1439</v>
      </c>
      <c r="F130" s="175">
        <v>433114000000000</v>
      </c>
      <c r="G130" s="176" t="s">
        <v>1440</v>
      </c>
      <c r="H130" s="163">
        <f>Parâmetros!D102*(1+Parâmetros!D5)*(1+Parâmetros!D8)*(1+Parâmetros!D20)</f>
        <v>122.17169777139247</v>
      </c>
      <c r="I130" s="163">
        <f>H130*(1+Parâmetros!E$5)</f>
        <v>128.2802826599621</v>
      </c>
      <c r="J130" s="163">
        <f>I130*(1+Parâmetros!F$5)</f>
        <v>134.35435404391131</v>
      </c>
      <c r="K130" s="177">
        <v>1</v>
      </c>
      <c r="M130" s="178"/>
    </row>
    <row r="131" spans="2:13" ht="15" customHeight="1" x14ac:dyDescent="0.15">
      <c r="B131" s="173">
        <v>909</v>
      </c>
      <c r="D131" s="174" t="s">
        <v>1441</v>
      </c>
      <c r="F131" s="175">
        <v>433114000000000</v>
      </c>
      <c r="G131" s="176" t="s">
        <v>1442</v>
      </c>
      <c r="H131" s="163">
        <f>Parâmetros!D103*(1+Parâmetros!D5)*(1+Parâmetros!D8)*(1+Parâmetros!D20)</f>
        <v>1200.8853655975763</v>
      </c>
      <c r="I131" s="163">
        <f>H131*(1+Parâmetros!E$5)</f>
        <v>1260.9296338774552</v>
      </c>
      <c r="J131" s="163">
        <f>I131*(1+Parâmetros!F$5)</f>
        <v>1320.6346520415527</v>
      </c>
      <c r="K131" s="177">
        <v>1</v>
      </c>
      <c r="M131" s="178"/>
    </row>
    <row r="132" spans="2:13" s="192" customFormat="1" ht="15" customHeight="1" x14ac:dyDescent="0.25">
      <c r="B132" s="191"/>
      <c r="D132" s="193" t="s">
        <v>1741</v>
      </c>
      <c r="F132" s="194"/>
      <c r="G132" s="170" t="s">
        <v>1742</v>
      </c>
      <c r="H132" s="210">
        <f>SUM(H133:H137)</f>
        <v>33279.493186695137</v>
      </c>
      <c r="I132" s="210">
        <f>SUM(I133:I137)</f>
        <v>34943.467846029896</v>
      </c>
      <c r="J132" s="210">
        <f>SUM(J133:J137)</f>
        <v>36598.041048539424</v>
      </c>
      <c r="K132" s="195">
        <v>1</v>
      </c>
      <c r="M132" s="199"/>
    </row>
    <row r="133" spans="2:13" ht="15" customHeight="1" x14ac:dyDescent="0.15">
      <c r="B133" s="173">
        <v>950</v>
      </c>
      <c r="D133" s="174" t="s">
        <v>1443</v>
      </c>
      <c r="F133" s="175">
        <v>433114400000000</v>
      </c>
      <c r="G133" s="176" t="s">
        <v>1444</v>
      </c>
      <c r="H133" s="163">
        <f>Parâmetros!D104*(1+Parâmetros!D5)*(1+Parâmetros!D8)*(1+Parâmetros!D20)</f>
        <v>15703.183114307903</v>
      </c>
      <c r="I133" s="163">
        <f>H133*(1+Parâmetros!E$5)</f>
        <v>16488.342270023299</v>
      </c>
      <c r="J133" s="163">
        <f>I133*(1+Parâmetros!F$5)</f>
        <v>17269.065276508903</v>
      </c>
      <c r="K133" s="177">
        <v>1</v>
      </c>
      <c r="M133" s="178"/>
    </row>
    <row r="134" spans="2:13" ht="15" customHeight="1" x14ac:dyDescent="0.15">
      <c r="B134" s="173">
        <v>951</v>
      </c>
      <c r="D134" s="174" t="s">
        <v>1445</v>
      </c>
      <c r="F134" s="175">
        <v>433114400000000</v>
      </c>
      <c r="G134" s="176" t="s">
        <v>1446</v>
      </c>
      <c r="H134" s="163">
        <f>Parâmetros!D105*(1+Parâmetros!D5)*(1+Parâmetros!D8)*(1+Parâmetros!D20)</f>
        <v>1635.7274332420025</v>
      </c>
      <c r="I134" s="163">
        <f>H134*(1+Parâmetros!E$5)</f>
        <v>1717.5138049041027</v>
      </c>
      <c r="J134" s="163">
        <f>I134*(1+Parâmetros!F$5)</f>
        <v>1798.838083566312</v>
      </c>
      <c r="K134" s="177">
        <v>1</v>
      </c>
      <c r="M134" s="178"/>
    </row>
    <row r="135" spans="2:13" ht="15" customHeight="1" x14ac:dyDescent="0.15">
      <c r="B135" s="173">
        <v>952</v>
      </c>
      <c r="D135" s="174" t="s">
        <v>1447</v>
      </c>
      <c r="F135" s="175">
        <v>433114400000000</v>
      </c>
      <c r="G135" s="176" t="s">
        <v>1448</v>
      </c>
      <c r="H135" s="163">
        <f>Parâmetros!D106*(1+Parâmetros!D5)*(1+Parâmetros!D8)*(1+Parâmetros!D20)</f>
        <v>594.50947820628937</v>
      </c>
      <c r="I135" s="163">
        <f>H135*(1+Parâmetros!E$5)</f>
        <v>624.23495211660384</v>
      </c>
      <c r="J135" s="163">
        <f>I135*(1+Parâmetros!F$5)</f>
        <v>653.79247709932508</v>
      </c>
      <c r="K135" s="177">
        <v>1</v>
      </c>
      <c r="M135" s="178"/>
    </row>
    <row r="136" spans="2:13" ht="15" customHeight="1" x14ac:dyDescent="0.15">
      <c r="B136" s="173">
        <v>953</v>
      </c>
      <c r="D136" s="174" t="s">
        <v>1449</v>
      </c>
      <c r="F136" s="175">
        <v>433114400000000</v>
      </c>
      <c r="G136" s="176" t="s">
        <v>1450</v>
      </c>
      <c r="H136" s="163">
        <f>Parâmetros!D107*(1+Parâmetros!D5)*(1+Parâmetros!D8)*(1+Parâmetros!D20)</f>
        <v>14751.563682732658</v>
      </c>
      <c r="I136" s="163">
        <f>H136*(1+Parâmetros!E$5)</f>
        <v>15489.141866869291</v>
      </c>
      <c r="J136" s="163">
        <f>I136*(1+Parâmetros!F$5)</f>
        <v>16222.552734265553</v>
      </c>
      <c r="K136" s="177">
        <v>1</v>
      </c>
      <c r="M136" s="178"/>
    </row>
    <row r="137" spans="2:13" ht="15" customHeight="1" x14ac:dyDescent="0.15">
      <c r="B137" s="173">
        <v>954</v>
      </c>
      <c r="D137" s="174" t="s">
        <v>1925</v>
      </c>
      <c r="F137" s="175">
        <v>433114400000000</v>
      </c>
      <c r="G137" s="176" t="s">
        <v>1926</v>
      </c>
      <c r="H137" s="163">
        <f>Parâmetros!D108*(1+Parâmetros!D5)*(1+Parâmetros!D8)*(1+Parâmetros!D20)</f>
        <v>594.50947820628937</v>
      </c>
      <c r="I137" s="163">
        <f>H137*(1+Parâmetros!E$5)</f>
        <v>624.23495211660384</v>
      </c>
      <c r="J137" s="163">
        <f>I137*(1+Parâmetros!F$5)</f>
        <v>653.79247709932508</v>
      </c>
      <c r="K137" s="177">
        <v>1</v>
      </c>
      <c r="M137" s="178"/>
    </row>
    <row r="138" spans="2:13" s="192" customFormat="1" ht="15" customHeight="1" x14ac:dyDescent="0.15">
      <c r="B138" s="191"/>
      <c r="D138" s="193" t="s">
        <v>1743</v>
      </c>
      <c r="F138" s="194"/>
      <c r="G138" s="170" t="s">
        <v>1748</v>
      </c>
      <c r="H138" s="184">
        <f>H139+H231-0.01</f>
        <v>18229721.361564483</v>
      </c>
      <c r="I138" s="184">
        <f>I139+I231-0.01</f>
        <v>19090999.599142712</v>
      </c>
      <c r="J138" s="184">
        <f>J139+J231-0.01</f>
        <v>19994958.43921512</v>
      </c>
      <c r="K138" s="195"/>
    </row>
    <row r="139" spans="2:13" s="192" customFormat="1" ht="15" customHeight="1" x14ac:dyDescent="0.15">
      <c r="B139" s="191"/>
      <c r="D139" s="193" t="s">
        <v>1744</v>
      </c>
      <c r="F139" s="194"/>
      <c r="G139" s="170" t="s">
        <v>1750</v>
      </c>
      <c r="H139" s="184">
        <f>H140+H190+H222</f>
        <v>17648881.947974484</v>
      </c>
      <c r="I139" s="184">
        <f>I140+I190+I222</f>
        <v>18481118.214873213</v>
      </c>
      <c r="J139" s="184">
        <f>J140+J190+J222</f>
        <v>19356199.171400461</v>
      </c>
      <c r="K139" s="195"/>
    </row>
    <row r="140" spans="2:13" s="192" customFormat="1" ht="15" customHeight="1" x14ac:dyDescent="0.15">
      <c r="B140" s="191"/>
      <c r="D140" s="193" t="s">
        <v>1745</v>
      </c>
      <c r="F140" s="194"/>
      <c r="G140" s="170" t="s">
        <v>1749</v>
      </c>
      <c r="H140" s="184">
        <f>H141+H160+H163+H171+H182+H187</f>
        <v>9093635.8527827393</v>
      </c>
      <c r="I140" s="184">
        <f>I141+I160+I163+I171+I182+I187</f>
        <v>9547612.0449218769</v>
      </c>
      <c r="J140" s="184">
        <f>J141+J160+J163+J171+J182+J187</f>
        <v>9999691.474775428</v>
      </c>
      <c r="K140" s="195"/>
    </row>
    <row r="141" spans="2:13" s="192" customFormat="1" ht="15" customHeight="1" x14ac:dyDescent="0.15">
      <c r="B141" s="191"/>
      <c r="D141" s="193" t="s">
        <v>1746</v>
      </c>
      <c r="F141" s="194"/>
      <c r="G141" s="170" t="s">
        <v>1751</v>
      </c>
      <c r="H141" s="184">
        <f>H142+H147+H155+H151</f>
        <v>7519295.2934937496</v>
      </c>
      <c r="I141" s="184">
        <f>I142+I147+I155+I151</f>
        <v>7895260.0581684392</v>
      </c>
      <c r="J141" s="184">
        <f>J142+J147+J155+J151</f>
        <v>8269100.6219227137</v>
      </c>
      <c r="K141" s="195"/>
    </row>
    <row r="142" spans="2:13" s="192" customFormat="1" ht="15" customHeight="1" x14ac:dyDescent="0.15">
      <c r="B142" s="191"/>
      <c r="D142" s="193" t="s">
        <v>1747</v>
      </c>
      <c r="F142" s="194"/>
      <c r="G142" s="170" t="s">
        <v>1752</v>
      </c>
      <c r="H142" s="184">
        <f>Parâmetros!D109</f>
        <v>6985256</v>
      </c>
      <c r="I142" s="184">
        <f>H142*(1+Parâmetros!E$5)</f>
        <v>7334518.8000000007</v>
      </c>
      <c r="J142" s="184">
        <f>I142*(1+Parâmetros!F$5)</f>
        <v>7681808.265180001</v>
      </c>
      <c r="K142" s="195"/>
      <c r="M142" s="197"/>
    </row>
    <row r="143" spans="2:13" ht="15" customHeight="1" x14ac:dyDescent="0.15">
      <c r="B143" s="173">
        <v>1000</v>
      </c>
      <c r="D143" s="174" t="s">
        <v>1451</v>
      </c>
      <c r="F143" s="175">
        <v>452130100000000</v>
      </c>
      <c r="G143" s="176" t="s">
        <v>1452</v>
      </c>
      <c r="H143" s="163">
        <f>H142*Parâmetros!D$11</f>
        <v>3352922.88</v>
      </c>
      <c r="I143" s="163">
        <f>H143*(1+Parâmetros!E$5)</f>
        <v>3520569.0240000002</v>
      </c>
      <c r="J143" s="163">
        <f>I143*(1+Parâmetros!F$5)</f>
        <v>3687267.9672864</v>
      </c>
      <c r="K143" s="177">
        <v>1</v>
      </c>
      <c r="M143" s="178"/>
    </row>
    <row r="144" spans="2:13" ht="15" customHeight="1" x14ac:dyDescent="0.15">
      <c r="B144" s="173">
        <v>1001</v>
      </c>
      <c r="D144" s="174" t="s">
        <v>1453</v>
      </c>
      <c r="F144" s="175">
        <v>452130100000000</v>
      </c>
      <c r="G144" s="176" t="s">
        <v>1454</v>
      </c>
      <c r="H144" s="163">
        <f>H142*(Parâmetros!D$15)</f>
        <v>558820.48</v>
      </c>
      <c r="I144" s="163">
        <f>H144*(1+Parâmetros!E$5)</f>
        <v>586761.50399999996</v>
      </c>
      <c r="J144" s="163">
        <f>I144*(1+Parâmetros!F$5)</f>
        <v>614544.66121439997</v>
      </c>
      <c r="K144" s="177">
        <v>20</v>
      </c>
      <c r="M144" s="178"/>
    </row>
    <row r="145" spans="2:13" ht="15" customHeight="1" x14ac:dyDescent="0.15">
      <c r="B145" s="173">
        <v>1002</v>
      </c>
      <c r="D145" s="174" t="s">
        <v>1455</v>
      </c>
      <c r="F145" s="175">
        <v>452130100000000</v>
      </c>
      <c r="G145" s="176" t="s">
        <v>1456</v>
      </c>
      <c r="H145" s="163">
        <f>H142*(Parâmetros!D$18+Parâmetros!D$19)</f>
        <v>1676461.44</v>
      </c>
      <c r="I145" s="163">
        <f>H145*(1+Parâmetros!E$5)</f>
        <v>1760284.5120000001</v>
      </c>
      <c r="J145" s="163">
        <f>I145*(1+Parâmetros!F$5)</f>
        <v>1843633.9836432</v>
      </c>
      <c r="K145" s="177">
        <v>40</v>
      </c>
      <c r="M145" s="178"/>
    </row>
    <row r="146" spans="2:13" ht="15" customHeight="1" x14ac:dyDescent="0.15">
      <c r="B146" s="173">
        <v>1003</v>
      </c>
      <c r="D146" s="174" t="s">
        <v>1457</v>
      </c>
      <c r="F146" s="175">
        <v>452130100000000</v>
      </c>
      <c r="G146" s="176" t="s">
        <v>1458</v>
      </c>
      <c r="H146" s="163">
        <f>H142*Parâmetros!D$17</f>
        <v>1397051.2000000002</v>
      </c>
      <c r="I146" s="163">
        <f>H146*(1+Parâmetros!E$5)</f>
        <v>1466903.7600000002</v>
      </c>
      <c r="J146" s="163">
        <f>I146*(1+Parâmetros!F$5)</f>
        <v>1536361.6530360002</v>
      </c>
      <c r="K146" s="177">
        <v>31</v>
      </c>
      <c r="M146" s="178"/>
    </row>
    <row r="147" spans="2:13" s="192" customFormat="1" ht="15" customHeight="1" x14ac:dyDescent="0.15">
      <c r="D147" s="193" t="s">
        <v>6617</v>
      </c>
      <c r="G147" s="170" t="s">
        <v>6618</v>
      </c>
      <c r="H147" s="184">
        <f>Parâmetros!D110</f>
        <v>304633</v>
      </c>
      <c r="I147" s="184">
        <f>H147*(1+Parâmetros!E$5)</f>
        <v>319864.65000000002</v>
      </c>
      <c r="J147" s="184">
        <f>I147*(1+Parâmetros!F$5)</f>
        <v>335010.24117750005</v>
      </c>
      <c r="K147" s="196"/>
    </row>
    <row r="148" spans="2:13" ht="15" customHeight="1" x14ac:dyDescent="0.15">
      <c r="B148" s="173">
        <v>1004</v>
      </c>
      <c r="D148" s="174" t="s">
        <v>6620</v>
      </c>
      <c r="F148" s="175">
        <v>452130200000000</v>
      </c>
      <c r="G148" s="176" t="s">
        <v>6625</v>
      </c>
      <c r="H148" s="163">
        <f>H147*Parâmetros!D$11</f>
        <v>146223.84</v>
      </c>
      <c r="I148" s="163">
        <f>I147*Parâmetros!D$11</f>
        <v>153535.03200000001</v>
      </c>
      <c r="J148" s="163">
        <f>I148*(1+Parâmetros!D$11)</f>
        <v>227231.84736000001</v>
      </c>
      <c r="K148" s="177">
        <v>1</v>
      </c>
      <c r="M148" s="178"/>
    </row>
    <row r="149" spans="2:13" ht="15" customHeight="1" x14ac:dyDescent="0.15">
      <c r="B149" s="173">
        <v>1005</v>
      </c>
      <c r="D149" s="174" t="s">
        <v>6621</v>
      </c>
      <c r="F149" s="175">
        <v>452130200000000</v>
      </c>
      <c r="G149" s="176" t="s">
        <v>6626</v>
      </c>
      <c r="H149" s="163">
        <f>H147*(Parâmetros!D$13+Parâmetros!D$14)</f>
        <v>85297.24</v>
      </c>
      <c r="I149" s="163">
        <f>I147*(Parâmetros!D$13+Parâmetros!D$14)</f>
        <v>89562.102000000014</v>
      </c>
      <c r="J149" s="163">
        <f>J147*(Parâmetros!D$13+Parâmetros!D$14)</f>
        <v>93802.86752970003</v>
      </c>
      <c r="K149" s="177">
        <v>20</v>
      </c>
      <c r="M149" s="178"/>
    </row>
    <row r="150" spans="2:13" ht="15" customHeight="1" x14ac:dyDescent="0.15">
      <c r="B150" s="173">
        <v>1006</v>
      </c>
      <c r="D150" s="174" t="s">
        <v>6623</v>
      </c>
      <c r="F150" s="175">
        <v>452130200000000</v>
      </c>
      <c r="G150" s="176" t="s">
        <v>6627</v>
      </c>
      <c r="H150" s="163">
        <f>H147*(Parâmetros!D$18+Parâmetros!D$19)</f>
        <v>73111.92</v>
      </c>
      <c r="I150" s="163">
        <f>I147*(Parâmetros!D$18+Parâmetros!D$19)</f>
        <v>76767.516000000003</v>
      </c>
      <c r="J150" s="163">
        <f>J147*(Parâmetros!D$18+Parâmetros!D$19)</f>
        <v>80402.457882600007</v>
      </c>
      <c r="K150" s="177">
        <v>40</v>
      </c>
      <c r="M150" s="178"/>
    </row>
    <row r="151" spans="2:13" ht="15" customHeight="1" x14ac:dyDescent="0.15">
      <c r="B151" s="173"/>
      <c r="D151" s="193" t="s">
        <v>1753</v>
      </c>
      <c r="E151" s="192"/>
      <c r="F151" s="192"/>
      <c r="G151" s="170" t="s">
        <v>6618</v>
      </c>
      <c r="H151" s="184">
        <f>Parâmetros!D111</f>
        <v>228813</v>
      </c>
      <c r="I151" s="184">
        <f>H151*(1+Parâmetros!E$5)</f>
        <v>240253.65000000002</v>
      </c>
      <c r="J151" s="184">
        <f>I151*(1+Parâmetros!F$5)</f>
        <v>251629.66032750002</v>
      </c>
      <c r="K151" s="177"/>
      <c r="M151" s="178"/>
    </row>
    <row r="152" spans="2:13" ht="15" customHeight="1" x14ac:dyDescent="0.15">
      <c r="B152" s="173">
        <v>1007</v>
      </c>
      <c r="D152" s="174" t="s">
        <v>1459</v>
      </c>
      <c r="F152" s="175">
        <v>452130200000000</v>
      </c>
      <c r="G152" s="176" t="s">
        <v>6619</v>
      </c>
      <c r="H152" s="163">
        <f>H151*Parâmetros!D$11</f>
        <v>109830.23999999999</v>
      </c>
      <c r="I152" s="163">
        <f>I151*Parâmetros!D$11</f>
        <v>115321.75200000001</v>
      </c>
      <c r="J152" s="163">
        <f>I152*(1+Parâmetros!D$11)</f>
        <v>170676.19296000001</v>
      </c>
      <c r="K152" s="177"/>
      <c r="M152" s="178"/>
    </row>
    <row r="153" spans="2:13" ht="15" customHeight="1" x14ac:dyDescent="0.15">
      <c r="B153" s="173">
        <v>1008</v>
      </c>
      <c r="D153" s="174" t="s">
        <v>1461</v>
      </c>
      <c r="F153" s="175">
        <v>452130200000000</v>
      </c>
      <c r="G153" s="176" t="s">
        <v>6622</v>
      </c>
      <c r="H153" s="163">
        <f>H151*(Parâmetros!D$13+Parâmetros!D$14)</f>
        <v>64067.640000000007</v>
      </c>
      <c r="I153" s="163">
        <f>I151*(Parâmetros!D$13+Parâmetros!D$14)</f>
        <v>67271.022000000012</v>
      </c>
      <c r="J153" s="163">
        <f>J151*(Parâmetros!D$13+Parâmetros!D$14)</f>
        <v>70456.304891700012</v>
      </c>
      <c r="K153" s="177"/>
      <c r="M153" s="178"/>
    </row>
    <row r="154" spans="2:13" ht="15" customHeight="1" x14ac:dyDescent="0.15">
      <c r="B154" s="173">
        <v>1009</v>
      </c>
      <c r="D154" s="174" t="s">
        <v>1463</v>
      </c>
      <c r="F154" s="175">
        <v>452130200000000</v>
      </c>
      <c r="G154" s="176" t="s">
        <v>6624</v>
      </c>
      <c r="H154" s="163">
        <f>H151*(Parâmetros!D$18+Parâmetros!D$19)</f>
        <v>54915.119999999995</v>
      </c>
      <c r="I154" s="163">
        <f>I151*(Parâmetros!D$18+Parâmetros!D$19)</f>
        <v>57660.876000000004</v>
      </c>
      <c r="J154" s="163">
        <f>J151*(Parâmetros!D$18+Parâmetros!D$19)</f>
        <v>60391.118478600001</v>
      </c>
      <c r="K154" s="177"/>
      <c r="M154" s="178"/>
    </row>
    <row r="155" spans="2:13" s="192" customFormat="1" ht="15" customHeight="1" x14ac:dyDescent="0.15">
      <c r="D155" s="193" t="s">
        <v>1753</v>
      </c>
      <c r="G155" s="192" t="s">
        <v>1755</v>
      </c>
      <c r="H155" s="184">
        <f>Parâmetros!D112*Parâmetros!D5+0.02</f>
        <v>593.29349374999993</v>
      </c>
      <c r="I155" s="184">
        <f>H155*(1+Parâmetros!E$5)</f>
        <v>622.95816843749992</v>
      </c>
      <c r="J155" s="184">
        <f>I155*(1+Parâmetros!F$5)</f>
        <v>652.45523771301555</v>
      </c>
      <c r="K155" s="196"/>
    </row>
    <row r="156" spans="2:13" ht="15" customHeight="1" x14ac:dyDescent="0.15">
      <c r="B156" s="173">
        <v>1020</v>
      </c>
      <c r="D156" s="174" t="s">
        <v>1459</v>
      </c>
      <c r="F156" s="175">
        <v>452130300000000</v>
      </c>
      <c r="G156" s="176" t="s">
        <v>1460</v>
      </c>
      <c r="H156" s="163">
        <f>H155*Parâmetros!D$11</f>
        <v>284.78087699999998</v>
      </c>
      <c r="I156" s="163">
        <f>H156*(1+Parâmetros!E$5)</f>
        <v>299.01992085000001</v>
      </c>
      <c r="J156" s="163">
        <f>I156*(1+Parâmetros!F$5)</f>
        <v>313.1785141022475</v>
      </c>
      <c r="K156" s="177">
        <v>1</v>
      </c>
      <c r="M156" s="178"/>
    </row>
    <row r="157" spans="2:13" ht="15" customHeight="1" x14ac:dyDescent="0.15">
      <c r="B157" s="173">
        <v>1021</v>
      </c>
      <c r="D157" s="174" t="s">
        <v>1461</v>
      </c>
      <c r="F157" s="175">
        <v>452130300000000</v>
      </c>
      <c r="G157" s="176" t="s">
        <v>1462</v>
      </c>
      <c r="H157" s="163">
        <f>H155*(Parâmetros!D$15)</f>
        <v>47.463479499999998</v>
      </c>
      <c r="I157" s="163">
        <f>H157*(1+Parâmetros!E$5)</f>
        <v>49.836653474999999</v>
      </c>
      <c r="J157" s="163">
        <f>I157*(1+Parâmetros!F$5)</f>
        <v>52.196419017041251</v>
      </c>
      <c r="K157" s="177">
        <v>20</v>
      </c>
      <c r="M157" s="178"/>
    </row>
    <row r="158" spans="2:13" ht="15" customHeight="1" x14ac:dyDescent="0.15">
      <c r="B158" s="173">
        <v>1022</v>
      </c>
      <c r="D158" s="174" t="s">
        <v>1463</v>
      </c>
      <c r="F158" s="175">
        <v>452130300000000</v>
      </c>
      <c r="G158" s="176" t="s">
        <v>1464</v>
      </c>
      <c r="H158" s="163">
        <f>H155*(Parâmetros!D$18+Parâmetros!D$19)</f>
        <v>142.39043849999999</v>
      </c>
      <c r="I158" s="163">
        <f>H158*(1+Parâmetros!E$5)</f>
        <v>149.509960425</v>
      </c>
      <c r="J158" s="163">
        <f>I158*(1+Parâmetros!F$5)</f>
        <v>156.58925705112375</v>
      </c>
      <c r="K158" s="177">
        <v>40</v>
      </c>
      <c r="M158" s="178"/>
    </row>
    <row r="159" spans="2:13" ht="15" customHeight="1" x14ac:dyDescent="0.15">
      <c r="B159" s="173">
        <v>1023</v>
      </c>
      <c r="D159" s="174" t="s">
        <v>1465</v>
      </c>
      <c r="F159" s="175">
        <v>452130300000000</v>
      </c>
      <c r="G159" s="176" t="s">
        <v>1466</v>
      </c>
      <c r="H159" s="163">
        <f>H155*Parâmetros!D$17</f>
        <v>118.65869874999999</v>
      </c>
      <c r="I159" s="163">
        <f>H159*(1+Parâmetros!E$5)</f>
        <v>124.59163368749999</v>
      </c>
      <c r="J159" s="163">
        <f>I159*(1+Parâmetros!F$5)</f>
        <v>130.49104754260313</v>
      </c>
      <c r="K159" s="177">
        <v>31</v>
      </c>
      <c r="M159" s="178"/>
    </row>
    <row r="160" spans="2:13" s="192" customFormat="1" ht="15" customHeight="1" x14ac:dyDescent="0.25">
      <c r="D160" s="193" t="s">
        <v>1754</v>
      </c>
      <c r="G160" s="192" t="s">
        <v>1756</v>
      </c>
      <c r="H160" s="212">
        <f>SUM(H161:H162)+0.01</f>
        <v>108960.73482218791</v>
      </c>
      <c r="I160" s="212">
        <f>SUM(I161:I162)+0.01</f>
        <v>114408.7710632973</v>
      </c>
      <c r="J160" s="212">
        <f>SUM(J161:J162)+0.01</f>
        <v>119826.02589964442</v>
      </c>
      <c r="K160" s="196"/>
    </row>
    <row r="161" spans="2:13" ht="15" customHeight="1" x14ac:dyDescent="0.15">
      <c r="B161" s="173">
        <v>1024</v>
      </c>
      <c r="D161" s="174" t="s">
        <v>1467</v>
      </c>
      <c r="F161" s="175">
        <v>452130600000000</v>
      </c>
      <c r="G161" s="176" t="s">
        <v>1468</v>
      </c>
      <c r="H161" s="163">
        <f>Parâmetros!D114*1+(Parâmetros!D5)</f>
        <v>10200.725204953629</v>
      </c>
      <c r="I161" s="163">
        <f>H161*(1+Parâmetros!E$5)</f>
        <v>10710.761465201311</v>
      </c>
      <c r="J161" s="163">
        <f>I161*(1+Parâmetros!F$5)</f>
        <v>11217.916020578592</v>
      </c>
      <c r="K161" s="177">
        <v>1</v>
      </c>
      <c r="M161" s="178"/>
    </row>
    <row r="162" spans="2:13" ht="15" customHeight="1" x14ac:dyDescent="0.15">
      <c r="B162" s="173">
        <v>1025</v>
      </c>
      <c r="D162" s="174" t="s">
        <v>1469</v>
      </c>
      <c r="F162" s="175">
        <v>452130600000000</v>
      </c>
      <c r="G162" s="176" t="s">
        <v>1470</v>
      </c>
      <c r="H162" s="163">
        <f>Parâmetros!D113*(1+Parâmetros!D5)*(1+Parâmetros!D20)</f>
        <v>98759.99961723428</v>
      </c>
      <c r="I162" s="163">
        <f>H162*(1+Parâmetros!E$5)</f>
        <v>103697.99959809599</v>
      </c>
      <c r="J162" s="163">
        <f>I162*(1+Parâmetros!F$5)</f>
        <v>108608.09987906583</v>
      </c>
      <c r="K162" s="177">
        <v>1087</v>
      </c>
      <c r="M162" s="178"/>
    </row>
    <row r="163" spans="2:13" s="192" customFormat="1" ht="15" customHeight="1" x14ac:dyDescent="0.25">
      <c r="B163" s="191"/>
      <c r="D163" s="193" t="s">
        <v>1758</v>
      </c>
      <c r="F163" s="194"/>
      <c r="G163" s="170" t="s">
        <v>1759</v>
      </c>
      <c r="H163" s="213">
        <f>H164+H165+H169+H168</f>
        <v>173469.65</v>
      </c>
      <c r="I163" s="213">
        <f>I164+I165+I169</f>
        <v>181437.53250000003</v>
      </c>
      <c r="J163" s="213">
        <f>J164+J165+J169</f>
        <v>190028.59966387501</v>
      </c>
      <c r="K163" s="195"/>
    </row>
    <row r="164" spans="2:13" ht="15" customHeight="1" x14ac:dyDescent="0.15">
      <c r="B164" s="173">
        <v>1050</v>
      </c>
      <c r="D164" s="174" t="s">
        <v>1471</v>
      </c>
      <c r="F164" s="175">
        <v>452130700000000</v>
      </c>
      <c r="G164" s="176" t="s">
        <v>1472</v>
      </c>
      <c r="H164" s="163">
        <f>Parâmetros!D115*(Parâmetros!D116)</f>
        <v>128652.16</v>
      </c>
      <c r="I164" s="163">
        <f>H164*(1+Parâmetros!E$5)</f>
        <v>135084.76800000001</v>
      </c>
      <c r="J164" s="163">
        <f>I164*(1+Parâmetros!F$5)</f>
        <v>141481.03176480002</v>
      </c>
      <c r="K164" s="177">
        <v>4510</v>
      </c>
      <c r="M164" s="178"/>
    </row>
    <row r="165" spans="2:13" s="192" customFormat="1" ht="15" customHeight="1" x14ac:dyDescent="0.15">
      <c r="B165" s="191"/>
      <c r="D165" s="193" t="s">
        <v>1760</v>
      </c>
      <c r="F165" s="194"/>
      <c r="G165" s="170" t="s">
        <v>1761</v>
      </c>
      <c r="H165" s="184">
        <f>H166+H167</f>
        <v>43845.49</v>
      </c>
      <c r="I165" s="184">
        <f>I166+I167</f>
        <v>46037.764500000005</v>
      </c>
      <c r="J165" s="184">
        <f>J166+J167</f>
        <v>48217.652649074997</v>
      </c>
      <c r="K165" s="195"/>
    </row>
    <row r="166" spans="2:13" ht="15" customHeight="1" x14ac:dyDescent="0.15">
      <c r="B166" s="173">
        <v>1070</v>
      </c>
      <c r="D166" s="174" t="s">
        <v>1473</v>
      </c>
      <c r="F166" s="175">
        <v>452130700000000</v>
      </c>
      <c r="G166" s="176" t="s">
        <v>1474</v>
      </c>
      <c r="H166" s="163">
        <f>Parâmetros!D117*Parâmetros!D116</f>
        <v>21919.69</v>
      </c>
      <c r="I166" s="163">
        <f>H166*(1+Parâmetros!E$5)</f>
        <v>23015.674500000001</v>
      </c>
      <c r="J166" s="163">
        <f>I166*(1+Parâmetros!F$5)</f>
        <v>24105.466687575001</v>
      </c>
      <c r="K166" s="177">
        <v>4580</v>
      </c>
      <c r="M166" s="178"/>
    </row>
    <row r="167" spans="2:13" ht="15" customHeight="1" x14ac:dyDescent="0.15">
      <c r="B167" s="173">
        <v>1071</v>
      </c>
      <c r="D167" s="174" t="s">
        <v>1475</v>
      </c>
      <c r="F167" s="175">
        <v>452130700000000</v>
      </c>
      <c r="G167" s="176" t="s">
        <v>1476</v>
      </c>
      <c r="H167" s="163">
        <f>Parâmetros!D118*Parâmetros!D116</f>
        <v>21925.8</v>
      </c>
      <c r="I167" s="163">
        <f>H167*(1+Parâmetros!E$5)</f>
        <v>23022.09</v>
      </c>
      <c r="J167" s="163">
        <f>I167*(1+Parâmetros!F$5)</f>
        <v>24112.185961499999</v>
      </c>
      <c r="K167" s="177">
        <v>4770</v>
      </c>
      <c r="M167" s="178"/>
    </row>
    <row r="168" spans="2:13" ht="15" customHeight="1" x14ac:dyDescent="0.15">
      <c r="B168" s="173">
        <v>1072</v>
      </c>
      <c r="D168" s="174" t="s">
        <v>1477</v>
      </c>
      <c r="F168" s="175">
        <v>452130700000000</v>
      </c>
      <c r="G168" s="176" t="s">
        <v>1478</v>
      </c>
      <c r="H168" s="163">
        <f>Parâmetros!D120</f>
        <v>672</v>
      </c>
      <c r="I168" s="163">
        <f>H168*(1+Parâmetros!E$5)</f>
        <v>705.6</v>
      </c>
      <c r="J168" s="163">
        <f>I168*(1+Parâmetros!F$5)</f>
        <v>739.01016000000004</v>
      </c>
      <c r="K168" s="177">
        <v>4770</v>
      </c>
      <c r="M168" s="178"/>
    </row>
    <row r="169" spans="2:13" s="192" customFormat="1" ht="15" customHeight="1" x14ac:dyDescent="0.15">
      <c r="B169" s="191"/>
      <c r="D169" s="193" t="s">
        <v>1762</v>
      </c>
      <c r="F169" s="194"/>
      <c r="G169" s="170" t="s">
        <v>1763</v>
      </c>
      <c r="H169" s="184">
        <f>H170</f>
        <v>300</v>
      </c>
      <c r="I169" s="184">
        <f>I170</f>
        <v>315</v>
      </c>
      <c r="J169" s="184">
        <f>J170</f>
        <v>329.91525000000001</v>
      </c>
      <c r="K169" s="195"/>
    </row>
    <row r="170" spans="2:13" ht="15" customHeight="1" x14ac:dyDescent="0.15">
      <c r="B170" s="173">
        <v>1150</v>
      </c>
      <c r="D170" s="174" t="s">
        <v>1479</v>
      </c>
      <c r="F170" s="175">
        <v>452130700000000</v>
      </c>
      <c r="G170" s="176" t="s">
        <v>1480</v>
      </c>
      <c r="H170" s="163">
        <f>Parâmetros!D122</f>
        <v>300</v>
      </c>
      <c r="I170" s="163">
        <f>H170*(1+Parâmetros!E$5)</f>
        <v>315</v>
      </c>
      <c r="J170" s="163">
        <f>I170*(1+Parâmetros!F$5)</f>
        <v>329.91525000000001</v>
      </c>
      <c r="K170" s="177">
        <v>4911</v>
      </c>
      <c r="M170" s="178"/>
    </row>
    <row r="171" spans="2:13" s="192" customFormat="1" ht="15" customHeight="1" x14ac:dyDescent="0.25">
      <c r="D171" s="192" t="s">
        <v>1764</v>
      </c>
      <c r="G171" s="192" t="s">
        <v>1765</v>
      </c>
      <c r="H171" s="209">
        <f>H172+H173+H178</f>
        <v>445624.00000000006</v>
      </c>
      <c r="I171" s="209">
        <f>I172+I173+I178</f>
        <v>467905.20000000007</v>
      </c>
      <c r="J171" s="209">
        <f>J172+J173+J178</f>
        <v>490060.51121999999</v>
      </c>
      <c r="K171" s="196"/>
    </row>
    <row r="172" spans="2:13" ht="15" customHeight="1" x14ac:dyDescent="0.15">
      <c r="B172" s="173">
        <v>1200</v>
      </c>
      <c r="D172" s="174" t="s">
        <v>1481</v>
      </c>
      <c r="F172" s="175">
        <v>452130900000000</v>
      </c>
      <c r="G172" s="176" t="s">
        <v>1482</v>
      </c>
      <c r="H172" s="163">
        <f>Parâmetros!D123*(Parâmetros!D124+Parâmetros!D125+Parâmetros!D126+Parâmetros!D127+Parâmetros!D129+Parâmetros!D130+Parâmetros!D131)</f>
        <v>269249.04000000004</v>
      </c>
      <c r="I172" s="163">
        <f>H172*(1+Parâmetros!E$5)</f>
        <v>282711.49200000003</v>
      </c>
      <c r="J172" s="163">
        <f>I172*(1+Parâmetros!F$5)</f>
        <v>296097.8811462</v>
      </c>
      <c r="K172" s="177">
        <v>1011</v>
      </c>
      <c r="M172" s="178"/>
    </row>
    <row r="173" spans="2:13" s="192" customFormat="1" ht="15" customHeight="1" x14ac:dyDescent="0.25">
      <c r="D173" s="192" t="s">
        <v>1766</v>
      </c>
      <c r="G173" s="192" t="s">
        <v>1767</v>
      </c>
      <c r="H173" s="212">
        <f>SUM(H174:H177)</f>
        <v>46420</v>
      </c>
      <c r="I173" s="212">
        <f>SUM(I174:I177)</f>
        <v>48741</v>
      </c>
      <c r="J173" s="212">
        <f>SUM(J174:J177)</f>
        <v>51048.886349999993</v>
      </c>
      <c r="K173" s="196"/>
    </row>
    <row r="174" spans="2:13" ht="15" customHeight="1" x14ac:dyDescent="0.15">
      <c r="B174" s="173">
        <v>1250</v>
      </c>
      <c r="D174" s="174" t="s">
        <v>1483</v>
      </c>
      <c r="F174" s="175">
        <v>452130900000000</v>
      </c>
      <c r="G174" s="176" t="s">
        <v>1484</v>
      </c>
      <c r="H174" s="163">
        <f>(Parâmetros!D137*Parâmetros!D132)*Parâmetros!D124</f>
        <v>10300</v>
      </c>
      <c r="I174" s="163">
        <f>H174*(1+Parâmetros!E$5)</f>
        <v>10815</v>
      </c>
      <c r="J174" s="163">
        <f>I174*(1+Parâmetros!F$5)</f>
        <v>11327.090249999999</v>
      </c>
      <c r="K174" s="177">
        <v>1009</v>
      </c>
      <c r="M174" s="178"/>
    </row>
    <row r="175" spans="2:13" ht="15" customHeight="1" x14ac:dyDescent="0.15">
      <c r="B175" s="173">
        <v>1251</v>
      </c>
      <c r="D175" s="174" t="s">
        <v>1485</v>
      </c>
      <c r="F175" s="175">
        <v>452130900000000</v>
      </c>
      <c r="G175" s="176" t="s">
        <v>1486</v>
      </c>
      <c r="H175" s="163">
        <f>(Parâmetros!D138*Parâmetros!D132)*Parâmetros!D127</f>
        <v>1080</v>
      </c>
      <c r="I175" s="163">
        <f>H175*(1+Parâmetros!E$5)</f>
        <v>1134</v>
      </c>
      <c r="J175" s="163">
        <f>I175*(1+Parâmetros!F$5)</f>
        <v>1187.6949</v>
      </c>
      <c r="K175" s="177">
        <v>1009</v>
      </c>
      <c r="M175" s="178"/>
    </row>
    <row r="176" spans="2:13" ht="15" customHeight="1" x14ac:dyDescent="0.15">
      <c r="B176" s="173">
        <v>1252</v>
      </c>
      <c r="D176" s="174" t="s">
        <v>1487</v>
      </c>
      <c r="F176" s="175">
        <v>452130900000000</v>
      </c>
      <c r="G176" s="176" t="s">
        <v>1488</v>
      </c>
      <c r="H176" s="163">
        <f>(Parâmetros!D138*(Parâmetros!D125+Parâmetros!D126)*Parâmetros!D132)</f>
        <v>32339.999999999996</v>
      </c>
      <c r="I176" s="163">
        <f>H176*(1+Parâmetros!E$5)</f>
        <v>33957</v>
      </c>
      <c r="J176" s="163">
        <f>I176*(1+Parâmetros!F$5)</f>
        <v>35564.863949999999</v>
      </c>
      <c r="K176" s="177">
        <v>1009</v>
      </c>
      <c r="M176" s="178"/>
    </row>
    <row r="177" spans="2:13" ht="15" customHeight="1" x14ac:dyDescent="0.15">
      <c r="B177" s="173">
        <v>1253</v>
      </c>
      <c r="D177" s="174" t="s">
        <v>1489</v>
      </c>
      <c r="F177" s="175">
        <v>452130900000000</v>
      </c>
      <c r="G177" s="176" t="s">
        <v>1490</v>
      </c>
      <c r="H177" s="163">
        <f>(Parâmetros!D139*Parâmetros!D132)*(Parâmetros!D129+Parâmetros!D130+Parâmetros!D131)</f>
        <v>2700</v>
      </c>
      <c r="I177" s="163">
        <f>H177*(1+Parâmetros!E$5)</f>
        <v>2835</v>
      </c>
      <c r="J177" s="163">
        <f>I177*(1+Parâmetros!F$5)</f>
        <v>2969.2372500000001</v>
      </c>
      <c r="K177" s="177">
        <v>1009</v>
      </c>
      <c r="M177" s="178"/>
    </row>
    <row r="178" spans="2:13" s="192" customFormat="1" ht="15" customHeight="1" x14ac:dyDescent="0.25">
      <c r="B178" s="191"/>
      <c r="D178" s="193" t="s">
        <v>1768</v>
      </c>
      <c r="F178" s="194"/>
      <c r="G178" s="192" t="s">
        <v>1769</v>
      </c>
      <c r="H178" s="212">
        <f>SUM(H179:H181)</f>
        <v>129954.96</v>
      </c>
      <c r="I178" s="212">
        <f>SUM(I179:I181)</f>
        <v>136452.70800000001</v>
      </c>
      <c r="J178" s="212">
        <f>SUM(J179:J181)</f>
        <v>142913.74372380003</v>
      </c>
      <c r="K178" s="195"/>
    </row>
    <row r="179" spans="2:13" ht="15" customHeight="1" x14ac:dyDescent="0.15">
      <c r="B179" s="173">
        <v>1260</v>
      </c>
      <c r="D179" s="174" t="s">
        <v>1491</v>
      </c>
      <c r="F179" s="175">
        <v>452130900000000</v>
      </c>
      <c r="G179" s="176" t="s">
        <v>1492</v>
      </c>
      <c r="H179" s="163">
        <f>(Parâmetros!D134*Parâmetros!D133)</f>
        <v>9800.82</v>
      </c>
      <c r="I179" s="163">
        <f>H179*(1+Parâmetros!E$5)</f>
        <v>10290.861000000001</v>
      </c>
      <c r="J179" s="163">
        <f>I179*(1+Parâmetros!F$5)</f>
        <v>10778.13326835</v>
      </c>
      <c r="K179" s="177">
        <v>1049</v>
      </c>
      <c r="M179" s="178"/>
    </row>
    <row r="180" spans="2:13" ht="15" customHeight="1" x14ac:dyDescent="0.15">
      <c r="B180" s="173">
        <v>1261</v>
      </c>
      <c r="D180" s="174" t="s">
        <v>1493</v>
      </c>
      <c r="F180" s="175">
        <v>452130900000000</v>
      </c>
      <c r="G180" s="176" t="s">
        <v>1494</v>
      </c>
      <c r="H180" s="163">
        <f>Parâmetros!D135*Parâmetros!D133</f>
        <v>92151.72</v>
      </c>
      <c r="I180" s="163">
        <f>H180*(1+Parâmetros!E$5)</f>
        <v>96759.306000000011</v>
      </c>
      <c r="J180" s="163">
        <f>I180*(1+Parâmetros!F$5)</f>
        <v>101340.85913910001</v>
      </c>
      <c r="K180" s="177">
        <v>1049</v>
      </c>
      <c r="M180" s="178"/>
    </row>
    <row r="181" spans="2:13" ht="15" customHeight="1" x14ac:dyDescent="0.15">
      <c r="B181" s="173">
        <v>1262</v>
      </c>
      <c r="D181" s="174" t="s">
        <v>1495</v>
      </c>
      <c r="F181" s="175">
        <v>452130900000000</v>
      </c>
      <c r="G181" s="176" t="s">
        <v>1496</v>
      </c>
      <c r="H181" s="163">
        <f>Parâmetros!D136*Parâmetros!D133</f>
        <v>28002.420000000002</v>
      </c>
      <c r="I181" s="163">
        <f>H181*(1+Parâmetros!E$5)</f>
        <v>29402.541000000005</v>
      </c>
      <c r="J181" s="163">
        <f>I181*(1+Parâmetros!F$5)</f>
        <v>30794.751316350004</v>
      </c>
      <c r="K181" s="177">
        <v>1049</v>
      </c>
      <c r="M181" s="178"/>
    </row>
    <row r="182" spans="2:13" s="192" customFormat="1" ht="15" customHeight="1" x14ac:dyDescent="0.15">
      <c r="D182" s="193" t="s">
        <v>1770</v>
      </c>
      <c r="G182" s="192" t="s">
        <v>1771</v>
      </c>
      <c r="H182" s="184">
        <f>(Parâmetros!D141*Parâmetros!D140)*(1+Parâmetros!D$8)*(1+(Parâmetros!D5)*(1+Parâmetros!D10))-0.01</f>
        <v>24599.272915156555</v>
      </c>
      <c r="I182" s="184">
        <f>H182*(1+Parâmetros!E$5)</f>
        <v>25829.236560914382</v>
      </c>
      <c r="J182" s="184">
        <f>I182*(1+Parâmetros!F$5)</f>
        <v>27052.25091207368</v>
      </c>
      <c r="K182" s="196"/>
    </row>
    <row r="183" spans="2:13" ht="15" customHeight="1" x14ac:dyDescent="0.15">
      <c r="B183" s="173">
        <v>1300</v>
      </c>
      <c r="D183" s="174" t="s">
        <v>1497</v>
      </c>
      <c r="F183" s="175">
        <v>452131000000000</v>
      </c>
      <c r="G183" s="176" t="s">
        <v>1498</v>
      </c>
      <c r="H183" s="163">
        <f>H182*Parâmetros!D$11</f>
        <v>11807.650999275145</v>
      </c>
      <c r="I183" s="163">
        <f>H183*(1+Parâmetros!E$5)</f>
        <v>12398.033549238902</v>
      </c>
      <c r="J183" s="163">
        <f>I183*(1+Parâmetros!F$5)</f>
        <v>12985.080437795365</v>
      </c>
      <c r="K183" s="177">
        <v>1</v>
      </c>
      <c r="M183" s="178"/>
    </row>
    <row r="184" spans="2:13" ht="15" customHeight="1" x14ac:dyDescent="0.15">
      <c r="B184" s="173">
        <v>1301</v>
      </c>
      <c r="D184" s="174" t="s">
        <v>1499</v>
      </c>
      <c r="F184" s="175">
        <v>452131000000000</v>
      </c>
      <c r="G184" s="176" t="s">
        <v>1500</v>
      </c>
      <c r="H184" s="163">
        <f>H182*(Parâmetros!D$15)</f>
        <v>1967.9418332125244</v>
      </c>
      <c r="I184" s="163">
        <f>H184*(1+Parâmetros!E$5)</f>
        <v>2066.338924873151</v>
      </c>
      <c r="J184" s="163">
        <f>I184*(1+Parâmetros!F$5)</f>
        <v>2164.1800729658949</v>
      </c>
      <c r="K184" s="177">
        <v>1</v>
      </c>
      <c r="M184" s="178"/>
    </row>
    <row r="185" spans="2:13" ht="15" customHeight="1" x14ac:dyDescent="0.15">
      <c r="B185" s="173">
        <v>1302</v>
      </c>
      <c r="D185" s="174" t="s">
        <v>1501</v>
      </c>
      <c r="F185" s="175">
        <v>452131000000000</v>
      </c>
      <c r="G185" s="176" t="s">
        <v>1502</v>
      </c>
      <c r="H185" s="163">
        <f>H182*(Parâmetros!D$18+Parâmetros!D$19)</f>
        <v>5903.8254996375726</v>
      </c>
      <c r="I185" s="163">
        <f>H185*(1+Parâmetros!E$5)</f>
        <v>6199.0167746194511</v>
      </c>
      <c r="J185" s="163">
        <f>I185*(1+Parâmetros!F$5)</f>
        <v>6492.5402188976823</v>
      </c>
      <c r="K185" s="177">
        <v>20</v>
      </c>
      <c r="M185" s="178"/>
    </row>
    <row r="186" spans="2:13" ht="15" customHeight="1" x14ac:dyDescent="0.15">
      <c r="B186" s="173">
        <v>1303</v>
      </c>
      <c r="D186" s="174" t="s">
        <v>1503</v>
      </c>
      <c r="F186" s="175">
        <v>452131000000000</v>
      </c>
      <c r="G186" s="176" t="s">
        <v>1504</v>
      </c>
      <c r="H186" s="163">
        <f>H182*Parâmetros!D$17</f>
        <v>4919.8545830313114</v>
      </c>
      <c r="I186" s="163">
        <f>H186*(1+Parâmetros!E$5)</f>
        <v>5165.8473121828774</v>
      </c>
      <c r="J186" s="163">
        <f>I186*(1+Parâmetros!F$5)</f>
        <v>5410.4501824147364</v>
      </c>
      <c r="K186" s="177">
        <v>40</v>
      </c>
      <c r="M186" s="178"/>
    </row>
    <row r="187" spans="2:13" s="192" customFormat="1" ht="15" customHeight="1" x14ac:dyDescent="0.15">
      <c r="D187" s="193" t="s">
        <v>1772</v>
      </c>
      <c r="G187" s="192" t="s">
        <v>1506</v>
      </c>
      <c r="H187" s="184">
        <f>H189+H188</f>
        <v>821686.9015516449</v>
      </c>
      <c r="I187" s="184">
        <f>I189+I188</f>
        <v>862771.24662922719</v>
      </c>
      <c r="J187" s="184">
        <f>J189+J188</f>
        <v>903623.46515712107</v>
      </c>
      <c r="K187" s="196"/>
    </row>
    <row r="188" spans="2:13" ht="15" customHeight="1" x14ac:dyDescent="0.15">
      <c r="B188" s="173">
        <v>1400</v>
      </c>
      <c r="D188" s="174" t="s">
        <v>1505</v>
      </c>
      <c r="F188" s="175">
        <v>452139900000000</v>
      </c>
      <c r="G188" s="176" t="s">
        <v>1506</v>
      </c>
      <c r="H188" s="163">
        <f>Parâmetros!D144</f>
        <v>800000</v>
      </c>
      <c r="I188" s="163">
        <f>H188*(1+Parâmetros!E$5)</f>
        <v>840000</v>
      </c>
      <c r="J188" s="163">
        <f>I188*(1+Parâmetros!F$5)</f>
        <v>879774</v>
      </c>
      <c r="K188" s="177">
        <v>31</v>
      </c>
      <c r="M188" s="178"/>
    </row>
    <row r="189" spans="2:13" ht="15" customHeight="1" x14ac:dyDescent="0.15">
      <c r="B189" s="173">
        <v>1401</v>
      </c>
      <c r="D189" s="174" t="s">
        <v>1507</v>
      </c>
      <c r="F189" s="175">
        <v>452131200000000</v>
      </c>
      <c r="G189" s="176" t="s">
        <v>1508</v>
      </c>
      <c r="H189" s="163">
        <f>(Parâmetros!D142*Parâmetros!D140)*(1+Parâmetros!D5)*(1+Parâmetros!D$8)*(1+Parâmetros!D$10)*(1+Parâmetros!D20)</f>
        <v>21686.901551644896</v>
      </c>
      <c r="I189" s="163">
        <f>H189*(1+Parâmetros!E$5)</f>
        <v>22771.246629227142</v>
      </c>
      <c r="J189" s="163">
        <f>I189*(1+Parâmetros!F$5)</f>
        <v>23849.465157121049</v>
      </c>
      <c r="K189" s="169">
        <v>1</v>
      </c>
      <c r="M189" s="178"/>
    </row>
    <row r="190" spans="2:13" s="192" customFormat="1" ht="15" customHeight="1" x14ac:dyDescent="0.15">
      <c r="B190" s="191"/>
      <c r="D190" s="193" t="s">
        <v>1773</v>
      </c>
      <c r="F190" s="194"/>
      <c r="G190" s="170" t="s">
        <v>1778</v>
      </c>
      <c r="H190" s="211">
        <f>H191+H208+H219</f>
        <v>5685868.2851917474</v>
      </c>
      <c r="I190" s="211">
        <f>I191+I208+I219</f>
        <v>5920659.4594513346</v>
      </c>
      <c r="J190" s="211">
        <f>J191+J208+J219</f>
        <v>6201002.6948563568</v>
      </c>
      <c r="K190" s="195"/>
    </row>
    <row r="191" spans="2:13" s="192" customFormat="1" ht="15" customHeight="1" x14ac:dyDescent="0.15">
      <c r="B191" s="191"/>
      <c r="D191" s="193" t="s">
        <v>1774</v>
      </c>
      <c r="F191" s="194"/>
      <c r="G191" s="170" t="s">
        <v>1777</v>
      </c>
      <c r="H191" s="211">
        <f>H192+H197+H202+H207-0.01</f>
        <v>4883296.0084496485</v>
      </c>
      <c r="I191" s="211">
        <f>I192+I197+I202+I207-0.01</f>
        <v>5127460.8193721315</v>
      </c>
      <c r="J191" s="211">
        <f>J192+J197+J202+J207-0.01</f>
        <v>5370246.0996429026</v>
      </c>
      <c r="K191" s="195"/>
    </row>
    <row r="192" spans="2:13" s="192" customFormat="1" ht="15" customHeight="1" x14ac:dyDescent="0.15">
      <c r="D192" s="193" t="s">
        <v>1775</v>
      </c>
      <c r="G192" s="192" t="s">
        <v>1776</v>
      </c>
      <c r="H192" s="211">
        <f>(Parâmetros!D145*(Parâmetros!D140)*(1+Parâmetros!D5)*(1+Parâmetros!D8)*(1+Parâmetros!D10)*(1+Parâmetros!D20))</f>
        <v>4476652.7626842177</v>
      </c>
      <c r="I192" s="184">
        <f>H192*(1+Parâmetros!E$5)</f>
        <v>4700485.400818429</v>
      </c>
      <c r="J192" s="184">
        <f>I192*(1+Parâmetros!F$5)</f>
        <v>4923053.3845471814</v>
      </c>
      <c r="K192" s="196"/>
    </row>
    <row r="193" spans="2:13" ht="15.75" customHeight="1" x14ac:dyDescent="0.15">
      <c r="B193" s="173">
        <v>1500</v>
      </c>
      <c r="D193" s="174" t="s">
        <v>1509</v>
      </c>
      <c r="F193" s="175">
        <v>452140100000000</v>
      </c>
      <c r="G193" s="176" t="s">
        <v>1510</v>
      </c>
      <c r="H193" s="163">
        <f>H192*Parâmetros!D$11</f>
        <v>2148793.3260884243</v>
      </c>
      <c r="I193" s="163">
        <f>H193*(1+Parâmetros!E$5)</f>
        <v>2256232.9923928455</v>
      </c>
      <c r="J193" s="163">
        <f>I193*(1+Parâmetros!F$5)</f>
        <v>2363065.6245826469</v>
      </c>
      <c r="K193" s="177">
        <v>1</v>
      </c>
      <c r="M193" s="178"/>
    </row>
    <row r="194" spans="2:13" ht="15" customHeight="1" x14ac:dyDescent="0.15">
      <c r="B194" s="173">
        <v>1501</v>
      </c>
      <c r="D194" s="174" t="s">
        <v>1511</v>
      </c>
      <c r="F194" s="175">
        <v>452140100000000</v>
      </c>
      <c r="G194" s="176" t="s">
        <v>1512</v>
      </c>
      <c r="H194" s="163">
        <f>H192*(Parâmetros!D$15)</f>
        <v>358132.22101473744</v>
      </c>
      <c r="I194" s="163">
        <f>H194*(1+Parâmetros!E$5)</f>
        <v>376038.83206547436</v>
      </c>
      <c r="J194" s="163">
        <f>I194*(1+Parâmetros!F$5)</f>
        <v>393844.27076377458</v>
      </c>
      <c r="K194" s="177">
        <v>20</v>
      </c>
      <c r="M194" s="178"/>
    </row>
    <row r="195" spans="2:13" ht="15" customHeight="1" x14ac:dyDescent="0.15">
      <c r="B195" s="173">
        <v>1502</v>
      </c>
      <c r="D195" s="174" t="s">
        <v>1513</v>
      </c>
      <c r="F195" s="175">
        <v>452140100000000</v>
      </c>
      <c r="G195" s="176" t="s">
        <v>1514</v>
      </c>
      <c r="H195" s="163">
        <f>H192*(Parâmetros!D$18+Parâmetros!D$19)</f>
        <v>1074396.6630442122</v>
      </c>
      <c r="I195" s="163">
        <f>H195*(1+Parâmetros!E$5)</f>
        <v>1128116.4961964227</v>
      </c>
      <c r="J195" s="163">
        <f>I195*(1+Parâmetros!F$5)</f>
        <v>1181532.8122913234</v>
      </c>
      <c r="K195" s="177">
        <v>40</v>
      </c>
      <c r="M195" s="178"/>
    </row>
    <row r="196" spans="2:13" ht="15" customHeight="1" x14ac:dyDescent="0.15">
      <c r="B196" s="173">
        <v>1503</v>
      </c>
      <c r="D196" s="174" t="s">
        <v>1515</v>
      </c>
      <c r="F196" s="175">
        <v>452140100000000</v>
      </c>
      <c r="G196" s="176" t="s">
        <v>1516</v>
      </c>
      <c r="H196" s="163">
        <f>H192*Parâmetros!D$17</f>
        <v>895330.55253684358</v>
      </c>
      <c r="I196" s="163">
        <f>H196*(1+Parâmetros!E$5)</f>
        <v>940097.08016368584</v>
      </c>
      <c r="J196" s="163">
        <f>I196*(1+Parâmetros!F$5)</f>
        <v>984610.67690943636</v>
      </c>
      <c r="K196" s="177">
        <v>31</v>
      </c>
      <c r="M196" s="178"/>
    </row>
    <row r="197" spans="2:13" s="192" customFormat="1" ht="15" customHeight="1" x14ac:dyDescent="0.15">
      <c r="D197" s="193" t="s">
        <v>1779</v>
      </c>
      <c r="G197" s="192" t="s">
        <v>1780</v>
      </c>
      <c r="H197" s="211">
        <f>Parâmetros!D146*(1+Parâmetros!D5)*(1+Parâmetros!D20)</f>
        <v>297408.21263460768</v>
      </c>
      <c r="I197" s="184">
        <f>H197*(1+Parâmetros!E$5)-0.01</f>
        <v>312278.61326633807</v>
      </c>
      <c r="J197" s="184">
        <f>I197*(1+Parâmetros!F$5)-0.01</f>
        <v>327064.99560449918</v>
      </c>
      <c r="K197" s="196"/>
    </row>
    <row r="198" spans="2:13" ht="15" customHeight="1" x14ac:dyDescent="0.15">
      <c r="B198" s="173">
        <v>1504</v>
      </c>
      <c r="D198" s="174" t="s">
        <v>1517</v>
      </c>
      <c r="F198" s="175">
        <v>452140200000000</v>
      </c>
      <c r="G198" s="176" t="s">
        <v>1518</v>
      </c>
      <c r="H198" s="163">
        <f>H197*Parâmetros!D$11</f>
        <v>142755.94206461168</v>
      </c>
      <c r="I198" s="163">
        <f>H198*(1+Parâmetros!E$5)</f>
        <v>149893.73916784226</v>
      </c>
      <c r="J198" s="163">
        <f>I198*(1+Parâmetros!F$5)</f>
        <v>156991.2077174396</v>
      </c>
      <c r="K198" s="177">
        <v>1</v>
      </c>
      <c r="M198" s="178"/>
    </row>
    <row r="199" spans="2:13" ht="15" customHeight="1" x14ac:dyDescent="0.15">
      <c r="B199" s="173">
        <v>1505</v>
      </c>
      <c r="D199" s="174" t="s">
        <v>1519</v>
      </c>
      <c r="F199" s="175">
        <v>452140200000000</v>
      </c>
      <c r="G199" s="176" t="s">
        <v>1520</v>
      </c>
      <c r="H199" s="163">
        <f>H197*(Parâmetros!D$15)</f>
        <v>23792.657010768617</v>
      </c>
      <c r="I199" s="163">
        <f>H199*(1+Parâmetros!E$5)</f>
        <v>24982.28986130705</v>
      </c>
      <c r="J199" s="163">
        <f>I199*(1+Parâmetros!F$5)</f>
        <v>26165.201286239939</v>
      </c>
      <c r="K199" s="177">
        <v>20</v>
      </c>
      <c r="M199" s="178"/>
    </row>
    <row r="200" spans="2:13" ht="15" customHeight="1" x14ac:dyDescent="0.15">
      <c r="B200" s="173">
        <v>1506</v>
      </c>
      <c r="D200" s="174" t="s">
        <v>1521</v>
      </c>
      <c r="F200" s="175">
        <v>452140200000000</v>
      </c>
      <c r="G200" s="176" t="s">
        <v>1522</v>
      </c>
      <c r="H200" s="163">
        <f>H197*(Parâmetros!D$18+Parâmetros!D$19)</f>
        <v>71377.971032305839</v>
      </c>
      <c r="I200" s="163">
        <f>H200*(1+Parâmetros!E$5)</f>
        <v>74946.869583921129</v>
      </c>
      <c r="J200" s="163">
        <f>I200*(1+Parâmetros!F$5)</f>
        <v>78495.603858719798</v>
      </c>
      <c r="K200" s="177">
        <v>40</v>
      </c>
      <c r="M200" s="178"/>
    </row>
    <row r="201" spans="2:13" ht="15" customHeight="1" x14ac:dyDescent="0.15">
      <c r="B201" s="173">
        <v>1507</v>
      </c>
      <c r="D201" s="174" t="s">
        <v>1523</v>
      </c>
      <c r="F201" s="175">
        <v>452140200000000</v>
      </c>
      <c r="G201" s="176" t="s">
        <v>1524</v>
      </c>
      <c r="H201" s="163">
        <f>H197*Parâmetros!D$17</f>
        <v>59481.64252692154</v>
      </c>
      <c r="I201" s="163">
        <f>H201*(1+Parâmetros!E$5)</f>
        <v>62455.724653267622</v>
      </c>
      <c r="J201" s="163">
        <f>I201*(1+Parâmetros!F$5)</f>
        <v>65413.003215599841</v>
      </c>
      <c r="K201" s="177">
        <v>31</v>
      </c>
      <c r="M201" s="178"/>
    </row>
    <row r="202" spans="2:13" s="192" customFormat="1" ht="15" customHeight="1" x14ac:dyDescent="0.15">
      <c r="D202" s="193" t="s">
        <v>1781</v>
      </c>
      <c r="G202" s="192" t="s">
        <v>1782</v>
      </c>
      <c r="H202" s="211">
        <f>(Parâmetros!D147*(Parâmetros!D140)*(1+Parâmetros!D5)*(1+Parâmetros!D8)*(1+Parâmetros!D10)*(1+Parâmetros!D20))+0.01</f>
        <v>84226.859054954286</v>
      </c>
      <c r="I202" s="184">
        <f>H202*(1+Parâmetros!E$5)+0.02</f>
        <v>88438.222007702003</v>
      </c>
      <c r="J202" s="184">
        <f>I202*(1+Parâmetros!F$5)+0.02</f>
        <v>92625.791819766702</v>
      </c>
      <c r="K202" s="196"/>
    </row>
    <row r="203" spans="2:13" ht="15" customHeight="1" x14ac:dyDescent="0.15">
      <c r="B203" s="173">
        <v>1508</v>
      </c>
      <c r="D203" s="174" t="s">
        <v>1525</v>
      </c>
      <c r="F203" s="175">
        <v>452140300000000</v>
      </c>
      <c r="G203" s="176" t="s">
        <v>1526</v>
      </c>
      <c r="H203" s="163">
        <f>H202*Parâmetros!D$11</f>
        <v>40428.892346378059</v>
      </c>
      <c r="I203" s="163">
        <f>H203*(1+Parâmetros!E$5)</f>
        <v>42450.336963696966</v>
      </c>
      <c r="J203" s="163">
        <f>I203*(1+Parâmetros!F$5)</f>
        <v>44460.360418928016</v>
      </c>
      <c r="K203" s="177">
        <v>31</v>
      </c>
      <c r="M203" s="178"/>
    </row>
    <row r="204" spans="2:13" ht="15" customHeight="1" x14ac:dyDescent="0.15">
      <c r="B204" s="173">
        <v>1509</v>
      </c>
      <c r="D204" s="174" t="s">
        <v>1527</v>
      </c>
      <c r="F204" s="175">
        <v>452140300000000</v>
      </c>
      <c r="G204" s="176" t="s">
        <v>1528</v>
      </c>
      <c r="H204" s="163">
        <f>H202*(Parâmetros!D$15)</f>
        <v>6738.1487243963429</v>
      </c>
      <c r="I204" s="163">
        <f>H204*(1+Parâmetros!E$5)</f>
        <v>7075.05616061616</v>
      </c>
      <c r="J204" s="163">
        <f>I204*(1+Parâmetros!F$5)</f>
        <v>7410.0600698213348</v>
      </c>
      <c r="K204" s="177">
        <v>1</v>
      </c>
      <c r="M204" s="178"/>
    </row>
    <row r="205" spans="2:13" ht="15" customHeight="1" x14ac:dyDescent="0.15">
      <c r="B205" s="173">
        <v>1510</v>
      </c>
      <c r="D205" s="174" t="s">
        <v>1529</v>
      </c>
      <c r="F205" s="175">
        <v>452140300000000</v>
      </c>
      <c r="G205" s="176" t="s">
        <v>1530</v>
      </c>
      <c r="H205" s="163">
        <f>H202*(Parâmetros!D$18+Parâmetros!D$19)</f>
        <v>20214.44617318903</v>
      </c>
      <c r="I205" s="163">
        <f>H205*(1+Parâmetros!E$5)</f>
        <v>21225.168481848483</v>
      </c>
      <c r="J205" s="163">
        <f>I205*(1+Parâmetros!F$5)</f>
        <v>22230.180209464008</v>
      </c>
      <c r="K205" s="177">
        <v>20</v>
      </c>
      <c r="M205" s="178"/>
    </row>
    <row r="206" spans="2:13" ht="15" customHeight="1" x14ac:dyDescent="0.15">
      <c r="B206" s="173">
        <v>1511</v>
      </c>
      <c r="D206" s="174" t="s">
        <v>1531</v>
      </c>
      <c r="F206" s="175">
        <v>452140300000000</v>
      </c>
      <c r="G206" s="176" t="s">
        <v>1532</v>
      </c>
      <c r="H206" s="163">
        <f>H202*Parâmetros!D$17</f>
        <v>16845.371810990859</v>
      </c>
      <c r="I206" s="163">
        <f>H206*(1+Parâmetros!E$5)</f>
        <v>17687.640401540404</v>
      </c>
      <c r="J206" s="163">
        <f>I206*(1+Parâmetros!F$5)</f>
        <v>18525.150174553342</v>
      </c>
      <c r="K206" s="177">
        <v>40</v>
      </c>
      <c r="M206" s="178"/>
    </row>
    <row r="207" spans="2:13" s="192" customFormat="1" ht="15" customHeight="1" x14ac:dyDescent="0.15">
      <c r="B207" s="191">
        <v>1512</v>
      </c>
      <c r="D207" s="193" t="s">
        <v>1533</v>
      </c>
      <c r="F207" s="194">
        <v>452149900000000</v>
      </c>
      <c r="G207" s="170" t="s">
        <v>1534</v>
      </c>
      <c r="H207" s="184">
        <f>(Parâmetros!D148*Parâmetros!D149)*(1+Parâmetros!D5)*(1+Parâmetros!D8)*(1+Parâmetros!D10)*(1+Parâmetros!D20)</f>
        <v>25008.184075868885</v>
      </c>
      <c r="I207" s="184">
        <f>H207*(1+Parâmetros!E$5)</f>
        <v>26258.593279662331</v>
      </c>
      <c r="J207" s="184">
        <f>I207*(1+Parâmetros!F$5)</f>
        <v>27501.937671454343</v>
      </c>
      <c r="K207" s="195">
        <v>1048</v>
      </c>
      <c r="M207" s="199"/>
    </row>
    <row r="208" spans="2:13" s="192" customFormat="1" ht="15" customHeight="1" x14ac:dyDescent="0.25">
      <c r="D208" s="193" t="s">
        <v>1783</v>
      </c>
      <c r="G208" s="192" t="s">
        <v>1784</v>
      </c>
      <c r="H208" s="210">
        <f>SUM(H209:H218)+0.01</f>
        <v>321398.51666666672</v>
      </c>
      <c r="I208" s="210">
        <f>SUM(I209:I217)+0.01</f>
        <v>287966.19199999998</v>
      </c>
      <c r="J208" s="210">
        <f>SUM(J209:J217)+0.01</f>
        <v>301601.39071770001</v>
      </c>
      <c r="K208" s="195"/>
    </row>
    <row r="209" spans="2:13" ht="15" customHeight="1" x14ac:dyDescent="0.15">
      <c r="B209" s="173">
        <v>1600</v>
      </c>
      <c r="D209" s="174" t="s">
        <v>1535</v>
      </c>
      <c r="F209" s="175">
        <v>452140600000000</v>
      </c>
      <c r="G209" s="176" t="s">
        <v>287</v>
      </c>
      <c r="H209" s="163">
        <f>Parâmetros!D150</f>
        <v>10333.07</v>
      </c>
      <c r="I209" s="163">
        <f>H209*(1+Parâmetros!E$5)</f>
        <v>10849.7235</v>
      </c>
      <c r="J209" s="163">
        <f>I209*(1+Parâmetros!F$5)</f>
        <v>11363.457907725</v>
      </c>
      <c r="K209" s="177">
        <v>4050</v>
      </c>
      <c r="M209" s="178"/>
    </row>
    <row r="210" spans="2:13" ht="15" customHeight="1" x14ac:dyDescent="0.15">
      <c r="B210" s="173">
        <v>1601</v>
      </c>
      <c r="D210" s="174" t="s">
        <v>1536</v>
      </c>
      <c r="F210" s="175">
        <v>452140600000000</v>
      </c>
      <c r="G210" s="176" t="s">
        <v>288</v>
      </c>
      <c r="H210" s="163">
        <f>Parâmetros!D151</f>
        <v>2475</v>
      </c>
      <c r="I210" s="163">
        <f>H210*(1+Parâmetros!E$5)</f>
        <v>2598.75</v>
      </c>
      <c r="J210" s="163">
        <f>I210*(1+Parâmetros!F$5)</f>
        <v>2721.8008125000001</v>
      </c>
      <c r="K210" s="177">
        <v>4190</v>
      </c>
      <c r="M210" s="178"/>
    </row>
    <row r="211" spans="2:13" ht="15" customHeight="1" x14ac:dyDescent="0.15">
      <c r="B211" s="173">
        <v>1602</v>
      </c>
      <c r="D211" s="174" t="s">
        <v>1537</v>
      </c>
      <c r="F211" s="175">
        <v>452140600000000</v>
      </c>
      <c r="G211" s="176" t="s">
        <v>1538</v>
      </c>
      <c r="H211" s="163">
        <f>Parâmetros!D159</f>
        <v>108000</v>
      </c>
      <c r="I211" s="163">
        <f>H211*(1+Parâmetros!E$5)</f>
        <v>113400</v>
      </c>
      <c r="J211" s="163">
        <f>I211*(1+Parâmetros!F$5)</f>
        <v>118769.49</v>
      </c>
      <c r="K211" s="177">
        <v>4070</v>
      </c>
      <c r="M211" s="178"/>
    </row>
    <row r="212" spans="2:13" ht="15" customHeight="1" x14ac:dyDescent="0.15">
      <c r="B212" s="173">
        <v>1603</v>
      </c>
      <c r="D212" s="174" t="s">
        <v>1539</v>
      </c>
      <c r="F212" s="175">
        <v>452140600000000</v>
      </c>
      <c r="G212" s="176" t="s">
        <v>290</v>
      </c>
      <c r="H212" s="163">
        <f>Parâmetros!D152</f>
        <v>522.25</v>
      </c>
      <c r="I212" s="163">
        <f>H212*(1+Parâmetros!E$5)</f>
        <v>548.36250000000007</v>
      </c>
      <c r="J212" s="163">
        <f>I212*(1+Parâmetros!F$5)</f>
        <v>574.32746437500009</v>
      </c>
      <c r="K212" s="177">
        <v>4190</v>
      </c>
      <c r="M212" s="178"/>
    </row>
    <row r="213" spans="2:13" ht="15" customHeight="1" x14ac:dyDescent="0.15">
      <c r="B213" s="173">
        <v>1604</v>
      </c>
      <c r="D213" s="174" t="s">
        <v>1540</v>
      </c>
      <c r="F213" s="175">
        <v>452140600000000</v>
      </c>
      <c r="G213" s="176" t="s">
        <v>1541</v>
      </c>
      <c r="H213" s="163">
        <f>Parâmetros!D153</f>
        <v>30216.786666666667</v>
      </c>
      <c r="I213" s="163">
        <f>H213*(1+Parâmetros!E$5)</f>
        <v>31727.626</v>
      </c>
      <c r="J213" s="163">
        <f>I213*(1+Parâmetros!F$5)</f>
        <v>33229.929091099999</v>
      </c>
      <c r="K213" s="177">
        <v>4011</v>
      </c>
      <c r="M213" s="178"/>
    </row>
    <row r="214" spans="2:13" ht="15" customHeight="1" x14ac:dyDescent="0.15">
      <c r="B214" s="173">
        <v>1605</v>
      </c>
      <c r="D214" s="174" t="s">
        <v>1542</v>
      </c>
      <c r="F214" s="175">
        <v>452140600000000</v>
      </c>
      <c r="G214" s="176" t="s">
        <v>1543</v>
      </c>
      <c r="H214" s="163">
        <f>Parâmetros!D154</f>
        <v>9791.0400000000009</v>
      </c>
      <c r="I214" s="163">
        <f>H214*(1+Parâmetros!E$5)</f>
        <v>10280.592000000001</v>
      </c>
      <c r="J214" s="163">
        <f>I214*(1+Parâmetros!F$5)</f>
        <v>10767.3780312</v>
      </c>
      <c r="K214" s="177">
        <v>4051</v>
      </c>
      <c r="M214" s="178"/>
    </row>
    <row r="215" spans="2:13" ht="15" customHeight="1" x14ac:dyDescent="0.15">
      <c r="B215" s="173">
        <v>1606</v>
      </c>
      <c r="D215" s="174" t="s">
        <v>6641</v>
      </c>
      <c r="F215" s="175">
        <v>452140600000000</v>
      </c>
      <c r="G215" s="176" t="s">
        <v>6790</v>
      </c>
      <c r="H215" s="163">
        <f>Parâmetros!D155</f>
        <v>73876.3</v>
      </c>
      <c r="I215" s="163">
        <f>H215*(1+Parâmetros!E$5)</f>
        <v>77570.115000000005</v>
      </c>
      <c r="J215" s="163">
        <f>I215*(1+Parâmetros!F$5)</f>
        <v>81243.059945250003</v>
      </c>
      <c r="K215" s="177">
        <v>4011</v>
      </c>
      <c r="M215" s="178"/>
    </row>
    <row r="216" spans="2:13" ht="15" customHeight="1" x14ac:dyDescent="0.15">
      <c r="B216" s="173">
        <v>1607</v>
      </c>
      <c r="D216" s="174" t="s">
        <v>6642</v>
      </c>
      <c r="F216" s="175">
        <v>452140600000000</v>
      </c>
      <c r="G216" s="176" t="s">
        <v>6588</v>
      </c>
      <c r="H216" s="163">
        <f>Parâmetros!D156</f>
        <v>3751.7049999999999</v>
      </c>
      <c r="I216" s="163">
        <f>H216*(1+Parâmetros!E$5)</f>
        <v>3939.29025</v>
      </c>
      <c r="J216" s="163">
        <f>I216*(1+Parâmetros!F$5)</f>
        <v>4125.8156433374998</v>
      </c>
      <c r="K216" s="177">
        <v>4011</v>
      </c>
      <c r="M216" s="178"/>
    </row>
    <row r="217" spans="2:13" ht="15" customHeight="1" x14ac:dyDescent="0.15">
      <c r="B217" s="173">
        <v>1608</v>
      </c>
      <c r="D217" s="174" t="s">
        <v>6643</v>
      </c>
      <c r="F217" s="175">
        <v>452140600000000</v>
      </c>
      <c r="G217" s="176" t="s">
        <v>6644</v>
      </c>
      <c r="H217" s="163">
        <f>Parâmetros!D158</f>
        <v>35287.354999999996</v>
      </c>
      <c r="I217" s="163">
        <f>H217*(1+Parâmetros!E$5)</f>
        <v>37051.722750000001</v>
      </c>
      <c r="J217" s="163">
        <f>I217*(1+Parâmetros!F$5)</f>
        <v>38806.121822212503</v>
      </c>
      <c r="K217" s="177">
        <v>4090</v>
      </c>
      <c r="M217" s="178"/>
    </row>
    <row r="218" spans="2:13" ht="15" customHeight="1" x14ac:dyDescent="0.15">
      <c r="B218" s="173">
        <v>1609</v>
      </c>
      <c r="D218" s="174" t="s">
        <v>10002</v>
      </c>
      <c r="F218" s="175">
        <v>452140600000000</v>
      </c>
      <c r="G218" s="176" t="s">
        <v>10003</v>
      </c>
      <c r="H218" s="163">
        <f>Parâmetros!D157</f>
        <v>47145</v>
      </c>
      <c r="I218" s="163">
        <f>H218*(1+Parâmetros!E$5)</f>
        <v>49502.25</v>
      </c>
      <c r="J218" s="163">
        <f>I218*(1+Parâmetros!F$5)</f>
        <v>51846.181537500001</v>
      </c>
      <c r="K218" s="177">
        <v>4011</v>
      </c>
      <c r="M218" s="178"/>
    </row>
    <row r="219" spans="2:13" s="192" customFormat="1" ht="15" customHeight="1" x14ac:dyDescent="0.15">
      <c r="D219" s="193" t="s">
        <v>1785</v>
      </c>
      <c r="G219" s="192" t="s">
        <v>1786</v>
      </c>
      <c r="H219" s="184">
        <f>H220+H221</f>
        <v>481173.76007543196</v>
      </c>
      <c r="I219" s="184">
        <f>I220+I221</f>
        <v>505232.44807920355</v>
      </c>
      <c r="J219" s="184">
        <f>J220+J221</f>
        <v>529155.20449575386</v>
      </c>
      <c r="K219" s="196"/>
    </row>
    <row r="220" spans="2:13" ht="15" customHeight="1" x14ac:dyDescent="0.15">
      <c r="B220" s="173">
        <v>1700</v>
      </c>
      <c r="D220" s="174" t="s">
        <v>1544</v>
      </c>
      <c r="F220" s="175">
        <v>452140700000000</v>
      </c>
      <c r="G220" s="176" t="s">
        <v>1545</v>
      </c>
      <c r="H220" s="163">
        <f>Parâmetros!D160*(1+Parâmetros!D5)*(1+Parâmetros!D20)</f>
        <v>1173.7600754319633</v>
      </c>
      <c r="I220" s="163">
        <f>H220*(1+Parâmetros!E$5)</f>
        <v>1232.4480792035615</v>
      </c>
      <c r="J220" s="163">
        <f>I220*(1+Parâmetros!F$5)</f>
        <v>1290.8044957538502</v>
      </c>
      <c r="K220" s="177">
        <v>1</v>
      </c>
      <c r="M220" s="178"/>
    </row>
    <row r="221" spans="2:13" ht="15" customHeight="1" x14ac:dyDescent="0.15">
      <c r="B221" s="173">
        <v>1701</v>
      </c>
      <c r="D221" s="174" t="s">
        <v>1546</v>
      </c>
      <c r="F221" s="175">
        <v>452140800000000</v>
      </c>
      <c r="G221" s="176" t="s">
        <v>1547</v>
      </c>
      <c r="H221" s="163">
        <f>Parâmetros!D161</f>
        <v>480000</v>
      </c>
      <c r="I221" s="163">
        <f>H221*(1+Parâmetros!E$5)</f>
        <v>504000</v>
      </c>
      <c r="J221" s="163">
        <f>I221*(1+Parâmetros!F$5)</f>
        <v>527864.4</v>
      </c>
      <c r="K221" s="177">
        <v>1</v>
      </c>
      <c r="M221" s="178"/>
    </row>
    <row r="222" spans="2:13" s="192" customFormat="1" ht="15" customHeight="1" x14ac:dyDescent="0.15">
      <c r="B222" s="191"/>
      <c r="D222" s="193" t="s">
        <v>1788</v>
      </c>
      <c r="F222" s="194"/>
      <c r="G222" s="170" t="s">
        <v>1789</v>
      </c>
      <c r="H222" s="184">
        <f>H223</f>
        <v>2869377.8099999996</v>
      </c>
      <c r="I222" s="184">
        <f>I223</f>
        <v>3012846.7105000005</v>
      </c>
      <c r="J222" s="184">
        <f>J223</f>
        <v>3155505.0017686752</v>
      </c>
      <c r="K222" s="195"/>
    </row>
    <row r="223" spans="2:13" s="192" customFormat="1" ht="15" customHeight="1" x14ac:dyDescent="0.15">
      <c r="D223" s="193" t="s">
        <v>1787</v>
      </c>
      <c r="G223" s="192" t="s">
        <v>1790</v>
      </c>
      <c r="H223" s="184">
        <f>SUM(H224:H230)</f>
        <v>2869377.8099999996</v>
      </c>
      <c r="I223" s="184">
        <f>SUM(I224:I230)+0.01</f>
        <v>3012846.7105000005</v>
      </c>
      <c r="J223" s="184">
        <f>SUM(J224:J230)+0.01</f>
        <v>3155505.0017686752</v>
      </c>
      <c r="K223" s="196"/>
    </row>
    <row r="224" spans="2:13" ht="15" customHeight="1" x14ac:dyDescent="0.15">
      <c r="B224" s="173">
        <v>1800</v>
      </c>
      <c r="D224" s="174" t="s">
        <v>1548</v>
      </c>
      <c r="F224" s="175">
        <v>454010100000000</v>
      </c>
      <c r="G224" s="176" t="s">
        <v>1549</v>
      </c>
      <c r="H224" s="163">
        <f>Parâmetros!D162</f>
        <v>1687292.1660438597</v>
      </c>
      <c r="I224" s="163">
        <f>H224*(1+Parâmetros!E$5)</f>
        <v>1771656.7743460527</v>
      </c>
      <c r="J224" s="163">
        <f>I224*(1+Parâmetros!F$5)</f>
        <v>1855544.7226113384</v>
      </c>
      <c r="K224" s="177">
        <v>31</v>
      </c>
      <c r="M224" s="178"/>
    </row>
    <row r="225" spans="2:13" ht="15" customHeight="1" x14ac:dyDescent="0.15">
      <c r="B225" s="173">
        <v>1801</v>
      </c>
      <c r="D225" s="174" t="s">
        <v>1550</v>
      </c>
      <c r="F225" s="175">
        <v>454010100000000</v>
      </c>
      <c r="G225" s="176" t="s">
        <v>1551</v>
      </c>
      <c r="H225" s="163">
        <f>Parâmetros!D163</f>
        <v>143.31034741878702</v>
      </c>
      <c r="I225" s="163">
        <f>H225*(1+Parâmetros!E$5)</f>
        <v>150.47586478972639</v>
      </c>
      <c r="J225" s="163">
        <f>I225*(1+Parâmetros!F$5)</f>
        <v>157.60089698751995</v>
      </c>
      <c r="K225" s="177">
        <v>31</v>
      </c>
      <c r="M225" s="178"/>
    </row>
    <row r="226" spans="2:13" ht="15" customHeight="1" x14ac:dyDescent="0.15">
      <c r="B226" s="173">
        <v>1802</v>
      </c>
      <c r="D226" s="174" t="s">
        <v>1552</v>
      </c>
      <c r="F226" s="175">
        <v>454010100000000</v>
      </c>
      <c r="G226" s="176" t="s">
        <v>1553</v>
      </c>
      <c r="H226" s="163">
        <f>Parâmetros!D164</f>
        <v>5941.9669773188771</v>
      </c>
      <c r="I226" s="163">
        <f>H226*(1+Parâmetros!E$5)</f>
        <v>6239.0653261848211</v>
      </c>
      <c r="J226" s="163">
        <f>I226*(1+Parâmetros!F$5)</f>
        <v>6534.4850693796725</v>
      </c>
      <c r="K226" s="177">
        <v>31</v>
      </c>
      <c r="M226" s="178"/>
    </row>
    <row r="227" spans="2:13" ht="15" customHeight="1" x14ac:dyDescent="0.15">
      <c r="B227" s="173">
        <v>1803</v>
      </c>
      <c r="D227" s="174" t="s">
        <v>1554</v>
      </c>
      <c r="F227" s="175">
        <v>454010100000000</v>
      </c>
      <c r="G227" s="176" t="s">
        <v>1555</v>
      </c>
      <c r="H227" s="163">
        <f>Parâmetros!D165</f>
        <v>1081337.7686624057</v>
      </c>
      <c r="I227" s="163">
        <f>H227*(1+Parâmetros!E$5)</f>
        <v>1135404.6570955261</v>
      </c>
      <c r="J227" s="163">
        <f>I227*(1+Parâmetros!F$5)</f>
        <v>1189166.0676089993</v>
      </c>
      <c r="K227" s="177">
        <v>31</v>
      </c>
      <c r="M227" s="178"/>
    </row>
    <row r="228" spans="2:13" ht="15" customHeight="1" x14ac:dyDescent="0.15">
      <c r="B228" s="173">
        <v>1804</v>
      </c>
      <c r="D228" s="174" t="s">
        <v>1556</v>
      </c>
      <c r="F228" s="175">
        <v>454010100000000</v>
      </c>
      <c r="G228" s="176" t="s">
        <v>1557</v>
      </c>
      <c r="H228" s="163">
        <f>Parâmetros!D166</f>
        <v>71839.106153801666</v>
      </c>
      <c r="I228" s="163">
        <f>H228*(1+Parâmetros!E$5)</f>
        <v>75431.061461491758</v>
      </c>
      <c r="J228" s="163">
        <f>I228*(1+Parâmetros!F$5)</f>
        <v>79002.722221693388</v>
      </c>
      <c r="K228" s="177">
        <v>31</v>
      </c>
      <c r="M228" s="178"/>
    </row>
    <row r="229" spans="2:13" ht="15" customHeight="1" x14ac:dyDescent="0.15">
      <c r="B229" s="173">
        <v>1805</v>
      </c>
      <c r="D229" s="174" t="s">
        <v>1558</v>
      </c>
      <c r="F229" s="175">
        <v>454010100000000</v>
      </c>
      <c r="G229" s="176" t="s">
        <v>1559</v>
      </c>
      <c r="H229" s="163">
        <f>Parâmetros!D167</f>
        <v>20345.040962550935</v>
      </c>
      <c r="I229" s="163">
        <f>H229*(1+Parâmetros!E$5)</f>
        <v>21362.293010678481</v>
      </c>
      <c r="J229" s="163">
        <f>I229*(1+Parâmetros!F$5)</f>
        <v>22373.797584734108</v>
      </c>
      <c r="K229" s="177">
        <v>31</v>
      </c>
      <c r="M229" s="178"/>
    </row>
    <row r="230" spans="2:13" ht="15" customHeight="1" x14ac:dyDescent="0.15">
      <c r="B230" s="173">
        <v>1806</v>
      </c>
      <c r="D230" s="174" t="s">
        <v>1560</v>
      </c>
      <c r="F230" s="175">
        <v>454010100000000</v>
      </c>
      <c r="G230" s="176" t="s">
        <v>1561</v>
      </c>
      <c r="H230" s="163">
        <f>Parâmetros!D168</f>
        <v>2478.4508526442833</v>
      </c>
      <c r="I230" s="163">
        <f>H230*(1+Parâmetros!E$5)</f>
        <v>2602.3733952764974</v>
      </c>
      <c r="J230" s="163">
        <f>I230*(1+Parâmetros!F$5)</f>
        <v>2725.5957755428394</v>
      </c>
      <c r="K230" s="177">
        <v>31</v>
      </c>
      <c r="M230" s="178"/>
    </row>
    <row r="231" spans="2:13" s="192" customFormat="1" ht="15" customHeight="1" x14ac:dyDescent="0.15">
      <c r="B231" s="191"/>
      <c r="D231" s="193" t="s">
        <v>1793</v>
      </c>
      <c r="F231" s="194"/>
      <c r="G231" s="170" t="s">
        <v>1794</v>
      </c>
      <c r="H231" s="184">
        <f>H232+H240</f>
        <v>580839.42359000002</v>
      </c>
      <c r="I231" s="184">
        <f>I232+I240</f>
        <v>609881.39426950004</v>
      </c>
      <c r="J231" s="184">
        <f>J232+J240</f>
        <v>638759.27781466092</v>
      </c>
      <c r="K231" s="195"/>
    </row>
    <row r="232" spans="2:13" s="192" customFormat="1" ht="15" customHeight="1" x14ac:dyDescent="0.15">
      <c r="B232" s="191"/>
      <c r="D232" s="193" t="s">
        <v>1791</v>
      </c>
      <c r="F232" s="194"/>
      <c r="G232" s="170" t="s">
        <v>1795</v>
      </c>
      <c r="H232" s="184">
        <f>H233</f>
        <v>149068.26</v>
      </c>
      <c r="I232" s="184">
        <f>I233</f>
        <v>156521.67250000002</v>
      </c>
      <c r="J232" s="184">
        <f>J233</f>
        <v>163932.97321937501</v>
      </c>
      <c r="K232" s="195"/>
    </row>
    <row r="233" spans="2:13" s="192" customFormat="1" ht="15" customHeight="1" x14ac:dyDescent="0.15">
      <c r="D233" s="193" t="s">
        <v>1792</v>
      </c>
      <c r="G233" s="192" t="s">
        <v>1796</v>
      </c>
      <c r="H233" s="184">
        <f>SUM(H234:H239)+0.01</f>
        <v>149068.26</v>
      </c>
      <c r="I233" s="184">
        <f>SUM(I234:I239)+0.01</f>
        <v>156521.67250000002</v>
      </c>
      <c r="J233" s="184">
        <f>SUM(J234:J239)+0.01</f>
        <v>163932.97321937501</v>
      </c>
      <c r="K233" s="196"/>
    </row>
    <row r="234" spans="2:13" ht="15" customHeight="1" x14ac:dyDescent="0.15">
      <c r="B234" s="173">
        <v>1850</v>
      </c>
      <c r="D234" s="174" t="s">
        <v>1562</v>
      </c>
      <c r="F234" s="175">
        <v>452130800000000</v>
      </c>
      <c r="G234" s="176" t="s">
        <v>1563</v>
      </c>
      <c r="H234" s="163">
        <f>Parâmetros!D174</f>
        <v>1946.875</v>
      </c>
      <c r="I234" s="163">
        <f>H234*(1+Parâmetros!E$5)</f>
        <v>2044.21875</v>
      </c>
      <c r="J234" s="163">
        <f>I234*(1+Parâmetros!F$5)</f>
        <v>2141.0125078125002</v>
      </c>
      <c r="K234" s="177">
        <v>1073</v>
      </c>
      <c r="M234" s="178"/>
    </row>
    <row r="235" spans="2:13" ht="15" customHeight="1" x14ac:dyDescent="0.15">
      <c r="B235" s="173">
        <v>1851</v>
      </c>
      <c r="D235" s="174" t="s">
        <v>1564</v>
      </c>
      <c r="F235" s="175">
        <v>452130800000000</v>
      </c>
      <c r="G235" s="176" t="s">
        <v>1565</v>
      </c>
      <c r="H235" s="163">
        <f>Parâmetros!D174</f>
        <v>1946.875</v>
      </c>
      <c r="I235" s="163">
        <f>H235*(1+Parâmetros!E$5)</f>
        <v>2044.21875</v>
      </c>
      <c r="J235" s="163">
        <f>I235*(1+Parâmetros!F$5)</f>
        <v>2141.0125078125002</v>
      </c>
      <c r="K235" s="177">
        <v>1074</v>
      </c>
      <c r="M235" s="178"/>
    </row>
    <row r="236" spans="2:13" ht="15" customHeight="1" x14ac:dyDescent="0.15">
      <c r="B236" s="173">
        <v>1852</v>
      </c>
      <c r="D236" s="174" t="s">
        <v>1566</v>
      </c>
      <c r="F236" s="175">
        <v>452130800000000</v>
      </c>
      <c r="G236" s="176" t="s">
        <v>1567</v>
      </c>
      <c r="H236" s="163">
        <f>Parâmetros!D177*Parâmetros!D180</f>
        <v>54000</v>
      </c>
      <c r="I236" s="163">
        <f>H236*(1+Parâmetros!E$5)</f>
        <v>56700</v>
      </c>
      <c r="J236" s="163">
        <f>I236*(1+Parâmetros!F$5)</f>
        <v>59384.745000000003</v>
      </c>
      <c r="K236" s="177">
        <v>1110</v>
      </c>
      <c r="M236" s="178"/>
    </row>
    <row r="237" spans="2:13" ht="15" customHeight="1" x14ac:dyDescent="0.15">
      <c r="B237" s="173">
        <v>1853</v>
      </c>
      <c r="D237" s="174" t="s">
        <v>1568</v>
      </c>
      <c r="F237" s="175">
        <v>452130800000000</v>
      </c>
      <c r="G237" s="176" t="s">
        <v>1569</v>
      </c>
      <c r="H237" s="163">
        <f>Parâmetros!D178</f>
        <v>6000</v>
      </c>
      <c r="I237" s="163">
        <f>H237*(1+Parâmetros!E$5)</f>
        <v>6300</v>
      </c>
      <c r="J237" s="163">
        <f>I237*(1+Parâmetros!F$5)</f>
        <v>6598.3050000000003</v>
      </c>
      <c r="K237" s="177">
        <v>1128</v>
      </c>
      <c r="M237" s="178"/>
    </row>
    <row r="238" spans="2:13" ht="15" customHeight="1" x14ac:dyDescent="0.15">
      <c r="B238" s="173">
        <v>1854</v>
      </c>
      <c r="D238" s="174" t="s">
        <v>1929</v>
      </c>
      <c r="F238" s="175">
        <v>452130800000000</v>
      </c>
      <c r="G238" s="176" t="s">
        <v>1928</v>
      </c>
      <c r="H238" s="163">
        <f>Parâmetros!D179</f>
        <v>57302.5</v>
      </c>
      <c r="I238" s="163">
        <f>H238*(1+Parâmetros!E$5)</f>
        <v>60167.625</v>
      </c>
      <c r="J238" s="163">
        <f>I238*(1+Parâmetros!F$5)</f>
        <v>63016.562043750004</v>
      </c>
      <c r="K238" s="177">
        <v>1109</v>
      </c>
      <c r="M238" s="178"/>
    </row>
    <row r="239" spans="2:13" ht="15" customHeight="1" x14ac:dyDescent="0.15">
      <c r="B239" s="173">
        <v>1855</v>
      </c>
      <c r="D239" s="174" t="s">
        <v>6628</v>
      </c>
      <c r="F239" s="175">
        <v>452130800000000</v>
      </c>
      <c r="G239" s="176" t="s">
        <v>6629</v>
      </c>
      <c r="H239" s="163">
        <f>Parâmetros!D181</f>
        <v>27872</v>
      </c>
      <c r="I239" s="163">
        <f>H239*(1+Parâmetros!E$5)</f>
        <v>29265.600000000002</v>
      </c>
      <c r="J239" s="163">
        <f>I239*(1+Parâmetros!F$5)</f>
        <v>30651.326160000004</v>
      </c>
      <c r="K239" s="177">
        <v>1149</v>
      </c>
      <c r="M239" s="178"/>
    </row>
    <row r="240" spans="2:13" s="192" customFormat="1" ht="15" customHeight="1" x14ac:dyDescent="0.15">
      <c r="B240" s="191"/>
      <c r="D240" s="193" t="s">
        <v>1798</v>
      </c>
      <c r="F240" s="194"/>
      <c r="G240" s="170" t="s">
        <v>1800</v>
      </c>
      <c r="H240" s="184">
        <f>H241+H243</f>
        <v>431771.16359000001</v>
      </c>
      <c r="I240" s="184">
        <f>I241+I243</f>
        <v>453359.72176950006</v>
      </c>
      <c r="J240" s="184">
        <f>J241+J243</f>
        <v>474826.30459528585</v>
      </c>
      <c r="K240" s="195"/>
    </row>
    <row r="241" spans="2:13" s="192" customFormat="1" ht="15" customHeight="1" x14ac:dyDescent="0.15">
      <c r="B241" s="191"/>
      <c r="D241" s="193" t="s">
        <v>1799</v>
      </c>
      <c r="F241" s="194"/>
      <c r="G241" s="170" t="s">
        <v>1801</v>
      </c>
      <c r="H241" s="184">
        <f>SUM(H242:H242)</f>
        <v>370560.06359000003</v>
      </c>
      <c r="I241" s="184">
        <f>SUM(I242:I242)</f>
        <v>389088.06676950003</v>
      </c>
      <c r="J241" s="184">
        <f>SUM(J242:J242)</f>
        <v>407511.38673103583</v>
      </c>
      <c r="K241" s="195"/>
    </row>
    <row r="242" spans="2:13" ht="15" customHeight="1" x14ac:dyDescent="0.15">
      <c r="B242" s="173">
        <v>2000</v>
      </c>
      <c r="D242" s="174" t="s">
        <v>1570</v>
      </c>
      <c r="F242" s="175">
        <v>452140800000000</v>
      </c>
      <c r="G242" s="176" t="s">
        <v>1571</v>
      </c>
      <c r="H242" s="163">
        <f>(Parâmetros!D182*10)*(1+Parâmetros!D5)*(1+Parâmetros!D$10)</f>
        <v>370560.06359000003</v>
      </c>
      <c r="I242" s="163">
        <f>H242*(1+Parâmetros!E$5)</f>
        <v>389088.06676950003</v>
      </c>
      <c r="J242" s="163">
        <f>I242*(1+Parâmetros!F$5)</f>
        <v>407511.38673103583</v>
      </c>
      <c r="K242" s="177">
        <v>1013</v>
      </c>
      <c r="M242" s="178"/>
    </row>
    <row r="243" spans="2:13" s="192" customFormat="1" ht="15" customHeight="1" x14ac:dyDescent="0.15">
      <c r="D243" s="193" t="s">
        <v>1802</v>
      </c>
      <c r="G243" s="192" t="s">
        <v>1803</v>
      </c>
      <c r="H243" s="184">
        <f>SUM(H244:H251)</f>
        <v>61211.1</v>
      </c>
      <c r="I243" s="184">
        <f>SUM(I244:I251)</f>
        <v>64271.654999999999</v>
      </c>
      <c r="J243" s="184">
        <f>SUM(J244:J251)</f>
        <v>67314.917864250005</v>
      </c>
      <c r="K243" s="196"/>
    </row>
    <row r="244" spans="2:13" ht="15" customHeight="1" x14ac:dyDescent="0.15">
      <c r="B244" s="173">
        <v>2100</v>
      </c>
      <c r="D244" s="174" t="s">
        <v>1572</v>
      </c>
      <c r="F244" s="175">
        <v>452140800000000</v>
      </c>
      <c r="G244" s="176" t="s">
        <v>1573</v>
      </c>
      <c r="H244" s="163">
        <f>Parâmetros!D183*(1+Parâmetros!D5)</f>
        <v>105.55000000000001</v>
      </c>
      <c r="I244" s="163">
        <f>H244*(1+Parâmetros!E$5)</f>
        <v>110.82750000000001</v>
      </c>
      <c r="J244" s="163">
        <f>I244*(1+Parâmetros!F$5)</f>
        <v>116.07518212500001</v>
      </c>
      <c r="K244" s="177">
        <v>1106</v>
      </c>
      <c r="M244" s="178"/>
    </row>
    <row r="245" spans="2:13" ht="15" customHeight="1" x14ac:dyDescent="0.15">
      <c r="B245" s="173">
        <v>2101</v>
      </c>
      <c r="D245" s="174" t="s">
        <v>1574</v>
      </c>
      <c r="F245" s="175">
        <v>452140800000000</v>
      </c>
      <c r="G245" s="176" t="s">
        <v>1575</v>
      </c>
      <c r="H245" s="163">
        <f>Parâmetros!D184*(1+Parâmetros!D5)</f>
        <v>105.55000000000001</v>
      </c>
      <c r="I245" s="163">
        <f>H245*(1+Parâmetros!E$5)</f>
        <v>110.82750000000001</v>
      </c>
      <c r="J245" s="163">
        <f>I245*(1+Parâmetros!F$5)</f>
        <v>116.07518212500001</v>
      </c>
      <c r="K245" s="177">
        <v>1099</v>
      </c>
      <c r="M245" s="178"/>
    </row>
    <row r="246" spans="2:13" ht="15" customHeight="1" x14ac:dyDescent="0.15">
      <c r="B246" s="173">
        <v>2102</v>
      </c>
      <c r="D246" s="174" t="s">
        <v>6791</v>
      </c>
      <c r="F246" s="175">
        <v>452140800000000</v>
      </c>
      <c r="G246" s="176" t="s">
        <v>6648</v>
      </c>
      <c r="H246" s="163">
        <f>Parâmetros!D185</f>
        <v>10000</v>
      </c>
      <c r="I246" s="163">
        <f>H246*(1+Parâmetros!E$5)</f>
        <v>10500</v>
      </c>
      <c r="J246" s="163">
        <f>I246*(1+Parâmetros!F$5)</f>
        <v>10997.174999999999</v>
      </c>
      <c r="K246" s="177">
        <v>1155</v>
      </c>
      <c r="M246" s="178"/>
    </row>
    <row r="247" spans="2:13" ht="15" customHeight="1" x14ac:dyDescent="0.15">
      <c r="B247" s="173">
        <v>2103</v>
      </c>
      <c r="D247" s="174" t="s">
        <v>6792</v>
      </c>
      <c r="F247" s="175">
        <v>452140800000000</v>
      </c>
      <c r="G247" s="176" t="s">
        <v>6649</v>
      </c>
      <c r="H247" s="163">
        <f>Parâmetros!D189</f>
        <v>3000</v>
      </c>
      <c r="I247" s="163">
        <f>H247*(1+Parâmetros!E$5)</f>
        <v>3150</v>
      </c>
      <c r="J247" s="163">
        <f>I247*(1+Parâmetros!F$5)</f>
        <v>3299.1525000000001</v>
      </c>
      <c r="K247" s="177">
        <v>1146</v>
      </c>
      <c r="M247" s="178"/>
    </row>
    <row r="248" spans="2:13" ht="15" customHeight="1" x14ac:dyDescent="0.15">
      <c r="B248" s="173">
        <v>2104</v>
      </c>
      <c r="D248" s="174" t="s">
        <v>6793</v>
      </c>
      <c r="F248" s="175">
        <v>452140800000000</v>
      </c>
      <c r="G248" s="176" t="s">
        <v>6762</v>
      </c>
      <c r="H248" s="163">
        <f>Parâmetros!D187</f>
        <v>10000</v>
      </c>
      <c r="I248" s="163">
        <f>H248*(1+Parâmetros!E$5)</f>
        <v>10500</v>
      </c>
      <c r="J248" s="163">
        <f>I248*(1+Parâmetros!F$5)</f>
        <v>10997.174999999999</v>
      </c>
      <c r="K248" s="177">
        <v>1152</v>
      </c>
      <c r="M248" s="178"/>
    </row>
    <row r="249" spans="2:13" ht="15" customHeight="1" x14ac:dyDescent="0.15">
      <c r="B249" s="173">
        <v>2105</v>
      </c>
      <c r="D249" s="174" t="s">
        <v>6794</v>
      </c>
      <c r="F249" s="175">
        <v>452140800000000</v>
      </c>
      <c r="G249" s="176" t="s">
        <v>6653</v>
      </c>
      <c r="H249" s="163">
        <f>Parâmetros!D190</f>
        <v>15000</v>
      </c>
      <c r="I249" s="163">
        <f>H249*(1+Parâmetros!E$5)</f>
        <v>15750</v>
      </c>
      <c r="J249" s="163">
        <f>I249*(1+Parâmetros!F$5)</f>
        <v>16495.762500000001</v>
      </c>
      <c r="K249" s="177">
        <v>1153</v>
      </c>
      <c r="M249" s="178"/>
    </row>
    <row r="250" spans="2:13" ht="15" customHeight="1" x14ac:dyDescent="0.15">
      <c r="B250" s="173">
        <v>2106</v>
      </c>
      <c r="D250" s="174" t="s">
        <v>6795</v>
      </c>
      <c r="F250" s="175">
        <v>452140800000000</v>
      </c>
      <c r="G250" s="176" t="s">
        <v>6652</v>
      </c>
      <c r="H250" s="163">
        <f>Parâmetros!D186</f>
        <v>15000</v>
      </c>
      <c r="I250" s="163">
        <f>H250*(1+Parâmetros!E$5)</f>
        <v>15750</v>
      </c>
      <c r="J250" s="163">
        <f>I250*(1+Parâmetros!F$5)</f>
        <v>16495.762500000001</v>
      </c>
      <c r="K250" s="177">
        <v>1155</v>
      </c>
      <c r="M250" s="178"/>
    </row>
    <row r="251" spans="2:13" ht="15" customHeight="1" x14ac:dyDescent="0.15">
      <c r="B251" s="173">
        <v>2107</v>
      </c>
      <c r="D251" s="174" t="s">
        <v>6796</v>
      </c>
      <c r="F251" s="175">
        <v>452140800000000</v>
      </c>
      <c r="G251" s="176" t="s">
        <v>7808</v>
      </c>
      <c r="H251" s="163">
        <f>Parâmetros!D188</f>
        <v>8000</v>
      </c>
      <c r="I251" s="163">
        <f>H251*(1+Parâmetros!E$5)</f>
        <v>8400</v>
      </c>
      <c r="J251" s="163">
        <f>I251*(1+Parâmetros!F$5)</f>
        <v>8797.74</v>
      </c>
      <c r="K251" s="177">
        <v>1153</v>
      </c>
      <c r="M251" s="178"/>
    </row>
    <row r="252" spans="2:13" s="192" customFormat="1" ht="15" customHeight="1" x14ac:dyDescent="0.15">
      <c r="D252" s="193" t="s">
        <v>1804</v>
      </c>
      <c r="G252" s="192" t="s">
        <v>1805</v>
      </c>
      <c r="H252" s="184">
        <f>H253+H297+H309+H338</f>
        <v>696137.92786973482</v>
      </c>
      <c r="I252" s="184">
        <f>I253+I297+I309+I338</f>
        <v>730944.80476322153</v>
      </c>
      <c r="J252" s="184">
        <f>J253+J297+J309+J338</f>
        <v>765555.02221576031</v>
      </c>
      <c r="K252" s="196"/>
      <c r="M252" s="197"/>
    </row>
    <row r="253" spans="2:13" s="192" customFormat="1" ht="15" customHeight="1" x14ac:dyDescent="0.15">
      <c r="B253" s="198"/>
      <c r="D253" s="193" t="s">
        <v>1807</v>
      </c>
      <c r="G253" s="192" t="s">
        <v>1806</v>
      </c>
      <c r="H253" s="184">
        <f>H254+H266+H286+H291</f>
        <v>5068.6981337378475</v>
      </c>
      <c r="I253" s="184">
        <f>I254+I266+I286+I291</f>
        <v>5322.1205404247403</v>
      </c>
      <c r="J253" s="184">
        <f>J254+J266+J286+J291</f>
        <v>5574.1105805138513</v>
      </c>
      <c r="K253" s="196"/>
    </row>
    <row r="254" spans="2:13" s="192" customFormat="1" ht="15" customHeight="1" x14ac:dyDescent="0.15">
      <c r="B254" s="198"/>
      <c r="D254" s="193" t="s">
        <v>1808</v>
      </c>
      <c r="G254" s="171" t="s">
        <v>1809</v>
      </c>
      <c r="H254" s="184">
        <f>'ORCAMENTO RECEITA ANALITICO'!H255+'ORCAMENTO RECEITA ANALITICO'!H259+'ORCAMENTO RECEITA ANALITICO'!H263</f>
        <v>714.70957553033395</v>
      </c>
      <c r="I254" s="184">
        <f>'ORCAMENTO RECEITA ANALITICO'!I255+'ORCAMENTO RECEITA ANALITICO'!I259+'ORCAMENTO RECEITA ANALITICO'!I263</f>
        <v>750.4345543068506</v>
      </c>
      <c r="J254" s="184">
        <f>'ORCAMENTO RECEITA ANALITICO'!J255+'ORCAMENTO RECEITA ANALITICO'!J259+'ORCAMENTO RECEITA ANALITICO'!J263</f>
        <v>785.95715695327999</v>
      </c>
      <c r="K254" s="196"/>
    </row>
    <row r="255" spans="2:13" s="192" customFormat="1" ht="15" customHeight="1" x14ac:dyDescent="0.15">
      <c r="B255" s="191"/>
      <c r="D255" s="193" t="s">
        <v>1810</v>
      </c>
      <c r="F255" s="194"/>
      <c r="G255" s="171" t="s">
        <v>1811</v>
      </c>
      <c r="H255" s="184">
        <f>Parâmetros!D191*(1+Parâmetros!D$5)*(1+Parâmetros!D20)+0.01</f>
        <v>248.82219358997332</v>
      </c>
      <c r="I255" s="184">
        <f>H255*(1+Parâmetros!E$5)</f>
        <v>261.26330326947198</v>
      </c>
      <c r="J255" s="184">
        <f>I255*(1+Parâmetros!F$5)</f>
        <v>273.63412067928147</v>
      </c>
      <c r="K255" s="195"/>
    </row>
    <row r="256" spans="2:13" ht="15" customHeight="1" x14ac:dyDescent="0.15">
      <c r="B256" s="173">
        <v>2200</v>
      </c>
      <c r="D256" s="174" t="s">
        <v>1576</v>
      </c>
      <c r="F256" s="175">
        <v>112110105000000</v>
      </c>
      <c r="G256" s="176" t="s">
        <v>1577</v>
      </c>
      <c r="H256" s="163">
        <f>H255*Parâmetros!D$11</f>
        <v>119.43465292318719</v>
      </c>
      <c r="I256" s="163">
        <f>H256*(1+Parâmetros!E$5)</f>
        <v>125.40638556934655</v>
      </c>
      <c r="J256" s="163">
        <f>I256*(1+Parâmetros!F$5)</f>
        <v>131.3443779260551</v>
      </c>
      <c r="K256" s="177">
        <v>1</v>
      </c>
      <c r="M256" s="178"/>
    </row>
    <row r="257" spans="2:13" ht="15" customHeight="1" x14ac:dyDescent="0.15">
      <c r="B257" s="173">
        <v>2201</v>
      </c>
      <c r="D257" s="174" t="s">
        <v>1578</v>
      </c>
      <c r="F257" s="175">
        <v>112110105000000</v>
      </c>
      <c r="G257" s="176" t="s">
        <v>1579</v>
      </c>
      <c r="H257" s="163">
        <f>H255*(Parâmetros!D$13+Parâmetros!D$14)</f>
        <v>69.670214205192536</v>
      </c>
      <c r="I257" s="163">
        <f>H257*(1+Parâmetros!E$5)</f>
        <v>73.153724915452173</v>
      </c>
      <c r="J257" s="163">
        <f>I257*(1+Parâmetros!F$5)</f>
        <v>76.617553790198841</v>
      </c>
      <c r="K257" s="177">
        <v>20</v>
      </c>
      <c r="M257" s="178"/>
    </row>
    <row r="258" spans="2:13" ht="15" customHeight="1" x14ac:dyDescent="0.15">
      <c r="B258" s="173">
        <v>2202</v>
      </c>
      <c r="D258" s="174" t="s">
        <v>1580</v>
      </c>
      <c r="F258" s="175">
        <v>112110105000000</v>
      </c>
      <c r="G258" s="176" t="s">
        <v>1581</v>
      </c>
      <c r="H258" s="163">
        <f>H255*(Parâmetros!D$18+Parâmetros!D$19)</f>
        <v>59.717326461593593</v>
      </c>
      <c r="I258" s="163">
        <f>H258*(1+Parâmetros!E$5)</f>
        <v>62.703192784673277</v>
      </c>
      <c r="J258" s="163">
        <f>I258*(1+Parâmetros!F$5)</f>
        <v>65.672188963027551</v>
      </c>
      <c r="K258" s="177">
        <v>40</v>
      </c>
      <c r="M258" s="178"/>
    </row>
    <row r="259" spans="2:13" s="192" customFormat="1" ht="15" customHeight="1" x14ac:dyDescent="0.15">
      <c r="D259" s="193" t="s">
        <v>1812</v>
      </c>
      <c r="G259" s="192" t="s">
        <v>1813</v>
      </c>
      <c r="H259" s="184">
        <f>Parâmetros!D192*(1+Parâmetros!D$5)*(1+Parâmetros!D20)-0.01</f>
        <v>231.12536685396793</v>
      </c>
      <c r="I259" s="184">
        <f>H259*(1+Parâmetros!E$5)-0.01</f>
        <v>242.67163519666636</v>
      </c>
      <c r="J259" s="184">
        <f>I259*(1+Parâmetros!F$5)-0.01</f>
        <v>254.15213712322853</v>
      </c>
      <c r="K259" s="196"/>
    </row>
    <row r="260" spans="2:13" ht="15" customHeight="1" x14ac:dyDescent="0.15">
      <c r="B260" s="173">
        <v>2203</v>
      </c>
      <c r="D260" s="174" t="s">
        <v>1582</v>
      </c>
      <c r="F260" s="175">
        <v>112110107000000</v>
      </c>
      <c r="G260" s="176" t="s">
        <v>1583</v>
      </c>
      <c r="H260" s="163">
        <f>H259*Parâmetros!D$11</f>
        <v>110.9401760899046</v>
      </c>
      <c r="I260" s="163">
        <f>H260*(1+Parâmetros!E$5)</f>
        <v>116.48718489439983</v>
      </c>
      <c r="J260" s="163">
        <f>I260*(1+Parâmetros!F$5)</f>
        <v>122.00285309914966</v>
      </c>
      <c r="K260" s="177">
        <v>1</v>
      </c>
      <c r="M260" s="178"/>
    </row>
    <row r="261" spans="2:13" ht="15" customHeight="1" x14ac:dyDescent="0.15">
      <c r="B261" s="173">
        <v>2204</v>
      </c>
      <c r="D261" s="174" t="s">
        <v>1584</v>
      </c>
      <c r="F261" s="175">
        <v>112110107000000</v>
      </c>
      <c r="G261" s="176" t="s">
        <v>1585</v>
      </c>
      <c r="H261" s="163">
        <f>H259*(Parâmetros!D$13+Parâmetros!D$14)</f>
        <v>64.71510271911103</v>
      </c>
      <c r="I261" s="163">
        <f>H261*(1+Parâmetros!E$5)</f>
        <v>67.950857855066587</v>
      </c>
      <c r="J261" s="163">
        <f>I261*(1+Parâmetros!F$5)</f>
        <v>71.168330974503988</v>
      </c>
      <c r="K261" s="177">
        <v>20</v>
      </c>
      <c r="M261" s="178"/>
    </row>
    <row r="262" spans="2:13" ht="15" customHeight="1" x14ac:dyDescent="0.15">
      <c r="B262" s="173">
        <v>2205</v>
      </c>
      <c r="D262" s="174" t="s">
        <v>1586</v>
      </c>
      <c r="F262" s="175">
        <v>112110107000000</v>
      </c>
      <c r="G262" s="176" t="s">
        <v>1587</v>
      </c>
      <c r="H262" s="163">
        <f>H259*(Parâmetros!D$18+Parâmetros!D$19)</f>
        <v>55.470088044952298</v>
      </c>
      <c r="I262" s="163">
        <f>H262*(1+Parâmetros!E$5)</f>
        <v>58.243592447199916</v>
      </c>
      <c r="J262" s="163">
        <f>I262*(1+Parâmetros!F$5)</f>
        <v>61.00142654957483</v>
      </c>
      <c r="K262" s="177">
        <v>40</v>
      </c>
      <c r="M262" s="178"/>
    </row>
    <row r="263" spans="2:13" s="192" customFormat="1" ht="15" customHeight="1" x14ac:dyDescent="0.15">
      <c r="D263" s="193" t="s">
        <v>1814</v>
      </c>
      <c r="G263" s="192" t="s">
        <v>1815</v>
      </c>
      <c r="H263" s="184">
        <f>H264+H265+0.01</f>
        <v>234.76201508639267</v>
      </c>
      <c r="I263" s="184">
        <f>I264+I265+0.01</f>
        <v>246.49961584071232</v>
      </c>
      <c r="J263" s="184">
        <f>J264+J265+0.01</f>
        <v>258.17089915077003</v>
      </c>
      <c r="K263" s="196"/>
    </row>
    <row r="264" spans="2:13" ht="15" customHeight="1" x14ac:dyDescent="0.15">
      <c r="B264" s="173">
        <v>2206</v>
      </c>
      <c r="D264" s="174" t="s">
        <v>6656</v>
      </c>
      <c r="F264" s="175">
        <v>112110201000000</v>
      </c>
      <c r="G264" s="176" t="s">
        <v>6654</v>
      </c>
      <c r="H264" s="163">
        <f>Parâmetros!D194*(1+Parâmetros!D$5)*(1+Parâmetros!D$20)</f>
        <v>117.37600754319634</v>
      </c>
      <c r="I264" s="163">
        <f>H264*(1+Parâmetros!E$5)</f>
        <v>123.24480792035617</v>
      </c>
      <c r="J264" s="163">
        <f>I264*(1+Parâmetros!F$5)</f>
        <v>129.08044957538502</v>
      </c>
      <c r="K264" s="177">
        <v>1</v>
      </c>
      <c r="M264" s="178"/>
    </row>
    <row r="265" spans="2:13" ht="15" customHeight="1" x14ac:dyDescent="0.15">
      <c r="B265" s="173">
        <v>2207</v>
      </c>
      <c r="D265" s="174" t="s">
        <v>6815</v>
      </c>
      <c r="F265" s="175">
        <v>112110201000000</v>
      </c>
      <c r="G265" s="176" t="s">
        <v>6655</v>
      </c>
      <c r="H265" s="163">
        <f>Parâmetros!D193*(1+Parâmetros!D$5)*(1+Parâmetros!D$20)</f>
        <v>117.37600754319634</v>
      </c>
      <c r="I265" s="163">
        <f>H265*(1+Parâmetros!E$5)</f>
        <v>123.24480792035617</v>
      </c>
      <c r="J265" s="163">
        <f>I265*(1+Parâmetros!F$5)</f>
        <v>129.08044957538502</v>
      </c>
      <c r="K265" s="177">
        <v>1</v>
      </c>
      <c r="M265" s="178"/>
    </row>
    <row r="266" spans="2:13" s="192" customFormat="1" ht="15" customHeight="1" x14ac:dyDescent="0.15">
      <c r="B266" s="191"/>
      <c r="D266" s="193" t="s">
        <v>1817</v>
      </c>
      <c r="F266" s="194"/>
      <c r="G266" s="170" t="s">
        <v>1818</v>
      </c>
      <c r="H266" s="184">
        <f>H267+'ORCAMENTO RECEITA ANALITICO'!H274+'ORCAMENTO RECEITA ANALITICO'!H281-0.01</f>
        <v>2006.448407343587</v>
      </c>
      <c r="I266" s="200">
        <f>I267+'ORCAMENTO RECEITA ANALITICO'!I274+'ORCAMENTO RECEITA ANALITICO'!I281-0.01</f>
        <v>2106.7698277107661</v>
      </c>
      <c r="J266" s="184">
        <f>J267+'ORCAMENTO RECEITA ANALITICO'!J274+'ORCAMENTO RECEITA ANALITICO'!J281-0.01</f>
        <v>2206.5244320528709</v>
      </c>
      <c r="K266" s="195"/>
    </row>
    <row r="267" spans="2:13" s="192" customFormat="1" ht="15" customHeight="1" x14ac:dyDescent="0.15">
      <c r="D267" s="193" t="s">
        <v>1816</v>
      </c>
      <c r="G267" s="192" t="s">
        <v>1819</v>
      </c>
      <c r="H267" s="184">
        <f>SUM(H268:H273)</f>
        <v>1302.1723620844089</v>
      </c>
      <c r="I267" s="184">
        <f>SUM(I268:I273)</f>
        <v>1367.2809801886292</v>
      </c>
      <c r="J267" s="184">
        <f>SUM(J268:J273)</f>
        <v>1432.0217346005611</v>
      </c>
      <c r="K267" s="196"/>
    </row>
    <row r="268" spans="2:13" ht="15" customHeight="1" x14ac:dyDescent="0.15">
      <c r="B268" s="173">
        <v>2250</v>
      </c>
      <c r="D268" s="174" t="s">
        <v>1588</v>
      </c>
      <c r="F268" s="175">
        <v>112510105010000</v>
      </c>
      <c r="G268" s="176" t="s">
        <v>6657</v>
      </c>
      <c r="H268" s="163">
        <f>(Parâmetros!D195*(1+Parâmetros!D$5)*(1+Parâmetros!D20))*Parâmetros!D$11</f>
        <v>568.70225017978203</v>
      </c>
      <c r="I268" s="163">
        <f>H268*(1+Parâmetros!E$5)</f>
        <v>597.13736268877119</v>
      </c>
      <c r="J268" s="163">
        <f>I268*(1+Parâmetros!F$5)</f>
        <v>625.41181681208445</v>
      </c>
      <c r="K268" s="177">
        <v>1</v>
      </c>
      <c r="M268" s="178"/>
    </row>
    <row r="269" spans="2:13" ht="15" customHeight="1" x14ac:dyDescent="0.15">
      <c r="B269" s="173">
        <v>2251</v>
      </c>
      <c r="D269" s="174" t="s">
        <v>1589</v>
      </c>
      <c r="F269" s="175">
        <v>112510105010000</v>
      </c>
      <c r="G269" s="176" t="s">
        <v>6658</v>
      </c>
      <c r="H269" s="163">
        <f>(Parâmetros!D195*(1+Parâmetros!D$5)*(1+Parâmetros!D20))*(Parâmetros!D$13+Parâmetros!D$14)</f>
        <v>331.74297927153958</v>
      </c>
      <c r="I269" s="163">
        <f>H269*(1+Parâmetros!E$5)</f>
        <v>348.3301282351166</v>
      </c>
      <c r="J269" s="163">
        <f>I269*(1+Parâmetros!F$5)</f>
        <v>364.82355980704938</v>
      </c>
      <c r="K269" s="177">
        <v>20</v>
      </c>
      <c r="M269" s="178"/>
    </row>
    <row r="270" spans="2:13" ht="15" customHeight="1" x14ac:dyDescent="0.15">
      <c r="B270" s="173">
        <v>2252</v>
      </c>
      <c r="D270" s="174" t="s">
        <v>1590</v>
      </c>
      <c r="F270" s="175">
        <v>112510105010000</v>
      </c>
      <c r="G270" s="176" t="s">
        <v>6659</v>
      </c>
      <c r="H270" s="163">
        <f>(Parâmetros!D195*(1+Parâmetros!D$5)*(1+Parâmetros!D20))*(Parâmetros!D$18+Parâmetros!D$19)</f>
        <v>284.35112508989101</v>
      </c>
      <c r="I270" s="163">
        <f>H270*(1+Parâmetros!E$5)</f>
        <v>298.5686813443856</v>
      </c>
      <c r="J270" s="163">
        <f>I270*(1+Parâmetros!F$5)</f>
        <v>312.70590840604223</v>
      </c>
      <c r="K270" s="177">
        <v>40</v>
      </c>
      <c r="M270" s="178"/>
    </row>
    <row r="271" spans="2:13" ht="15" customHeight="1" x14ac:dyDescent="0.15">
      <c r="B271" s="173">
        <v>2253</v>
      </c>
      <c r="D271" s="174" t="s">
        <v>6674</v>
      </c>
      <c r="F271" s="175">
        <v>112510105020000</v>
      </c>
      <c r="G271" s="176" t="s">
        <v>6660</v>
      </c>
      <c r="H271" s="163">
        <f>(Parâmetros!D196*(1+Parâmetros!D$5)*(1+Parâmetros!D20))*Parâmetros!D$11</f>
        <v>56.34048362073424</v>
      </c>
      <c r="I271" s="163">
        <f>H271*(1+Parâmetros!E$5)</f>
        <v>59.157507801770954</v>
      </c>
      <c r="J271" s="163">
        <f>I271*(1+Parâmetros!F$5)</f>
        <v>61.958615796184809</v>
      </c>
      <c r="K271" s="177">
        <v>1</v>
      </c>
      <c r="M271" s="178"/>
    </row>
    <row r="272" spans="2:13" ht="15" customHeight="1" x14ac:dyDescent="0.15">
      <c r="B272" s="173">
        <v>2254</v>
      </c>
      <c r="D272" s="174" t="s">
        <v>6675</v>
      </c>
      <c r="F272" s="175">
        <v>112510105020000</v>
      </c>
      <c r="G272" s="176" t="s">
        <v>6661</v>
      </c>
      <c r="H272" s="163">
        <f>(Parâmetros!D196*(1+Parâmetros!D$5)*(1+Parâmetros!D20))*(Parâmetros!D$13+Parâmetros!D$14)</f>
        <v>32.865282112094981</v>
      </c>
      <c r="I272" s="163">
        <f>H272*(1+Parâmetros!E$5)</f>
        <v>34.508546217699731</v>
      </c>
      <c r="J272" s="163">
        <f>I272*(1+Parâmetros!F$5)</f>
        <v>36.142525881107815</v>
      </c>
      <c r="K272" s="177">
        <v>20</v>
      </c>
      <c r="M272" s="178"/>
    </row>
    <row r="273" spans="2:13" ht="15" customHeight="1" x14ac:dyDescent="0.15">
      <c r="B273" s="173">
        <v>2255</v>
      </c>
      <c r="D273" s="174" t="s">
        <v>6676</v>
      </c>
      <c r="F273" s="175">
        <v>112510105020000</v>
      </c>
      <c r="G273" s="176" t="s">
        <v>6662</v>
      </c>
      <c r="H273" s="163">
        <f>(Parâmetros!D196*(1+Parâmetros!D$5)*(1+Parâmetros!D20))*(Parâmetros!D$18+Parâmetros!D$19)</f>
        <v>28.17024181036712</v>
      </c>
      <c r="I273" s="163">
        <f>H273*(1+Parâmetros!E$5)</f>
        <v>29.578753900885477</v>
      </c>
      <c r="J273" s="163">
        <f>I273*(1+Parâmetros!F$5)</f>
        <v>30.979307898092404</v>
      </c>
      <c r="K273" s="177">
        <v>40</v>
      </c>
      <c r="M273" s="178"/>
    </row>
    <row r="274" spans="2:13" s="192" customFormat="1" ht="15" customHeight="1" x14ac:dyDescent="0.15">
      <c r="D274" s="193" t="s">
        <v>1820</v>
      </c>
      <c r="G274" s="192" t="s">
        <v>1821</v>
      </c>
      <c r="H274" s="184">
        <f>SUM(H275:H280)+0.01</f>
        <v>234.76201508639267</v>
      </c>
      <c r="I274" s="184">
        <f>SUM(I275:I280)+0.01</f>
        <v>246.49961584071235</v>
      </c>
      <c r="J274" s="184">
        <f>SUM(J275:J280)+0.01</f>
        <v>258.17089915077003</v>
      </c>
      <c r="K274" s="196"/>
    </row>
    <row r="275" spans="2:13" ht="15" customHeight="1" x14ac:dyDescent="0.15">
      <c r="B275" s="173">
        <v>2256</v>
      </c>
      <c r="D275" s="174" t="s">
        <v>1591</v>
      </c>
      <c r="F275" s="175">
        <v>112510107010000</v>
      </c>
      <c r="G275" s="176" t="s">
        <v>6665</v>
      </c>
      <c r="H275" s="163">
        <f>(Parâmetros!D197*(1+Parâmetros!D$5)*(1+Parâmetros!D$20))*Parâmetros!D$11</f>
        <v>56.34048362073424</v>
      </c>
      <c r="I275" s="163">
        <f>H275*(1+Parâmetros!E$5)</f>
        <v>59.157507801770954</v>
      </c>
      <c r="J275" s="163">
        <f>I275*(1+Parâmetros!F$5)</f>
        <v>61.958615796184809</v>
      </c>
      <c r="K275" s="177">
        <v>1</v>
      </c>
      <c r="M275" s="178"/>
    </row>
    <row r="276" spans="2:13" ht="15" customHeight="1" x14ac:dyDescent="0.15">
      <c r="B276" s="173">
        <v>2257</v>
      </c>
      <c r="D276" s="174" t="s">
        <v>1592</v>
      </c>
      <c r="F276" s="175">
        <v>112510107010000</v>
      </c>
      <c r="G276" s="176" t="s">
        <v>6666</v>
      </c>
      <c r="H276" s="163">
        <f>(Parâmetros!D197*(1+Parâmetros!D$5)*(1+Parâmetros!D$20))*(Parâmetros!D$13+Parâmetros!D$14)</f>
        <v>32.865282112094981</v>
      </c>
      <c r="I276" s="163">
        <f>H276*(1+Parâmetros!E$5)</f>
        <v>34.508546217699731</v>
      </c>
      <c r="J276" s="163">
        <f>I276*(1+Parâmetros!F$5)</f>
        <v>36.142525881107815</v>
      </c>
      <c r="K276" s="177">
        <v>20</v>
      </c>
      <c r="M276" s="178"/>
    </row>
    <row r="277" spans="2:13" ht="15" customHeight="1" x14ac:dyDescent="0.15">
      <c r="B277" s="173">
        <v>2258</v>
      </c>
      <c r="D277" s="174" t="s">
        <v>1593</v>
      </c>
      <c r="F277" s="175">
        <v>112510107010000</v>
      </c>
      <c r="G277" s="176" t="s">
        <v>6667</v>
      </c>
      <c r="H277" s="163">
        <f>(Parâmetros!D197*(1+Parâmetros!D$5)*(1+Parâmetros!D$20))*(Parâmetros!D$18+Parâmetros!D$19)</f>
        <v>28.17024181036712</v>
      </c>
      <c r="I277" s="163">
        <f>H277*(1+Parâmetros!E$5)</f>
        <v>29.578753900885477</v>
      </c>
      <c r="J277" s="163">
        <f>I277*(1+Parâmetros!F$5)</f>
        <v>30.979307898092404</v>
      </c>
      <c r="K277" s="177">
        <v>40</v>
      </c>
      <c r="M277" s="178"/>
    </row>
    <row r="278" spans="2:13" ht="15" customHeight="1" x14ac:dyDescent="0.15">
      <c r="B278" s="173">
        <v>2259</v>
      </c>
      <c r="D278" s="174" t="s">
        <v>6671</v>
      </c>
      <c r="F278" s="175">
        <v>112510107020000</v>
      </c>
      <c r="G278" s="176" t="s">
        <v>6669</v>
      </c>
      <c r="H278" s="163">
        <f>(Parâmetros!D198*(1+Parâmetros!D$5)*(1+Parâmetros!D$20))*Parâmetros!D$11</f>
        <v>56.34048362073424</v>
      </c>
      <c r="I278" s="163">
        <f>H278*(1+Parâmetros!E$5)</f>
        <v>59.157507801770954</v>
      </c>
      <c r="J278" s="163">
        <f>I278*(1+Parâmetros!F$5)</f>
        <v>61.958615796184809</v>
      </c>
      <c r="K278" s="177">
        <v>1</v>
      </c>
      <c r="M278" s="178"/>
    </row>
    <row r="279" spans="2:13" ht="15" customHeight="1" x14ac:dyDescent="0.15">
      <c r="B279" s="173">
        <v>2260</v>
      </c>
      <c r="D279" s="174" t="s">
        <v>6672</v>
      </c>
      <c r="F279" s="175">
        <v>112510107020000</v>
      </c>
      <c r="G279" s="176" t="s">
        <v>6668</v>
      </c>
      <c r="H279" s="163">
        <f>(Parâmetros!D198*(1+Parâmetros!D$5)*(1+Parâmetros!D$20))*(Parâmetros!D$13+Parâmetros!D$14)</f>
        <v>32.865282112094981</v>
      </c>
      <c r="I279" s="163">
        <f>H279*(1+Parâmetros!E$5)</f>
        <v>34.508546217699731</v>
      </c>
      <c r="J279" s="163">
        <f>I279*(1+Parâmetros!F$5)</f>
        <v>36.142525881107815</v>
      </c>
      <c r="K279" s="177">
        <v>20</v>
      </c>
      <c r="M279" s="178"/>
    </row>
    <row r="280" spans="2:13" ht="15" customHeight="1" x14ac:dyDescent="0.15">
      <c r="B280" s="173">
        <v>2261</v>
      </c>
      <c r="D280" s="174" t="s">
        <v>6673</v>
      </c>
      <c r="F280" s="175">
        <v>112510107020000</v>
      </c>
      <c r="G280" s="176" t="s">
        <v>6670</v>
      </c>
      <c r="H280" s="163">
        <f>(Parâmetros!D198*(1+Parâmetros!D$5)*(1+Parâmetros!D$20))*(Parâmetros!D$18+Parâmetros!D$19)</f>
        <v>28.17024181036712</v>
      </c>
      <c r="I280" s="163">
        <f>H280*(1+Parâmetros!E$5)</f>
        <v>29.578753900885477</v>
      </c>
      <c r="J280" s="163">
        <f>I280*(1+Parâmetros!F$5)</f>
        <v>30.979307898092404</v>
      </c>
      <c r="K280" s="177">
        <v>40</v>
      </c>
      <c r="M280" s="178"/>
    </row>
    <row r="281" spans="2:13" s="192" customFormat="1" ht="15" customHeight="1" x14ac:dyDescent="0.15">
      <c r="D281" s="193" t="s">
        <v>1823</v>
      </c>
      <c r="G281" s="192" t="s">
        <v>1822</v>
      </c>
      <c r="H281" s="184">
        <f>SUM(H282:H285)+0.02</f>
        <v>469.52403017278533</v>
      </c>
      <c r="I281" s="184">
        <f>SUM(I282:I285)+0.02</f>
        <v>492.99923168142465</v>
      </c>
      <c r="J281" s="184">
        <f>SUM(J282:J285)+0.02</f>
        <v>516.34179830154005</v>
      </c>
      <c r="K281" s="196"/>
    </row>
    <row r="282" spans="2:13" ht="15" customHeight="1" x14ac:dyDescent="0.15">
      <c r="B282" s="173">
        <v>2262</v>
      </c>
      <c r="D282" s="174" t="s">
        <v>1594</v>
      </c>
      <c r="F282" s="175">
        <v>112510201010000</v>
      </c>
      <c r="G282" s="176" t="s">
        <v>6679</v>
      </c>
      <c r="H282" s="163">
        <f>Parâmetros!D199*(1+Parâmetros!D$5)*(1+Parâmetros!D20)</f>
        <v>117.37600754319634</v>
      </c>
      <c r="I282" s="163">
        <f>H282*(1+Parâmetros!E$5)</f>
        <v>123.24480792035617</v>
      </c>
      <c r="J282" s="163">
        <f>I282*(1+Parâmetros!F$5)</f>
        <v>129.08044957538502</v>
      </c>
      <c r="K282" s="177">
        <v>1</v>
      </c>
      <c r="M282" s="178"/>
    </row>
    <row r="283" spans="2:13" ht="15" customHeight="1" x14ac:dyDescent="0.15">
      <c r="B283" s="173">
        <v>2263</v>
      </c>
      <c r="D283" s="174" t="s">
        <v>1594</v>
      </c>
      <c r="F283" s="175">
        <v>112510202010000</v>
      </c>
      <c r="G283" s="176" t="s">
        <v>6682</v>
      </c>
      <c r="H283" s="163">
        <f>Parâmetros!D200*(1+Parâmetros!D$5)*(1+Parâmetros!D20)</f>
        <v>117.37600754319634</v>
      </c>
      <c r="I283" s="163">
        <f>H283*(1+Parâmetros!E$5)</f>
        <v>123.24480792035617</v>
      </c>
      <c r="J283" s="163">
        <f>I283*(1+Parâmetros!F$5)</f>
        <v>129.08044957538502</v>
      </c>
      <c r="K283" s="177">
        <v>1</v>
      </c>
      <c r="M283" s="178"/>
    </row>
    <row r="284" spans="2:13" ht="15" customHeight="1" x14ac:dyDescent="0.15">
      <c r="B284" s="173">
        <v>2264</v>
      </c>
      <c r="D284" s="174" t="s">
        <v>6683</v>
      </c>
      <c r="F284" s="175">
        <v>112510201020000</v>
      </c>
      <c r="G284" s="176" t="s">
        <v>6685</v>
      </c>
      <c r="H284" s="163">
        <f>Parâmetros!D201*(1+Parâmetros!D$5)*(1+Parâmetros!D20)</f>
        <v>117.37600754319634</v>
      </c>
      <c r="I284" s="163">
        <f>H284*(1+Parâmetros!E$5)</f>
        <v>123.24480792035617</v>
      </c>
      <c r="J284" s="163">
        <f>I284*(1+Parâmetros!F$5)</f>
        <v>129.08044957538502</v>
      </c>
      <c r="K284" s="177">
        <v>1</v>
      </c>
      <c r="M284" s="178"/>
    </row>
    <row r="285" spans="2:13" ht="15" customHeight="1" x14ac:dyDescent="0.15">
      <c r="B285" s="173">
        <v>2265</v>
      </c>
      <c r="D285" s="174" t="s">
        <v>6683</v>
      </c>
      <c r="F285" s="175">
        <v>112510202020000</v>
      </c>
      <c r="G285" s="176" t="s">
        <v>6684</v>
      </c>
      <c r="H285" s="163">
        <f>Parâmetros!D202*(1+Parâmetros!D$5)*(1+Parâmetros!D20)</f>
        <v>117.37600754319634</v>
      </c>
      <c r="I285" s="163">
        <f>H285*(1+Parâmetros!E$5)</f>
        <v>123.24480792035617</v>
      </c>
      <c r="J285" s="163">
        <f>I285*(1+Parâmetros!F$5)</f>
        <v>129.08044957538502</v>
      </c>
      <c r="K285" s="177">
        <v>1</v>
      </c>
      <c r="M285" s="178"/>
    </row>
    <row r="286" spans="2:13" s="192" customFormat="1" ht="15" customHeight="1" x14ac:dyDescent="0.15">
      <c r="B286" s="191"/>
      <c r="D286" s="193" t="s">
        <v>1824</v>
      </c>
      <c r="F286" s="194"/>
      <c r="G286" s="170" t="s">
        <v>1826</v>
      </c>
      <c r="H286" s="184">
        <f>H287</f>
        <v>352.13802262958899</v>
      </c>
      <c r="I286" s="184">
        <f>I287</f>
        <v>369.7444237610685</v>
      </c>
      <c r="J286" s="184">
        <f>J287</f>
        <v>387.25134872615502</v>
      </c>
      <c r="K286" s="195"/>
    </row>
    <row r="287" spans="2:13" s="192" customFormat="1" ht="15" customHeight="1" x14ac:dyDescent="0.15">
      <c r="B287" s="191"/>
      <c r="D287" s="193" t="s">
        <v>1825</v>
      </c>
      <c r="F287" s="194"/>
      <c r="G287" s="170" t="s">
        <v>1827</v>
      </c>
      <c r="H287" s="184">
        <f>H288+H289+H290+0.01</f>
        <v>352.13802262958899</v>
      </c>
      <c r="I287" s="184">
        <f>I288+I289+I290+0.01</f>
        <v>369.7444237610685</v>
      </c>
      <c r="J287" s="184">
        <f>J288+J289+J290+0.01</f>
        <v>387.25134872615502</v>
      </c>
      <c r="K287" s="195"/>
    </row>
    <row r="288" spans="2:13" ht="15" customHeight="1" x14ac:dyDescent="0.15">
      <c r="B288" s="173">
        <v>2300</v>
      </c>
      <c r="D288" s="174" t="s">
        <v>1595</v>
      </c>
      <c r="F288" s="175">
        <v>112610199000000</v>
      </c>
      <c r="G288" s="176" t="s">
        <v>1596</v>
      </c>
      <c r="H288" s="163">
        <f>Parâmetros!D203*(1+Parâmetros!D$5)*(1+Parâmetros!D$20)</f>
        <v>117.37600754319634</v>
      </c>
      <c r="I288" s="163">
        <f>H288*(1+Parâmetros!E$5)</f>
        <v>123.24480792035617</v>
      </c>
      <c r="J288" s="163">
        <f>I288*(1+Parâmetros!F$5)</f>
        <v>129.08044957538502</v>
      </c>
      <c r="K288" s="177">
        <v>1</v>
      </c>
      <c r="M288" s="178"/>
    </row>
    <row r="289" spans="2:13" ht="15" customHeight="1" x14ac:dyDescent="0.15">
      <c r="B289" s="173">
        <v>2301</v>
      </c>
      <c r="D289" s="174" t="s">
        <v>6688</v>
      </c>
      <c r="F289" s="175">
        <v>112610199000000</v>
      </c>
      <c r="G289" s="176" t="s">
        <v>6690</v>
      </c>
      <c r="H289" s="163">
        <f>Parâmetros!D204*(1+Parâmetros!D$5)*(1+Parâmetros!D$20)</f>
        <v>117.37600754319634</v>
      </c>
      <c r="I289" s="163">
        <f>H289*(1+Parâmetros!E$5)</f>
        <v>123.24480792035617</v>
      </c>
      <c r="J289" s="163">
        <f>I289*(1+Parâmetros!F$5)</f>
        <v>129.08044957538502</v>
      </c>
      <c r="K289" s="177">
        <v>1</v>
      </c>
      <c r="M289" s="178"/>
    </row>
    <row r="290" spans="2:13" ht="15" customHeight="1" x14ac:dyDescent="0.15">
      <c r="B290" s="173">
        <v>2302</v>
      </c>
      <c r="D290" s="174" t="s">
        <v>6691</v>
      </c>
      <c r="F290" s="175">
        <v>112610101000000</v>
      </c>
      <c r="G290" s="176" t="s">
        <v>6689</v>
      </c>
      <c r="H290" s="163">
        <f>Parâmetros!D205*(1+Parâmetros!D$5)*(1+Parâmetros!D$20)</f>
        <v>117.37600754319634</v>
      </c>
      <c r="I290" s="163">
        <f>H290*(1+Parâmetros!E$5)</f>
        <v>123.24480792035617</v>
      </c>
      <c r="J290" s="163">
        <f>I290*(1+Parâmetros!F$5)</f>
        <v>129.08044957538502</v>
      </c>
      <c r="K290" s="177">
        <v>1</v>
      </c>
      <c r="M290" s="178"/>
    </row>
    <row r="291" spans="2:13" s="192" customFormat="1" ht="15" customHeight="1" x14ac:dyDescent="0.15">
      <c r="B291" s="191"/>
      <c r="D291" s="193" t="s">
        <v>1829</v>
      </c>
      <c r="F291" s="194"/>
      <c r="G291" s="170" t="s">
        <v>1828</v>
      </c>
      <c r="H291" s="184">
        <f>SUM(H292:H296)+0.01</f>
        <v>1995.4021282343376</v>
      </c>
      <c r="I291" s="184">
        <f>SUM(I292:I296)+0.01</f>
        <v>2095.171734646055</v>
      </c>
      <c r="J291" s="184">
        <f>SUM(J292:J296)+0.01</f>
        <v>2194.3776427815455</v>
      </c>
      <c r="K291" s="195"/>
    </row>
    <row r="292" spans="2:13" ht="15" customHeight="1" x14ac:dyDescent="0.15">
      <c r="B292" s="173">
        <v>2350</v>
      </c>
      <c r="D292" s="174" t="s">
        <v>1597</v>
      </c>
      <c r="F292" s="175">
        <v>112110201000000</v>
      </c>
      <c r="G292" s="176" t="s">
        <v>1598</v>
      </c>
      <c r="H292" s="163">
        <f>Parâmetros!D206*(1+Parâmetros!D$5)*(1+Parâmetros!D20)</f>
        <v>117.37600754319634</v>
      </c>
      <c r="I292" s="163">
        <f>H292*(1+Parâmetros!E$5)</f>
        <v>123.24480792035617</v>
      </c>
      <c r="J292" s="163">
        <f>I292*(1+Parâmetros!F$5)</f>
        <v>129.08044957538502</v>
      </c>
      <c r="K292" s="177">
        <v>1</v>
      </c>
      <c r="M292" s="178"/>
    </row>
    <row r="293" spans="2:13" ht="15" customHeight="1" x14ac:dyDescent="0.15">
      <c r="B293" s="173">
        <v>2351</v>
      </c>
      <c r="D293" s="174" t="s">
        <v>1599</v>
      </c>
      <c r="F293" s="175">
        <v>499512800000000</v>
      </c>
      <c r="G293" s="176" t="s">
        <v>1600</v>
      </c>
      <c r="H293" s="163">
        <f>Parâmetros!D207*(1+Parâmetros!D$5)*(1+Parâmetros!D20)</f>
        <v>586.88003771598164</v>
      </c>
      <c r="I293" s="163">
        <f>H293*(1+Parâmetros!E$5)</f>
        <v>616.22403960178076</v>
      </c>
      <c r="J293" s="163">
        <f>I293*(1+Parâmetros!F$5)</f>
        <v>645.40224787692512</v>
      </c>
      <c r="K293" s="177">
        <v>1</v>
      </c>
      <c r="M293" s="178"/>
    </row>
    <row r="294" spans="2:13" ht="15" customHeight="1" x14ac:dyDescent="0.15">
      <c r="B294" s="173">
        <v>2352</v>
      </c>
      <c r="D294" s="174" t="s">
        <v>1601</v>
      </c>
      <c r="F294" s="175">
        <v>112110201000000</v>
      </c>
      <c r="G294" s="176" t="s">
        <v>1602</v>
      </c>
      <c r="H294" s="163">
        <f>Parâmetros!D208*(1+Parâmetros!D$5)*(1+Parâmetros!D20)</f>
        <v>586.88003771598164</v>
      </c>
      <c r="I294" s="163">
        <f>H294*(1+Parâmetros!E$5)</f>
        <v>616.22403960178076</v>
      </c>
      <c r="J294" s="163">
        <f>I294*(1+Parâmetros!F$5)</f>
        <v>645.40224787692512</v>
      </c>
      <c r="K294" s="177">
        <v>1</v>
      </c>
      <c r="M294" s="178"/>
    </row>
    <row r="295" spans="2:13" ht="15" customHeight="1" x14ac:dyDescent="0.15">
      <c r="B295" s="173">
        <v>2353</v>
      </c>
      <c r="D295" s="174" t="s">
        <v>1603</v>
      </c>
      <c r="F295" s="175">
        <v>499512800000000</v>
      </c>
      <c r="G295" s="176" t="s">
        <v>1604</v>
      </c>
      <c r="H295" s="163">
        <f>Parâmetros!D209*(1+Parâmetros!D$5)*(1+Parâmetros!D$20)</f>
        <v>586.88003771598164</v>
      </c>
      <c r="I295" s="163">
        <f>H295*(1+Parâmetros!E$5)</f>
        <v>616.22403960178076</v>
      </c>
      <c r="J295" s="163">
        <f>I295*(1+Parâmetros!F$5)</f>
        <v>645.40224787692512</v>
      </c>
      <c r="K295" s="177">
        <v>1</v>
      </c>
      <c r="M295" s="178"/>
    </row>
    <row r="296" spans="2:13" ht="15" customHeight="1" x14ac:dyDescent="0.15">
      <c r="B296" s="173">
        <v>2354</v>
      </c>
      <c r="D296" s="174" t="s">
        <v>6692</v>
      </c>
      <c r="F296" s="175">
        <v>499519900000000</v>
      </c>
      <c r="G296" s="176" t="s">
        <v>6693</v>
      </c>
      <c r="H296" s="163">
        <f>Parâmetros!D210*(1+Parâmetros!D$5)*(1+Parâmetros!D$20)</f>
        <v>117.37600754319634</v>
      </c>
      <c r="I296" s="163">
        <f>H296*(1+Parâmetros!E$5)</f>
        <v>123.24480792035617</v>
      </c>
      <c r="J296" s="163">
        <f>I296*(1+Parâmetros!F$5)</f>
        <v>129.08044957538502</v>
      </c>
      <c r="K296" s="177">
        <v>1</v>
      </c>
      <c r="M296" s="178"/>
    </row>
    <row r="297" spans="2:13" s="192" customFormat="1" ht="15" customHeight="1" x14ac:dyDescent="0.15">
      <c r="B297" s="191"/>
      <c r="D297" s="193" t="s">
        <v>1830</v>
      </c>
      <c r="F297" s="194"/>
      <c r="G297" s="170" t="s">
        <v>985</v>
      </c>
      <c r="H297" s="184">
        <f>H298+H302</f>
        <v>246764.30846573849</v>
      </c>
      <c r="I297" s="184">
        <f>I298+I302</f>
        <v>259102.52338902542</v>
      </c>
      <c r="J297" s="184">
        <f>J298+J302</f>
        <v>271371.01739799575</v>
      </c>
      <c r="K297" s="195"/>
    </row>
    <row r="298" spans="2:13" s="192" customFormat="1" ht="15" customHeight="1" x14ac:dyDescent="0.15">
      <c r="B298" s="191"/>
      <c r="D298" s="193" t="s">
        <v>1831</v>
      </c>
      <c r="F298" s="194"/>
      <c r="G298" s="170" t="s">
        <v>1932</v>
      </c>
      <c r="H298" s="184">
        <f>H299</f>
        <v>1351.9409860821579</v>
      </c>
      <c r="I298" s="184">
        <f>I299</f>
        <v>1419.537535386266</v>
      </c>
      <c r="J298" s="184">
        <f>J299</f>
        <v>1486.7421641868057</v>
      </c>
      <c r="K298" s="195"/>
    </row>
    <row r="299" spans="2:13" s="192" customFormat="1" ht="15" customHeight="1" x14ac:dyDescent="0.15">
      <c r="D299" s="193" t="s">
        <v>1605</v>
      </c>
      <c r="G299" s="192" t="s">
        <v>1931</v>
      </c>
      <c r="H299" s="184">
        <f>H301+H300+0.01</f>
        <v>1351.9409860821579</v>
      </c>
      <c r="I299" s="184">
        <f>I300+I301+0.01</f>
        <v>1419.537535386266</v>
      </c>
      <c r="J299" s="184">
        <f>J301+J300</f>
        <v>1486.7421641868057</v>
      </c>
      <c r="K299" s="196"/>
    </row>
    <row r="300" spans="2:13" s="192" customFormat="1" ht="15" customHeight="1" x14ac:dyDescent="0.15">
      <c r="B300" s="173">
        <v>2400</v>
      </c>
      <c r="D300" s="174" t="s">
        <v>1605</v>
      </c>
      <c r="E300" s="168"/>
      <c r="F300" s="175">
        <v>499619900000000</v>
      </c>
      <c r="G300" s="168" t="s">
        <v>6694</v>
      </c>
      <c r="H300" s="163">
        <f>Parâmetros!D211*(1+Parâmetros!D$5)*(1+Parâmetros!D$9)*(1+Parâmetros!D$10)*(1+Parâmetros!D$20)</f>
        <v>675.96549304107896</v>
      </c>
      <c r="I300" s="163">
        <f>H300*(1+Parâmetros!E$5)</f>
        <v>709.76376769313299</v>
      </c>
      <c r="J300" s="163">
        <f>I300*(1+Parâmetros!F$5)</f>
        <v>743.37108209340283</v>
      </c>
      <c r="K300" s="177">
        <v>1</v>
      </c>
    </row>
    <row r="301" spans="2:13" ht="15" customHeight="1" x14ac:dyDescent="0.15">
      <c r="B301" s="173">
        <v>2401</v>
      </c>
      <c r="D301" s="174" t="s">
        <v>1605</v>
      </c>
      <c r="F301" s="175">
        <v>499619900000000</v>
      </c>
      <c r="G301" s="176" t="s">
        <v>1606</v>
      </c>
      <c r="H301" s="163">
        <f>Parâmetros!D212*(1+Parâmetros!D$5)*(1+Parâmetros!D$9)*(1+Parâmetros!D$10)*(1+Parâmetros!D$20)</f>
        <v>675.96549304107896</v>
      </c>
      <c r="I301" s="163">
        <f>H301*(1+Parâmetros!E$5)</f>
        <v>709.76376769313299</v>
      </c>
      <c r="J301" s="163">
        <f>I301*(1+Parâmetros!F$5)</f>
        <v>743.37108209340283</v>
      </c>
      <c r="K301" s="177">
        <v>1</v>
      </c>
      <c r="M301" s="178"/>
    </row>
    <row r="302" spans="2:13" s="192" customFormat="1" ht="15" customHeight="1" x14ac:dyDescent="0.15">
      <c r="B302" s="191"/>
      <c r="D302" s="193" t="s">
        <v>1950</v>
      </c>
      <c r="F302" s="194"/>
      <c r="G302" s="170" t="s">
        <v>986</v>
      </c>
      <c r="H302" s="184">
        <f>SUM(H303:H308)</f>
        <v>245412.36747965633</v>
      </c>
      <c r="I302" s="184">
        <f>SUM(I303:I308)</f>
        <v>257682.98585363914</v>
      </c>
      <c r="J302" s="184">
        <f>SUM(J303:J308)</f>
        <v>269884.27523380896</v>
      </c>
      <c r="K302" s="195"/>
      <c r="M302" s="199"/>
    </row>
    <row r="303" spans="2:13" ht="15" customHeight="1" x14ac:dyDescent="0.15">
      <c r="B303" s="173">
        <v>2450</v>
      </c>
      <c r="D303" s="174" t="s">
        <v>1607</v>
      </c>
      <c r="F303" s="175">
        <v>499610400000000</v>
      </c>
      <c r="G303" s="176" t="s">
        <v>1608</v>
      </c>
      <c r="H303" s="163">
        <f>Parâmetros!D213*(1+Parâmetros!D$5)*(1+Parâmetros!D$9)*(1+Parâmetros!D$10)*(1+Parâmetros!D$20)</f>
        <v>70285.364284397132</v>
      </c>
      <c r="I303" s="163">
        <f>H303*(1+Parâmetros!E$5)</f>
        <v>73799.632498616993</v>
      </c>
      <c r="J303" s="163">
        <f>I303*(1+Parâmetros!F$5)</f>
        <v>77294.045097426511</v>
      </c>
      <c r="K303" s="177">
        <v>1</v>
      </c>
      <c r="M303" s="178"/>
    </row>
    <row r="304" spans="2:13" ht="15" customHeight="1" x14ac:dyDescent="0.15">
      <c r="B304" s="173">
        <v>2451</v>
      </c>
      <c r="D304" s="174" t="s">
        <v>1609</v>
      </c>
      <c r="F304" s="175">
        <v>499619900020000</v>
      </c>
      <c r="G304" s="176" t="s">
        <v>987</v>
      </c>
      <c r="H304" s="163">
        <f>Parâmetros!D214*(1+Parâmetros!D$5)*(1+Parâmetros!D$9)*(1+Parâmetros!D$10)</f>
        <v>170200.74715000001</v>
      </c>
      <c r="I304" s="163">
        <f>H304*(1+Parâmetros!E$5)</f>
        <v>178710.78450750001</v>
      </c>
      <c r="J304" s="163">
        <f>I304*(1+Parâmetros!F$5)</f>
        <v>187172.74015393012</v>
      </c>
      <c r="K304" s="177">
        <v>1</v>
      </c>
      <c r="M304" s="178"/>
    </row>
    <row r="305" spans="2:13" ht="15" customHeight="1" x14ac:dyDescent="0.15">
      <c r="B305" s="173">
        <v>2452</v>
      </c>
      <c r="D305" s="174" t="s">
        <v>1610</v>
      </c>
      <c r="F305" s="175">
        <v>499619900030000</v>
      </c>
      <c r="G305" s="176" t="s">
        <v>1611</v>
      </c>
      <c r="H305" s="163">
        <f>Parâmetros!D215*(1+Parâmetros!D5)</f>
        <v>527.75</v>
      </c>
      <c r="I305" s="163">
        <f>H305*(1+Parâmetros!E$5)</f>
        <v>554.13750000000005</v>
      </c>
      <c r="J305" s="163">
        <f>I305*(1+Parâmetros!F$5)</f>
        <v>580.37591062500007</v>
      </c>
      <c r="K305" s="177">
        <v>1</v>
      </c>
      <c r="M305" s="178"/>
    </row>
    <row r="306" spans="2:13" ht="15" customHeight="1" x14ac:dyDescent="0.15">
      <c r="B306" s="173">
        <v>2453</v>
      </c>
      <c r="D306" s="174" t="s">
        <v>1612</v>
      </c>
      <c r="F306" s="175">
        <v>499619900010000</v>
      </c>
      <c r="G306" s="176" t="s">
        <v>1613</v>
      </c>
      <c r="H306" s="163">
        <f>Parâmetros!D216*(1+Parâmetros!D5)</f>
        <v>3694.2500000000005</v>
      </c>
      <c r="I306" s="163">
        <f>H306*(1+Parâmetros!E$5)</f>
        <v>3878.9625000000005</v>
      </c>
      <c r="J306" s="163">
        <f>I306*(1+Parâmetros!F$5)</f>
        <v>4062.6313743750006</v>
      </c>
      <c r="K306" s="177">
        <v>1</v>
      </c>
      <c r="M306" s="178"/>
    </row>
    <row r="307" spans="2:13" ht="15" customHeight="1" x14ac:dyDescent="0.15">
      <c r="B307" s="173">
        <v>2454</v>
      </c>
      <c r="D307" s="174" t="s">
        <v>1614</v>
      </c>
      <c r="F307" s="175">
        <v>499619900030000</v>
      </c>
      <c r="G307" s="176" t="s">
        <v>1615</v>
      </c>
      <c r="H307" s="163">
        <f>Parâmetros!D217*(1+Parâmetros!D$5)*(1+Parâmetros!D$20)</f>
        <v>586.88003771598164</v>
      </c>
      <c r="I307" s="163">
        <f>H307*(1+Parâmetros!E$5)</f>
        <v>616.22403960178076</v>
      </c>
      <c r="J307" s="163">
        <f>I307*(1+Parâmetros!F$5)</f>
        <v>645.40224787692512</v>
      </c>
      <c r="K307" s="177">
        <v>1</v>
      </c>
      <c r="M307" s="178"/>
    </row>
    <row r="308" spans="2:13" ht="15" customHeight="1" x14ac:dyDescent="0.15">
      <c r="B308" s="173">
        <v>2455</v>
      </c>
      <c r="D308" s="174" t="s">
        <v>6695</v>
      </c>
      <c r="F308" s="175">
        <v>499619900030000</v>
      </c>
      <c r="G308" s="176" t="s">
        <v>6696</v>
      </c>
      <c r="H308" s="163">
        <f>Parâmetros!D218*(1+Parâmetros!D$5)*(1+Parâmetros!D$20)</f>
        <v>117.37600754319634</v>
      </c>
      <c r="I308" s="163">
        <f>H308*(1+Parâmetros!E$5)</f>
        <v>123.24480792035617</v>
      </c>
      <c r="J308" s="163">
        <f>I308*(1+Parâmetros!F$5)</f>
        <v>129.08044957538502</v>
      </c>
      <c r="K308" s="177">
        <v>1</v>
      </c>
      <c r="M308" s="178"/>
    </row>
    <row r="309" spans="2:13" s="192" customFormat="1" ht="15" customHeight="1" x14ac:dyDescent="0.15">
      <c r="B309" s="191"/>
      <c r="D309" s="193" t="s">
        <v>1833</v>
      </c>
      <c r="F309" s="194"/>
      <c r="G309" s="170" t="s">
        <v>1947</v>
      </c>
      <c r="H309" s="184">
        <f>H310+'ORCAMENTO RECEITA ANALITICO'!H332-0.01</f>
        <v>20247.337022828469</v>
      </c>
      <c r="I309" s="184">
        <f>I310+'ORCAMENTO RECEITA ANALITICO'!I332-0.01</f>
        <v>21259.706873969892</v>
      </c>
      <c r="J309" s="184">
        <f>J310+'ORCAMENTO RECEITA ANALITICO'!J332-0.01</f>
        <v>22266.356835452367</v>
      </c>
      <c r="K309" s="195"/>
    </row>
    <row r="310" spans="2:13" s="192" customFormat="1" ht="15" customHeight="1" x14ac:dyDescent="0.15">
      <c r="B310" s="191"/>
      <c r="D310" s="193" t="s">
        <v>1834</v>
      </c>
      <c r="F310" s="194"/>
      <c r="G310" s="170" t="s">
        <v>1948</v>
      </c>
      <c r="H310" s="184">
        <f>H311+'ORCAMENTO RECEITA ANALITICO'!H318+'ORCAMENTO RECEITA ANALITICO'!H325</f>
        <v>5235.7626961607166</v>
      </c>
      <c r="I310" s="184">
        <f>I311+'ORCAMENTO RECEITA ANALITICO'!I318+'ORCAMENTO RECEITA ANALITICO'!I325</f>
        <v>5497.5533309687517</v>
      </c>
      <c r="J310" s="184">
        <f>J311+'ORCAMENTO RECEITA ANALITICO'!J318+'ORCAMENTO RECEITA ANALITICO'!J325</f>
        <v>5757.8648486901211</v>
      </c>
      <c r="K310" s="195"/>
    </row>
    <row r="311" spans="2:13" s="192" customFormat="1" ht="15" customHeight="1" x14ac:dyDescent="0.15">
      <c r="B311" s="191"/>
      <c r="D311" s="193" t="s">
        <v>1835</v>
      </c>
      <c r="F311" s="194"/>
      <c r="G311" s="170" t="s">
        <v>1949</v>
      </c>
      <c r="H311" s="184">
        <f>SUM(H312:H317)-0.02</f>
        <v>2347.5001508639266</v>
      </c>
      <c r="I311" s="184">
        <f>SUM(I312:I317)-0.02</f>
        <v>2464.8761584071226</v>
      </c>
      <c r="J311" s="184">
        <f>SUM(J312:J317)-0.02</f>
        <v>2581.5889915076996</v>
      </c>
      <c r="K311" s="195"/>
    </row>
    <row r="312" spans="2:13" ht="15" customHeight="1" x14ac:dyDescent="0.15">
      <c r="B312" s="173">
        <v>2600</v>
      </c>
      <c r="D312" s="174" t="s">
        <v>1616</v>
      </c>
      <c r="F312" s="175">
        <v>112510105010000</v>
      </c>
      <c r="G312" s="176" t="s">
        <v>6703</v>
      </c>
      <c r="H312" s="163">
        <f>(Parâmetros!D219*(1+Parâmetros!D$5)*(1+Parâmetros!D$20))*Parâmetros!D$11</f>
        <v>563.40483620734233</v>
      </c>
      <c r="I312" s="163">
        <f>H312*(1+Parâmetros!E$5)</f>
        <v>591.57507801770942</v>
      </c>
      <c r="J312" s="163">
        <f>I312*(1+Parâmetros!F$5)</f>
        <v>619.5861579618479</v>
      </c>
      <c r="K312" s="177">
        <v>1</v>
      </c>
      <c r="M312" s="178"/>
    </row>
    <row r="313" spans="2:13" ht="15" customHeight="1" x14ac:dyDescent="0.15">
      <c r="B313" s="173">
        <v>2601</v>
      </c>
      <c r="D313" s="174" t="s">
        <v>1617</v>
      </c>
      <c r="F313" s="175">
        <v>112510105010000</v>
      </c>
      <c r="G313" s="176" t="s">
        <v>6704</v>
      </c>
      <c r="H313" s="163">
        <f>(Parâmetros!D219*(1+Parâmetros!D$5)*(1+Parâmetros!D$20))*(Parâmetros!D$13+Parâmetros!D$14)</f>
        <v>328.65282112094974</v>
      </c>
      <c r="I313" s="163">
        <f>H313*(1+Parâmetros!E$5)</f>
        <v>345.08546217699723</v>
      </c>
      <c r="J313" s="163">
        <f>I313*(1+Parâmetros!F$5)</f>
        <v>361.42525881107804</v>
      </c>
      <c r="K313" s="177">
        <v>20</v>
      </c>
      <c r="M313" s="178"/>
    </row>
    <row r="314" spans="2:13" ht="15" customHeight="1" x14ac:dyDescent="0.15">
      <c r="B314" s="173">
        <v>2602</v>
      </c>
      <c r="D314" s="174" t="s">
        <v>1618</v>
      </c>
      <c r="F314" s="175">
        <v>112510105010000</v>
      </c>
      <c r="G314" s="176" t="s">
        <v>6705</v>
      </c>
      <c r="H314" s="163">
        <f>(Parâmetros!D219*(1+Parâmetros!D$5)*(1+Parâmetros!D$20))*(Parâmetros!D$18+Parâmetros!D$19)</f>
        <v>281.70241810367116</v>
      </c>
      <c r="I314" s="163">
        <f>H314*(1+Parâmetros!E$5)</f>
        <v>295.78753900885471</v>
      </c>
      <c r="J314" s="163">
        <f>I314*(1+Parâmetros!F$5)</f>
        <v>309.79307898092395</v>
      </c>
      <c r="K314" s="177">
        <v>40</v>
      </c>
      <c r="M314" s="178"/>
    </row>
    <row r="315" spans="2:13" ht="15" customHeight="1" x14ac:dyDescent="0.15">
      <c r="B315" s="173">
        <v>2603</v>
      </c>
      <c r="D315" s="174" t="s">
        <v>6706</v>
      </c>
      <c r="F315" s="175">
        <v>112510105020000</v>
      </c>
      <c r="G315" s="176" t="s">
        <v>6709</v>
      </c>
      <c r="H315" s="163">
        <f>(Parâmetros!D219*(1+Parâmetros!D$5)*(1+Parâmetros!D$20))*Parâmetros!D$11</f>
        <v>563.40483620734233</v>
      </c>
      <c r="I315" s="163">
        <f>H315*(1+Parâmetros!E$5)</f>
        <v>591.57507801770942</v>
      </c>
      <c r="J315" s="163">
        <f>I315*(1+Parâmetros!F$5)</f>
        <v>619.5861579618479</v>
      </c>
      <c r="K315" s="177">
        <v>1</v>
      </c>
      <c r="M315" s="178"/>
    </row>
    <row r="316" spans="2:13" ht="15" customHeight="1" x14ac:dyDescent="0.15">
      <c r="B316" s="173">
        <v>2604</v>
      </c>
      <c r="D316" s="174" t="s">
        <v>6707</v>
      </c>
      <c r="F316" s="175">
        <v>112510105020000</v>
      </c>
      <c r="G316" s="176" t="s">
        <v>6710</v>
      </c>
      <c r="H316" s="163">
        <f>(Parâmetros!D219*(1+Parâmetros!D$5)*(1+Parâmetros!D$20))*(Parâmetros!D$13+Parâmetros!D$14)</f>
        <v>328.65282112094974</v>
      </c>
      <c r="I316" s="163">
        <f>H316*(1+Parâmetros!E$5)</f>
        <v>345.08546217699723</v>
      </c>
      <c r="J316" s="163">
        <f>I316*(1+Parâmetros!F$5)</f>
        <v>361.42525881107804</v>
      </c>
      <c r="K316" s="177">
        <v>20</v>
      </c>
      <c r="M316" s="178"/>
    </row>
    <row r="317" spans="2:13" ht="15" customHeight="1" x14ac:dyDescent="0.15">
      <c r="B317" s="173">
        <v>2605</v>
      </c>
      <c r="D317" s="174" t="s">
        <v>6708</v>
      </c>
      <c r="F317" s="175">
        <v>112510105020000</v>
      </c>
      <c r="G317" s="176" t="s">
        <v>6711</v>
      </c>
      <c r="H317" s="163">
        <f>(Parâmetros!D219*(1+Parâmetros!D$5)*(1+Parâmetros!D$20))*(Parâmetros!D$18+Parâmetros!D$19)</f>
        <v>281.70241810367116</v>
      </c>
      <c r="I317" s="163">
        <f>H317*(1+Parâmetros!E$5)</f>
        <v>295.78753900885471</v>
      </c>
      <c r="J317" s="163">
        <f>I317*(1+Parâmetros!F$5)</f>
        <v>309.79307898092395</v>
      </c>
      <c r="K317" s="177">
        <v>40</v>
      </c>
      <c r="M317" s="178"/>
    </row>
    <row r="318" spans="2:13" s="192" customFormat="1" ht="15" customHeight="1" x14ac:dyDescent="0.15">
      <c r="D318" s="193" t="s">
        <v>1836</v>
      </c>
      <c r="G318" s="192" t="s">
        <v>1837</v>
      </c>
      <c r="H318" s="184">
        <f>SUM(H319:H324)-0.02</f>
        <v>2347.5001508639266</v>
      </c>
      <c r="I318" s="184">
        <f>SUM(I319:I324)-0.02</f>
        <v>2464.8761584071226</v>
      </c>
      <c r="J318" s="184">
        <f>SUM(J319:J324)-0.02</f>
        <v>2581.5889915076996</v>
      </c>
      <c r="K318" s="196"/>
    </row>
    <row r="319" spans="2:13" ht="15" customHeight="1" x14ac:dyDescent="0.15">
      <c r="B319" s="173">
        <v>2606</v>
      </c>
      <c r="D319" s="174" t="s">
        <v>1619</v>
      </c>
      <c r="F319" s="175">
        <v>112510107010000</v>
      </c>
      <c r="G319" s="176" t="s">
        <v>6697</v>
      </c>
      <c r="H319" s="163">
        <f>(Parâmetros!D220*(1+Parâmetros!D$5)*(1+Parâmetros!D$20))*Parâmetros!D$11</f>
        <v>563.40483620734233</v>
      </c>
      <c r="I319" s="163">
        <f>H319*(1+Parâmetros!E$5)</f>
        <v>591.57507801770942</v>
      </c>
      <c r="J319" s="163">
        <f>I319*(1+Parâmetros!F$5)</f>
        <v>619.5861579618479</v>
      </c>
      <c r="K319" s="177">
        <v>1</v>
      </c>
      <c r="M319" s="178"/>
    </row>
    <row r="320" spans="2:13" ht="15" customHeight="1" x14ac:dyDescent="0.15">
      <c r="B320" s="173">
        <v>2607</v>
      </c>
      <c r="D320" s="174" t="s">
        <v>1620</v>
      </c>
      <c r="F320" s="175">
        <v>112510107010000</v>
      </c>
      <c r="G320" s="176" t="s">
        <v>6698</v>
      </c>
      <c r="H320" s="163">
        <f>(Parâmetros!D220*(1+Parâmetros!D$5)*(1+Parâmetros!D$20))*(Parâmetros!D$13+Parâmetros!D$14)</f>
        <v>328.65282112094974</v>
      </c>
      <c r="I320" s="163">
        <f>H320*(1+Parâmetros!E$5)</f>
        <v>345.08546217699723</v>
      </c>
      <c r="J320" s="163">
        <f>I320*(1+Parâmetros!F$5)</f>
        <v>361.42525881107804</v>
      </c>
      <c r="K320" s="177">
        <v>20</v>
      </c>
      <c r="M320" s="178"/>
    </row>
    <row r="321" spans="2:13" ht="15" customHeight="1" x14ac:dyDescent="0.15">
      <c r="B321" s="173">
        <v>2608</v>
      </c>
      <c r="D321" s="174" t="s">
        <v>1621</v>
      </c>
      <c r="F321" s="175">
        <v>112510107010000</v>
      </c>
      <c r="G321" s="176" t="s">
        <v>6699</v>
      </c>
      <c r="H321" s="163">
        <f>(Parâmetros!D220*(1+Parâmetros!D$5)*(1+Parâmetros!D$20))*(Parâmetros!D$18+Parâmetros!D$19)</f>
        <v>281.70241810367116</v>
      </c>
      <c r="I321" s="163">
        <f>H321*(1+Parâmetros!E$5)</f>
        <v>295.78753900885471</v>
      </c>
      <c r="J321" s="163">
        <f>I321*(1+Parâmetros!F$5)</f>
        <v>309.79307898092395</v>
      </c>
      <c r="K321" s="177">
        <v>40</v>
      </c>
      <c r="M321" s="178"/>
    </row>
    <row r="322" spans="2:13" ht="15" customHeight="1" x14ac:dyDescent="0.15">
      <c r="B322" s="173">
        <v>2609</v>
      </c>
      <c r="D322" s="174" t="s">
        <v>6712</v>
      </c>
      <c r="F322" s="175">
        <v>112510107020000</v>
      </c>
      <c r="G322" s="176" t="s">
        <v>6700</v>
      </c>
      <c r="H322" s="163">
        <f>(Parâmetros!D220*(1+Parâmetros!D$5)*(1+Parâmetros!D$20))*Parâmetros!D$11</f>
        <v>563.40483620734233</v>
      </c>
      <c r="I322" s="163">
        <f>H322*(1+Parâmetros!E$5)</f>
        <v>591.57507801770942</v>
      </c>
      <c r="J322" s="163">
        <f>I322*(1+Parâmetros!F$5)</f>
        <v>619.5861579618479</v>
      </c>
      <c r="K322" s="177">
        <v>1</v>
      </c>
      <c r="M322" s="178"/>
    </row>
    <row r="323" spans="2:13" ht="15" customHeight="1" x14ac:dyDescent="0.15">
      <c r="B323" s="173">
        <v>2610</v>
      </c>
      <c r="D323" s="174" t="s">
        <v>6713</v>
      </c>
      <c r="F323" s="175">
        <v>112510107020000</v>
      </c>
      <c r="G323" s="176" t="s">
        <v>6701</v>
      </c>
      <c r="H323" s="163">
        <f>(Parâmetros!D220*(1+Parâmetros!D$5)*(1+Parâmetros!D$20))*(Parâmetros!D$13+Parâmetros!D$14)</f>
        <v>328.65282112094974</v>
      </c>
      <c r="I323" s="163">
        <f>H323*(1+Parâmetros!E$5)</f>
        <v>345.08546217699723</v>
      </c>
      <c r="J323" s="163">
        <f>I323*(1+Parâmetros!F$5)</f>
        <v>361.42525881107804</v>
      </c>
      <c r="K323" s="177">
        <v>20</v>
      </c>
      <c r="M323" s="178"/>
    </row>
    <row r="324" spans="2:13" ht="15" customHeight="1" x14ac:dyDescent="0.15">
      <c r="B324" s="173">
        <v>2611</v>
      </c>
      <c r="D324" s="174" t="s">
        <v>6714</v>
      </c>
      <c r="F324" s="175">
        <v>112510107020000</v>
      </c>
      <c r="G324" s="176" t="s">
        <v>6702</v>
      </c>
      <c r="H324" s="163">
        <f>(Parâmetros!D220*(1+Parâmetros!D$5)*(1+Parâmetros!D$20))*(Parâmetros!D$18+Parâmetros!D$19)</f>
        <v>281.70241810367116</v>
      </c>
      <c r="I324" s="163">
        <f>H324*(1+Parâmetros!E$5)</f>
        <v>295.78753900885471</v>
      </c>
      <c r="J324" s="163">
        <f>I324*(1+Parâmetros!F$5)</f>
        <v>309.79307898092395</v>
      </c>
      <c r="K324" s="177">
        <v>40</v>
      </c>
      <c r="M324" s="178"/>
    </row>
    <row r="325" spans="2:13" s="192" customFormat="1" ht="15" customHeight="1" x14ac:dyDescent="0.15">
      <c r="B325" s="191"/>
      <c r="D325" s="193" t="s">
        <v>1834</v>
      </c>
      <c r="F325" s="194"/>
      <c r="G325" s="170" t="s">
        <v>1839</v>
      </c>
      <c r="H325" s="184">
        <f>H326</f>
        <v>540.76239443286329</v>
      </c>
      <c r="I325" s="184">
        <f>I326</f>
        <v>567.80101415450645</v>
      </c>
      <c r="J325" s="184">
        <f>J326</f>
        <v>594.6868656747223</v>
      </c>
      <c r="K325" s="195"/>
    </row>
    <row r="326" spans="2:13" s="192" customFormat="1" ht="15" customHeight="1" x14ac:dyDescent="0.15">
      <c r="D326" s="193" t="s">
        <v>1838</v>
      </c>
      <c r="G326" s="192" t="s">
        <v>1840</v>
      </c>
      <c r="H326" s="184">
        <f>H327+H328+H329+H330-0.01</f>
        <v>540.76239443286329</v>
      </c>
      <c r="I326" s="184">
        <f>I327+I328+I329+I330-0.01</f>
        <v>567.80101415450645</v>
      </c>
      <c r="J326" s="184">
        <f>J327+J328+J329+J330-0.01</f>
        <v>594.6868656747223</v>
      </c>
      <c r="K326" s="196"/>
    </row>
    <row r="327" spans="2:13" ht="15" customHeight="1" x14ac:dyDescent="0.15">
      <c r="B327" s="173">
        <v>2612</v>
      </c>
      <c r="D327" s="174" t="s">
        <v>6718</v>
      </c>
      <c r="F327" s="175">
        <v>112510201010000</v>
      </c>
      <c r="G327" s="176" t="s">
        <v>6719</v>
      </c>
      <c r="H327" s="163">
        <f>Parâmetros!D221*(1+Parâmetros!D$5)*(1+Parâmetros!D$9)*(1+Parâmetros!D$10)*(1+Parâmetros!D$20)</f>
        <v>135.19309860821582</v>
      </c>
      <c r="I327" s="163">
        <f>H327*(1+Parâmetros!E$5)</f>
        <v>141.95275353862661</v>
      </c>
      <c r="J327" s="163">
        <f>I327*(1+Parâmetros!F$5)</f>
        <v>148.67421641868057</v>
      </c>
      <c r="K327" s="177">
        <v>1</v>
      </c>
      <c r="M327" s="178"/>
    </row>
    <row r="328" spans="2:13" ht="15" customHeight="1" x14ac:dyDescent="0.15">
      <c r="B328" s="173">
        <v>2613</v>
      </c>
      <c r="D328" s="174" t="s">
        <v>6715</v>
      </c>
      <c r="F328" s="175">
        <v>112510201020000</v>
      </c>
      <c r="G328" s="176" t="s">
        <v>6720</v>
      </c>
      <c r="H328" s="163">
        <f>Parâmetros!D222*(1+Parâmetros!D$5)*(1+Parâmetros!D$9)*(1+Parâmetros!D$10)*(1+Parâmetros!D$20)</f>
        <v>135.19309860821582</v>
      </c>
      <c r="I328" s="163">
        <f>H328*(1+Parâmetros!E$5)</f>
        <v>141.95275353862661</v>
      </c>
      <c r="J328" s="163">
        <f>I328*(1+Parâmetros!F$5)</f>
        <v>148.67421641868057</v>
      </c>
      <c r="K328" s="177">
        <v>1</v>
      </c>
      <c r="M328" s="178"/>
    </row>
    <row r="329" spans="2:13" ht="15" customHeight="1" x14ac:dyDescent="0.15">
      <c r="B329" s="173">
        <v>2614</v>
      </c>
      <c r="D329" s="174" t="s">
        <v>6716</v>
      </c>
      <c r="F329" s="175">
        <v>112510202010000</v>
      </c>
      <c r="G329" s="176" t="s">
        <v>6721</v>
      </c>
      <c r="H329" s="163">
        <f>Parâmetros!D223*(1+Parâmetros!D$5)*(1+Parâmetros!D$9)*(1+Parâmetros!D$10)*(1+Parâmetros!D$20)</f>
        <v>135.19309860821582</v>
      </c>
      <c r="I329" s="163">
        <f>H329*(1+Parâmetros!E$5)</f>
        <v>141.95275353862661</v>
      </c>
      <c r="J329" s="163">
        <f>I329*(1+Parâmetros!F$5)</f>
        <v>148.67421641868057</v>
      </c>
      <c r="K329" s="177">
        <v>1</v>
      </c>
      <c r="M329" s="178"/>
    </row>
    <row r="330" spans="2:13" ht="15" customHeight="1" x14ac:dyDescent="0.15">
      <c r="B330" s="173">
        <v>2615</v>
      </c>
      <c r="D330" s="174" t="s">
        <v>6717</v>
      </c>
      <c r="F330" s="175">
        <v>112510202020000</v>
      </c>
      <c r="G330" s="176" t="s">
        <v>6722</v>
      </c>
      <c r="H330" s="163">
        <f>Parâmetros!D224*(1+Parâmetros!D$5)*(1+Parâmetros!D$9)*(1+Parâmetros!D$10)*(1+Parâmetros!D$20)</f>
        <v>135.19309860821582</v>
      </c>
      <c r="I330" s="163">
        <f>H330*(1+Parâmetros!E$5)</f>
        <v>141.95275353862661</v>
      </c>
      <c r="J330" s="163">
        <f>I330*(1+Parâmetros!F$5)</f>
        <v>148.67421641868057</v>
      </c>
      <c r="K330" s="177">
        <v>1</v>
      </c>
      <c r="M330" s="178"/>
    </row>
    <row r="331" spans="2:13" s="192" customFormat="1" ht="15" customHeight="1" x14ac:dyDescent="0.15">
      <c r="B331" s="191"/>
      <c r="D331" s="193" t="s">
        <v>1841</v>
      </c>
      <c r="F331" s="194"/>
      <c r="G331" s="170" t="s">
        <v>1844</v>
      </c>
      <c r="H331" s="184">
        <f t="shared" ref="H331:J332" si="1">H332</f>
        <v>15011.584326667751</v>
      </c>
      <c r="I331" s="184">
        <f t="shared" si="1"/>
        <v>15762.163543001137</v>
      </c>
      <c r="J331" s="184">
        <f t="shared" si="1"/>
        <v>16508.501986762243</v>
      </c>
      <c r="K331" s="195"/>
    </row>
    <row r="332" spans="2:13" s="192" customFormat="1" ht="15" customHeight="1" x14ac:dyDescent="0.15">
      <c r="B332" s="191"/>
      <c r="D332" s="193" t="s">
        <v>1842</v>
      </c>
      <c r="F332" s="194"/>
      <c r="G332" s="170" t="s">
        <v>1846</v>
      </c>
      <c r="H332" s="184">
        <f t="shared" si="1"/>
        <v>15011.584326667751</v>
      </c>
      <c r="I332" s="184">
        <f t="shared" si="1"/>
        <v>15762.163543001137</v>
      </c>
      <c r="J332" s="184">
        <f t="shared" si="1"/>
        <v>16508.501986762243</v>
      </c>
      <c r="K332" s="195"/>
    </row>
    <row r="333" spans="2:13" s="192" customFormat="1" ht="15" customHeight="1" x14ac:dyDescent="0.15">
      <c r="D333" s="193" t="s">
        <v>1843</v>
      </c>
      <c r="G333" s="192" t="s">
        <v>1845</v>
      </c>
      <c r="H333" s="184">
        <f>H334+H335+H336+H337</f>
        <v>15011.584326667751</v>
      </c>
      <c r="I333" s="184">
        <f>I334+I335+I336+I337</f>
        <v>15762.163543001137</v>
      </c>
      <c r="J333" s="184">
        <f>J334+J335+J336+J337</f>
        <v>16508.501986762243</v>
      </c>
      <c r="K333" s="196"/>
    </row>
    <row r="334" spans="2:13" ht="15" customHeight="1" x14ac:dyDescent="0.15">
      <c r="B334" s="173">
        <v>2700</v>
      </c>
      <c r="D334" s="174" t="s">
        <v>1622</v>
      </c>
      <c r="F334" s="175">
        <v>112610199000000</v>
      </c>
      <c r="G334" s="176" t="s">
        <v>1623</v>
      </c>
      <c r="H334" s="163">
        <f>Parâmetros!D225*(1+Parâmetros!D$5)*(1+Parâmetros!D$9)*(1+Parâmetros!D$10)</f>
        <v>6078.5981125000008</v>
      </c>
      <c r="I334" s="163">
        <f>H334*(1+Parâmetros!E$5)</f>
        <v>6382.5280181250009</v>
      </c>
      <c r="J334" s="163">
        <f>I334*(1+Parâmetros!F$5)</f>
        <v>6684.7407197832199</v>
      </c>
      <c r="K334" s="177">
        <v>1</v>
      </c>
      <c r="M334" s="178"/>
    </row>
    <row r="335" spans="2:13" ht="15" customHeight="1" x14ac:dyDescent="0.15">
      <c r="B335" s="173">
        <v>2701</v>
      </c>
      <c r="D335" s="174" t="s">
        <v>1624</v>
      </c>
      <c r="F335" s="175">
        <v>121219899010000</v>
      </c>
      <c r="G335" s="182" t="s">
        <v>1625</v>
      </c>
      <c r="H335" s="163">
        <f>Parâmetros!D226*(1+Parâmetros!D$5)*(1+Parâmetros!D$9)*(1+Parâmetros!D$10)</f>
        <v>6987.8348181677493</v>
      </c>
      <c r="I335" s="163">
        <f>H335*(1+Parâmetros!E$5)</f>
        <v>7337.2265590761372</v>
      </c>
      <c r="J335" s="163">
        <f>I335*(1+Parâmetros!F$5)</f>
        <v>7684.6442366483925</v>
      </c>
      <c r="K335" s="177">
        <v>1</v>
      </c>
      <c r="M335" s="178"/>
    </row>
    <row r="336" spans="2:13" ht="15" customHeight="1" x14ac:dyDescent="0.15">
      <c r="B336" s="173">
        <v>2702</v>
      </c>
      <c r="D336" s="174" t="s">
        <v>6723</v>
      </c>
      <c r="F336" s="175">
        <v>121210499000000</v>
      </c>
      <c r="G336" s="182" t="s">
        <v>6724</v>
      </c>
      <c r="H336" s="163">
        <f>Parâmetros!D227*(1+Parâmetros!D$5)*(1+Parâmetros!D$9)*(1+Parâmetros!D$10)</f>
        <v>1823.5794337500001</v>
      </c>
      <c r="I336" s="163">
        <f>H336*(1+Parâmetros!E$5)</f>
        <v>1914.7584054375002</v>
      </c>
      <c r="J336" s="163">
        <f>I336*(1+Parâmetros!F$5)</f>
        <v>2005.4222159349658</v>
      </c>
      <c r="K336" s="177">
        <v>1</v>
      </c>
      <c r="M336" s="178"/>
    </row>
    <row r="337" spans="2:13" ht="15" customHeight="1" x14ac:dyDescent="0.15">
      <c r="B337" s="173">
        <v>2703</v>
      </c>
      <c r="D337" s="174" t="s">
        <v>6723</v>
      </c>
      <c r="F337" s="175">
        <v>121210499000000</v>
      </c>
      <c r="G337" s="182" t="s">
        <v>6725</v>
      </c>
      <c r="H337" s="163">
        <f>Parâmetros!D228*(1+Parâmetros!D$5)*(1+Parâmetros!D$9)*(1+Parâmetros!D$10)</f>
        <v>121.57196225</v>
      </c>
      <c r="I337" s="163">
        <f>H337*(1+Parâmetros!E$5)</f>
        <v>127.6505603625</v>
      </c>
      <c r="J337" s="163">
        <f>I337*(1+Parâmetros!F$5)</f>
        <v>133.69481439566437</v>
      </c>
      <c r="K337" s="177">
        <v>1</v>
      </c>
      <c r="M337" s="178"/>
    </row>
    <row r="338" spans="2:13" s="192" customFormat="1" ht="15" customHeight="1" x14ac:dyDescent="0.15">
      <c r="D338" s="193" t="s">
        <v>1847</v>
      </c>
      <c r="G338" s="171" t="s">
        <v>1849</v>
      </c>
      <c r="H338" s="184">
        <f>H339</f>
        <v>424057.58424743009</v>
      </c>
      <c r="I338" s="184">
        <f>I339</f>
        <v>445260.45395980153</v>
      </c>
      <c r="J338" s="184">
        <f>J339</f>
        <v>466343.5374017983</v>
      </c>
      <c r="K338" s="196"/>
    </row>
    <row r="339" spans="2:13" s="192" customFormat="1" ht="15" customHeight="1" x14ac:dyDescent="0.15">
      <c r="D339" s="193" t="s">
        <v>1848</v>
      </c>
      <c r="G339" s="192" t="s">
        <v>1850</v>
      </c>
      <c r="H339" s="184">
        <f>SUM(H340:H349)-0.01</f>
        <v>424057.58424743009</v>
      </c>
      <c r="I339" s="184">
        <f>SUM(I340:I349)-0.02</f>
        <v>445260.45395980153</v>
      </c>
      <c r="J339" s="184">
        <f>SUM(J340:J349)-0.02</f>
        <v>466343.5374017983</v>
      </c>
      <c r="K339" s="196"/>
    </row>
    <row r="340" spans="2:13" ht="15" customHeight="1" x14ac:dyDescent="0.15">
      <c r="B340" s="173">
        <v>2800</v>
      </c>
      <c r="D340" s="174" t="s">
        <v>1626</v>
      </c>
      <c r="F340" s="175">
        <v>452359900000000</v>
      </c>
      <c r="G340" s="176" t="s">
        <v>1627</v>
      </c>
      <c r="H340" s="163">
        <f>(Parâmetros!D229*(1+Parâmetros!D$5))+Parâmetros!D292</f>
        <v>281342.94000000006</v>
      </c>
      <c r="I340" s="163">
        <f>H340*(1+Parâmetros!E$5)</f>
        <v>295410.08700000006</v>
      </c>
      <c r="J340" s="163">
        <f>I340*(1+Parâmetros!F$5)</f>
        <v>309397.75461945008</v>
      </c>
      <c r="K340" s="177">
        <v>1</v>
      </c>
      <c r="M340" s="178"/>
    </row>
    <row r="341" spans="2:13" ht="15" customHeight="1" x14ac:dyDescent="0.15">
      <c r="B341" s="173">
        <v>2801</v>
      </c>
      <c r="D341" s="174" t="s">
        <v>1628</v>
      </c>
      <c r="F341" s="175">
        <v>452359900000000</v>
      </c>
      <c r="G341" s="176" t="s">
        <v>6726</v>
      </c>
      <c r="H341" s="163">
        <f>Parâmetros!D230*(1+Parâmetros!D$5)*(1+Parâmetros!D$10)*(1+Parâmetros!D$20)</f>
        <v>25826.125563721944</v>
      </c>
      <c r="I341" s="163">
        <f>H341*(1+Parâmetros!E$5)</f>
        <v>27117.431841908041</v>
      </c>
      <c r="J341" s="163">
        <f>I341*(1+Parâmetros!F$5)</f>
        <v>28401.442239622385</v>
      </c>
      <c r="K341" s="177">
        <v>1</v>
      </c>
      <c r="M341" s="178"/>
    </row>
    <row r="342" spans="2:13" ht="15" customHeight="1" x14ac:dyDescent="0.15">
      <c r="B342" s="173">
        <v>2802</v>
      </c>
      <c r="D342" s="174" t="s">
        <v>1629</v>
      </c>
      <c r="F342" s="175">
        <v>452359900000000</v>
      </c>
      <c r="G342" s="176" t="s">
        <v>6727</v>
      </c>
      <c r="H342" s="163">
        <f>Parâmetros!D231*(1+Parâmetros!D$5)*(1+Parâmetros!D$10)*(1+Parâmetros!D$20)</f>
        <v>27136.831748434779</v>
      </c>
      <c r="I342" s="163">
        <f>H342*(1+Parâmetros!E$5)</f>
        <v>28493.673335856518</v>
      </c>
      <c r="J342" s="163">
        <f>I342*(1+Parâmetros!F$5)</f>
        <v>29842.848768309323</v>
      </c>
      <c r="K342" s="177">
        <v>1</v>
      </c>
      <c r="M342" s="178"/>
    </row>
    <row r="343" spans="2:13" ht="15" customHeight="1" x14ac:dyDescent="0.15">
      <c r="B343" s="173">
        <v>2803</v>
      </c>
      <c r="D343" s="174" t="s">
        <v>1630</v>
      </c>
      <c r="F343" s="175">
        <v>452359900000000</v>
      </c>
      <c r="G343" s="176" t="s">
        <v>6728</v>
      </c>
      <c r="H343" s="163">
        <f>Parâmetros!D232*(1+Parâmetros!D$5)*(1+Parâmetros!D$10)*(1+Parâmetros!D$20)</f>
        <v>26393.936577876451</v>
      </c>
      <c r="I343" s="163">
        <f>H343*(1+Parâmetros!E$5)</f>
        <v>27713.633406770274</v>
      </c>
      <c r="J343" s="163">
        <f>I343*(1+Parâmetros!F$5)</f>
        <v>29025.873948580847</v>
      </c>
      <c r="K343" s="177">
        <v>1</v>
      </c>
      <c r="M343" s="178"/>
    </row>
    <row r="344" spans="2:13" ht="15" customHeight="1" x14ac:dyDescent="0.15">
      <c r="B344" s="173">
        <v>2804</v>
      </c>
      <c r="D344" s="174" t="s">
        <v>1631</v>
      </c>
      <c r="F344" s="175">
        <v>452359900000000</v>
      </c>
      <c r="G344" s="176" t="s">
        <v>6729</v>
      </c>
      <c r="H344" s="163">
        <f>Parâmetros!D233*(1+Parâmetros!D$5)*(1+Parâmetros!D$10)*(1+Parâmetros!D$20)</f>
        <v>9699.9532633697454</v>
      </c>
      <c r="I344" s="163">
        <f>H344*(1+Parâmetros!E$5)</f>
        <v>10184.950926538233</v>
      </c>
      <c r="J344" s="163">
        <f>I344*(1+Parâmetros!F$5)</f>
        <v>10667.208352909818</v>
      </c>
      <c r="K344" s="177">
        <v>1</v>
      </c>
      <c r="M344" s="178"/>
    </row>
    <row r="345" spans="2:13" ht="15" customHeight="1" x14ac:dyDescent="0.15">
      <c r="B345" s="173">
        <v>2805</v>
      </c>
      <c r="D345" s="174" t="s">
        <v>1632</v>
      </c>
      <c r="F345" s="175">
        <v>452359900000000</v>
      </c>
      <c r="G345" s="176" t="s">
        <v>6730</v>
      </c>
      <c r="H345" s="163">
        <f>Parâmetros!D234*(1+Parâmetros!D$5)*(1+Parâmetros!D$10)*(1+Parâmetros!D$20)</f>
        <v>1212.4941579212182</v>
      </c>
      <c r="I345" s="163">
        <f>H345*(1+Parâmetros!E$5)</f>
        <v>1273.1188658172791</v>
      </c>
      <c r="J345" s="163">
        <f>I345*(1+Parâmetros!F$5)</f>
        <v>1333.4010441137273</v>
      </c>
      <c r="K345" s="177">
        <v>1</v>
      </c>
      <c r="M345" s="178"/>
    </row>
    <row r="346" spans="2:13" ht="15" customHeight="1" x14ac:dyDescent="0.15">
      <c r="B346" s="173">
        <v>2806</v>
      </c>
      <c r="D346" s="174" t="s">
        <v>1972</v>
      </c>
      <c r="F346" s="175">
        <v>218810117000000</v>
      </c>
      <c r="G346" s="176" t="s">
        <v>1971</v>
      </c>
      <c r="H346" s="163">
        <f>Parâmetros!D235</f>
        <v>1</v>
      </c>
      <c r="I346" s="163">
        <f>H346*(1+Parâmetros!E$5)</f>
        <v>1.05</v>
      </c>
      <c r="J346" s="163">
        <f>I346*(1+Parâmetros!F$5)</f>
        <v>1.0997175000000001</v>
      </c>
      <c r="K346" s="177">
        <v>1</v>
      </c>
      <c r="M346" s="178"/>
    </row>
    <row r="347" spans="2:13" ht="15" customHeight="1" x14ac:dyDescent="0.15">
      <c r="B347" s="173">
        <v>2807</v>
      </c>
      <c r="D347" s="174" t="s">
        <v>6731</v>
      </c>
      <c r="F347" s="175">
        <v>452359900000000</v>
      </c>
      <c r="G347" s="176" t="s">
        <v>6732</v>
      </c>
      <c r="H347" s="163">
        <f>Parâmetros!D236*(1+Parâmetros!D$5)*(1+Parâmetros!D$10)*(1+Parâmetros!D$20)</f>
        <v>14314.09978133894</v>
      </c>
      <c r="I347" s="163">
        <f>H347*(1+Parâmetros!E$5)</f>
        <v>15029.804770405888</v>
      </c>
      <c r="J347" s="163">
        <f>I347*(1+Parâmetros!F$5)</f>
        <v>15741.466026284606</v>
      </c>
      <c r="K347" s="177">
        <v>1</v>
      </c>
      <c r="M347" s="178"/>
    </row>
    <row r="348" spans="2:13" ht="15" customHeight="1" x14ac:dyDescent="0.15">
      <c r="B348" s="173">
        <v>2808</v>
      </c>
      <c r="D348" s="174" t="s">
        <v>6733</v>
      </c>
      <c r="F348" s="175">
        <v>452359900000000</v>
      </c>
      <c r="G348" s="176" t="s">
        <v>6734</v>
      </c>
      <c r="H348" s="163">
        <f>Parâmetros!D237*(1+Parâmetros!D$5)*(1+Parâmetros!D$10)*(1+Parâmetros!D$20)</f>
        <v>8605.9804093853254</v>
      </c>
      <c r="I348" s="163">
        <f>H348*(1+Parâmetros!E$5)</f>
        <v>9036.2794298545923</v>
      </c>
      <c r="J348" s="163">
        <f>I348*(1+Parâmetros!F$5)</f>
        <v>9464.147260858208</v>
      </c>
      <c r="K348" s="177">
        <v>1</v>
      </c>
      <c r="M348" s="178"/>
    </row>
    <row r="349" spans="2:13" ht="15" customHeight="1" x14ac:dyDescent="0.15">
      <c r="B349" s="173">
        <v>2809</v>
      </c>
      <c r="D349" s="174" t="s">
        <v>6735</v>
      </c>
      <c r="F349" s="175">
        <v>452359900000000</v>
      </c>
      <c r="G349" s="176" t="s">
        <v>6736</v>
      </c>
      <c r="H349" s="163">
        <f>Parâmetros!D238*(1+Parâmetros!D$5)*(1+Parâmetros!D$10)*(1+Parâmetros!D$20)</f>
        <v>29524.232745381662</v>
      </c>
      <c r="I349" s="163">
        <f>H349*(1+Parâmetros!E$5)</f>
        <v>31000.444382650745</v>
      </c>
      <c r="J349" s="163">
        <f>I349*(1+Parâmetros!F$5)</f>
        <v>32468.315424169257</v>
      </c>
      <c r="K349" s="177">
        <v>1</v>
      </c>
      <c r="M349" s="178"/>
    </row>
    <row r="350" spans="2:13" s="192" customFormat="1" ht="15" customHeight="1" x14ac:dyDescent="0.15">
      <c r="B350" s="191"/>
      <c r="D350" s="193" t="s">
        <v>1851</v>
      </c>
      <c r="F350" s="194"/>
      <c r="G350" s="170" t="s">
        <v>1852</v>
      </c>
      <c r="H350" s="184">
        <f>H351+'ORCAMENTO RECEITA ANALITICO'!H357+'ORCAMENTO RECEITA ANALITICO'!H384</f>
        <v>1059600</v>
      </c>
      <c r="I350" s="184">
        <f>I351+'ORCAMENTO RECEITA ANALITICO'!I357+'ORCAMENTO RECEITA ANALITICO'!I384</f>
        <v>1385580</v>
      </c>
      <c r="J350" s="184">
        <f>J351+'ORCAMENTO RECEITA ANALITICO'!J357+'ORCAMENTO RECEITA ANALITICO'!J384</f>
        <v>1451187.213</v>
      </c>
      <c r="K350" s="195"/>
    </row>
    <row r="351" spans="2:13" s="192" customFormat="1" ht="15" customHeight="1" x14ac:dyDescent="0.15">
      <c r="B351" s="191"/>
      <c r="D351" s="193" t="s">
        <v>1855</v>
      </c>
      <c r="F351" s="194"/>
      <c r="G351" s="170" t="s">
        <v>1853</v>
      </c>
      <c r="H351" s="184">
        <f>H352</f>
        <v>4000</v>
      </c>
      <c r="I351" s="184">
        <f>I352</f>
        <v>4200</v>
      </c>
      <c r="J351" s="184">
        <f>J352</f>
        <v>4398.87</v>
      </c>
      <c r="K351" s="195"/>
    </row>
    <row r="352" spans="2:13" s="192" customFormat="1" ht="15" customHeight="1" x14ac:dyDescent="0.15">
      <c r="D352" s="193" t="s">
        <v>1856</v>
      </c>
      <c r="G352" s="192" t="s">
        <v>1854</v>
      </c>
      <c r="H352" s="184">
        <f>SUM(H353:H356)</f>
        <v>4000</v>
      </c>
      <c r="I352" s="184">
        <f>SUM(I353:I356)</f>
        <v>4200</v>
      </c>
      <c r="J352" s="184">
        <f>SUM(J353:J356)</f>
        <v>4398.87</v>
      </c>
      <c r="K352" s="196"/>
    </row>
    <row r="353" spans="2:13" ht="15" customHeight="1" x14ac:dyDescent="0.15">
      <c r="B353" s="173">
        <v>2900</v>
      </c>
      <c r="D353" s="174" t="s">
        <v>1633</v>
      </c>
      <c r="F353" s="175">
        <v>499710100000000</v>
      </c>
      <c r="G353" s="176" t="s">
        <v>1634</v>
      </c>
      <c r="H353" s="163">
        <f>Parâmetros!D239</f>
        <v>1000</v>
      </c>
      <c r="I353" s="163">
        <f>H353*(1+Parâmetros!E$5)</f>
        <v>1050</v>
      </c>
      <c r="J353" s="163">
        <f>I353*(1+Parâmetros!F$5)</f>
        <v>1099.7175</v>
      </c>
      <c r="K353" s="177">
        <v>1</v>
      </c>
      <c r="M353" s="178"/>
    </row>
    <row r="354" spans="2:13" ht="15" customHeight="1" x14ac:dyDescent="0.15">
      <c r="B354" s="173">
        <v>2901</v>
      </c>
      <c r="D354" s="174" t="s">
        <v>1635</v>
      </c>
      <c r="F354" s="175">
        <v>499710100000000</v>
      </c>
      <c r="G354" s="176" t="s">
        <v>1636</v>
      </c>
      <c r="H354" s="163">
        <f>Parâmetros!D240</f>
        <v>1000</v>
      </c>
      <c r="I354" s="163">
        <f>H354*(1+Parâmetros!E$5)</f>
        <v>1050</v>
      </c>
      <c r="J354" s="163">
        <f>I354*(1+Parâmetros!F$5)</f>
        <v>1099.7175</v>
      </c>
      <c r="K354" s="177">
        <v>1</v>
      </c>
      <c r="M354" s="178"/>
    </row>
    <row r="355" spans="2:13" ht="15" customHeight="1" x14ac:dyDescent="0.15">
      <c r="B355" s="173">
        <v>2902</v>
      </c>
      <c r="D355" s="174" t="s">
        <v>1637</v>
      </c>
      <c r="F355" s="175">
        <v>499710100000000</v>
      </c>
      <c r="G355" s="176" t="s">
        <v>1638</v>
      </c>
      <c r="H355" s="163">
        <f>Parâmetros!D241</f>
        <v>1000</v>
      </c>
      <c r="I355" s="163">
        <f>H355*(1+Parâmetros!E$5)</f>
        <v>1050</v>
      </c>
      <c r="J355" s="163">
        <f>I355*(1+Parâmetros!F$5)</f>
        <v>1099.7175</v>
      </c>
      <c r="K355" s="177">
        <v>1</v>
      </c>
      <c r="M355" s="178"/>
    </row>
    <row r="356" spans="2:13" ht="15" customHeight="1" x14ac:dyDescent="0.15">
      <c r="B356" s="173">
        <v>2903</v>
      </c>
      <c r="D356" s="174" t="s">
        <v>6737</v>
      </c>
      <c r="F356" s="175">
        <v>499710100000000</v>
      </c>
      <c r="G356" s="176" t="s">
        <v>6738</v>
      </c>
      <c r="H356" s="163">
        <f>Parâmetros!D242</f>
        <v>1000</v>
      </c>
      <c r="I356" s="163">
        <f>H356*(1+Parâmetros!E$5)</f>
        <v>1050</v>
      </c>
      <c r="J356" s="163">
        <f>I356*(1+Parâmetros!F$5)</f>
        <v>1099.7175</v>
      </c>
      <c r="K356" s="177">
        <v>1</v>
      </c>
      <c r="M356" s="178"/>
    </row>
    <row r="357" spans="2:13" s="192" customFormat="1" ht="15" customHeight="1" x14ac:dyDescent="0.15">
      <c r="B357" s="191"/>
      <c r="D357" s="193" t="s">
        <v>1857</v>
      </c>
      <c r="F357" s="194"/>
      <c r="G357" s="170" t="s">
        <v>1858</v>
      </c>
      <c r="H357" s="184">
        <f>H358</f>
        <v>1039000</v>
      </c>
      <c r="I357" s="184">
        <f>I358</f>
        <v>1363950</v>
      </c>
      <c r="J357" s="184">
        <f>J358</f>
        <v>1428533.0325</v>
      </c>
      <c r="K357" s="195"/>
    </row>
    <row r="358" spans="2:13" s="192" customFormat="1" ht="15" customHeight="1" x14ac:dyDescent="0.15">
      <c r="B358" s="191"/>
      <c r="D358" s="193" t="s">
        <v>1864</v>
      </c>
      <c r="F358" s="194"/>
      <c r="G358" s="170" t="s">
        <v>1859</v>
      </c>
      <c r="H358" s="184">
        <f>H359+'ORCAMENTO RECEITA ANALITICO'!H367</f>
        <v>1039000</v>
      </c>
      <c r="I358" s="184">
        <f>I359+'ORCAMENTO RECEITA ANALITICO'!I367</f>
        <v>1363950</v>
      </c>
      <c r="J358" s="184">
        <f>J359+'ORCAMENTO RECEITA ANALITICO'!J367</f>
        <v>1428533.0325</v>
      </c>
      <c r="K358" s="195"/>
    </row>
    <row r="359" spans="2:13" s="192" customFormat="1" ht="15" customHeight="1" x14ac:dyDescent="0.15">
      <c r="B359" s="191"/>
      <c r="D359" s="193" t="s">
        <v>1863</v>
      </c>
      <c r="F359" s="194"/>
      <c r="G359" s="170" t="s">
        <v>1860</v>
      </c>
      <c r="H359" s="200">
        <f>H360+H363</f>
        <v>459000</v>
      </c>
      <c r="I359" s="200">
        <f>I360+I363</f>
        <v>481950</v>
      </c>
      <c r="J359" s="200">
        <f>J360+J363</f>
        <v>504770.33250000002</v>
      </c>
      <c r="K359" s="195"/>
    </row>
    <row r="360" spans="2:13" s="192" customFormat="1" ht="15" customHeight="1" x14ac:dyDescent="0.15">
      <c r="D360" s="193" t="s">
        <v>1862</v>
      </c>
      <c r="G360" s="192" t="s">
        <v>1861</v>
      </c>
      <c r="H360" s="184">
        <f>SUM(H361:H362)</f>
        <v>125000</v>
      </c>
      <c r="I360" s="184">
        <f>SUM(I361:I362)</f>
        <v>131250</v>
      </c>
      <c r="J360" s="184">
        <f>SUM(J361:J362)</f>
        <v>137464.6875</v>
      </c>
      <c r="K360" s="196"/>
    </row>
    <row r="361" spans="2:13" ht="15" customHeight="1" x14ac:dyDescent="0.15">
      <c r="B361" s="183">
        <v>3000</v>
      </c>
      <c r="D361" s="174" t="s">
        <v>1865</v>
      </c>
      <c r="F361" s="175">
        <v>452131600000000</v>
      </c>
      <c r="G361" s="176" t="s">
        <v>1866</v>
      </c>
      <c r="H361" s="163">
        <f>Parâmetros!D243</f>
        <v>75000</v>
      </c>
      <c r="I361" s="163">
        <f>H361*(1+Parâmetros!E$5)</f>
        <v>78750</v>
      </c>
      <c r="J361" s="163">
        <f>I361*(1+Parâmetros!F$5)</f>
        <v>82478.8125</v>
      </c>
      <c r="K361" s="169">
        <v>4935</v>
      </c>
      <c r="M361" s="178"/>
    </row>
    <row r="362" spans="2:13" ht="15" customHeight="1" x14ac:dyDescent="0.15">
      <c r="B362" s="183">
        <v>3001</v>
      </c>
      <c r="D362" s="174" t="s">
        <v>1865</v>
      </c>
      <c r="F362" s="175">
        <v>452131600000000</v>
      </c>
      <c r="G362" s="176" t="s">
        <v>7792</v>
      </c>
      <c r="H362" s="163">
        <f>Parâmetros!D244</f>
        <v>50000</v>
      </c>
      <c r="I362" s="163">
        <f>H362*(1+Parâmetros!E$5)</f>
        <v>52500</v>
      </c>
      <c r="J362" s="163">
        <f>I362*(1+Parâmetros!F$5)</f>
        <v>54985.875</v>
      </c>
      <c r="K362" s="169">
        <v>4940</v>
      </c>
      <c r="M362" s="178"/>
    </row>
    <row r="363" spans="2:13" s="192" customFormat="1" ht="15" customHeight="1" x14ac:dyDescent="0.15">
      <c r="D363" s="193" t="s">
        <v>1867</v>
      </c>
      <c r="G363" s="192" t="s">
        <v>1797</v>
      </c>
      <c r="H363" s="184">
        <f>SUM(H364:H366)</f>
        <v>334000</v>
      </c>
      <c r="I363" s="184">
        <f>SUM(I364:I366)</f>
        <v>350700</v>
      </c>
      <c r="J363" s="184">
        <f>SUM(J364:J366)</f>
        <v>367305.64500000002</v>
      </c>
      <c r="K363" s="196"/>
    </row>
    <row r="364" spans="2:13" ht="15" customHeight="1" x14ac:dyDescent="0.15">
      <c r="B364" s="173">
        <v>3100</v>
      </c>
      <c r="D364" s="174" t="s">
        <v>6742</v>
      </c>
      <c r="F364" s="175">
        <v>452131600000000</v>
      </c>
      <c r="G364" s="543" t="s">
        <v>6743</v>
      </c>
      <c r="H364" s="163">
        <f>Parâmetros!D245</f>
        <v>136500</v>
      </c>
      <c r="I364" s="163">
        <f>H364*(1+Parâmetros!E$5)</f>
        <v>143325</v>
      </c>
      <c r="J364" s="163">
        <f>I364*(1+Parâmetros!F$5)</f>
        <v>150111.43875</v>
      </c>
      <c r="K364" s="177">
        <v>1156</v>
      </c>
      <c r="M364" s="178"/>
    </row>
    <row r="365" spans="2:13" ht="15" customHeight="1" x14ac:dyDescent="0.15">
      <c r="B365" s="173">
        <v>3101</v>
      </c>
      <c r="D365" s="174" t="s">
        <v>6747</v>
      </c>
      <c r="F365" s="175">
        <v>452131600000000</v>
      </c>
      <c r="G365" s="176" t="s">
        <v>6746</v>
      </c>
      <c r="H365" s="163">
        <f>Parâmetros!D246</f>
        <v>97500</v>
      </c>
      <c r="I365" s="163">
        <f>H365*(1+Parâmetros!E$5)</f>
        <v>102375</v>
      </c>
      <c r="J365" s="163">
        <f>I365*(1+Parâmetros!F$5)</f>
        <v>107222.45625</v>
      </c>
      <c r="K365" s="177">
        <v>1156</v>
      </c>
      <c r="M365" s="178"/>
    </row>
    <row r="366" spans="2:13" ht="15" customHeight="1" x14ac:dyDescent="0.15">
      <c r="B366" s="173">
        <v>3102</v>
      </c>
      <c r="D366" s="174" t="s">
        <v>6748</v>
      </c>
      <c r="F366" s="175">
        <v>452131600000000</v>
      </c>
      <c r="G366" s="176" t="s">
        <v>6749</v>
      </c>
      <c r="H366" s="163">
        <f>Parâmetros!D247</f>
        <v>100000</v>
      </c>
      <c r="I366" s="163">
        <f>H366*(1+Parâmetros!E$5)</f>
        <v>105000</v>
      </c>
      <c r="J366" s="163">
        <f>I366*(1+Parâmetros!F$5)</f>
        <v>109971.75</v>
      </c>
      <c r="K366" s="177">
        <v>1157</v>
      </c>
      <c r="M366" s="178"/>
    </row>
    <row r="367" spans="2:13" s="192" customFormat="1" ht="24" customHeight="1" x14ac:dyDescent="0.15">
      <c r="D367" s="193" t="s">
        <v>1868</v>
      </c>
      <c r="G367" s="171" t="s">
        <v>1800</v>
      </c>
      <c r="H367" s="184">
        <f>H368+H378+H376</f>
        <v>580000</v>
      </c>
      <c r="I367" s="184">
        <f>I368+I378+I376</f>
        <v>882000</v>
      </c>
      <c r="J367" s="184">
        <f>J368+J378+J376</f>
        <v>923762.7</v>
      </c>
      <c r="K367" s="196"/>
    </row>
    <row r="368" spans="2:13" s="192" customFormat="1" ht="15" customHeight="1" x14ac:dyDescent="0.15">
      <c r="D368" s="193" t="s">
        <v>1869</v>
      </c>
      <c r="G368" s="192" t="s">
        <v>1870</v>
      </c>
      <c r="H368" s="184">
        <f>SUM(H369:H375)</f>
        <v>325000</v>
      </c>
      <c r="I368" s="184">
        <f>SUM(I369:I375)</f>
        <v>341250</v>
      </c>
      <c r="J368" s="184">
        <f>SUM(J369:J375)</f>
        <v>357408.1875</v>
      </c>
      <c r="K368" s="196"/>
    </row>
    <row r="369" spans="2:13" ht="15" customHeight="1" x14ac:dyDescent="0.15">
      <c r="B369" s="173">
        <v>3200</v>
      </c>
      <c r="D369" s="174" t="s">
        <v>6798</v>
      </c>
      <c r="F369" s="175">
        <v>452140800000000</v>
      </c>
      <c r="G369" s="176" t="s">
        <v>6773</v>
      </c>
      <c r="H369" s="163">
        <f>Parâmetros!D248</f>
        <v>35000</v>
      </c>
      <c r="I369" s="163">
        <f>H369*(1+Parâmetros!E$5)</f>
        <v>36750</v>
      </c>
      <c r="J369" s="163">
        <f>I369*(1+Parâmetros!F$5)</f>
        <v>38490.112500000003</v>
      </c>
      <c r="K369" s="177">
        <v>4295</v>
      </c>
      <c r="M369" s="178"/>
    </row>
    <row r="370" spans="2:13" ht="15" customHeight="1" x14ac:dyDescent="0.15">
      <c r="B370" s="173">
        <v>3201</v>
      </c>
      <c r="D370" s="174" t="s">
        <v>6799</v>
      </c>
      <c r="F370" s="175">
        <v>452140800000000</v>
      </c>
      <c r="G370" s="176" t="s">
        <v>6775</v>
      </c>
      <c r="H370" s="163">
        <f>Parâmetros!D249</f>
        <v>60000</v>
      </c>
      <c r="I370" s="163">
        <f>H370*(1+Parâmetros!E$5)</f>
        <v>63000</v>
      </c>
      <c r="J370" s="163">
        <f>I370*(1+Parâmetros!F$5)</f>
        <v>65983.05</v>
      </c>
      <c r="K370" s="181">
        <v>4293</v>
      </c>
    </row>
    <row r="371" spans="2:13" ht="15" customHeight="1" x14ac:dyDescent="0.15">
      <c r="B371" s="173">
        <v>3202</v>
      </c>
      <c r="D371" s="174" t="s">
        <v>6800</v>
      </c>
      <c r="F371" s="175">
        <v>452140800000000</v>
      </c>
      <c r="G371" s="168" t="s">
        <v>6778</v>
      </c>
      <c r="H371" s="163">
        <f>Parâmetros!D250</f>
        <v>30000</v>
      </c>
      <c r="I371" s="163">
        <f>H371*(1+Parâmetros!E$5)</f>
        <v>31500</v>
      </c>
      <c r="J371" s="163">
        <f>I371*(1+Parâmetros!F$5)</f>
        <v>32991.525000000001</v>
      </c>
      <c r="K371" s="181">
        <v>4293</v>
      </c>
    </row>
    <row r="372" spans="2:13" ht="15" customHeight="1" x14ac:dyDescent="0.15">
      <c r="B372" s="173">
        <v>3203</v>
      </c>
      <c r="D372" s="174" t="s">
        <v>7795</v>
      </c>
      <c r="F372" s="175">
        <v>452140800000000</v>
      </c>
      <c r="G372" s="168" t="s">
        <v>7794</v>
      </c>
      <c r="H372" s="163">
        <f>Parâmetros!D251</f>
        <v>65000</v>
      </c>
      <c r="I372" s="163">
        <f>H372*(1+Parâmetros!E$5)</f>
        <v>68250</v>
      </c>
      <c r="J372" s="163">
        <f>I372*(1+Parâmetros!F$5)</f>
        <v>71481.637499999997</v>
      </c>
      <c r="K372" s="181">
        <v>4293</v>
      </c>
    </row>
    <row r="373" spans="2:13" ht="15" customHeight="1" x14ac:dyDescent="0.15">
      <c r="B373" s="173">
        <v>3204</v>
      </c>
      <c r="D373" s="174" t="s">
        <v>7797</v>
      </c>
      <c r="F373" s="175">
        <v>452140800000000</v>
      </c>
      <c r="G373" s="168" t="s">
        <v>7796</v>
      </c>
      <c r="H373" s="163">
        <f>Parâmetros!D252</f>
        <v>50000</v>
      </c>
      <c r="I373" s="163">
        <f>H373*(1+Parâmetros!E$5)</f>
        <v>52500</v>
      </c>
      <c r="J373" s="163">
        <f>I373*(1+Parâmetros!F$5)</f>
        <v>54985.875</v>
      </c>
      <c r="K373" s="181">
        <v>4292</v>
      </c>
    </row>
    <row r="374" spans="2:13" ht="15" customHeight="1" x14ac:dyDescent="0.15">
      <c r="B374" s="173">
        <v>3205</v>
      </c>
      <c r="D374" s="174" t="s">
        <v>7799</v>
      </c>
      <c r="F374" s="175">
        <v>452140800000000</v>
      </c>
      <c r="G374" s="168" t="s">
        <v>7798</v>
      </c>
      <c r="H374" s="163">
        <f>Parâmetros!D253</f>
        <v>50000</v>
      </c>
      <c r="I374" s="163">
        <f>H374*(1+Parâmetros!E$5)</f>
        <v>52500</v>
      </c>
      <c r="J374" s="163">
        <f>I374*(1+Parâmetros!F$5)</f>
        <v>54985.875</v>
      </c>
      <c r="K374" s="181">
        <v>4070</v>
      </c>
    </row>
    <row r="375" spans="2:13" ht="15" customHeight="1" x14ac:dyDescent="0.15">
      <c r="B375" s="173">
        <v>3206</v>
      </c>
      <c r="D375" s="174" t="s">
        <v>7800</v>
      </c>
      <c r="F375" s="175">
        <v>452140800000000</v>
      </c>
      <c r="G375" s="168" t="s">
        <v>7801</v>
      </c>
      <c r="H375" s="163">
        <f>Parâmetros!D254</f>
        <v>35000</v>
      </c>
      <c r="I375" s="163">
        <f>H375*(1+Parâmetros!E$5)</f>
        <v>36750</v>
      </c>
      <c r="J375" s="163">
        <f>I375*(1+Parâmetros!F$5)</f>
        <v>38490.112500000003</v>
      </c>
      <c r="K375" s="181">
        <v>4241</v>
      </c>
    </row>
    <row r="376" spans="2:13" s="192" customFormat="1" ht="15" customHeight="1" x14ac:dyDescent="0.15">
      <c r="D376" s="193" t="s">
        <v>6751</v>
      </c>
      <c r="G376" s="192" t="s">
        <v>6752</v>
      </c>
      <c r="H376" s="184">
        <f>SUM(H377)</f>
        <v>30000</v>
      </c>
      <c r="I376" s="184">
        <f>SUM(I377:I379)</f>
        <v>304500</v>
      </c>
      <c r="J376" s="184">
        <f>SUM(J377:J379)</f>
        <v>318918.07500000001</v>
      </c>
      <c r="K376" s="196"/>
    </row>
    <row r="377" spans="2:13" ht="15" customHeight="1" x14ac:dyDescent="0.15">
      <c r="B377" s="173">
        <v>3300</v>
      </c>
      <c r="D377" s="174" t="s">
        <v>6753</v>
      </c>
      <c r="F377" s="175">
        <v>452140800000000</v>
      </c>
      <c r="G377" s="176" t="s">
        <v>6755</v>
      </c>
      <c r="H377" s="163">
        <f>Parâmetros!D255</f>
        <v>30000</v>
      </c>
      <c r="I377" s="163">
        <f>H377*(1+Parâmetros!E$5)</f>
        <v>31500</v>
      </c>
      <c r="J377" s="163">
        <f>I377*(1+Parâmetros!F$5)</f>
        <v>32991.525000000001</v>
      </c>
      <c r="K377" s="177">
        <v>1158</v>
      </c>
      <c r="M377" s="178"/>
    </row>
    <row r="378" spans="2:13" s="192" customFormat="1" ht="15" customHeight="1" x14ac:dyDescent="0.15">
      <c r="B378" s="198"/>
      <c r="D378" s="193" t="s">
        <v>1920</v>
      </c>
      <c r="F378" s="194"/>
      <c r="G378" s="170" t="s">
        <v>1919</v>
      </c>
      <c r="H378" s="184">
        <f>SUM(H379:H383)</f>
        <v>225000</v>
      </c>
      <c r="I378" s="184">
        <f>SUM(I379:I383)</f>
        <v>236250</v>
      </c>
      <c r="J378" s="184">
        <f>SUM(J379:J383)</f>
        <v>247436.4375</v>
      </c>
      <c r="K378" s="195"/>
      <c r="M378" s="199"/>
    </row>
    <row r="379" spans="2:13" ht="15" customHeight="1" x14ac:dyDescent="0.15">
      <c r="B379" s="183">
        <v>3400</v>
      </c>
      <c r="D379" s="174" t="s">
        <v>6756</v>
      </c>
      <c r="F379" s="175">
        <v>452140800000000</v>
      </c>
      <c r="G379" s="176" t="s">
        <v>6758</v>
      </c>
      <c r="H379" s="163">
        <f>Parâmetros!D256</f>
        <v>35000</v>
      </c>
      <c r="I379" s="163">
        <f>H379*(1+Parâmetros!E$5)</f>
        <v>36750</v>
      </c>
      <c r="J379" s="163">
        <f>I379*(1+Parâmetros!F$5)</f>
        <v>38490.112500000003</v>
      </c>
      <c r="K379" s="177">
        <v>1159</v>
      </c>
      <c r="M379" s="178"/>
    </row>
    <row r="380" spans="2:13" ht="15" customHeight="1" x14ac:dyDescent="0.15">
      <c r="B380" s="183">
        <v>3401</v>
      </c>
      <c r="D380" s="174" t="s">
        <v>6759</v>
      </c>
      <c r="F380" s="175">
        <v>452140800000000</v>
      </c>
      <c r="G380" s="176" t="s">
        <v>6761</v>
      </c>
      <c r="H380" s="163">
        <f>Parâmetros!D257</f>
        <v>35000</v>
      </c>
      <c r="I380" s="163">
        <f>H380*(1+Parâmetros!E$5)</f>
        <v>36750</v>
      </c>
      <c r="J380" s="163">
        <f>I380*(1+Parâmetros!F$5)</f>
        <v>38490.112500000003</v>
      </c>
      <c r="K380" s="177">
        <v>1159</v>
      </c>
      <c r="M380" s="178"/>
    </row>
    <row r="381" spans="2:13" ht="15" customHeight="1" x14ac:dyDescent="0.15">
      <c r="B381" s="183">
        <v>3402</v>
      </c>
      <c r="D381" s="174" t="s">
        <v>6767</v>
      </c>
      <c r="F381" s="175">
        <v>452140800000000</v>
      </c>
      <c r="G381" s="176" t="s">
        <v>6768</v>
      </c>
      <c r="H381" s="163">
        <f>Parâmetros!D258</f>
        <v>5000</v>
      </c>
      <c r="I381" s="163">
        <f>H381*(1+Parâmetros!E$5)</f>
        <v>5250</v>
      </c>
      <c r="J381" s="163">
        <f>I381*(1+Parâmetros!F$5)</f>
        <v>5498.5874999999996</v>
      </c>
      <c r="K381" s="177">
        <v>1159</v>
      </c>
      <c r="M381" s="178"/>
    </row>
    <row r="382" spans="2:13" ht="15" customHeight="1" x14ac:dyDescent="0.15">
      <c r="B382" s="183">
        <v>3403</v>
      </c>
      <c r="D382" s="174" t="s">
        <v>6770</v>
      </c>
      <c r="F382" s="175">
        <v>452140800000000</v>
      </c>
      <c r="G382" s="176" t="s">
        <v>6771</v>
      </c>
      <c r="H382" s="163">
        <f>Parâmetros!D259</f>
        <v>50000</v>
      </c>
      <c r="I382" s="163">
        <f>H382*(1+Parâmetros!E$5)</f>
        <v>52500</v>
      </c>
      <c r="J382" s="163">
        <f>I382*(1+Parâmetros!F$5)</f>
        <v>54985.875</v>
      </c>
      <c r="K382" s="177">
        <v>1159</v>
      </c>
      <c r="M382" s="178"/>
    </row>
    <row r="383" spans="2:13" ht="15" customHeight="1" x14ac:dyDescent="0.15">
      <c r="B383" s="183">
        <v>3404</v>
      </c>
      <c r="D383" s="174" t="s">
        <v>6779</v>
      </c>
      <c r="F383" s="175">
        <v>452140800000000</v>
      </c>
      <c r="G383" s="176" t="s">
        <v>6780</v>
      </c>
      <c r="H383" s="163">
        <f>Parâmetros!D260</f>
        <v>100000</v>
      </c>
      <c r="I383" s="163">
        <f>H383*(1+Parâmetros!E$5)</f>
        <v>105000</v>
      </c>
      <c r="J383" s="163">
        <f>I383*(1+Parâmetros!F$5)</f>
        <v>109971.75</v>
      </c>
      <c r="K383" s="177">
        <v>1160</v>
      </c>
      <c r="M383" s="178"/>
    </row>
    <row r="384" spans="2:13" s="192" customFormat="1" ht="15" customHeight="1" x14ac:dyDescent="0.15">
      <c r="D384" s="193" t="s">
        <v>1871</v>
      </c>
      <c r="F384" s="194"/>
      <c r="G384" s="170" t="s">
        <v>1874</v>
      </c>
      <c r="H384" s="184">
        <f t="shared" ref="H384:J385" si="2">H385</f>
        <v>16600</v>
      </c>
      <c r="I384" s="184">
        <f t="shared" si="2"/>
        <v>17430</v>
      </c>
      <c r="J384" s="184">
        <f t="shared" si="2"/>
        <v>18255.310500000011</v>
      </c>
      <c r="K384" s="195"/>
    </row>
    <row r="385" spans="2:13" s="192" customFormat="1" ht="15" customHeight="1" x14ac:dyDescent="0.15">
      <c r="D385" s="193" t="s">
        <v>1872</v>
      </c>
      <c r="F385" s="194"/>
      <c r="G385" s="170" t="s">
        <v>1850</v>
      </c>
      <c r="H385" s="184">
        <f t="shared" si="2"/>
        <v>16600</v>
      </c>
      <c r="I385" s="184">
        <f t="shared" si="2"/>
        <v>17430</v>
      </c>
      <c r="J385" s="184">
        <f t="shared" si="2"/>
        <v>18255.310500000011</v>
      </c>
      <c r="K385" s="195"/>
    </row>
    <row r="386" spans="2:13" s="192" customFormat="1" ht="15" customHeight="1" x14ac:dyDescent="0.15">
      <c r="D386" s="193" t="s">
        <v>1873</v>
      </c>
      <c r="G386" s="192" t="s">
        <v>1716</v>
      </c>
      <c r="H386" s="184">
        <f>SUM(H387:H414)</f>
        <v>16600</v>
      </c>
      <c r="I386" s="184">
        <f>SUM(I387:I414)</f>
        <v>17430</v>
      </c>
      <c r="J386" s="184">
        <f>SUM(J387:J414)</f>
        <v>18255.310500000011</v>
      </c>
      <c r="K386" s="196"/>
    </row>
    <row r="387" spans="2:13" ht="15" customHeight="1" x14ac:dyDescent="0.15">
      <c r="B387" s="173">
        <v>3500</v>
      </c>
      <c r="D387" s="174" t="s">
        <v>1639</v>
      </c>
      <c r="F387" s="175">
        <v>445210100000000</v>
      </c>
      <c r="G387" s="176" t="s">
        <v>1640</v>
      </c>
      <c r="H387" s="163">
        <f>Parâmetros!D261</f>
        <v>1000</v>
      </c>
      <c r="I387" s="163">
        <f>H387*(1+Parâmetros!E$5)</f>
        <v>1050</v>
      </c>
      <c r="J387" s="163">
        <f>I387*(1+Parâmetros!F$5)</f>
        <v>1099.7175</v>
      </c>
      <c r="K387" s="177">
        <v>4931</v>
      </c>
      <c r="M387" s="178"/>
    </row>
    <row r="388" spans="2:13" ht="15" customHeight="1" x14ac:dyDescent="0.15">
      <c r="B388" s="173">
        <v>3501</v>
      </c>
      <c r="D388" s="174" t="s">
        <v>1641</v>
      </c>
      <c r="F388" s="175">
        <v>445210100000000</v>
      </c>
      <c r="G388" s="176" t="s">
        <v>1642</v>
      </c>
      <c r="H388" s="163">
        <f>Parâmetros!D262</f>
        <v>1500</v>
      </c>
      <c r="I388" s="163">
        <f>H388*(1+Parâmetros!E$5)</f>
        <v>1575</v>
      </c>
      <c r="J388" s="163">
        <f>I388*(1+Parâmetros!F$5)</f>
        <v>1649.5762500000001</v>
      </c>
      <c r="K388" s="177">
        <v>1053</v>
      </c>
      <c r="M388" s="178"/>
    </row>
    <row r="389" spans="2:13" ht="15" customHeight="1" x14ac:dyDescent="0.15">
      <c r="B389" s="173">
        <v>3502</v>
      </c>
      <c r="D389" s="174" t="s">
        <v>1643</v>
      </c>
      <c r="F389" s="175">
        <v>445210100000000</v>
      </c>
      <c r="G389" s="176" t="s">
        <v>1644</v>
      </c>
      <c r="H389" s="163">
        <f>Parâmetros!D263</f>
        <v>5000</v>
      </c>
      <c r="I389" s="163">
        <f>H389*(1+Parâmetros!E$5)</f>
        <v>5250</v>
      </c>
      <c r="J389" s="163">
        <f>I389*(1+Parâmetros!F$5)</f>
        <v>5498.5874999999996</v>
      </c>
      <c r="K389" s="177">
        <v>1076</v>
      </c>
      <c r="M389" s="178"/>
    </row>
    <row r="390" spans="2:13" ht="15" customHeight="1" x14ac:dyDescent="0.15">
      <c r="B390" s="173">
        <v>3503</v>
      </c>
      <c r="D390" s="174" t="s">
        <v>1646</v>
      </c>
      <c r="F390" s="175">
        <v>445210100000000</v>
      </c>
      <c r="G390" s="182" t="s">
        <v>1647</v>
      </c>
      <c r="H390" s="163">
        <f>Parâmetros!D264</f>
        <v>1000</v>
      </c>
      <c r="I390" s="163">
        <f>H390*(1+Parâmetros!E$5)</f>
        <v>1050</v>
      </c>
      <c r="J390" s="163">
        <f>I390*(1+Parâmetros!F$5)</f>
        <v>1099.7175</v>
      </c>
      <c r="K390" s="177">
        <v>1091</v>
      </c>
      <c r="M390" s="178"/>
    </row>
    <row r="391" spans="2:13" ht="15" customHeight="1" x14ac:dyDescent="0.15">
      <c r="B391" s="173">
        <v>3504</v>
      </c>
      <c r="D391" s="174" t="s">
        <v>1648</v>
      </c>
      <c r="F391" s="175">
        <v>445210100000000</v>
      </c>
      <c r="G391" s="182" t="s">
        <v>1649</v>
      </c>
      <c r="H391" s="163">
        <f>Parâmetros!D265</f>
        <v>100</v>
      </c>
      <c r="I391" s="163">
        <f>H391*(1+Parâmetros!E$5)</f>
        <v>105</v>
      </c>
      <c r="J391" s="163">
        <f>I391*(1+Parâmetros!F$5)</f>
        <v>109.97175</v>
      </c>
      <c r="K391" s="177">
        <v>4935</v>
      </c>
      <c r="M391" s="178"/>
    </row>
    <row r="392" spans="2:13" ht="15" customHeight="1" x14ac:dyDescent="0.15">
      <c r="B392" s="173">
        <v>3505</v>
      </c>
      <c r="D392" s="174" t="s">
        <v>1650</v>
      </c>
      <c r="F392" s="175">
        <v>445210100000000</v>
      </c>
      <c r="G392" s="176" t="s">
        <v>1645</v>
      </c>
      <c r="H392" s="163">
        <f>Parâmetros!D266</f>
        <v>100</v>
      </c>
      <c r="I392" s="163">
        <f>H392*(1+Parâmetros!E$5)</f>
        <v>105</v>
      </c>
      <c r="J392" s="163">
        <f>I392*(1+Parâmetros!F$5)</f>
        <v>109.97175</v>
      </c>
      <c r="K392" s="177">
        <v>4293</v>
      </c>
      <c r="M392" s="178"/>
    </row>
    <row r="393" spans="2:13" ht="15" customHeight="1" x14ac:dyDescent="0.15">
      <c r="B393" s="173">
        <v>3506</v>
      </c>
      <c r="D393" s="174" t="s">
        <v>6782</v>
      </c>
      <c r="F393" s="175">
        <v>445210100000000</v>
      </c>
      <c r="G393" s="176" t="s">
        <v>6801</v>
      </c>
      <c r="H393" s="163">
        <f>Parâmetros!D267</f>
        <v>100</v>
      </c>
      <c r="I393" s="163">
        <f>H393*(1+Parâmetros!E$5)</f>
        <v>105</v>
      </c>
      <c r="J393" s="163">
        <f>I393*(1+Parâmetros!F$5)</f>
        <v>109.97175</v>
      </c>
      <c r="K393" s="177">
        <v>4241</v>
      </c>
      <c r="M393" s="178"/>
    </row>
    <row r="394" spans="2:13" ht="15" customHeight="1" x14ac:dyDescent="0.15">
      <c r="B394" s="173">
        <v>3507</v>
      </c>
      <c r="D394" s="174" t="s">
        <v>1957</v>
      </c>
      <c r="F394" s="175">
        <v>445210100000000</v>
      </c>
      <c r="G394" s="176" t="s">
        <v>6784</v>
      </c>
      <c r="H394" s="163">
        <f>Parâmetros!D268</f>
        <v>5000</v>
      </c>
      <c r="I394" s="163">
        <f>H394*(1+Parâmetros!E$5)</f>
        <v>5250</v>
      </c>
      <c r="J394" s="163">
        <f>I394*(1+Parâmetros!F$5)</f>
        <v>5498.5874999999996</v>
      </c>
      <c r="K394" s="177">
        <v>1127</v>
      </c>
      <c r="M394" s="178"/>
    </row>
    <row r="395" spans="2:13" ht="15" customHeight="1" x14ac:dyDescent="0.15">
      <c r="B395" s="173">
        <v>3508</v>
      </c>
      <c r="D395" s="174" t="s">
        <v>1933</v>
      </c>
      <c r="F395" s="175">
        <v>445210100000000</v>
      </c>
      <c r="G395" s="176" t="s">
        <v>1921</v>
      </c>
      <c r="H395" s="163">
        <f>Parâmetros!D269</f>
        <v>100</v>
      </c>
      <c r="I395" s="163">
        <f>H395*(1+Parâmetros!E$5)</f>
        <v>105</v>
      </c>
      <c r="J395" s="163">
        <f>I395*(1+Parâmetros!F$5)</f>
        <v>109.97175</v>
      </c>
      <c r="K395" s="177">
        <v>1143</v>
      </c>
      <c r="M395" s="178"/>
    </row>
    <row r="396" spans="2:13" ht="15" customHeight="1" x14ac:dyDescent="0.15">
      <c r="B396" s="173">
        <v>3509</v>
      </c>
      <c r="D396" s="174" t="s">
        <v>1934</v>
      </c>
      <c r="F396" s="175">
        <v>445210100000000</v>
      </c>
      <c r="G396" s="176" t="s">
        <v>1922</v>
      </c>
      <c r="H396" s="163">
        <f>Parâmetros!D270</f>
        <v>500</v>
      </c>
      <c r="I396" s="163">
        <f>H396*(1+Parâmetros!E$5)</f>
        <v>525</v>
      </c>
      <c r="J396" s="163">
        <f>I396*(1+Parâmetros!F$5)</f>
        <v>549.85874999999999</v>
      </c>
      <c r="K396" s="177">
        <v>1144</v>
      </c>
      <c r="M396" s="178"/>
    </row>
    <row r="397" spans="2:13" ht="15" customHeight="1" x14ac:dyDescent="0.15">
      <c r="B397" s="173">
        <v>3510</v>
      </c>
      <c r="D397" s="174" t="s">
        <v>6816</v>
      </c>
      <c r="F397" s="175">
        <v>445210100000000</v>
      </c>
      <c r="G397" s="543" t="s">
        <v>6802</v>
      </c>
      <c r="H397" s="163">
        <f>Parâmetros!D271</f>
        <v>100</v>
      </c>
      <c r="I397" s="163">
        <f>H397*(1+Parâmetros!E$5)</f>
        <v>105</v>
      </c>
      <c r="J397" s="163">
        <f>I397*(1+Parâmetros!F$5)</f>
        <v>109.97175</v>
      </c>
      <c r="K397" s="177">
        <v>1156</v>
      </c>
      <c r="M397" s="178"/>
    </row>
    <row r="398" spans="2:13" ht="15" customHeight="1" x14ac:dyDescent="0.15">
      <c r="B398" s="173">
        <v>3511</v>
      </c>
      <c r="D398" s="174" t="s">
        <v>6817</v>
      </c>
      <c r="F398" s="175">
        <v>445210100000000</v>
      </c>
      <c r="G398" s="176" t="s">
        <v>6804</v>
      </c>
      <c r="H398" s="163">
        <f>Parâmetros!D272</f>
        <v>100</v>
      </c>
      <c r="I398" s="163">
        <f>H398*(1+Parâmetros!E$5)</f>
        <v>105</v>
      </c>
      <c r="J398" s="163">
        <f>I398*(1+Parâmetros!F$5)</f>
        <v>109.97175</v>
      </c>
      <c r="K398" s="177">
        <v>1156</v>
      </c>
      <c r="M398" s="178"/>
    </row>
    <row r="399" spans="2:13" ht="15" customHeight="1" x14ac:dyDescent="0.15">
      <c r="B399" s="173">
        <v>3512</v>
      </c>
      <c r="D399" s="174" t="s">
        <v>6818</v>
      </c>
      <c r="F399" s="175">
        <v>445210100000000</v>
      </c>
      <c r="G399" s="176" t="s">
        <v>6803</v>
      </c>
      <c r="H399" s="163">
        <f>Parâmetros!D273</f>
        <v>100</v>
      </c>
      <c r="I399" s="163">
        <f>H399*(1+Parâmetros!E$5)</f>
        <v>105</v>
      </c>
      <c r="J399" s="163">
        <f>I399*(1+Parâmetros!F$5)</f>
        <v>109.97175</v>
      </c>
      <c r="K399" s="177">
        <v>1157</v>
      </c>
      <c r="M399" s="178"/>
    </row>
    <row r="400" spans="2:13" ht="15" customHeight="1" x14ac:dyDescent="0.15">
      <c r="B400" s="173">
        <v>3513</v>
      </c>
      <c r="D400" s="174" t="s">
        <v>6819</v>
      </c>
      <c r="F400" s="175">
        <v>445210100000000</v>
      </c>
      <c r="G400" s="176" t="s">
        <v>6805</v>
      </c>
      <c r="H400" s="163">
        <f>Parâmetros!D274</f>
        <v>100</v>
      </c>
      <c r="I400" s="163">
        <f>H400*(1+Parâmetros!E$5)</f>
        <v>105</v>
      </c>
      <c r="J400" s="163">
        <f>I400*(1+Parâmetros!F$5)</f>
        <v>109.97175</v>
      </c>
      <c r="K400" s="177">
        <v>4295</v>
      </c>
      <c r="M400" s="178"/>
    </row>
    <row r="401" spans="2:13" ht="15" customHeight="1" x14ac:dyDescent="0.15">
      <c r="B401" s="173">
        <v>3514</v>
      </c>
      <c r="D401" s="174" t="s">
        <v>6820</v>
      </c>
      <c r="F401" s="175">
        <v>445210100000000</v>
      </c>
      <c r="G401" s="176" t="s">
        <v>6806</v>
      </c>
      <c r="H401" s="163">
        <f>Parâmetros!D275</f>
        <v>100</v>
      </c>
      <c r="I401" s="163">
        <f>H401*(1+Parâmetros!E$5)</f>
        <v>105</v>
      </c>
      <c r="J401" s="163">
        <f>I401*(1+Parâmetros!F$5)</f>
        <v>109.97175</v>
      </c>
      <c r="K401" s="181">
        <v>4293</v>
      </c>
      <c r="M401" s="178"/>
    </row>
    <row r="402" spans="2:13" ht="15" customHeight="1" x14ac:dyDescent="0.15">
      <c r="B402" s="173">
        <v>3515</v>
      </c>
      <c r="D402" s="174" t="s">
        <v>6821</v>
      </c>
      <c r="F402" s="175">
        <v>445210100000000</v>
      </c>
      <c r="G402" s="168" t="s">
        <v>6807</v>
      </c>
      <c r="H402" s="163">
        <f>Parâmetros!D276</f>
        <v>100</v>
      </c>
      <c r="I402" s="163">
        <f>H402*(1+Parâmetros!E$5)</f>
        <v>105</v>
      </c>
      <c r="J402" s="163">
        <f>I402*(1+Parâmetros!F$5)</f>
        <v>109.97175</v>
      </c>
      <c r="K402" s="181">
        <v>4293</v>
      </c>
      <c r="M402" s="178"/>
    </row>
    <row r="403" spans="2:13" ht="15" customHeight="1" x14ac:dyDescent="0.15">
      <c r="B403" s="173">
        <v>3516</v>
      </c>
      <c r="D403" s="174" t="s">
        <v>6822</v>
      </c>
      <c r="F403" s="175">
        <v>445210100000000</v>
      </c>
      <c r="G403" s="176" t="s">
        <v>6808</v>
      </c>
      <c r="H403" s="163">
        <f>Parâmetros!D277</f>
        <v>100</v>
      </c>
      <c r="I403" s="163">
        <f>H403*(1+Parâmetros!E$5)</f>
        <v>105</v>
      </c>
      <c r="J403" s="163">
        <f>I403*(1+Parâmetros!F$5)</f>
        <v>109.97175</v>
      </c>
      <c r="K403" s="177">
        <v>1158</v>
      </c>
      <c r="M403" s="178"/>
    </row>
    <row r="404" spans="2:13" ht="15" customHeight="1" x14ac:dyDescent="0.15">
      <c r="B404" s="173">
        <v>3517</v>
      </c>
      <c r="D404" s="174" t="s">
        <v>6823</v>
      </c>
      <c r="F404" s="175">
        <v>445210100000000</v>
      </c>
      <c r="G404" s="176" t="s">
        <v>6810</v>
      </c>
      <c r="H404" s="163">
        <f>Parâmetros!D278</f>
        <v>100</v>
      </c>
      <c r="I404" s="163">
        <f>H404*(1+Parâmetros!E$5)</f>
        <v>105</v>
      </c>
      <c r="J404" s="163">
        <f>I404*(1+Parâmetros!F$5)</f>
        <v>109.97175</v>
      </c>
      <c r="K404" s="177">
        <v>1159</v>
      </c>
      <c r="M404" s="178"/>
    </row>
    <row r="405" spans="2:13" ht="15" customHeight="1" x14ac:dyDescent="0.15">
      <c r="B405" s="173">
        <v>3518</v>
      </c>
      <c r="D405" s="174" t="s">
        <v>6824</v>
      </c>
      <c r="F405" s="175">
        <v>445210100000000</v>
      </c>
      <c r="G405" s="176" t="s">
        <v>6811</v>
      </c>
      <c r="H405" s="163">
        <f>Parâmetros!D279</f>
        <v>100</v>
      </c>
      <c r="I405" s="163">
        <f>H405*(1+Parâmetros!E$5)</f>
        <v>105</v>
      </c>
      <c r="J405" s="163">
        <f>I405*(1+Parâmetros!F$5)</f>
        <v>109.97175</v>
      </c>
      <c r="K405" s="177">
        <v>1159</v>
      </c>
      <c r="M405" s="178"/>
    </row>
    <row r="406" spans="2:13" ht="15" customHeight="1" x14ac:dyDescent="0.15">
      <c r="B406" s="173">
        <v>3519</v>
      </c>
      <c r="D406" s="174" t="s">
        <v>6825</v>
      </c>
      <c r="F406" s="175">
        <v>445210100000000</v>
      </c>
      <c r="G406" s="176" t="s">
        <v>6812</v>
      </c>
      <c r="H406" s="163">
        <f>Parâmetros!D280</f>
        <v>100</v>
      </c>
      <c r="I406" s="163">
        <f>H406*(1+Parâmetros!E$5)</f>
        <v>105</v>
      </c>
      <c r="J406" s="163">
        <f>I406*(1+Parâmetros!F$5)</f>
        <v>109.97175</v>
      </c>
      <c r="K406" s="177">
        <v>1159</v>
      </c>
      <c r="M406" s="178"/>
    </row>
    <row r="407" spans="2:13" ht="15" customHeight="1" x14ac:dyDescent="0.15">
      <c r="B407" s="173">
        <v>3520</v>
      </c>
      <c r="D407" s="174" t="s">
        <v>6826</v>
      </c>
      <c r="F407" s="175">
        <v>445210100000000</v>
      </c>
      <c r="G407" s="176" t="s">
        <v>6814</v>
      </c>
      <c r="H407" s="163">
        <f>Parâmetros!D281</f>
        <v>100</v>
      </c>
      <c r="I407" s="163">
        <f>H407*(1+Parâmetros!E$5)</f>
        <v>105</v>
      </c>
      <c r="J407" s="163">
        <f>I407*(1+Parâmetros!F$5)</f>
        <v>109.97175</v>
      </c>
      <c r="K407" s="177">
        <v>1159</v>
      </c>
      <c r="M407" s="178"/>
    </row>
    <row r="408" spans="2:13" ht="15" customHeight="1" x14ac:dyDescent="0.15">
      <c r="B408" s="173">
        <v>3521</v>
      </c>
      <c r="D408" s="174" t="s">
        <v>6809</v>
      </c>
      <c r="F408" s="175">
        <v>445210100000000</v>
      </c>
      <c r="G408" s="176" t="s">
        <v>6813</v>
      </c>
      <c r="H408" s="163">
        <f>Parâmetros!D282</f>
        <v>100</v>
      </c>
      <c r="I408" s="163">
        <f>H408*(1+Parâmetros!E$5)</f>
        <v>105</v>
      </c>
      <c r="J408" s="163">
        <f>I408*(1+Parâmetros!F$5)</f>
        <v>109.97175</v>
      </c>
      <c r="K408" s="177">
        <v>1160</v>
      </c>
      <c r="M408" s="178"/>
    </row>
    <row r="409" spans="2:13" ht="15" customHeight="1" x14ac:dyDescent="0.15">
      <c r="B409" s="173">
        <v>3522</v>
      </c>
      <c r="D409" s="174" t="s">
        <v>7802</v>
      </c>
      <c r="F409" s="175">
        <v>445210100000000</v>
      </c>
      <c r="G409" s="176" t="s">
        <v>7792</v>
      </c>
      <c r="H409" s="163">
        <f>Parâmetros!D283</f>
        <v>100</v>
      </c>
      <c r="I409" s="163">
        <f>H409*(1+Parâmetros!E$5)</f>
        <v>105</v>
      </c>
      <c r="J409" s="163">
        <f>I409*(1+Parâmetros!F$5)</f>
        <v>109.97175</v>
      </c>
      <c r="K409" s="177">
        <v>4940</v>
      </c>
      <c r="M409" s="178"/>
    </row>
    <row r="410" spans="2:13" ht="15" customHeight="1" x14ac:dyDescent="0.15">
      <c r="B410" s="173">
        <v>3523</v>
      </c>
      <c r="D410" s="174" t="s">
        <v>7803</v>
      </c>
      <c r="F410" s="175">
        <v>445210100000000</v>
      </c>
      <c r="G410" s="168" t="s">
        <v>7794</v>
      </c>
      <c r="H410" s="163">
        <f>Parâmetros!D284</f>
        <v>100</v>
      </c>
      <c r="I410" s="163">
        <f>H410*(1+Parâmetros!E$5)</f>
        <v>105</v>
      </c>
      <c r="J410" s="163">
        <f>I410*(1+Parâmetros!F$5)</f>
        <v>109.97175</v>
      </c>
      <c r="K410" s="181">
        <v>4293</v>
      </c>
      <c r="M410" s="178"/>
    </row>
    <row r="411" spans="2:13" ht="15" customHeight="1" x14ac:dyDescent="0.15">
      <c r="B411" s="173">
        <v>3524</v>
      </c>
      <c r="D411" s="174" t="s">
        <v>7804</v>
      </c>
      <c r="F411" s="175">
        <v>445210100000000</v>
      </c>
      <c r="G411" s="168" t="s">
        <v>7796</v>
      </c>
      <c r="H411" s="163">
        <f>Parâmetros!D285</f>
        <v>100</v>
      </c>
      <c r="I411" s="163">
        <f>H411*(1+Parâmetros!E$5)</f>
        <v>105</v>
      </c>
      <c r="J411" s="163">
        <f>I411*(1+Parâmetros!F$5)</f>
        <v>109.97175</v>
      </c>
      <c r="K411" s="181">
        <v>4292</v>
      </c>
      <c r="M411" s="178"/>
    </row>
    <row r="412" spans="2:13" ht="15" customHeight="1" x14ac:dyDescent="0.15">
      <c r="B412" s="173">
        <v>3525</v>
      </c>
      <c r="D412" s="174" t="s">
        <v>7805</v>
      </c>
      <c r="F412" s="175">
        <v>445210100000000</v>
      </c>
      <c r="G412" s="168" t="s">
        <v>7798</v>
      </c>
      <c r="H412" s="163">
        <f>Parâmetros!D286</f>
        <v>100</v>
      </c>
      <c r="I412" s="163">
        <f>H412*(1+Parâmetros!E$5)</f>
        <v>105</v>
      </c>
      <c r="J412" s="163">
        <f>I412*(1+Parâmetros!F$5)</f>
        <v>109.97175</v>
      </c>
      <c r="K412" s="181">
        <v>4070</v>
      </c>
      <c r="M412" s="178"/>
    </row>
    <row r="413" spans="2:13" ht="15" customHeight="1" x14ac:dyDescent="0.15">
      <c r="B413" s="173">
        <v>3526</v>
      </c>
      <c r="D413" s="174" t="s">
        <v>7806</v>
      </c>
      <c r="F413" s="175">
        <v>445210100000000</v>
      </c>
      <c r="G413" s="168" t="s">
        <v>7801</v>
      </c>
      <c r="H413" s="163">
        <f>Parâmetros!D287</f>
        <v>100</v>
      </c>
      <c r="I413" s="163">
        <f>H413*(1+Parâmetros!E$5)</f>
        <v>105</v>
      </c>
      <c r="J413" s="163">
        <f>I413*(1+Parâmetros!F$5)</f>
        <v>109.97175</v>
      </c>
      <c r="K413" s="181">
        <v>4241</v>
      </c>
      <c r="M413" s="178"/>
    </row>
    <row r="414" spans="2:13" ht="15" customHeight="1" x14ac:dyDescent="0.15">
      <c r="B414" s="173">
        <v>3580</v>
      </c>
      <c r="D414" s="174" t="s">
        <v>1651</v>
      </c>
      <c r="F414" s="175">
        <v>445210200000000</v>
      </c>
      <c r="G414" s="176" t="s">
        <v>1652</v>
      </c>
      <c r="H414" s="163">
        <f>Parâmetros!D289</f>
        <v>500</v>
      </c>
      <c r="I414" s="163">
        <f>H414*(1+Parâmetros!E$5)</f>
        <v>525</v>
      </c>
      <c r="J414" s="163">
        <f>I414*(1+Parâmetros!F$5)</f>
        <v>549.85874999999999</v>
      </c>
      <c r="K414" s="177">
        <v>1</v>
      </c>
      <c r="M414" s="178"/>
    </row>
    <row r="415" spans="2:13" s="202" customFormat="1" ht="15" customHeight="1" x14ac:dyDescent="0.15">
      <c r="B415" s="201"/>
      <c r="D415" s="203" t="s">
        <v>1876</v>
      </c>
      <c r="F415" s="204"/>
      <c r="G415" s="205" t="s">
        <v>1882</v>
      </c>
      <c r="H415" s="206">
        <f>H416</f>
        <v>2375947.2701565372</v>
      </c>
      <c r="I415" s="206">
        <f>I416</f>
        <v>2494744.6231643646</v>
      </c>
      <c r="J415" s="206">
        <f>J416</f>
        <v>2612870.7810711972</v>
      </c>
      <c r="K415" s="207"/>
    </row>
    <row r="416" spans="2:13" s="202" customFormat="1" ht="15" customHeight="1" x14ac:dyDescent="0.15">
      <c r="B416" s="201"/>
      <c r="D416" s="203" t="s">
        <v>1877</v>
      </c>
      <c r="F416" s="204"/>
      <c r="G416" s="205" t="s">
        <v>1881</v>
      </c>
      <c r="H416" s="206">
        <f>H417+'ORCAMENTO RECEITA ANALITICO'!H425</f>
        <v>2375947.2701565372</v>
      </c>
      <c r="I416" s="206">
        <f>I417+'ORCAMENTO RECEITA ANALITICO'!I425</f>
        <v>2494744.6231643646</v>
      </c>
      <c r="J416" s="206">
        <f>J417+'ORCAMENTO RECEITA ANALITICO'!J425</f>
        <v>2612870.7810711972</v>
      </c>
      <c r="K416" s="207"/>
    </row>
    <row r="417" spans="2:13" s="202" customFormat="1" ht="15" customHeight="1" x14ac:dyDescent="0.15">
      <c r="B417" s="201"/>
      <c r="D417" s="203" t="s">
        <v>1878</v>
      </c>
      <c r="F417" s="204"/>
      <c r="G417" s="205" t="s">
        <v>1883</v>
      </c>
      <c r="H417" s="206">
        <f>H418+'ORCAMENTO RECEITA ANALITICO'!H423</f>
        <v>2200</v>
      </c>
      <c r="I417" s="206">
        <f>I418+'ORCAMENTO RECEITA ANALITICO'!I423</f>
        <v>2310</v>
      </c>
      <c r="J417" s="206">
        <f>J418+'ORCAMENTO RECEITA ANALITICO'!J423</f>
        <v>2419.3785000000003</v>
      </c>
      <c r="K417" s="207"/>
    </row>
    <row r="418" spans="2:13" s="202" customFormat="1" ht="15" customHeight="1" x14ac:dyDescent="0.15">
      <c r="D418" s="203" t="s">
        <v>1879</v>
      </c>
      <c r="G418" s="202" t="s">
        <v>1884</v>
      </c>
      <c r="H418" s="206">
        <f>H419</f>
        <v>2100</v>
      </c>
      <c r="I418" s="206">
        <f>I419</f>
        <v>2205</v>
      </c>
      <c r="J418" s="206">
        <f>J419</f>
        <v>2309.4067500000001</v>
      </c>
      <c r="K418" s="203"/>
    </row>
    <row r="419" spans="2:13" s="202" customFormat="1" ht="15" customHeight="1" x14ac:dyDescent="0.15">
      <c r="D419" s="203" t="s">
        <v>1880</v>
      </c>
      <c r="G419" s="202" t="s">
        <v>1885</v>
      </c>
      <c r="H419" s="206">
        <f>Parâmetros!D290</f>
        <v>2100</v>
      </c>
      <c r="I419" s="206">
        <f>I420+I421+I422</f>
        <v>2205</v>
      </c>
      <c r="J419" s="206">
        <f>J420+J421+J422</f>
        <v>2309.4067500000001</v>
      </c>
      <c r="K419" s="203"/>
    </row>
    <row r="420" spans="2:13" s="186" customFormat="1" ht="15" customHeight="1" x14ac:dyDescent="0.15">
      <c r="B420" s="185">
        <v>3600</v>
      </c>
      <c r="D420" s="187" t="s">
        <v>1653</v>
      </c>
      <c r="F420" s="188">
        <v>411219700000000</v>
      </c>
      <c r="G420" s="189" t="s">
        <v>1654</v>
      </c>
      <c r="H420" s="164">
        <f>H419*Parâmetros!D$11</f>
        <v>1008</v>
      </c>
      <c r="I420" s="164">
        <f>H420*(1+Parâmetros!E$5)</f>
        <v>1058.4000000000001</v>
      </c>
      <c r="J420" s="164">
        <f>I420*(1+Parâmetros!F$5)</f>
        <v>1108.5152400000002</v>
      </c>
      <c r="K420" s="190">
        <v>1</v>
      </c>
      <c r="M420" s="178"/>
    </row>
    <row r="421" spans="2:13" s="186" customFormat="1" ht="15" customHeight="1" x14ac:dyDescent="0.15">
      <c r="B421" s="185">
        <v>3601</v>
      </c>
      <c r="D421" s="187" t="s">
        <v>1655</v>
      </c>
      <c r="F421" s="188">
        <v>411219700000000</v>
      </c>
      <c r="G421" s="189" t="s">
        <v>1656</v>
      </c>
      <c r="H421" s="164">
        <f>H419*(Parâmetros!D$13+Parâmetros!D$14)</f>
        <v>588</v>
      </c>
      <c r="I421" s="164">
        <f>H421*(1+Parâmetros!E$5)</f>
        <v>617.4</v>
      </c>
      <c r="J421" s="164">
        <f>I421*(1+Parâmetros!F$5)</f>
        <v>646.63388999999995</v>
      </c>
      <c r="K421" s="190">
        <v>20</v>
      </c>
      <c r="M421" s="178"/>
    </row>
    <row r="422" spans="2:13" s="186" customFormat="1" ht="15" customHeight="1" x14ac:dyDescent="0.15">
      <c r="B422" s="185">
        <v>3602</v>
      </c>
      <c r="D422" s="187" t="s">
        <v>1657</v>
      </c>
      <c r="F422" s="188">
        <v>411219700000000</v>
      </c>
      <c r="G422" s="189" t="s">
        <v>1658</v>
      </c>
      <c r="H422" s="164">
        <f>H419*(Parâmetros!D$18+Parâmetros!D$19)</f>
        <v>504</v>
      </c>
      <c r="I422" s="164">
        <f>H422*(1+Parâmetros!E$5)</f>
        <v>529.20000000000005</v>
      </c>
      <c r="J422" s="164">
        <f>I422*(1+Parâmetros!F$5)</f>
        <v>554.25762000000009</v>
      </c>
      <c r="K422" s="190">
        <v>40</v>
      </c>
      <c r="M422" s="178"/>
    </row>
    <row r="423" spans="2:13" s="202" customFormat="1" ht="15" customHeight="1" x14ac:dyDescent="0.15">
      <c r="D423" s="203" t="s">
        <v>1886</v>
      </c>
      <c r="G423" s="202" t="s">
        <v>1887</v>
      </c>
      <c r="H423" s="206">
        <f>H424</f>
        <v>100</v>
      </c>
      <c r="I423" s="206">
        <f>I424</f>
        <v>105</v>
      </c>
      <c r="J423" s="206">
        <f>J424</f>
        <v>109.97175</v>
      </c>
      <c r="K423" s="203"/>
    </row>
    <row r="424" spans="2:13" s="186" customFormat="1" ht="15" customHeight="1" x14ac:dyDescent="0.15">
      <c r="B424" s="185">
        <v>3700</v>
      </c>
      <c r="D424" s="187" t="s">
        <v>1659</v>
      </c>
      <c r="F424" s="188">
        <v>412119700000000</v>
      </c>
      <c r="G424" s="189" t="s">
        <v>1660</v>
      </c>
      <c r="H424" s="164">
        <f>Parâmetros!D291</f>
        <v>100</v>
      </c>
      <c r="I424" s="164">
        <f>H424*(1+Parâmetros!E$5)</f>
        <v>105</v>
      </c>
      <c r="J424" s="164">
        <f>I424*(1+Parâmetros!F$5)</f>
        <v>109.97175</v>
      </c>
      <c r="K424" s="190">
        <v>1</v>
      </c>
      <c r="M424" s="178"/>
    </row>
    <row r="425" spans="2:13" s="202" customFormat="1" ht="15" customHeight="1" x14ac:dyDescent="0.15">
      <c r="B425" s="201"/>
      <c r="D425" s="203" t="s">
        <v>1900</v>
      </c>
      <c r="F425" s="204"/>
      <c r="G425" s="205" t="s">
        <v>1904</v>
      </c>
      <c r="H425" s="206">
        <f>H426</f>
        <v>2373747.2701565372</v>
      </c>
      <c r="I425" s="206">
        <f>I426</f>
        <v>2492434.6231643646</v>
      </c>
      <c r="J425" s="206">
        <f>J426</f>
        <v>2610451.4025711971</v>
      </c>
      <c r="K425" s="207"/>
    </row>
    <row r="426" spans="2:13" s="202" customFormat="1" ht="15" customHeight="1" x14ac:dyDescent="0.15">
      <c r="B426" s="201"/>
      <c r="D426" s="203" t="s">
        <v>1901</v>
      </c>
      <c r="F426" s="204"/>
      <c r="G426" s="205" t="s">
        <v>1905</v>
      </c>
      <c r="H426" s="206">
        <f>H427+H435</f>
        <v>2373747.2701565372</v>
      </c>
      <c r="I426" s="206">
        <f>I427+I435</f>
        <v>2492434.6231643646</v>
      </c>
      <c r="J426" s="206">
        <f>J427+J435</f>
        <v>2610451.4025711971</v>
      </c>
      <c r="K426" s="207"/>
    </row>
    <row r="427" spans="2:13" s="202" customFormat="1" ht="15" customHeight="1" x14ac:dyDescent="0.15">
      <c r="B427" s="201"/>
      <c r="D427" s="203" t="s">
        <v>1902</v>
      </c>
      <c r="F427" s="204"/>
      <c r="G427" s="205" t="s">
        <v>1906</v>
      </c>
      <c r="H427" s="206">
        <f>H428</f>
        <v>1402089.6932817814</v>
      </c>
      <c r="I427" s="206">
        <f>I428</f>
        <v>1472194.1779458707</v>
      </c>
      <c r="J427" s="206">
        <f>J428</f>
        <v>1541902.5722716076</v>
      </c>
      <c r="K427" s="207"/>
    </row>
    <row r="428" spans="2:13" s="202" customFormat="1" ht="15" customHeight="1" x14ac:dyDescent="0.15">
      <c r="B428" s="201"/>
      <c r="D428" s="203" t="s">
        <v>1903</v>
      </c>
      <c r="F428" s="204"/>
      <c r="G428" s="205" t="s">
        <v>1907</v>
      </c>
      <c r="H428" s="206">
        <f>H429+'ORCAMENTO RECEITA ANALITICO'!H431+'ORCAMENTO RECEITA ANALITICO'!H433</f>
        <v>1402089.6932817814</v>
      </c>
      <c r="I428" s="206">
        <f>I429+'ORCAMENTO RECEITA ANALITICO'!I431+'ORCAMENTO RECEITA ANALITICO'!I433</f>
        <v>1472194.1779458707</v>
      </c>
      <c r="J428" s="206">
        <f>J429+'ORCAMENTO RECEITA ANALITICO'!J431+'ORCAMENTO RECEITA ANALITICO'!J433</f>
        <v>1541902.5722716076</v>
      </c>
      <c r="K428" s="207"/>
    </row>
    <row r="429" spans="2:13" s="202" customFormat="1" ht="15" customHeight="1" x14ac:dyDescent="0.15">
      <c r="D429" s="203" t="s">
        <v>1888</v>
      </c>
      <c r="G429" s="202" t="s">
        <v>1889</v>
      </c>
      <c r="H429" s="206">
        <f>'ORCAMENTO RECEITA ANALITICO'!H430</f>
        <v>1397051.1800000002</v>
      </c>
      <c r="I429" s="206">
        <f>'ORCAMENTO RECEITA ANALITICO'!I430</f>
        <v>1466903.7390000003</v>
      </c>
      <c r="J429" s="206">
        <f>'ORCAMENTO RECEITA ANALITICO'!J430</f>
        <v>1536361.6310416502</v>
      </c>
      <c r="K429" s="203"/>
    </row>
    <row r="430" spans="2:13" s="186" customFormat="1" ht="15" customHeight="1" x14ac:dyDescent="0.15">
      <c r="B430" s="185">
        <v>3750</v>
      </c>
      <c r="D430" s="187" t="s">
        <v>1661</v>
      </c>
      <c r="F430" s="188">
        <v>452149700000000</v>
      </c>
      <c r="G430" s="189" t="s">
        <v>1662</v>
      </c>
      <c r="H430" s="164">
        <f>('ORCAMENTO RECEITA ANALITICO'!H142)*Parâmetros!D17-0.02</f>
        <v>1397051.1800000002</v>
      </c>
      <c r="I430" s="164">
        <f>H430*(1+Parâmetros!E$5)</f>
        <v>1466903.7390000003</v>
      </c>
      <c r="J430" s="164">
        <f>I430*(1+Parâmetros!F$5)</f>
        <v>1536361.6310416502</v>
      </c>
      <c r="K430" s="190">
        <v>31</v>
      </c>
      <c r="M430" s="178"/>
    </row>
    <row r="431" spans="2:13" s="202" customFormat="1" ht="15" customHeight="1" x14ac:dyDescent="0.15">
      <c r="D431" s="203" t="s">
        <v>1891</v>
      </c>
      <c r="G431" s="202" t="s">
        <v>1890</v>
      </c>
      <c r="H431" s="206">
        <f>H432</f>
        <v>118.65869874999999</v>
      </c>
      <c r="I431" s="206">
        <f>I432</f>
        <v>124.59163368749999</v>
      </c>
      <c r="J431" s="206">
        <f>J432</f>
        <v>130.49104754260313</v>
      </c>
      <c r="K431" s="203"/>
    </row>
    <row r="432" spans="2:13" s="186" customFormat="1" ht="15" customHeight="1" x14ac:dyDescent="0.15">
      <c r="B432" s="185">
        <v>3800</v>
      </c>
      <c r="D432" s="187" t="s">
        <v>1663</v>
      </c>
      <c r="F432" s="188">
        <v>452149700000000</v>
      </c>
      <c r="G432" s="189" t="s">
        <v>1664</v>
      </c>
      <c r="H432" s="164">
        <f>'ORCAMENTO RECEITA ANALITICO'!H155*Parâmetros!D17</f>
        <v>118.65869874999999</v>
      </c>
      <c r="I432" s="164">
        <f>H432*(1+Parâmetros!E$5)</f>
        <v>124.59163368749999</v>
      </c>
      <c r="J432" s="164">
        <f>I432*(1+Parâmetros!F$5)</f>
        <v>130.49104754260313</v>
      </c>
      <c r="K432" s="190">
        <v>31</v>
      </c>
      <c r="M432" s="178"/>
    </row>
    <row r="433" spans="2:13" s="202" customFormat="1" ht="15" customHeight="1" x14ac:dyDescent="0.15">
      <c r="D433" s="203" t="s">
        <v>1893</v>
      </c>
      <c r="G433" s="202" t="s">
        <v>1892</v>
      </c>
      <c r="H433" s="206">
        <f>H434</f>
        <v>4919.8545830313114</v>
      </c>
      <c r="I433" s="206">
        <f>I434</f>
        <v>5165.8473121828774</v>
      </c>
      <c r="J433" s="206">
        <f>J434</f>
        <v>5410.4501824147364</v>
      </c>
      <c r="K433" s="203"/>
    </row>
    <row r="434" spans="2:13" s="186" customFormat="1" ht="15" customHeight="1" x14ac:dyDescent="0.15">
      <c r="B434" s="185">
        <v>3850</v>
      </c>
      <c r="D434" s="187" t="s">
        <v>1665</v>
      </c>
      <c r="F434" s="188">
        <v>452149700000000</v>
      </c>
      <c r="G434" s="189" t="s">
        <v>1666</v>
      </c>
      <c r="H434" s="164">
        <f>'ORCAMENTO RECEITA ANALITICO'!H182*Parâmetros!D17</f>
        <v>4919.8545830313114</v>
      </c>
      <c r="I434" s="164">
        <f>H434*(1+Parâmetros!E$5)</f>
        <v>5165.8473121828774</v>
      </c>
      <c r="J434" s="164">
        <f>I434*(1+Parâmetros!F$5)</f>
        <v>5410.4501824147364</v>
      </c>
      <c r="K434" s="190">
        <v>31</v>
      </c>
      <c r="M434" s="178"/>
    </row>
    <row r="435" spans="2:13" s="202" customFormat="1" ht="15" customHeight="1" x14ac:dyDescent="0.15">
      <c r="B435" s="201"/>
      <c r="D435" s="203" t="s">
        <v>1895</v>
      </c>
      <c r="F435" s="204"/>
      <c r="G435" s="205" t="s">
        <v>1897</v>
      </c>
      <c r="H435" s="206">
        <f>H436</f>
        <v>971657.57687475602</v>
      </c>
      <c r="I435" s="206">
        <f>I436</f>
        <v>1020240.4452184939</v>
      </c>
      <c r="J435" s="206">
        <f>J436</f>
        <v>1068548.8302995896</v>
      </c>
      <c r="K435" s="207"/>
    </row>
    <row r="436" spans="2:13" s="202" customFormat="1" ht="15" customHeight="1" x14ac:dyDescent="0.15">
      <c r="B436" s="201"/>
      <c r="D436" s="203" t="s">
        <v>1896</v>
      </c>
      <c r="F436" s="204"/>
      <c r="G436" s="205" t="s">
        <v>1898</v>
      </c>
      <c r="H436" s="206">
        <f>H437+'ORCAMENTO RECEITA ANALITICO'!H439+'ORCAMENTO RECEITA ANALITICO'!H441+0.01</f>
        <v>971657.57687475602</v>
      </c>
      <c r="I436" s="206">
        <f>I437+'ORCAMENTO RECEITA ANALITICO'!I439+'ORCAMENTO RECEITA ANALITICO'!I441</f>
        <v>1020240.4452184939</v>
      </c>
      <c r="J436" s="206">
        <f>J437+'ORCAMENTO RECEITA ANALITICO'!J439+'ORCAMENTO RECEITA ANALITICO'!J441</f>
        <v>1068548.8302995896</v>
      </c>
      <c r="K436" s="207"/>
    </row>
    <row r="437" spans="2:13" s="202" customFormat="1" ht="15" customHeight="1" x14ac:dyDescent="0.15">
      <c r="D437" s="203" t="s">
        <v>1894</v>
      </c>
      <c r="G437" s="202" t="s">
        <v>1899</v>
      </c>
      <c r="H437" s="206">
        <f>H438</f>
        <v>895330.55253684358</v>
      </c>
      <c r="I437" s="206">
        <f>I438</f>
        <v>940097.08016368584</v>
      </c>
      <c r="J437" s="206">
        <f>J438</f>
        <v>984610.67690943636</v>
      </c>
      <c r="K437" s="203"/>
    </row>
    <row r="438" spans="2:13" s="186" customFormat="1" ht="15" customHeight="1" x14ac:dyDescent="0.15">
      <c r="B438" s="185">
        <v>3900</v>
      </c>
      <c r="D438" s="187" t="s">
        <v>1667</v>
      </c>
      <c r="F438" s="188">
        <v>452149700000000</v>
      </c>
      <c r="G438" s="189" t="s">
        <v>1668</v>
      </c>
      <c r="H438" s="164">
        <f>'ORCAMENTO RECEITA ANALITICO'!H192*Parâmetros!D17</f>
        <v>895330.55253684358</v>
      </c>
      <c r="I438" s="164">
        <f>H438*(1+Parâmetros!E$5)</f>
        <v>940097.08016368584</v>
      </c>
      <c r="J438" s="164">
        <f>I438*(1+Parâmetros!F$5)</f>
        <v>984610.67690943636</v>
      </c>
      <c r="K438" s="190">
        <v>31</v>
      </c>
      <c r="M438" s="178"/>
    </row>
    <row r="439" spans="2:13" s="202" customFormat="1" ht="15" customHeight="1" x14ac:dyDescent="0.15">
      <c r="D439" s="203" t="s">
        <v>1908</v>
      </c>
      <c r="G439" s="202" t="s">
        <v>1910</v>
      </c>
      <c r="H439" s="206">
        <f>H440</f>
        <v>59481.64252692154</v>
      </c>
      <c r="I439" s="206">
        <f>I440</f>
        <v>62455.724653267622</v>
      </c>
      <c r="J439" s="206">
        <f>J440</f>
        <v>65413.003215599841</v>
      </c>
      <c r="K439" s="203"/>
    </row>
    <row r="440" spans="2:13" s="186" customFormat="1" ht="15" customHeight="1" x14ac:dyDescent="0.15">
      <c r="B440" s="185">
        <v>3950</v>
      </c>
      <c r="D440" s="187" t="s">
        <v>1669</v>
      </c>
      <c r="F440" s="188">
        <v>452149700000000</v>
      </c>
      <c r="G440" s="189" t="s">
        <v>1670</v>
      </c>
      <c r="H440" s="164">
        <f>'ORCAMENTO RECEITA ANALITICO'!H197*Parâmetros!D17</f>
        <v>59481.64252692154</v>
      </c>
      <c r="I440" s="164">
        <f>H440*(1+Parâmetros!E$5)</f>
        <v>62455.724653267622</v>
      </c>
      <c r="J440" s="164">
        <f>I440*(1+Parâmetros!F$5)</f>
        <v>65413.003215599841</v>
      </c>
      <c r="K440" s="190">
        <v>31</v>
      </c>
      <c r="M440" s="178"/>
    </row>
    <row r="441" spans="2:13" s="202" customFormat="1" ht="15" customHeight="1" x14ac:dyDescent="0.15">
      <c r="D441" s="203" t="s">
        <v>1909</v>
      </c>
      <c r="G441" s="202" t="s">
        <v>1911</v>
      </c>
      <c r="H441" s="206">
        <f>H442</f>
        <v>16845.371810990859</v>
      </c>
      <c r="I441" s="206">
        <f>I442</f>
        <v>17687.640401540404</v>
      </c>
      <c r="J441" s="206">
        <f>J442</f>
        <v>18525.150174553342</v>
      </c>
      <c r="K441" s="203"/>
    </row>
    <row r="442" spans="2:13" s="186" customFormat="1" ht="15" customHeight="1" x14ac:dyDescent="0.15">
      <c r="B442" s="185">
        <v>4000</v>
      </c>
      <c r="D442" s="187" t="s">
        <v>1671</v>
      </c>
      <c r="F442" s="188">
        <v>452149700000000</v>
      </c>
      <c r="G442" s="189" t="s">
        <v>1672</v>
      </c>
      <c r="H442" s="164">
        <f>'ORCAMENTO RECEITA ANALITICO'!H202*Parâmetros!D17</f>
        <v>16845.371810990859</v>
      </c>
      <c r="I442" s="164">
        <f>H442*(1+Parâmetros!E$5)</f>
        <v>17687.640401540404</v>
      </c>
      <c r="J442" s="164">
        <f>I442*(1+Parâmetros!F$5)</f>
        <v>18525.150174553342</v>
      </c>
      <c r="K442" s="190">
        <v>31</v>
      </c>
      <c r="M442" s="178"/>
    </row>
    <row r="443" spans="2:13" s="186" customFormat="1" ht="15" customHeight="1" x14ac:dyDescent="0.15">
      <c r="B443" s="185"/>
      <c r="D443" s="187"/>
      <c r="F443" s="188"/>
      <c r="G443" s="189"/>
      <c r="H443" s="164"/>
      <c r="I443" s="163"/>
      <c r="J443" s="163"/>
      <c r="K443" s="190"/>
      <c r="M443" s="178"/>
    </row>
    <row r="444" spans="2:13" s="192" customFormat="1" ht="15" customHeight="1" x14ac:dyDescent="0.25">
      <c r="F444" s="208"/>
      <c r="G444" s="208" t="s">
        <v>0</v>
      </c>
      <c r="H444" s="209">
        <f>H6+H350-H415+0.03</f>
        <v>18300000.003991172</v>
      </c>
      <c r="I444" s="209">
        <f>I6+I350-I415</f>
        <v>19437792.122190733</v>
      </c>
      <c r="J444" s="209">
        <f>J6+J350-J415</f>
        <v>20358171.568702966</v>
      </c>
      <c r="K444" s="196"/>
      <c r="M444" s="199"/>
    </row>
    <row r="445" spans="2:13" ht="15" customHeight="1" x14ac:dyDescent="0.25">
      <c r="K445" s="168"/>
    </row>
    <row r="446" spans="2:13" ht="15" customHeight="1" x14ac:dyDescent="0.25">
      <c r="H446" s="172"/>
      <c r="I446" s="172"/>
      <c r="J446" s="172"/>
    </row>
    <row r="448" spans="2:13" ht="15" customHeight="1" x14ac:dyDescent="0.25">
      <c r="H448" s="988"/>
    </row>
    <row r="449" spans="8:8" ht="15" customHeight="1" x14ac:dyDescent="0.25">
      <c r="H449" s="988"/>
    </row>
  </sheetData>
  <mergeCells count="3">
    <mergeCell ref="A3:K3"/>
    <mergeCell ref="A2:K2"/>
    <mergeCell ref="A1:K1"/>
  </mergeCells>
  <pageMargins left="0.51181102362204722" right="0.31496062992125984" top="1.3779527559055118" bottom="0.39370078740157483" header="0.31496062992125984" footer="0.31496062992125984"/>
  <pageSetup paperSize="9" scale="80" orientation="landscape" r:id="rId1"/>
  <headerFooter>
    <oddHeader>&amp;L                                                                                            &amp;G&amp;C&amp;"Vivaldi,Regular"&amp;20Estado do Rio Grande do Sul
&amp;18Prefeitura Municipal de Chuvisca
&amp;16Secretaria Municipal da Fazenda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1"/>
  <sheetViews>
    <sheetView showGridLines="0" topLeftCell="A460" zoomScale="75" zoomScaleNormal="75" workbookViewId="0">
      <selection activeCell="A3" sqref="A3:D3"/>
    </sheetView>
  </sheetViews>
  <sheetFormatPr defaultRowHeight="24.95" customHeight="1" x14ac:dyDescent="0.2"/>
  <cols>
    <col min="1" max="1" width="54.140625" style="111" customWidth="1"/>
    <col min="2" max="2" width="65.140625" style="112" customWidth="1"/>
    <col min="3" max="3" width="9.140625" style="113"/>
    <col min="4" max="4" width="83.140625" style="112" customWidth="1"/>
    <col min="5" max="16384" width="9.140625" style="34"/>
  </cols>
  <sheetData>
    <row r="1" spans="1:4" ht="24.95" customHeight="1" x14ac:dyDescent="0.2">
      <c r="A1" s="1295" t="str">
        <f>'CADASTRO BASE RECEITA '!A$1</f>
        <v>PROPOSTA ORÇAMENTÁRIA PARA 2016</v>
      </c>
      <c r="B1" s="1295"/>
      <c r="C1" s="1295"/>
      <c r="D1" s="1295"/>
    </row>
    <row r="2" spans="1:4" ht="24.95" customHeight="1" x14ac:dyDescent="0.2">
      <c r="A2" s="1300" t="s">
        <v>79</v>
      </c>
      <c r="B2" s="1300"/>
      <c r="C2" s="1300"/>
      <c r="D2" s="1300"/>
    </row>
    <row r="3" spans="1:4" ht="129" customHeight="1" thickBot="1" x14ac:dyDescent="0.25">
      <c r="A3" s="1298" t="s">
        <v>6827</v>
      </c>
      <c r="B3" s="1298"/>
      <c r="C3" s="1298"/>
      <c r="D3" s="1298"/>
    </row>
    <row r="4" spans="1:4" ht="24.95" customHeight="1" thickTop="1" thickBot="1" x14ac:dyDescent="0.25">
      <c r="A4" s="584" t="s">
        <v>24</v>
      </c>
      <c r="B4" s="1296" t="s">
        <v>25</v>
      </c>
      <c r="C4" s="1296"/>
      <c r="D4" s="1297"/>
    </row>
    <row r="5" spans="1:4" ht="30" customHeight="1" thickTop="1" x14ac:dyDescent="0.2">
      <c r="A5" s="1280" t="str">
        <f>'ORCAMENTO RECEITA ANALITICO'!G10</f>
        <v>Imposto Sobre A Propriedade Predial E Territorial Urbana - Iptu</v>
      </c>
      <c r="B5" s="1299" t="str">
        <f xml:space="preserve"> Parâmetros!C21</f>
        <v>Média de Arrecadação 2012 a 2015 - IPTU</v>
      </c>
      <c r="C5" s="1277" t="s">
        <v>420</v>
      </c>
      <c r="D5" s="246" t="str">
        <f>Parâmetros!C$5</f>
        <v>MEDIA DA Variação do IPCA  E IGP-DI para 2016</v>
      </c>
    </row>
    <row r="6" spans="1:4" ht="30" customHeight="1" x14ac:dyDescent="0.2">
      <c r="A6" s="1271"/>
      <c r="B6" s="1273"/>
      <c r="C6" s="1274"/>
      <c r="D6" s="222" t="str">
        <f>Parâmetros!C$10</f>
        <v>Taxa de Câmbio (R$/US$) – dez  base informativo conjunto congresso nacional ldo uniao para 2016</v>
      </c>
    </row>
    <row r="7" spans="1:4" ht="30" customHeight="1" x14ac:dyDescent="0.2">
      <c r="A7" s="1271"/>
      <c r="B7" s="1273"/>
      <c r="C7" s="1274"/>
      <c r="D7" s="222" t="str">
        <f>Parâmetros!C20</f>
        <v>Crescimento Médio da Arrecadação</v>
      </c>
    </row>
    <row r="8" spans="1:4" ht="30" customHeight="1" x14ac:dyDescent="0.2">
      <c r="A8" s="223" t="str">
        <f>'ORCAMENTO RECEITA ANALITICO'!G11</f>
        <v>Iptu - Proprio</v>
      </c>
      <c r="B8" s="224" t="str">
        <f>B5</f>
        <v>Média de Arrecadação 2012 a 2015 - IPTU</v>
      </c>
      <c r="C8" s="545" t="s">
        <v>419</v>
      </c>
      <c r="D8" s="222" t="str">
        <f>Parâmetros!C$11</f>
        <v>Estimativa de Percentual de para Aplicação de Recursos Livres</v>
      </c>
    </row>
    <row r="9" spans="1:4" ht="30" customHeight="1" x14ac:dyDescent="0.2">
      <c r="A9" s="1271" t="str">
        <f>'ORCAMENTO RECEITA ANALITICO'!G12</f>
        <v>Iptu - Mde</v>
      </c>
      <c r="B9" s="1273" t="str">
        <f>B5</f>
        <v>Média de Arrecadação 2012 a 2015 - IPTU</v>
      </c>
      <c r="C9" s="1274" t="s">
        <v>419</v>
      </c>
      <c r="D9" s="222" t="str">
        <f>Parâmetros!C$13</f>
        <v>Estimativa de Repasse para  o MDE S/(Impostos Municipais)</v>
      </c>
    </row>
    <row r="10" spans="1:4" ht="30" customHeight="1" x14ac:dyDescent="0.2">
      <c r="A10" s="1271"/>
      <c r="B10" s="1273"/>
      <c r="C10" s="1274"/>
      <c r="D10" s="222" t="str">
        <f>Parâmetros!C$14</f>
        <v>Estimativa de Repasse para  o MDE S/(Impostos Municipais) Complemento</v>
      </c>
    </row>
    <row r="11" spans="1:4" ht="30" customHeight="1" x14ac:dyDescent="0.2">
      <c r="A11" s="1271" t="str">
        <f>'ORCAMENTO RECEITA ANALITICO'!G13</f>
        <v>Iptu - Asps</v>
      </c>
      <c r="B11" s="1273" t="str">
        <f>B5</f>
        <v>Média de Arrecadação 2012 a 2015 - IPTU</v>
      </c>
      <c r="C11" s="1274" t="s">
        <v>419</v>
      </c>
      <c r="D11" s="222" t="str">
        <f>Parâmetros!C$18</f>
        <v>Estimativa de Repasse para  o ASPS</v>
      </c>
    </row>
    <row r="12" spans="1:4" ht="30" customHeight="1" x14ac:dyDescent="0.2">
      <c r="A12" s="1271"/>
      <c r="B12" s="1273"/>
      <c r="C12" s="1274"/>
      <c r="D12" s="222" t="str">
        <f>Parâmetros!C$19</f>
        <v>Estimativa de Repasse para  o ASPS Complemento</v>
      </c>
    </row>
    <row r="13" spans="1:4" ht="30" customHeight="1" x14ac:dyDescent="0.2">
      <c r="A13" s="1271" t="str">
        <f>'ORCAMENTO RECEITA ANALITICO'!G16</f>
        <v>Irrf Sobre Rendimentos Do Trabalho - Ativos/inativos Do Poder Executiv</v>
      </c>
      <c r="B13" s="1273" t="str">
        <f>Parâmetros!C22</f>
        <v>Média de Arrecadação 2012 a 2015 - IRRF S/Folha Pagamento</v>
      </c>
      <c r="C13" s="1274" t="s">
        <v>420</v>
      </c>
      <c r="D13" s="222" t="str">
        <f>Parâmetros!C$5</f>
        <v>MEDIA DA Variação do IPCA  E IGP-DI para 2016</v>
      </c>
    </row>
    <row r="14" spans="1:4" ht="30" customHeight="1" x14ac:dyDescent="0.2">
      <c r="A14" s="1271"/>
      <c r="B14" s="1273"/>
      <c r="C14" s="1274"/>
      <c r="D14" s="222" t="str">
        <f>Parâmetros!C20</f>
        <v>Crescimento Médio da Arrecadação</v>
      </c>
    </row>
    <row r="15" spans="1:4" ht="30" customHeight="1" x14ac:dyDescent="0.2">
      <c r="A15" s="547" t="str">
        <f>'ORCAMENTO RECEITA ANALITICO'!G17</f>
        <v>Irrf - Ativo/inativo-executivo/indireta - Proprio</v>
      </c>
      <c r="B15" s="548" t="str">
        <f>B13</f>
        <v>Média de Arrecadação 2012 a 2015 - IRRF S/Folha Pagamento</v>
      </c>
      <c r="C15" s="545" t="s">
        <v>419</v>
      </c>
      <c r="D15" s="222" t="str">
        <f>Parâmetros!C$11</f>
        <v>Estimativa de Percentual de para Aplicação de Recursos Livres</v>
      </c>
    </row>
    <row r="16" spans="1:4" ht="30" customHeight="1" x14ac:dyDescent="0.2">
      <c r="A16" s="1271" t="str">
        <f>'ORCAMENTO RECEITA ANALITICO'!G18</f>
        <v>Irrf - Ativo/inativo-executivo/indireta - Mde</v>
      </c>
      <c r="B16" s="1273" t="str">
        <f>B13</f>
        <v>Média de Arrecadação 2012 a 2015 - IRRF S/Folha Pagamento</v>
      </c>
      <c r="C16" s="1274" t="s">
        <v>419</v>
      </c>
      <c r="D16" s="222" t="str">
        <f>Parâmetros!C$13</f>
        <v>Estimativa de Repasse para  o MDE S/(Impostos Municipais)</v>
      </c>
    </row>
    <row r="17" spans="1:4" ht="30" customHeight="1" x14ac:dyDescent="0.2">
      <c r="A17" s="1271"/>
      <c r="B17" s="1273"/>
      <c r="C17" s="1274"/>
      <c r="D17" s="222" t="str">
        <f>Parâmetros!C$14</f>
        <v>Estimativa de Repasse para  o MDE S/(Impostos Municipais) Complemento</v>
      </c>
    </row>
    <row r="18" spans="1:4" ht="30" customHeight="1" x14ac:dyDescent="0.2">
      <c r="A18" s="1271" t="str">
        <f>'ORCAMENTO RECEITA ANALITICO'!G19</f>
        <v>Irrf - Ativo/inativo-executivo/indireta - Asps</v>
      </c>
      <c r="B18" s="1273" t="str">
        <f>B13</f>
        <v>Média de Arrecadação 2012 a 2015 - IRRF S/Folha Pagamento</v>
      </c>
      <c r="C18" s="1274" t="s">
        <v>419</v>
      </c>
      <c r="D18" s="222" t="str">
        <f>Parâmetros!C$18</f>
        <v>Estimativa de Repasse para  o ASPS</v>
      </c>
    </row>
    <row r="19" spans="1:4" ht="30" customHeight="1" x14ac:dyDescent="0.2">
      <c r="A19" s="1271"/>
      <c r="B19" s="1273"/>
      <c r="C19" s="1274"/>
      <c r="D19" s="222" t="str">
        <f>Parâmetros!C$19</f>
        <v>Estimativa de Repasse para  o ASPS Complemento</v>
      </c>
    </row>
    <row r="20" spans="1:4" ht="30" customHeight="1" x14ac:dyDescent="0.2">
      <c r="A20" s="1271" t="str">
        <f>'ORCAMENTO RECEITA ANALITICO'!G20</f>
        <v>Irrf Sobre Rendimentos - Prestacao De Servicos De Terceiros - Poder Ex</v>
      </c>
      <c r="B20" s="1273" t="str">
        <f>Parâmetros!C23</f>
        <v xml:space="preserve">Média de Arrecadação 2012 a 2015 - IRRF S/Serv.  </v>
      </c>
      <c r="C20" s="1274" t="s">
        <v>420</v>
      </c>
      <c r="D20" s="222" t="str">
        <f>Parâmetros!C$5</f>
        <v>MEDIA DA Variação do IPCA  E IGP-DI para 2016</v>
      </c>
    </row>
    <row r="21" spans="1:4" ht="30" customHeight="1" x14ac:dyDescent="0.2">
      <c r="A21" s="1271"/>
      <c r="B21" s="1273"/>
      <c r="C21" s="1274"/>
      <c r="D21" s="222" t="str">
        <f>Parâmetros!C$10</f>
        <v>Taxa de Câmbio (R$/US$) – dez  base informativo conjunto congresso nacional ldo uniao para 2016</v>
      </c>
    </row>
    <row r="22" spans="1:4" ht="30" customHeight="1" x14ac:dyDescent="0.2">
      <c r="A22" s="1271"/>
      <c r="B22" s="1273"/>
      <c r="C22" s="1274"/>
      <c r="D22" s="222" t="str">
        <f>Parâmetros!C20</f>
        <v>Crescimento Médio da Arrecadação</v>
      </c>
    </row>
    <row r="23" spans="1:4" ht="30" customHeight="1" x14ac:dyDescent="0.2">
      <c r="A23" s="547" t="str">
        <f>'ORCAMENTO RECEITA ANALITICO'!G21</f>
        <v>Irrf - Prestacao De Serv. De Terc. - Poder Exec./ind. - Proprio</v>
      </c>
      <c r="B23" s="548" t="str">
        <f>B20</f>
        <v xml:space="preserve">Média de Arrecadação 2012 a 2015 - IRRF S/Serv.  </v>
      </c>
      <c r="C23" s="545" t="s">
        <v>419</v>
      </c>
      <c r="D23" s="222" t="str">
        <f>Parâmetros!C$11</f>
        <v>Estimativa de Percentual de para Aplicação de Recursos Livres</v>
      </c>
    </row>
    <row r="24" spans="1:4" ht="30" customHeight="1" x14ac:dyDescent="0.2">
      <c r="A24" s="1271" t="str">
        <f>'ORCAMENTO RECEITA ANALITICO'!G22</f>
        <v>Irrf - Prestacao De Serv. De Terc. - Poder Exec./ind. - Mde</v>
      </c>
      <c r="B24" s="1273" t="str">
        <f>B20</f>
        <v xml:space="preserve">Média de Arrecadação 2012 a 2015 - IRRF S/Serv.  </v>
      </c>
      <c r="C24" s="1274" t="s">
        <v>419</v>
      </c>
      <c r="D24" s="222" t="str">
        <f>Parâmetros!C$13</f>
        <v>Estimativa de Repasse para  o MDE S/(Impostos Municipais)</v>
      </c>
    </row>
    <row r="25" spans="1:4" ht="30" customHeight="1" x14ac:dyDescent="0.2">
      <c r="A25" s="1271"/>
      <c r="B25" s="1273"/>
      <c r="C25" s="1274"/>
      <c r="D25" s="222" t="str">
        <f>Parâmetros!C$14</f>
        <v>Estimativa de Repasse para  o MDE S/(Impostos Municipais) Complemento</v>
      </c>
    </row>
    <row r="26" spans="1:4" ht="30" customHeight="1" x14ac:dyDescent="0.2">
      <c r="A26" s="1271" t="str">
        <f>'ORCAMENTO RECEITA ANALITICO'!G23</f>
        <v>Irrf - Prestacao De Serv. De Terc. - Poder Exec./ind. - Asps</v>
      </c>
      <c r="B26" s="1273" t="str">
        <f>B20</f>
        <v xml:space="preserve">Média de Arrecadação 2012 a 2015 - IRRF S/Serv.  </v>
      </c>
      <c r="C26" s="1274" t="s">
        <v>419</v>
      </c>
      <c r="D26" s="222" t="str">
        <f>Parâmetros!C$18</f>
        <v>Estimativa de Repasse para  o ASPS</v>
      </c>
    </row>
    <row r="27" spans="1:4" ht="30" customHeight="1" x14ac:dyDescent="0.2">
      <c r="A27" s="1271"/>
      <c r="B27" s="1273"/>
      <c r="C27" s="1274"/>
      <c r="D27" s="222" t="str">
        <f>Parâmetros!C$19</f>
        <v>Estimativa de Repasse para  o ASPS Complemento</v>
      </c>
    </row>
    <row r="28" spans="1:4" ht="30" customHeight="1" x14ac:dyDescent="0.2">
      <c r="A28" s="1271" t="str">
        <f>'ORCAMENTO RECEITA ANALITICO'!G24</f>
        <v>Imposto Sobre Transmissao "inter-vivos" De Bens Imoveis E De Direitos</v>
      </c>
      <c r="B28" s="1273" t="str">
        <f>Parâmetros!C24</f>
        <v>Média de Arrecadação 2012 a 2015 - ITBI</v>
      </c>
      <c r="C28" s="1274" t="s">
        <v>420</v>
      </c>
      <c r="D28" s="222" t="str">
        <f>Parâmetros!C$5</f>
        <v>MEDIA DA Variação do IPCA  E IGP-DI para 2016</v>
      </c>
    </row>
    <row r="29" spans="1:4" ht="30" customHeight="1" x14ac:dyDescent="0.2">
      <c r="A29" s="1271"/>
      <c r="B29" s="1273"/>
      <c r="C29" s="1274"/>
      <c r="D29" s="222" t="str">
        <f>Parâmetros!C20</f>
        <v>Crescimento Médio da Arrecadação</v>
      </c>
    </row>
    <row r="30" spans="1:4" ht="30" customHeight="1" x14ac:dyDescent="0.2">
      <c r="A30" s="547" t="str">
        <f>'ORCAMENTO RECEITA ANALITICO'!G25</f>
        <v>Itbi - Proprio</v>
      </c>
      <c r="B30" s="548" t="str">
        <f>B28</f>
        <v>Média de Arrecadação 2012 a 2015 - ITBI</v>
      </c>
      <c r="C30" s="545" t="s">
        <v>419</v>
      </c>
      <c r="D30" s="222" t="str">
        <f>Parâmetros!C$11</f>
        <v>Estimativa de Percentual de para Aplicação de Recursos Livres</v>
      </c>
    </row>
    <row r="31" spans="1:4" ht="30" customHeight="1" x14ac:dyDescent="0.2">
      <c r="A31" s="1271" t="str">
        <f>'ORCAMENTO RECEITA ANALITICO'!G26</f>
        <v>Itbi - Mde</v>
      </c>
      <c r="B31" s="1273" t="str">
        <f>B28</f>
        <v>Média de Arrecadação 2012 a 2015 - ITBI</v>
      </c>
      <c r="C31" s="1274" t="s">
        <v>419</v>
      </c>
      <c r="D31" s="222" t="str">
        <f>Parâmetros!C$13</f>
        <v>Estimativa de Repasse para  o MDE S/(Impostos Municipais)</v>
      </c>
    </row>
    <row r="32" spans="1:4" ht="30" customHeight="1" x14ac:dyDescent="0.2">
      <c r="A32" s="1271"/>
      <c r="B32" s="1273"/>
      <c r="C32" s="1274"/>
      <c r="D32" s="222" t="str">
        <f>Parâmetros!C$14</f>
        <v>Estimativa de Repasse para  o MDE S/(Impostos Municipais) Complemento</v>
      </c>
    </row>
    <row r="33" spans="1:4" ht="30" customHeight="1" x14ac:dyDescent="0.2">
      <c r="A33" s="1271" t="str">
        <f>'ORCAMENTO RECEITA ANALITICO'!G27</f>
        <v>Itbi - Asps</v>
      </c>
      <c r="B33" s="1273" t="str">
        <f>B28</f>
        <v>Média de Arrecadação 2012 a 2015 - ITBI</v>
      </c>
      <c r="C33" s="1274" t="s">
        <v>419</v>
      </c>
      <c r="D33" s="222" t="str">
        <f>Parâmetros!C$18</f>
        <v>Estimativa de Repasse para  o ASPS</v>
      </c>
    </row>
    <row r="34" spans="1:4" ht="30" customHeight="1" x14ac:dyDescent="0.2">
      <c r="A34" s="1271"/>
      <c r="B34" s="1273"/>
      <c r="C34" s="1274"/>
      <c r="D34" s="222" t="str">
        <f>Parâmetros!C$19</f>
        <v>Estimativa de Repasse para  o ASPS Complemento</v>
      </c>
    </row>
    <row r="35" spans="1:4" ht="30" customHeight="1" x14ac:dyDescent="0.2">
      <c r="A35" s="1271" t="str">
        <f>'ORCAMENTO RECEITA ANALITICO'!G29</f>
        <v>Imposto Sobre Servicos De Qualquer Natureza</v>
      </c>
      <c r="B35" s="1273" t="str">
        <f>Parâmetros!C25</f>
        <v>Média de Arrecadação 2012 a 2015 - ISS</v>
      </c>
      <c r="C35" s="1274" t="s">
        <v>420</v>
      </c>
      <c r="D35" s="222" t="str">
        <f>Parâmetros!C$5</f>
        <v>MEDIA DA Variação do IPCA  E IGP-DI para 2016</v>
      </c>
    </row>
    <row r="36" spans="1:4" ht="30" customHeight="1" x14ac:dyDescent="0.2">
      <c r="A36" s="1271"/>
      <c r="B36" s="1273"/>
      <c r="C36" s="1274"/>
      <c r="D36" s="222" t="str">
        <f>Parâmetros!C$10</f>
        <v>Taxa de Câmbio (R$/US$) – dez  base informativo conjunto congresso nacional ldo uniao para 2016</v>
      </c>
    </row>
    <row r="37" spans="1:4" ht="30" customHeight="1" x14ac:dyDescent="0.2">
      <c r="A37" s="1271"/>
      <c r="B37" s="1273"/>
      <c r="C37" s="1274"/>
      <c r="D37" s="222" t="str">
        <f>Parâmetros!C$20</f>
        <v>Crescimento Médio da Arrecadação</v>
      </c>
    </row>
    <row r="38" spans="1:4" ht="30" customHeight="1" x14ac:dyDescent="0.2">
      <c r="A38" s="1271"/>
      <c r="B38" s="1273"/>
      <c r="C38" s="1274"/>
      <c r="D38" s="222" t="str">
        <f>Parâmetros!C$8</f>
        <v>Crescimento do PIB ( Variação Anual)  base informativo conjunto congresso nacional ldo uniao para 2016</v>
      </c>
    </row>
    <row r="39" spans="1:4" ht="30" customHeight="1" x14ac:dyDescent="0.2">
      <c r="A39" s="547" t="str">
        <f>'ORCAMENTO RECEITA ANALITICO'!G30</f>
        <v>Iss - Proprio</v>
      </c>
      <c r="B39" s="548" t="str">
        <f>B35</f>
        <v>Média de Arrecadação 2012 a 2015 - ISS</v>
      </c>
      <c r="C39" s="545" t="s">
        <v>419</v>
      </c>
      <c r="D39" s="222" t="str">
        <f>Parâmetros!C$11</f>
        <v>Estimativa de Percentual de para Aplicação de Recursos Livres</v>
      </c>
    </row>
    <row r="40" spans="1:4" ht="30" customHeight="1" x14ac:dyDescent="0.2">
      <c r="A40" s="1271" t="str">
        <f>'ORCAMENTO RECEITA ANALITICO'!G31</f>
        <v>Iss - Mde</v>
      </c>
      <c r="B40" s="1273" t="str">
        <f>B35</f>
        <v>Média de Arrecadação 2012 a 2015 - ISS</v>
      </c>
      <c r="C40" s="1274" t="s">
        <v>419</v>
      </c>
      <c r="D40" s="222" t="str">
        <f>Parâmetros!C$13</f>
        <v>Estimativa de Repasse para  o MDE S/(Impostos Municipais)</v>
      </c>
    </row>
    <row r="41" spans="1:4" ht="30" customHeight="1" x14ac:dyDescent="0.2">
      <c r="A41" s="1271"/>
      <c r="B41" s="1273"/>
      <c r="C41" s="1274"/>
      <c r="D41" s="222" t="str">
        <f>Parâmetros!C$14</f>
        <v>Estimativa de Repasse para  o MDE S/(Impostos Municipais) Complemento</v>
      </c>
    </row>
    <row r="42" spans="1:4" ht="30" customHeight="1" x14ac:dyDescent="0.2">
      <c r="A42" s="1271" t="str">
        <f>'ORCAMENTO RECEITA ANALITICO'!G32</f>
        <v>Iss - Asps</v>
      </c>
      <c r="B42" s="1273" t="str">
        <f>B35</f>
        <v>Média de Arrecadação 2012 a 2015 - ISS</v>
      </c>
      <c r="C42" s="1274" t="s">
        <v>419</v>
      </c>
      <c r="D42" s="222" t="str">
        <f>Parâmetros!C$18</f>
        <v>Estimativa de Repasse para  o ASPS</v>
      </c>
    </row>
    <row r="43" spans="1:4" ht="30" customHeight="1" x14ac:dyDescent="0.2">
      <c r="A43" s="1271"/>
      <c r="B43" s="1273"/>
      <c r="C43" s="1274"/>
      <c r="D43" s="222" t="str">
        <f>Parâmetros!C$19</f>
        <v>Estimativa de Repasse para  o ASPS Complemento</v>
      </c>
    </row>
    <row r="44" spans="1:4" ht="30" customHeight="1" x14ac:dyDescent="0.2">
      <c r="A44" s="1271" t="str">
        <f>'ORCAMENTO RECEITA ANALITICO'!G35</f>
        <v>Taxa De Fiscalizacao De Vigilancia Sanitaria</v>
      </c>
      <c r="B44" s="1273" t="str">
        <f>Parâmetros!C26</f>
        <v>Estimativa de  Arrecadação de Taxa de Fiscalização de Vilancia Sanitária</v>
      </c>
      <c r="C44" s="1274" t="s">
        <v>419</v>
      </c>
      <c r="D44" s="222" t="str">
        <f>Parâmetros!C$5</f>
        <v>MEDIA DA Variação do IPCA  E IGP-DI para 2016</v>
      </c>
    </row>
    <row r="45" spans="1:4" ht="30" customHeight="1" x14ac:dyDescent="0.2">
      <c r="A45" s="1271"/>
      <c r="B45" s="1273"/>
      <c r="C45" s="1274"/>
      <c r="D45" s="222" t="str">
        <f>Parâmetros!C$10</f>
        <v>Taxa de Câmbio (R$/US$) – dez  base informativo conjunto congresso nacional ldo uniao para 2016</v>
      </c>
    </row>
    <row r="46" spans="1:4" ht="30" customHeight="1" x14ac:dyDescent="0.2">
      <c r="A46" s="1271"/>
      <c r="B46" s="1273"/>
      <c r="C46" s="1274"/>
      <c r="D46" s="222" t="str">
        <f>Parâmetros!C$20</f>
        <v>Crescimento Médio da Arrecadação</v>
      </c>
    </row>
    <row r="47" spans="1:4" ht="30" customHeight="1" x14ac:dyDescent="0.2">
      <c r="A47" s="1271" t="str">
        <f>'ORCAMENTO RECEITA ANALITICO'!G36</f>
        <v>Taxa De Controle E Fiscalizacao Ambiental</v>
      </c>
      <c r="B47" s="1273" t="str">
        <f>Parâmetros!C27</f>
        <v>Estimativa de  Arrecadação de Taxa De Controle E Fiscalizacao Ambiental</v>
      </c>
      <c r="C47" s="1274" t="s">
        <v>419</v>
      </c>
      <c r="D47" s="222" t="str">
        <f>Parâmetros!C$5</f>
        <v>MEDIA DA Variação do IPCA  E IGP-DI para 2016</v>
      </c>
    </row>
    <row r="48" spans="1:4" ht="30" customHeight="1" x14ac:dyDescent="0.2">
      <c r="A48" s="1271"/>
      <c r="B48" s="1273"/>
      <c r="C48" s="1274"/>
      <c r="D48" s="222" t="str">
        <f>Parâmetros!C$10</f>
        <v>Taxa de Câmbio (R$/US$) – dez  base informativo conjunto congresso nacional ldo uniao para 2016</v>
      </c>
    </row>
    <row r="49" spans="1:4" ht="30" customHeight="1" x14ac:dyDescent="0.2">
      <c r="A49" s="1271"/>
      <c r="B49" s="1273"/>
      <c r="C49" s="1274"/>
      <c r="D49" s="222" t="str">
        <f>Parâmetros!C$20</f>
        <v>Crescimento Médio da Arrecadação</v>
      </c>
    </row>
    <row r="50" spans="1:4" ht="30" customHeight="1" x14ac:dyDescent="0.2">
      <c r="A50" s="1271" t="str">
        <f>'ORCAMENTO RECEITA ANALITICO'!G37</f>
        <v>Taxa De Licenca P/ Funcionamento De Estabelecimentos Comerciais,  Indu</v>
      </c>
      <c r="B50" s="1273" t="str">
        <f>Parâmetros!C28</f>
        <v>Estimativa de  Arrecadação de Taxa De Licenca Para Funcionamento De Estabelecimentos Comerciais,  Industriais e Prestadora De Serviços</v>
      </c>
      <c r="C50" s="1274" t="s">
        <v>419</v>
      </c>
      <c r="D50" s="222" t="str">
        <f>Parâmetros!C$5</f>
        <v>MEDIA DA Variação do IPCA  E IGP-DI para 2016</v>
      </c>
    </row>
    <row r="51" spans="1:4" ht="30" customHeight="1" x14ac:dyDescent="0.2">
      <c r="A51" s="1271"/>
      <c r="B51" s="1273"/>
      <c r="C51" s="1274"/>
      <c r="D51" s="222" t="str">
        <f>Parâmetros!C$10</f>
        <v>Taxa de Câmbio (R$/US$) – dez  base informativo conjunto congresso nacional ldo uniao para 2016</v>
      </c>
    </row>
    <row r="52" spans="1:4" ht="30" customHeight="1" x14ac:dyDescent="0.2">
      <c r="A52" s="1271"/>
      <c r="B52" s="1273"/>
      <c r="C52" s="1274"/>
      <c r="D52" s="222" t="str">
        <f>Parâmetros!C$20</f>
        <v>Crescimento Médio da Arrecadação</v>
      </c>
    </row>
    <row r="53" spans="1:4" ht="30" customHeight="1" x14ac:dyDescent="0.2">
      <c r="A53" s="1271" t="str">
        <f>'ORCAMENTO RECEITA ANALITICO'!G38</f>
        <v>Taxa De Apreensao E Deposito</v>
      </c>
      <c r="B53" s="1273" t="str">
        <f>Parâmetros!C29</f>
        <v>Estimativa de  Arrecadação de Taxa De Apreensao E Deposito</v>
      </c>
      <c r="C53" s="1274" t="s">
        <v>419</v>
      </c>
      <c r="D53" s="222" t="str">
        <f>Parâmetros!C$5</f>
        <v>MEDIA DA Variação do IPCA  E IGP-DI para 2016</v>
      </c>
    </row>
    <row r="54" spans="1:4" ht="30" customHeight="1" x14ac:dyDescent="0.2">
      <c r="A54" s="1271"/>
      <c r="B54" s="1273"/>
      <c r="C54" s="1274"/>
      <c r="D54" s="222" t="str">
        <f>Parâmetros!C$10</f>
        <v>Taxa de Câmbio (R$/US$) – dez  base informativo conjunto congresso nacional ldo uniao para 2016</v>
      </c>
    </row>
    <row r="55" spans="1:4" ht="30" customHeight="1" x14ac:dyDescent="0.2">
      <c r="A55" s="1271"/>
      <c r="B55" s="1273"/>
      <c r="C55" s="1274"/>
      <c r="D55" s="222" t="str">
        <f>Parâmetros!C$20</f>
        <v>Crescimento Médio da Arrecadação</v>
      </c>
    </row>
    <row r="56" spans="1:4" ht="30" customHeight="1" x14ac:dyDescent="0.2">
      <c r="A56" s="1271" t="str">
        <f>'ORCAMENTO RECEITA ANALITICO'!G39</f>
        <v>Taxa De Funcionamento De Estabelecimentos Em Horario Especial</v>
      </c>
      <c r="B56" s="1273" t="str">
        <f>Parâmetros!C30</f>
        <v>Estimativa de  Arrecadação de Taxa De Funcionamento De Estabelecimentos Em Horario Especial</v>
      </c>
      <c r="C56" s="1274" t="s">
        <v>419</v>
      </c>
      <c r="D56" s="222" t="str">
        <f>Parâmetros!C$5</f>
        <v>MEDIA DA Variação do IPCA  E IGP-DI para 2016</v>
      </c>
    </row>
    <row r="57" spans="1:4" ht="30" customHeight="1" x14ac:dyDescent="0.2">
      <c r="A57" s="1271"/>
      <c r="B57" s="1273"/>
      <c r="C57" s="1274"/>
      <c r="D57" s="222" t="str">
        <f>Parâmetros!C$10</f>
        <v>Taxa de Câmbio (R$/US$) – dez  base informativo conjunto congresso nacional ldo uniao para 2016</v>
      </c>
    </row>
    <row r="58" spans="1:4" ht="30" customHeight="1" x14ac:dyDescent="0.2">
      <c r="A58" s="1271"/>
      <c r="B58" s="1273"/>
      <c r="C58" s="1274"/>
      <c r="D58" s="222" t="str">
        <f>Parâmetros!C$20</f>
        <v>Crescimento Médio da Arrecadação</v>
      </c>
    </row>
    <row r="59" spans="1:4" ht="30" customHeight="1" x14ac:dyDescent="0.2">
      <c r="A59" s="1278" t="str">
        <f>'ORCAMENTO RECEITA ANALITICO'!G40</f>
        <v>Taxa De Licenca P/ Execucao De Obras</v>
      </c>
      <c r="B59" s="1301" t="str">
        <f>Parâmetros!C31</f>
        <v>Estimativa de  Arrecadação de Taxa De Licenca P/ Execucao De Obras</v>
      </c>
      <c r="C59" s="1275" t="s">
        <v>419</v>
      </c>
      <c r="D59" s="222" t="str">
        <f>Parâmetros!C$5</f>
        <v>MEDIA DA Variação do IPCA  E IGP-DI para 2016</v>
      </c>
    </row>
    <row r="60" spans="1:4" ht="30" customHeight="1" x14ac:dyDescent="0.2">
      <c r="A60" s="1279"/>
      <c r="B60" s="1302"/>
      <c r="C60" s="1276"/>
      <c r="D60" s="222" t="str">
        <f>Parâmetros!C$10</f>
        <v>Taxa de Câmbio (R$/US$) – dez  base informativo conjunto congresso nacional ldo uniao para 2016</v>
      </c>
    </row>
    <row r="61" spans="1:4" ht="30" customHeight="1" x14ac:dyDescent="0.2">
      <c r="A61" s="1280"/>
      <c r="B61" s="1299"/>
      <c r="C61" s="1277"/>
      <c r="D61" s="222" t="str">
        <f>Parâmetros!C$20</f>
        <v>Crescimento Médio da Arrecadação</v>
      </c>
    </row>
    <row r="62" spans="1:4" ht="30" customHeight="1" x14ac:dyDescent="0.2">
      <c r="A62" s="1278" t="str">
        <f>'ORCAMENTO RECEITA ANALITICO'!G41</f>
        <v>Taxa De Autorizacao De Funcionamento De Transporte</v>
      </c>
      <c r="B62" s="1301" t="str">
        <f>Parâmetros!C32</f>
        <v>Estimativa de  Arrecadação de Taxa De Autorizacao De Funcionamento De Transporte</v>
      </c>
      <c r="C62" s="1275" t="s">
        <v>419</v>
      </c>
      <c r="D62" s="222" t="str">
        <f>Parâmetros!C$5</f>
        <v>MEDIA DA Variação do IPCA  E IGP-DI para 2016</v>
      </c>
    </row>
    <row r="63" spans="1:4" ht="30" customHeight="1" x14ac:dyDescent="0.2">
      <c r="A63" s="1279"/>
      <c r="B63" s="1302"/>
      <c r="C63" s="1276"/>
      <c r="D63" s="222" t="str">
        <f>Parâmetros!C$10</f>
        <v>Taxa de Câmbio (R$/US$) – dez  base informativo conjunto congresso nacional ldo uniao para 2016</v>
      </c>
    </row>
    <row r="64" spans="1:4" ht="30" customHeight="1" x14ac:dyDescent="0.2">
      <c r="A64" s="1280"/>
      <c r="B64" s="1299"/>
      <c r="C64" s="1277"/>
      <c r="D64" s="222" t="str">
        <f>Parâmetros!C$20</f>
        <v>Crescimento Médio da Arrecadação</v>
      </c>
    </row>
    <row r="65" spans="1:4" ht="30" customHeight="1" x14ac:dyDescent="0.2">
      <c r="A65" s="1278" t="str">
        <f>'ORCAMENTO RECEITA ANALITICO'!G42</f>
        <v>Taxa De Utilizacao De Area De Dominio Publico</v>
      </c>
      <c r="B65" s="1301" t="str">
        <f>Parâmetros!C33</f>
        <v>Estimativa de  Arrecadação de Taxa De Utilizacao De Area De Dominio Publico</v>
      </c>
      <c r="C65" s="1275" t="s">
        <v>419</v>
      </c>
      <c r="D65" s="222" t="str">
        <f>Parâmetros!C$5</f>
        <v>MEDIA DA Variação do IPCA  E IGP-DI para 2016</v>
      </c>
    </row>
    <row r="66" spans="1:4" ht="30" customHeight="1" x14ac:dyDescent="0.2">
      <c r="A66" s="1279"/>
      <c r="B66" s="1302"/>
      <c r="C66" s="1276"/>
      <c r="D66" s="222" t="str">
        <f>Parâmetros!C$10</f>
        <v>Taxa de Câmbio (R$/US$) – dez  base informativo conjunto congresso nacional ldo uniao para 2016</v>
      </c>
    </row>
    <row r="67" spans="1:4" ht="30" customHeight="1" x14ac:dyDescent="0.2">
      <c r="A67" s="1280"/>
      <c r="B67" s="1299"/>
      <c r="C67" s="1277"/>
      <c r="D67" s="222" t="str">
        <f>Parâmetros!C$20</f>
        <v>Crescimento Médio da Arrecadação</v>
      </c>
    </row>
    <row r="68" spans="1:4" ht="30" customHeight="1" x14ac:dyDescent="0.2">
      <c r="A68" s="1278" t="str">
        <f>'ORCAMENTO RECEITA ANALITICO'!G43</f>
        <v>Taxa De Aprovacao Do Projeto De Construcao Civil</v>
      </c>
      <c r="B68" s="1301" t="str">
        <f>Parâmetros!C34</f>
        <v>Estimativa de  Arrecadação de Taxa De Aprovacao Do Projeto De Construcao Civil</v>
      </c>
      <c r="C68" s="1275" t="s">
        <v>419</v>
      </c>
      <c r="D68" s="222" t="str">
        <f>Parâmetros!C$5</f>
        <v>MEDIA DA Variação do IPCA  E IGP-DI para 2016</v>
      </c>
    </row>
    <row r="69" spans="1:4" ht="30" customHeight="1" x14ac:dyDescent="0.2">
      <c r="A69" s="1279"/>
      <c r="B69" s="1302"/>
      <c r="C69" s="1276"/>
      <c r="D69" s="222" t="str">
        <f>Parâmetros!C$10</f>
        <v>Taxa de Câmbio (R$/US$) – dez  base informativo conjunto congresso nacional ldo uniao para 2016</v>
      </c>
    </row>
    <row r="70" spans="1:4" ht="30" customHeight="1" x14ac:dyDescent="0.2">
      <c r="A70" s="1280"/>
      <c r="B70" s="1299"/>
      <c r="C70" s="1277"/>
      <c r="D70" s="222" t="str">
        <f>Parâmetros!C$20</f>
        <v>Crescimento Médio da Arrecadação</v>
      </c>
    </row>
    <row r="71" spans="1:4" ht="30" customHeight="1" x14ac:dyDescent="0.2">
      <c r="A71" s="1278" t="str">
        <f>'ORCAMENTO RECEITA ANALITICO'!G44</f>
        <v>Outras Taxas Pelo Exercicio Do Poder De Policia</v>
      </c>
      <c r="B71" s="1301" t="str">
        <f>Parâmetros!C35</f>
        <v>Estimativa de  Arrecadação de Outras Taxas Pelo Exercicio Do Poder De Policia</v>
      </c>
      <c r="C71" s="1275" t="s">
        <v>419</v>
      </c>
      <c r="D71" s="222" t="str">
        <f>Parâmetros!C$5</f>
        <v>MEDIA DA Variação do IPCA  E IGP-DI para 2016</v>
      </c>
    </row>
    <row r="72" spans="1:4" ht="30" customHeight="1" x14ac:dyDescent="0.2">
      <c r="A72" s="1279"/>
      <c r="B72" s="1302"/>
      <c r="C72" s="1276"/>
      <c r="D72" s="222" t="str">
        <f>Parâmetros!C$10</f>
        <v>Taxa de Câmbio (R$/US$) – dez  base informativo conjunto congresso nacional ldo uniao para 2016</v>
      </c>
    </row>
    <row r="73" spans="1:4" ht="30" customHeight="1" x14ac:dyDescent="0.2">
      <c r="A73" s="1280"/>
      <c r="B73" s="1299"/>
      <c r="C73" s="1277"/>
      <c r="D73" s="222" t="str">
        <f>Parâmetros!C$20</f>
        <v>Crescimento Médio da Arrecadação</v>
      </c>
    </row>
    <row r="74" spans="1:4" ht="30" customHeight="1" x14ac:dyDescent="0.2">
      <c r="A74" s="1278" t="str">
        <f>'ORCAMENTO RECEITA ANALITICO'!G46</f>
        <v>Emolumentos E Custas Processuais Administrativas</v>
      </c>
      <c r="B74" s="1301" t="str">
        <f>Parâmetros!C36</f>
        <v>Estimativa de  Arrecadação de Emolumentos E Custas Processuais Administrativas</v>
      </c>
      <c r="C74" s="1275" t="s">
        <v>419</v>
      </c>
      <c r="D74" s="222" t="str">
        <f>Parâmetros!C$5</f>
        <v>MEDIA DA Variação do IPCA  E IGP-DI para 2016</v>
      </c>
    </row>
    <row r="75" spans="1:4" ht="30" customHeight="1" x14ac:dyDescent="0.2">
      <c r="A75" s="1279"/>
      <c r="B75" s="1302"/>
      <c r="C75" s="1276"/>
      <c r="D75" s="222" t="str">
        <f>Parâmetros!C$10</f>
        <v>Taxa de Câmbio (R$/US$) – dez  base informativo conjunto congresso nacional ldo uniao para 2016</v>
      </c>
    </row>
    <row r="76" spans="1:4" ht="30" customHeight="1" x14ac:dyDescent="0.2">
      <c r="A76" s="1280"/>
      <c r="B76" s="1299"/>
      <c r="C76" s="1277"/>
      <c r="D76" s="222" t="str">
        <f>Parâmetros!C$20</f>
        <v>Crescimento Médio da Arrecadação</v>
      </c>
    </row>
    <row r="77" spans="1:4" ht="30" customHeight="1" x14ac:dyDescent="0.2">
      <c r="A77" s="1278" t="str">
        <f>'ORCAMENTO RECEITA ANALITICO'!G47</f>
        <v>Taxas De Servicos Cadastrais</v>
      </c>
      <c r="B77" s="1301" t="str">
        <f>Parâmetros!C37</f>
        <v>Estimativa de  Arrecadação de Taxas De Servicos Cadastrais</v>
      </c>
      <c r="C77" s="1275" t="s">
        <v>419</v>
      </c>
      <c r="D77" s="222" t="str">
        <f>Parâmetros!C$5</f>
        <v>MEDIA DA Variação do IPCA  E IGP-DI para 2016</v>
      </c>
    </row>
    <row r="78" spans="1:4" ht="30" customHeight="1" x14ac:dyDescent="0.2">
      <c r="A78" s="1279"/>
      <c r="B78" s="1302"/>
      <c r="C78" s="1276"/>
      <c r="D78" s="222" t="str">
        <f>Parâmetros!C$10</f>
        <v>Taxa de Câmbio (R$/US$) – dez  base informativo conjunto congresso nacional ldo uniao para 2016</v>
      </c>
    </row>
    <row r="79" spans="1:4" ht="30" customHeight="1" x14ac:dyDescent="0.2">
      <c r="A79" s="1280"/>
      <c r="B79" s="1299"/>
      <c r="C79" s="1277"/>
      <c r="D79" s="222" t="str">
        <f>Parâmetros!C$20</f>
        <v>Crescimento Médio da Arrecadação</v>
      </c>
    </row>
    <row r="80" spans="1:4" ht="30" customHeight="1" x14ac:dyDescent="0.2">
      <c r="A80" s="1278" t="str">
        <f>'ORCAMENTO RECEITA ANALITICO'!G48</f>
        <v>Taxa De Coleta de Lixo</v>
      </c>
      <c r="B80" s="1301" t="str">
        <f>Parâmetros!C38</f>
        <v>Estimativa de  Arrecadação de Taxas De Coleta de Lixo</v>
      </c>
      <c r="C80" s="1275" t="s">
        <v>419</v>
      </c>
      <c r="D80" s="222" t="str">
        <f>Parâmetros!C$5</f>
        <v>MEDIA DA Variação do IPCA  E IGP-DI para 2016</v>
      </c>
    </row>
    <row r="81" spans="1:4" ht="30" customHeight="1" x14ac:dyDescent="0.2">
      <c r="A81" s="1279"/>
      <c r="B81" s="1302"/>
      <c r="C81" s="1276"/>
      <c r="D81" s="222" t="str">
        <f>Parâmetros!C$10</f>
        <v>Taxa de Câmbio (R$/US$) – dez  base informativo conjunto congresso nacional ldo uniao para 2016</v>
      </c>
    </row>
    <row r="82" spans="1:4" ht="30" customHeight="1" x14ac:dyDescent="0.2">
      <c r="A82" s="1280"/>
      <c r="B82" s="1299"/>
      <c r="C82" s="1277"/>
      <c r="D82" s="222" t="str">
        <f>Parâmetros!C$20</f>
        <v>Crescimento Médio da Arrecadação</v>
      </c>
    </row>
    <row r="83" spans="1:4" ht="30" customHeight="1" x14ac:dyDescent="0.2">
      <c r="A83" s="1278" t="str">
        <f>'ORCAMENTO RECEITA ANALITICO'!G50</f>
        <v>Taxa De Registro/inspecao De Produtos Agropecuarios</v>
      </c>
      <c r="B83" s="1301" t="str">
        <f>Parâmetros!C39</f>
        <v>Estimativa de  Arrecadação de Taxa De Registro/inspecao De Produtos Agropecuarios</v>
      </c>
      <c r="C83" s="1275" t="s">
        <v>419</v>
      </c>
      <c r="D83" s="222" t="str">
        <f>Parâmetros!C$5</f>
        <v>MEDIA DA Variação do IPCA  E IGP-DI para 2016</v>
      </c>
    </row>
    <row r="84" spans="1:4" ht="30" customHeight="1" x14ac:dyDescent="0.2">
      <c r="A84" s="1279"/>
      <c r="B84" s="1302"/>
      <c r="C84" s="1276"/>
      <c r="D84" s="222" t="str">
        <f>Parâmetros!C$10</f>
        <v>Taxa de Câmbio (R$/US$) – dez  base informativo conjunto congresso nacional ldo uniao para 2016</v>
      </c>
    </row>
    <row r="85" spans="1:4" ht="30" customHeight="1" x14ac:dyDescent="0.2">
      <c r="A85" s="1280"/>
      <c r="B85" s="1299"/>
      <c r="C85" s="1277"/>
      <c r="D85" s="222" t="str">
        <f>Parâmetros!C$20</f>
        <v>Crescimento Médio da Arrecadação</v>
      </c>
    </row>
    <row r="86" spans="1:4" ht="30" customHeight="1" x14ac:dyDescent="0.2">
      <c r="A86" s="1278" t="str">
        <f>'ORCAMENTO RECEITA ANALITICO'!G51</f>
        <v>Taxa De Registro No Cadastro Tecnico Ambiental Municipal</v>
      </c>
      <c r="B86" s="1301" t="str">
        <f>Parâmetros!C40</f>
        <v>Estimativa de  Arrecadação de Taxa De Registro No Cadastro Tecnico Ambiental Municipal</v>
      </c>
      <c r="C86" s="1275" t="s">
        <v>419</v>
      </c>
      <c r="D86" s="222" t="str">
        <f>Parâmetros!C$5</f>
        <v>MEDIA DA Variação do IPCA  E IGP-DI para 2016</v>
      </c>
    </row>
    <row r="87" spans="1:4" ht="30" customHeight="1" x14ac:dyDescent="0.2">
      <c r="A87" s="1279"/>
      <c r="B87" s="1302"/>
      <c r="C87" s="1276"/>
      <c r="D87" s="222" t="str">
        <f>Parâmetros!C$10</f>
        <v>Taxa de Câmbio (R$/US$) – dez  base informativo conjunto congresso nacional ldo uniao para 2016</v>
      </c>
    </row>
    <row r="88" spans="1:4" ht="30" customHeight="1" x14ac:dyDescent="0.2">
      <c r="A88" s="1280"/>
      <c r="B88" s="1299"/>
      <c r="C88" s="1277"/>
      <c r="D88" s="222" t="str">
        <f>Parâmetros!C$20</f>
        <v>Crescimento Médio da Arrecadação</v>
      </c>
    </row>
    <row r="89" spans="1:4" ht="30" customHeight="1" x14ac:dyDescent="0.2">
      <c r="A89" s="1278" t="str">
        <f>'ORCAMENTO RECEITA ANALITICO'!G52</f>
        <v>Taxa De Emissao De Certidoes</v>
      </c>
      <c r="B89" s="1301" t="str">
        <f>Parâmetros!C41</f>
        <v>Estimativa de  Arrecadação de Taxa De Emissao De Certidoes</v>
      </c>
      <c r="C89" s="1275" t="s">
        <v>419</v>
      </c>
      <c r="D89" s="222" t="str">
        <f>Parâmetros!C$5</f>
        <v>MEDIA DA Variação do IPCA  E IGP-DI para 2016</v>
      </c>
    </row>
    <row r="90" spans="1:4" ht="30" customHeight="1" x14ac:dyDescent="0.2">
      <c r="A90" s="1279"/>
      <c r="B90" s="1302"/>
      <c r="C90" s="1276"/>
      <c r="D90" s="222" t="str">
        <f>Parâmetros!C$10</f>
        <v>Taxa de Câmbio (R$/US$) – dez  base informativo conjunto congresso nacional ldo uniao para 2016</v>
      </c>
    </row>
    <row r="91" spans="1:4" ht="30" customHeight="1" x14ac:dyDescent="0.2">
      <c r="A91" s="1280"/>
      <c r="B91" s="1299"/>
      <c r="C91" s="1277"/>
      <c r="D91" s="222" t="str">
        <f>Parâmetros!C$20</f>
        <v>Crescimento Médio da Arrecadação</v>
      </c>
    </row>
    <row r="92" spans="1:4" ht="30" customHeight="1" x14ac:dyDescent="0.2">
      <c r="A92" s="1278" t="str">
        <f>'ORCAMENTO RECEITA ANALITICO'!G53</f>
        <v>Taxa De Expediente E Servicos</v>
      </c>
      <c r="B92" s="1301" t="str">
        <f>Parâmetros!C42</f>
        <v>Estimativa de  Arrecadação de Taxa De Expediente E Serviços</v>
      </c>
      <c r="C92" s="1275" t="s">
        <v>419</v>
      </c>
      <c r="D92" s="222" t="str">
        <f>Parâmetros!C$5</f>
        <v>MEDIA DA Variação do IPCA  E IGP-DI para 2016</v>
      </c>
    </row>
    <row r="93" spans="1:4" ht="30" customHeight="1" x14ac:dyDescent="0.2">
      <c r="A93" s="1279"/>
      <c r="B93" s="1302"/>
      <c r="C93" s="1276"/>
      <c r="D93" s="222" t="str">
        <f>Parâmetros!C$10</f>
        <v>Taxa de Câmbio (R$/US$) – dez  base informativo conjunto congresso nacional ldo uniao para 2016</v>
      </c>
    </row>
    <row r="94" spans="1:4" ht="30" customHeight="1" x14ac:dyDescent="0.2">
      <c r="A94" s="1280"/>
      <c r="B94" s="1299"/>
      <c r="C94" s="1277"/>
      <c r="D94" s="222" t="str">
        <f>Parâmetros!C$20</f>
        <v>Crescimento Médio da Arrecadação</v>
      </c>
    </row>
    <row r="95" spans="1:4" ht="30" customHeight="1" x14ac:dyDescent="0.2">
      <c r="A95" s="1278" t="str">
        <f>'ORCAMENTO RECEITA ANALITICO'!G54</f>
        <v>Taxa de Inscricao para Campeonato  Intercolonial</v>
      </c>
      <c r="B95" s="1301" t="str">
        <f>Parâmetros!C43</f>
        <v xml:space="preserve">Estimativa de  Arrecadação de Taxa De Inscrição Campeonato Intercolonial </v>
      </c>
      <c r="C95" s="1275" t="s">
        <v>419</v>
      </c>
      <c r="D95" s="222" t="str">
        <f>Parâmetros!C$5</f>
        <v>MEDIA DA Variação do IPCA  E IGP-DI para 2016</v>
      </c>
    </row>
    <row r="96" spans="1:4" ht="30" customHeight="1" x14ac:dyDescent="0.2">
      <c r="A96" s="1279"/>
      <c r="B96" s="1302"/>
      <c r="C96" s="1276"/>
      <c r="D96" s="222" t="str">
        <f>Parâmetros!C$10</f>
        <v>Taxa de Câmbio (R$/US$) – dez  base informativo conjunto congresso nacional ldo uniao para 2016</v>
      </c>
    </row>
    <row r="97" spans="1:4" ht="30" customHeight="1" x14ac:dyDescent="0.2">
      <c r="A97" s="1280"/>
      <c r="B97" s="1299"/>
      <c r="C97" s="1277"/>
      <c r="D97" s="222" t="str">
        <f>Parâmetros!C$20</f>
        <v>Crescimento Médio da Arrecadação</v>
      </c>
    </row>
    <row r="98" spans="1:4" ht="30" customHeight="1" x14ac:dyDescent="0.2">
      <c r="A98" s="1278" t="str">
        <f>'ORCAMENTO RECEITA ANALITICO'!G55</f>
        <v>Taxa de Inscricao para Seminário Educação</v>
      </c>
      <c r="B98" s="1301" t="str">
        <f>Parâmetros!C44</f>
        <v>Estimativa de  Arrecadação de Taxa De Inscrição Campeonato Praiano</v>
      </c>
      <c r="C98" s="1275" t="s">
        <v>419</v>
      </c>
      <c r="D98" s="222" t="str">
        <f>Parâmetros!C$5</f>
        <v>MEDIA DA Variação do IPCA  E IGP-DI para 2016</v>
      </c>
    </row>
    <row r="99" spans="1:4" ht="30" customHeight="1" x14ac:dyDescent="0.2">
      <c r="A99" s="1279"/>
      <c r="B99" s="1302"/>
      <c r="C99" s="1276"/>
      <c r="D99" s="222" t="str">
        <f>Parâmetros!C$10</f>
        <v>Taxa de Câmbio (R$/US$) – dez  base informativo conjunto congresso nacional ldo uniao para 2016</v>
      </c>
    </row>
    <row r="100" spans="1:4" ht="30" customHeight="1" x14ac:dyDescent="0.2">
      <c r="A100" s="1280"/>
      <c r="B100" s="1299"/>
      <c r="C100" s="1277"/>
      <c r="D100" s="222" t="str">
        <f>Parâmetros!C$20</f>
        <v>Crescimento Médio da Arrecadação</v>
      </c>
    </row>
    <row r="101" spans="1:4" ht="30" customHeight="1" x14ac:dyDescent="0.2">
      <c r="A101" s="1278" t="str">
        <f>'ORCAMENTO RECEITA ANALITICO'!G56</f>
        <v>Taxa de Inscricao para Campeonato Praiano</v>
      </c>
      <c r="B101" s="1301" t="str">
        <f>Parâmetros!C45</f>
        <v>Estimativa de  Arrecadação de Taxa De Inscrição Seminario Educação</v>
      </c>
      <c r="C101" s="1275" t="s">
        <v>419</v>
      </c>
      <c r="D101" s="222" t="str">
        <f>Parâmetros!C$5</f>
        <v>MEDIA DA Variação do IPCA  E IGP-DI para 2016</v>
      </c>
    </row>
    <row r="102" spans="1:4" ht="30" customHeight="1" x14ac:dyDescent="0.2">
      <c r="A102" s="1279"/>
      <c r="B102" s="1302"/>
      <c r="C102" s="1276"/>
      <c r="D102" s="222" t="str">
        <f>Parâmetros!C$10</f>
        <v>Taxa de Câmbio (R$/US$) – dez  base informativo conjunto congresso nacional ldo uniao para 2016</v>
      </c>
    </row>
    <row r="103" spans="1:4" ht="30" customHeight="1" x14ac:dyDescent="0.2">
      <c r="A103" s="1280"/>
      <c r="B103" s="1299"/>
      <c r="C103" s="1277"/>
      <c r="D103" s="222" t="str">
        <f>Parâmetros!C$20</f>
        <v>Crescimento Médio da Arrecadação</v>
      </c>
    </row>
    <row r="104" spans="1:4" ht="30" customHeight="1" x14ac:dyDescent="0.2">
      <c r="A104" s="1278" t="str">
        <f>'ORCAMENTO RECEITA ANALITICO'!G57</f>
        <v>Taxa de Inscrição para Campeonato Mun. Futebol de Campo</v>
      </c>
      <c r="B104" s="1301" t="str">
        <f>Parâmetros!C46</f>
        <v>Estimativa de  Arrecadação de Taxa De Inscrição para Campeonato Mun. Futebol de Campo</v>
      </c>
      <c r="C104" s="1275" t="s">
        <v>419</v>
      </c>
      <c r="D104" s="222" t="str">
        <f>Parâmetros!C$5</f>
        <v>MEDIA DA Variação do IPCA  E IGP-DI para 2016</v>
      </c>
    </row>
    <row r="105" spans="1:4" ht="30" customHeight="1" x14ac:dyDescent="0.2">
      <c r="A105" s="1279"/>
      <c r="B105" s="1302"/>
      <c r="C105" s="1276"/>
      <c r="D105" s="222" t="str">
        <f>Parâmetros!C$10</f>
        <v>Taxa de Câmbio (R$/US$) – dez  base informativo conjunto congresso nacional ldo uniao para 2016</v>
      </c>
    </row>
    <row r="106" spans="1:4" ht="30" customHeight="1" x14ac:dyDescent="0.2">
      <c r="A106" s="1280"/>
      <c r="B106" s="1299"/>
      <c r="C106" s="1277"/>
      <c r="D106" s="222" t="str">
        <f>Parâmetros!C$20</f>
        <v>Crescimento Médio da Arrecadação</v>
      </c>
    </row>
    <row r="107" spans="1:4" ht="30" customHeight="1" x14ac:dyDescent="0.2">
      <c r="A107" s="1278" t="str">
        <f>'ORCAMENTO RECEITA ANALITICO'!G58</f>
        <v>Taxa de Inscrição para Campeonato Mun. de Futsal</v>
      </c>
      <c r="B107" s="1301" t="str">
        <f>Parâmetros!C47</f>
        <v>Estimativa de  Arrecadação de Taxa De  Inscrição para Campeonato Mun. de Futsal</v>
      </c>
      <c r="C107" s="1275" t="s">
        <v>419</v>
      </c>
      <c r="D107" s="222" t="str">
        <f>Parâmetros!C$5</f>
        <v>MEDIA DA Variação do IPCA  E IGP-DI para 2016</v>
      </c>
    </row>
    <row r="108" spans="1:4" ht="30" customHeight="1" x14ac:dyDescent="0.2">
      <c r="A108" s="1279"/>
      <c r="B108" s="1302"/>
      <c r="C108" s="1276"/>
      <c r="D108" s="222" t="str">
        <f>Parâmetros!C$10</f>
        <v>Taxa de Câmbio (R$/US$) – dez  base informativo conjunto congresso nacional ldo uniao para 2016</v>
      </c>
    </row>
    <row r="109" spans="1:4" ht="30" customHeight="1" x14ac:dyDescent="0.2">
      <c r="A109" s="1280"/>
      <c r="B109" s="1299"/>
      <c r="C109" s="1277"/>
      <c r="D109" s="222" t="str">
        <f>Parâmetros!C$20</f>
        <v>Crescimento Médio da Arrecadação</v>
      </c>
    </row>
    <row r="110" spans="1:4" ht="30" customHeight="1" x14ac:dyDescent="0.2">
      <c r="A110" s="1278" t="str">
        <f>'ORCAMENTO RECEITA ANALITICO'!G60</f>
        <v>Contribuicao De  Melhoria P/ Expansao Da Rede De  Agua Potavel E Esgot</v>
      </c>
      <c r="B110" s="1301" t="str">
        <f>Parâmetros!C48</f>
        <v>Estimativa de  Arrecadação de Contribuicao De  Melhoria Para Expansao Da Rede De  Agua Potavel E Esgoto Sanitario</v>
      </c>
      <c r="C110" s="1275" t="s">
        <v>419</v>
      </c>
      <c r="D110" s="222" t="str">
        <f>Parâmetros!C$5</f>
        <v>MEDIA DA Variação do IPCA  E IGP-DI para 2016</v>
      </c>
    </row>
    <row r="111" spans="1:4" ht="30" customHeight="1" x14ac:dyDescent="0.2">
      <c r="A111" s="1279"/>
      <c r="B111" s="1302"/>
      <c r="C111" s="1276"/>
      <c r="D111" s="222" t="str">
        <f>Parâmetros!C$10</f>
        <v>Taxa de Câmbio (R$/US$) – dez  base informativo conjunto congresso nacional ldo uniao para 2016</v>
      </c>
    </row>
    <row r="112" spans="1:4" ht="30" customHeight="1" x14ac:dyDescent="0.2">
      <c r="A112" s="1280"/>
      <c r="B112" s="1299"/>
      <c r="C112" s="1277"/>
      <c r="D112" s="222" t="str">
        <f>Parâmetros!C$20</f>
        <v>Crescimento Médio da Arrecadação</v>
      </c>
    </row>
    <row r="113" spans="1:4" ht="30" customHeight="1" x14ac:dyDescent="0.2">
      <c r="A113" s="1278" t="str">
        <f>'ORCAMENTO RECEITA ANALITICO'!G61</f>
        <v>Contribuicao De  Melhoria P/ Exp. Da Rede De  Ilum. Publica Na Cidade</v>
      </c>
      <c r="B113" s="1301" t="str">
        <f>Parâmetros!C49</f>
        <v>Estimativa de  Arrecadação de Contribuicao De  Melhoria Para Expansao Da Rede De  Iluminacao Publica Na Cidade</v>
      </c>
      <c r="C113" s="1275" t="s">
        <v>419</v>
      </c>
      <c r="D113" s="222" t="str">
        <f>Parâmetros!C$5</f>
        <v>MEDIA DA Variação do IPCA  E IGP-DI para 2016</v>
      </c>
    </row>
    <row r="114" spans="1:4" ht="30" customHeight="1" x14ac:dyDescent="0.2">
      <c r="A114" s="1279"/>
      <c r="B114" s="1302"/>
      <c r="C114" s="1276"/>
      <c r="D114" s="222" t="str">
        <f>Parâmetros!C$10</f>
        <v>Taxa de Câmbio (R$/US$) – dez  base informativo conjunto congresso nacional ldo uniao para 2016</v>
      </c>
    </row>
    <row r="115" spans="1:4" ht="30" customHeight="1" x14ac:dyDescent="0.2">
      <c r="A115" s="1280"/>
      <c r="B115" s="1299"/>
      <c r="C115" s="1277"/>
      <c r="D115" s="222" t="str">
        <f>Parâmetros!C$20</f>
        <v>Crescimento Médio da Arrecadação</v>
      </c>
    </row>
    <row r="116" spans="1:4" ht="30" customHeight="1" x14ac:dyDescent="0.2">
      <c r="A116" s="1278" t="str">
        <f>'ORCAMENTO RECEITA ANALITICO'!G62</f>
        <v>Contribuicao De  Melhoria P/ Exp. Da Rede De  Ilum. Publica Rural</v>
      </c>
      <c r="B116" s="1301" t="str">
        <f>Parâmetros!C50</f>
        <v>Estimativa de  Arrecadação de Contribuicao De  Melhoria Para Expansao Da Rede De  Iluminacao Publica Rural</v>
      </c>
      <c r="C116" s="1275" t="s">
        <v>419</v>
      </c>
      <c r="D116" s="222" t="str">
        <f>Parâmetros!C$5</f>
        <v>MEDIA DA Variação do IPCA  E IGP-DI para 2016</v>
      </c>
    </row>
    <row r="117" spans="1:4" ht="30" customHeight="1" x14ac:dyDescent="0.2">
      <c r="A117" s="1279"/>
      <c r="B117" s="1302"/>
      <c r="C117" s="1276"/>
      <c r="D117" s="222" t="str">
        <f>Parâmetros!C$10</f>
        <v>Taxa de Câmbio (R$/US$) – dez  base informativo conjunto congresso nacional ldo uniao para 2016</v>
      </c>
    </row>
    <row r="118" spans="1:4" ht="30" customHeight="1" x14ac:dyDescent="0.2">
      <c r="A118" s="1280"/>
      <c r="B118" s="1299"/>
      <c r="C118" s="1277"/>
      <c r="D118" s="222" t="str">
        <f>Parâmetros!C$20</f>
        <v>Crescimento Médio da Arrecadação</v>
      </c>
    </row>
    <row r="119" spans="1:4" ht="30" customHeight="1" x14ac:dyDescent="0.2">
      <c r="A119" s="1278" t="str">
        <f>'ORCAMENTO RECEITA ANALITICO'!G63</f>
        <v>Contribuicao De  Melhoria P/ Pavimentacao E Obras Complementares</v>
      </c>
      <c r="B119" s="1301" t="str">
        <f>Parâmetros!C51</f>
        <v>Estimativa de  Arrecadação de Contribuicao De  Melhoria Para Pavimentacao E Obras Complementares</v>
      </c>
      <c r="C119" s="1275" t="s">
        <v>419</v>
      </c>
      <c r="D119" s="222" t="str">
        <f>Parâmetros!C$5</f>
        <v>MEDIA DA Variação do IPCA  E IGP-DI para 2016</v>
      </c>
    </row>
    <row r="120" spans="1:4" ht="30" customHeight="1" x14ac:dyDescent="0.2">
      <c r="A120" s="1279"/>
      <c r="B120" s="1302"/>
      <c r="C120" s="1276"/>
      <c r="D120" s="222" t="str">
        <f>Parâmetros!C$10</f>
        <v>Taxa de Câmbio (R$/US$) – dez  base informativo conjunto congresso nacional ldo uniao para 2016</v>
      </c>
    </row>
    <row r="121" spans="1:4" ht="30" customHeight="1" x14ac:dyDescent="0.2">
      <c r="A121" s="1280"/>
      <c r="B121" s="1299"/>
      <c r="C121" s="1277"/>
      <c r="D121" s="222" t="str">
        <f>Parâmetros!C$20</f>
        <v>Crescimento Médio da Arrecadação</v>
      </c>
    </row>
    <row r="122" spans="1:4" ht="30" customHeight="1" x14ac:dyDescent="0.2">
      <c r="A122" s="1278" t="str">
        <f>'ORCAMENTO RECEITA ANALITICO'!G66</f>
        <v>TAXA  LOCACAO CENTRO DE EVENTOS</v>
      </c>
      <c r="B122" s="1301" t="str">
        <f>Parâmetros!C52</f>
        <v>Estimativa de  Arrecadação de taxa locação do cenbtro de eventos</v>
      </c>
      <c r="C122" s="1275" t="s">
        <v>419</v>
      </c>
      <c r="D122" s="222" t="str">
        <f>Parâmetros!C$5</f>
        <v>MEDIA DA Variação do IPCA  E IGP-DI para 2016</v>
      </c>
    </row>
    <row r="123" spans="1:4" ht="30" customHeight="1" x14ac:dyDescent="0.2">
      <c r="A123" s="1279"/>
      <c r="B123" s="1302"/>
      <c r="C123" s="1276"/>
      <c r="D123" s="222" t="str">
        <f>Parâmetros!C$10</f>
        <v>Taxa de Câmbio (R$/US$) – dez  base informativo conjunto congresso nacional ldo uniao para 2016</v>
      </c>
    </row>
    <row r="124" spans="1:4" ht="30" customHeight="1" x14ac:dyDescent="0.2">
      <c r="A124" s="1280"/>
      <c r="B124" s="1299"/>
      <c r="C124" s="1277"/>
      <c r="D124" s="222" t="str">
        <f>Parâmetros!C$20</f>
        <v>Crescimento Médio da Arrecadação</v>
      </c>
    </row>
    <row r="125" spans="1:4" ht="30" customHeight="1" x14ac:dyDescent="0.2">
      <c r="A125" s="1271" t="str">
        <f>'ORCAMENTO RECEITA ANALITICO'!G70</f>
        <v>Titulos De Responsabilidade Do Governo Federal - Tda</v>
      </c>
      <c r="B125" s="1273" t="str">
        <f>Parâmetros!C53</f>
        <v>Estimativa de  Arrecadação de Titulos De Responsabilidade Do Governo Federal - Tda</v>
      </c>
      <c r="C125" s="1274" t="s">
        <v>420</v>
      </c>
      <c r="D125" s="222" t="str">
        <f>Parâmetros!C$5</f>
        <v>MEDIA DA Variação do IPCA  E IGP-DI para 2016</v>
      </c>
    </row>
    <row r="126" spans="1:4" ht="30" customHeight="1" x14ac:dyDescent="0.2">
      <c r="A126" s="1271"/>
      <c r="B126" s="1273"/>
      <c r="C126" s="1274"/>
      <c r="D126" s="222" t="str">
        <f>Parâmetros!C$10</f>
        <v>Taxa de Câmbio (R$/US$) – dez  base informativo conjunto congresso nacional ldo uniao para 2016</v>
      </c>
    </row>
    <row r="127" spans="1:4" ht="30" customHeight="1" x14ac:dyDescent="0.2">
      <c r="A127" s="1271"/>
      <c r="B127" s="1273"/>
      <c r="C127" s="1274"/>
      <c r="D127" s="222" t="str">
        <f>Parâmetros!C$20</f>
        <v>Crescimento Médio da Arrecadação</v>
      </c>
    </row>
    <row r="128" spans="1:4" ht="30" customHeight="1" x14ac:dyDescent="0.2">
      <c r="A128" s="1271" t="str">
        <f>'ORCAMENTO RECEITA ANALITICO'!G73</f>
        <v>Receita De Rem. Depositos  Rec. Vinc.  Fundeb</v>
      </c>
      <c r="B128" s="1273" t="str">
        <f>Parâmetros!C54</f>
        <v>Estimativa de  Arrecadação de Receita De Remuneracao De Depositos  Bancarios De Recursos Vinculados - Fundeb</v>
      </c>
      <c r="C128" s="1274" t="s">
        <v>420</v>
      </c>
      <c r="D128" s="222" t="str">
        <f>Parâmetros!C$5</f>
        <v>MEDIA DA Variação do IPCA  E IGP-DI para 2016</v>
      </c>
    </row>
    <row r="129" spans="1:4" ht="30" customHeight="1" x14ac:dyDescent="0.2">
      <c r="A129" s="1271"/>
      <c r="B129" s="1273"/>
      <c r="C129" s="1274"/>
      <c r="D129" s="222" t="str">
        <f>Parâmetros!C$10</f>
        <v>Taxa de Câmbio (R$/US$) – dez  base informativo conjunto congresso nacional ldo uniao para 2016</v>
      </c>
    </row>
    <row r="130" spans="1:4" ht="30" customHeight="1" x14ac:dyDescent="0.2">
      <c r="A130" s="1271"/>
      <c r="B130" s="1273"/>
      <c r="C130" s="1274"/>
      <c r="D130" s="222" t="str">
        <f>Parâmetros!C$20</f>
        <v>Crescimento Médio da Arrecadação</v>
      </c>
    </row>
    <row r="131" spans="1:4" ht="30" customHeight="1" x14ac:dyDescent="0.2">
      <c r="A131" s="1271" t="str">
        <f>'ORCAMENTO RECEITA ANALITICO'!G75</f>
        <v>Receira De Aplicacao Pab</v>
      </c>
      <c r="B131" s="1273" t="str">
        <f>Parâmetros!C55</f>
        <v>Estimativa de  Arrecadação de Receira De Aplicação Pab</v>
      </c>
      <c r="C131" s="1274" t="s">
        <v>420</v>
      </c>
      <c r="D131" s="222" t="str">
        <f>Parâmetros!C$5</f>
        <v>MEDIA DA Variação do IPCA  E IGP-DI para 2016</v>
      </c>
    </row>
    <row r="132" spans="1:4" ht="30" customHeight="1" x14ac:dyDescent="0.2">
      <c r="A132" s="1271"/>
      <c r="B132" s="1273"/>
      <c r="C132" s="1274"/>
      <c r="D132" s="222" t="str">
        <f>Parâmetros!C$10</f>
        <v>Taxa de Câmbio (R$/US$) – dez  base informativo conjunto congresso nacional ldo uniao para 2016</v>
      </c>
    </row>
    <row r="133" spans="1:4" ht="30" customHeight="1" x14ac:dyDescent="0.2">
      <c r="A133" s="1271"/>
      <c r="B133" s="1273"/>
      <c r="C133" s="1274"/>
      <c r="D133" s="222" t="str">
        <f>Parâmetros!C$20</f>
        <v>Crescimento Médio da Arrecadação</v>
      </c>
    </row>
    <row r="134" spans="1:4" ht="30" customHeight="1" x14ac:dyDescent="0.2">
      <c r="A134" s="1271" t="str">
        <f>'ORCAMENTO RECEITA ANALITICO'!G76</f>
        <v>Receita De Aplicacao Farmacia Basica</v>
      </c>
      <c r="B134" s="1273" t="str">
        <f>Parâmetros!C56</f>
        <v>Estimativa de  Arrecadação de Receita De Aplicação Farmácia Básica</v>
      </c>
      <c r="C134" s="1274" t="s">
        <v>420</v>
      </c>
      <c r="D134" s="222" t="str">
        <f>Parâmetros!C$5</f>
        <v>MEDIA DA Variação do IPCA  E IGP-DI para 2016</v>
      </c>
    </row>
    <row r="135" spans="1:4" ht="30" customHeight="1" x14ac:dyDescent="0.2">
      <c r="A135" s="1271"/>
      <c r="B135" s="1273"/>
      <c r="C135" s="1274"/>
      <c r="D135" s="222" t="str">
        <f>Parâmetros!C$10</f>
        <v>Taxa de Câmbio (R$/US$) – dez  base informativo conjunto congresso nacional ldo uniao para 2016</v>
      </c>
    </row>
    <row r="136" spans="1:4" ht="30" customHeight="1" x14ac:dyDescent="0.2">
      <c r="A136" s="1271"/>
      <c r="B136" s="1273"/>
      <c r="C136" s="1274"/>
      <c r="D136" s="222" t="str">
        <f>Parâmetros!C$20</f>
        <v>Crescimento Médio da Arrecadação</v>
      </c>
    </row>
    <row r="137" spans="1:4" ht="30" customHeight="1" x14ac:dyDescent="0.2">
      <c r="A137" s="1271" t="str">
        <f>'ORCAMENTO RECEITA ANALITICO'!G77</f>
        <v>Receita De Aplicacao Vigilancia Sanitaria</v>
      </c>
      <c r="B137" s="1273" t="str">
        <f>Parâmetros!C57</f>
        <v>Estimativa de  Arrecadação de Receita De Aplicação Vigilância Sanitária</v>
      </c>
      <c r="C137" s="1274" t="s">
        <v>420</v>
      </c>
      <c r="D137" s="222" t="str">
        <f>Parâmetros!C$5</f>
        <v>MEDIA DA Variação do IPCA  E IGP-DI para 2016</v>
      </c>
    </row>
    <row r="138" spans="1:4" ht="30" customHeight="1" x14ac:dyDescent="0.2">
      <c r="A138" s="1271"/>
      <c r="B138" s="1273"/>
      <c r="C138" s="1274"/>
      <c r="D138" s="222" t="str">
        <f>Parâmetros!C$10</f>
        <v>Taxa de Câmbio (R$/US$) – dez  base informativo conjunto congresso nacional ldo uniao para 2016</v>
      </c>
    </row>
    <row r="139" spans="1:4" ht="30" customHeight="1" x14ac:dyDescent="0.2">
      <c r="A139" s="1271"/>
      <c r="B139" s="1273"/>
      <c r="C139" s="1274"/>
      <c r="D139" s="222" t="str">
        <f>Parâmetros!C$20</f>
        <v>Crescimento Médio da Arrecadação</v>
      </c>
    </row>
    <row r="140" spans="1:4" ht="30" customHeight="1" x14ac:dyDescent="0.2">
      <c r="A140" s="1271" t="str">
        <f>'ORCAMENTO RECEITA ANALITICO'!G78</f>
        <v>Receita De Aplicacao Epidemiologia</v>
      </c>
      <c r="B140" s="1273" t="str">
        <f>Parâmetros!C58</f>
        <v>Estimativa de  Arrecadação de Receita De Aplicação Epidemiologia</v>
      </c>
      <c r="C140" s="1274" t="s">
        <v>420</v>
      </c>
      <c r="D140" s="222" t="str">
        <f>Parâmetros!C$5</f>
        <v>MEDIA DA Variação do IPCA  E IGP-DI para 2016</v>
      </c>
    </row>
    <row r="141" spans="1:4" ht="30" customHeight="1" x14ac:dyDescent="0.2">
      <c r="A141" s="1271"/>
      <c r="B141" s="1273"/>
      <c r="C141" s="1274"/>
      <c r="D141" s="222" t="str">
        <f>Parâmetros!C$10</f>
        <v>Taxa de Câmbio (R$/US$) – dez  base informativo conjunto congresso nacional ldo uniao para 2016</v>
      </c>
    </row>
    <row r="142" spans="1:4" ht="30" customHeight="1" x14ac:dyDescent="0.2">
      <c r="A142" s="1271"/>
      <c r="B142" s="1273"/>
      <c r="C142" s="1274"/>
      <c r="D142" s="222" t="str">
        <f>Parâmetros!C$20</f>
        <v>Crescimento Médio da Arrecadação</v>
      </c>
    </row>
    <row r="143" spans="1:4" ht="30" customHeight="1" x14ac:dyDescent="0.2">
      <c r="A143" s="1271" t="str">
        <f>'ORCAMENTO RECEITA ANALITICO'!G79</f>
        <v>Rec. Rem. Dep. Assist. Farm. Basica</v>
      </c>
      <c r="B143" s="1273" t="str">
        <f>Parâmetros!C60</f>
        <v>Estimativa de  Arrecadação de Rec. Rem. Dep. Assist. Farm. Basica</v>
      </c>
      <c r="C143" s="1274" t="s">
        <v>420</v>
      </c>
      <c r="D143" s="222" t="str">
        <f>Parâmetros!C$5</f>
        <v>MEDIA DA Variação do IPCA  E IGP-DI para 2016</v>
      </c>
    </row>
    <row r="144" spans="1:4" ht="30" customHeight="1" x14ac:dyDescent="0.2">
      <c r="A144" s="1271"/>
      <c r="B144" s="1273"/>
      <c r="C144" s="1274"/>
      <c r="D144" s="222" t="str">
        <f>Parâmetros!C$10</f>
        <v>Taxa de Câmbio (R$/US$) – dez  base informativo conjunto congresso nacional ldo uniao para 2016</v>
      </c>
    </row>
    <row r="145" spans="1:4" ht="30" customHeight="1" x14ac:dyDescent="0.2">
      <c r="A145" s="1271"/>
      <c r="B145" s="1273"/>
      <c r="C145" s="1274"/>
      <c r="D145" s="222" t="str">
        <f>Parâmetros!C$20</f>
        <v>Crescimento Médio da Arrecadação</v>
      </c>
    </row>
    <row r="146" spans="1:4" ht="30" customHeight="1" x14ac:dyDescent="0.2">
      <c r="A146" s="1271" t="str">
        <f>'ORCAMENTO RECEITA ANALITICO'!G80</f>
        <v>Rec. Rem. Dep. Prog. Incentivo a  Atencao Basica</v>
      </c>
      <c r="B146" s="1273" t="str">
        <f>Parâmetros!C61</f>
        <v>Estimativa de  Arrecadação de Rec. Rem. Dep. Prog. Incentivo a  Atenção Básica</v>
      </c>
      <c r="C146" s="1274" t="s">
        <v>420</v>
      </c>
      <c r="D146" s="222" t="str">
        <f>Parâmetros!C$5</f>
        <v>MEDIA DA Variação do IPCA  E IGP-DI para 2016</v>
      </c>
    </row>
    <row r="147" spans="1:4" ht="30" customHeight="1" x14ac:dyDescent="0.2">
      <c r="A147" s="1271"/>
      <c r="B147" s="1273"/>
      <c r="C147" s="1274"/>
      <c r="D147" s="222" t="str">
        <f>Parâmetros!C$10</f>
        <v>Taxa de Câmbio (R$/US$) – dez  base informativo conjunto congresso nacional ldo uniao para 2016</v>
      </c>
    </row>
    <row r="148" spans="1:4" ht="30" customHeight="1" x14ac:dyDescent="0.2">
      <c r="A148" s="1271"/>
      <c r="B148" s="1273"/>
      <c r="C148" s="1274"/>
      <c r="D148" s="222" t="str">
        <f>Parâmetros!C$20</f>
        <v>Crescimento Médio da Arrecadação</v>
      </c>
    </row>
    <row r="149" spans="1:4" ht="30" customHeight="1" x14ac:dyDescent="0.2">
      <c r="A149" s="1271" t="str">
        <f>'ORCAMENTO RECEITA ANALITICO'!G81</f>
        <v>Rec. Rem. Dep. Farmacia Basica - Diabete Mellitus</v>
      </c>
      <c r="B149" s="1273" t="str">
        <f>Parâmetros!C62</f>
        <v>Estimativa de  Arrecadação de Rec. Rem. Dep. Farmacia Básica - Diabete Mellitus</v>
      </c>
      <c r="C149" s="1274" t="s">
        <v>420</v>
      </c>
      <c r="D149" s="222" t="str">
        <f>Parâmetros!C$5</f>
        <v>MEDIA DA Variação do IPCA  E IGP-DI para 2016</v>
      </c>
    </row>
    <row r="150" spans="1:4" ht="30" customHeight="1" x14ac:dyDescent="0.2">
      <c r="A150" s="1271"/>
      <c r="B150" s="1273"/>
      <c r="C150" s="1274"/>
      <c r="D150" s="222" t="str">
        <f>Parâmetros!C$10</f>
        <v>Taxa de Câmbio (R$/US$) – dez  base informativo conjunto congresso nacional ldo uniao para 2016</v>
      </c>
    </row>
    <row r="151" spans="1:4" ht="30" customHeight="1" x14ac:dyDescent="0.2">
      <c r="A151" s="1271"/>
      <c r="B151" s="1273"/>
      <c r="C151" s="1274"/>
      <c r="D151" s="222" t="str">
        <f>Parâmetros!C$20</f>
        <v>Crescimento Médio da Arrecadação</v>
      </c>
    </row>
    <row r="152" spans="1:4" ht="30" customHeight="1" x14ac:dyDescent="0.2">
      <c r="A152" s="1271" t="str">
        <f>'ORCAMENTO RECEITA ANALITICO'!G82</f>
        <v>Rec. Rem. Dep. FMS SAUDE MENTAL</v>
      </c>
      <c r="B152" s="1273" t="str">
        <f>Parâmetros!C63</f>
        <v>Estimativa de  Arrecadação de Rec. Rem. Dep. Farmacia Básica - Saude Mental</v>
      </c>
      <c r="C152" s="1274" t="s">
        <v>420</v>
      </c>
      <c r="D152" s="222" t="str">
        <f>Parâmetros!C$5</f>
        <v>MEDIA DA Variação do IPCA  E IGP-DI para 2016</v>
      </c>
    </row>
    <row r="153" spans="1:4" ht="30" customHeight="1" x14ac:dyDescent="0.2">
      <c r="A153" s="1271"/>
      <c r="B153" s="1273"/>
      <c r="C153" s="1274"/>
      <c r="D153" s="222" t="str">
        <f>Parâmetros!C$10</f>
        <v>Taxa de Câmbio (R$/US$) – dez  base informativo conjunto congresso nacional ldo uniao para 2016</v>
      </c>
    </row>
    <row r="154" spans="1:4" ht="30" customHeight="1" x14ac:dyDescent="0.2">
      <c r="A154" s="1271"/>
      <c r="B154" s="1273"/>
      <c r="C154" s="1274"/>
      <c r="D154" s="222" t="str">
        <f>Parâmetros!C$20</f>
        <v>Crescimento Médio da Arrecadação</v>
      </c>
    </row>
    <row r="155" spans="1:4" ht="30" customHeight="1" x14ac:dyDescent="0.2">
      <c r="A155" s="1271" t="str">
        <f>'ORCAMENTO RECEITA ANALITICO'!G84</f>
        <v>Receita De Rem. De Depositos Rec. Vinc.  Mde</v>
      </c>
      <c r="B155" s="1273" t="str">
        <f>Parâmetros!C65</f>
        <v>Estimativa de  Arrecadação de Receita De Rem. De Depósitos Rec. Vinc.  Mde</v>
      </c>
      <c r="C155" s="1274" t="s">
        <v>420</v>
      </c>
      <c r="D155" s="222" t="str">
        <f>Parâmetros!C$5</f>
        <v>MEDIA DA Variação do IPCA  E IGP-DI para 2016</v>
      </c>
    </row>
    <row r="156" spans="1:4" ht="30" customHeight="1" x14ac:dyDescent="0.2">
      <c r="A156" s="1271"/>
      <c r="B156" s="1273"/>
      <c r="C156" s="1274"/>
      <c r="D156" s="222" t="str">
        <f>Parâmetros!C$10</f>
        <v>Taxa de Câmbio (R$/US$) – dez  base informativo conjunto congresso nacional ldo uniao para 2016</v>
      </c>
    </row>
    <row r="157" spans="1:4" ht="30" customHeight="1" x14ac:dyDescent="0.2">
      <c r="A157" s="1271"/>
      <c r="B157" s="1273"/>
      <c r="C157" s="1274"/>
      <c r="D157" s="222" t="str">
        <f>Parâmetros!C$20</f>
        <v>Crescimento Médio da Arrecadação</v>
      </c>
    </row>
    <row r="158" spans="1:4" ht="30" customHeight="1" x14ac:dyDescent="0.2">
      <c r="A158" s="1271" t="str">
        <f>'ORCAMENTO RECEITA ANALITICO'!G85</f>
        <v>Receita De Rem. De Depositos Rec. Vinc. Asps</v>
      </c>
      <c r="B158" s="1273" t="str">
        <f>Parâmetros!C66</f>
        <v>Estimativa de  Arrecadação de Receita De Rem. De Depositos Rec. Vinc. Asps</v>
      </c>
      <c r="C158" s="1274" t="s">
        <v>420</v>
      </c>
      <c r="D158" s="222" t="str">
        <f>Parâmetros!C$5</f>
        <v>MEDIA DA Variação do IPCA  E IGP-DI para 2016</v>
      </c>
    </row>
    <row r="159" spans="1:4" ht="30" customHeight="1" x14ac:dyDescent="0.2">
      <c r="A159" s="1271"/>
      <c r="B159" s="1273"/>
      <c r="C159" s="1274"/>
      <c r="D159" s="222" t="str">
        <f>Parâmetros!C$10</f>
        <v>Taxa de Câmbio (R$/US$) – dez  base informativo conjunto congresso nacional ldo uniao para 2016</v>
      </c>
    </row>
    <row r="160" spans="1:4" ht="30" customHeight="1" x14ac:dyDescent="0.2">
      <c r="A160" s="1271"/>
      <c r="B160" s="1273"/>
      <c r="C160" s="1274"/>
      <c r="D160" s="222" t="str">
        <f>Parâmetros!C$20</f>
        <v>Crescimento Médio da Arrecadação</v>
      </c>
    </row>
    <row r="161" spans="1:4" ht="30" customHeight="1" x14ac:dyDescent="0.2">
      <c r="A161" s="1271" t="str">
        <f>'ORCAMENTO RECEITA ANALITICO'!G86</f>
        <v>Receita De Remuneracao De Depositos  Bancarios  Cide</v>
      </c>
      <c r="B161" s="1273" t="str">
        <f>Parâmetros!C67</f>
        <v>Estimativa de  Arrecadação de Receita De Remuneracao De Depositos  Bancarios  Cide</v>
      </c>
      <c r="C161" s="1274" t="s">
        <v>420</v>
      </c>
      <c r="D161" s="222" t="str">
        <f>Parâmetros!C$5</f>
        <v>MEDIA DA Variação do IPCA  E IGP-DI para 2016</v>
      </c>
    </row>
    <row r="162" spans="1:4" ht="30" customHeight="1" x14ac:dyDescent="0.2">
      <c r="A162" s="1271"/>
      <c r="B162" s="1273"/>
      <c r="C162" s="1274"/>
      <c r="D162" s="222" t="str">
        <f>Parâmetros!C$10</f>
        <v>Taxa de Câmbio (R$/US$) – dez  base informativo conjunto congresso nacional ldo uniao para 2016</v>
      </c>
    </row>
    <row r="163" spans="1:4" ht="30" customHeight="1" x14ac:dyDescent="0.2">
      <c r="A163" s="1271"/>
      <c r="B163" s="1273"/>
      <c r="C163" s="1274"/>
      <c r="D163" s="222" t="str">
        <f>Parâmetros!C$20</f>
        <v>Crescimento Médio da Arrecadação</v>
      </c>
    </row>
    <row r="164" spans="1:4" ht="30" customHeight="1" x14ac:dyDescent="0.2">
      <c r="A164" s="1271" t="str">
        <f>'ORCAMENTO RECEITA ANALITICO'!G88</f>
        <v>Receita De Rem. De Depositos  Bancarios  - Pnate</v>
      </c>
      <c r="B164" s="1273" t="str">
        <f>Parâmetros!C68</f>
        <v>Estimativa de  Arrecadação de Receita De Rem. De Depositos  Bancarios  - Pnate</v>
      </c>
      <c r="C164" s="1274" t="s">
        <v>420</v>
      </c>
      <c r="D164" s="222" t="str">
        <f>Parâmetros!C$5</f>
        <v>MEDIA DA Variação do IPCA  E IGP-DI para 2016</v>
      </c>
    </row>
    <row r="165" spans="1:4" ht="30" customHeight="1" x14ac:dyDescent="0.2">
      <c r="A165" s="1271"/>
      <c r="B165" s="1273"/>
      <c r="C165" s="1274"/>
      <c r="D165" s="222" t="str">
        <f>Parâmetros!C$10</f>
        <v>Taxa de Câmbio (R$/US$) – dez  base informativo conjunto congresso nacional ldo uniao para 2016</v>
      </c>
    </row>
    <row r="166" spans="1:4" ht="30" customHeight="1" x14ac:dyDescent="0.2">
      <c r="A166" s="1271"/>
      <c r="B166" s="1273"/>
      <c r="C166" s="1274"/>
      <c r="D166" s="222" t="str">
        <f>Parâmetros!C$20</f>
        <v>Crescimento Médio da Arrecadação</v>
      </c>
    </row>
    <row r="167" spans="1:4" ht="30" customHeight="1" x14ac:dyDescent="0.2">
      <c r="A167" s="1271" t="str">
        <f>'ORCAMENTO RECEITA ANALITICO'!G89</f>
        <v>Receita De Rem. De Depositos  Bancarios  - QSE</v>
      </c>
      <c r="B167" s="1273" t="str">
        <f>Parâmetros!C69</f>
        <v>Estimativa de  Arrecadação de Receita De Rem. De Depositos  Bancarios  - Salario Educação</v>
      </c>
      <c r="C167" s="1274" t="s">
        <v>420</v>
      </c>
      <c r="D167" s="222" t="str">
        <f>Parâmetros!C$5</f>
        <v>MEDIA DA Variação do IPCA  E IGP-DI para 2016</v>
      </c>
    </row>
    <row r="168" spans="1:4" ht="30" customHeight="1" x14ac:dyDescent="0.2">
      <c r="A168" s="1271"/>
      <c r="B168" s="1273"/>
      <c r="C168" s="1274"/>
      <c r="D168" s="222" t="str">
        <f>Parâmetros!C$10</f>
        <v>Taxa de Câmbio (R$/US$) – dez  base informativo conjunto congresso nacional ldo uniao para 2016</v>
      </c>
    </row>
    <row r="169" spans="1:4" ht="30" customHeight="1" x14ac:dyDescent="0.2">
      <c r="A169" s="1271"/>
      <c r="B169" s="1273"/>
      <c r="C169" s="1274"/>
      <c r="D169" s="222" t="str">
        <f>Parâmetros!C$20</f>
        <v>Crescimento Médio da Arrecadação</v>
      </c>
    </row>
    <row r="170" spans="1:4" ht="30" customHeight="1" x14ac:dyDescent="0.2">
      <c r="A170" s="1271" t="str">
        <f>'ORCAMENTO RECEITA ANALITICO'!G90</f>
        <v>Receita De Rem. De Depositos  Bancarios  - Pnae</v>
      </c>
      <c r="B170" s="1273" t="str">
        <f>Parâmetros!C70</f>
        <v>Estimativa de  Arrecadação de Receita De Rem. De Depositos  Bancarios  - Pnae</v>
      </c>
      <c r="C170" s="1274" t="s">
        <v>420</v>
      </c>
      <c r="D170" s="222" t="str">
        <f>Parâmetros!C$5</f>
        <v>MEDIA DA Variação do IPCA  E IGP-DI para 2016</v>
      </c>
    </row>
    <row r="171" spans="1:4" ht="30" customHeight="1" x14ac:dyDescent="0.2">
      <c r="A171" s="1271"/>
      <c r="B171" s="1273"/>
      <c r="C171" s="1274"/>
      <c r="D171" s="222" t="str">
        <f>Parâmetros!C$10</f>
        <v>Taxa de Câmbio (R$/US$) – dez  base informativo conjunto congresso nacional ldo uniao para 2016</v>
      </c>
    </row>
    <row r="172" spans="1:4" ht="30" customHeight="1" x14ac:dyDescent="0.2">
      <c r="A172" s="1271"/>
      <c r="B172" s="1273"/>
      <c r="C172" s="1274"/>
      <c r="D172" s="222" t="str">
        <f>Parâmetros!C$20</f>
        <v>Crescimento Médio da Arrecadação</v>
      </c>
    </row>
    <row r="173" spans="1:4" ht="30" customHeight="1" x14ac:dyDescent="0.2">
      <c r="A173" s="1271" t="str">
        <f>'ORCAMENTO RECEITA ANALITICO'!G92</f>
        <v>Rec. De Rend. De Aplic. Financ. Fmas Ptmc</v>
      </c>
      <c r="B173" s="1273" t="str">
        <f>Parâmetros!C71</f>
        <v>Estimativa de  Arrecadação de Rec. De Rend. De Aplic. Financ. Fmas Ptmc</v>
      </c>
      <c r="C173" s="1274" t="s">
        <v>420</v>
      </c>
      <c r="D173" s="222" t="str">
        <f>Parâmetros!C$5</f>
        <v>MEDIA DA Variação do IPCA  E IGP-DI para 2016</v>
      </c>
    </row>
    <row r="174" spans="1:4" ht="30" customHeight="1" x14ac:dyDescent="0.2">
      <c r="A174" s="1271"/>
      <c r="B174" s="1273"/>
      <c r="C174" s="1274"/>
      <c r="D174" s="222" t="str">
        <f>Parâmetros!C$10</f>
        <v>Taxa de Câmbio (R$/US$) – dez  base informativo conjunto congresso nacional ldo uniao para 2016</v>
      </c>
    </row>
    <row r="175" spans="1:4" ht="30" customHeight="1" x14ac:dyDescent="0.2">
      <c r="A175" s="1271"/>
      <c r="B175" s="1273"/>
      <c r="C175" s="1274"/>
      <c r="D175" s="222" t="str">
        <f>Parâmetros!C$20</f>
        <v>Crescimento Médio da Arrecadação</v>
      </c>
    </row>
    <row r="176" spans="1:4" ht="30" customHeight="1" x14ac:dyDescent="0.2">
      <c r="A176" s="1271" t="str">
        <f>'ORCAMENTO RECEITA ANALITICO'!G93</f>
        <v>Rec. De Rend. De Aplic. Financ. Fmas Igdbf</v>
      </c>
      <c r="B176" s="1273" t="str">
        <f>Parâmetros!C72</f>
        <v>Estimativa de  Arrecadação de Rec. De Rend. De Aplic. Financ. Fmas Igdbf</v>
      </c>
      <c r="C176" s="1274" t="s">
        <v>420</v>
      </c>
      <c r="D176" s="222" t="str">
        <f>Parâmetros!C$5</f>
        <v>MEDIA DA Variação do IPCA  E IGP-DI para 2016</v>
      </c>
    </row>
    <row r="177" spans="1:4" ht="30" customHeight="1" x14ac:dyDescent="0.2">
      <c r="A177" s="1271"/>
      <c r="B177" s="1273"/>
      <c r="C177" s="1274"/>
      <c r="D177" s="222" t="str">
        <f>Parâmetros!C$10</f>
        <v>Taxa de Câmbio (R$/US$) – dez  base informativo conjunto congresso nacional ldo uniao para 2016</v>
      </c>
    </row>
    <row r="178" spans="1:4" ht="30" customHeight="1" x14ac:dyDescent="0.2">
      <c r="A178" s="1271"/>
      <c r="B178" s="1273"/>
      <c r="C178" s="1274"/>
      <c r="D178" s="222" t="str">
        <f>Parâmetros!C$20</f>
        <v>Crescimento Médio da Arrecadação</v>
      </c>
    </row>
    <row r="179" spans="1:4" ht="30" customHeight="1" x14ac:dyDescent="0.2">
      <c r="A179" s="1271" t="str">
        <f>'ORCAMENTO RECEITA ANALITICO'!G94</f>
        <v>Rec. De Rend. De Aplic. Fundo Mun. Assist. Social</v>
      </c>
      <c r="B179" s="1273" t="str">
        <f>Parâmetros!C73</f>
        <v>Estimativa de  Arrecadação de Rec. De Rend. De Aplic. Fundo Mun. Assist. Social Feas</v>
      </c>
      <c r="C179" s="1274" t="s">
        <v>420</v>
      </c>
      <c r="D179" s="222" t="str">
        <f>Parâmetros!C$5</f>
        <v>MEDIA DA Variação do IPCA  E IGP-DI para 2016</v>
      </c>
    </row>
    <row r="180" spans="1:4" ht="30" customHeight="1" x14ac:dyDescent="0.2">
      <c r="A180" s="1271"/>
      <c r="B180" s="1273"/>
      <c r="C180" s="1274"/>
      <c r="D180" s="222" t="str">
        <f>Parâmetros!C$10</f>
        <v>Taxa de Câmbio (R$/US$) – dez  base informativo conjunto congresso nacional ldo uniao para 2016</v>
      </c>
    </row>
    <row r="181" spans="1:4" ht="30" customHeight="1" x14ac:dyDescent="0.2">
      <c r="A181" s="1271"/>
      <c r="B181" s="1273"/>
      <c r="C181" s="1274"/>
      <c r="D181" s="222" t="str">
        <f>Parâmetros!C$20</f>
        <v>Crescimento Médio da Arrecadação</v>
      </c>
    </row>
    <row r="182" spans="1:4" ht="30" customHeight="1" x14ac:dyDescent="0.2">
      <c r="A182" s="1271" t="str">
        <f>'ORCAMENTO RECEITA ANALITICO'!G95</f>
        <v>Receita De Aplicacao FMAS BPC</v>
      </c>
      <c r="B182" s="1273" t="str">
        <f>Parâmetros!C74</f>
        <v xml:space="preserve">Estimativa de  Arrecadação de Receita De Aplicação FMAS BPC </v>
      </c>
      <c r="C182" s="1274" t="s">
        <v>420</v>
      </c>
      <c r="D182" s="222" t="str">
        <f>Parâmetros!C$5</f>
        <v>MEDIA DA Variação do IPCA  E IGP-DI para 2016</v>
      </c>
    </row>
    <row r="183" spans="1:4" ht="30" customHeight="1" x14ac:dyDescent="0.2">
      <c r="A183" s="1271"/>
      <c r="B183" s="1273"/>
      <c r="C183" s="1274"/>
      <c r="D183" s="222" t="str">
        <f>Parâmetros!C$10</f>
        <v>Taxa de Câmbio (R$/US$) – dez  base informativo conjunto congresso nacional ldo uniao para 2016</v>
      </c>
    </row>
    <row r="184" spans="1:4" ht="30" customHeight="1" x14ac:dyDescent="0.2">
      <c r="A184" s="1271"/>
      <c r="B184" s="1273"/>
      <c r="C184" s="1274"/>
      <c r="D184" s="222" t="str">
        <f>Parâmetros!C$20</f>
        <v>Crescimento Médio da Arrecadação</v>
      </c>
    </row>
    <row r="185" spans="1:4" ht="30" customHeight="1" x14ac:dyDescent="0.2">
      <c r="A185" s="1271" t="str">
        <f>'ORCAMENTO RECEITA ANALITICO'!G96</f>
        <v>Receita De Aplicacao FNAS SCFV</v>
      </c>
      <c r="B185" s="1273" t="str">
        <f>Parâmetros!C75</f>
        <v>Estimativa de  Arrecadação de Receita De Aplicação FNAS PBV-II</v>
      </c>
      <c r="C185" s="1274" t="s">
        <v>420</v>
      </c>
      <c r="D185" s="222" t="str">
        <f>Parâmetros!C$5</f>
        <v>MEDIA DA Variação do IPCA  E IGP-DI para 2016</v>
      </c>
    </row>
    <row r="186" spans="1:4" ht="30" customHeight="1" x14ac:dyDescent="0.2">
      <c r="A186" s="1271"/>
      <c r="B186" s="1273"/>
      <c r="C186" s="1274"/>
      <c r="D186" s="222" t="str">
        <f>Parâmetros!C$10</f>
        <v>Taxa de Câmbio (R$/US$) – dez  base informativo conjunto congresso nacional ldo uniao para 2016</v>
      </c>
    </row>
    <row r="187" spans="1:4" ht="30" customHeight="1" x14ac:dyDescent="0.2">
      <c r="A187" s="1271"/>
      <c r="B187" s="1273"/>
      <c r="C187" s="1274"/>
      <c r="D187" s="222" t="str">
        <f>Parâmetros!C$20</f>
        <v>Crescimento Médio da Arrecadação</v>
      </c>
    </row>
    <row r="188" spans="1:4" ht="30" customHeight="1" x14ac:dyDescent="0.2">
      <c r="A188" s="1271" t="str">
        <f>'ORCAMENTO RECEITA ANALITICO'!G97</f>
        <v>Receita De Aplicacao FNAS PAIF</v>
      </c>
      <c r="B188" s="1273" t="str">
        <f>Parâmetros!C76</f>
        <v>Estimativa de  Arrecadação de Receita De Aplicação FNAS PAIF</v>
      </c>
      <c r="C188" s="1274" t="s">
        <v>420</v>
      </c>
      <c r="D188" s="222" t="str">
        <f>Parâmetros!C$5</f>
        <v>MEDIA DA Variação do IPCA  E IGP-DI para 2016</v>
      </c>
    </row>
    <row r="189" spans="1:4" ht="30" customHeight="1" x14ac:dyDescent="0.2">
      <c r="A189" s="1271"/>
      <c r="B189" s="1273"/>
      <c r="C189" s="1274"/>
      <c r="D189" s="222" t="str">
        <f>Parâmetros!C$10</f>
        <v>Taxa de Câmbio (R$/US$) – dez  base informativo conjunto congresso nacional ldo uniao para 2016</v>
      </c>
    </row>
    <row r="190" spans="1:4" ht="30" customHeight="1" x14ac:dyDescent="0.2">
      <c r="A190" s="1271"/>
      <c r="B190" s="1273"/>
      <c r="C190" s="1274"/>
      <c r="D190" s="222" t="str">
        <f>Parâmetros!C$20</f>
        <v>Crescimento Médio da Arrecadação</v>
      </c>
    </row>
    <row r="191" spans="1:4" ht="30" customHeight="1" x14ac:dyDescent="0.2">
      <c r="A191" s="1271" t="str">
        <f>'ORCAMENTO RECEITA ANALITICO'!G98</f>
        <v>Receita De Aplicacao FNAS IGD-SUAS</v>
      </c>
      <c r="B191" s="1273" t="str">
        <f>Parâmetros!C77</f>
        <v>Estimativa de  Arrecadação de Receita De Aplicação FNAS IGD-SUAS</v>
      </c>
      <c r="C191" s="1274" t="s">
        <v>420</v>
      </c>
      <c r="D191" s="222" t="str">
        <f>Parâmetros!C$5</f>
        <v>MEDIA DA Variação do IPCA  E IGP-DI para 2016</v>
      </c>
    </row>
    <row r="192" spans="1:4" ht="30" customHeight="1" x14ac:dyDescent="0.2">
      <c r="A192" s="1271"/>
      <c r="B192" s="1273"/>
      <c r="C192" s="1274"/>
      <c r="D192" s="222" t="str">
        <f>Parâmetros!C$10</f>
        <v>Taxa de Câmbio (R$/US$) – dez  base informativo conjunto congresso nacional ldo uniao para 2016</v>
      </c>
    </row>
    <row r="193" spans="1:4" ht="30" customHeight="1" x14ac:dyDescent="0.2">
      <c r="A193" s="1271"/>
      <c r="B193" s="1273"/>
      <c r="C193" s="1274"/>
      <c r="D193" s="222" t="str">
        <f>Parâmetros!C$20</f>
        <v>Crescimento Médio da Arrecadação</v>
      </c>
    </row>
    <row r="194" spans="1:4" ht="30" customHeight="1" x14ac:dyDescent="0.2">
      <c r="A194" s="1271" t="str">
        <f>'ORCAMENTO RECEITA ANALITICO'!G100</f>
        <v>Rececita De Rendimentos De Aplicacao - Fepe</v>
      </c>
      <c r="B194" s="1273" t="str">
        <f>Parâmetros!C79</f>
        <v>Estimativa de  Arrecadação de Rececita De Rendimentos De Aplicação - Fepe</v>
      </c>
      <c r="C194" s="1274" t="s">
        <v>420</v>
      </c>
      <c r="D194" s="222" t="str">
        <f>Parâmetros!C$5</f>
        <v>MEDIA DA Variação do IPCA  E IGP-DI para 2016</v>
      </c>
    </row>
    <row r="195" spans="1:4" ht="30" customHeight="1" x14ac:dyDescent="0.2">
      <c r="A195" s="1271"/>
      <c r="B195" s="1273"/>
      <c r="C195" s="1274"/>
      <c r="D195" s="222" t="str">
        <f>Parâmetros!C$10</f>
        <v>Taxa de Câmbio (R$/US$) – dez  base informativo conjunto congresso nacional ldo uniao para 2016</v>
      </c>
    </row>
    <row r="196" spans="1:4" ht="30" customHeight="1" x14ac:dyDescent="0.2">
      <c r="A196" s="1271"/>
      <c r="B196" s="1273"/>
      <c r="C196" s="1274"/>
      <c r="D196" s="222" t="str">
        <f>Parâmetros!C$20</f>
        <v>Crescimento Médio da Arrecadação</v>
      </c>
    </row>
    <row r="197" spans="1:4" ht="30" customHeight="1" x14ac:dyDescent="0.2">
      <c r="A197" s="1271" t="str">
        <f>'ORCAMENTO RECEITA ANALITICO'!G101</f>
        <v>Receita De Aplicacao - PETE/RS</v>
      </c>
      <c r="B197" s="1273" t="str">
        <f>Parâmetros!C80</f>
        <v>Estimativa de  Arrecadação de Receita De Aplicação - Transporte Escolar</v>
      </c>
      <c r="C197" s="1274" t="s">
        <v>420</v>
      </c>
      <c r="D197" s="222" t="str">
        <f>Parâmetros!C$5</f>
        <v>MEDIA DA Variação do IPCA  E IGP-DI para 2016</v>
      </c>
    </row>
    <row r="198" spans="1:4" ht="30" customHeight="1" x14ac:dyDescent="0.2">
      <c r="A198" s="1271"/>
      <c r="B198" s="1273"/>
      <c r="C198" s="1274"/>
      <c r="D198" s="222" t="str">
        <f>Parâmetros!C$10</f>
        <v>Taxa de Câmbio (R$/US$) – dez  base informativo conjunto congresso nacional ldo uniao para 2016</v>
      </c>
    </row>
    <row r="199" spans="1:4" ht="30" customHeight="1" x14ac:dyDescent="0.2">
      <c r="A199" s="1271"/>
      <c r="B199" s="1273"/>
      <c r="C199" s="1274"/>
      <c r="D199" s="222" t="str">
        <f>Parâmetros!C$20</f>
        <v>Crescimento Médio da Arrecadação</v>
      </c>
    </row>
    <row r="200" spans="1:4" ht="30" customHeight="1" x14ac:dyDescent="0.2">
      <c r="A200" s="1271" t="str">
        <f>'ORCAMENTO RECEITA ANALITICO'!G102</f>
        <v>Receita De Aplic.  Cons. Pop. -  P/Capac. e Qualificacao Profissional</v>
      </c>
      <c r="B200" s="1273" t="str">
        <f>Parâmetros!C81</f>
        <v>Estimativa de  Arrecadação de Receita De Aplicação  Cons. Pop. - P/Capacitacao e Qualificação Profissional</v>
      </c>
      <c r="C200" s="1274" t="s">
        <v>420</v>
      </c>
      <c r="D200" s="222" t="str">
        <f>Parâmetros!C$5</f>
        <v>MEDIA DA Variação do IPCA  E IGP-DI para 2016</v>
      </c>
    </row>
    <row r="201" spans="1:4" ht="30" customHeight="1" x14ac:dyDescent="0.2">
      <c r="A201" s="1271"/>
      <c r="B201" s="1273"/>
      <c r="C201" s="1274"/>
      <c r="D201" s="222" t="str">
        <f>Parâmetros!C$10</f>
        <v>Taxa de Câmbio (R$/US$) – dez  base informativo conjunto congresso nacional ldo uniao para 2016</v>
      </c>
    </row>
    <row r="202" spans="1:4" ht="30" customHeight="1" x14ac:dyDescent="0.2">
      <c r="A202" s="1271"/>
      <c r="B202" s="1273"/>
      <c r="C202" s="1274"/>
      <c r="D202" s="222" t="str">
        <f>Parâmetros!C$20</f>
        <v>Crescimento Médio da Arrecadação</v>
      </c>
    </row>
    <row r="203" spans="1:4" ht="30" customHeight="1" x14ac:dyDescent="0.2">
      <c r="A203" s="1271" t="str">
        <f>'ORCAMENTO RECEITA ANALITICO'!G103</f>
        <v>Receita De Aplic.  Cons. Pop. -  P/Apoio a eventos Culturais Chuvisca</v>
      </c>
      <c r="B203" s="1273" t="str">
        <f>Parâmetros!C82</f>
        <v>Estimativa de  Arrecadação de Receita De Aplic.  Cons. Pop. -  P/Apoio a eventos Culturais Chuvisca</v>
      </c>
      <c r="C203" s="1274" t="s">
        <v>420</v>
      </c>
      <c r="D203" s="222" t="str">
        <f>Parâmetros!C$5</f>
        <v>MEDIA DA Variação do IPCA  E IGP-DI para 2016</v>
      </c>
    </row>
    <row r="204" spans="1:4" ht="30" customHeight="1" x14ac:dyDescent="0.2">
      <c r="A204" s="1271"/>
      <c r="B204" s="1273"/>
      <c r="C204" s="1274"/>
      <c r="D204" s="222" t="str">
        <f>Parâmetros!C$10</f>
        <v>Taxa de Câmbio (R$/US$) – dez  base informativo conjunto congresso nacional ldo uniao para 2016</v>
      </c>
    </row>
    <row r="205" spans="1:4" ht="30" customHeight="1" x14ac:dyDescent="0.2">
      <c r="A205" s="1271"/>
      <c r="B205" s="1273"/>
      <c r="C205" s="1274"/>
      <c r="D205" s="222" t="str">
        <f>Parâmetros!C$20</f>
        <v>Crescimento Médio da Arrecadação</v>
      </c>
    </row>
    <row r="206" spans="1:4" ht="30" customHeight="1" x14ac:dyDescent="0.2">
      <c r="A206" s="1271" t="str">
        <f>'ORCAMENTO RECEITA ANALITICO'!G108</f>
        <v>Receita De Aplic. De Rec. Livres Do Poder Executivo</v>
      </c>
      <c r="B206" s="1273" t="str">
        <f>Parâmetros!C85</f>
        <v>Estimativa de  Arrecadação de Receita De Aplic. De Rec. Livres Do Poder Executivo</v>
      </c>
      <c r="C206" s="1274" t="s">
        <v>420</v>
      </c>
      <c r="D206" s="222" t="str">
        <f>Parâmetros!C$5</f>
        <v>MEDIA DA Variação do IPCA  E IGP-DI para 2016</v>
      </c>
    </row>
    <row r="207" spans="1:4" ht="30" customHeight="1" x14ac:dyDescent="0.2">
      <c r="A207" s="1271"/>
      <c r="B207" s="1273"/>
      <c r="C207" s="1274"/>
      <c r="D207" s="222" t="str">
        <f>Parâmetros!C$10</f>
        <v>Taxa de Câmbio (R$/US$) – dez  base informativo conjunto congresso nacional ldo uniao para 2016</v>
      </c>
    </row>
    <row r="208" spans="1:4" ht="30" customHeight="1" x14ac:dyDescent="0.2">
      <c r="A208" s="1271"/>
      <c r="B208" s="1273"/>
      <c r="C208" s="1274"/>
      <c r="D208" s="222" t="str">
        <f>Parâmetros!C$20</f>
        <v>Crescimento Médio da Arrecadação</v>
      </c>
    </row>
    <row r="209" spans="1:4" ht="30" customHeight="1" x14ac:dyDescent="0.2">
      <c r="A209" s="1271" t="str">
        <f>'ORCAMENTO RECEITA ANALITICO'!G109</f>
        <v>Receita De Aplic. De Rec. Agrifest</v>
      </c>
      <c r="B209" s="1273" t="str">
        <f>Parâmetros!C86</f>
        <v>Estimativa de  Arrecadação de Remuneracao De Aplic. De Rec. Agrifest</v>
      </c>
      <c r="C209" s="1274" t="s">
        <v>420</v>
      </c>
      <c r="D209" s="222" t="str">
        <f>Parâmetros!C$5</f>
        <v>MEDIA DA Variação do IPCA  E IGP-DI para 2016</v>
      </c>
    </row>
    <row r="210" spans="1:4" ht="30" customHeight="1" x14ac:dyDescent="0.2">
      <c r="A210" s="1271"/>
      <c r="B210" s="1273"/>
      <c r="C210" s="1274"/>
      <c r="D210" s="222" t="str">
        <f>Parâmetros!C$10</f>
        <v>Taxa de Câmbio (R$/US$) – dez  base informativo conjunto congresso nacional ldo uniao para 2016</v>
      </c>
    </row>
    <row r="211" spans="1:4" ht="30" customHeight="1" x14ac:dyDescent="0.2">
      <c r="A211" s="1271"/>
      <c r="B211" s="1273"/>
      <c r="C211" s="1274"/>
      <c r="D211" s="222" t="str">
        <f>Parâmetros!C$20</f>
        <v>Crescimento Médio da Arrecadação</v>
      </c>
    </row>
    <row r="212" spans="1:4" ht="30" customHeight="1" x14ac:dyDescent="0.2">
      <c r="A212" s="1271" t="str">
        <f>'ORCAMENTO RECEITA ANALITICO'!G113</f>
        <v>Outros Servicos De Comunicacao</v>
      </c>
      <c r="B212" s="1273" t="str">
        <f>Parâmetros!C88</f>
        <v>Estimativa de  Arrecadação de  Outros Serviços De Comunicação</v>
      </c>
      <c r="C212" s="1274" t="s">
        <v>420</v>
      </c>
      <c r="D212" s="222" t="str">
        <f>Parâmetros!C$5</f>
        <v>MEDIA DA Variação do IPCA  E IGP-DI para 2016</v>
      </c>
    </row>
    <row r="213" spans="1:4" ht="30" customHeight="1" x14ac:dyDescent="0.2">
      <c r="A213" s="1271"/>
      <c r="B213" s="1273"/>
      <c r="C213" s="1274"/>
      <c r="D213" s="222" t="str">
        <f>Parâmetros!C$8</f>
        <v>Crescimento do PIB ( Variação Anual)  base informativo conjunto congresso nacional ldo uniao para 2016</v>
      </c>
    </row>
    <row r="214" spans="1:4" ht="30" customHeight="1" x14ac:dyDescent="0.2">
      <c r="A214" s="1271"/>
      <c r="B214" s="1273"/>
      <c r="C214" s="1274"/>
      <c r="D214" s="222" t="str">
        <f>Parâmetros!C$20</f>
        <v>Crescimento Médio da Arrecadação</v>
      </c>
    </row>
    <row r="215" spans="1:4" ht="30" customHeight="1" x14ac:dyDescent="0.2">
      <c r="A215" s="1271" t="str">
        <f>'ORCAMENTO RECEITA ANALITICO'!G115</f>
        <v>Receita de Serviços de Saúde</v>
      </c>
      <c r="B215" s="1273" t="str">
        <f>Parâmetros!C89</f>
        <v>Estimativa de  Arrecadação de Serviços De Saúde</v>
      </c>
      <c r="C215" s="1274" t="s">
        <v>420</v>
      </c>
      <c r="D215" s="222" t="str">
        <f>Parâmetros!C$5</f>
        <v>MEDIA DA Variação do IPCA  E IGP-DI para 2016</v>
      </c>
    </row>
    <row r="216" spans="1:4" ht="30" customHeight="1" x14ac:dyDescent="0.2">
      <c r="A216" s="1271"/>
      <c r="B216" s="1273"/>
      <c r="C216" s="1274"/>
      <c r="D216" s="222" t="str">
        <f>Parâmetros!C$8</f>
        <v>Crescimento do PIB ( Variação Anual)  base informativo conjunto congresso nacional ldo uniao para 2016</v>
      </c>
    </row>
    <row r="217" spans="1:4" ht="30" customHeight="1" x14ac:dyDescent="0.2">
      <c r="A217" s="1271"/>
      <c r="B217" s="1273"/>
      <c r="C217" s="1274"/>
      <c r="D217" s="222" t="str">
        <f>Parâmetros!C$20</f>
        <v>Crescimento Médio da Arrecadação</v>
      </c>
    </row>
    <row r="218" spans="1:4" ht="30" customHeight="1" x14ac:dyDescent="0.2">
      <c r="A218" s="1271" t="str">
        <f>'ORCAMENTO RECEITA ANALITICO'!G117</f>
        <v>Servicos De Inscricao Em Concursos Publicos</v>
      </c>
      <c r="B218" s="1273" t="str">
        <f>Parâmetros!C90</f>
        <v>Estimativa de  Arrecadação de  Servicos De Inscricao Em Concursos Publicos</v>
      </c>
      <c r="C218" s="1274" t="s">
        <v>420</v>
      </c>
      <c r="D218" s="222" t="str">
        <f>Parâmetros!C$5</f>
        <v>MEDIA DA Variação do IPCA  E IGP-DI para 2016</v>
      </c>
    </row>
    <row r="219" spans="1:4" ht="30" customHeight="1" x14ac:dyDescent="0.2">
      <c r="A219" s="1271"/>
      <c r="B219" s="1273"/>
      <c r="C219" s="1274"/>
      <c r="D219" s="222" t="str">
        <f>Parâmetros!C$8</f>
        <v>Crescimento do PIB ( Variação Anual)  base informativo conjunto congresso nacional ldo uniao para 2016</v>
      </c>
    </row>
    <row r="220" spans="1:4" ht="30" customHeight="1" x14ac:dyDescent="0.2">
      <c r="A220" s="1271"/>
      <c r="B220" s="1273"/>
      <c r="C220" s="1274"/>
      <c r="D220" s="222" t="str">
        <f>Parâmetros!C$20</f>
        <v>Crescimento Médio da Arrecadação</v>
      </c>
    </row>
    <row r="221" spans="1:4" ht="30" customHeight="1" x14ac:dyDescent="0.2">
      <c r="A221" s="1271" t="str">
        <f>'ORCAMENTO RECEITA ANALITICO'!G118</f>
        <v>Servicos De Vendas De Editais</v>
      </c>
      <c r="B221" s="1273" t="str">
        <f>Parâmetros!C91</f>
        <v>Estimativa de  Arrecadação de Servicos De Vendas De Editais</v>
      </c>
      <c r="C221" s="1274" t="s">
        <v>420</v>
      </c>
      <c r="D221" s="222" t="str">
        <f>Parâmetros!C$5</f>
        <v>MEDIA DA Variação do IPCA  E IGP-DI para 2016</v>
      </c>
    </row>
    <row r="222" spans="1:4" ht="30" customHeight="1" x14ac:dyDescent="0.2">
      <c r="A222" s="1271"/>
      <c r="B222" s="1273"/>
      <c r="C222" s="1274"/>
      <c r="D222" s="222" t="str">
        <f>Parâmetros!C$8</f>
        <v>Crescimento do PIB ( Variação Anual)  base informativo conjunto congresso nacional ldo uniao para 2016</v>
      </c>
    </row>
    <row r="223" spans="1:4" ht="30" customHeight="1" x14ac:dyDescent="0.2">
      <c r="A223" s="1271"/>
      <c r="B223" s="1273"/>
      <c r="C223" s="1274"/>
      <c r="D223" s="222" t="str">
        <f>Parâmetros!C$20</f>
        <v>Crescimento Médio da Arrecadação</v>
      </c>
    </row>
    <row r="224" spans="1:4" ht="30" customHeight="1" x14ac:dyDescent="0.2">
      <c r="A224" s="1271" t="str">
        <f>'ORCAMENTO RECEITA ANALITICO'!G119</f>
        <v>Servicos De Vistorias De Veiculos</v>
      </c>
      <c r="B224" s="1273" t="str">
        <f>Parâmetros!C92</f>
        <v>Estimativa de  Arrecadação de Servicos De Vistorias De Veiculos</v>
      </c>
      <c r="C224" s="1274" t="s">
        <v>420</v>
      </c>
      <c r="D224" s="222" t="str">
        <f>Parâmetros!C$5</f>
        <v>MEDIA DA Variação do IPCA  E IGP-DI para 2016</v>
      </c>
    </row>
    <row r="225" spans="1:4" ht="30" customHeight="1" x14ac:dyDescent="0.2">
      <c r="A225" s="1271"/>
      <c r="B225" s="1273"/>
      <c r="C225" s="1274"/>
      <c r="D225" s="222" t="str">
        <f>Parâmetros!C$8</f>
        <v>Crescimento do PIB ( Variação Anual)  base informativo conjunto congresso nacional ldo uniao para 2016</v>
      </c>
    </row>
    <row r="226" spans="1:4" ht="30" customHeight="1" x14ac:dyDescent="0.2">
      <c r="A226" s="1271"/>
      <c r="B226" s="1273"/>
      <c r="C226" s="1274"/>
      <c r="D226" s="222" t="str">
        <f>Parâmetros!C$20</f>
        <v>Crescimento Médio da Arrecadação</v>
      </c>
    </row>
    <row r="227" spans="1:4" ht="30" customHeight="1" x14ac:dyDescent="0.2">
      <c r="A227" s="1271" t="str">
        <f>'ORCAMENTO RECEITA ANALITICO'!G120</f>
        <v>Servicos De Fotocopias E/ou Copias Heliograficas</v>
      </c>
      <c r="B227" s="1273" t="str">
        <f>Parâmetros!C93</f>
        <v>Estimativa de  Arrecadação de Servicos De Fotocopias E/ou Copias Heliograficas</v>
      </c>
      <c r="C227" s="1274" t="s">
        <v>420</v>
      </c>
      <c r="D227" s="222" t="str">
        <f>Parâmetros!C$5</f>
        <v>MEDIA DA Variação do IPCA  E IGP-DI para 2016</v>
      </c>
    </row>
    <row r="228" spans="1:4" ht="30" customHeight="1" x14ac:dyDescent="0.2">
      <c r="A228" s="1271"/>
      <c r="B228" s="1273"/>
      <c r="C228" s="1274"/>
      <c r="D228" s="222" t="str">
        <f>Parâmetros!C$8</f>
        <v>Crescimento do PIB ( Variação Anual)  base informativo conjunto congresso nacional ldo uniao para 2016</v>
      </c>
    </row>
    <row r="229" spans="1:4" ht="30" customHeight="1" x14ac:dyDescent="0.2">
      <c r="A229" s="1271"/>
      <c r="B229" s="1273"/>
      <c r="C229" s="1274"/>
      <c r="D229" s="222" t="str">
        <f>Parâmetros!C$20</f>
        <v>Crescimento Médio da Arrecadação</v>
      </c>
    </row>
    <row r="230" spans="1:4" ht="30" customHeight="1" x14ac:dyDescent="0.2">
      <c r="A230" s="1271" t="str">
        <f>'ORCAMENTO RECEITA ANALITICO'!G122</f>
        <v>Servicos  Em Prop. Partic/Retroescavadeira</v>
      </c>
      <c r="B230" s="1273" t="str">
        <f>Parâmetros!C94</f>
        <v xml:space="preserve"> Estimativa de  Arrecadação de Servicos em Prop. Partic/Retroescavadeira</v>
      </c>
      <c r="C230" s="1274" t="s">
        <v>420</v>
      </c>
      <c r="D230" s="222" t="str">
        <f>Parâmetros!C$5</f>
        <v>MEDIA DA Variação do IPCA  E IGP-DI para 2016</v>
      </c>
    </row>
    <row r="231" spans="1:4" ht="30" customHeight="1" x14ac:dyDescent="0.2">
      <c r="A231" s="1271"/>
      <c r="B231" s="1273"/>
      <c r="C231" s="1274"/>
      <c r="D231" s="222" t="str">
        <f>Parâmetros!C$8</f>
        <v>Crescimento do PIB ( Variação Anual)  base informativo conjunto congresso nacional ldo uniao para 2016</v>
      </c>
    </row>
    <row r="232" spans="1:4" ht="30" customHeight="1" x14ac:dyDescent="0.2">
      <c r="A232" s="1271"/>
      <c r="B232" s="1273"/>
      <c r="C232" s="1274"/>
      <c r="D232" s="222" t="str">
        <f>Parâmetros!C$20</f>
        <v>Crescimento Médio da Arrecadação</v>
      </c>
    </row>
    <row r="233" spans="1:4" ht="30" customHeight="1" x14ac:dyDescent="0.2">
      <c r="A233" s="1271" t="str">
        <f>'ORCAMENTO RECEITA ANALITICO'!G123</f>
        <v>Servicos  Em Prop. Partic/Trator/Discagem</v>
      </c>
      <c r="B233" s="1273" t="str">
        <f>Parâmetros!C95</f>
        <v xml:space="preserve"> Estimativa de  Arrecadação de Servicos em Prop. Partic/Trator/Discagem</v>
      </c>
      <c r="C233" s="1274" t="s">
        <v>420</v>
      </c>
      <c r="D233" s="222" t="str">
        <f>Parâmetros!C$5</f>
        <v>MEDIA DA Variação do IPCA  E IGP-DI para 2016</v>
      </c>
    </row>
    <row r="234" spans="1:4" ht="30" customHeight="1" x14ac:dyDescent="0.2">
      <c r="A234" s="1271"/>
      <c r="B234" s="1273"/>
      <c r="C234" s="1274"/>
      <c r="D234" s="222" t="str">
        <f>Parâmetros!C$8</f>
        <v>Crescimento do PIB ( Variação Anual)  base informativo conjunto congresso nacional ldo uniao para 2016</v>
      </c>
    </row>
    <row r="235" spans="1:4" ht="30" customHeight="1" x14ac:dyDescent="0.2">
      <c r="A235" s="1271"/>
      <c r="B235" s="1273"/>
      <c r="C235" s="1274"/>
      <c r="D235" s="222" t="str">
        <f>Parâmetros!C$20</f>
        <v>Crescimento Médio da Arrecadação</v>
      </c>
    </row>
    <row r="236" spans="1:4" ht="30" customHeight="1" x14ac:dyDescent="0.2">
      <c r="A236" s="1271" t="str">
        <f>'ORCAMENTO RECEITA ANALITICO'!G124</f>
        <v>Servicos  Em Prop. Partic/Trator/Escalificacao</v>
      </c>
      <c r="B236" s="1273" t="str">
        <f>Parâmetros!C96</f>
        <v xml:space="preserve"> Estimativa de  Arrecadação de Servicos em Prop. Partic/Trator/Escalificação</v>
      </c>
      <c r="C236" s="1274" t="s">
        <v>420</v>
      </c>
      <c r="D236" s="222" t="str">
        <f>Parâmetros!C$5</f>
        <v>MEDIA DA Variação do IPCA  E IGP-DI para 2016</v>
      </c>
    </row>
    <row r="237" spans="1:4" ht="30" customHeight="1" x14ac:dyDescent="0.2">
      <c r="A237" s="1271"/>
      <c r="B237" s="1273"/>
      <c r="C237" s="1274"/>
      <c r="D237" s="222" t="str">
        <f>Parâmetros!C$8</f>
        <v>Crescimento do PIB ( Variação Anual)  base informativo conjunto congresso nacional ldo uniao para 2016</v>
      </c>
    </row>
    <row r="238" spans="1:4" ht="30" customHeight="1" x14ac:dyDescent="0.2">
      <c r="A238" s="1271"/>
      <c r="B238" s="1273"/>
      <c r="C238" s="1274"/>
      <c r="D238" s="222" t="str">
        <f>Parâmetros!C$20</f>
        <v>Crescimento Médio da Arrecadação</v>
      </c>
    </row>
    <row r="239" spans="1:4" ht="30" customHeight="1" x14ac:dyDescent="0.2">
      <c r="A239" s="1271" t="str">
        <f>'ORCAMENTO RECEITA ANALITICO'!G125</f>
        <v>Servicos  Em Prop. Partic/Trator/Screip</v>
      </c>
      <c r="B239" s="1273" t="str">
        <f>Parâmetros!C97</f>
        <v xml:space="preserve"> Estimativa de  Arrecadação de Servicos em Prop. Partic/Trator/Screip</v>
      </c>
      <c r="C239" s="1274" t="s">
        <v>420</v>
      </c>
      <c r="D239" s="222" t="str">
        <f>Parâmetros!C$5</f>
        <v>MEDIA DA Variação do IPCA  E IGP-DI para 2016</v>
      </c>
    </row>
    <row r="240" spans="1:4" ht="30" customHeight="1" x14ac:dyDescent="0.2">
      <c r="A240" s="1271"/>
      <c r="B240" s="1273"/>
      <c r="C240" s="1274"/>
      <c r="D240" s="222" t="str">
        <f>Parâmetros!C$8</f>
        <v>Crescimento do PIB ( Variação Anual)  base informativo conjunto congresso nacional ldo uniao para 2016</v>
      </c>
    </row>
    <row r="241" spans="1:4" ht="30" customHeight="1" x14ac:dyDescent="0.2">
      <c r="A241" s="1271"/>
      <c r="B241" s="1273"/>
      <c r="C241" s="1274"/>
      <c r="D241" s="222" t="str">
        <f>Parâmetros!C$20</f>
        <v>Crescimento Médio da Arrecadação</v>
      </c>
    </row>
    <row r="242" spans="1:4" ht="30" customHeight="1" x14ac:dyDescent="0.2">
      <c r="A242" s="1271" t="str">
        <f>'ORCAMENTO RECEITA ANALITICO'!G126</f>
        <v>Servicos  Em Prop. Partic/Esteirinha</v>
      </c>
      <c r="B242" s="1273" t="str">
        <f>Parâmetros!C98</f>
        <v xml:space="preserve"> Estimativa de  Arrecadação de Servicos em Prop. Partic/Trator/Esteirinha</v>
      </c>
      <c r="C242" s="1274" t="s">
        <v>420</v>
      </c>
      <c r="D242" s="222" t="str">
        <f>Parâmetros!C$5</f>
        <v>MEDIA DA Variação do IPCA  E IGP-DI para 2016</v>
      </c>
    </row>
    <row r="243" spans="1:4" ht="30" customHeight="1" x14ac:dyDescent="0.2">
      <c r="A243" s="1271"/>
      <c r="B243" s="1273"/>
      <c r="C243" s="1274"/>
      <c r="D243" s="222" t="str">
        <f>Parâmetros!C$8</f>
        <v>Crescimento do PIB ( Variação Anual)  base informativo conjunto congresso nacional ldo uniao para 2016</v>
      </c>
    </row>
    <row r="244" spans="1:4" ht="30" customHeight="1" x14ac:dyDescent="0.2">
      <c r="A244" s="1271"/>
      <c r="B244" s="1273"/>
      <c r="C244" s="1274"/>
      <c r="D244" s="222" t="str">
        <f>Parâmetros!C$20</f>
        <v>Crescimento Médio da Arrecadação</v>
      </c>
    </row>
    <row r="245" spans="1:4" ht="30" customHeight="1" x14ac:dyDescent="0.2">
      <c r="A245" s="1271" t="str">
        <f>'ORCAMENTO RECEITA ANALITICO'!G127</f>
        <v>Servicos  Em Prop. Partic/Batedeira de Cereais</v>
      </c>
      <c r="B245" s="1273" t="str">
        <f>Parâmetros!C99</f>
        <v xml:space="preserve"> Estimativa de  Arrecadação de Servicos em Prop. Partic/Trator/Batedeira de Cereais</v>
      </c>
      <c r="C245" s="1274" t="s">
        <v>420</v>
      </c>
      <c r="D245" s="222" t="str">
        <f>Parâmetros!C$5</f>
        <v>MEDIA DA Variação do IPCA  E IGP-DI para 2016</v>
      </c>
    </row>
    <row r="246" spans="1:4" ht="30" customHeight="1" x14ac:dyDescent="0.2">
      <c r="A246" s="1271"/>
      <c r="B246" s="1273"/>
      <c r="C246" s="1274"/>
      <c r="D246" s="222" t="str">
        <f>Parâmetros!C$8</f>
        <v>Crescimento do PIB ( Variação Anual)  base informativo conjunto congresso nacional ldo uniao para 2016</v>
      </c>
    </row>
    <row r="247" spans="1:4" ht="30" customHeight="1" x14ac:dyDescent="0.2">
      <c r="A247" s="1271"/>
      <c r="B247" s="1273"/>
      <c r="C247" s="1274"/>
      <c r="D247" s="222" t="str">
        <f>Parâmetros!C$20</f>
        <v>Crescimento Médio da Arrecadação</v>
      </c>
    </row>
    <row r="248" spans="1:4" ht="30" customHeight="1" x14ac:dyDescent="0.2">
      <c r="A248" s="1271" t="str">
        <f>'ORCAMENTO RECEITA ANALITICO'!G128</f>
        <v>Servicos  Em Prop. Partic/Carreta Agricola</v>
      </c>
      <c r="B248" s="1273" t="str">
        <f>Parâmetros!C100</f>
        <v xml:space="preserve"> Estimativa de  Arrecadação de Servicos em Prop. Partic/Trator/Carreta Agricola</v>
      </c>
      <c r="C248" s="1274" t="s">
        <v>420</v>
      </c>
      <c r="D248" s="222" t="str">
        <f>Parâmetros!C$5</f>
        <v>MEDIA DA Variação do IPCA  E IGP-DI para 2016</v>
      </c>
    </row>
    <row r="249" spans="1:4" ht="30" customHeight="1" x14ac:dyDescent="0.2">
      <c r="A249" s="1271"/>
      <c r="B249" s="1273"/>
      <c r="C249" s="1274"/>
      <c r="D249" s="222" t="str">
        <f>Parâmetros!C$8</f>
        <v>Crescimento do PIB ( Variação Anual)  base informativo conjunto congresso nacional ldo uniao para 2016</v>
      </c>
    </row>
    <row r="250" spans="1:4" ht="30" customHeight="1" x14ac:dyDescent="0.2">
      <c r="A250" s="1271"/>
      <c r="B250" s="1273"/>
      <c r="C250" s="1274"/>
      <c r="D250" s="222" t="str">
        <f>Parâmetros!C$20</f>
        <v>Crescimento Médio da Arrecadação</v>
      </c>
    </row>
    <row r="251" spans="1:4" ht="30" customHeight="1" x14ac:dyDescent="0.2">
      <c r="A251" s="1271" t="str">
        <f>'ORCAMENTO RECEITA ANALITICO'!G129</f>
        <v>Servicos  Em Prop. Partic/distribuidor De Esterco</v>
      </c>
      <c r="B251" s="1273" t="str">
        <f>Parâmetros!C101</f>
        <v xml:space="preserve"> Estimativa de  Arrecadação de  Servicos em Prop. Partic/Trator/Distribuidor de Esterco</v>
      </c>
      <c r="C251" s="1274" t="s">
        <v>420</v>
      </c>
      <c r="D251" s="222" t="str">
        <f>Parâmetros!C$5</f>
        <v>MEDIA DA Variação do IPCA  E IGP-DI para 2016</v>
      </c>
    </row>
    <row r="252" spans="1:4" ht="30" customHeight="1" x14ac:dyDescent="0.2">
      <c r="A252" s="1271"/>
      <c r="B252" s="1273"/>
      <c r="C252" s="1274"/>
      <c r="D252" s="222" t="str">
        <f>Parâmetros!C$8</f>
        <v>Crescimento do PIB ( Variação Anual)  base informativo conjunto congresso nacional ldo uniao para 2016</v>
      </c>
    </row>
    <row r="253" spans="1:4" ht="30" customHeight="1" x14ac:dyDescent="0.2">
      <c r="A253" s="1271"/>
      <c r="B253" s="1273"/>
      <c r="C253" s="1274"/>
      <c r="D253" s="222" t="str">
        <f>Parâmetros!C$20</f>
        <v>Crescimento Médio da Arrecadação</v>
      </c>
    </row>
    <row r="254" spans="1:4" ht="30" customHeight="1" x14ac:dyDescent="0.2">
      <c r="A254" s="1271" t="str">
        <f>'ORCAMENTO RECEITA ANALITICO'!G130</f>
        <v>Servicos  Em Prop. Partic/Screip</v>
      </c>
      <c r="B254" s="1273" t="str">
        <f>Parâmetros!C102</f>
        <v xml:space="preserve"> Estimativa de  Arrecadação de Servicos em Prop. Partic/Trator/Screip</v>
      </c>
      <c r="C254" s="1274" t="s">
        <v>420</v>
      </c>
      <c r="D254" s="222" t="str">
        <f>Parâmetros!C$5</f>
        <v>MEDIA DA Variação do IPCA  E IGP-DI para 2016</v>
      </c>
    </row>
    <row r="255" spans="1:4" ht="30" customHeight="1" x14ac:dyDescent="0.2">
      <c r="A255" s="1271"/>
      <c r="B255" s="1273"/>
      <c r="C255" s="1274"/>
      <c r="D255" s="222" t="str">
        <f>Parâmetros!C$8</f>
        <v>Crescimento do PIB ( Variação Anual)  base informativo conjunto congresso nacional ldo uniao para 2016</v>
      </c>
    </row>
    <row r="256" spans="1:4" ht="30" customHeight="1" x14ac:dyDescent="0.2">
      <c r="A256" s="1271"/>
      <c r="B256" s="1273"/>
      <c r="C256" s="1274"/>
      <c r="D256" s="222" t="str">
        <f>Parâmetros!C$20</f>
        <v>Crescimento Médio da Arrecadação</v>
      </c>
    </row>
    <row r="257" spans="1:4" ht="30" customHeight="1" x14ac:dyDescent="0.2">
      <c r="A257" s="1271" t="str">
        <f>'ORCAMENTO RECEITA ANALITICO'!G131</f>
        <v>Servicos  Em Prop. Partic/Semeadeira de Calcario</v>
      </c>
      <c r="B257" s="1273" t="str">
        <f>Parâmetros!C103</f>
        <v xml:space="preserve"> Estimativa de  Arrecadação de Servicos em Prop. Partic/Trator/Semeadeira de Calcário</v>
      </c>
      <c r="C257" s="1274" t="s">
        <v>420</v>
      </c>
      <c r="D257" s="222" t="str">
        <f>Parâmetros!C$5</f>
        <v>MEDIA DA Variação do IPCA  E IGP-DI para 2016</v>
      </c>
    </row>
    <row r="258" spans="1:4" ht="30" customHeight="1" x14ac:dyDescent="0.2">
      <c r="A258" s="1271"/>
      <c r="B258" s="1273"/>
      <c r="C258" s="1274"/>
      <c r="D258" s="222" t="str">
        <f>Parâmetros!C$8</f>
        <v>Crescimento do PIB ( Variação Anual)  base informativo conjunto congresso nacional ldo uniao para 2016</v>
      </c>
    </row>
    <row r="259" spans="1:4" ht="30" customHeight="1" x14ac:dyDescent="0.2">
      <c r="A259" s="1271"/>
      <c r="B259" s="1273"/>
      <c r="C259" s="1274"/>
      <c r="D259" s="222" t="str">
        <f>Parâmetros!C$20</f>
        <v>Crescimento Médio da Arrecadação</v>
      </c>
    </row>
    <row r="260" spans="1:4" ht="30" customHeight="1" x14ac:dyDescent="0.2">
      <c r="A260" s="1271" t="str">
        <f>'ORCAMENTO RECEITA ANALITICO'!G133</f>
        <v>Servico De Maquinas/Motoniveladora</v>
      </c>
      <c r="B260" s="1273" t="str">
        <f>Parâmetros!C104</f>
        <v xml:space="preserve"> Estimativa de  Arrecadação de Servico De Maquinas/Motoniveladora</v>
      </c>
      <c r="C260" s="1274" t="s">
        <v>420</v>
      </c>
      <c r="D260" s="222" t="str">
        <f>Parâmetros!C$5</f>
        <v>MEDIA DA Variação do IPCA  E IGP-DI para 2016</v>
      </c>
    </row>
    <row r="261" spans="1:4" ht="30" customHeight="1" x14ac:dyDescent="0.2">
      <c r="A261" s="1271"/>
      <c r="B261" s="1273"/>
      <c r="C261" s="1274"/>
      <c r="D261" s="222" t="str">
        <f>Parâmetros!C$8</f>
        <v>Crescimento do PIB ( Variação Anual)  base informativo conjunto congresso nacional ldo uniao para 2016</v>
      </c>
    </row>
    <row r="262" spans="1:4" ht="30" customHeight="1" x14ac:dyDescent="0.2">
      <c r="A262" s="1271"/>
      <c r="B262" s="1273"/>
      <c r="C262" s="1274"/>
      <c r="D262" s="222" t="str">
        <f>Parâmetros!C$20</f>
        <v>Crescimento Médio da Arrecadação</v>
      </c>
    </row>
    <row r="263" spans="1:4" ht="30" customHeight="1" x14ac:dyDescent="0.2">
      <c r="A263" s="1271" t="str">
        <f>'ORCAMENTO RECEITA ANALITICO'!G134</f>
        <v>Servico de Maquinas/Retroescavadeira</v>
      </c>
      <c r="B263" s="1273" t="str">
        <f>Parâmetros!C105</f>
        <v xml:space="preserve"> Estimativa de  Arrecadação de Servico De Maquinas/Retroescavadeira</v>
      </c>
      <c r="C263" s="1274" t="s">
        <v>420</v>
      </c>
      <c r="D263" s="222" t="str">
        <f>Parâmetros!C$5</f>
        <v>MEDIA DA Variação do IPCA  E IGP-DI para 2016</v>
      </c>
    </row>
    <row r="264" spans="1:4" ht="30" customHeight="1" x14ac:dyDescent="0.2">
      <c r="A264" s="1271"/>
      <c r="B264" s="1273"/>
      <c r="C264" s="1274"/>
      <c r="D264" s="222" t="str">
        <f>Parâmetros!C$8</f>
        <v>Crescimento do PIB ( Variação Anual)  base informativo conjunto congresso nacional ldo uniao para 2016</v>
      </c>
    </row>
    <row r="265" spans="1:4" ht="30" customHeight="1" x14ac:dyDescent="0.2">
      <c r="A265" s="1271"/>
      <c r="B265" s="1273"/>
      <c r="C265" s="1274"/>
      <c r="D265" s="222" t="str">
        <f>Parâmetros!C$20</f>
        <v>Crescimento Médio da Arrecadação</v>
      </c>
    </row>
    <row r="266" spans="1:4" ht="30" customHeight="1" x14ac:dyDescent="0.2">
      <c r="A266" s="1271" t="str">
        <f>'ORCAMENTO RECEITA ANALITICO'!G135</f>
        <v>Servico de Maquinas/Trator Esteira</v>
      </c>
      <c r="B266" s="1273" t="str">
        <f>Parâmetros!C106</f>
        <v xml:space="preserve"> Estimativa de  Arrecadação de Servico De Maquinas/Trator Esteira</v>
      </c>
      <c r="C266" s="1274" t="s">
        <v>420</v>
      </c>
      <c r="D266" s="222" t="str">
        <f>Parâmetros!C$5</f>
        <v>MEDIA DA Variação do IPCA  E IGP-DI para 2016</v>
      </c>
    </row>
    <row r="267" spans="1:4" ht="30" customHeight="1" x14ac:dyDescent="0.2">
      <c r="A267" s="1271"/>
      <c r="B267" s="1273"/>
      <c r="C267" s="1274"/>
      <c r="D267" s="222" t="str">
        <f>Parâmetros!C$8</f>
        <v>Crescimento do PIB ( Variação Anual)  base informativo conjunto congresso nacional ldo uniao para 2016</v>
      </c>
    </row>
    <row r="268" spans="1:4" ht="30" customHeight="1" x14ac:dyDescent="0.2">
      <c r="A268" s="1271"/>
      <c r="B268" s="1273"/>
      <c r="C268" s="1274"/>
      <c r="D268" s="222" t="str">
        <f>Parâmetros!C$20</f>
        <v>Crescimento Médio da Arrecadação</v>
      </c>
    </row>
    <row r="269" spans="1:4" ht="30" customHeight="1" x14ac:dyDescent="0.2">
      <c r="A269" s="1271" t="str">
        <f>'ORCAMENTO RECEITA ANALITICO'!G136</f>
        <v>Servico de Maquinas/Carga Aterro/Cascalho</v>
      </c>
      <c r="B269" s="1273" t="str">
        <f>Parâmetros!C107</f>
        <v xml:space="preserve"> Estimativa de  Arrecadação de Servico De Maquinas/Carga Aterro/Cascalho</v>
      </c>
      <c r="C269" s="1274" t="s">
        <v>420</v>
      </c>
      <c r="D269" s="222" t="str">
        <f>Parâmetros!C$5</f>
        <v>MEDIA DA Variação do IPCA  E IGP-DI para 2016</v>
      </c>
    </row>
    <row r="270" spans="1:4" ht="30" customHeight="1" x14ac:dyDescent="0.2">
      <c r="A270" s="1271"/>
      <c r="B270" s="1273"/>
      <c r="C270" s="1274"/>
      <c r="D270" s="222" t="str">
        <f>Parâmetros!C$8</f>
        <v>Crescimento do PIB ( Variação Anual)  base informativo conjunto congresso nacional ldo uniao para 2016</v>
      </c>
    </row>
    <row r="271" spans="1:4" ht="30" customHeight="1" x14ac:dyDescent="0.2">
      <c r="A271" s="1271"/>
      <c r="B271" s="1273"/>
      <c r="C271" s="1274"/>
      <c r="D271" s="222" t="str">
        <f>Parâmetros!C$20</f>
        <v>Crescimento Médio da Arrecadação</v>
      </c>
    </row>
    <row r="272" spans="1:4" ht="30" customHeight="1" x14ac:dyDescent="0.2">
      <c r="A272" s="1271" t="str">
        <f>'ORCAMENTO RECEITA ANALITICO'!G137</f>
        <v>Servico de Maquinas/Caminhao Basculante</v>
      </c>
      <c r="B272" s="1275" t="str">
        <f>Parâmetros!C108</f>
        <v xml:space="preserve"> Estimativa de  Arrecadação de Servico De Maquinas/Caminhao Basculante</v>
      </c>
      <c r="C272" s="1275" t="s">
        <v>420</v>
      </c>
      <c r="D272" s="222" t="str">
        <f>Parâmetros!C$5</f>
        <v>MEDIA DA Variação do IPCA  E IGP-DI para 2016</v>
      </c>
    </row>
    <row r="273" spans="1:4" ht="30" customHeight="1" x14ac:dyDescent="0.2">
      <c r="A273" s="1271"/>
      <c r="B273" s="1276"/>
      <c r="C273" s="1276"/>
      <c r="D273" s="222" t="str">
        <f>Parâmetros!C$8</f>
        <v>Crescimento do PIB ( Variação Anual)  base informativo conjunto congresso nacional ldo uniao para 2016</v>
      </c>
    </row>
    <row r="274" spans="1:4" ht="30" customHeight="1" x14ac:dyDescent="0.2">
      <c r="A274" s="1271"/>
      <c r="B274" s="1277"/>
      <c r="C274" s="1277"/>
      <c r="D274" s="222" t="str">
        <f>Parâmetros!C$20</f>
        <v>Crescimento Médio da Arrecadação</v>
      </c>
    </row>
    <row r="275" spans="1:4" s="35" customFormat="1" ht="30" customHeight="1" x14ac:dyDescent="0.25">
      <c r="A275" s="547" t="str">
        <f>'ORCAMENTO RECEITA ANALITICO'!G142</f>
        <v>Cota-parte Do Fundo De Participacao Dos Municipios - Fpm</v>
      </c>
      <c r="B275" s="551" t="str">
        <f>Parâmetros!C109</f>
        <v>Estimativa de valor do FPM - 2016 pelo coeficiente 0.6</v>
      </c>
      <c r="C275" s="552" t="s">
        <v>1942</v>
      </c>
      <c r="D275" s="234" t="str">
        <f>Parâmetros!C$109</f>
        <v>Estimativa de valor do FPM - 2016 pelo coeficiente 0.6</v>
      </c>
    </row>
    <row r="276" spans="1:4" s="117" customFormat="1" ht="30" customHeight="1" x14ac:dyDescent="0.2">
      <c r="A276" s="546" t="str">
        <f>'ORCAMENTO RECEITA ANALITICO'!G143</f>
        <v>Cota-parte Do Fpm - Proprio</v>
      </c>
      <c r="B276" s="550" t="str">
        <f>A275</f>
        <v>Cota-parte Do Fundo De Participacao Dos Municipios - Fpm</v>
      </c>
      <c r="C276" s="549" t="s">
        <v>419</v>
      </c>
      <c r="D276" s="225" t="str">
        <f>Parâmetros!C$11</f>
        <v>Estimativa de Percentual de para Aplicação de Recursos Livres</v>
      </c>
    </row>
    <row r="277" spans="1:4" s="117" customFormat="1" ht="30" customHeight="1" x14ac:dyDescent="0.2">
      <c r="A277" s="546" t="str">
        <f>'ORCAMENTO RECEITA ANALITICO'!G144</f>
        <v>Cota-parte Do Fpm - Mde</v>
      </c>
      <c r="B277" s="550" t="str">
        <f>B276</f>
        <v>Cota-parte Do Fundo De Participacao Dos Municipios - Fpm</v>
      </c>
      <c r="C277" s="549" t="s">
        <v>419</v>
      </c>
      <c r="D277" s="225" t="str">
        <f>Parâmetros!C$15</f>
        <v>Estimativa de Repasse para  o MDE S/(FPM, ITR, LEI 87/96, ICMS, IPVA,  IPI/EXP)</v>
      </c>
    </row>
    <row r="278" spans="1:4" s="117" customFormat="1" ht="30" customHeight="1" x14ac:dyDescent="0.2">
      <c r="A278" s="1272" t="str">
        <f>'ORCAMENTO RECEITA ANALITICO'!G145</f>
        <v>Cota-parte Do Fpm - Asps</v>
      </c>
      <c r="B278" s="1283" t="str">
        <f>B277</f>
        <v>Cota-parte Do Fundo De Participacao Dos Municipios - Fpm</v>
      </c>
      <c r="C278" s="1281" t="s">
        <v>419</v>
      </c>
      <c r="D278" s="225" t="str">
        <f>Parâmetros!C$18</f>
        <v>Estimativa de Repasse para  o ASPS</v>
      </c>
    </row>
    <row r="279" spans="1:4" s="117" customFormat="1" ht="30" customHeight="1" x14ac:dyDescent="0.2">
      <c r="A279" s="1272"/>
      <c r="B279" s="1283"/>
      <c r="C279" s="1281"/>
      <c r="D279" s="225" t="str">
        <f>Parâmetros!C$19</f>
        <v>Estimativa de Repasse para  o ASPS Complemento</v>
      </c>
    </row>
    <row r="280" spans="1:4" s="117" customFormat="1" ht="30" customHeight="1" x14ac:dyDescent="0.2">
      <c r="A280" s="546" t="str">
        <f>'ORCAMENTO RECEITA ANALITICO'!G146</f>
        <v>Cota-parte Do Fpm - Fundeb</v>
      </c>
      <c r="B280" s="550" t="str">
        <f>B278</f>
        <v>Cota-parte Do Fundo De Participacao Dos Municipios - Fpm</v>
      </c>
      <c r="C280" s="549" t="s">
        <v>419</v>
      </c>
      <c r="D280" s="225" t="str">
        <f>Parâmetros!C$17</f>
        <v>Estimativa de Repasse para  o Fundeb S/FUNDEB S/(FPM, ITR, LEI 87/96, ICMS, IPVA,  IPI/EXP)</v>
      </c>
    </row>
    <row r="281" spans="1:4" s="35" customFormat="1" ht="30" customHeight="1" x14ac:dyDescent="0.25">
      <c r="A281" s="547" t="str">
        <f>'ORCAMENTO RECEITA ANALITICO'!G147</f>
        <v>Cota -Parte do fundo de participaçaõ dos Municipios - 1% Cota Entregue</v>
      </c>
      <c r="B281" s="551" t="str">
        <f>Parâmetros!C110</f>
        <v>Estimativa de valor do FPM - 2016 cota extra de 1% - Dezembro</v>
      </c>
      <c r="C281" s="552" t="s">
        <v>420</v>
      </c>
      <c r="D281" s="234" t="str">
        <f>Parâmetros!C$110</f>
        <v>Estimativa de valor do FPM - 2016 cota extra de 1% - Dezembro</v>
      </c>
    </row>
    <row r="282" spans="1:4" s="117" customFormat="1" ht="30" customHeight="1" x14ac:dyDescent="0.2">
      <c r="A282" s="546" t="str">
        <f>'ORCAMENTO RECEITA ANALITICO'!G148</f>
        <v>Cota - Fpm Cota Extra 1% Mês de Dezembro - Próprio</v>
      </c>
      <c r="B282" s="550" t="str">
        <f>A282</f>
        <v>Cota - Fpm Cota Extra 1% Mês de Dezembro - Próprio</v>
      </c>
      <c r="C282" s="549" t="s">
        <v>419</v>
      </c>
      <c r="D282" s="225" t="str">
        <f>Parâmetros!C$11</f>
        <v>Estimativa de Percentual de para Aplicação de Recursos Livres</v>
      </c>
    </row>
    <row r="283" spans="1:4" s="117" customFormat="1" ht="30" customHeight="1" x14ac:dyDescent="0.2">
      <c r="A283" s="546" t="str">
        <f>'ORCAMENTO RECEITA ANALITICO'!G149</f>
        <v>Cota - Fpm Cota Extra 1% Mês de Dezembro - MDE</v>
      </c>
      <c r="B283" s="550" t="str">
        <f>A283</f>
        <v>Cota - Fpm Cota Extra 1% Mês de Dezembro - MDE</v>
      </c>
      <c r="C283" s="549" t="s">
        <v>419</v>
      </c>
      <c r="D283" s="225" t="str">
        <f>Parâmetros!C$15</f>
        <v>Estimativa de Repasse para  o MDE S/(FPM, ITR, LEI 87/96, ICMS, IPVA,  IPI/EXP)</v>
      </c>
    </row>
    <row r="284" spans="1:4" s="117" customFormat="1" ht="30" customHeight="1" x14ac:dyDescent="0.2">
      <c r="A284" s="1285" t="str">
        <f>'ORCAMENTO RECEITA ANALITICO'!G150</f>
        <v>Cota - Fpm Cota Extra 1% Mês de Dezembro - ASPS</v>
      </c>
      <c r="B284" s="1287" t="str">
        <f>A284</f>
        <v>Cota - Fpm Cota Extra 1% Mês de Dezembro - ASPS</v>
      </c>
      <c r="C284" s="1289" t="s">
        <v>1942</v>
      </c>
      <c r="D284" s="225" t="str">
        <f>Parâmetros!C$18</f>
        <v>Estimativa de Repasse para  o ASPS</v>
      </c>
    </row>
    <row r="285" spans="1:4" s="117" customFormat="1" ht="30" customHeight="1" x14ac:dyDescent="0.2">
      <c r="A285" s="1286"/>
      <c r="B285" s="1288"/>
      <c r="C285" s="1290"/>
      <c r="D285" s="225" t="str">
        <f>Parâmetros!C$19</f>
        <v>Estimativa de Repasse para  o ASPS Complemento</v>
      </c>
    </row>
    <row r="286" spans="1:4" s="117" customFormat="1" ht="30" customHeight="1" x14ac:dyDescent="0.2">
      <c r="A286" s="547" t="str">
        <f>'ORCAMENTO RECEITA ANALITICO'!G151</f>
        <v>Cota -Parte do fundo de participaçaõ dos Municipios - 1% Cota Entregue</v>
      </c>
      <c r="B286" s="551" t="str">
        <f>Parâmetros!C$111</f>
        <v>Estimativa de valor do FPM - 2016 cota extra de 0,75% - Julho</v>
      </c>
      <c r="C286" s="552" t="s">
        <v>420</v>
      </c>
      <c r="D286" s="234" t="str">
        <f>Parâmetros!C$111</f>
        <v>Estimativa de valor do FPM - 2016 cota extra de 0,75% - Julho</v>
      </c>
    </row>
    <row r="287" spans="1:4" s="117" customFormat="1" ht="30" customHeight="1" x14ac:dyDescent="0.2">
      <c r="A287" s="546" t="str">
        <f>'ORCAMENTO RECEITA ANALITICO'!G152</f>
        <v>Cota - Fpm Cota Extra 1% Mês de Julho - Próprio</v>
      </c>
      <c r="B287" s="550" t="str">
        <f>A287</f>
        <v>Cota - Fpm Cota Extra 1% Mês de Julho - Próprio</v>
      </c>
      <c r="C287" s="549" t="s">
        <v>419</v>
      </c>
      <c r="D287" s="225" t="str">
        <f>Parâmetros!C$11</f>
        <v>Estimativa de Percentual de para Aplicação de Recursos Livres</v>
      </c>
    </row>
    <row r="288" spans="1:4" s="117" customFormat="1" ht="30" customHeight="1" x14ac:dyDescent="0.2">
      <c r="A288" s="546" t="str">
        <f>'ORCAMENTO RECEITA ANALITICO'!G153</f>
        <v>Cota - Fpm Cota Extra 1% Mês de Julho - MDE</v>
      </c>
      <c r="B288" s="550" t="str">
        <f>A288</f>
        <v>Cota - Fpm Cota Extra 1% Mês de Julho - MDE</v>
      </c>
      <c r="C288" s="549" t="s">
        <v>419</v>
      </c>
      <c r="D288" s="225" t="str">
        <f>Parâmetros!C$15</f>
        <v>Estimativa de Repasse para  o MDE S/(FPM, ITR, LEI 87/96, ICMS, IPVA,  IPI/EXP)</v>
      </c>
    </row>
    <row r="289" spans="1:4" s="117" customFormat="1" ht="30" customHeight="1" x14ac:dyDescent="0.2">
      <c r="A289" s="1291" t="str">
        <f>'ORCAMENTO RECEITA ANALITICO'!G154</f>
        <v>Cota - Fpm Cota Extra 1% Mês de Julho - ASPS</v>
      </c>
      <c r="B289" s="1287" t="str">
        <f>A289</f>
        <v>Cota - Fpm Cota Extra 1% Mês de Julho - ASPS</v>
      </c>
      <c r="C289" s="1289" t="s">
        <v>1942</v>
      </c>
      <c r="D289" s="225" t="str">
        <f>Parâmetros!C$18</f>
        <v>Estimativa de Repasse para  o ASPS</v>
      </c>
    </row>
    <row r="290" spans="1:4" s="117" customFormat="1" ht="30" customHeight="1" x14ac:dyDescent="0.2">
      <c r="A290" s="1292"/>
      <c r="B290" s="1288"/>
      <c r="C290" s="1290"/>
      <c r="D290" s="225" t="str">
        <f>Parâmetros!C$19</f>
        <v>Estimativa de Repasse para  o ASPS Complemento</v>
      </c>
    </row>
    <row r="291" spans="1:4" s="35" customFormat="1" ht="30" customHeight="1" x14ac:dyDescent="0.25">
      <c r="A291" s="1278" t="str">
        <f>'ORCAMENTO RECEITA ANALITICO'!G155</f>
        <v>Cota-parte Do Imposto Sobre A Propriedade Territorial Rural - Itr</v>
      </c>
      <c r="B291" s="1305" t="str">
        <f>Parâmetros!C112</f>
        <v>Média de arrecadação 2012 a 2015 - ITR</v>
      </c>
      <c r="C291" s="1303" t="s">
        <v>420</v>
      </c>
      <c r="D291" s="234" t="str">
        <f>Parâmetros!C$112</f>
        <v>Média de arrecadação 2012 a 2015 - ITR</v>
      </c>
    </row>
    <row r="292" spans="1:4" s="35" customFormat="1" ht="30" customHeight="1" x14ac:dyDescent="0.25">
      <c r="A292" s="1280"/>
      <c r="B292" s="1306"/>
      <c r="C292" s="1304"/>
      <c r="D292" s="234" t="str">
        <f>Parâmetros!C$5</f>
        <v>MEDIA DA Variação do IPCA  E IGP-DI para 2016</v>
      </c>
    </row>
    <row r="293" spans="1:4" s="117" customFormat="1" ht="30" customHeight="1" x14ac:dyDescent="0.2">
      <c r="A293" s="546" t="str">
        <f>'ORCAMENTO RECEITA ANALITICO'!G156</f>
        <v>Cota-parte Do Itr - Proprio</v>
      </c>
      <c r="B293" s="550" t="str">
        <f>A291</f>
        <v>Cota-parte Do Imposto Sobre A Propriedade Territorial Rural - Itr</v>
      </c>
      <c r="C293" s="549" t="s">
        <v>419</v>
      </c>
      <c r="D293" s="225" t="str">
        <f>Parâmetros!C$11</f>
        <v>Estimativa de Percentual de para Aplicação de Recursos Livres</v>
      </c>
    </row>
    <row r="294" spans="1:4" s="117" customFormat="1" ht="30" customHeight="1" x14ac:dyDescent="0.2">
      <c r="A294" s="546" t="str">
        <f>'ORCAMENTO RECEITA ANALITICO'!G157</f>
        <v>Cota-parte Do Itr - Mde</v>
      </c>
      <c r="B294" s="550" t="str">
        <f>B293</f>
        <v>Cota-parte Do Imposto Sobre A Propriedade Territorial Rural - Itr</v>
      </c>
      <c r="C294" s="549" t="s">
        <v>419</v>
      </c>
      <c r="D294" s="225" t="str">
        <f>Parâmetros!C$15</f>
        <v>Estimativa de Repasse para  o MDE S/(FPM, ITR, LEI 87/96, ICMS, IPVA,  IPI/EXP)</v>
      </c>
    </row>
    <row r="295" spans="1:4" s="117" customFormat="1" ht="30" customHeight="1" x14ac:dyDescent="0.2">
      <c r="A295" s="1272" t="str">
        <f>'ORCAMENTO RECEITA ANALITICO'!G158</f>
        <v>Cota-parte Do Itr - Asps</v>
      </c>
      <c r="B295" s="1283" t="str">
        <f>B294</f>
        <v>Cota-parte Do Imposto Sobre A Propriedade Territorial Rural - Itr</v>
      </c>
      <c r="C295" s="1281" t="s">
        <v>419</v>
      </c>
      <c r="D295" s="225" t="str">
        <f>Parâmetros!C$18</f>
        <v>Estimativa de Repasse para  o ASPS</v>
      </c>
    </row>
    <row r="296" spans="1:4" s="117" customFormat="1" ht="30" customHeight="1" x14ac:dyDescent="0.2">
      <c r="A296" s="1272"/>
      <c r="B296" s="1283"/>
      <c r="C296" s="1281"/>
      <c r="D296" s="225" t="str">
        <f>Parâmetros!C$19</f>
        <v>Estimativa de Repasse para  o ASPS Complemento</v>
      </c>
    </row>
    <row r="297" spans="1:4" s="117" customFormat="1" ht="30" customHeight="1" x14ac:dyDescent="0.2">
      <c r="A297" s="546" t="str">
        <f>'ORCAMENTO RECEITA ANALITICO'!G159</f>
        <v>Cota-parte Do Itr - Fundeb</v>
      </c>
      <c r="B297" s="550" t="str">
        <f>B295</f>
        <v>Cota-parte Do Imposto Sobre A Propriedade Territorial Rural - Itr</v>
      </c>
      <c r="C297" s="549" t="s">
        <v>419</v>
      </c>
      <c r="D297" s="225" t="str">
        <f>Parâmetros!C$17</f>
        <v>Estimativa de Repasse para  o Fundeb S/FUNDEB S/(FPM, ITR, LEI 87/96, ICMS, IPVA,  IPI/EXP)</v>
      </c>
    </row>
    <row r="298" spans="1:4" s="35" customFormat="1" ht="30" customHeight="1" x14ac:dyDescent="0.25">
      <c r="A298" s="1278" t="str">
        <f>'ORCAMENTO RECEITA ANALITICO'!G161</f>
        <v>COTA PARTE CFM - DEPART. NAC. DE PROD.MINERAL</v>
      </c>
      <c r="B298" s="1305" t="str">
        <f>Parâmetros!C114</f>
        <v>Estimativa de Receita cota Parte CFM</v>
      </c>
      <c r="C298" s="1303" t="s">
        <v>420</v>
      </c>
      <c r="D298" s="234" t="str">
        <f>Parâmetros!C$114</f>
        <v>Estimativa de Receita cota Parte CFM</v>
      </c>
    </row>
    <row r="299" spans="1:4" s="35" customFormat="1" ht="30" customHeight="1" x14ac:dyDescent="0.25">
      <c r="A299" s="1280"/>
      <c r="B299" s="1306"/>
      <c r="C299" s="1304"/>
      <c r="D299" s="222" t="str">
        <f>Parâmetros!C$5</f>
        <v>MEDIA DA Variação do IPCA  E IGP-DI para 2016</v>
      </c>
    </row>
    <row r="300" spans="1:4" ht="30" customHeight="1" x14ac:dyDescent="0.2">
      <c r="A300" s="1271" t="str">
        <f>'ORCAMENTO RECEITA ANALITICO'!G162</f>
        <v>Cota-parte Do Fundo Especial Do Petroleo - Fep</v>
      </c>
      <c r="B300" s="1269" t="str">
        <f>Parâmetros!C113</f>
        <v>Média de arrecadação 2012 a 2015 - Fep</v>
      </c>
      <c r="C300" s="1270" t="s">
        <v>420</v>
      </c>
      <c r="D300" s="234" t="str">
        <f>Parâmetros!C$5</f>
        <v>MEDIA DA Variação do IPCA  E IGP-DI para 2016</v>
      </c>
    </row>
    <row r="301" spans="1:4" ht="30" customHeight="1" x14ac:dyDescent="0.2">
      <c r="A301" s="1271"/>
      <c r="B301" s="1269"/>
      <c r="C301" s="1270"/>
      <c r="D301" s="234" t="str">
        <f>Parâmetros!C$20</f>
        <v>Crescimento Médio da Arrecadação</v>
      </c>
    </row>
    <row r="302" spans="1:4" ht="30" customHeight="1" x14ac:dyDescent="0.2">
      <c r="A302" s="547" t="str">
        <f>'ORCAMENTO RECEITA ANALITICO'!G164</f>
        <v>Piso De Atencao Basica - Pab Fixo</v>
      </c>
      <c r="B302" s="548" t="str">
        <f>Parâmetros!C115</f>
        <v>Estimativa de valor da Quota do PAB por Habitante Ano</v>
      </c>
      <c r="C302" s="545" t="s">
        <v>420</v>
      </c>
      <c r="D302" s="222" t="str">
        <f>Parâmetros!C$116</f>
        <v>População do Municipio conforme dados do IBGE</v>
      </c>
    </row>
    <row r="303" spans="1:4" ht="30" customHeight="1" x14ac:dyDescent="0.2">
      <c r="A303" s="547" t="str">
        <f>'ORCAMENTO RECEITA ANALITICO'!G166</f>
        <v>Acoes Basicas De Vigilancia Sanitaria</v>
      </c>
      <c r="B303" s="548" t="str">
        <f>Parâmetros!C117</f>
        <v>Estimativa de valor da Quota do Pab Variavel - Vigilancia Sanitária por Habitante Ano</v>
      </c>
      <c r="C303" s="545" t="s">
        <v>420</v>
      </c>
      <c r="D303" s="222" t="str">
        <f>Parâmetros!C$116</f>
        <v>População do Municipio conforme dados do IBGE</v>
      </c>
    </row>
    <row r="304" spans="1:4" ht="30" customHeight="1" x14ac:dyDescent="0.2">
      <c r="A304" s="547" t="str">
        <f>'ORCAMENTO RECEITA ANALITICO'!G167</f>
        <v>Programa De Assistencia Farmaceutica Basica</v>
      </c>
      <c r="B304" s="548" t="str">
        <f>Parâmetros!C118</f>
        <v>Estimativa de valor da Quota do Pab Variavel - Farmacia Básica  por Habitante Ano</v>
      </c>
      <c r="C304" s="545" t="s">
        <v>420</v>
      </c>
      <c r="D304" s="222" t="str">
        <f>Parâmetros!C$116</f>
        <v>População do Municipio conforme dados do IBGE</v>
      </c>
    </row>
    <row r="305" spans="1:4" ht="30" customHeight="1" x14ac:dyDescent="0.2">
      <c r="A305" s="547" t="str">
        <f>'ORCAMENTO RECEITA ANALITICO'!G168</f>
        <v>Transf. de Alta e Media Complexidade - Sai/Sih</v>
      </c>
      <c r="B305" s="548" t="str">
        <f>Parâmetros!C120</f>
        <v>Estimativa de valor Transferencia De Alta E Media Complexidade - Sai/sih</v>
      </c>
      <c r="C305" s="549" t="s">
        <v>1943</v>
      </c>
      <c r="D305" s="222" t="str">
        <f>Parâmetros!C$120</f>
        <v>Estimativa de valor Transferencia De Alta E Media Complexidade - Sai/sih</v>
      </c>
    </row>
    <row r="306" spans="1:4" ht="30" customHeight="1" x14ac:dyDescent="0.2">
      <c r="A306" s="547" t="str">
        <f>'ORCAMENTO RECEITA ANALITICO'!G170</f>
        <v>Transferencia - Cadastro Sus</v>
      </c>
      <c r="B306" s="548" t="str">
        <f>Parâmetros!C122</f>
        <v>Estimativa de repasse do cadastro sus</v>
      </c>
      <c r="C306" s="549" t="s">
        <v>1943</v>
      </c>
      <c r="D306" s="222" t="str">
        <f>Parâmetros!C122</f>
        <v>Estimativa de repasse do cadastro sus</v>
      </c>
    </row>
    <row r="307" spans="1:4" ht="30" customHeight="1" x14ac:dyDescent="0.2">
      <c r="A307" s="1271" t="str">
        <f>'ORCAMENTO RECEITA ANALITICO'!G172</f>
        <v>Transferencia Do Salario-educacao</v>
      </c>
      <c r="B307" s="1273" t="str">
        <f>Parâmetros!C123</f>
        <v>Estimativa de valor da Quota do Salário Educação</v>
      </c>
      <c r="C307" s="1281" t="s">
        <v>419</v>
      </c>
      <c r="D307" s="222" t="str">
        <f>Parâmetros!C124</f>
        <v>Matriculas base censo escolar 2015 - FONTE DADOS PARCIAIS DO INEP - PRE-ESCOLA</v>
      </c>
    </row>
    <row r="308" spans="1:4" ht="30" customHeight="1" x14ac:dyDescent="0.2">
      <c r="A308" s="1271"/>
      <c r="B308" s="1273"/>
      <c r="C308" s="1274"/>
      <c r="D308" s="222" t="str">
        <f>Parâmetros!C125</f>
        <v>Matriculas base censo escolar 2015 - FONTE DADOS PARCIAIS DO INEP - ANOS INICIAIS - RURAL</v>
      </c>
    </row>
    <row r="309" spans="1:4" ht="30" customHeight="1" x14ac:dyDescent="0.2">
      <c r="A309" s="1271"/>
      <c r="B309" s="1273"/>
      <c r="C309" s="1274"/>
      <c r="D309" s="222" t="str">
        <f>Parâmetros!C126</f>
        <v>Matriculas base censo escolar 2015- FONTE DADOS PARCIAIS DO INEP - ANOS FINAIS - RURAL</v>
      </c>
    </row>
    <row r="310" spans="1:4" ht="30" customHeight="1" x14ac:dyDescent="0.2">
      <c r="A310" s="1271"/>
      <c r="B310" s="1273"/>
      <c r="C310" s="1274"/>
      <c r="D310" s="222" t="str">
        <f>Parâmetros!C127</f>
        <v>Matriculas base censo escolar 2015 - FONTE DADOS PARCIAIS DO INEP - EJA</v>
      </c>
    </row>
    <row r="311" spans="1:4" ht="30" customHeight="1" x14ac:dyDescent="0.2">
      <c r="A311" s="1271"/>
      <c r="B311" s="1273"/>
      <c r="C311" s="1274"/>
      <c r="D311" s="222" t="str">
        <f>Parâmetros!C129</f>
        <v>Matriculas base censo escolar 2015 - FONTE DADOS PARCIAIS DO INEP - ED. ESPECIAL  PRE-ESCOLA</v>
      </c>
    </row>
    <row r="312" spans="1:4" ht="30" customHeight="1" x14ac:dyDescent="0.2">
      <c r="A312" s="1271"/>
      <c r="B312" s="1273"/>
      <c r="C312" s="1274"/>
      <c r="D312" s="222" t="str">
        <f>Parâmetros!C130</f>
        <v>Matriculas base censo escolar 2015 - FONTE DADOS PARCIAIS DO INEP - ED. ESPECIAL ANOS INICIAIS</v>
      </c>
    </row>
    <row r="313" spans="1:4" ht="30" customHeight="1" x14ac:dyDescent="0.2">
      <c r="A313" s="1271"/>
      <c r="B313" s="1273"/>
      <c r="C313" s="1274"/>
      <c r="D313" s="222" t="str">
        <f>Parâmetros!C131</f>
        <v>Matriculas base censo escolar 2015 - FONTE DADOS PARCIAIS DO INEP - ED. ESPECIAL ANOS FINAIS</v>
      </c>
    </row>
    <row r="314" spans="1:4" ht="30" customHeight="1" x14ac:dyDescent="0.2">
      <c r="A314" s="1271" t="str">
        <f>'ORCAMENTO RECEITA ANALITICO'!G174</f>
        <v>Transferencias PNAE - PRE-ESCOLA</v>
      </c>
      <c r="B314" s="1273" t="str">
        <f>Parâmetros!C134</f>
        <v>Estimativa de valor da Quota do Programa PNATE - Pre-Escola</v>
      </c>
      <c r="C314" s="1281" t="s">
        <v>419</v>
      </c>
      <c r="D314" s="222" t="str">
        <f>Parâmetros!C124</f>
        <v>Matriculas base censo escolar 2015 - FONTE DADOS PARCIAIS DO INEP - PRE-ESCOLA</v>
      </c>
    </row>
    <row r="315" spans="1:4" ht="30" customHeight="1" x14ac:dyDescent="0.2">
      <c r="A315" s="1271"/>
      <c r="B315" s="1273"/>
      <c r="C315" s="1281"/>
      <c r="D315" s="222" t="str">
        <f>Parâmetros!C132</f>
        <v xml:space="preserve">Estimativa de dias letivos </v>
      </c>
    </row>
    <row r="316" spans="1:4" ht="30" customHeight="1" x14ac:dyDescent="0.2">
      <c r="A316" s="1271" t="str">
        <f>'ORCAMENTO RECEITA ANALITICO'!G175</f>
        <v>Transferencias PNAE - EJA</v>
      </c>
      <c r="B316" s="1273" t="str">
        <f>Parâmetros!C138</f>
        <v>Estimativa de valor da Quota do Programa PNAE - Ensino fundamental e Eja</v>
      </c>
      <c r="C316" s="1281" t="s">
        <v>419</v>
      </c>
      <c r="D316" s="222" t="str">
        <f>Parâmetros!C127</f>
        <v>Matriculas base censo escolar 2015 - FONTE DADOS PARCIAIS DO INEP - EJA</v>
      </c>
    </row>
    <row r="317" spans="1:4" ht="30" customHeight="1" x14ac:dyDescent="0.2">
      <c r="A317" s="1271"/>
      <c r="B317" s="1273"/>
      <c r="C317" s="1274"/>
      <c r="D317" s="222" t="str">
        <f>Parâmetros!C132</f>
        <v xml:space="preserve">Estimativa de dias letivos </v>
      </c>
    </row>
    <row r="318" spans="1:4" ht="30" customHeight="1" x14ac:dyDescent="0.2">
      <c r="A318" s="1271" t="str">
        <f>'ORCAMENTO RECEITA ANALITICO'!G176</f>
        <v>Transferencias PNAE - ENSINO FUNDAMENTAL</v>
      </c>
      <c r="B318" s="1273" t="str">
        <f>Parâmetros!C138</f>
        <v>Estimativa de valor da Quota do Programa PNAE - Ensino fundamental e Eja</v>
      </c>
      <c r="C318" s="1281" t="s">
        <v>419</v>
      </c>
      <c r="D318" s="222" t="str">
        <f>Parâmetros!C125</f>
        <v>Matriculas base censo escolar 2015 - FONTE DADOS PARCIAIS DO INEP - ANOS INICIAIS - RURAL</v>
      </c>
    </row>
    <row r="319" spans="1:4" ht="30" customHeight="1" x14ac:dyDescent="0.2">
      <c r="A319" s="1271"/>
      <c r="B319" s="1273"/>
      <c r="C319" s="1274"/>
      <c r="D319" s="222" t="str">
        <f>Parâmetros!C126</f>
        <v>Matriculas base censo escolar 2015- FONTE DADOS PARCIAIS DO INEP - ANOS FINAIS - RURAL</v>
      </c>
    </row>
    <row r="320" spans="1:4" ht="30" customHeight="1" x14ac:dyDescent="0.2">
      <c r="A320" s="1271"/>
      <c r="B320" s="1273"/>
      <c r="C320" s="1274"/>
      <c r="D320" s="222" t="str">
        <f>Parâmetros!C131</f>
        <v>Matriculas base censo escolar 2015 - FONTE DADOS PARCIAIS DO INEP - ED. ESPECIAL ANOS FINAIS</v>
      </c>
    </row>
    <row r="321" spans="1:4" ht="30" customHeight="1" x14ac:dyDescent="0.2">
      <c r="A321" s="1271"/>
      <c r="B321" s="1273"/>
      <c r="C321" s="1274"/>
      <c r="D321" s="222" t="str">
        <f>Parâmetros!C132</f>
        <v xml:space="preserve">Estimativa de dias letivos </v>
      </c>
    </row>
    <row r="322" spans="1:4" ht="30" customHeight="1" x14ac:dyDescent="0.2">
      <c r="A322" s="1271" t="str">
        <f>'ORCAMENTO RECEITA ANALITICO'!G177</f>
        <v>Transferencias PNAE- ED ESPECIAL</v>
      </c>
      <c r="B322" s="1273" t="str">
        <f>Parâmetros!C139</f>
        <v>Estimativa de valor da Quota do Programa PNAE - Ed. Espec.</v>
      </c>
      <c r="C322" s="1281" t="s">
        <v>419</v>
      </c>
      <c r="D322" s="222" t="str">
        <f>Parâmetros!C129</f>
        <v>Matriculas base censo escolar 2015 - FONTE DADOS PARCIAIS DO INEP - ED. ESPECIAL  PRE-ESCOLA</v>
      </c>
    </row>
    <row r="323" spans="1:4" ht="30" customHeight="1" x14ac:dyDescent="0.2">
      <c r="A323" s="1271"/>
      <c r="B323" s="1273"/>
      <c r="C323" s="1281"/>
      <c r="D323" s="222" t="str">
        <f>Parâmetros!C130</f>
        <v>Matriculas base censo escolar 2015 - FONTE DADOS PARCIAIS DO INEP - ED. ESPECIAL ANOS INICIAIS</v>
      </c>
    </row>
    <row r="324" spans="1:4" ht="30" customHeight="1" x14ac:dyDescent="0.2">
      <c r="A324" s="1271"/>
      <c r="B324" s="1273"/>
      <c r="C324" s="1274"/>
      <c r="D324" s="222" t="str">
        <f>Parâmetros!C131</f>
        <v>Matriculas base censo escolar 2015 - FONTE DADOS PARCIAIS DO INEP - ED. ESPECIAL ANOS FINAIS</v>
      </c>
    </row>
    <row r="325" spans="1:4" ht="30" customHeight="1" x14ac:dyDescent="0.2">
      <c r="A325" s="547" t="str">
        <f>'ORCAMENTO RECEITA ANALITICO'!G179</f>
        <v>Transferencias PNATE - PRE-ESCOLA</v>
      </c>
      <c r="B325" s="548" t="str">
        <f>Parâmetros!C139</f>
        <v>Estimativa de valor da Quota do Programa PNAE - Ed. Espec.</v>
      </c>
      <c r="C325" s="549" t="s">
        <v>419</v>
      </c>
      <c r="D325" s="222" t="str">
        <f>Parâmetros!C130</f>
        <v>Matriculas base censo escolar 2015 - FONTE DADOS PARCIAIS DO INEP - ED. ESPECIAL ANOS INICIAIS</v>
      </c>
    </row>
    <row r="326" spans="1:4" ht="30" customHeight="1" x14ac:dyDescent="0.2">
      <c r="A326" s="547" t="str">
        <f>'ORCAMENTO RECEITA ANALITICO'!G180</f>
        <v>Transferencias PNATE - ENSINO FUNDAMENTAL</v>
      </c>
      <c r="B326" s="548" t="str">
        <f>Parâmetros!C135</f>
        <v>Estimativa de valor da Quota do Programa PNATE - Ensino Fundamental</v>
      </c>
      <c r="C326" s="549" t="s">
        <v>419</v>
      </c>
      <c r="D326" s="222" t="str">
        <f>Parâmetros!C133</f>
        <v xml:space="preserve">Estimativa de Quantidade de parcelas de repasses das Quotas do Programa PNATE </v>
      </c>
    </row>
    <row r="327" spans="1:4" ht="30" customHeight="1" x14ac:dyDescent="0.2">
      <c r="A327" s="547" t="str">
        <f>'ORCAMENTO RECEITA ANALITICO'!G181</f>
        <v>Transferencias PNATE - ENSINO MEDIO</v>
      </c>
      <c r="B327" s="548" t="str">
        <f>Parâmetros!C136</f>
        <v>Estimativa de valor da Quota do Programa PNATE - Ensino Médio</v>
      </c>
      <c r="C327" s="549" t="s">
        <v>419</v>
      </c>
      <c r="D327" s="222" t="str">
        <f>Parâmetros!C133</f>
        <v xml:space="preserve">Estimativa de Quantidade de parcelas de repasses das Quotas do Programa PNATE </v>
      </c>
    </row>
    <row r="328" spans="1:4" ht="30" customHeight="1" x14ac:dyDescent="0.2">
      <c r="A328" s="1271" t="str">
        <f>'ORCAMENTO RECEITA ANALITICO'!G182</f>
        <v>Transferencia Financeira Do Icms - Desoneracao - Lc N° 87/96</v>
      </c>
      <c r="B328" s="1269" t="str">
        <f>Parâmetros!C141</f>
        <v>Estimativa de transferencias da Lei 87/96 valor bruto</v>
      </c>
      <c r="C328" s="1270" t="s">
        <v>420</v>
      </c>
      <c r="D328" s="234" t="str">
        <f>Parâmetros!C140</f>
        <v>Estimativa de INDICE DO ICMS PARA 2016</v>
      </c>
    </row>
    <row r="329" spans="1:4" ht="30" customHeight="1" x14ac:dyDescent="0.2">
      <c r="A329" s="1271"/>
      <c r="B329" s="1269"/>
      <c r="C329" s="1270"/>
      <c r="D329" s="234" t="str">
        <f>Parâmetros!C5</f>
        <v>MEDIA DA Variação do IPCA  E IGP-DI para 2016</v>
      </c>
    </row>
    <row r="330" spans="1:4" ht="30" customHeight="1" x14ac:dyDescent="0.2">
      <c r="A330" s="1271"/>
      <c r="B330" s="1269"/>
      <c r="C330" s="1270"/>
      <c r="D330" s="234" t="str">
        <f>Parâmetros!C8</f>
        <v>Crescimento do PIB ( Variação Anual)  base informativo conjunto congresso nacional ldo uniao para 2016</v>
      </c>
    </row>
    <row r="331" spans="1:4" ht="30" customHeight="1" x14ac:dyDescent="0.2">
      <c r="A331" s="1271"/>
      <c r="B331" s="1269"/>
      <c r="C331" s="1270"/>
      <c r="D331" s="234" t="str">
        <f>Parâmetros!C10</f>
        <v>Taxa de Câmbio (R$/US$) – dez  base informativo conjunto congresso nacional ldo uniao para 2016</v>
      </c>
    </row>
    <row r="332" spans="1:4" s="117" customFormat="1" ht="30" customHeight="1" x14ac:dyDescent="0.2">
      <c r="A332" s="546" t="str">
        <f>'ORCAMENTO RECEITA ANALITICO'!G183</f>
        <v>Transferencia Financeira - Lcn  87/96 - Proprio</v>
      </c>
      <c r="B332" s="550" t="str">
        <f>A328</f>
        <v>Transferencia Financeira Do Icms - Desoneracao - Lc N° 87/96</v>
      </c>
      <c r="C332" s="549" t="s">
        <v>419</v>
      </c>
      <c r="D332" s="225" t="str">
        <f>Parâmetros!C$11</f>
        <v>Estimativa de Percentual de para Aplicação de Recursos Livres</v>
      </c>
    </row>
    <row r="333" spans="1:4" s="117" customFormat="1" ht="30" customHeight="1" x14ac:dyDescent="0.2">
      <c r="A333" s="546" t="str">
        <f>'ORCAMENTO RECEITA ANALITICO'!G184</f>
        <v>Transferencia Financeira - Lcn  87/96 - Mde</v>
      </c>
      <c r="B333" s="550" t="str">
        <f>B332</f>
        <v>Transferencia Financeira Do Icms - Desoneracao - Lc N° 87/96</v>
      </c>
      <c r="C333" s="549" t="s">
        <v>419</v>
      </c>
      <c r="D333" s="225" t="str">
        <f>Parâmetros!C$15</f>
        <v>Estimativa de Repasse para  o MDE S/(FPM, ITR, LEI 87/96, ICMS, IPVA,  IPI/EXP)</v>
      </c>
    </row>
    <row r="334" spans="1:4" s="117" customFormat="1" ht="30" customHeight="1" x14ac:dyDescent="0.2">
      <c r="A334" s="1272" t="str">
        <f>'ORCAMENTO RECEITA ANALITICO'!G185</f>
        <v>Transferencia Financeira - Lcn  87/96 - Asps</v>
      </c>
      <c r="B334" s="1283" t="str">
        <f>B333</f>
        <v>Transferencia Financeira Do Icms - Desoneracao - Lc N° 87/96</v>
      </c>
      <c r="C334" s="1281" t="s">
        <v>419</v>
      </c>
      <c r="D334" s="225" t="str">
        <f>Parâmetros!C$18</f>
        <v>Estimativa de Repasse para  o ASPS</v>
      </c>
    </row>
    <row r="335" spans="1:4" s="117" customFormat="1" ht="30" customHeight="1" x14ac:dyDescent="0.2">
      <c r="A335" s="1272"/>
      <c r="B335" s="1283"/>
      <c r="C335" s="1281"/>
      <c r="D335" s="225" t="str">
        <f>Parâmetros!C$19</f>
        <v>Estimativa de Repasse para  o ASPS Complemento</v>
      </c>
    </row>
    <row r="336" spans="1:4" s="117" customFormat="1" ht="30" customHeight="1" x14ac:dyDescent="0.2">
      <c r="A336" s="546" t="str">
        <f>'ORCAMENTO RECEITA ANALITICO'!G186</f>
        <v>Transferencia Financeira - Lcn  87/96 - Fundeb</v>
      </c>
      <c r="B336" s="550" t="str">
        <f>B334</f>
        <v>Transferencia Financeira Do Icms - Desoneracao - Lc N° 87/96</v>
      </c>
      <c r="C336" s="549" t="s">
        <v>419</v>
      </c>
      <c r="D336" s="225" t="str">
        <f>Parâmetros!C$17</f>
        <v>Estimativa de Repasse para  o Fundeb S/FUNDEB S/(FPM, ITR, LEI 87/96, ICMS, IPVA,  IPI/EXP)</v>
      </c>
    </row>
    <row r="337" spans="1:4" ht="30" customHeight="1" x14ac:dyDescent="0.2">
      <c r="A337" s="547" t="str">
        <f>'ORCAMENTO RECEITA ANALITICO'!G188</f>
        <v>Outras Transferencias Da Uniao</v>
      </c>
      <c r="B337" s="548" t="str">
        <f>Parâmetros!C144</f>
        <v>Estimativa de Outras Transferencias da União</v>
      </c>
      <c r="C337" s="545" t="s">
        <v>420</v>
      </c>
      <c r="D337" s="222" t="str">
        <f>Parâmetros!C$144</f>
        <v>Estimativa de Outras Transferencias da União</v>
      </c>
    </row>
    <row r="338" spans="1:4" ht="30" customHeight="1" x14ac:dyDescent="0.2">
      <c r="A338" s="1308" t="str">
        <f>'ORCAMENTO RECEITA ANALITICO'!G189</f>
        <v>Auxilio Financeiro - Esforco Exportador (mp N  193/04)</v>
      </c>
      <c r="B338" s="1303" t="str">
        <f>Parâmetros!C142</f>
        <v>Estimativa de transferencias do Auxilio financeiro Esforço exportador - FEX</v>
      </c>
      <c r="C338" s="1303" t="s">
        <v>420</v>
      </c>
      <c r="D338" s="234" t="str">
        <f>Parâmetros!C$140</f>
        <v>Estimativa de INDICE DO ICMS PARA 2016</v>
      </c>
    </row>
    <row r="339" spans="1:4" ht="30" customHeight="1" x14ac:dyDescent="0.2">
      <c r="A339" s="1309"/>
      <c r="B339" s="1307"/>
      <c r="C339" s="1307"/>
      <c r="D339" s="234" t="str">
        <f>Parâmetros!C$5</f>
        <v>MEDIA DA Variação do IPCA  E IGP-DI para 2016</v>
      </c>
    </row>
    <row r="340" spans="1:4" ht="30" customHeight="1" x14ac:dyDescent="0.2">
      <c r="A340" s="1309"/>
      <c r="B340" s="1307"/>
      <c r="C340" s="1307"/>
      <c r="D340" s="234" t="str">
        <f>Parâmetros!C$8</f>
        <v>Crescimento do PIB ( Variação Anual)  base informativo conjunto congresso nacional ldo uniao para 2016</v>
      </c>
    </row>
    <row r="341" spans="1:4" ht="30" customHeight="1" x14ac:dyDescent="0.2">
      <c r="A341" s="1309"/>
      <c r="B341" s="1307"/>
      <c r="C341" s="1307"/>
      <c r="D341" s="234" t="str">
        <f>Parâmetros!C$10</f>
        <v>Taxa de Câmbio (R$/US$) – dez  base informativo conjunto congresso nacional ldo uniao para 2016</v>
      </c>
    </row>
    <row r="342" spans="1:4" ht="30" customHeight="1" x14ac:dyDescent="0.2">
      <c r="A342" s="1310"/>
      <c r="B342" s="1304"/>
      <c r="C342" s="1307"/>
      <c r="D342" s="234" t="str">
        <f>Parâmetros!C20</f>
        <v>Crescimento Médio da Arrecadação</v>
      </c>
    </row>
    <row r="343" spans="1:4" ht="30" customHeight="1" x14ac:dyDescent="0.2">
      <c r="A343" s="1271" t="str">
        <f>'ORCAMENTO RECEITA ANALITICO'!G192</f>
        <v>Cota-parte Do Icms</v>
      </c>
      <c r="B343" s="1269" t="str">
        <f>Parâmetros!C145</f>
        <v xml:space="preserve">Estimativa de Transferencias do Estado - ICMS </v>
      </c>
      <c r="C343" s="1274" t="s">
        <v>420</v>
      </c>
      <c r="D343" s="222" t="str">
        <f>Parâmetros!C$140</f>
        <v>Estimativa de INDICE DO ICMS PARA 2016</v>
      </c>
    </row>
    <row r="344" spans="1:4" ht="30" customHeight="1" x14ac:dyDescent="0.2">
      <c r="A344" s="1271"/>
      <c r="B344" s="1269"/>
      <c r="C344" s="1274"/>
      <c r="D344" s="222" t="str">
        <f>Parâmetros!C$5</f>
        <v>MEDIA DA Variação do IPCA  E IGP-DI para 2016</v>
      </c>
    </row>
    <row r="345" spans="1:4" ht="30" customHeight="1" x14ac:dyDescent="0.2">
      <c r="A345" s="1271"/>
      <c r="B345" s="1269"/>
      <c r="C345" s="1274"/>
      <c r="D345" s="222" t="str">
        <f>Parâmetros!C$8</f>
        <v>Crescimento do PIB ( Variação Anual)  base informativo conjunto congresso nacional ldo uniao para 2016</v>
      </c>
    </row>
    <row r="346" spans="1:4" ht="30" customHeight="1" x14ac:dyDescent="0.2">
      <c r="A346" s="1271"/>
      <c r="B346" s="1269"/>
      <c r="C346" s="1274"/>
      <c r="D346" s="222" t="str">
        <f>Parâmetros!C$10</f>
        <v>Taxa de Câmbio (R$/US$) – dez  base informativo conjunto congresso nacional ldo uniao para 2016</v>
      </c>
    </row>
    <row r="347" spans="1:4" ht="30" customHeight="1" x14ac:dyDescent="0.2">
      <c r="A347" s="1271"/>
      <c r="B347" s="1269"/>
      <c r="C347" s="1274"/>
      <c r="D347" s="222" t="str">
        <f>Parâmetros!C20</f>
        <v>Crescimento Médio da Arrecadação</v>
      </c>
    </row>
    <row r="348" spans="1:4" ht="30" customHeight="1" x14ac:dyDescent="0.2">
      <c r="A348" s="547" t="str">
        <f>'ORCAMENTO RECEITA ANALITICO'!G193</f>
        <v>Cota-parte Do Icms - Proprio</v>
      </c>
      <c r="B348" s="548" t="str">
        <f>B343</f>
        <v xml:space="preserve">Estimativa de Transferencias do Estado - ICMS </v>
      </c>
      <c r="C348" s="545" t="s">
        <v>419</v>
      </c>
      <c r="D348" s="222" t="str">
        <f>Parâmetros!C$11</f>
        <v>Estimativa de Percentual de para Aplicação de Recursos Livres</v>
      </c>
    </row>
    <row r="349" spans="1:4" ht="30" customHeight="1" x14ac:dyDescent="0.2">
      <c r="A349" s="547" t="str">
        <f>'ORCAMENTO RECEITA ANALITICO'!G194</f>
        <v>Cota-parte Do Icms - Mde</v>
      </c>
      <c r="B349" s="548" t="str">
        <f>B348</f>
        <v xml:space="preserve">Estimativa de Transferencias do Estado - ICMS </v>
      </c>
      <c r="C349" s="545" t="s">
        <v>419</v>
      </c>
      <c r="D349" s="222" t="str">
        <f>Parâmetros!C$15</f>
        <v>Estimativa de Repasse para  o MDE S/(FPM, ITR, LEI 87/96, ICMS, IPVA,  IPI/EXP)</v>
      </c>
    </row>
    <row r="350" spans="1:4" ht="30" customHeight="1" x14ac:dyDescent="0.2">
      <c r="A350" s="1271" t="str">
        <f>'ORCAMENTO RECEITA ANALITICO'!G195</f>
        <v>Cota-parte Do Icms - Asps</v>
      </c>
      <c r="B350" s="1273" t="str">
        <f>B349</f>
        <v xml:space="preserve">Estimativa de Transferencias do Estado - ICMS </v>
      </c>
      <c r="C350" s="1274" t="s">
        <v>419</v>
      </c>
      <c r="D350" s="222" t="str">
        <f>Parâmetros!C$18</f>
        <v>Estimativa de Repasse para  o ASPS</v>
      </c>
    </row>
    <row r="351" spans="1:4" ht="30" customHeight="1" x14ac:dyDescent="0.2">
      <c r="A351" s="1271"/>
      <c r="B351" s="1273"/>
      <c r="C351" s="1274"/>
      <c r="D351" s="222" t="str">
        <f>Parâmetros!C$19</f>
        <v>Estimativa de Repasse para  o ASPS Complemento</v>
      </c>
    </row>
    <row r="352" spans="1:4" ht="30" customHeight="1" x14ac:dyDescent="0.2">
      <c r="A352" s="547" t="str">
        <f>'ORCAMENTO RECEITA ANALITICO'!G196</f>
        <v>Cota-parte Do Icms - Fundeb</v>
      </c>
      <c r="B352" s="548" t="str">
        <f>B350</f>
        <v xml:space="preserve">Estimativa de Transferencias do Estado - ICMS </v>
      </c>
      <c r="C352" s="545" t="s">
        <v>419</v>
      </c>
      <c r="D352" s="222" t="str">
        <f>Parâmetros!C$17</f>
        <v>Estimativa de Repasse para  o Fundeb S/FUNDEB S/(FPM, ITR, LEI 87/96, ICMS, IPVA,  IPI/EXP)</v>
      </c>
    </row>
    <row r="353" spans="1:4" ht="30" customHeight="1" x14ac:dyDescent="0.2">
      <c r="A353" s="1271" t="str">
        <f>'ORCAMENTO RECEITA ANALITICO'!G197</f>
        <v xml:space="preserve">Cota-parte Do Ipva </v>
      </c>
      <c r="B353" s="1269" t="str">
        <f>Parâmetros!C146</f>
        <v>Estimativa de Transferencias do Estado - IPVA</v>
      </c>
      <c r="C353" s="1274" t="s">
        <v>420</v>
      </c>
      <c r="D353" s="222" t="str">
        <f>Parâmetros!C$5</f>
        <v>MEDIA DA Variação do IPCA  E IGP-DI para 2016</v>
      </c>
    </row>
    <row r="354" spans="1:4" ht="30" customHeight="1" x14ac:dyDescent="0.2">
      <c r="A354" s="1271"/>
      <c r="B354" s="1269"/>
      <c r="C354" s="1274"/>
      <c r="D354" s="222" t="str">
        <f>Parâmetros!C20</f>
        <v>Crescimento Médio da Arrecadação</v>
      </c>
    </row>
    <row r="355" spans="1:4" ht="30" customHeight="1" x14ac:dyDescent="0.2">
      <c r="A355" s="547" t="str">
        <f>'ORCAMENTO RECEITA ANALITICO'!G198</f>
        <v>Cota-parte Do Ipva - Proprio</v>
      </c>
      <c r="B355" s="548" t="str">
        <f>A353</f>
        <v xml:space="preserve">Cota-parte Do Ipva </v>
      </c>
      <c r="C355" s="545" t="s">
        <v>419</v>
      </c>
      <c r="D355" s="222" t="str">
        <f>Parâmetros!C$11</f>
        <v>Estimativa de Percentual de para Aplicação de Recursos Livres</v>
      </c>
    </row>
    <row r="356" spans="1:4" ht="30" customHeight="1" x14ac:dyDescent="0.2">
      <c r="A356" s="547" t="str">
        <f>'ORCAMENTO RECEITA ANALITICO'!G199</f>
        <v>Cota-parte Do Ipva - Mde</v>
      </c>
      <c r="B356" s="548" t="str">
        <f>B355</f>
        <v xml:space="preserve">Cota-parte Do Ipva </v>
      </c>
      <c r="C356" s="545" t="s">
        <v>419</v>
      </c>
      <c r="D356" s="222" t="str">
        <f>Parâmetros!C$15</f>
        <v>Estimativa de Repasse para  o MDE S/(FPM, ITR, LEI 87/96, ICMS, IPVA,  IPI/EXP)</v>
      </c>
    </row>
    <row r="357" spans="1:4" ht="30" customHeight="1" x14ac:dyDescent="0.2">
      <c r="A357" s="1271" t="str">
        <f>'ORCAMENTO RECEITA ANALITICO'!G200</f>
        <v>Cota-parte Do Ipva - Asps</v>
      </c>
      <c r="B357" s="1273" t="str">
        <f>B356</f>
        <v xml:space="preserve">Cota-parte Do Ipva </v>
      </c>
      <c r="C357" s="1274" t="s">
        <v>419</v>
      </c>
      <c r="D357" s="222" t="str">
        <f>Parâmetros!C$18</f>
        <v>Estimativa de Repasse para  o ASPS</v>
      </c>
    </row>
    <row r="358" spans="1:4" ht="30" customHeight="1" x14ac:dyDescent="0.2">
      <c r="A358" s="1271"/>
      <c r="B358" s="1273"/>
      <c r="C358" s="1274"/>
      <c r="D358" s="222" t="str">
        <f>Parâmetros!C$19</f>
        <v>Estimativa de Repasse para  o ASPS Complemento</v>
      </c>
    </row>
    <row r="359" spans="1:4" ht="30" customHeight="1" x14ac:dyDescent="0.2">
      <c r="A359" s="547" t="str">
        <f>'ORCAMENTO RECEITA ANALITICO'!G201</f>
        <v>Cota-parte Do Ipva - Fundeb</v>
      </c>
      <c r="B359" s="548" t="str">
        <f>B357</f>
        <v xml:space="preserve">Cota-parte Do Ipva </v>
      </c>
      <c r="C359" s="545" t="s">
        <v>419</v>
      </c>
      <c r="D359" s="222" t="str">
        <f>Parâmetros!C$17</f>
        <v>Estimativa de Repasse para  o Fundeb S/FUNDEB S/(FPM, ITR, LEI 87/96, ICMS, IPVA,  IPI/EXP)</v>
      </c>
    </row>
    <row r="360" spans="1:4" ht="30" customHeight="1" x14ac:dyDescent="0.2">
      <c r="A360" s="1271" t="str">
        <f>'ORCAMENTO RECEITA ANALITICO'!G202</f>
        <v xml:space="preserve">Cota-parte Do Ipi/exportacao </v>
      </c>
      <c r="B360" s="1269" t="str">
        <f>Parâmetros!C147</f>
        <v>Estimativa de Transferencias do Estado - IPI/EXP.</v>
      </c>
      <c r="C360" s="1274" t="s">
        <v>420</v>
      </c>
      <c r="D360" s="222" t="str">
        <f>Parâmetros!C$140</f>
        <v>Estimativa de INDICE DO ICMS PARA 2016</v>
      </c>
    </row>
    <row r="361" spans="1:4" ht="30" customHeight="1" x14ac:dyDescent="0.2">
      <c r="A361" s="1271"/>
      <c r="B361" s="1269"/>
      <c r="C361" s="1274"/>
      <c r="D361" s="222" t="str">
        <f>Parâmetros!C$5</f>
        <v>MEDIA DA Variação do IPCA  E IGP-DI para 2016</v>
      </c>
    </row>
    <row r="362" spans="1:4" ht="30" customHeight="1" x14ac:dyDescent="0.2">
      <c r="A362" s="1271"/>
      <c r="B362" s="1269"/>
      <c r="C362" s="1274"/>
      <c r="D362" s="222" t="str">
        <f>Parâmetros!C$8</f>
        <v>Crescimento do PIB ( Variação Anual)  base informativo conjunto congresso nacional ldo uniao para 2016</v>
      </c>
    </row>
    <row r="363" spans="1:4" ht="30" customHeight="1" x14ac:dyDescent="0.2">
      <c r="A363" s="1271"/>
      <c r="B363" s="1269"/>
      <c r="C363" s="1274"/>
      <c r="D363" s="222" t="str">
        <f>Parâmetros!C$10</f>
        <v>Taxa de Câmbio (R$/US$) – dez  base informativo conjunto congresso nacional ldo uniao para 2016</v>
      </c>
    </row>
    <row r="364" spans="1:4" ht="30" customHeight="1" x14ac:dyDescent="0.2">
      <c r="A364" s="1271"/>
      <c r="B364" s="1269"/>
      <c r="C364" s="1274"/>
      <c r="D364" s="222" t="str">
        <f>Parâmetros!C20</f>
        <v>Crescimento Médio da Arrecadação</v>
      </c>
    </row>
    <row r="365" spans="1:4" ht="30" customHeight="1" x14ac:dyDescent="0.2">
      <c r="A365" s="546" t="str">
        <f>'ORCAMENTO RECEITA ANALITICO'!G203</f>
        <v>Cota-parte Do Ipi/exportacao - Proprio</v>
      </c>
      <c r="B365" s="548" t="str">
        <f>A360</f>
        <v xml:space="preserve">Cota-parte Do Ipi/exportacao </v>
      </c>
      <c r="C365" s="545" t="s">
        <v>419</v>
      </c>
      <c r="D365" s="222" t="str">
        <f>Parâmetros!C$11</f>
        <v>Estimativa de Percentual de para Aplicação de Recursos Livres</v>
      </c>
    </row>
    <row r="366" spans="1:4" ht="30" customHeight="1" x14ac:dyDescent="0.2">
      <c r="A366" s="546" t="str">
        <f>'ORCAMENTO RECEITA ANALITICO'!G204</f>
        <v>Cota-parte Do Ipi/exportacao - Mde</v>
      </c>
      <c r="B366" s="548" t="str">
        <f>B365</f>
        <v xml:space="preserve">Cota-parte Do Ipi/exportacao </v>
      </c>
      <c r="C366" s="545" t="s">
        <v>419</v>
      </c>
      <c r="D366" s="222" t="str">
        <f>Parâmetros!C$15</f>
        <v>Estimativa de Repasse para  o MDE S/(FPM, ITR, LEI 87/96, ICMS, IPVA,  IPI/EXP)</v>
      </c>
    </row>
    <row r="367" spans="1:4" ht="30" customHeight="1" x14ac:dyDescent="0.2">
      <c r="A367" s="1272" t="str">
        <f>'ORCAMENTO RECEITA ANALITICO'!G205</f>
        <v>Cota-parte Do Ipi/exportacao - Asps</v>
      </c>
      <c r="B367" s="1273" t="str">
        <f>B366</f>
        <v xml:space="preserve">Cota-parte Do Ipi/exportacao </v>
      </c>
      <c r="C367" s="1274" t="s">
        <v>419</v>
      </c>
      <c r="D367" s="222" t="str">
        <f>Parâmetros!C$18</f>
        <v>Estimativa de Repasse para  o ASPS</v>
      </c>
    </row>
    <row r="368" spans="1:4" ht="30" customHeight="1" x14ac:dyDescent="0.2">
      <c r="A368" s="1272"/>
      <c r="B368" s="1273"/>
      <c r="C368" s="1274"/>
      <c r="D368" s="222" t="str">
        <f>Parâmetros!C$19</f>
        <v>Estimativa de Repasse para  o ASPS Complemento</v>
      </c>
    </row>
    <row r="369" spans="1:4" ht="30" customHeight="1" x14ac:dyDescent="0.2">
      <c r="A369" s="546" t="str">
        <f>'ORCAMENTO RECEITA ANALITICO'!G206</f>
        <v>Cota-parte Do Ipi/exportacao - Fundeb</v>
      </c>
      <c r="B369" s="548" t="str">
        <f>B367</f>
        <v xml:space="preserve">Cota-parte Do Ipi/exportacao </v>
      </c>
      <c r="C369" s="545" t="s">
        <v>419</v>
      </c>
      <c r="D369" s="222" t="str">
        <f>Parâmetros!C$17</f>
        <v>Estimativa de Repasse para  o Fundeb S/FUNDEB S/(FPM, ITR, LEI 87/96, ICMS, IPVA,  IPI/EXP)</v>
      </c>
    </row>
    <row r="370" spans="1:4" ht="30" customHeight="1" x14ac:dyDescent="0.2">
      <c r="A370" s="1271" t="str">
        <f>'ORCAMENTO RECEITA ANALITICO'!G207</f>
        <v>Cota-parte Da Contrib. De Interv. No Dom. Econ. Cide</v>
      </c>
      <c r="B370" s="1284" t="str">
        <f>Parâmetros!C148</f>
        <v>Estimativa de Transferencias do Estado - CIDE</v>
      </c>
      <c r="C370" s="1274" t="s">
        <v>420</v>
      </c>
      <c r="D370" s="222" t="str">
        <f>Parâmetros!C$150</f>
        <v>Estimativa de Transferencias do Estado - Assistencia Farmaceutica básica</v>
      </c>
    </row>
    <row r="371" spans="1:4" ht="30" customHeight="1" x14ac:dyDescent="0.2">
      <c r="A371" s="1271"/>
      <c r="B371" s="1284"/>
      <c r="C371" s="1274"/>
      <c r="D371" s="222" t="str">
        <f>Parâmetros!C$5</f>
        <v>MEDIA DA Variação do IPCA  E IGP-DI para 2016</v>
      </c>
    </row>
    <row r="372" spans="1:4" ht="30" customHeight="1" x14ac:dyDescent="0.2">
      <c r="A372" s="1271"/>
      <c r="B372" s="1284"/>
      <c r="C372" s="1274"/>
      <c r="D372" s="222" t="str">
        <f>Parâmetros!C$8</f>
        <v>Crescimento do PIB ( Variação Anual)  base informativo conjunto congresso nacional ldo uniao para 2016</v>
      </c>
    </row>
    <row r="373" spans="1:4" ht="30" customHeight="1" x14ac:dyDescent="0.2">
      <c r="A373" s="1271"/>
      <c r="B373" s="1284"/>
      <c r="C373" s="1274"/>
      <c r="D373" s="222" t="str">
        <f>Parâmetros!C$10</f>
        <v>Taxa de Câmbio (R$/US$) – dez  base informativo conjunto congresso nacional ldo uniao para 2016</v>
      </c>
    </row>
    <row r="374" spans="1:4" ht="30" customHeight="1" x14ac:dyDescent="0.2">
      <c r="A374" s="1271"/>
      <c r="B374" s="1284"/>
      <c r="C374" s="1274"/>
      <c r="D374" s="222" t="str">
        <f>Parâmetros!C20</f>
        <v>Crescimento Médio da Arrecadação</v>
      </c>
    </row>
    <row r="375" spans="1:4" ht="30" customHeight="1" x14ac:dyDescent="0.2">
      <c r="A375" s="547" t="str">
        <f>'ORCAMENTO RECEITA ANALITICO'!G209</f>
        <v>Programa Farmacia Basica</v>
      </c>
      <c r="B375" s="554" t="str">
        <f>Parâmetros!C150</f>
        <v>Estimativa de Transferencias do Estado - Assistencia Farmaceutica básica</v>
      </c>
      <c r="C375" s="549" t="s">
        <v>1943</v>
      </c>
      <c r="D375" s="222" t="str">
        <f>Parâmetros!C$150</f>
        <v>Estimativa de Transferencias do Estado - Assistencia Farmaceutica básica</v>
      </c>
    </row>
    <row r="376" spans="1:4" ht="30" customHeight="1" x14ac:dyDescent="0.2">
      <c r="A376" s="547" t="str">
        <f>'ORCAMENTO RECEITA ANALITICO'!G210</f>
        <v>Programa De Vigilancia Epidemiologica</v>
      </c>
      <c r="B376" s="554" t="str">
        <f>Parâmetros!C151</f>
        <v>Estimativa de Transferencias do Estado - Vigilancia Epidemiologica</v>
      </c>
      <c r="C376" s="549" t="s">
        <v>1943</v>
      </c>
      <c r="D376" s="222" t="str">
        <f>Parâmetros!C$151</f>
        <v>Estimativa de Transferencias do Estado - Vigilancia Epidemiologica</v>
      </c>
    </row>
    <row r="377" spans="1:4" ht="30" customHeight="1" x14ac:dyDescent="0.2">
      <c r="A377" s="547" t="str">
        <f>'ORCAMENTO RECEITA ANALITICO'!G211</f>
        <v>Programa Saude Mental</v>
      </c>
      <c r="B377" s="554" t="str">
        <f>Parâmetros!C159</f>
        <v>Estimativa de Transferencias do Estado - saude mental</v>
      </c>
      <c r="C377" s="549" t="s">
        <v>1943</v>
      </c>
      <c r="D377" s="222" t="str">
        <f>Parâmetros!C$159</f>
        <v>Estimativa de Transferencias do Estado - saude mental</v>
      </c>
    </row>
    <row r="378" spans="1:4" ht="30" customHeight="1" x14ac:dyDescent="0.2">
      <c r="A378" s="547" t="str">
        <f>'ORCAMENTO RECEITA ANALITICO'!G212</f>
        <v>Programa Campanha De Vacinacao</v>
      </c>
      <c r="B378" s="554" t="str">
        <f>Parâmetros!C152</f>
        <v>Estimativa de Transferencias do Estado - Campanha de Vacinação</v>
      </c>
      <c r="C378" s="549" t="s">
        <v>1943</v>
      </c>
      <c r="D378" s="222" t="str">
        <f>Parâmetros!C$152</f>
        <v>Estimativa de Transferencias do Estado - Campanha de Vacinação</v>
      </c>
    </row>
    <row r="379" spans="1:4" ht="30" customHeight="1" x14ac:dyDescent="0.2">
      <c r="A379" s="547" t="str">
        <f>'ORCAMENTO RECEITA ANALITICO'!G213</f>
        <v>Programa Incentivo a Atencao Basica</v>
      </c>
      <c r="B379" s="554" t="str">
        <f>Parâmetros!C153</f>
        <v>Estimativa de Transferencias do Estado - Piso de Atenção Básica</v>
      </c>
      <c r="C379" s="549" t="s">
        <v>1943</v>
      </c>
      <c r="D379" s="222" t="str">
        <f>Parâmetros!C$153</f>
        <v>Estimativa de Transferencias do Estado - Piso de Atenção Básica</v>
      </c>
    </row>
    <row r="380" spans="1:4" ht="30" customHeight="1" x14ac:dyDescent="0.2">
      <c r="A380" s="547" t="str">
        <f>'ORCAMENTO RECEITA ANALITICO'!G214</f>
        <v>Farmacia Basica - Diabete Mellitus</v>
      </c>
      <c r="B380" s="554" t="str">
        <f>Parâmetros!C154</f>
        <v>Estimativa de Transferencias do Estado - Farmacia Básica - Diabete Mellitus minimo de 1,86 p/hb ano</v>
      </c>
      <c r="C380" s="549" t="s">
        <v>1943</v>
      </c>
      <c r="D380" s="222" t="str">
        <f>Parâmetros!C$154</f>
        <v>Estimativa de Transferencias do Estado - Farmacia Básica - Diabete Mellitus minimo de 1,86 p/hb ano</v>
      </c>
    </row>
    <row r="381" spans="1:4" ht="30" customHeight="1" x14ac:dyDescent="0.2">
      <c r="A381" s="782" t="str">
        <f>'ORCAMENTO RECEITA ANALITICO'!G215</f>
        <v>SIA Média Complexidade</v>
      </c>
      <c r="B381" s="554" t="str">
        <f>Parâmetros!C155</f>
        <v>Estimativa de Transferencias do Estado - S.I.A.  Média Complexidade</v>
      </c>
      <c r="C381" s="781" t="s">
        <v>1943</v>
      </c>
      <c r="D381" s="222" t="str">
        <f>Parâmetros!C$155</f>
        <v>Estimativa de Transferencias do Estado - S.I.A.  Média Complexidade</v>
      </c>
    </row>
    <row r="382" spans="1:4" ht="30" customHeight="1" x14ac:dyDescent="0.2">
      <c r="A382" s="782" t="str">
        <f>'ORCAMENTO RECEITA ANALITICO'!G216</f>
        <v>Rede Segonha</v>
      </c>
      <c r="B382" s="554" t="str">
        <f>Parâmetros!C156</f>
        <v>Estimativa de Transferencias do Estado - Rede Segonha</v>
      </c>
      <c r="C382" s="781" t="s">
        <v>1943</v>
      </c>
      <c r="D382" s="222" t="str">
        <f>Parâmetros!C$156</f>
        <v>Estimativa de Transferencias do Estado - Rede Segonha</v>
      </c>
    </row>
    <row r="383" spans="1:4" ht="30" customHeight="1" x14ac:dyDescent="0.2">
      <c r="A383" s="782" t="str">
        <f>'ORCAMENTO RECEITA ANALITICO'!G217</f>
        <v>Saude da Familia</v>
      </c>
      <c r="B383" s="554" t="str">
        <f>Parâmetros!C158</f>
        <v>Estimativa de Transferencias do Estado -  Saúde da Familia</v>
      </c>
      <c r="C383" s="781" t="s">
        <v>1943</v>
      </c>
      <c r="D383" s="222" t="str">
        <f>Parâmetros!C$158</f>
        <v>Estimativa de Transferencias do Estado -  Saúde da Familia</v>
      </c>
    </row>
    <row r="384" spans="1:4" ht="30" customHeight="1" x14ac:dyDescent="0.2">
      <c r="A384" s="782" t="str">
        <f>'ORCAMENTO RECEITA ANALITICO'!G218</f>
        <v>Prestador de Serviços Sus/Produção</v>
      </c>
      <c r="B384" s="554" t="str">
        <f>Parâmetros!C157</f>
        <v>Estimativa de Transferencias do Estado - Prestador de Serviços Sus/Produção</v>
      </c>
      <c r="C384" s="781" t="s">
        <v>1943</v>
      </c>
      <c r="D384" s="222" t="str">
        <f>Parâmetros!C$157</f>
        <v>Estimativa de Transferencias do Estado - Prestador de Serviços Sus/Produção</v>
      </c>
    </row>
    <row r="385" spans="1:4" ht="30" customHeight="1" x14ac:dyDescent="0.2">
      <c r="A385" s="1271" t="str">
        <f>'ORCAMENTO RECEITA ANALITICO'!G220</f>
        <v>Cota-parte Da Multa De Transito - Recurso Livre</v>
      </c>
      <c r="B385" s="1284" t="str">
        <f>Parâmetros!C160</f>
        <v>Estimativa de Transferencias do Estado - Quota Multa de Transito</v>
      </c>
      <c r="C385" s="1274" t="s">
        <v>420</v>
      </c>
      <c r="D385" s="222" t="str">
        <f>Parâmetros!C$5</f>
        <v>MEDIA DA Variação do IPCA  E IGP-DI para 2016</v>
      </c>
    </row>
    <row r="386" spans="1:4" ht="30" customHeight="1" x14ac:dyDescent="0.2">
      <c r="A386" s="1271"/>
      <c r="B386" s="1284"/>
      <c r="C386" s="1274"/>
      <c r="D386" s="222" t="str">
        <f>Parâmetros!C20</f>
        <v>Crescimento Médio da Arrecadação</v>
      </c>
    </row>
    <row r="387" spans="1:4" ht="30" customHeight="1" x14ac:dyDescent="0.2">
      <c r="A387" s="546" t="str">
        <f>'ORCAMENTO RECEITA ANALITICO'!G221</f>
        <v>Outras Transferencias Do Estado</v>
      </c>
      <c r="B387" s="587" t="str">
        <f>Parâmetros!C161</f>
        <v xml:space="preserve">Estimativa de Transferencias do Estado - Outras Transferencias  </v>
      </c>
      <c r="C387" s="552" t="s">
        <v>1943</v>
      </c>
      <c r="D387" s="234" t="str">
        <f>Parâmetros!C$161</f>
        <v xml:space="preserve">Estimativa de Transferencias do Estado - Outras Transferencias  </v>
      </c>
    </row>
    <row r="388" spans="1:4" ht="30" customHeight="1" x14ac:dyDescent="0.2">
      <c r="A388" s="547" t="str">
        <f>'ORCAMENTO RECEITA ANALITICO'!G224</f>
        <v>Transferencias De Recursos Do Fundeb - Fpm</v>
      </c>
      <c r="B388" s="588" t="str">
        <f>Parâmetros!C162</f>
        <v>Estimativa de Quota FUNDEB - Fonte FPM</v>
      </c>
      <c r="C388" s="552" t="s">
        <v>420</v>
      </c>
      <c r="D388" s="234" t="str">
        <f>Parâmetros!C$162</f>
        <v>Estimativa de Quota FUNDEB - Fonte FPM</v>
      </c>
    </row>
    <row r="389" spans="1:4" ht="30" customHeight="1" x14ac:dyDescent="0.2">
      <c r="A389" s="547" t="str">
        <f>'ORCAMENTO RECEITA ANALITICO'!G225</f>
        <v>Transferencias De Recursos Do Fundeb - Itr</v>
      </c>
      <c r="B389" s="588" t="str">
        <f>Parâmetros!C163</f>
        <v>Estimativa de Quota FUNDEB - Fonte ITR</v>
      </c>
      <c r="C389" s="552" t="s">
        <v>420</v>
      </c>
      <c r="D389" s="234" t="str">
        <f>Parâmetros!C$163</f>
        <v>Estimativa de Quota FUNDEB - Fonte ITR</v>
      </c>
    </row>
    <row r="390" spans="1:4" ht="30" customHeight="1" x14ac:dyDescent="0.2">
      <c r="A390" s="547" t="str">
        <f>'ORCAMENTO RECEITA ANALITICO'!G226</f>
        <v>Transferencias De Recursos Do Fundeb - Lei 87/96</v>
      </c>
      <c r="B390" s="588" t="str">
        <f>Parâmetros!C164</f>
        <v>Estimativa de Quota FUNDEB - Fonte LEI 87/96</v>
      </c>
      <c r="C390" s="552" t="s">
        <v>420</v>
      </c>
      <c r="D390" s="234" t="str">
        <f>Parâmetros!C$164</f>
        <v>Estimativa de Quota FUNDEB - Fonte LEI 87/96</v>
      </c>
    </row>
    <row r="391" spans="1:4" ht="30" customHeight="1" x14ac:dyDescent="0.2">
      <c r="A391" s="547" t="str">
        <f>'ORCAMENTO RECEITA ANALITICO'!G227</f>
        <v>Transferencias De Recursos Do Fundeb - Icms</v>
      </c>
      <c r="B391" s="588" t="str">
        <f>Parâmetros!C165</f>
        <v>Estimativa de Quota FUNDEB - Fonte ICMS</v>
      </c>
      <c r="C391" s="552" t="s">
        <v>420</v>
      </c>
      <c r="D391" s="234" t="str">
        <f>Parâmetros!C$165</f>
        <v>Estimativa de Quota FUNDEB - Fonte ICMS</v>
      </c>
    </row>
    <row r="392" spans="1:4" ht="30" customHeight="1" x14ac:dyDescent="0.2">
      <c r="A392" s="547" t="str">
        <f>'ORCAMENTO RECEITA ANALITICO'!G228</f>
        <v>Transferencias De Recursos Do Fundeb - Ipva</v>
      </c>
      <c r="B392" s="588" t="str">
        <f>Parâmetros!C166</f>
        <v>Estimativa de Quota FUNDEB - Fonte IPVA</v>
      </c>
      <c r="C392" s="552" t="s">
        <v>420</v>
      </c>
      <c r="D392" s="234" t="str">
        <f>Parâmetros!C$166</f>
        <v>Estimativa de Quota FUNDEB - Fonte IPVA</v>
      </c>
    </row>
    <row r="393" spans="1:4" ht="30" customHeight="1" x14ac:dyDescent="0.2">
      <c r="A393" s="547" t="str">
        <f>'ORCAMENTO RECEITA ANALITICO'!G229</f>
        <v>Transferencias De Recursos Do Fundeb - Ipi/exp</v>
      </c>
      <c r="B393" s="588" t="str">
        <f>Parâmetros!C167</f>
        <v>Estimativa de Quota FUNDEB - Fonte IPI/EXP.</v>
      </c>
      <c r="C393" s="552" t="s">
        <v>420</v>
      </c>
      <c r="D393" s="234" t="str">
        <f>Parâmetros!C$167</f>
        <v>Estimativa de Quota FUNDEB - Fonte IPI/EXP.</v>
      </c>
    </row>
    <row r="394" spans="1:4" ht="30" customHeight="1" x14ac:dyDescent="0.2">
      <c r="A394" s="547" t="str">
        <f>'ORCAMENTO RECEITA ANALITICO'!G230</f>
        <v>Transferencias De Recursos Do Fundeb - Itcmd</v>
      </c>
      <c r="B394" s="588" t="str">
        <f>Parâmetros!C168</f>
        <v>Estimativa de Quota FUNDEB - Fonte ITCMD</v>
      </c>
      <c r="C394" s="552" t="s">
        <v>420</v>
      </c>
      <c r="D394" s="234" t="str">
        <f>Parâmetros!C$168</f>
        <v>Estimativa de Quota FUNDEB - Fonte ITCMD</v>
      </c>
    </row>
    <row r="395" spans="1:4" ht="30" customHeight="1" x14ac:dyDescent="0.2">
      <c r="A395" s="547" t="str">
        <f>'ORCAMENTO RECEITA ANALITICO'!G234</f>
        <v>Transferencias De Convenios- FNAS PTMC</v>
      </c>
      <c r="B395" s="553" t="str">
        <f>Parâmetros!C174</f>
        <v>Estimativa de Transferencias de Convenios - PTMC</v>
      </c>
      <c r="C395" s="549" t="s">
        <v>1943</v>
      </c>
      <c r="D395" s="222" t="str">
        <f>Parâmetros!C$174</f>
        <v>Estimativa de Transferencias de Convenios - PTMC</v>
      </c>
    </row>
    <row r="396" spans="1:4" ht="30" customHeight="1" x14ac:dyDescent="0.2">
      <c r="A396" s="547" t="str">
        <f>'ORCAMENTO RECEITA ANALITICO'!G235</f>
        <v>Transferencias De Convenios- FNAS IGDBF</v>
      </c>
      <c r="B396" s="553" t="str">
        <f>Parâmetros!C175</f>
        <v>Estimativa de Transferencias de Convenios - IGDBF</v>
      </c>
      <c r="C396" s="549" t="s">
        <v>1943</v>
      </c>
      <c r="D396" s="222" t="str">
        <f>Parâmetros!C$175</f>
        <v>Estimativa de Transferencias de Convenios - IGDBF</v>
      </c>
    </row>
    <row r="397" spans="1:4" ht="30" customHeight="1" x14ac:dyDescent="0.2">
      <c r="A397" s="547" t="e">
        <f>'ORCAMENTO RECEITA ANALITICO'!#REF!</f>
        <v>#REF!</v>
      </c>
      <c r="B397" s="553" t="str">
        <f>Parâmetros!C176</f>
        <v>Estimativa de Transferencias de Convenios - PBV-II</v>
      </c>
      <c r="C397" s="549" t="s">
        <v>1943</v>
      </c>
      <c r="D397" s="222" t="str">
        <f>Parâmetros!C$176</f>
        <v>Estimativa de Transferencias de Convenios - PBV-II</v>
      </c>
    </row>
    <row r="398" spans="1:4" ht="30" customHeight="1" x14ac:dyDescent="0.2">
      <c r="A398" s="547" t="str">
        <f>'ORCAMENTO RECEITA ANALITICO'!G236</f>
        <v>Transferencias De Convenios- Fnas PAIF</v>
      </c>
      <c r="B398" s="553" t="str">
        <f>Parâmetros!C177</f>
        <v>Estimativa de Transferencias de Convenios - PAIF</v>
      </c>
      <c r="C398" s="545" t="s">
        <v>420</v>
      </c>
      <c r="D398" s="222" t="str">
        <f>Parâmetros!C$180</f>
        <v>Estimativa de Parcelas mensais de Transferencias de Convenios - PAIF</v>
      </c>
    </row>
    <row r="399" spans="1:4" ht="30" customHeight="1" x14ac:dyDescent="0.2">
      <c r="A399" s="547" t="str">
        <f>'ORCAMENTO RECEITA ANALITICO'!G237</f>
        <v>Transferencias De Convenios- Fnas IGD-SUAS</v>
      </c>
      <c r="B399" s="553" t="str">
        <f>Parâmetros!C178</f>
        <v>Estimativa de Transferencias de FNAS IGD-SUAS</v>
      </c>
      <c r="C399" s="549" t="s">
        <v>1943</v>
      </c>
      <c r="D399" s="222" t="str">
        <f>Parâmetros!C$178</f>
        <v>Estimativa de Transferencias de FNAS IGD-SUAS</v>
      </c>
    </row>
    <row r="400" spans="1:4" ht="30" customHeight="1" x14ac:dyDescent="0.2">
      <c r="A400" s="547" t="str">
        <f>'ORCAMENTO RECEITA ANALITICO'!G238</f>
        <v>Transferencias De Convenios- Fnas SCFV</v>
      </c>
      <c r="B400" s="553" t="str">
        <f>Parâmetros!C179</f>
        <v>Estimativa de Transferencias de FNAS SCFV</v>
      </c>
      <c r="C400" s="549" t="s">
        <v>1943</v>
      </c>
      <c r="D400" s="222" t="str">
        <f>Parâmetros!C$179</f>
        <v>Estimativa de Transferencias de FNAS SCFV</v>
      </c>
    </row>
    <row r="401" spans="1:4" ht="30" customHeight="1" x14ac:dyDescent="0.2">
      <c r="A401" s="547" t="str">
        <f>'ORCAMENTO RECEITA ANALITICO'!G239</f>
        <v>Transferencias De Convenios- Fnas ACESSUAS</v>
      </c>
      <c r="B401" s="553" t="str">
        <f>A401</f>
        <v>Transferencias De Convenios- Fnas ACESSUAS</v>
      </c>
      <c r="C401" s="549" t="s">
        <v>1943</v>
      </c>
      <c r="D401" s="222" t="str">
        <f>Parâmetros!C$181</f>
        <v>Estimativa de Transferencias de FNAS ACESSUAS</v>
      </c>
    </row>
    <row r="402" spans="1:4" ht="30" customHeight="1" x14ac:dyDescent="0.2">
      <c r="A402" s="586" t="str">
        <f>'ORCAMENTO RECEITA ANALITICO'!G242</f>
        <v>Transferencias De Convenios P/ O Transporte Escolar</v>
      </c>
      <c r="B402" s="589" t="str">
        <f>Parâmetros!C182</f>
        <v>Estimativa de Transferencias de Convenios do Estado - Transporte Escolar</v>
      </c>
      <c r="C402" s="585" t="s">
        <v>420</v>
      </c>
      <c r="D402" s="234" t="str">
        <f>Parâmetros!C$5</f>
        <v>MEDIA DA Variação do IPCA  E IGP-DI para 2016</v>
      </c>
    </row>
    <row r="403" spans="1:4" ht="30" customHeight="1" x14ac:dyDescent="0.2">
      <c r="A403" s="586" t="str">
        <f>'ORCAMENTO RECEITA ANALITICO'!G244</f>
        <v>Revisao De Beneficios De Prestacao Continuada - Bpc</v>
      </c>
      <c r="B403" s="589" t="str">
        <f>Parâmetros!C183</f>
        <v>Estimativa de Transferencias de Convenios do Estado -  BPC</v>
      </c>
      <c r="C403" s="585" t="s">
        <v>420</v>
      </c>
      <c r="D403" s="234" t="str">
        <f>Parâmetros!C$5</f>
        <v>MEDIA DA Variação do IPCA  E IGP-DI para 2016</v>
      </c>
    </row>
    <row r="404" spans="1:4" ht="30" customHeight="1" x14ac:dyDescent="0.2">
      <c r="A404" s="586" t="str">
        <f>'ORCAMENTO RECEITA ANALITICO'!G245</f>
        <v>Programa Oasf - Orientacao E Apoio Socio-familiar - FEAS</v>
      </c>
      <c r="B404" s="589" t="str">
        <f>Parâmetros!C184</f>
        <v>Estimativa de Transferencias de Convenios do Estado -  FEAS</v>
      </c>
      <c r="C404" s="585" t="s">
        <v>420</v>
      </c>
      <c r="D404" s="234" t="str">
        <f>Parâmetros!C$5</f>
        <v>MEDIA DA Variação do IPCA  E IGP-DI para 2016</v>
      </c>
    </row>
    <row r="405" spans="1:4" ht="30" customHeight="1" x14ac:dyDescent="0.2">
      <c r="A405" s="547" t="str">
        <f>'ORCAMENTO RECEITA ANALITICO'!G246</f>
        <v>Cons. Pop. 2013 P/Capacitacao e Qualificacao Profissional</v>
      </c>
      <c r="B405" s="588" t="str">
        <f>Parâmetros!C185</f>
        <v>Estimativa de Transferencias de Convenios do Estado -  consulta Popular 2013 - Qualificação Profissional</v>
      </c>
      <c r="C405" s="552" t="s">
        <v>1943</v>
      </c>
      <c r="D405" s="234" t="str">
        <f>Parâmetros!C$185</f>
        <v>Estimativa de Transferencias de Convenios do Estado -  consulta Popular 2013 - Qualificação Profissional</v>
      </c>
    </row>
    <row r="406" spans="1:4" ht="30" customHeight="1" x14ac:dyDescent="0.2">
      <c r="A406" s="547" t="str">
        <f>'ORCAMENTO RECEITA ANALITICO'!G247</f>
        <v>Cons. Pop. 2013 P/Apoio a eventos Culturais Chuvisca</v>
      </c>
      <c r="B406" s="588" t="str">
        <f>Parâmetros!C186</f>
        <v>Estimativa de Transferencias de Convenios do Estado -  consulta Popular 2015 - Qualificação Profissional</v>
      </c>
      <c r="C406" s="552" t="s">
        <v>1943</v>
      </c>
      <c r="D406" s="234" t="str">
        <f>Parâmetros!C$189</f>
        <v>Estimativa de Transf. de Convenios do Estado - Consulta Popular 2013 - Apoio a eventos Culturais Chuvisca</v>
      </c>
    </row>
    <row r="407" spans="1:4" ht="30" customHeight="1" x14ac:dyDescent="0.2">
      <c r="A407" s="547" t="str">
        <f>'ORCAMENTO RECEITA ANALITICO'!G248</f>
        <v xml:space="preserve">Cons. Pop. 2014 P/Cursos Centro Ref. Alimentar e Nutric. Sustentavel </v>
      </c>
      <c r="B407" s="588" t="str">
        <f>Parâmetros!C187</f>
        <v xml:space="preserve">Estimativa de Transf. de Convenios do Estado - Cons. Pop. 2014 P/Cursos Centro Ref. Alimentar e Nutric. Sustentavel </v>
      </c>
      <c r="C407" s="552" t="s">
        <v>1943</v>
      </c>
      <c r="D407" s="234" t="str">
        <f>Parâmetros!C$187</f>
        <v xml:space="preserve">Estimativa de Transf. de Convenios do Estado - Cons. Pop. 2014 P/Cursos Centro Ref. Alimentar e Nutric. Sustentavel </v>
      </c>
    </row>
    <row r="408" spans="1:4" ht="30" customHeight="1" x14ac:dyDescent="0.2">
      <c r="A408" s="547" t="str">
        <f>'ORCAMENTO RECEITA ANALITICO'!G249</f>
        <v>Cons. Pop. 2015 P/projeto de melhoria socio ambiental e desv. Sustentavel</v>
      </c>
      <c r="B408" s="588" t="str">
        <f>Parâmetros!C190</f>
        <v>Estimativa de Transf. de Convenios do Estado - Consulta Popular 2015 - Proj. Soc. Ambiental e Desenv. Sustent.</v>
      </c>
      <c r="C408" s="552" t="s">
        <v>1943</v>
      </c>
      <c r="D408" s="234" t="str">
        <f>Parâmetros!C$190</f>
        <v>Estimativa de Transf. de Convenios do Estado - Consulta Popular 2015 - Proj. Soc. Ambiental e Desenv. Sustent.</v>
      </c>
    </row>
    <row r="409" spans="1:4" ht="30" customHeight="1" x14ac:dyDescent="0.2">
      <c r="A409" s="547" t="str">
        <f>'ORCAMENTO RECEITA ANALITICO'!G250</f>
        <v>Cons. Pop. 2015 P/Capacitacao e Qualificacao Profissional</v>
      </c>
      <c r="B409" s="588" t="str">
        <f>Parâmetros!C189</f>
        <v>Estimativa de Transf. de Convenios do Estado - Consulta Popular 2013 - Apoio a eventos Culturais Chuvisca</v>
      </c>
      <c r="C409" s="552" t="s">
        <v>1943</v>
      </c>
      <c r="D409" s="234" t="str">
        <f>Parâmetros!C$186</f>
        <v>Estimativa de Transferencias de Convenios do Estado -  consulta Popular 2015 - Qualificação Profissional</v>
      </c>
    </row>
    <row r="410" spans="1:4" ht="30" customHeight="1" x14ac:dyDescent="0.2">
      <c r="A410" s="547" t="str">
        <f>'ORCAMENTO RECEITA ANALITICO'!G251</f>
        <v>Cons. Pop. 2015 P/Desenv. do Esporte e Pratica Esportiva</v>
      </c>
      <c r="B410" s="588" t="str">
        <f>Parâmetros!C188</f>
        <v>Estimativa de Transf. de Convenios do Estado - Cons. Pop. 2014 P/Desenv. Esporte e do Lazer p/Pratica Esportiva</v>
      </c>
      <c r="C410" s="552" t="s">
        <v>1943</v>
      </c>
      <c r="D410" s="234" t="str">
        <f>Parâmetros!C$188</f>
        <v>Estimativa de Transf. de Convenios do Estado - Cons. Pop. 2014 P/Desenv. Esporte e do Lazer p/Pratica Esportiva</v>
      </c>
    </row>
    <row r="411" spans="1:4" s="35" customFormat="1" ht="30" customHeight="1" x14ac:dyDescent="0.25">
      <c r="A411" s="1271" t="str">
        <f>'ORCAMENTO RECEITA ANALITICO'!G255</f>
        <v>Multas E Juros De Mora Do Imposto Sobre A Propriedade Predial E Territ</v>
      </c>
      <c r="B411" s="1293" t="str">
        <f>Parâmetros!C191</f>
        <v>Estimativa de Receitas de Multas E Juros De Mora Do Imposto Sobre A Propriedade Predial E Territorial Urbana - Iptu</v>
      </c>
      <c r="C411" s="1270" t="s">
        <v>420</v>
      </c>
      <c r="D411" s="234" t="str">
        <f>Parâmetros!C$5</f>
        <v>MEDIA DA Variação do IPCA  E IGP-DI para 2016</v>
      </c>
    </row>
    <row r="412" spans="1:4" s="35" customFormat="1" ht="30" customHeight="1" x14ac:dyDescent="0.25">
      <c r="A412" s="1271"/>
      <c r="B412" s="1293"/>
      <c r="C412" s="1270"/>
      <c r="D412" s="234" t="str">
        <f>Parâmetros!C20</f>
        <v>Crescimento Médio da Arrecadação</v>
      </c>
    </row>
    <row r="413" spans="1:4" s="117" customFormat="1" ht="30" customHeight="1" x14ac:dyDescent="0.2">
      <c r="A413" s="1291" t="str">
        <f>'ORCAMENTO RECEITA ANALITICO'!G256</f>
        <v>Multas E Juros De Mora Do Iptu - Proprio</v>
      </c>
      <c r="B413" s="1282" t="str">
        <f>B411</f>
        <v>Estimativa de Receitas de Multas E Juros De Mora Do Imposto Sobre A Propriedade Predial E Territorial Urbana - Iptu</v>
      </c>
      <c r="C413" s="1281" t="s">
        <v>419</v>
      </c>
      <c r="D413" s="225" t="str">
        <f>Parâmetros!C$11</f>
        <v>Estimativa de Percentual de para Aplicação de Recursos Livres</v>
      </c>
    </row>
    <row r="414" spans="1:4" s="117" customFormat="1" ht="30" customHeight="1" x14ac:dyDescent="0.2">
      <c r="A414" s="1294"/>
      <c r="B414" s="1283"/>
      <c r="C414" s="1281"/>
      <c r="D414" s="225" t="str">
        <f>Parâmetros!C$13</f>
        <v>Estimativa de Repasse para  o MDE S/(Impostos Municipais)</v>
      </c>
    </row>
    <row r="415" spans="1:4" s="117" customFormat="1" ht="30" customHeight="1" x14ac:dyDescent="0.2">
      <c r="A415" s="1294"/>
      <c r="B415" s="1283"/>
      <c r="C415" s="1281"/>
      <c r="D415" s="225" t="str">
        <f>Parâmetros!C$14</f>
        <v>Estimativa de Repasse para  o MDE S/(Impostos Municipais) Complemento</v>
      </c>
    </row>
    <row r="416" spans="1:4" s="117" customFormat="1" ht="30" customHeight="1" x14ac:dyDescent="0.2">
      <c r="A416" s="1294"/>
      <c r="B416" s="1283"/>
      <c r="C416" s="1281"/>
      <c r="D416" s="225" t="str">
        <f>Parâmetros!C$18</f>
        <v>Estimativa de Repasse para  o ASPS</v>
      </c>
    </row>
    <row r="417" spans="1:4" s="117" customFormat="1" ht="30" customHeight="1" x14ac:dyDescent="0.2">
      <c r="A417" s="1292"/>
      <c r="B417" s="1283"/>
      <c r="C417" s="1281"/>
      <c r="D417" s="225" t="str">
        <f>Parâmetros!C$19</f>
        <v>Estimativa de Repasse para  o ASPS Complemento</v>
      </c>
    </row>
    <row r="418" spans="1:4" s="117" customFormat="1" ht="30" customHeight="1" x14ac:dyDescent="0.2">
      <c r="A418" s="1272" t="str">
        <f>'ORCAMENTO RECEITA ANALITICO'!G257</f>
        <v>Multas E Juros De Mora Do Iptu - Mde</v>
      </c>
      <c r="B418" s="1282" t="str">
        <f>B411</f>
        <v>Estimativa de Receitas de Multas E Juros De Mora Do Imposto Sobre A Propriedade Predial E Territorial Urbana - Iptu</v>
      </c>
      <c r="C418" s="1281" t="s">
        <v>419</v>
      </c>
      <c r="D418" s="225" t="str">
        <f>Parâmetros!C$11</f>
        <v>Estimativa de Percentual de para Aplicação de Recursos Livres</v>
      </c>
    </row>
    <row r="419" spans="1:4" s="117" customFormat="1" ht="30" customHeight="1" x14ac:dyDescent="0.2">
      <c r="A419" s="1272"/>
      <c r="B419" s="1283"/>
      <c r="C419" s="1281"/>
      <c r="D419" s="225" t="str">
        <f>Parâmetros!C$13</f>
        <v>Estimativa de Repasse para  o MDE S/(Impostos Municipais)</v>
      </c>
    </row>
    <row r="420" spans="1:4" s="117" customFormat="1" ht="30" customHeight="1" x14ac:dyDescent="0.2">
      <c r="A420" s="1272"/>
      <c r="B420" s="1283"/>
      <c r="C420" s="1281"/>
      <c r="D420" s="225" t="str">
        <f>Parâmetros!C$14</f>
        <v>Estimativa de Repasse para  o MDE S/(Impostos Municipais) Complemento</v>
      </c>
    </row>
    <row r="421" spans="1:4" s="117" customFormat="1" ht="30" customHeight="1" x14ac:dyDescent="0.2">
      <c r="A421" s="1272"/>
      <c r="B421" s="1283"/>
      <c r="C421" s="1281"/>
      <c r="D421" s="225" t="str">
        <f>Parâmetros!C$18</f>
        <v>Estimativa de Repasse para  o ASPS</v>
      </c>
    </row>
    <row r="422" spans="1:4" s="117" customFormat="1" ht="30" customHeight="1" x14ac:dyDescent="0.2">
      <c r="A422" s="1272"/>
      <c r="B422" s="1283"/>
      <c r="C422" s="1281"/>
      <c r="D422" s="225" t="str">
        <f>Parâmetros!C$19</f>
        <v>Estimativa de Repasse para  o ASPS Complemento</v>
      </c>
    </row>
    <row r="423" spans="1:4" s="117" customFormat="1" ht="30" customHeight="1" x14ac:dyDescent="0.2">
      <c r="A423" s="1272" t="str">
        <f>'ORCAMENTO RECEITA ANALITICO'!G258</f>
        <v>Multas E Juros De Mora Do Iptu - Asps</v>
      </c>
      <c r="B423" s="1282" t="str">
        <f>B411</f>
        <v>Estimativa de Receitas de Multas E Juros De Mora Do Imposto Sobre A Propriedade Predial E Territorial Urbana - Iptu</v>
      </c>
      <c r="C423" s="1281" t="s">
        <v>419</v>
      </c>
      <c r="D423" s="225" t="str">
        <f>Parâmetros!C$11</f>
        <v>Estimativa de Percentual de para Aplicação de Recursos Livres</v>
      </c>
    </row>
    <row r="424" spans="1:4" s="117" customFormat="1" ht="30" customHeight="1" x14ac:dyDescent="0.2">
      <c r="A424" s="1272"/>
      <c r="B424" s="1283"/>
      <c r="C424" s="1281"/>
      <c r="D424" s="225" t="str">
        <f>Parâmetros!C$13</f>
        <v>Estimativa de Repasse para  o MDE S/(Impostos Municipais)</v>
      </c>
    </row>
    <row r="425" spans="1:4" s="117" customFormat="1" ht="30" customHeight="1" x14ac:dyDescent="0.2">
      <c r="A425" s="1272"/>
      <c r="B425" s="1283"/>
      <c r="C425" s="1281"/>
      <c r="D425" s="225" t="str">
        <f>Parâmetros!C$14</f>
        <v>Estimativa de Repasse para  o MDE S/(Impostos Municipais) Complemento</v>
      </c>
    </row>
    <row r="426" spans="1:4" s="117" customFormat="1" ht="30" customHeight="1" x14ac:dyDescent="0.2">
      <c r="A426" s="1272"/>
      <c r="B426" s="1283"/>
      <c r="C426" s="1281"/>
      <c r="D426" s="225" t="str">
        <f>Parâmetros!C$18</f>
        <v>Estimativa de Repasse para  o ASPS</v>
      </c>
    </row>
    <row r="427" spans="1:4" s="117" customFormat="1" ht="30" customHeight="1" x14ac:dyDescent="0.2">
      <c r="A427" s="1272"/>
      <c r="B427" s="1283"/>
      <c r="C427" s="1281"/>
      <c r="D427" s="225" t="str">
        <f>Parâmetros!C$19</f>
        <v>Estimativa de Repasse para  o ASPS Complemento</v>
      </c>
    </row>
    <row r="428" spans="1:4" s="35" customFormat="1" ht="30" customHeight="1" x14ac:dyDescent="0.25">
      <c r="A428" s="1271" t="str">
        <f>'ORCAMENTO RECEITA ANALITICO'!G259</f>
        <v>Multas E Juros De Mora Do Imposto Sobre Servicos De Qualquer Natureza</v>
      </c>
      <c r="B428" s="1269" t="str">
        <f>Parâmetros!C192</f>
        <v>Estimativa de Receitas de Multas E Juros De Mora Do Imposto Sobre Servicos De Qualquer Natureza - Iss</v>
      </c>
      <c r="C428" s="1270" t="s">
        <v>420</v>
      </c>
      <c r="D428" s="234" t="str">
        <f>Parâmetros!C$5</f>
        <v>MEDIA DA Variação do IPCA  E IGP-DI para 2016</v>
      </c>
    </row>
    <row r="429" spans="1:4" s="35" customFormat="1" ht="30" customHeight="1" x14ac:dyDescent="0.25">
      <c r="A429" s="1271"/>
      <c r="B429" s="1269"/>
      <c r="C429" s="1270"/>
      <c r="D429" s="234" t="str">
        <f>Parâmetros!C20</f>
        <v>Crescimento Médio da Arrecadação</v>
      </c>
    </row>
    <row r="430" spans="1:4" ht="30" customHeight="1" x14ac:dyDescent="0.2">
      <c r="A430" s="547" t="str">
        <f>'ORCAMENTO RECEITA ANALITICO'!G260</f>
        <v>Multas E Juros De Mora Do Iss - Proprio</v>
      </c>
      <c r="B430" s="548" t="str">
        <f>A428</f>
        <v>Multas E Juros De Mora Do Imposto Sobre Servicos De Qualquer Natureza</v>
      </c>
      <c r="C430" s="545" t="s">
        <v>419</v>
      </c>
      <c r="D430" s="222" t="str">
        <f>Parâmetros!C$11</f>
        <v>Estimativa de Percentual de para Aplicação de Recursos Livres</v>
      </c>
    </row>
    <row r="431" spans="1:4" ht="30" customHeight="1" x14ac:dyDescent="0.2">
      <c r="A431" s="1271" t="str">
        <f>'ORCAMENTO RECEITA ANALITICO'!G261</f>
        <v>Multas E Juros De Mora Do Iss - Mde</v>
      </c>
      <c r="B431" s="1273" t="str">
        <f>A428</f>
        <v>Multas E Juros De Mora Do Imposto Sobre Servicos De Qualquer Natureza</v>
      </c>
      <c r="C431" s="1274" t="s">
        <v>419</v>
      </c>
      <c r="D431" s="222" t="str">
        <f>Parâmetros!C$13</f>
        <v>Estimativa de Repasse para  o MDE S/(Impostos Municipais)</v>
      </c>
    </row>
    <row r="432" spans="1:4" ht="30" customHeight="1" x14ac:dyDescent="0.2">
      <c r="A432" s="1271"/>
      <c r="B432" s="1273"/>
      <c r="C432" s="1274"/>
      <c r="D432" s="222" t="str">
        <f>Parâmetros!C$14</f>
        <v>Estimativa de Repasse para  o MDE S/(Impostos Municipais) Complemento</v>
      </c>
    </row>
    <row r="433" spans="1:4" ht="30" customHeight="1" x14ac:dyDescent="0.2">
      <c r="A433" s="1271" t="str">
        <f>'ORCAMENTO RECEITA ANALITICO'!G262</f>
        <v>Multas E Juros De Mora Do Iss - Asps</v>
      </c>
      <c r="B433" s="1273" t="str">
        <f>A428</f>
        <v>Multas E Juros De Mora Do Imposto Sobre Servicos De Qualquer Natureza</v>
      </c>
      <c r="C433" s="1274" t="s">
        <v>419</v>
      </c>
      <c r="D433" s="222" t="str">
        <f>Parâmetros!C$18</f>
        <v>Estimativa de Repasse para  o ASPS</v>
      </c>
    </row>
    <row r="434" spans="1:4" ht="30" customHeight="1" x14ac:dyDescent="0.2">
      <c r="A434" s="1271"/>
      <c r="B434" s="1273"/>
      <c r="C434" s="1274"/>
      <c r="D434" s="222" t="str">
        <f>Parâmetros!C$19</f>
        <v>Estimativa de Repasse para  o ASPS Complemento</v>
      </c>
    </row>
    <row r="435" spans="1:4" s="35" customFormat="1" ht="30" customHeight="1" x14ac:dyDescent="0.25">
      <c r="A435" s="1271" t="str">
        <f>'ORCAMENTO RECEITA ANALITICO'!G264</f>
        <v>Multas E Juros De Mora Das Taxas - Poder de Policia</v>
      </c>
      <c r="B435" s="1269" t="str">
        <f>Parâmetros!C194</f>
        <v>Estimativa de Receitas de Multas E Juros De Mora De Outros Tributos</v>
      </c>
      <c r="C435" s="1270" t="s">
        <v>420</v>
      </c>
      <c r="D435" s="234" t="str">
        <f>Parâmetros!C$5</f>
        <v>MEDIA DA Variação do IPCA  E IGP-DI para 2016</v>
      </c>
    </row>
    <row r="436" spans="1:4" s="35" customFormat="1" ht="30" customHeight="1" x14ac:dyDescent="0.25">
      <c r="A436" s="1271"/>
      <c r="B436" s="1269"/>
      <c r="C436" s="1270"/>
      <c r="D436" s="234" t="str">
        <f>Parâmetros!C20</f>
        <v>Crescimento Médio da Arrecadação</v>
      </c>
    </row>
    <row r="437" spans="1:4" s="35" customFormat="1" ht="30" customHeight="1" x14ac:dyDescent="0.25">
      <c r="A437" s="1271" t="str">
        <f>'ORCAMENTO RECEITA ANALITICO'!G267</f>
        <v>Multas E Juros De Mora Da Divida Ativa Do Imposto Sobre A Propriedade</v>
      </c>
      <c r="B437" s="1269" t="str">
        <f>Parâmetros!C195</f>
        <v>Estimativa de Receitas de Multas E Juros De Mora Da Divida Ativa Do Imposto Sobre A Propriedade Predial E Territorial Urbana - Iptu Cobrança Administrativa</v>
      </c>
      <c r="C437" s="1270" t="s">
        <v>420</v>
      </c>
      <c r="D437" s="234" t="str">
        <f>Parâmetros!C$5</f>
        <v>MEDIA DA Variação do IPCA  E IGP-DI para 2016</v>
      </c>
    </row>
    <row r="438" spans="1:4" s="35" customFormat="1" ht="30" customHeight="1" x14ac:dyDescent="0.25">
      <c r="A438" s="1271"/>
      <c r="B438" s="1269"/>
      <c r="C438" s="1270"/>
      <c r="D438" s="234" t="str">
        <f>Parâmetros!C20</f>
        <v>Crescimento Médio da Arrecadação</v>
      </c>
    </row>
    <row r="439" spans="1:4" ht="39.75" customHeight="1" x14ac:dyDescent="0.2">
      <c r="A439" s="223" t="str">
        <f>'ORCAMENTO RECEITA ANALITICO'!G268</f>
        <v>Multas E Juros De Mora Da Divida Ativa Do Iptu Cobrança Administrativa - Proprio</v>
      </c>
      <c r="B439" s="224" t="str">
        <f>Parâmetros!C197</f>
        <v>Estimativa de Receitas de Multas E Juros De Mora Da Divida Ativa Do Imposto Sobre Servicos De Qualquer Natureza - Iss Cobrança Administrativa</v>
      </c>
      <c r="C439" s="545" t="s">
        <v>419</v>
      </c>
      <c r="D439" s="222" t="str">
        <f>Parâmetros!C$11</f>
        <v>Estimativa de Percentual de para Aplicação de Recursos Livres</v>
      </c>
    </row>
    <row r="440" spans="1:4" ht="30" customHeight="1" x14ac:dyDescent="0.2">
      <c r="A440" s="1271" t="str">
        <f>'ORCAMENTO RECEITA ANALITICO'!G269</f>
        <v>Multas E Juros De Mora Da Divida Ativa Do Iptu Cobrança Administrativa - Mde</v>
      </c>
      <c r="B440" s="1273" t="str">
        <f>Parâmetros!C195</f>
        <v>Estimativa de Receitas de Multas E Juros De Mora Da Divida Ativa Do Imposto Sobre A Propriedade Predial E Territorial Urbana - Iptu Cobrança Administrativa</v>
      </c>
      <c r="C440" s="1274" t="s">
        <v>419</v>
      </c>
      <c r="D440" s="222" t="str">
        <f>Parâmetros!C$13</f>
        <v>Estimativa de Repasse para  o MDE S/(Impostos Municipais)</v>
      </c>
    </row>
    <row r="441" spans="1:4" ht="30" customHeight="1" x14ac:dyDescent="0.2">
      <c r="A441" s="1271"/>
      <c r="B441" s="1273"/>
      <c r="C441" s="1274"/>
      <c r="D441" s="222" t="str">
        <f>Parâmetros!C$14</f>
        <v>Estimativa de Repasse para  o MDE S/(Impostos Municipais) Complemento</v>
      </c>
    </row>
    <row r="442" spans="1:4" ht="30" customHeight="1" x14ac:dyDescent="0.2">
      <c r="A442" s="1271" t="str">
        <f>'ORCAMENTO RECEITA ANALITICO'!G270</f>
        <v>Multas E Juros De Mora Da Divida Ativa Do Iptu Cobrança Administrativa - Asps</v>
      </c>
      <c r="B442" s="1273" t="str">
        <f>Parâmetros!C195</f>
        <v>Estimativa de Receitas de Multas E Juros De Mora Da Divida Ativa Do Imposto Sobre A Propriedade Predial E Territorial Urbana - Iptu Cobrança Administrativa</v>
      </c>
      <c r="C442" s="1274" t="s">
        <v>419</v>
      </c>
      <c r="D442" s="222" t="str">
        <f>Parâmetros!C$18</f>
        <v>Estimativa de Repasse para  o ASPS</v>
      </c>
    </row>
    <row r="443" spans="1:4" ht="30" customHeight="1" x14ac:dyDescent="0.2">
      <c r="A443" s="1271"/>
      <c r="B443" s="1273"/>
      <c r="C443" s="1274"/>
      <c r="D443" s="222" t="str">
        <f>Parâmetros!C$19</f>
        <v>Estimativa de Repasse para  o ASPS Complemento</v>
      </c>
    </row>
    <row r="444" spans="1:4" ht="30" customHeight="1" x14ac:dyDescent="0.2">
      <c r="A444" s="1271" t="str">
        <f>'ORCAMENTO RECEITA ANALITICO'!G274</f>
        <v>Multas E Juros De Mora Da Divida Ativa Do Imposto Sobre Servicos De Qu</v>
      </c>
      <c r="B444" s="1269" t="str">
        <f>Parâmetros!C197</f>
        <v>Estimativa de Receitas de Multas E Juros De Mora Da Divida Ativa Do Imposto Sobre Servicos De Qualquer Natureza - Iss Cobrança Administrativa</v>
      </c>
      <c r="C444" s="1270" t="s">
        <v>420</v>
      </c>
      <c r="D444" s="234" t="str">
        <f>Parâmetros!C$5</f>
        <v>MEDIA DA Variação do IPCA  E IGP-DI para 2016</v>
      </c>
    </row>
    <row r="445" spans="1:4" ht="30" customHeight="1" x14ac:dyDescent="0.2">
      <c r="A445" s="1271"/>
      <c r="B445" s="1269"/>
      <c r="C445" s="1270"/>
      <c r="D445" s="234" t="str">
        <f>Parâmetros!C20</f>
        <v>Crescimento Médio da Arrecadação</v>
      </c>
    </row>
    <row r="446" spans="1:4" ht="30" customHeight="1" x14ac:dyDescent="0.2">
      <c r="A446" s="1271"/>
      <c r="B446" s="1269"/>
      <c r="C446" s="1270"/>
      <c r="D446" s="234" t="str">
        <f>Parâmetros!C$8</f>
        <v>Crescimento do PIB ( Variação Anual)  base informativo conjunto congresso nacional ldo uniao para 2016</v>
      </c>
    </row>
    <row r="447" spans="1:4" ht="30" customHeight="1" x14ac:dyDescent="0.2">
      <c r="A447" s="223" t="str">
        <f>'ORCAMENTO RECEITA ANALITICO'!G275</f>
        <v>Multas E Juros De Mora Da Divida Ativa Do Iss Cobrança Administrativa - Proprio</v>
      </c>
      <c r="B447" s="224" t="str">
        <f>Parâmetros!C197</f>
        <v>Estimativa de Receitas de Multas E Juros De Mora Da Divida Ativa Do Imposto Sobre Servicos De Qualquer Natureza - Iss Cobrança Administrativa</v>
      </c>
      <c r="C447" s="545" t="s">
        <v>419</v>
      </c>
      <c r="D447" s="222" t="str">
        <f>Parâmetros!C$11</f>
        <v>Estimativa de Percentual de para Aplicação de Recursos Livres</v>
      </c>
    </row>
    <row r="448" spans="1:4" ht="30" customHeight="1" x14ac:dyDescent="0.2">
      <c r="A448" s="1271" t="str">
        <f>'ORCAMENTO RECEITA ANALITICO'!G276</f>
        <v>Multas E Juros De Mora Da Divida Ativa Do Iss  Cobrança Administrativa - Mde</v>
      </c>
      <c r="B448" s="1273" t="str">
        <f>Parâmetros!C197</f>
        <v>Estimativa de Receitas de Multas E Juros De Mora Da Divida Ativa Do Imposto Sobre Servicos De Qualquer Natureza - Iss Cobrança Administrativa</v>
      </c>
      <c r="C448" s="1274" t="s">
        <v>419</v>
      </c>
      <c r="D448" s="222" t="str">
        <f>Parâmetros!C$13</f>
        <v>Estimativa de Repasse para  o MDE S/(Impostos Municipais)</v>
      </c>
    </row>
    <row r="449" spans="1:4" ht="30" customHeight="1" x14ac:dyDescent="0.2">
      <c r="A449" s="1271"/>
      <c r="B449" s="1273"/>
      <c r="C449" s="1274"/>
      <c r="D449" s="222" t="str">
        <f>Parâmetros!C$14</f>
        <v>Estimativa de Repasse para  o MDE S/(Impostos Municipais) Complemento</v>
      </c>
    </row>
    <row r="450" spans="1:4" ht="30" customHeight="1" x14ac:dyDescent="0.2">
      <c r="A450" s="1271" t="str">
        <f>'ORCAMENTO RECEITA ANALITICO'!G277</f>
        <v>Multas E Juros De Mora Da Divida Ativa Do Iss  Cobrança Administrativa - Asps</v>
      </c>
      <c r="B450" s="1273" t="str">
        <f>Parâmetros!C197</f>
        <v>Estimativa de Receitas de Multas E Juros De Mora Da Divida Ativa Do Imposto Sobre Servicos De Qualquer Natureza - Iss Cobrança Administrativa</v>
      </c>
      <c r="C450" s="1274" t="s">
        <v>419</v>
      </c>
      <c r="D450" s="222" t="str">
        <f>Parâmetros!C$18</f>
        <v>Estimativa de Repasse para  o ASPS</v>
      </c>
    </row>
    <row r="451" spans="1:4" ht="30" customHeight="1" x14ac:dyDescent="0.2">
      <c r="A451" s="1271"/>
      <c r="B451" s="1273"/>
      <c r="C451" s="1274"/>
      <c r="D451" s="222" t="str">
        <f>Parâmetros!C$19</f>
        <v>Estimativa de Repasse para  o ASPS Complemento</v>
      </c>
    </row>
    <row r="452" spans="1:4" ht="30" customHeight="1" x14ac:dyDescent="0.2">
      <c r="A452" s="1271" t="str">
        <f>'ORCAMENTO RECEITA ANALITICO'!G282</f>
        <v>Multas E Juros De Mora Da Divida Ativa Das Taxas poder policia Cobrança Administrativa</v>
      </c>
      <c r="B452" s="1273" t="str">
        <f>Parâmetros!C199</f>
        <v>Estimativa de Receitas de Multas E Juros De Mora Da Divida Ativa Das Taxas prest. Serviços Cobrança Admin.</v>
      </c>
      <c r="C452" s="1274" t="s">
        <v>420</v>
      </c>
      <c r="D452" s="222" t="str">
        <f>Parâmetros!C$5</f>
        <v>MEDIA DA Variação do IPCA  E IGP-DI para 2016</v>
      </c>
    </row>
    <row r="453" spans="1:4" ht="30" customHeight="1" x14ac:dyDescent="0.2">
      <c r="A453" s="1271"/>
      <c r="B453" s="1273"/>
      <c r="C453" s="1274"/>
      <c r="D453" s="222" t="str">
        <f>Parâmetros!C$20</f>
        <v>Crescimento Médio da Arrecadação</v>
      </c>
    </row>
    <row r="454" spans="1:4" ht="30" customHeight="1" x14ac:dyDescent="0.2">
      <c r="A454" s="1271" t="str">
        <f>'ORCAMENTO RECEITA ANALITICO'!G288</f>
        <v>Multas E Juros De Mora Div. Ativ. Prog. Troca-troca</v>
      </c>
      <c r="B454" s="1273" t="str">
        <f>Parâmetros!C203</f>
        <v>Estimativa de Receitas de Multas E Juros De Mora Da Divida Ativa Do Programa Troca-troca</v>
      </c>
      <c r="C454" s="1274" t="s">
        <v>420</v>
      </c>
      <c r="D454" s="222" t="str">
        <f>Parâmetros!C$5</f>
        <v>MEDIA DA Variação do IPCA  E IGP-DI para 2016</v>
      </c>
    </row>
    <row r="455" spans="1:4" ht="30" customHeight="1" x14ac:dyDescent="0.2">
      <c r="A455" s="1271"/>
      <c r="B455" s="1273"/>
      <c r="C455" s="1274"/>
      <c r="D455" s="222" t="str">
        <f>Parâmetros!C$20</f>
        <v>Crescimento Médio da Arrecadação</v>
      </c>
    </row>
    <row r="456" spans="1:4" ht="30" customHeight="1" x14ac:dyDescent="0.2">
      <c r="A456" s="1271" t="str">
        <f>'ORCAMENTO RECEITA ANALITICO'!G292</f>
        <v>Multas Previstas Na Legislacao Sanitaria</v>
      </c>
      <c r="B456" s="1283" t="str">
        <f>Parâmetros!C206</f>
        <v>Estimativa de Receitas de Multas Previstas Na Legislacao Sanitaria</v>
      </c>
      <c r="C456" s="1274" t="s">
        <v>419</v>
      </c>
      <c r="D456" s="222" t="str">
        <f>Parâmetros!C$5</f>
        <v>MEDIA DA Variação do IPCA  E IGP-DI para 2016</v>
      </c>
    </row>
    <row r="457" spans="1:4" ht="30" customHeight="1" x14ac:dyDescent="0.2">
      <c r="A457" s="1271"/>
      <c r="B457" s="1273"/>
      <c r="C457" s="1274"/>
      <c r="D457" s="222" t="str">
        <f>Parâmetros!C$20</f>
        <v>Crescimento Médio da Arrecadação</v>
      </c>
    </row>
    <row r="458" spans="1:4" ht="30" customHeight="1" x14ac:dyDescent="0.2">
      <c r="A458" s="1271" t="str">
        <f>'ORCAMENTO RECEITA ANALITICO'!G293</f>
        <v>Multas E Juros Previstos Em Contrato</v>
      </c>
      <c r="B458" s="1273" t="str">
        <f>Parâmetros!C207</f>
        <v>Estimativa de Receitas de Multas E Juros Previstos Em Contrato</v>
      </c>
      <c r="C458" s="1274" t="s">
        <v>419</v>
      </c>
      <c r="D458" s="222" t="str">
        <f>Parâmetros!C$5</f>
        <v>MEDIA DA Variação do IPCA  E IGP-DI para 2016</v>
      </c>
    </row>
    <row r="459" spans="1:4" ht="30" customHeight="1" x14ac:dyDescent="0.2">
      <c r="A459" s="1271"/>
      <c r="B459" s="1273"/>
      <c r="C459" s="1274"/>
      <c r="D459" s="222" t="str">
        <f>Parâmetros!C$20</f>
        <v>Crescimento Médio da Arrecadação</v>
      </c>
    </row>
    <row r="460" spans="1:4" ht="30" customHeight="1" x14ac:dyDescent="0.2">
      <c r="A460" s="1271" t="str">
        <f>'ORCAMENTO RECEITA ANALITICO'!G294</f>
        <v>Multas Por Danos Ao Meio Ambiente</v>
      </c>
      <c r="B460" s="1273" t="str">
        <f>Parâmetros!C208</f>
        <v>Estimativa de Receitas de Multas Por Danos Ao Meio Ambiente</v>
      </c>
      <c r="C460" s="1274" t="s">
        <v>419</v>
      </c>
      <c r="D460" s="222" t="str">
        <f>Parâmetros!C$5</f>
        <v>MEDIA DA Variação do IPCA  E IGP-DI para 2016</v>
      </c>
    </row>
    <row r="461" spans="1:4" ht="30" customHeight="1" x14ac:dyDescent="0.2">
      <c r="A461" s="1271"/>
      <c r="B461" s="1273"/>
      <c r="C461" s="1274"/>
      <c r="D461" s="222" t="str">
        <f>Parâmetros!C$20</f>
        <v>Crescimento Médio da Arrecadação</v>
      </c>
    </row>
    <row r="462" spans="1:4" ht="30" customHeight="1" x14ac:dyDescent="0.2">
      <c r="A462" s="1271" t="str">
        <f>'ORCAMENTO RECEITA ANALITICO'!G295</f>
        <v>Multa Por Infracao A Legislacao De Licitacao</v>
      </c>
      <c r="B462" s="1273" t="str">
        <f>Parâmetros!C209</f>
        <v>Estimativa de Receitas de Multa Por Infração À Legislação De Licitação</v>
      </c>
      <c r="C462" s="1274" t="s">
        <v>419</v>
      </c>
      <c r="D462" s="222" t="str">
        <f>Parâmetros!C$5</f>
        <v>MEDIA DA Variação do IPCA  E IGP-DI para 2016</v>
      </c>
    </row>
    <row r="463" spans="1:4" ht="30" customHeight="1" x14ac:dyDescent="0.2">
      <c r="A463" s="1271"/>
      <c r="B463" s="1273"/>
      <c r="C463" s="1274"/>
      <c r="D463" s="222" t="str">
        <f>Parâmetros!C$20</f>
        <v>Crescimento Médio da Arrecadação</v>
      </c>
    </row>
    <row r="464" spans="1:4" ht="30" customHeight="1" x14ac:dyDescent="0.2">
      <c r="A464" s="1271" t="str">
        <f>'ORCAMENTO RECEITA ANALITICO'!G301</f>
        <v>Restituição Ações Ministerio Público Estadual</v>
      </c>
      <c r="B464" s="1273" t="str">
        <f>Parâmetros!C211</f>
        <v>Estimativa de Receitas de Restituicoes de Ações Min. Público</v>
      </c>
      <c r="C464" s="1274" t="s">
        <v>420</v>
      </c>
      <c r="D464" s="222" t="str">
        <f>Parâmetros!C$5</f>
        <v>MEDIA DA Variação do IPCA  E IGP-DI para 2016</v>
      </c>
    </row>
    <row r="465" spans="1:4" ht="30" customHeight="1" x14ac:dyDescent="0.2">
      <c r="A465" s="1271"/>
      <c r="B465" s="1273"/>
      <c r="C465" s="1274"/>
      <c r="D465" s="222" t="str">
        <f>Parâmetros!C$9</f>
        <v>Taxa SELIC ( Média)  base informativo conjunto congresso nacional ldo uniao para 2016</v>
      </c>
    </row>
    <row r="466" spans="1:4" ht="30" customHeight="1" x14ac:dyDescent="0.2">
      <c r="A466" s="1271"/>
      <c r="B466" s="1273"/>
      <c r="C466" s="1274"/>
      <c r="D466" s="222" t="str">
        <f>Parâmetros!C$10</f>
        <v>Taxa de Câmbio (R$/US$) – dez  base informativo conjunto congresso nacional ldo uniao para 2016</v>
      </c>
    </row>
    <row r="467" spans="1:4" ht="30" customHeight="1" x14ac:dyDescent="0.2">
      <c r="A467" s="1271"/>
      <c r="B467" s="1273"/>
      <c r="C467" s="1274"/>
      <c r="D467" s="222" t="str">
        <f>Parâmetros!C$20</f>
        <v>Crescimento Médio da Arrecadação</v>
      </c>
    </row>
    <row r="468" spans="1:4" ht="30" customHeight="1" x14ac:dyDescent="0.2">
      <c r="A468" s="1271" t="str">
        <f>'ORCAMENTO RECEITA ANALITICO'!G303</f>
        <v>Restituicoes Determinadas Pelo Tce</v>
      </c>
      <c r="B468" s="1273" t="str">
        <f>Parâmetros!C213</f>
        <v>Estimativa de Receitas de Restituicoes Determinadas Pelo Tce</v>
      </c>
      <c r="C468" s="1274" t="s">
        <v>420</v>
      </c>
      <c r="D468" s="222" t="str">
        <f>Parâmetros!C$5</f>
        <v>MEDIA DA Variação do IPCA  E IGP-DI para 2016</v>
      </c>
    </row>
    <row r="469" spans="1:4" ht="30" customHeight="1" x14ac:dyDescent="0.2">
      <c r="A469" s="1271"/>
      <c r="B469" s="1273"/>
      <c r="C469" s="1274"/>
      <c r="D469" s="222" t="str">
        <f>Parâmetros!C$9</f>
        <v>Taxa SELIC ( Média)  base informativo conjunto congresso nacional ldo uniao para 2016</v>
      </c>
    </row>
    <row r="470" spans="1:4" ht="30" customHeight="1" x14ac:dyDescent="0.2">
      <c r="A470" s="1271"/>
      <c r="B470" s="1273"/>
      <c r="C470" s="1274"/>
      <c r="D470" s="222" t="str">
        <f>Parâmetros!C$10</f>
        <v>Taxa de Câmbio (R$/US$) – dez  base informativo conjunto congresso nacional ldo uniao para 2016</v>
      </c>
    </row>
    <row r="471" spans="1:4" ht="30" customHeight="1" x14ac:dyDescent="0.2">
      <c r="A471" s="1271"/>
      <c r="B471" s="1273"/>
      <c r="C471" s="1274"/>
      <c r="D471" s="222" t="str">
        <f>Parâmetros!C$20</f>
        <v>Crescimento Médio da Arrecadação</v>
      </c>
    </row>
    <row r="472" spans="1:4" ht="30" customHeight="1" x14ac:dyDescent="0.2">
      <c r="A472" s="1271" t="str">
        <f>'ORCAMENTO RECEITA ANALITICO'!G304</f>
        <v>Programa Troca-troca</v>
      </c>
      <c r="B472" s="1273" t="str">
        <f>Parâmetros!C214</f>
        <v>Estimativa de Receitas de Programa Troca-troca</v>
      </c>
      <c r="C472" s="1274" t="s">
        <v>420</v>
      </c>
      <c r="D472" s="222" t="str">
        <f>Parâmetros!C$5</f>
        <v>MEDIA DA Variação do IPCA  E IGP-DI para 2016</v>
      </c>
    </row>
    <row r="473" spans="1:4" ht="30" customHeight="1" x14ac:dyDescent="0.2">
      <c r="A473" s="1271"/>
      <c r="B473" s="1273"/>
      <c r="C473" s="1274"/>
      <c r="D473" s="222" t="str">
        <f>Parâmetros!C$9</f>
        <v>Taxa SELIC ( Média)  base informativo conjunto congresso nacional ldo uniao para 2016</v>
      </c>
    </row>
    <row r="474" spans="1:4" ht="30" customHeight="1" x14ac:dyDescent="0.2">
      <c r="A474" s="1271"/>
      <c r="B474" s="1273"/>
      <c r="C474" s="1274"/>
      <c r="D474" s="222" t="str">
        <f>Parâmetros!C$10</f>
        <v>Taxa de Câmbio (R$/US$) – dez  base informativo conjunto congresso nacional ldo uniao para 2016</v>
      </c>
    </row>
    <row r="475" spans="1:4" ht="30" customHeight="1" x14ac:dyDescent="0.2">
      <c r="A475" s="547" t="str">
        <f>'ORCAMENTO RECEITA ANALITICO'!G305</f>
        <v>Restituicao Pelo Pagamento Indevido</v>
      </c>
      <c r="B475" s="548" t="str">
        <f>Parâmetros!C215</f>
        <v>Estimativa de Receitas de Restituicao Pelo Pagamento Indevido</v>
      </c>
      <c r="C475" s="545" t="s">
        <v>420</v>
      </c>
      <c r="D475" s="222" t="str">
        <f>Parâmetros!C$5</f>
        <v>MEDIA DA Variação do IPCA  E IGP-DI para 2016</v>
      </c>
    </row>
    <row r="476" spans="1:4" ht="30" customHeight="1" x14ac:dyDescent="0.2">
      <c r="A476" s="547" t="str">
        <f>'ORCAMENTO RECEITA ANALITICO'!G306</f>
        <v>Restit. Do Plano De Assist. Medica Dos Servidores</v>
      </c>
      <c r="B476" s="548" t="str">
        <f>Parâmetros!C216</f>
        <v>Estimativa de Receitas de Restituicoes Do Plano De Assistencia Medica Dos Servidores</v>
      </c>
      <c r="C476" s="545" t="s">
        <v>420</v>
      </c>
      <c r="D476" s="222" t="str">
        <f>Parâmetros!C$5</f>
        <v>MEDIA DA Variação do IPCA  E IGP-DI para 2016</v>
      </c>
    </row>
    <row r="477" spans="1:4" ht="30" customHeight="1" x14ac:dyDescent="0.2">
      <c r="A477" s="1278" t="str">
        <f>'ORCAMENTO RECEITA ANALITICO'!G307</f>
        <v>Restituicoes E Indenizacoes Diversas</v>
      </c>
      <c r="B477" s="1301" t="str">
        <f>Parâmetros!C217</f>
        <v>Estimativa de Receitas de Restituições E Indenizações Diversas</v>
      </c>
      <c r="C477" s="1275" t="s">
        <v>420</v>
      </c>
      <c r="D477" s="222" t="str">
        <f>Parâmetros!C$5</f>
        <v>MEDIA DA Variação do IPCA  E IGP-DI para 2016</v>
      </c>
    </row>
    <row r="478" spans="1:4" ht="30" customHeight="1" x14ac:dyDescent="0.2">
      <c r="A478" s="1280"/>
      <c r="B478" s="1299"/>
      <c r="C478" s="1277"/>
      <c r="D478" s="222" t="str">
        <f>Parâmetros!C$20</f>
        <v>Crescimento Médio da Arrecadação</v>
      </c>
    </row>
    <row r="479" spans="1:4" ht="30" customHeight="1" x14ac:dyDescent="0.2">
      <c r="A479" s="1271" t="str">
        <f>'ORCAMENTO RECEITA ANALITICO'!G311</f>
        <v>Receita Da Divida Ativa Do Imposto Sobre A Propriedade Predial E Terri</v>
      </c>
      <c r="B479" s="1269" t="str">
        <f>Parâmetros!C219</f>
        <v>Estimativa de Receitas de Receita Da Divida Ativa Do Imposto Sobre A Propriedade Predial E Territorial Urbana - Iptu</v>
      </c>
      <c r="C479" s="1270" t="s">
        <v>419</v>
      </c>
      <c r="D479" s="234" t="str">
        <f>Parâmetros!C$5</f>
        <v>MEDIA DA Variação do IPCA  E IGP-DI para 2016</v>
      </c>
    </row>
    <row r="480" spans="1:4" ht="30" customHeight="1" x14ac:dyDescent="0.2">
      <c r="A480" s="1271"/>
      <c r="B480" s="1269"/>
      <c r="C480" s="1270"/>
      <c r="D480" s="234" t="str">
        <f>Parâmetros!C$20</f>
        <v>Crescimento Médio da Arrecadação</v>
      </c>
    </row>
    <row r="481" spans="1:4" ht="30" customHeight="1" x14ac:dyDescent="0.2">
      <c r="A481" s="546" t="str">
        <f>'ORCAMENTO RECEITA ANALITICO'!G312</f>
        <v>Receita Da Divida Ativa Do Iptu  Cobrança Administrativa - Proprio</v>
      </c>
      <c r="B481" s="548" t="str">
        <f>A479</f>
        <v>Receita Da Divida Ativa Do Imposto Sobre A Propriedade Predial E Terri</v>
      </c>
      <c r="C481" s="545" t="s">
        <v>419</v>
      </c>
      <c r="D481" s="222" t="str">
        <f>Parâmetros!C$11</f>
        <v>Estimativa de Percentual de para Aplicação de Recursos Livres</v>
      </c>
    </row>
    <row r="482" spans="1:4" ht="30" customHeight="1" x14ac:dyDescent="0.2">
      <c r="A482" s="1272" t="str">
        <f>'ORCAMENTO RECEITA ANALITICO'!G313</f>
        <v>Receita Da Divida Ativa Do Iptu  Cobrança Administrativa - Mde</v>
      </c>
      <c r="B482" s="1273" t="str">
        <f>B481</f>
        <v>Receita Da Divida Ativa Do Imposto Sobre A Propriedade Predial E Terri</v>
      </c>
      <c r="C482" s="1274" t="s">
        <v>419</v>
      </c>
      <c r="D482" s="222" t="str">
        <f>Parâmetros!C$13</f>
        <v>Estimativa de Repasse para  o MDE S/(Impostos Municipais)</v>
      </c>
    </row>
    <row r="483" spans="1:4" ht="30" customHeight="1" x14ac:dyDescent="0.2">
      <c r="A483" s="1272"/>
      <c r="B483" s="1273"/>
      <c r="C483" s="1274"/>
      <c r="D483" s="222" t="str">
        <f>Parâmetros!C$14</f>
        <v>Estimativa de Repasse para  o MDE S/(Impostos Municipais) Complemento</v>
      </c>
    </row>
    <row r="484" spans="1:4" ht="30" customHeight="1" x14ac:dyDescent="0.2">
      <c r="A484" s="1272" t="str">
        <f>'ORCAMENTO RECEITA ANALITICO'!G314</f>
        <v>Receita Da Divida Ativa Do Iptu  Cobrança Administrativa - Asps</v>
      </c>
      <c r="B484" s="1273" t="str">
        <f>B482</f>
        <v>Receita Da Divida Ativa Do Imposto Sobre A Propriedade Predial E Terri</v>
      </c>
      <c r="C484" s="1281" t="s">
        <v>419</v>
      </c>
      <c r="D484" s="222" t="str">
        <f>Parâmetros!C$18</f>
        <v>Estimativa de Repasse para  o ASPS</v>
      </c>
    </row>
    <row r="485" spans="1:4" ht="30" customHeight="1" x14ac:dyDescent="0.2">
      <c r="A485" s="1272"/>
      <c r="B485" s="1273"/>
      <c r="C485" s="1274"/>
      <c r="D485" s="222" t="str">
        <f>Parâmetros!C$19</f>
        <v>Estimativa de Repasse para  o ASPS Complemento</v>
      </c>
    </row>
    <row r="486" spans="1:4" ht="30" customHeight="1" x14ac:dyDescent="0.2">
      <c r="A486" s="1271" t="str">
        <f>'ORCAMENTO RECEITA ANALITICO'!G318</f>
        <v>Receita Da Divida Ativa Sobre Servicos De Qualquer Natureza - Iss</v>
      </c>
      <c r="B486" s="1269" t="str">
        <f>Parâmetros!C220</f>
        <v>Estimativa de Receitas de Receita Da Divida Ativa Sobre Servicos De Qualquer Natureza - Iss</v>
      </c>
      <c r="C486" s="1270" t="s">
        <v>419</v>
      </c>
      <c r="D486" s="234" t="str">
        <f>Parâmetros!C$5</f>
        <v>MEDIA DA Variação do IPCA  E IGP-DI para 2016</v>
      </c>
    </row>
    <row r="487" spans="1:4" ht="30" customHeight="1" x14ac:dyDescent="0.2">
      <c r="A487" s="1271"/>
      <c r="B487" s="1269"/>
      <c r="C487" s="1270"/>
      <c r="D487" s="234" t="str">
        <f>Parâmetros!C$20</f>
        <v>Crescimento Médio da Arrecadação</v>
      </c>
    </row>
    <row r="488" spans="1:4" ht="30" customHeight="1" x14ac:dyDescent="0.2">
      <c r="A488" s="546" t="str">
        <f>'ORCAMENTO RECEITA ANALITICO'!G319</f>
        <v>Receita Da Divida Ativa Do Iss Cobrança Administrativa - Proprio</v>
      </c>
      <c r="B488" s="548" t="str">
        <f>A486</f>
        <v>Receita Da Divida Ativa Sobre Servicos De Qualquer Natureza - Iss</v>
      </c>
      <c r="C488" s="545" t="s">
        <v>419</v>
      </c>
      <c r="D488" s="222" t="str">
        <f>Parâmetros!C$11</f>
        <v>Estimativa de Percentual de para Aplicação de Recursos Livres</v>
      </c>
    </row>
    <row r="489" spans="1:4" ht="30" customHeight="1" x14ac:dyDescent="0.2">
      <c r="A489" s="1272" t="str">
        <f>'ORCAMENTO RECEITA ANALITICO'!G320</f>
        <v>Receita Da Divida Ativa Do Iss Cobrança Administrativa - Mde</v>
      </c>
      <c r="B489" s="1273" t="str">
        <f>A486</f>
        <v>Receita Da Divida Ativa Sobre Servicos De Qualquer Natureza - Iss</v>
      </c>
      <c r="C489" s="1274" t="s">
        <v>419</v>
      </c>
      <c r="D489" s="222" t="str">
        <f>Parâmetros!C$13</f>
        <v>Estimativa de Repasse para  o MDE S/(Impostos Municipais)</v>
      </c>
    </row>
    <row r="490" spans="1:4" ht="30" customHeight="1" x14ac:dyDescent="0.2">
      <c r="A490" s="1272"/>
      <c r="B490" s="1273"/>
      <c r="C490" s="1274"/>
      <c r="D490" s="222" t="str">
        <f>Parâmetros!C$14</f>
        <v>Estimativa de Repasse para  o MDE S/(Impostos Municipais) Complemento</v>
      </c>
    </row>
    <row r="491" spans="1:4" ht="30" customHeight="1" x14ac:dyDescent="0.2">
      <c r="A491" s="1272" t="str">
        <f>'ORCAMENTO RECEITA ANALITICO'!G321</f>
        <v>Receita Da Divida Ativa Do Iss Cobrança Administrativa- Asps</v>
      </c>
      <c r="B491" s="1273" t="str">
        <f>A486</f>
        <v>Receita Da Divida Ativa Sobre Servicos De Qualquer Natureza - Iss</v>
      </c>
      <c r="C491" s="1274" t="s">
        <v>420</v>
      </c>
      <c r="D491" s="222" t="str">
        <f>Parâmetros!C$18</f>
        <v>Estimativa de Repasse para  o ASPS</v>
      </c>
    </row>
    <row r="492" spans="1:4" ht="30" customHeight="1" x14ac:dyDescent="0.2">
      <c r="A492" s="1272"/>
      <c r="B492" s="1273"/>
      <c r="C492" s="1274"/>
      <c r="D492" s="222" t="str">
        <f>Parâmetros!C$19</f>
        <v>Estimativa de Repasse para  o ASPS Complemento</v>
      </c>
    </row>
    <row r="493" spans="1:4" ht="30" customHeight="1" x14ac:dyDescent="0.2">
      <c r="A493" s="1271" t="str">
        <f>'ORCAMENTO RECEITA ANALITICO'!G327</f>
        <v>Divida Ativa Das Taxas Poder Policia Cobrança Administrativa</v>
      </c>
      <c r="B493" s="1269" t="str">
        <f>Parâmetros!C221</f>
        <v>Divida Ativa Das Taxas Poder Policia Cobrança Administrativa</v>
      </c>
      <c r="C493" s="1274" t="s">
        <v>420</v>
      </c>
      <c r="D493" s="222" t="str">
        <f>Parâmetros!C$5</f>
        <v>MEDIA DA Variação do IPCA  E IGP-DI para 2016</v>
      </c>
    </row>
    <row r="494" spans="1:4" ht="30" customHeight="1" x14ac:dyDescent="0.2">
      <c r="A494" s="1271"/>
      <c r="B494" s="1269"/>
      <c r="C494" s="1274"/>
      <c r="D494" s="222" t="str">
        <f>Parâmetros!C$9</f>
        <v>Taxa SELIC ( Média)  base informativo conjunto congresso nacional ldo uniao para 2016</v>
      </c>
    </row>
    <row r="495" spans="1:4" ht="30" customHeight="1" x14ac:dyDescent="0.2">
      <c r="A495" s="1271"/>
      <c r="B495" s="1269"/>
      <c r="C495" s="1274"/>
      <c r="D495" s="222" t="str">
        <f>Parâmetros!C$10</f>
        <v>Taxa de Câmbio (R$/US$) – dez  base informativo conjunto congresso nacional ldo uniao para 2016</v>
      </c>
    </row>
    <row r="496" spans="1:4" ht="30" customHeight="1" x14ac:dyDescent="0.2">
      <c r="A496" s="1271"/>
      <c r="B496" s="1269"/>
      <c r="C496" s="1274"/>
      <c r="D496" s="222" t="str">
        <f>Parâmetros!C$20</f>
        <v>Crescimento Médio da Arrecadação</v>
      </c>
    </row>
    <row r="497" spans="1:4" ht="30" customHeight="1" x14ac:dyDescent="0.2">
      <c r="A497" s="1271" t="str">
        <f>'ORCAMENTO RECEITA ANALITICO'!G334</f>
        <v>Receita Da Divida Ativa Do Programa Troca-troca</v>
      </c>
      <c r="B497" s="1269" t="str">
        <f>Parâmetros!C225</f>
        <v>Estimativa de Receitas de Receita Da Divida Ativa Do Programa Troca-troca</v>
      </c>
      <c r="C497" s="1274" t="s">
        <v>420</v>
      </c>
      <c r="D497" s="222" t="str">
        <f>Parâmetros!C$5</f>
        <v>MEDIA DA Variação do IPCA  E IGP-DI para 2016</v>
      </c>
    </row>
    <row r="498" spans="1:4" ht="30" customHeight="1" x14ac:dyDescent="0.2">
      <c r="A498" s="1271"/>
      <c r="B498" s="1269"/>
      <c r="C498" s="1274"/>
      <c r="D498" s="222" t="str">
        <f>Parâmetros!C$9</f>
        <v>Taxa SELIC ( Média)  base informativo conjunto congresso nacional ldo uniao para 2016</v>
      </c>
    </row>
    <row r="499" spans="1:4" ht="30" customHeight="1" x14ac:dyDescent="0.2">
      <c r="A499" s="1271"/>
      <c r="B499" s="1269"/>
      <c r="C499" s="1274"/>
      <c r="D499" s="222" t="str">
        <f>Parâmetros!C$10</f>
        <v>Taxa de Câmbio (R$/US$) – dez  base informativo conjunto congresso nacional ldo uniao para 2016</v>
      </c>
    </row>
    <row r="500" spans="1:4" ht="30" customHeight="1" x14ac:dyDescent="0.2">
      <c r="A500" s="1271" t="str">
        <f>'ORCAMENTO RECEITA ANALITICO'!G335</f>
        <v>Receita Divida Ativa Nao Tributaria Prov. Da  Inscricao De Cert. Tce</v>
      </c>
      <c r="B500" s="1269" t="str">
        <f>Parâmetros!C226</f>
        <v>Estimativa de Receitas de Receita Da Divida Ativa Nao Tributaria Proveniente Da  Inscricao De Certidao De Decisao-titulo Executivo Do Tce</v>
      </c>
      <c r="C500" s="1274" t="s">
        <v>420</v>
      </c>
      <c r="D500" s="222" t="str">
        <f>Parâmetros!C$5</f>
        <v>MEDIA DA Variação do IPCA  E IGP-DI para 2016</v>
      </c>
    </row>
    <row r="501" spans="1:4" ht="30" customHeight="1" x14ac:dyDescent="0.2">
      <c r="A501" s="1271"/>
      <c r="B501" s="1269"/>
      <c r="C501" s="1274"/>
      <c r="D501" s="222" t="str">
        <f>Parâmetros!C$9</f>
        <v>Taxa SELIC ( Média)  base informativo conjunto congresso nacional ldo uniao para 2016</v>
      </c>
    </row>
    <row r="502" spans="1:4" ht="30" customHeight="1" x14ac:dyDescent="0.2">
      <c r="A502" s="1271"/>
      <c r="B502" s="1269"/>
      <c r="C502" s="1274"/>
      <c r="D502" s="222" t="str">
        <f>Parâmetros!C$10</f>
        <v>Taxa de Câmbio (R$/US$) – dez  base informativo conjunto congresso nacional ldo uniao para 2016</v>
      </c>
    </row>
    <row r="503" spans="1:4" ht="30" customHeight="1" x14ac:dyDescent="0.2">
      <c r="A503" s="1271" t="str">
        <f>'ORCAMENTO RECEITA ANALITICO'!G336</f>
        <v>Divida Ativa Nao Tributaria Prov. De Diarias de Implementos</v>
      </c>
      <c r="B503" s="1269" t="str">
        <f>Parâmetros!C227</f>
        <v>Divida Ativa Nao Tributaria Prov. De Diarias de Implementos</v>
      </c>
      <c r="C503" s="1274" t="s">
        <v>420</v>
      </c>
      <c r="D503" s="222" t="str">
        <f>Parâmetros!C$5</f>
        <v>MEDIA DA Variação do IPCA  E IGP-DI para 2016</v>
      </c>
    </row>
    <row r="504" spans="1:4" ht="30" customHeight="1" x14ac:dyDescent="0.2">
      <c r="A504" s="1271"/>
      <c r="B504" s="1269"/>
      <c r="C504" s="1274"/>
      <c r="D504" s="222" t="str">
        <f>Parâmetros!C$9</f>
        <v>Taxa SELIC ( Média)  base informativo conjunto congresso nacional ldo uniao para 2016</v>
      </c>
    </row>
    <row r="505" spans="1:4" ht="30" customHeight="1" x14ac:dyDescent="0.2">
      <c r="A505" s="1271"/>
      <c r="B505" s="1269"/>
      <c r="C505" s="1274"/>
      <c r="D505" s="222" t="str">
        <f>Parâmetros!C$10</f>
        <v>Taxa de Câmbio (R$/US$) – dez  base informativo conjunto congresso nacional ldo uniao para 2016</v>
      </c>
    </row>
    <row r="506" spans="1:4" ht="30" customHeight="1" x14ac:dyDescent="0.2">
      <c r="A506" s="1278" t="str">
        <f>'ORCAMENTO RECEITA ANALITICO'!G337</f>
        <v>Divida Ativa Nao Tributaria Prov. De Serviços de Máquinas</v>
      </c>
      <c r="B506" s="1275" t="str">
        <f>Parâmetros!C228</f>
        <v>Divida Ativa Nao Tributaria Prov. De Serviços de Máquinas</v>
      </c>
      <c r="C506" s="1274" t="s">
        <v>420</v>
      </c>
      <c r="D506" s="222" t="str">
        <f>Parâmetros!C$5</f>
        <v>MEDIA DA Variação do IPCA  E IGP-DI para 2016</v>
      </c>
    </row>
    <row r="507" spans="1:4" ht="30" customHeight="1" x14ac:dyDescent="0.2">
      <c r="A507" s="1279"/>
      <c r="B507" s="1276"/>
      <c r="C507" s="1274"/>
      <c r="D507" s="222" t="str">
        <f>Parâmetros!C$9</f>
        <v>Taxa SELIC ( Média)  base informativo conjunto congresso nacional ldo uniao para 2016</v>
      </c>
    </row>
    <row r="508" spans="1:4" ht="30" customHeight="1" x14ac:dyDescent="0.2">
      <c r="A508" s="1280"/>
      <c r="B508" s="1277"/>
      <c r="C508" s="1274"/>
      <c r="D508" s="222" t="str">
        <f>Parâmetros!C$10</f>
        <v>Taxa de Câmbio (R$/US$) – dez  base informativo conjunto congresso nacional ldo uniao para 2016</v>
      </c>
    </row>
    <row r="509" spans="1:4" ht="30" customHeight="1" x14ac:dyDescent="0.2">
      <c r="A509" s="1271" t="str">
        <f>'ORCAMENTO RECEITA ANALITICO'!G340</f>
        <v>Outras Receitas Correntes Diversas</v>
      </c>
      <c r="B509" s="1273" t="str">
        <f>Parâmetros!C229</f>
        <v>Estimativa de Outras Receitas</v>
      </c>
      <c r="C509" s="1274" t="s">
        <v>420</v>
      </c>
      <c r="D509" s="222" t="str">
        <f>Parâmetros!C$5</f>
        <v>MEDIA DA Variação do IPCA  E IGP-DI para 2016</v>
      </c>
    </row>
    <row r="510" spans="1:4" ht="30" customHeight="1" x14ac:dyDescent="0.2">
      <c r="A510" s="1271"/>
      <c r="B510" s="1273"/>
      <c r="C510" s="1274"/>
      <c r="D510" s="222" t="str">
        <f>Parâmetros!C$292</f>
        <v>VALOR ESTIMADO PARA ARREDONDAMENTO</v>
      </c>
    </row>
    <row r="511" spans="1:4" ht="30" customHeight="1" x14ac:dyDescent="0.2">
      <c r="A511" s="1271" t="str">
        <f>'ORCAMENTO RECEITA ANALITICO'!G341</f>
        <v>Agrifest/Fefumo - Patrocinio</v>
      </c>
      <c r="B511" s="1273" t="str">
        <f>Parâmetros!C230</f>
        <v>Agrifest/Fefumo - Patrocinio</v>
      </c>
      <c r="C511" s="1274" t="s">
        <v>420</v>
      </c>
      <c r="D511" s="222" t="str">
        <f>Parâmetros!C$5</f>
        <v>MEDIA DA Variação do IPCA  E IGP-DI para 2016</v>
      </c>
    </row>
    <row r="512" spans="1:4" ht="30" customHeight="1" x14ac:dyDescent="0.2">
      <c r="A512" s="1271"/>
      <c r="B512" s="1273"/>
      <c r="C512" s="1274"/>
      <c r="D512" s="222" t="str">
        <f>Parâmetros!C$10</f>
        <v>Taxa de Câmbio (R$/US$) – dez  base informativo conjunto congresso nacional ldo uniao para 2016</v>
      </c>
    </row>
    <row r="513" spans="1:4" ht="30" customHeight="1" x14ac:dyDescent="0.2">
      <c r="A513" s="1271"/>
      <c r="B513" s="1273"/>
      <c r="C513" s="1274"/>
      <c r="D513" s="222" t="str">
        <f>Parâmetros!C$20</f>
        <v>Crescimento Médio da Arrecadação</v>
      </c>
    </row>
    <row r="514" spans="1:4" ht="30" customHeight="1" x14ac:dyDescent="0.2">
      <c r="A514" s="1271" t="str">
        <f>'ORCAMENTO RECEITA ANALITICO'!G342</f>
        <v>Agrifest/Fefumo - Ingresso Festa</v>
      </c>
      <c r="B514" s="1273" t="str">
        <f>Parâmetros!C231</f>
        <v>Agrifest/Fefumo - Ingresso Festa</v>
      </c>
      <c r="C514" s="1274" t="s">
        <v>420</v>
      </c>
      <c r="D514" s="222" t="str">
        <f>Parâmetros!C$5</f>
        <v>MEDIA DA Variação do IPCA  E IGP-DI para 2016</v>
      </c>
    </row>
    <row r="515" spans="1:4" ht="30" customHeight="1" x14ac:dyDescent="0.2">
      <c r="A515" s="1271"/>
      <c r="B515" s="1273"/>
      <c r="C515" s="1274"/>
      <c r="D515" s="222" t="str">
        <f>Parâmetros!C$10</f>
        <v>Taxa de Câmbio (R$/US$) – dez  base informativo conjunto congresso nacional ldo uniao para 2016</v>
      </c>
    </row>
    <row r="516" spans="1:4" ht="30" customHeight="1" x14ac:dyDescent="0.2">
      <c r="A516" s="1271"/>
      <c r="B516" s="1273"/>
      <c r="C516" s="1274"/>
      <c r="D516" s="222" t="str">
        <f>Parâmetros!C$20</f>
        <v>Crescimento Médio da Arrecadação</v>
      </c>
    </row>
    <row r="517" spans="1:4" ht="30" customHeight="1" x14ac:dyDescent="0.2">
      <c r="A517" s="1271" t="str">
        <f>'ORCAMENTO RECEITA ANALITICO'!G343</f>
        <v>Agrifest/Fefumo - Ingresso Baile</v>
      </c>
      <c r="B517" s="1273" t="str">
        <f>Parâmetros!C232</f>
        <v>Agrifest/Fefumo - Ingresso Baile</v>
      </c>
      <c r="C517" s="1274" t="s">
        <v>420</v>
      </c>
      <c r="D517" s="222" t="str">
        <f>Parâmetros!C$5</f>
        <v>MEDIA DA Variação do IPCA  E IGP-DI para 2016</v>
      </c>
    </row>
    <row r="518" spans="1:4" ht="30" customHeight="1" x14ac:dyDescent="0.2">
      <c r="A518" s="1271"/>
      <c r="B518" s="1273"/>
      <c r="C518" s="1274"/>
      <c r="D518" s="222" t="str">
        <f>Parâmetros!C$10</f>
        <v>Taxa de Câmbio (R$/US$) – dez  base informativo conjunto congresso nacional ldo uniao para 2016</v>
      </c>
    </row>
    <row r="519" spans="1:4" ht="30" customHeight="1" x14ac:dyDescent="0.2">
      <c r="A519" s="1271"/>
      <c r="B519" s="1273"/>
      <c r="C519" s="1274"/>
      <c r="D519" s="222" t="str">
        <f>Parâmetros!C$20</f>
        <v>Crescimento Médio da Arrecadação</v>
      </c>
    </row>
    <row r="520" spans="1:4" ht="30" customHeight="1" x14ac:dyDescent="0.2">
      <c r="A520" s="1271" t="str">
        <f>'ORCAMENTO RECEITA ANALITICO'!G344</f>
        <v>Agrifest/Fefumo - Ingresso Domingueira</v>
      </c>
      <c r="B520" s="1273" t="str">
        <f>Parâmetros!C233</f>
        <v>Agrifest/Fefumo - Ingresso Domingueira</v>
      </c>
      <c r="C520" s="1274" t="s">
        <v>420</v>
      </c>
      <c r="D520" s="222" t="str">
        <f>Parâmetros!C$5</f>
        <v>MEDIA DA Variação do IPCA  E IGP-DI para 2016</v>
      </c>
    </row>
    <row r="521" spans="1:4" ht="30" customHeight="1" x14ac:dyDescent="0.2">
      <c r="A521" s="1271"/>
      <c r="B521" s="1273"/>
      <c r="C521" s="1274"/>
      <c r="D521" s="222" t="str">
        <f>Parâmetros!C$10</f>
        <v>Taxa de Câmbio (R$/US$) – dez  base informativo conjunto congresso nacional ldo uniao para 2016</v>
      </c>
    </row>
    <row r="522" spans="1:4" ht="30" customHeight="1" x14ac:dyDescent="0.2">
      <c r="A522" s="1271"/>
      <c r="B522" s="1273"/>
      <c r="C522" s="1274"/>
      <c r="D522" s="222" t="str">
        <f>Parâmetros!C$20</f>
        <v>Crescimento Médio da Arrecadação</v>
      </c>
    </row>
    <row r="523" spans="1:4" ht="30" customHeight="1" x14ac:dyDescent="0.2">
      <c r="A523" s="1271" t="str">
        <f>'ORCAMENTO RECEITA ANALITICO'!G345</f>
        <v>Festa Natalina - Patrocínio</v>
      </c>
      <c r="B523" s="1273" t="str">
        <f>Parâmetros!C234</f>
        <v>Festa Natalina - Patrocínio</v>
      </c>
      <c r="C523" s="1274" t="s">
        <v>420</v>
      </c>
      <c r="D523" s="222" t="str">
        <f>Parâmetros!C$5</f>
        <v>MEDIA DA Variação do IPCA  E IGP-DI para 2016</v>
      </c>
    </row>
    <row r="524" spans="1:4" ht="30" customHeight="1" x14ac:dyDescent="0.2">
      <c r="A524" s="1271"/>
      <c r="B524" s="1273"/>
      <c r="C524" s="1274"/>
      <c r="D524" s="222" t="str">
        <f>Parâmetros!C$10</f>
        <v>Taxa de Câmbio (R$/US$) – dez  base informativo conjunto congresso nacional ldo uniao para 2016</v>
      </c>
    </row>
    <row r="525" spans="1:4" ht="30" customHeight="1" x14ac:dyDescent="0.2">
      <c r="A525" s="1271"/>
      <c r="B525" s="1273"/>
      <c r="C525" s="1274"/>
      <c r="D525" s="222" t="str">
        <f>Parâmetros!C$20</f>
        <v>Crescimento Médio da Arrecadação</v>
      </c>
    </row>
    <row r="526" spans="1:4" ht="30" customHeight="1" x14ac:dyDescent="0.2">
      <c r="A526" s="1271" t="str">
        <f>'ORCAMENTO RECEITA ANALITICO'!G346</f>
        <v xml:space="preserve">Contribuicao Servidor Despesa Auxilio Alimentacao </v>
      </c>
      <c r="B526" s="1273" t="str">
        <f>Parâmetros!C235</f>
        <v xml:space="preserve">Contribuicao Servidor Despesa Auxilio Alimentacao </v>
      </c>
      <c r="C526" s="1274" t="s">
        <v>420</v>
      </c>
      <c r="D526" s="222" t="str">
        <f>Parâmetros!C$5</f>
        <v>MEDIA DA Variação do IPCA  E IGP-DI para 2016</v>
      </c>
    </row>
    <row r="527" spans="1:4" ht="30" customHeight="1" x14ac:dyDescent="0.2">
      <c r="A527" s="1271"/>
      <c r="B527" s="1273"/>
      <c r="C527" s="1274"/>
      <c r="D527" s="222" t="str">
        <f>Parâmetros!C$10</f>
        <v>Taxa de Câmbio (R$/US$) – dez  base informativo conjunto congresso nacional ldo uniao para 2016</v>
      </c>
    </row>
    <row r="528" spans="1:4" ht="30" customHeight="1" x14ac:dyDescent="0.2">
      <c r="A528" s="1271"/>
      <c r="B528" s="1273"/>
      <c r="C528" s="1274"/>
      <c r="D528" s="222" t="str">
        <f>Parâmetros!C$20</f>
        <v>Crescimento Médio da Arrecadação</v>
      </c>
    </row>
    <row r="529" spans="1:4" ht="30" customHeight="1" x14ac:dyDescent="0.2">
      <c r="A529" s="1271" t="str">
        <f>'ORCAMENTO RECEITA ANALITICO'!G347</f>
        <v>Agrifest/Fefumo - Bebidas/Cozinha</v>
      </c>
      <c r="B529" s="1273" t="str">
        <f>Parâmetros!C236</f>
        <v>Agrifest/Fefumo - Bebidas/Cozinha</v>
      </c>
      <c r="C529" s="1274" t="s">
        <v>420</v>
      </c>
      <c r="D529" s="222" t="str">
        <f>Parâmetros!C$5</f>
        <v>MEDIA DA Variação do IPCA  E IGP-DI para 2016</v>
      </c>
    </row>
    <row r="530" spans="1:4" ht="30" customHeight="1" x14ac:dyDescent="0.2">
      <c r="A530" s="1271"/>
      <c r="B530" s="1273"/>
      <c r="C530" s="1274"/>
      <c r="D530" s="222" t="str">
        <f>Parâmetros!C$10</f>
        <v>Taxa de Câmbio (R$/US$) – dez  base informativo conjunto congresso nacional ldo uniao para 2016</v>
      </c>
    </row>
    <row r="531" spans="1:4" ht="30" customHeight="1" x14ac:dyDescent="0.2">
      <c r="A531" s="1271"/>
      <c r="B531" s="1273"/>
      <c r="C531" s="1274"/>
      <c r="D531" s="222" t="str">
        <f>Parâmetros!C$20</f>
        <v>Crescimento Médio da Arrecadação</v>
      </c>
    </row>
    <row r="532" spans="1:4" ht="30" customHeight="1" x14ac:dyDescent="0.2">
      <c r="A532" s="1271" t="str">
        <f>'ORCAMENTO RECEITA ANALITICO'!G348</f>
        <v>Agrifest/Fefumo - Locações : Espaços, Copa, Cozinha e Outros</v>
      </c>
      <c r="B532" s="1273" t="str">
        <f>Parâmetros!C237</f>
        <v>Agrifest/Fefumo - Locações : Espaços, Copa, Cozinha e Outros</v>
      </c>
      <c r="C532" s="1274" t="s">
        <v>420</v>
      </c>
      <c r="D532" s="222" t="str">
        <f>Parâmetros!C$5</f>
        <v>MEDIA DA Variação do IPCA  E IGP-DI para 2016</v>
      </c>
    </row>
    <row r="533" spans="1:4" ht="30" customHeight="1" x14ac:dyDescent="0.2">
      <c r="A533" s="1271"/>
      <c r="B533" s="1273"/>
      <c r="C533" s="1274"/>
      <c r="D533" s="222" t="str">
        <f>Parâmetros!C$10</f>
        <v>Taxa de Câmbio (R$/US$) – dez  base informativo conjunto congresso nacional ldo uniao para 2016</v>
      </c>
    </row>
    <row r="534" spans="1:4" ht="30" customHeight="1" x14ac:dyDescent="0.2">
      <c r="A534" s="1271"/>
      <c r="B534" s="1273"/>
      <c r="C534" s="1274"/>
      <c r="D534" s="222" t="str">
        <f>Parâmetros!C$20</f>
        <v>Crescimento Médio da Arrecadação</v>
      </c>
    </row>
    <row r="535" spans="1:4" ht="30" customHeight="1" x14ac:dyDescent="0.2">
      <c r="A535" s="1271" t="str">
        <f>'ORCAMENTO RECEITA ANALITICO'!G349</f>
        <v>Agrifest/Fefumo - Locações : Espaços P/Expositores</v>
      </c>
      <c r="B535" s="1273" t="str">
        <f>Parâmetros!C238</f>
        <v>Agrifest/Fefumo - Locações : Espaços P/Expositores</v>
      </c>
      <c r="C535" s="1274" t="s">
        <v>420</v>
      </c>
      <c r="D535" s="222" t="str">
        <f>Parâmetros!C$5</f>
        <v>MEDIA DA Variação do IPCA  E IGP-DI para 2016</v>
      </c>
    </row>
    <row r="536" spans="1:4" ht="30" customHeight="1" x14ac:dyDescent="0.2">
      <c r="A536" s="1271"/>
      <c r="B536" s="1273"/>
      <c r="C536" s="1274"/>
      <c r="D536" s="222" t="str">
        <f>Parâmetros!C$10</f>
        <v>Taxa de Câmbio (R$/US$) – dez  base informativo conjunto congresso nacional ldo uniao para 2016</v>
      </c>
    </row>
    <row r="537" spans="1:4" ht="30" customHeight="1" x14ac:dyDescent="0.2">
      <c r="A537" s="1271"/>
      <c r="B537" s="1273"/>
      <c r="C537" s="1274"/>
      <c r="D537" s="222" t="str">
        <f>Parâmetros!C$20</f>
        <v>Crescimento Médio da Arrecadação</v>
      </c>
    </row>
    <row r="538" spans="1:4" ht="30" customHeight="1" x14ac:dyDescent="0.2">
      <c r="A538" s="547" t="str">
        <f>'ORCAMENTO RECEITA ANALITICO'!G353</f>
        <v>Alienacao de Veiculos</v>
      </c>
      <c r="B538" s="548" t="str">
        <f>Parâmetros!C239</f>
        <v>Estimativa de Alienação de Veículos</v>
      </c>
      <c r="C538" s="549" t="s">
        <v>1943</v>
      </c>
      <c r="D538" s="222" t="str">
        <f>Parâmetros!C$239</f>
        <v>Estimativa de Alienação de Veículos</v>
      </c>
    </row>
    <row r="539" spans="1:4" ht="30" customHeight="1" x14ac:dyDescent="0.2">
      <c r="A539" s="547" t="str">
        <f>'ORCAMENTO RECEITA ANALITICO'!G354</f>
        <v>Alienacao De Moveis E Utensilios</v>
      </c>
      <c r="B539" s="548" t="str">
        <f>Parâmetros!C240</f>
        <v>Estimativa de alienação de Moveis e Utensilios</v>
      </c>
      <c r="C539" s="549" t="s">
        <v>1943</v>
      </c>
      <c r="D539" s="222" t="str">
        <f>Parâmetros!C$240</f>
        <v>Estimativa de alienação de Moveis e Utensilios</v>
      </c>
    </row>
    <row r="540" spans="1:4" ht="30" customHeight="1" x14ac:dyDescent="0.2">
      <c r="A540" s="547" t="str">
        <f>'ORCAMENTO RECEITA ANALITICO'!G355</f>
        <v>Alienacao De Equipamentos</v>
      </c>
      <c r="B540" s="548" t="str">
        <f>Parâmetros!C241</f>
        <v>Estimativa de alienação de Equipamentos</v>
      </c>
      <c r="C540" s="549" t="s">
        <v>1943</v>
      </c>
      <c r="D540" s="222" t="str">
        <f>Parâmetros!C$241</f>
        <v>Estimativa de alienação de Equipamentos</v>
      </c>
    </row>
    <row r="541" spans="1:4" ht="30" customHeight="1" x14ac:dyDescent="0.2">
      <c r="A541" s="547" t="str">
        <f>'ORCAMENTO RECEITA ANALITICO'!G356</f>
        <v>Alienacao de Sucatas e Materiais Diversos</v>
      </c>
      <c r="B541" s="548" t="str">
        <f>Parâmetros!C242</f>
        <v>Estimativa de Alienacao de Sucatas e Materiais Diversos</v>
      </c>
      <c r="C541" s="549" t="s">
        <v>1943</v>
      </c>
      <c r="D541" s="222" t="str">
        <f>Parâmetros!C242</f>
        <v>Estimativa de Alienacao de Sucatas e Materiais Diversos</v>
      </c>
    </row>
    <row r="542" spans="1:4" ht="30" customHeight="1" x14ac:dyDescent="0.2">
      <c r="A542" s="547" t="str">
        <f>'ORCAMENTO RECEITA ANALITICO'!G361</f>
        <v>Em. Parl. P/P/Ampliação UBS</v>
      </c>
      <c r="B542" s="548" t="str">
        <f>Parâmetros!C243</f>
        <v>Estimativa de receita de E.P. P/Ampliação UBS</v>
      </c>
      <c r="C542" s="549" t="s">
        <v>1943</v>
      </c>
      <c r="D542" s="222" t="str">
        <f>Parâmetros!C$243</f>
        <v>Estimativa de receita de E.P. P/Ampliação UBS</v>
      </c>
    </row>
    <row r="543" spans="1:4" ht="30" customHeight="1" x14ac:dyDescent="0.2">
      <c r="A543" s="547" t="str">
        <f>'ORCAMENTO RECEITA ANALITICO'!G362</f>
        <v>Transf. P/Aquisição de Veículo</v>
      </c>
      <c r="B543" s="548" t="str">
        <f>Parâmetros!C244</f>
        <v>Estimativa de receita de Transf. P/Aquisição de Veículo Saúde</v>
      </c>
      <c r="C543" s="549" t="s">
        <v>1943</v>
      </c>
      <c r="D543" s="222" t="str">
        <f>Parâmetros!C$243</f>
        <v>Estimativa de receita de E.P. P/Ampliação UBS</v>
      </c>
    </row>
    <row r="544" spans="1:4" ht="30" customHeight="1" x14ac:dyDescent="0.2">
      <c r="A544" s="547" t="str">
        <f>'ORCAMENTO RECEITA ANALITICO'!G364</f>
        <v>Convênio MAPA P/Aquisição de Retroescavadeira</v>
      </c>
      <c r="B544" s="548" t="str">
        <f>Parâmetros!C245</f>
        <v>Estimativa de receita de Convênio MAPA P/Aquisição de Retroescavadeira</v>
      </c>
      <c r="C544" s="549" t="s">
        <v>1943</v>
      </c>
      <c r="D544" s="222" t="str">
        <f>Parâmetros!C245</f>
        <v>Estimativa de receita de Convênio MAPA P/Aquisição de Retroescavadeira</v>
      </c>
    </row>
    <row r="545" spans="1:4" ht="30" customHeight="1" x14ac:dyDescent="0.2">
      <c r="A545" s="547" t="str">
        <f>'ORCAMENTO RECEITA ANALITICO'!G365</f>
        <v>Convênio MAPA P/Aquisição de Trator e Colhedora de Milho</v>
      </c>
      <c r="B545" s="548" t="str">
        <f>Parâmetros!C246</f>
        <v>Estimativa de receita de Convênio MAPA P/Aquisição de Trator e Colhedora de Milho</v>
      </c>
      <c r="C545" s="549" t="s">
        <v>1943</v>
      </c>
      <c r="D545" s="222" t="str">
        <f>Parâmetros!C246</f>
        <v>Estimativa de receita de Convênio MAPA P/Aquisição de Trator e Colhedora de Milho</v>
      </c>
    </row>
    <row r="546" spans="1:4" ht="30" customHeight="1" x14ac:dyDescent="0.2">
      <c r="A546" s="547" t="str">
        <f>'ORCAMENTO RECEITA ANALITICO'!G366</f>
        <v>Convênio MDA P/Aquisição de Pickup C/Câmara Fria</v>
      </c>
      <c r="B546" s="548" t="str">
        <f>Parâmetros!C247</f>
        <v>Estimativa de receita de Convênio MDA P/Aquisição de Pickup C/Câmara Fria</v>
      </c>
      <c r="C546" s="549" t="s">
        <v>1943</v>
      </c>
      <c r="D546" s="222" t="str">
        <f>Parâmetros!C247</f>
        <v>Estimativa de receita de Convênio MDA P/Aquisição de Pickup C/Câmara Fria</v>
      </c>
    </row>
    <row r="547" spans="1:4" ht="30" customHeight="1" x14ac:dyDescent="0.2">
      <c r="A547" s="547" t="str">
        <f>'ORCAMENTO RECEITA ANALITICO'!G369</f>
        <v>Consulta Popular 2014  P/Reforma UBS</v>
      </c>
      <c r="B547" s="548" t="str">
        <f>Parâmetros!C248</f>
        <v>Estimativa de receita de Consulta Popular 2014  P/Reforma UBS</v>
      </c>
      <c r="C547" s="549" t="s">
        <v>1943</v>
      </c>
      <c r="D547" s="222" t="str">
        <f>Parâmetros!C248</f>
        <v>Estimativa de receita de Consulta Popular 2014  P/Reforma UBS</v>
      </c>
    </row>
    <row r="548" spans="1:4" ht="30" customHeight="1" x14ac:dyDescent="0.2">
      <c r="A548" s="547" t="str">
        <f>'ORCAMENTO RECEITA ANALITICO'!G370</f>
        <v>Consulta Popular 2015  P/Aquisição de Equipamentos UBS</v>
      </c>
      <c r="B548" s="548" t="str">
        <f>Parâmetros!C249</f>
        <v>Estimativa de receita de Consulta Popular 2015  P/Aquisição de Equipamentos UBS</v>
      </c>
      <c r="C548" s="549" t="s">
        <v>1943</v>
      </c>
      <c r="D548" s="222" t="str">
        <f>Parâmetros!C249</f>
        <v>Estimativa de receita de Consulta Popular 2015  P/Aquisição de Equipamentos UBS</v>
      </c>
    </row>
    <row r="549" spans="1:4" ht="30" customHeight="1" x14ac:dyDescent="0.2">
      <c r="A549" s="547" t="str">
        <f>'ORCAMENTO RECEITA ANALITICO'!G371</f>
        <v>Consulta Popular Reginalização Saúde  P/Aquisição de Equipamentos e Mobiliario Saúde</v>
      </c>
      <c r="B549" s="548" t="str">
        <f>Parâmetros!C250</f>
        <v>Estimativa de receita de  Consulta Popular Reginalização Saúde  P/Aquisição de Equipamentos e Mobiliario Saúde</v>
      </c>
      <c r="C549" s="549" t="s">
        <v>1943</v>
      </c>
      <c r="D549" s="222" t="str">
        <f>Parâmetros!C250</f>
        <v>Estimativa de receita de  Consulta Popular Reginalização Saúde  P/Aquisição de Equipamentos e Mobiliario Saúde</v>
      </c>
    </row>
    <row r="550" spans="1:4" ht="30" customHeight="1" x14ac:dyDescent="0.2">
      <c r="A550" s="547" t="str">
        <f>'ORCAMENTO RECEITA ANALITICO'!G372</f>
        <v>Transferência P/Aquisição de Plataforma</v>
      </c>
      <c r="B550" s="548" t="str">
        <f>Parâmetros!C251</f>
        <v>Transferência P/Aquisição de Plataforma</v>
      </c>
      <c r="C550" s="549" t="s">
        <v>1943</v>
      </c>
      <c r="D550" s="222" t="str">
        <f>Parâmetros!C251</f>
        <v>Transferência P/Aquisição de Plataforma</v>
      </c>
    </row>
    <row r="551" spans="1:4" ht="30" customHeight="1" x14ac:dyDescent="0.2">
      <c r="A551" s="547" t="str">
        <f>'ORCAMENTO RECEITA ANALITICO'!G373</f>
        <v>Transferência P/Aquisição Veículos</v>
      </c>
      <c r="B551" s="548" t="str">
        <f>Parâmetros!C252</f>
        <v>Transferência P/Aquisição Veículos</v>
      </c>
      <c r="C551" s="549" t="s">
        <v>1943</v>
      </c>
      <c r="D551" s="222" t="str">
        <f>Parâmetros!C252</f>
        <v>Transferência P/Aquisição Veículos</v>
      </c>
    </row>
    <row r="552" spans="1:4" ht="30" customHeight="1" x14ac:dyDescent="0.2">
      <c r="A552" s="547" t="str">
        <f>'ORCAMENTO RECEITA ANALITICO'!G374</f>
        <v>Transferência P/Aquisição de Veículo Saúde Mental</v>
      </c>
      <c r="B552" s="548" t="str">
        <f>Parâmetros!C253</f>
        <v>Transferência P/Aquisição de Veículo Saúde Mental</v>
      </c>
      <c r="C552" s="549" t="s">
        <v>1943</v>
      </c>
      <c r="D552" s="222" t="str">
        <f>Parâmetros!C253</f>
        <v>Transferência P/Aquisição de Veículo Saúde Mental</v>
      </c>
    </row>
    <row r="553" spans="1:4" ht="30" customHeight="1" x14ac:dyDescent="0.2">
      <c r="A553" s="547" t="str">
        <f>'ORCAMENTO RECEITA ANALITICO'!G375</f>
        <v>Transferência P/Reforma Rede Elétrica</v>
      </c>
      <c r="B553" s="548" t="str">
        <f>Parâmetros!C254</f>
        <v>Transferência P/Reforma Rede Elétrica</v>
      </c>
      <c r="C553" s="549" t="s">
        <v>1943</v>
      </c>
      <c r="D553" s="222" t="str">
        <f>Parâmetros!C254</f>
        <v>Transferência P/Reforma Rede Elétrica</v>
      </c>
    </row>
    <row r="554" spans="1:4" ht="30" customHeight="1" x14ac:dyDescent="0.2">
      <c r="A554" s="547" t="str">
        <f>'ORCAMENTO RECEITA ANALITICO'!G377</f>
        <v>Consulta Popular 2013  P/aquis.  Equip.  e Mobiliário Educação</v>
      </c>
      <c r="B554" s="548" t="str">
        <f>Parâmetros!C255</f>
        <v>Estimativa de receita de Consulta Popular 2013  P/aquis.  Equip.  e Mobiliário Educação</v>
      </c>
      <c r="C554" s="549" t="s">
        <v>1943</v>
      </c>
      <c r="D554" s="222" t="str">
        <f>Parâmetros!C255</f>
        <v>Estimativa de receita de Consulta Popular 2013  P/aquis.  Equip.  e Mobiliário Educação</v>
      </c>
    </row>
    <row r="555" spans="1:4" ht="30" customHeight="1" x14ac:dyDescent="0.2">
      <c r="A555" s="547" t="str">
        <f>'ORCAMENTO RECEITA ANALITICO'!G379</f>
        <v>Consulta Popular 2013  P/aquis.  Veículo Utilitário para Agricultura</v>
      </c>
      <c r="B555" s="548" t="str">
        <f>Parâmetros!C256</f>
        <v>Estimativa de receita de Consulta Popular 2013  P/aquis.  Veículo Utilitário para Agricultura</v>
      </c>
      <c r="C555" s="549" t="s">
        <v>1943</v>
      </c>
      <c r="D555" s="222" t="str">
        <f>Parâmetros!C256</f>
        <v>Estimativa de receita de Consulta Popular 2013  P/aquis.  Veículo Utilitário para Agricultura</v>
      </c>
    </row>
    <row r="556" spans="1:4" ht="30" customHeight="1" x14ac:dyDescent="0.2">
      <c r="A556" s="547" t="str">
        <f>'ORCAMENTO RECEITA ANALITICO'!G380</f>
        <v>Consulta Popular 2014  P/aquis.  Equip. Agric. Familiar</v>
      </c>
      <c r="B556" s="548" t="str">
        <f>Parâmetros!C257</f>
        <v>Estimativa de receita de Consulta Popular 2014  P/aquis.  Equip. Agric. Familiar</v>
      </c>
      <c r="C556" s="549" t="s">
        <v>1943</v>
      </c>
      <c r="D556" s="222" t="str">
        <f>Parâmetros!C257</f>
        <v>Estimativa de receita de Consulta Popular 2014  P/aquis.  Equip. Agric. Familiar</v>
      </c>
    </row>
    <row r="557" spans="1:4" ht="30" customHeight="1" x14ac:dyDescent="0.2">
      <c r="A557" s="547" t="str">
        <f>'ORCAMENTO RECEITA ANALITICO'!G381</f>
        <v>Consulta Popular 2015  P/Qualificação aquis. Implementos e Materiais Esportivos</v>
      </c>
      <c r="B557" s="548" t="str">
        <f>Parâmetros!C258</f>
        <v>Estimativa de receita de Consulta Popular 2015  P/Qualificação aquis. Implementos e Materiais Esportivos</v>
      </c>
      <c r="C557" s="549" t="s">
        <v>1943</v>
      </c>
      <c r="D557" s="222" t="str">
        <f>Parâmetros!C258</f>
        <v>Estimativa de receita de Consulta Popular 2015  P/Qualificação aquis. Implementos e Materiais Esportivos</v>
      </c>
    </row>
    <row r="558" spans="1:4" ht="30" customHeight="1" x14ac:dyDescent="0.2">
      <c r="A558" s="547" t="str">
        <f>'ORCAMENTO RECEITA ANALITICO'!G382</f>
        <v xml:space="preserve">Consulta Popular 2015  P/Regionalização Abasteceimento Aquisição de Veículo </v>
      </c>
      <c r="B558" s="548" t="str">
        <f>Parâmetros!C259</f>
        <v xml:space="preserve">Estimativa de receita de Consulta Popular 2015  P/Regionalização Abasteceimento Aquisição de Veículo </v>
      </c>
      <c r="C558" s="549" t="s">
        <v>1943</v>
      </c>
      <c r="D558" s="222" t="str">
        <f>Parâmetros!C259</f>
        <v xml:space="preserve">Estimativa de receita de Consulta Popular 2015  P/Regionalização Abasteceimento Aquisição de Veículo </v>
      </c>
    </row>
    <row r="559" spans="1:4" ht="30" customHeight="1" x14ac:dyDescent="0.2">
      <c r="A559" s="547" t="str">
        <f>'ORCAMENTO RECEITA ANALITICO'!G383</f>
        <v>Transferencia do Estado Convênio Lei 1020/2015 - Recursos P/Pesca e Cooperativismo</v>
      </c>
      <c r="B559" s="548" t="str">
        <f>Parâmetros!C260</f>
        <v>Estimativa de receita de Transferencia do Estado Convênio Lei 1020/2015 - Recursos P/Pesca e Cooperativismo</v>
      </c>
      <c r="C559" s="549" t="s">
        <v>1943</v>
      </c>
      <c r="D559" s="222" t="str">
        <f>Parâmetros!C260</f>
        <v>Estimativa de receita de Transferencia do Estado Convênio Lei 1020/2015 - Recursos P/Pesca e Cooperativismo</v>
      </c>
    </row>
    <row r="560" spans="1:4" ht="30" customHeight="1" x14ac:dyDescent="0.2">
      <c r="A560" s="547" t="str">
        <f>'ORCAMENTO RECEITA ANALITICO'!G387</f>
        <v>Rem. Depositos Bancarios - Fns</v>
      </c>
      <c r="B560" s="548" t="str">
        <f>Parâmetros!C261</f>
        <v>Rem. Depositos Bancarios - Fns</v>
      </c>
      <c r="C560" s="549" t="s">
        <v>1943</v>
      </c>
      <c r="D560" s="222" t="str">
        <f>Parâmetros!C261</f>
        <v>Rem. Depositos Bancarios - Fns</v>
      </c>
    </row>
    <row r="561" spans="1:4" ht="30" customHeight="1" x14ac:dyDescent="0.2">
      <c r="A561" s="547" t="str">
        <f>'ORCAMENTO RECEITA ANALITICO'!G388</f>
        <v>Rem. Depositos Bancarios - Recurso Ccfgs</v>
      </c>
      <c r="B561" s="548" t="str">
        <f>Parâmetros!C262</f>
        <v>Rem. Depositos Bancarios - Recurso Ccfgs</v>
      </c>
      <c r="C561" s="549" t="s">
        <v>1943</v>
      </c>
      <c r="D561" s="222" t="str">
        <f>Parâmetros!C262</f>
        <v>Rem. Depositos Bancarios - Recurso Ccfgs</v>
      </c>
    </row>
    <row r="562" spans="1:4" ht="30" customHeight="1" x14ac:dyDescent="0.2">
      <c r="A562" s="547" t="str">
        <f>'ORCAMENTO RECEITA ANALITICO'!G389</f>
        <v>Rem. Depositos Bancarios - Min. Educacao/esporte</v>
      </c>
      <c r="B562" s="548" t="str">
        <f>Parâmetros!C263</f>
        <v>Rem. Depositos Bancarios - Min. Educacao/esporte</v>
      </c>
      <c r="C562" s="549" t="s">
        <v>1943</v>
      </c>
      <c r="D562" s="222" t="str">
        <f>Parâmetros!C263</f>
        <v>Rem. Depositos Bancarios - Min. Educacao/esporte</v>
      </c>
    </row>
    <row r="563" spans="1:4" ht="30" customHeight="1" x14ac:dyDescent="0.2">
      <c r="A563" s="547" t="str">
        <f>'ORCAMENTO RECEITA ANALITICO'!G390</f>
        <v>Rem. Depositos Bancarios - Em. Parl. P/construcao De Portico Turistico</v>
      </c>
      <c r="B563" s="548" t="str">
        <f>Parâmetros!C264</f>
        <v>Rem. Depositos Bancarios - Em. Parl. P/construcao De Portico Turistico</v>
      </c>
      <c r="C563" s="549" t="s">
        <v>1943</v>
      </c>
      <c r="D563" s="222" t="str">
        <f>Parâmetros!C264</f>
        <v>Rem. Depositos Bancarios - Em. Parl. P/construcao De Portico Turistico</v>
      </c>
    </row>
    <row r="564" spans="1:4" ht="30" customHeight="1" x14ac:dyDescent="0.2">
      <c r="A564" s="547" t="str">
        <f>'ORCAMENTO RECEITA ANALITICO'!G391</f>
        <v>Rem. Depositos Bancarios - Em. Parl. P/ampliacao Do Posto De Saude</v>
      </c>
      <c r="B564" s="548" t="str">
        <f>Parâmetros!C265</f>
        <v>Rem. Depositos Bancarios - Em. Parl. P/ampliacao Do Posto De Saude</v>
      </c>
      <c r="C564" s="549" t="s">
        <v>1943</v>
      </c>
      <c r="D564" s="222" t="str">
        <f>Parâmetros!C265</f>
        <v>Rem. Depositos Bancarios - Em. Parl. P/ampliacao Do Posto De Saude</v>
      </c>
    </row>
    <row r="565" spans="1:4" ht="30" customHeight="1" x14ac:dyDescent="0.2">
      <c r="A565" s="547" t="str">
        <f>'ORCAMENTO RECEITA ANALITICO'!G392</f>
        <v>Rem. Depositos Bancarios - Consulta Popular - Eq. Saude.</v>
      </c>
      <c r="B565" s="548" t="str">
        <f>Parâmetros!C266</f>
        <v>Rem. Depositos Bancarios - Consulta Popular - Eq. Saude.</v>
      </c>
      <c r="C565" s="549" t="s">
        <v>1943</v>
      </c>
      <c r="D565" s="222" t="str">
        <f>Parâmetros!C266</f>
        <v>Rem. Depositos Bancarios - Consulta Popular - Eq. Saude.</v>
      </c>
    </row>
    <row r="566" spans="1:4" ht="30" customHeight="1" x14ac:dyDescent="0.2">
      <c r="A566" s="547" t="str">
        <f>'ORCAMENTO RECEITA ANALITICO'!G393</f>
        <v>Rem. Depositos Bancarios - Consulta Popular - REFORMA UBS</v>
      </c>
      <c r="B566" s="548" t="str">
        <f>Parâmetros!C267</f>
        <v>Rend. Aplic. Bancarias - Consulta Popular 2012 P/aquis. Equip. ubs</v>
      </c>
      <c r="C566" s="549" t="s">
        <v>1943</v>
      </c>
      <c r="D566" s="222" t="str">
        <f>Parâmetros!C267</f>
        <v>Rend. Aplic. Bancarias - Consulta Popular 2012 P/aquis. Equip. ubs</v>
      </c>
    </row>
    <row r="567" spans="1:4" ht="30" customHeight="1" x14ac:dyDescent="0.2">
      <c r="A567" s="547" t="str">
        <f>'ORCAMENTO RECEITA ANALITICO'!G394</f>
        <v>Rend. Aplic. Bancarias -Transf. PAC Const. De Mod. Sanitaria</v>
      </c>
      <c r="B567" s="548" t="str">
        <f>Parâmetros!C268</f>
        <v>Rend. Aplic. Bancarias -Transf. PAC Const. De Mod. Sanitaria</v>
      </c>
      <c r="C567" s="549" t="s">
        <v>1943</v>
      </c>
      <c r="D567" s="222" t="str">
        <f>Parâmetros!C268</f>
        <v>Rend. Aplic. Bancarias -Transf. PAC Const. De Mod. Sanitaria</v>
      </c>
    </row>
    <row r="568" spans="1:4" ht="30" customHeight="1" x14ac:dyDescent="0.2">
      <c r="A568" s="547" t="str">
        <f>'ORCAMENTO RECEITA ANALITICO'!G395</f>
        <v>Rem. De Transf. Estado para Aquis. De Van Processo 88385-2000/131</v>
      </c>
      <c r="B568" s="548" t="str">
        <f>Parâmetros!C269</f>
        <v>Rem. De Transf. Estado para Aquis. De Van Processo 88385-2000/131</v>
      </c>
      <c r="C568" s="549" t="s">
        <v>1943</v>
      </c>
      <c r="D568" s="222" t="str">
        <f>Parâmetros!C269</f>
        <v>Rem. De Transf. Estado para Aquis. De Van Processo 88385-2000/131</v>
      </c>
    </row>
    <row r="569" spans="1:4" ht="30" customHeight="1" x14ac:dyDescent="0.2">
      <c r="A569" s="547" t="str">
        <f>'ORCAMENTO RECEITA ANALITICO'!G396</f>
        <v>Rem. De Transf. Estado para Aquis. De Gerador Processo 88733-2000/130</v>
      </c>
      <c r="B569" s="548" t="str">
        <f>Parâmetros!C270</f>
        <v>Rem. De Transf. Estado para Aquis. De Gerador Processo 88733-2000/130</v>
      </c>
      <c r="C569" s="549" t="s">
        <v>1943</v>
      </c>
      <c r="D569" s="222" t="str">
        <f>Parâmetros!C270</f>
        <v>Rem. De Transf. Estado para Aquis. De Gerador Processo 88733-2000/130</v>
      </c>
    </row>
    <row r="570" spans="1:4" ht="30" customHeight="1" x14ac:dyDescent="0.2">
      <c r="A570" s="547" t="str">
        <f>'ORCAMENTO RECEITA ANALITICO'!G397</f>
        <v>Rend. Aplic. Bancarias - Convênio MAPA P/Aquisição de Retroescavadeira</v>
      </c>
      <c r="B570" s="548" t="str">
        <f>Parâmetros!C271</f>
        <v xml:space="preserve">Rem. De E.P. 401  Aq. De Equip. Patrulha Agricola. Proj 242/13 </v>
      </c>
      <c r="C570" s="549" t="s">
        <v>1943</v>
      </c>
      <c r="D570" s="222" t="str">
        <f>Parâmetros!C271</f>
        <v xml:space="preserve">Rem. De E.P. 401  Aq. De Equip. Patrulha Agricola. Proj 242/13 </v>
      </c>
    </row>
    <row r="571" spans="1:4" ht="30" customHeight="1" x14ac:dyDescent="0.2">
      <c r="A571" s="547" t="str">
        <f>'ORCAMENTO RECEITA ANALITICO'!G398</f>
        <v>Rend. Aplic. Bancarias - Convênio MAPA P/Aquisição de Trator e Colhedora de Milho</v>
      </c>
      <c r="B571" s="548" t="str">
        <f>Parâmetros!C272</f>
        <v>Rend. Aplic. Bancarias - Convênio MAPA P/Aquisição de Retroescavadeira</v>
      </c>
      <c r="C571" s="549" t="s">
        <v>1943</v>
      </c>
      <c r="D571" s="222" t="str">
        <f>Parâmetros!C272</f>
        <v>Rend. Aplic. Bancarias - Convênio MAPA P/Aquisição de Retroescavadeira</v>
      </c>
    </row>
    <row r="572" spans="1:4" ht="30" customHeight="1" x14ac:dyDescent="0.2">
      <c r="A572" s="547" t="str">
        <f>'ORCAMENTO RECEITA ANALITICO'!G399</f>
        <v>Rend. Aplic. Bancarias - Convênio MDA P/Aquisição de Pickup C/Câmara Fria</v>
      </c>
      <c r="B572" s="548" t="str">
        <f>Parâmetros!C273</f>
        <v>Rend. Aplic. Bancarias - Convênio MAPA P/Aquisição de Trator e Colhedora de Milho</v>
      </c>
      <c r="C572" s="549" t="s">
        <v>1943</v>
      </c>
      <c r="D572" s="222" t="str">
        <f>Parâmetros!C273</f>
        <v>Rend. Aplic. Bancarias - Convênio MAPA P/Aquisição de Trator e Colhedora de Milho</v>
      </c>
    </row>
    <row r="573" spans="1:4" ht="30" customHeight="1" x14ac:dyDescent="0.2">
      <c r="A573" s="547" t="str">
        <f>'ORCAMENTO RECEITA ANALITICO'!G400</f>
        <v>Rend. Aplic. Bancarias - Consulta Popular 2014  P/Reforma UBS</v>
      </c>
      <c r="B573" s="548" t="str">
        <f>Parâmetros!C274</f>
        <v>Rend. Aplic. Bancarias - Convênio MDA P/Aquisição de Pickup C/Câmara Fria</v>
      </c>
      <c r="C573" s="549" t="s">
        <v>1943</v>
      </c>
      <c r="D573" s="222" t="str">
        <f>Parâmetros!C274</f>
        <v>Rend. Aplic. Bancarias - Convênio MDA P/Aquisição de Pickup C/Câmara Fria</v>
      </c>
    </row>
    <row r="574" spans="1:4" ht="30" customHeight="1" x14ac:dyDescent="0.2">
      <c r="A574" s="547" t="str">
        <f>'ORCAMENTO RECEITA ANALITICO'!G401</f>
        <v>Rend. Aplic. Bancarias - Consulta Popular 2015  P/Aquisição de Equipamentos UBS</v>
      </c>
      <c r="B574" s="548" t="str">
        <f>Parâmetros!C275</f>
        <v>Rend. Aplic. Bancarias - Consulta Popular 2014  P/Reforma UBS</v>
      </c>
      <c r="C574" s="549" t="s">
        <v>1943</v>
      </c>
      <c r="D574" s="222" t="str">
        <f>Parâmetros!C275</f>
        <v>Rend. Aplic. Bancarias - Consulta Popular 2014  P/Reforma UBS</v>
      </c>
    </row>
    <row r="575" spans="1:4" ht="30" customHeight="1" x14ac:dyDescent="0.2">
      <c r="A575" s="547" t="str">
        <f>'ORCAMENTO RECEITA ANALITICO'!G402</f>
        <v>Rend. Aplic. Bancarias - Consulta Popular Reginalização Saúde  P/Aquisição de Equipamentos e Mobiliario Saúde</v>
      </c>
      <c r="B575" s="548" t="str">
        <f>Parâmetros!C276</f>
        <v>Rend. Aplic. Bancarias - Consulta Popular 2015  P/Aquisição de Equipamentos UBS</v>
      </c>
      <c r="C575" s="549" t="s">
        <v>1943</v>
      </c>
      <c r="D575" s="222" t="str">
        <f>Parâmetros!C276</f>
        <v>Rend. Aplic. Bancarias - Consulta Popular 2015  P/Aquisição de Equipamentos UBS</v>
      </c>
    </row>
    <row r="576" spans="1:4" ht="30" customHeight="1" x14ac:dyDescent="0.2">
      <c r="A576" s="547" t="str">
        <f>'ORCAMENTO RECEITA ANALITICO'!G403</f>
        <v>Rend. Aplic. Bancarias - Consulta Popular 2013  P/aquis.  Equip.  e Mobiliário Educação</v>
      </c>
      <c r="B576" s="548" t="str">
        <f>Parâmetros!C277</f>
        <v>Rend. Aplic. Bancarias - Consulta Popular Reginalização Saúde  P/Aquisição de Equipamentos e Mobiliario Saúde</v>
      </c>
      <c r="C576" s="549" t="s">
        <v>1943</v>
      </c>
      <c r="D576" s="222" t="str">
        <f>Parâmetros!C277</f>
        <v>Rend. Aplic. Bancarias - Consulta Popular Reginalização Saúde  P/Aquisição de Equipamentos e Mobiliario Saúde</v>
      </c>
    </row>
    <row r="577" spans="1:4" ht="30" customHeight="1" x14ac:dyDescent="0.2">
      <c r="A577" s="547" t="str">
        <f>'ORCAMENTO RECEITA ANALITICO'!G404</f>
        <v>Rend. Aplic. Banc. Consulta Popular 2013  P/aquis.  Veículo Utilitário para Agricultura</v>
      </c>
      <c r="B577" s="548" t="str">
        <f>Parâmetros!C278</f>
        <v>Rend. Aplic. Bancarias - Consulta Popular 2013  P/aquis.  Equip.  e Mobiliário Educação</v>
      </c>
      <c r="C577" s="549" t="s">
        <v>1943</v>
      </c>
      <c r="D577" s="222" t="str">
        <f>Parâmetros!C278</f>
        <v>Rend. Aplic. Bancarias - Consulta Popular 2013  P/aquis.  Equip.  e Mobiliário Educação</v>
      </c>
    </row>
    <row r="578" spans="1:4" ht="30" customHeight="1" x14ac:dyDescent="0.2">
      <c r="A578" s="547" t="str">
        <f>'ORCAMENTO RECEITA ANALITICO'!G405</f>
        <v>Rend. Aplic. Banc. Consulta Popular 2014  P/aquis.  Equip. Agric. Familiar</v>
      </c>
      <c r="B578" s="548" t="str">
        <f>Parâmetros!C279</f>
        <v>Rend. Aplic. Banc. Consulta Popular 2013  P/aquis.  Veículo Utilitário para Agricultura</v>
      </c>
      <c r="C578" s="549" t="s">
        <v>1943</v>
      </c>
      <c r="D578" s="222" t="str">
        <f>Parâmetros!C279</f>
        <v>Rend. Aplic. Banc. Consulta Popular 2013  P/aquis.  Veículo Utilitário para Agricultura</v>
      </c>
    </row>
    <row r="579" spans="1:4" ht="30" customHeight="1" x14ac:dyDescent="0.2">
      <c r="A579" s="547" t="str">
        <f>'ORCAMENTO RECEITA ANALITICO'!G406</f>
        <v>Rend. Aplic. Banc. Consulta Popular 2015  P/Qualificação aquis. Implementos e Materiais Esportivos</v>
      </c>
      <c r="B579" s="548" t="str">
        <f>Parâmetros!C280</f>
        <v>Rend. Aplic. Banc. Consulta Popular 2014  P/aquis.  Equip. Agric. Familiar</v>
      </c>
      <c r="C579" s="549" t="s">
        <v>1943</v>
      </c>
      <c r="D579" s="222" t="str">
        <f>Parâmetros!C280</f>
        <v>Rend. Aplic. Banc. Consulta Popular 2014  P/aquis.  Equip. Agric. Familiar</v>
      </c>
    </row>
    <row r="580" spans="1:4" ht="30" customHeight="1" x14ac:dyDescent="0.2">
      <c r="A580" s="547" t="str">
        <f>'ORCAMENTO RECEITA ANALITICO'!G407</f>
        <v xml:space="preserve">Rend. Aplic. Banc. Consulta Popular 2015  P/Reg. Abasteceimento Aquisição de Veículo </v>
      </c>
      <c r="B580" s="548" t="str">
        <f>Parâmetros!C281</f>
        <v>Rend. Aplic. Banc. Consulta Popular 2015  P/Qualificação aquis. Implementos e Materiais Esportivos</v>
      </c>
      <c r="C580" s="549" t="s">
        <v>1943</v>
      </c>
      <c r="D580" s="222" t="str">
        <f>Parâmetros!C281</f>
        <v>Rend. Aplic. Banc. Consulta Popular 2015  P/Qualificação aquis. Implementos e Materiais Esportivos</v>
      </c>
    </row>
    <row r="581" spans="1:4" ht="30" customHeight="1" x14ac:dyDescent="0.2">
      <c r="A581" s="547" t="str">
        <f>'ORCAMENTO RECEITA ANALITICO'!G408</f>
        <v>Rend. Aplic. Banc. Transferencia do Estado Convênio Lei 1020/2015 - Recursos P/Pesca e Cooperativismo</v>
      </c>
      <c r="B581" s="548" t="str">
        <f>Parâmetros!C282</f>
        <v xml:space="preserve">Rend. Aplic. Banc. Consulta Popular 2015  P/Reg. Abasteceimento Aquisição de Veículo </v>
      </c>
      <c r="C581" s="549" t="s">
        <v>1943</v>
      </c>
      <c r="D581" s="222" t="str">
        <f>Parâmetros!C282</f>
        <v xml:space="preserve">Rend. Aplic. Banc. Consulta Popular 2015  P/Reg. Abasteceimento Aquisição de Veículo </v>
      </c>
    </row>
    <row r="582" spans="1:4" ht="30" customHeight="1" x14ac:dyDescent="0.2">
      <c r="A582" s="547" t="str">
        <f>'ORCAMENTO RECEITA ANALITICO'!G409</f>
        <v>Transf. P/Aquisição de Veículo</v>
      </c>
      <c r="B582" s="548" t="str">
        <f>Parâmetros!C283</f>
        <v>Transf. P/Aquisição de Veículo</v>
      </c>
      <c r="C582" s="549" t="s">
        <v>1943</v>
      </c>
      <c r="D582" s="222" t="str">
        <f>Parâmetros!C283</f>
        <v>Transf. P/Aquisição de Veículo</v>
      </c>
    </row>
    <row r="583" spans="1:4" ht="30" customHeight="1" x14ac:dyDescent="0.2">
      <c r="A583" s="547" t="str">
        <f>'ORCAMENTO RECEITA ANALITICO'!G410</f>
        <v>Transferência P/Aquisição de Plataforma</v>
      </c>
      <c r="B583" s="548" t="str">
        <f>Parâmetros!C284</f>
        <v>Transferência P/Aquisição de Plataforma</v>
      </c>
      <c r="C583" s="549" t="s">
        <v>1943</v>
      </c>
      <c r="D583" s="222" t="str">
        <f>Parâmetros!C284</f>
        <v>Transferência P/Aquisição de Plataforma</v>
      </c>
    </row>
    <row r="584" spans="1:4" ht="30" customHeight="1" x14ac:dyDescent="0.2">
      <c r="A584" s="547" t="str">
        <f>'ORCAMENTO RECEITA ANALITICO'!G411</f>
        <v>Transferência P/Aquisição Veículos</v>
      </c>
      <c r="B584" s="548" t="str">
        <f>Parâmetros!C285</f>
        <v>Transferência P/Aquisição Veículos</v>
      </c>
      <c r="C584" s="549" t="s">
        <v>1943</v>
      </c>
      <c r="D584" s="222" t="str">
        <f>Parâmetros!C285</f>
        <v>Transferência P/Aquisição Veículos</v>
      </c>
    </row>
    <row r="585" spans="1:4" ht="30" customHeight="1" x14ac:dyDescent="0.2">
      <c r="A585" s="547" t="str">
        <f>'ORCAMENTO RECEITA ANALITICO'!G412</f>
        <v>Transferência P/Aquisição de Veículo Saúde Mental</v>
      </c>
      <c r="B585" s="548" t="str">
        <f>Parâmetros!C286</f>
        <v>Transferência P/Aquisição de Veículo Saúde Mental</v>
      </c>
      <c r="C585" s="549" t="s">
        <v>1943</v>
      </c>
      <c r="D585" s="222" t="str">
        <f>Parâmetros!C286</f>
        <v>Transferência P/Aquisição de Veículo Saúde Mental</v>
      </c>
    </row>
    <row r="586" spans="1:4" ht="30" customHeight="1" x14ac:dyDescent="0.2">
      <c r="A586" s="547" t="str">
        <f>'ORCAMENTO RECEITA ANALITICO'!G413</f>
        <v>Transferência P/Reforma Rede Elétrica</v>
      </c>
      <c r="B586" s="548" t="str">
        <f>Parâmetros!C287</f>
        <v>Transferência P/Reforma Rede Elétrica</v>
      </c>
      <c r="C586" s="549" t="s">
        <v>1943</v>
      </c>
      <c r="D586" s="222" t="str">
        <f>Parâmetros!C287</f>
        <v>Transferência P/Reforma Rede Elétrica</v>
      </c>
    </row>
    <row r="587" spans="1:4" ht="30" customHeight="1" x14ac:dyDescent="0.2">
      <c r="A587" s="547" t="str">
        <f>'ORCAMENTO RECEITA ANALITICO'!G414</f>
        <v>Receitas Diversas</v>
      </c>
      <c r="B587" s="548" t="str">
        <f>Parâmetros!C289</f>
        <v>Estimativa de Receitas Diversas</v>
      </c>
      <c r="C587" s="549" t="s">
        <v>1943</v>
      </c>
      <c r="D587" s="222" t="str">
        <f>Parâmetros!C289</f>
        <v>Estimativa de Receitas Diversas</v>
      </c>
    </row>
    <row r="588" spans="1:4" ht="30" customHeight="1" x14ac:dyDescent="0.2">
      <c r="A588" s="547" t="str">
        <f>'ORCAMENTO RECEITA ANALITICO'!G419</f>
        <v>(r) Deducoes Da Receita De Impostos Sobre O Patrimonio E A Renda</v>
      </c>
      <c r="B588" s="548" t="str">
        <f>Parâmetros!C290</f>
        <v>Estimativa de receita de Iptu - Dedução do IPTU</v>
      </c>
      <c r="C588" s="549" t="s">
        <v>1943</v>
      </c>
      <c r="D588" s="222" t="str">
        <f>Parâmetros!C$290</f>
        <v>Estimativa de receita de Iptu - Dedução do IPTU</v>
      </c>
    </row>
    <row r="589" spans="1:4" ht="30" customHeight="1" x14ac:dyDescent="0.2">
      <c r="A589" s="547" t="str">
        <f>'ORCAMENTO RECEITA ANALITICO'!G420</f>
        <v>Iptu - Deducao Proprio</v>
      </c>
      <c r="B589" s="548" t="str">
        <f>Parâmetros!C290</f>
        <v>Estimativa de receita de Iptu - Dedução do IPTU</v>
      </c>
      <c r="C589" s="549" t="s">
        <v>419</v>
      </c>
      <c r="D589" s="222" t="str">
        <f>Parâmetros!C$11</f>
        <v>Estimativa de Percentual de para Aplicação de Recursos Livres</v>
      </c>
    </row>
    <row r="590" spans="1:4" ht="30" customHeight="1" x14ac:dyDescent="0.2">
      <c r="A590" s="1271" t="str">
        <f>'ORCAMENTO RECEITA ANALITICO'!G421</f>
        <v>Iptu - Deducao Mde</v>
      </c>
      <c r="B590" s="1273" t="str">
        <f>Parâmetros!C290</f>
        <v>Estimativa de receita de Iptu - Dedução do IPTU</v>
      </c>
      <c r="C590" s="1281" t="s">
        <v>419</v>
      </c>
      <c r="D590" s="222" t="str">
        <f>Parâmetros!C$13</f>
        <v>Estimativa de Repasse para  o MDE S/(Impostos Municipais)</v>
      </c>
    </row>
    <row r="591" spans="1:4" ht="30" customHeight="1" x14ac:dyDescent="0.2">
      <c r="A591" s="1271"/>
      <c r="B591" s="1273"/>
      <c r="C591" s="1281"/>
      <c r="D591" s="222" t="str">
        <f>Parâmetros!C$14</f>
        <v>Estimativa de Repasse para  o MDE S/(Impostos Municipais) Complemento</v>
      </c>
    </row>
    <row r="592" spans="1:4" ht="30" customHeight="1" x14ac:dyDescent="0.2">
      <c r="A592" s="1271" t="str">
        <f>'ORCAMENTO RECEITA ANALITICO'!G422</f>
        <v>Iptu - Deducao ASPS</v>
      </c>
      <c r="B592" s="1273" t="str">
        <f>Parâmetros!C290</f>
        <v>Estimativa de receita de Iptu - Dedução do IPTU</v>
      </c>
      <c r="C592" s="1281" t="s">
        <v>419</v>
      </c>
      <c r="D592" s="222" t="str">
        <f>Parâmetros!C$18</f>
        <v>Estimativa de Repasse para  o ASPS</v>
      </c>
    </row>
    <row r="593" spans="1:4" ht="30" customHeight="1" x14ac:dyDescent="0.2">
      <c r="A593" s="1271"/>
      <c r="B593" s="1273"/>
      <c r="C593" s="1281"/>
      <c r="D593" s="222" t="str">
        <f>Parâmetros!C$19</f>
        <v>Estimativa de Repasse para  o ASPS Complemento</v>
      </c>
    </row>
    <row r="594" spans="1:4" ht="30" customHeight="1" x14ac:dyDescent="0.2">
      <c r="A594" s="547" t="str">
        <f>'ORCAMENTO RECEITA ANALITICO'!G424</f>
        <v>Deducao Taxa de Expediente</v>
      </c>
      <c r="B594" s="548" t="str">
        <f>Parâmetros!C291</f>
        <v>Estimativa de receita -  Dedução de Taxa de Expediente</v>
      </c>
      <c r="C594" s="549" t="s">
        <v>1943</v>
      </c>
      <c r="D594" s="222" t="str">
        <f>Parâmetros!C291</f>
        <v>Estimativa de receita -  Dedução de Taxa de Expediente</v>
      </c>
    </row>
    <row r="595" spans="1:4" ht="30" customHeight="1" x14ac:dyDescent="0.2">
      <c r="A595" s="547" t="str">
        <f>'ORCAMENTO RECEITA ANALITICO'!G430</f>
        <v>(r) Deducao Da Rec. P/form. Do Fundeb - Fpm</v>
      </c>
      <c r="B595" s="548" t="str">
        <f>Parâmetros!C17</f>
        <v>Estimativa de Repasse para  o Fundeb S/FUNDEB S/(FPM, ITR, LEI 87/96, ICMS, IPVA,  IPI/EXP)</v>
      </c>
      <c r="C595" s="549" t="s">
        <v>1943</v>
      </c>
      <c r="D595" s="226" t="str">
        <f>Parâmetros!C17</f>
        <v>Estimativa de Repasse para  o Fundeb S/FUNDEB S/(FPM, ITR, LEI 87/96, ICMS, IPVA,  IPI/EXP)</v>
      </c>
    </row>
    <row r="596" spans="1:4" ht="30" customHeight="1" x14ac:dyDescent="0.2">
      <c r="A596" s="547" t="str">
        <f>'ORCAMENTO RECEITA ANALITICO'!G432</f>
        <v>(r) Deducao Da Rec. P/form. Do Fundeb - Itr</v>
      </c>
      <c r="B596" s="548" t="str">
        <f>Parâmetros!C17</f>
        <v>Estimativa de Repasse para  o Fundeb S/FUNDEB S/(FPM, ITR, LEI 87/96, ICMS, IPVA,  IPI/EXP)</v>
      </c>
      <c r="C596" s="549" t="s">
        <v>1943</v>
      </c>
      <c r="D596" s="226" t="str">
        <f>Parâmetros!C17</f>
        <v>Estimativa de Repasse para  o Fundeb S/FUNDEB S/(FPM, ITR, LEI 87/96, ICMS, IPVA,  IPI/EXP)</v>
      </c>
    </row>
    <row r="597" spans="1:4" ht="30" customHeight="1" x14ac:dyDescent="0.2">
      <c r="A597" s="547" t="str">
        <f>'ORCAMENTO RECEITA ANALITICO'!G434</f>
        <v>(r) Deducao Da Rec .p/form. Do Fundeb - Icms Deson. - Lc 87/96</v>
      </c>
      <c r="B597" s="548" t="str">
        <f>Parâmetros!C17</f>
        <v>Estimativa de Repasse para  o Fundeb S/FUNDEB S/(FPM, ITR, LEI 87/96, ICMS, IPVA,  IPI/EXP)</v>
      </c>
      <c r="C597" s="549" t="s">
        <v>1943</v>
      </c>
      <c r="D597" s="226" t="str">
        <f>Parâmetros!C17</f>
        <v>Estimativa de Repasse para  o Fundeb S/FUNDEB S/(FPM, ITR, LEI 87/96, ICMS, IPVA,  IPI/EXP)</v>
      </c>
    </row>
    <row r="598" spans="1:4" ht="30" customHeight="1" x14ac:dyDescent="0.2">
      <c r="A598" s="547" t="str">
        <f>'ORCAMENTO RECEITA ANALITICO'!G438</f>
        <v>(r) Deducao Da Rec. P/form. Do Fundeb - Icms</v>
      </c>
      <c r="B598" s="548" t="str">
        <f>Parâmetros!C17</f>
        <v>Estimativa de Repasse para  o Fundeb S/FUNDEB S/(FPM, ITR, LEI 87/96, ICMS, IPVA,  IPI/EXP)</v>
      </c>
      <c r="C598" s="549" t="s">
        <v>1943</v>
      </c>
      <c r="D598" s="226" t="str">
        <f>Parâmetros!C17</f>
        <v>Estimativa de Repasse para  o Fundeb S/FUNDEB S/(FPM, ITR, LEI 87/96, ICMS, IPVA,  IPI/EXP)</v>
      </c>
    </row>
    <row r="599" spans="1:4" ht="30" customHeight="1" x14ac:dyDescent="0.2">
      <c r="A599" s="547" t="str">
        <f>'ORCAMENTO RECEITA ANALITICO'!G440</f>
        <v>(r) Deducao Da Rec. P/form. Do Fundeb - Ipva</v>
      </c>
      <c r="B599" s="548" t="str">
        <f>Parâmetros!C17</f>
        <v>Estimativa de Repasse para  o Fundeb S/FUNDEB S/(FPM, ITR, LEI 87/96, ICMS, IPVA,  IPI/EXP)</v>
      </c>
      <c r="C599" s="549" t="s">
        <v>1943</v>
      </c>
      <c r="D599" s="226" t="str">
        <f>Parâmetros!C17</f>
        <v>Estimativa de Repasse para  o Fundeb S/FUNDEB S/(FPM, ITR, LEI 87/96, ICMS, IPVA,  IPI/EXP)</v>
      </c>
    </row>
    <row r="600" spans="1:4" ht="30" customHeight="1" x14ac:dyDescent="0.2">
      <c r="A600" s="547" t="str">
        <f>'ORCAMENTO RECEITA ANALITICO'!G442</f>
        <v>(r) Deducao Da Rec. P/form Do Fundeb - Ipi/exportacao</v>
      </c>
      <c r="B600" s="548" t="str">
        <f>Parâmetros!C17</f>
        <v>Estimativa de Repasse para  o Fundeb S/FUNDEB S/(FPM, ITR, LEI 87/96, ICMS, IPVA,  IPI/EXP)</v>
      </c>
      <c r="C600" s="549" t="s">
        <v>1943</v>
      </c>
      <c r="D600" s="226" t="str">
        <f>Parâmetros!C17</f>
        <v>Estimativa de Repasse para  o Fundeb S/FUNDEB S/(FPM, ITR, LEI 87/96, ICMS, IPVA,  IPI/EXP)</v>
      </c>
    </row>
    <row r="601" spans="1:4" ht="323.25" customHeight="1" x14ac:dyDescent="0.2">
      <c r="A601" s="1298" t="s">
        <v>6829</v>
      </c>
      <c r="B601" s="1298"/>
      <c r="C601" s="1298"/>
      <c r="D601" s="1298"/>
    </row>
  </sheetData>
  <mergeCells count="491">
    <mergeCell ref="C500:C502"/>
    <mergeCell ref="A503:A505"/>
    <mergeCell ref="B503:B505"/>
    <mergeCell ref="A532:A534"/>
    <mergeCell ref="B532:B534"/>
    <mergeCell ref="C532:C534"/>
    <mergeCell ref="A526:A528"/>
    <mergeCell ref="B526:B528"/>
    <mergeCell ref="C526:C528"/>
    <mergeCell ref="A529:A531"/>
    <mergeCell ref="B529:B531"/>
    <mergeCell ref="C529:C531"/>
    <mergeCell ref="C298:C299"/>
    <mergeCell ref="B298:B299"/>
    <mergeCell ref="A298:A299"/>
    <mergeCell ref="C338:C342"/>
    <mergeCell ref="A338:A342"/>
    <mergeCell ref="B338:B342"/>
    <mergeCell ref="C122:C124"/>
    <mergeCell ref="B122:B124"/>
    <mergeCell ref="A122:A124"/>
    <mergeCell ref="C291:C292"/>
    <mergeCell ref="A291:A292"/>
    <mergeCell ref="B291:B292"/>
    <mergeCell ref="A221:A223"/>
    <mergeCell ref="B221:B223"/>
    <mergeCell ref="C221:C223"/>
    <mergeCell ref="A224:A226"/>
    <mergeCell ref="B224:B226"/>
    <mergeCell ref="C224:C226"/>
    <mergeCell ref="A218:A220"/>
    <mergeCell ref="B218:B220"/>
    <mergeCell ref="C218:C220"/>
    <mergeCell ref="B212:B214"/>
    <mergeCell ref="C212:C214"/>
    <mergeCell ref="A212:A214"/>
    <mergeCell ref="C116:C118"/>
    <mergeCell ref="B116:B118"/>
    <mergeCell ref="A116:A118"/>
    <mergeCell ref="C119:C121"/>
    <mergeCell ref="B119:B121"/>
    <mergeCell ref="A119:A121"/>
    <mergeCell ref="C110:C112"/>
    <mergeCell ref="B110:B112"/>
    <mergeCell ref="A110:A112"/>
    <mergeCell ref="C113:C115"/>
    <mergeCell ref="B113:B115"/>
    <mergeCell ref="A113:A115"/>
    <mergeCell ref="C104:C106"/>
    <mergeCell ref="B104:B106"/>
    <mergeCell ref="A104:A106"/>
    <mergeCell ref="C107:C109"/>
    <mergeCell ref="B107:B109"/>
    <mergeCell ref="A107:A109"/>
    <mergeCell ref="C98:C100"/>
    <mergeCell ref="B98:B100"/>
    <mergeCell ref="A98:A100"/>
    <mergeCell ref="C101:C103"/>
    <mergeCell ref="B101:B103"/>
    <mergeCell ref="A101:A103"/>
    <mergeCell ref="C92:C94"/>
    <mergeCell ref="B92:B94"/>
    <mergeCell ref="A92:A94"/>
    <mergeCell ref="C95:C97"/>
    <mergeCell ref="B95:B97"/>
    <mergeCell ref="A95:A97"/>
    <mergeCell ref="C86:C88"/>
    <mergeCell ref="B86:B88"/>
    <mergeCell ref="A86:A88"/>
    <mergeCell ref="C89:C91"/>
    <mergeCell ref="B89:B91"/>
    <mergeCell ref="A89:A91"/>
    <mergeCell ref="C50:C52"/>
    <mergeCell ref="B50:B52"/>
    <mergeCell ref="A50:A52"/>
    <mergeCell ref="A53:A55"/>
    <mergeCell ref="B53:B55"/>
    <mergeCell ref="C53:C55"/>
    <mergeCell ref="C68:C70"/>
    <mergeCell ref="B68:B70"/>
    <mergeCell ref="A68:A70"/>
    <mergeCell ref="C62:C64"/>
    <mergeCell ref="B62:B64"/>
    <mergeCell ref="A62:A64"/>
    <mergeCell ref="C65:C67"/>
    <mergeCell ref="B65:B67"/>
    <mergeCell ref="A65:A67"/>
    <mergeCell ref="B71:B73"/>
    <mergeCell ref="A71:A73"/>
    <mergeCell ref="C80:C82"/>
    <mergeCell ref="B80:B82"/>
    <mergeCell ref="A80:A82"/>
    <mergeCell ref="C83:C85"/>
    <mergeCell ref="B83:B85"/>
    <mergeCell ref="A83:A85"/>
    <mergeCell ref="C74:C76"/>
    <mergeCell ref="B74:B76"/>
    <mergeCell ref="A74:A76"/>
    <mergeCell ref="C77:C79"/>
    <mergeCell ref="B77:B79"/>
    <mergeCell ref="A77:A79"/>
    <mergeCell ref="A316:A317"/>
    <mergeCell ref="B316:B317"/>
    <mergeCell ref="C316:C317"/>
    <mergeCell ref="C307:C313"/>
    <mergeCell ref="B307:B313"/>
    <mergeCell ref="C343:C347"/>
    <mergeCell ref="A350:A351"/>
    <mergeCell ref="B350:B351"/>
    <mergeCell ref="C350:C351"/>
    <mergeCell ref="B334:B335"/>
    <mergeCell ref="C44:C46"/>
    <mergeCell ref="B44:B46"/>
    <mergeCell ref="A44:A46"/>
    <mergeCell ref="C47:C49"/>
    <mergeCell ref="B47:B49"/>
    <mergeCell ref="A47:A49"/>
    <mergeCell ref="C128:C130"/>
    <mergeCell ref="A128:A130"/>
    <mergeCell ref="C236:C238"/>
    <mergeCell ref="C194:C196"/>
    <mergeCell ref="A206:A208"/>
    <mergeCell ref="B206:B208"/>
    <mergeCell ref="C206:C208"/>
    <mergeCell ref="B179:B181"/>
    <mergeCell ref="C179:C181"/>
    <mergeCell ref="A182:A184"/>
    <mergeCell ref="B182:B184"/>
    <mergeCell ref="C182:C184"/>
    <mergeCell ref="A203:A205"/>
    <mergeCell ref="B203:B205"/>
    <mergeCell ref="C203:C205"/>
    <mergeCell ref="A197:A199"/>
    <mergeCell ref="B197:B199"/>
    <mergeCell ref="B200:B202"/>
    <mergeCell ref="A239:A241"/>
    <mergeCell ref="B239:B241"/>
    <mergeCell ref="C239:C241"/>
    <mergeCell ref="A236:A238"/>
    <mergeCell ref="B236:B238"/>
    <mergeCell ref="C56:C58"/>
    <mergeCell ref="B56:B58"/>
    <mergeCell ref="A56:A58"/>
    <mergeCell ref="C59:C61"/>
    <mergeCell ref="B59:B61"/>
    <mergeCell ref="A59:A61"/>
    <mergeCell ref="C71:C73"/>
    <mergeCell ref="A209:A211"/>
    <mergeCell ref="B209:B211"/>
    <mergeCell ref="C209:C211"/>
    <mergeCell ref="A215:A217"/>
    <mergeCell ref="B215:B217"/>
    <mergeCell ref="C215:C217"/>
    <mergeCell ref="A185:A187"/>
    <mergeCell ref="B185:B187"/>
    <mergeCell ref="C185:C187"/>
    <mergeCell ref="C191:C193"/>
    <mergeCell ref="A194:A196"/>
    <mergeCell ref="B194:B196"/>
    <mergeCell ref="A16:A17"/>
    <mergeCell ref="B16:B17"/>
    <mergeCell ref="C16:C17"/>
    <mergeCell ref="A18:A19"/>
    <mergeCell ref="B11:B12"/>
    <mergeCell ref="C11:C12"/>
    <mergeCell ref="C13:C14"/>
    <mergeCell ref="A11:A12"/>
    <mergeCell ref="B456:B457"/>
    <mergeCell ref="C456:C457"/>
    <mergeCell ref="C158:C160"/>
    <mergeCell ref="A161:A163"/>
    <mergeCell ref="B161:B163"/>
    <mergeCell ref="A155:A157"/>
    <mergeCell ref="B131:B133"/>
    <mergeCell ref="C131:C133"/>
    <mergeCell ref="A131:A133"/>
    <mergeCell ref="B134:B136"/>
    <mergeCell ref="C134:C136"/>
    <mergeCell ref="A134:A136"/>
    <mergeCell ref="B125:B127"/>
    <mergeCell ref="C125:C127"/>
    <mergeCell ref="A125:A127"/>
    <mergeCell ref="B128:B130"/>
    <mergeCell ref="B462:B463"/>
    <mergeCell ref="A462:A463"/>
    <mergeCell ref="B464:B467"/>
    <mergeCell ref="A454:A455"/>
    <mergeCell ref="A460:A461"/>
    <mergeCell ref="B460:B461"/>
    <mergeCell ref="C460:C461"/>
    <mergeCell ref="B454:B455"/>
    <mergeCell ref="C454:C455"/>
    <mergeCell ref="A456:A457"/>
    <mergeCell ref="A458:A459"/>
    <mergeCell ref="B458:B459"/>
    <mergeCell ref="C458:C459"/>
    <mergeCell ref="A176:A178"/>
    <mergeCell ref="B176:B178"/>
    <mergeCell ref="C176:C178"/>
    <mergeCell ref="A167:A169"/>
    <mergeCell ref="A472:A474"/>
    <mergeCell ref="B482:B483"/>
    <mergeCell ref="A450:A451"/>
    <mergeCell ref="B450:B451"/>
    <mergeCell ref="C450:C451"/>
    <mergeCell ref="A452:A453"/>
    <mergeCell ref="B452:B453"/>
    <mergeCell ref="C452:C453"/>
    <mergeCell ref="A468:A471"/>
    <mergeCell ref="B468:B471"/>
    <mergeCell ref="C468:C471"/>
    <mergeCell ref="C482:C483"/>
    <mergeCell ref="C477:C478"/>
    <mergeCell ref="B477:B478"/>
    <mergeCell ref="A477:A478"/>
    <mergeCell ref="B472:B474"/>
    <mergeCell ref="C472:C474"/>
    <mergeCell ref="C464:C467"/>
    <mergeCell ref="A464:A467"/>
    <mergeCell ref="C462:C463"/>
    <mergeCell ref="A179:A181"/>
    <mergeCell ref="A137:A139"/>
    <mergeCell ref="B137:B139"/>
    <mergeCell ref="C137:C139"/>
    <mergeCell ref="A601:D601"/>
    <mergeCell ref="C503:C505"/>
    <mergeCell ref="A484:A485"/>
    <mergeCell ref="B484:B485"/>
    <mergeCell ref="C484:C485"/>
    <mergeCell ref="A493:A496"/>
    <mergeCell ref="B493:B496"/>
    <mergeCell ref="B167:B169"/>
    <mergeCell ref="C167:C169"/>
    <mergeCell ref="A170:A172"/>
    <mergeCell ref="B170:B172"/>
    <mergeCell ref="C170:C172"/>
    <mergeCell ref="A173:A175"/>
    <mergeCell ref="B173:B175"/>
    <mergeCell ref="C173:C175"/>
    <mergeCell ref="A188:A190"/>
    <mergeCell ref="B188:B190"/>
    <mergeCell ref="C188:C190"/>
    <mergeCell ref="A191:A193"/>
    <mergeCell ref="B191:B193"/>
    <mergeCell ref="A42:A43"/>
    <mergeCell ref="B42:B43"/>
    <mergeCell ref="C42:C43"/>
    <mergeCell ref="A31:A32"/>
    <mergeCell ref="B31:B32"/>
    <mergeCell ref="C31:C32"/>
    <mergeCell ref="A35:A38"/>
    <mergeCell ref="C28:C29"/>
    <mergeCell ref="B28:B29"/>
    <mergeCell ref="B35:B38"/>
    <mergeCell ref="C35:C38"/>
    <mergeCell ref="A40:A41"/>
    <mergeCell ref="B40:B41"/>
    <mergeCell ref="C40:C41"/>
    <mergeCell ref="A33:A34"/>
    <mergeCell ref="B20:B22"/>
    <mergeCell ref="A20:A22"/>
    <mergeCell ref="B18:B19"/>
    <mergeCell ref="C18:C19"/>
    <mergeCell ref="A24:A25"/>
    <mergeCell ref="B33:B34"/>
    <mergeCell ref="C33:C34"/>
    <mergeCell ref="B24:B25"/>
    <mergeCell ref="A28:A29"/>
    <mergeCell ref="C24:C25"/>
    <mergeCell ref="A26:A27"/>
    <mergeCell ref="B26:B27"/>
    <mergeCell ref="C26:C27"/>
    <mergeCell ref="A1:D1"/>
    <mergeCell ref="B4:D4"/>
    <mergeCell ref="A3:D3"/>
    <mergeCell ref="C5:C7"/>
    <mergeCell ref="B5:B7"/>
    <mergeCell ref="A5:A7"/>
    <mergeCell ref="A2:D2"/>
    <mergeCell ref="A227:A229"/>
    <mergeCell ref="B227:B229"/>
    <mergeCell ref="C227:C229"/>
    <mergeCell ref="B155:B157"/>
    <mergeCell ref="C155:C157"/>
    <mergeCell ref="A143:A145"/>
    <mergeCell ref="B143:B145"/>
    <mergeCell ref="C143:C145"/>
    <mergeCell ref="A146:A148"/>
    <mergeCell ref="B146:B148"/>
    <mergeCell ref="C146:C148"/>
    <mergeCell ref="A13:A14"/>
    <mergeCell ref="B13:B14"/>
    <mergeCell ref="A9:A10"/>
    <mergeCell ref="B9:B10"/>
    <mergeCell ref="C9:C10"/>
    <mergeCell ref="C20:C22"/>
    <mergeCell ref="A435:A436"/>
    <mergeCell ref="B435:B436"/>
    <mergeCell ref="C435:C436"/>
    <mergeCell ref="A486:A487"/>
    <mergeCell ref="A158:A160"/>
    <mergeCell ref="B158:B160"/>
    <mergeCell ref="A353:A354"/>
    <mergeCell ref="B367:B368"/>
    <mergeCell ref="A318:A321"/>
    <mergeCell ref="B328:B331"/>
    <mergeCell ref="C328:C331"/>
    <mergeCell ref="B413:B417"/>
    <mergeCell ref="C413:C417"/>
    <mergeCell ref="C411:C412"/>
    <mergeCell ref="B411:B412"/>
    <mergeCell ref="A411:A412"/>
    <mergeCell ref="A413:A417"/>
    <mergeCell ref="C278:C279"/>
    <mergeCell ref="A272:A274"/>
    <mergeCell ref="B272:B274"/>
    <mergeCell ref="C272:C274"/>
    <mergeCell ref="A295:A296"/>
    <mergeCell ref="A328:A331"/>
    <mergeCell ref="A322:A324"/>
    <mergeCell ref="A433:A434"/>
    <mergeCell ref="B433:B434"/>
    <mergeCell ref="C433:C434"/>
    <mergeCell ref="B322:B324"/>
    <mergeCell ref="C322:C324"/>
    <mergeCell ref="A284:A285"/>
    <mergeCell ref="B284:B285"/>
    <mergeCell ref="C284:C285"/>
    <mergeCell ref="A289:A290"/>
    <mergeCell ref="C318:C321"/>
    <mergeCell ref="B318:B321"/>
    <mergeCell ref="B289:B290"/>
    <mergeCell ref="C289:C290"/>
    <mergeCell ref="C334:C335"/>
    <mergeCell ref="A357:A358"/>
    <mergeCell ref="B357:B358"/>
    <mergeCell ref="C357:C358"/>
    <mergeCell ref="C367:C368"/>
    <mergeCell ref="A334:A335"/>
    <mergeCell ref="A360:A364"/>
    <mergeCell ref="B360:B364"/>
    <mergeCell ref="A343:A347"/>
    <mergeCell ref="B343:B347"/>
    <mergeCell ref="C360:C364"/>
    <mergeCell ref="C152:C154"/>
    <mergeCell ref="A278:A279"/>
    <mergeCell ref="B278:B279"/>
    <mergeCell ref="B260:B262"/>
    <mergeCell ref="C260:C262"/>
    <mergeCell ref="B263:B265"/>
    <mergeCell ref="C263:C265"/>
    <mergeCell ref="A266:A268"/>
    <mergeCell ref="B266:B268"/>
    <mergeCell ref="C266:C268"/>
    <mergeCell ref="A269:A271"/>
    <mergeCell ref="A242:A244"/>
    <mergeCell ref="A254:A256"/>
    <mergeCell ref="B254:B256"/>
    <mergeCell ref="C254:C256"/>
    <mergeCell ref="A257:A259"/>
    <mergeCell ref="B257:B259"/>
    <mergeCell ref="A260:A262"/>
    <mergeCell ref="C257:C259"/>
    <mergeCell ref="C200:C202"/>
    <mergeCell ref="C161:C163"/>
    <mergeCell ref="A164:A166"/>
    <mergeCell ref="B164:B166"/>
    <mergeCell ref="C164:C166"/>
    <mergeCell ref="A140:A142"/>
    <mergeCell ref="B140:B142"/>
    <mergeCell ref="C140:C142"/>
    <mergeCell ref="C314:C315"/>
    <mergeCell ref="B314:B315"/>
    <mergeCell ref="A314:A315"/>
    <mergeCell ref="A307:A313"/>
    <mergeCell ref="B248:B250"/>
    <mergeCell ref="C248:C250"/>
    <mergeCell ref="A251:A253"/>
    <mergeCell ref="B251:B253"/>
    <mergeCell ref="C251:C253"/>
    <mergeCell ref="A263:A265"/>
    <mergeCell ref="A200:A202"/>
    <mergeCell ref="C300:C301"/>
    <mergeCell ref="B300:B301"/>
    <mergeCell ref="A300:A301"/>
    <mergeCell ref="B295:B296"/>
    <mergeCell ref="C295:C296"/>
    <mergeCell ref="A149:A151"/>
    <mergeCell ref="B149:B151"/>
    <mergeCell ref="C149:C151"/>
    <mergeCell ref="A152:A154"/>
    <mergeCell ref="B152:B154"/>
    <mergeCell ref="A370:A374"/>
    <mergeCell ref="C370:C374"/>
    <mergeCell ref="B370:B374"/>
    <mergeCell ref="C197:C199"/>
    <mergeCell ref="A385:A386"/>
    <mergeCell ref="C385:C386"/>
    <mergeCell ref="B385:B386"/>
    <mergeCell ref="B242:B244"/>
    <mergeCell ref="C242:C244"/>
    <mergeCell ref="A245:A247"/>
    <mergeCell ref="B245:B247"/>
    <mergeCell ref="C245:C247"/>
    <mergeCell ref="A248:A250"/>
    <mergeCell ref="A233:A235"/>
    <mergeCell ref="B233:B235"/>
    <mergeCell ref="C233:C235"/>
    <mergeCell ref="A230:A232"/>
    <mergeCell ref="B230:B232"/>
    <mergeCell ref="C230:C232"/>
    <mergeCell ref="B269:B271"/>
    <mergeCell ref="C269:C271"/>
    <mergeCell ref="A367:A368"/>
    <mergeCell ref="B353:B354"/>
    <mergeCell ref="C353:C354"/>
    <mergeCell ref="A431:A432"/>
    <mergeCell ref="B431:B432"/>
    <mergeCell ref="C431:C432"/>
    <mergeCell ref="A418:A422"/>
    <mergeCell ref="B418:B422"/>
    <mergeCell ref="C418:C422"/>
    <mergeCell ref="A423:A427"/>
    <mergeCell ref="B423:B427"/>
    <mergeCell ref="C423:C427"/>
    <mergeCell ref="A428:A429"/>
    <mergeCell ref="B428:B429"/>
    <mergeCell ref="C428:C429"/>
    <mergeCell ref="A437:A438"/>
    <mergeCell ref="B437:B438"/>
    <mergeCell ref="C437:C438"/>
    <mergeCell ref="B442:B443"/>
    <mergeCell ref="C442:C443"/>
    <mergeCell ref="A444:A446"/>
    <mergeCell ref="B444:B446"/>
    <mergeCell ref="C444:C446"/>
    <mergeCell ref="A448:A449"/>
    <mergeCell ref="B448:B449"/>
    <mergeCell ref="C448:C449"/>
    <mergeCell ref="A440:A441"/>
    <mergeCell ref="B440:B441"/>
    <mergeCell ref="C440:C441"/>
    <mergeCell ref="A442:A443"/>
    <mergeCell ref="A592:A593"/>
    <mergeCell ref="B592:B593"/>
    <mergeCell ref="C592:C593"/>
    <mergeCell ref="A520:A522"/>
    <mergeCell ref="B520:B522"/>
    <mergeCell ref="C520:C522"/>
    <mergeCell ref="A511:A513"/>
    <mergeCell ref="B511:B513"/>
    <mergeCell ref="C511:C513"/>
    <mergeCell ref="A514:A516"/>
    <mergeCell ref="B590:B591"/>
    <mergeCell ref="C590:C591"/>
    <mergeCell ref="A590:A591"/>
    <mergeCell ref="A517:A519"/>
    <mergeCell ref="B517:B519"/>
    <mergeCell ref="C517:C519"/>
    <mergeCell ref="B514:B516"/>
    <mergeCell ref="C514:C516"/>
    <mergeCell ref="A535:A537"/>
    <mergeCell ref="B535:B537"/>
    <mergeCell ref="C535:C537"/>
    <mergeCell ref="A523:A525"/>
    <mergeCell ref="B523:B525"/>
    <mergeCell ref="C523:C525"/>
    <mergeCell ref="B486:B487"/>
    <mergeCell ref="C486:C487"/>
    <mergeCell ref="A479:A480"/>
    <mergeCell ref="B479:B480"/>
    <mergeCell ref="C479:C480"/>
    <mergeCell ref="A482:A483"/>
    <mergeCell ref="A509:A510"/>
    <mergeCell ref="B509:B510"/>
    <mergeCell ref="A489:A490"/>
    <mergeCell ref="B489:B490"/>
    <mergeCell ref="C489:C490"/>
    <mergeCell ref="C506:C508"/>
    <mergeCell ref="B506:B508"/>
    <mergeCell ref="A506:A508"/>
    <mergeCell ref="B497:B499"/>
    <mergeCell ref="A500:A502"/>
    <mergeCell ref="C497:C499"/>
    <mergeCell ref="A491:A492"/>
    <mergeCell ref="B491:B492"/>
    <mergeCell ref="C491:C492"/>
    <mergeCell ref="C493:C496"/>
    <mergeCell ref="A497:A499"/>
    <mergeCell ref="C509:C510"/>
    <mergeCell ref="B500:B502"/>
  </mergeCells>
  <phoneticPr fontId="46" type="noConversion"/>
  <printOptions horizontalCentered="1"/>
  <pageMargins left="0.19685039370078741" right="0.11811023622047245" top="1.3779527559055118" bottom="0.78740157480314965" header="0.31496062992125984" footer="0.31496062992125984"/>
  <pageSetup paperSize="9" scale="65" orientation="landscape" r:id="rId1"/>
  <headerFooter>
    <oddHeader>&amp;L                                                                                                                          &amp;G&amp;C&amp;"Vivaldi,Regular"&amp;20Estado do Rio Grande do Sul&amp;11&amp;16Prefeitura Municipal de Chuvisca&amp;11&amp;14Secretaria Municipal da Fazenda</oddHeader>
    <oddFooter>&amp;CAvenida 28 de Dezembro s/nº - Fone/Fax: (51) 3611 7096 – (51) 3671 3501 – Chuvisca – RS – CEP 96193-000prefeitura@chuvisca.rs.gov.br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2"/>
  <sheetViews>
    <sheetView view="pageLayout" topLeftCell="B1" workbookViewId="0">
      <selection activeCell="B17" sqref="B17"/>
    </sheetView>
  </sheetViews>
  <sheetFormatPr defaultRowHeight="15" x14ac:dyDescent="0.2"/>
  <cols>
    <col min="1" max="1" width="4.7109375" style="14" customWidth="1"/>
    <col min="2" max="2" width="32.42578125" style="15" customWidth="1"/>
    <col min="3" max="3" width="25.28515625" style="15" customWidth="1"/>
    <col min="4" max="4" width="20.140625" style="15" customWidth="1"/>
    <col min="5" max="5" width="18.85546875" style="16" customWidth="1"/>
    <col min="6" max="6" width="19.140625" style="16" customWidth="1"/>
    <col min="7" max="7" width="19" style="16" customWidth="1"/>
    <col min="8" max="8" width="19.85546875" style="154" customWidth="1"/>
    <col min="9" max="16384" width="9.140625" style="12"/>
  </cols>
  <sheetData>
    <row r="1" spans="1:8" ht="18" x14ac:dyDescent="0.25">
      <c r="A1" s="1311" t="str">
        <f>'CADASTRO BASE RECEITA '!A1</f>
        <v>PROPOSTA ORÇAMENTÁRIA PARA 2016</v>
      </c>
      <c r="B1" s="1312"/>
      <c r="C1" s="1312"/>
      <c r="D1" s="1312"/>
      <c r="E1" s="1312"/>
      <c r="F1" s="1312"/>
      <c r="G1" s="1312"/>
    </row>
    <row r="2" spans="1:8" s="13" customFormat="1" ht="15.75" x14ac:dyDescent="0.25">
      <c r="A2" s="1313" t="s">
        <v>441</v>
      </c>
      <c r="B2" s="1313"/>
      <c r="C2" s="1313"/>
      <c r="D2" s="1313"/>
      <c r="E2" s="1313"/>
      <c r="F2" s="1313"/>
      <c r="G2" s="1313"/>
      <c r="H2" s="155"/>
    </row>
    <row r="4" spans="1:8" ht="15.75" x14ac:dyDescent="0.25">
      <c r="B4" s="1314" t="s">
        <v>1279</v>
      </c>
      <c r="C4" s="1314"/>
      <c r="D4" s="1314"/>
      <c r="E4" s="1314"/>
      <c r="F4" s="1314"/>
      <c r="G4" s="1314"/>
    </row>
    <row r="6" spans="1:8" ht="15.75" x14ac:dyDescent="0.25">
      <c r="B6" s="1315" t="s">
        <v>215</v>
      </c>
      <c r="C6" s="1315" t="s">
        <v>1962</v>
      </c>
      <c r="D6" s="1315" t="s">
        <v>1280</v>
      </c>
      <c r="E6" s="374">
        <v>2016</v>
      </c>
      <c r="F6" s="374">
        <v>2017</v>
      </c>
      <c r="G6" s="374">
        <v>2018</v>
      </c>
    </row>
    <row r="7" spans="1:8" ht="15.75" x14ac:dyDescent="0.25">
      <c r="B7" s="1315"/>
      <c r="C7" s="1315"/>
      <c r="D7" s="1315"/>
      <c r="E7" s="374" t="s">
        <v>178</v>
      </c>
      <c r="F7" s="374" t="s">
        <v>178</v>
      </c>
      <c r="G7" s="374" t="s">
        <v>178</v>
      </c>
    </row>
    <row r="8" spans="1:8" ht="15.75" x14ac:dyDescent="0.25">
      <c r="B8" s="375" t="s">
        <v>929</v>
      </c>
      <c r="C8" s="376">
        <f>C9</f>
        <v>8346517.1699999999</v>
      </c>
      <c r="D8" s="375"/>
      <c r="E8" s="377">
        <f>E9</f>
        <v>417325.85850000003</v>
      </c>
      <c r="F8" s="377">
        <f>F9</f>
        <v>438192.15142500005</v>
      </c>
      <c r="G8" s="377">
        <f>G9</f>
        <v>458940.54979497381</v>
      </c>
    </row>
    <row r="9" spans="1:8" ht="15.75" x14ac:dyDescent="0.25">
      <c r="B9" s="370" t="s">
        <v>745</v>
      </c>
      <c r="C9" s="371">
        <v>8346517.1699999999</v>
      </c>
      <c r="D9" s="372">
        <v>0.05</v>
      </c>
      <c r="E9" s="373">
        <f>C9*D9</f>
        <v>417325.85850000003</v>
      </c>
      <c r="F9" s="373">
        <f>E9*(1+(Parâmetros!E6+Parâmetros!E7)/2)</f>
        <v>438192.15142500005</v>
      </c>
      <c r="G9" s="373">
        <f>F9*(1+(Parâmetros!F6+Parâmetros!F7)/2)</f>
        <v>458940.54979497381</v>
      </c>
    </row>
    <row r="10" spans="1:8" ht="15.75" x14ac:dyDescent="0.25">
      <c r="B10" s="381" t="s">
        <v>930</v>
      </c>
      <c r="C10" s="382">
        <f>C11+C12+C13</f>
        <v>7225165.3300000001</v>
      </c>
      <c r="D10" s="383"/>
      <c r="E10" s="384">
        <f>SUM(E11:E13)</f>
        <v>361258.26650000003</v>
      </c>
      <c r="F10" s="384">
        <f>SUM(F11:F13)</f>
        <v>379321.17982500006</v>
      </c>
      <c r="G10" s="384">
        <f>SUM(G11:G13)</f>
        <v>397282.03768971382</v>
      </c>
    </row>
    <row r="11" spans="1:8" ht="15.75" x14ac:dyDescent="0.25">
      <c r="B11" s="370" t="s">
        <v>753</v>
      </c>
      <c r="C11" s="371">
        <v>1233302.32</v>
      </c>
      <c r="D11" s="372">
        <v>0.05</v>
      </c>
      <c r="E11" s="373">
        <f>C11*D11</f>
        <v>61665.116000000009</v>
      </c>
      <c r="F11" s="373">
        <f>E11*(1+(Parâmetros!E6+Parâmetros!E7)/2)</f>
        <v>64748.371800000015</v>
      </c>
      <c r="G11" s="373">
        <f>F11*(1+(Parâmetros!F6+Parâmetros!F7)/2)</f>
        <v>67814.207204730017</v>
      </c>
    </row>
    <row r="12" spans="1:8" ht="15.75" x14ac:dyDescent="0.25">
      <c r="B12" s="370" t="s">
        <v>755</v>
      </c>
      <c r="C12" s="371">
        <v>2898568.9</v>
      </c>
      <c r="D12" s="372">
        <v>0.05</v>
      </c>
      <c r="E12" s="373">
        <f>C12*D12</f>
        <v>144928.44500000001</v>
      </c>
      <c r="F12" s="373">
        <f>E12*(1+(Parâmetros!E6+Parâmetros!E7)/2)</f>
        <v>152174.86725000001</v>
      </c>
      <c r="G12" s="373">
        <f>F12*(1+(Parâmetros!F6+Parâmetros!F7)/2)</f>
        <v>159380.34721428753</v>
      </c>
    </row>
    <row r="13" spans="1:8" ht="15.75" x14ac:dyDescent="0.25">
      <c r="B13" s="370" t="s">
        <v>756</v>
      </c>
      <c r="C13" s="371">
        <v>3093294.11</v>
      </c>
      <c r="D13" s="372">
        <v>0.05</v>
      </c>
      <c r="E13" s="373">
        <f>C13*D13</f>
        <v>154664.70550000001</v>
      </c>
      <c r="F13" s="373">
        <f>E13*(1+(Parâmetros!E6+Parâmetros!E7)/2)</f>
        <v>162397.94077500002</v>
      </c>
      <c r="G13" s="373">
        <f>F13*(1+(Parâmetros!F6+Parâmetros!F7)/2)</f>
        <v>170087.48327069628</v>
      </c>
    </row>
    <row r="14" spans="1:8" ht="15.75" x14ac:dyDescent="0.25">
      <c r="B14" s="378" t="s">
        <v>0</v>
      </c>
      <c r="C14" s="379">
        <f>C8+C10</f>
        <v>15571682.5</v>
      </c>
      <c r="D14" s="378"/>
      <c r="E14" s="380">
        <f>E8+E10</f>
        <v>778584.125</v>
      </c>
      <c r="F14" s="380">
        <f>F8+F10</f>
        <v>817513.33125000005</v>
      </c>
      <c r="G14" s="380">
        <f>G8+G10</f>
        <v>856222.58748468757</v>
      </c>
    </row>
    <row r="15" spans="1:8" x14ac:dyDescent="0.2">
      <c r="E15" s="33"/>
      <c r="F15" s="33"/>
      <c r="G15" s="33"/>
    </row>
    <row r="16" spans="1:8" x14ac:dyDescent="0.2">
      <c r="F16" s="1316"/>
      <c r="G16" s="1316"/>
    </row>
    <row r="18" spans="2:7" x14ac:dyDescent="0.2">
      <c r="B18" s="162"/>
      <c r="C18" s="162"/>
      <c r="D18" s="162"/>
    </row>
    <row r="19" spans="2:7" x14ac:dyDescent="0.2">
      <c r="B19" s="162"/>
      <c r="C19" s="162"/>
      <c r="D19" s="162"/>
    </row>
    <row r="20" spans="2:7" x14ac:dyDescent="0.2">
      <c r="B20" s="162"/>
      <c r="C20" s="162"/>
      <c r="D20" s="162"/>
    </row>
    <row r="21" spans="2:7" x14ac:dyDescent="0.2">
      <c r="B21" s="162"/>
      <c r="C21" s="162"/>
      <c r="D21" s="162"/>
    </row>
    <row r="22" spans="2:7" x14ac:dyDescent="0.2">
      <c r="B22" s="162"/>
      <c r="C22" s="162"/>
      <c r="D22" s="162"/>
    </row>
    <row r="23" spans="2:7" x14ac:dyDescent="0.2">
      <c r="B23" s="162"/>
      <c r="C23" s="162"/>
      <c r="D23" s="162"/>
    </row>
    <row r="24" spans="2:7" x14ac:dyDescent="0.2">
      <c r="B24" s="162"/>
      <c r="C24" s="162"/>
      <c r="D24" s="162"/>
    </row>
    <row r="25" spans="2:7" x14ac:dyDescent="0.2">
      <c r="B25" s="162"/>
      <c r="C25" s="162"/>
      <c r="D25" s="162"/>
    </row>
    <row r="26" spans="2:7" x14ac:dyDescent="0.2">
      <c r="B26" s="162"/>
      <c r="C26" s="162"/>
      <c r="D26" s="162"/>
    </row>
    <row r="27" spans="2:7" x14ac:dyDescent="0.2">
      <c r="B27" s="162"/>
      <c r="C27" s="162"/>
      <c r="D27" s="162"/>
    </row>
    <row r="31" spans="2:7" ht="15.75" x14ac:dyDescent="0.25">
      <c r="B31" s="158"/>
      <c r="C31" s="158"/>
      <c r="D31" s="158"/>
    </row>
    <row r="32" spans="2:7" ht="15.75" x14ac:dyDescent="0.25">
      <c r="B32" s="118"/>
      <c r="C32" s="118"/>
      <c r="D32" s="118"/>
      <c r="E32" s="33"/>
      <c r="F32" s="33"/>
      <c r="G32" s="33"/>
    </row>
    <row r="33" spans="2:7" ht="15.75" x14ac:dyDescent="0.25">
      <c r="B33" s="118"/>
      <c r="C33" s="118"/>
      <c r="D33" s="118"/>
      <c r="E33" s="33"/>
      <c r="F33" s="33"/>
      <c r="G33" s="33"/>
    </row>
    <row r="34" spans="2:7" ht="15.75" x14ac:dyDescent="0.25">
      <c r="B34" s="118"/>
      <c r="C34" s="118"/>
      <c r="D34" s="118"/>
      <c r="E34" s="33"/>
      <c r="F34" s="33"/>
      <c r="G34" s="33"/>
    </row>
    <row r="35" spans="2:7" ht="15.75" x14ac:dyDescent="0.25">
      <c r="B35" s="118"/>
      <c r="C35" s="118"/>
      <c r="D35" s="118"/>
      <c r="E35" s="33"/>
      <c r="F35" s="33"/>
      <c r="G35" s="33"/>
    </row>
    <row r="36" spans="2:7" ht="15.75" x14ac:dyDescent="0.25">
      <c r="B36" s="118"/>
      <c r="C36" s="118"/>
      <c r="D36" s="118"/>
      <c r="E36" s="33"/>
      <c r="F36" s="33"/>
      <c r="G36" s="33"/>
    </row>
    <row r="37" spans="2:7" ht="15.75" x14ac:dyDescent="0.25">
      <c r="B37" s="118"/>
      <c r="C37" s="118"/>
      <c r="D37" s="118"/>
      <c r="E37" s="33"/>
      <c r="F37" s="33"/>
      <c r="G37" s="33"/>
    </row>
    <row r="38" spans="2:7" ht="15.75" x14ac:dyDescent="0.25">
      <c r="B38" s="118"/>
      <c r="C38" s="118"/>
      <c r="D38" s="118"/>
      <c r="E38" s="33"/>
      <c r="F38" s="33"/>
      <c r="G38" s="33"/>
    </row>
    <row r="39" spans="2:7" ht="15.75" x14ac:dyDescent="0.25">
      <c r="B39" s="118"/>
      <c r="C39" s="118"/>
      <c r="D39" s="118"/>
      <c r="E39" s="33"/>
      <c r="F39" s="33"/>
      <c r="G39" s="33"/>
    </row>
    <row r="40" spans="2:7" ht="15.75" x14ac:dyDescent="0.25">
      <c r="B40" s="118"/>
      <c r="C40" s="118"/>
      <c r="D40" s="118"/>
      <c r="E40" s="33"/>
      <c r="F40" s="33"/>
      <c r="G40" s="33"/>
    </row>
    <row r="41" spans="2:7" ht="15.75" x14ac:dyDescent="0.25">
      <c r="B41" s="118"/>
      <c r="C41" s="118"/>
      <c r="D41" s="118"/>
      <c r="E41" s="33"/>
      <c r="F41" s="33"/>
      <c r="G41" s="33"/>
    </row>
    <row r="42" spans="2:7" ht="15.75" x14ac:dyDescent="0.25">
      <c r="B42" s="118"/>
      <c r="C42" s="118"/>
      <c r="D42" s="118"/>
      <c r="E42" s="33"/>
      <c r="F42" s="33"/>
      <c r="G42" s="33"/>
    </row>
    <row r="43" spans="2:7" ht="15.75" x14ac:dyDescent="0.25">
      <c r="B43" s="118"/>
      <c r="C43" s="118"/>
      <c r="D43" s="118"/>
      <c r="E43" s="33"/>
      <c r="F43" s="33"/>
      <c r="G43" s="33"/>
    </row>
    <row r="44" spans="2:7" ht="15.75" x14ac:dyDescent="0.25">
      <c r="B44" s="118"/>
      <c r="C44" s="118"/>
      <c r="D44" s="118"/>
      <c r="E44" s="33"/>
      <c r="F44" s="33"/>
      <c r="G44" s="33"/>
    </row>
    <row r="45" spans="2:7" ht="15.75" x14ac:dyDescent="0.25">
      <c r="B45" s="118"/>
      <c r="C45" s="118"/>
      <c r="D45" s="118"/>
      <c r="E45" s="33"/>
      <c r="F45" s="33"/>
      <c r="G45" s="33"/>
    </row>
    <row r="46" spans="2:7" ht="15.75" x14ac:dyDescent="0.25">
      <c r="B46" s="118"/>
      <c r="C46" s="118"/>
      <c r="D46" s="118"/>
      <c r="E46" s="33"/>
      <c r="F46" s="33"/>
      <c r="G46" s="33"/>
    </row>
    <row r="47" spans="2:7" ht="15.75" x14ac:dyDescent="0.25">
      <c r="B47" s="118"/>
      <c r="C47" s="118"/>
      <c r="D47" s="118"/>
      <c r="E47" s="33"/>
      <c r="F47" s="33"/>
      <c r="G47" s="33"/>
    </row>
    <row r="48" spans="2:7" ht="15.75" x14ac:dyDescent="0.25">
      <c r="B48" s="118"/>
      <c r="C48" s="118"/>
      <c r="D48" s="118"/>
      <c r="E48" s="33"/>
      <c r="F48" s="33"/>
      <c r="G48" s="33"/>
    </row>
    <row r="49" spans="2:7" ht="15.75" x14ac:dyDescent="0.25">
      <c r="B49" s="118"/>
      <c r="C49" s="118"/>
      <c r="D49" s="118"/>
      <c r="E49" s="33"/>
      <c r="F49" s="33"/>
      <c r="G49" s="33"/>
    </row>
    <row r="50" spans="2:7" ht="15.75" x14ac:dyDescent="0.25">
      <c r="B50" s="118"/>
      <c r="C50" s="118"/>
      <c r="D50" s="118"/>
      <c r="E50" s="33"/>
      <c r="F50" s="33"/>
      <c r="G50" s="33"/>
    </row>
    <row r="67" spans="2:7" ht="15.75" x14ac:dyDescent="0.25">
      <c r="B67" s="118"/>
      <c r="C67" s="118"/>
      <c r="D67" s="118"/>
      <c r="E67" s="33"/>
      <c r="F67" s="33"/>
      <c r="G67" s="33"/>
    </row>
    <row r="68" spans="2:7" ht="15.75" x14ac:dyDescent="0.25">
      <c r="B68" s="118"/>
      <c r="C68" s="118"/>
      <c r="D68" s="118"/>
      <c r="E68" s="33"/>
      <c r="F68" s="33"/>
      <c r="G68" s="33"/>
    </row>
    <row r="69" spans="2:7" ht="15.75" x14ac:dyDescent="0.25">
      <c r="B69" s="118"/>
      <c r="C69" s="118"/>
      <c r="D69" s="118"/>
      <c r="E69" s="33"/>
      <c r="F69" s="33"/>
      <c r="G69" s="33"/>
    </row>
    <row r="70" spans="2:7" ht="15.75" x14ac:dyDescent="0.25">
      <c r="B70" s="118"/>
      <c r="C70" s="118"/>
      <c r="D70" s="118"/>
      <c r="E70" s="33"/>
      <c r="F70" s="33"/>
      <c r="G70" s="33"/>
    </row>
    <row r="71" spans="2:7" ht="15.75" x14ac:dyDescent="0.25">
      <c r="B71" s="118"/>
      <c r="C71" s="118"/>
      <c r="D71" s="118"/>
      <c r="E71" s="33"/>
      <c r="F71" s="33"/>
      <c r="G71" s="33"/>
    </row>
    <row r="72" spans="2:7" ht="15.75" x14ac:dyDescent="0.25">
      <c r="B72" s="118"/>
      <c r="C72" s="118"/>
      <c r="D72" s="118"/>
      <c r="E72" s="33"/>
      <c r="F72" s="33"/>
      <c r="G72" s="33"/>
    </row>
    <row r="73" spans="2:7" ht="15.75" x14ac:dyDescent="0.25">
      <c r="B73" s="118"/>
      <c r="C73" s="118"/>
      <c r="D73" s="118"/>
      <c r="E73" s="33"/>
      <c r="F73" s="33"/>
      <c r="G73" s="33"/>
    </row>
    <row r="77" spans="2:7" ht="15.75" x14ac:dyDescent="0.25">
      <c r="B77" s="118"/>
      <c r="C77" s="118"/>
      <c r="D77" s="118"/>
      <c r="E77" s="33"/>
      <c r="F77" s="33"/>
      <c r="G77" s="33"/>
    </row>
    <row r="78" spans="2:7" ht="15.75" x14ac:dyDescent="0.25">
      <c r="B78" s="118"/>
      <c r="C78" s="118"/>
      <c r="D78" s="118"/>
      <c r="E78" s="33"/>
      <c r="F78" s="33"/>
      <c r="G78" s="33"/>
    </row>
    <row r="79" spans="2:7" ht="15.75" x14ac:dyDescent="0.25">
      <c r="B79" s="118"/>
      <c r="C79" s="118"/>
      <c r="D79" s="118"/>
      <c r="E79" s="33"/>
      <c r="F79" s="33"/>
      <c r="G79" s="33"/>
    </row>
    <row r="80" spans="2:7" ht="15.75" x14ac:dyDescent="0.25">
      <c r="B80" s="118"/>
      <c r="C80" s="118"/>
      <c r="D80" s="118"/>
      <c r="E80" s="33"/>
      <c r="F80" s="33"/>
      <c r="G80" s="33"/>
    </row>
    <row r="81" spans="2:7" ht="15.75" x14ac:dyDescent="0.25">
      <c r="B81" s="118"/>
      <c r="C81" s="118"/>
      <c r="D81" s="118"/>
      <c r="E81" s="33"/>
      <c r="F81" s="33"/>
      <c r="G81" s="33"/>
    </row>
    <row r="84" spans="2:7" ht="15.75" x14ac:dyDescent="0.25">
      <c r="B84" s="118"/>
      <c r="C84" s="118"/>
      <c r="D84" s="118"/>
      <c r="E84" s="33"/>
      <c r="F84" s="33"/>
      <c r="G84" s="33"/>
    </row>
    <row r="85" spans="2:7" ht="15.75" x14ac:dyDescent="0.25">
      <c r="B85" s="158"/>
      <c r="C85" s="158"/>
      <c r="D85" s="158"/>
      <c r="E85" s="33"/>
      <c r="F85" s="33"/>
      <c r="G85" s="33"/>
    </row>
    <row r="88" spans="2:7" ht="15.75" x14ac:dyDescent="0.25">
      <c r="B88" s="118"/>
      <c r="C88" s="118"/>
      <c r="D88" s="118"/>
      <c r="E88" s="33"/>
      <c r="F88" s="33"/>
      <c r="G88" s="33"/>
    </row>
    <row r="89" spans="2:7" ht="15.75" x14ac:dyDescent="0.25">
      <c r="B89" s="118"/>
      <c r="C89" s="118"/>
      <c r="D89" s="118"/>
      <c r="E89" s="33"/>
      <c r="F89" s="33"/>
      <c r="G89" s="33"/>
    </row>
    <row r="90" spans="2:7" ht="15.75" x14ac:dyDescent="0.25">
      <c r="B90" s="118"/>
      <c r="C90" s="118"/>
      <c r="D90" s="118"/>
      <c r="E90" s="33"/>
      <c r="F90" s="33"/>
      <c r="G90" s="33"/>
    </row>
    <row r="91" spans="2:7" ht="15.75" x14ac:dyDescent="0.25">
      <c r="B91" s="118"/>
      <c r="C91" s="118"/>
      <c r="D91" s="118"/>
      <c r="E91" s="33"/>
      <c r="F91" s="33"/>
      <c r="G91" s="33"/>
    </row>
    <row r="92" spans="2:7" ht="15.75" x14ac:dyDescent="0.25">
      <c r="B92" s="118"/>
      <c r="C92" s="118"/>
      <c r="D92" s="118"/>
      <c r="E92" s="33"/>
      <c r="F92" s="33"/>
      <c r="G92" s="33"/>
    </row>
    <row r="93" spans="2:7" ht="15.75" x14ac:dyDescent="0.25">
      <c r="B93" s="118"/>
      <c r="C93" s="118"/>
      <c r="D93" s="118"/>
      <c r="E93" s="33"/>
      <c r="F93" s="33"/>
      <c r="G93" s="33"/>
    </row>
    <row r="94" spans="2:7" ht="15.75" x14ac:dyDescent="0.25">
      <c r="B94" s="118"/>
      <c r="C94" s="118"/>
      <c r="D94" s="118"/>
      <c r="E94" s="33"/>
      <c r="F94" s="33"/>
      <c r="G94" s="33"/>
    </row>
    <row r="95" spans="2:7" ht="15.75" x14ac:dyDescent="0.25">
      <c r="B95" s="118"/>
      <c r="C95" s="118"/>
      <c r="D95" s="118"/>
      <c r="E95" s="33"/>
      <c r="F95" s="33"/>
      <c r="G95" s="33"/>
    </row>
    <row r="96" spans="2:7" ht="15.75" x14ac:dyDescent="0.25">
      <c r="B96" s="118"/>
      <c r="C96" s="118"/>
      <c r="D96" s="118"/>
      <c r="E96" s="33"/>
      <c r="F96" s="33"/>
      <c r="G96" s="33"/>
    </row>
    <row r="97" spans="2:7" ht="15.75" x14ac:dyDescent="0.25">
      <c r="B97" s="118"/>
      <c r="C97" s="118"/>
      <c r="D97" s="118"/>
      <c r="E97" s="33"/>
      <c r="F97" s="33"/>
      <c r="G97" s="33"/>
    </row>
    <row r="98" spans="2:7" ht="15.75" x14ac:dyDescent="0.25">
      <c r="B98" s="118"/>
      <c r="C98" s="118"/>
      <c r="D98" s="118"/>
      <c r="E98" s="33"/>
      <c r="F98" s="33"/>
      <c r="G98" s="33"/>
    </row>
    <row r="99" spans="2:7" ht="15.75" x14ac:dyDescent="0.25">
      <c r="B99" s="118"/>
      <c r="C99" s="118"/>
      <c r="D99" s="118"/>
      <c r="E99" s="33"/>
      <c r="F99" s="33"/>
      <c r="G99" s="33"/>
    </row>
    <row r="100" spans="2:7" ht="15.75" x14ac:dyDescent="0.25">
      <c r="B100" s="118"/>
      <c r="C100" s="118"/>
      <c r="D100" s="118"/>
      <c r="E100" s="33"/>
      <c r="F100" s="33"/>
      <c r="G100" s="33"/>
    </row>
    <row r="101" spans="2:7" ht="15.75" x14ac:dyDescent="0.25">
      <c r="B101" s="118"/>
      <c r="C101" s="118"/>
      <c r="D101" s="118"/>
      <c r="E101" s="33"/>
      <c r="F101" s="33"/>
      <c r="G101" s="33"/>
    </row>
    <row r="102" spans="2:7" ht="15.75" x14ac:dyDescent="0.25">
      <c r="B102" s="118"/>
      <c r="C102" s="118"/>
      <c r="D102" s="118"/>
      <c r="E102" s="33"/>
      <c r="F102" s="33"/>
      <c r="G102" s="33"/>
    </row>
    <row r="103" spans="2:7" ht="15.75" x14ac:dyDescent="0.25">
      <c r="B103" s="118"/>
      <c r="C103" s="118"/>
      <c r="D103" s="118"/>
      <c r="E103" s="33"/>
      <c r="F103" s="33"/>
      <c r="G103" s="33"/>
    </row>
    <row r="104" spans="2:7" ht="15.75" x14ac:dyDescent="0.25">
      <c r="B104" s="118"/>
      <c r="C104" s="118"/>
      <c r="D104" s="118"/>
      <c r="E104" s="33"/>
      <c r="F104" s="33"/>
      <c r="G104" s="33"/>
    </row>
    <row r="105" spans="2:7" ht="15.75" x14ac:dyDescent="0.25">
      <c r="B105" s="118"/>
      <c r="C105" s="118"/>
      <c r="D105" s="118"/>
      <c r="E105" s="33"/>
      <c r="F105" s="33"/>
      <c r="G105" s="33"/>
    </row>
    <row r="106" spans="2:7" ht="15.75" x14ac:dyDescent="0.25">
      <c r="B106" s="118"/>
      <c r="C106" s="118"/>
      <c r="D106" s="118"/>
      <c r="E106" s="33"/>
      <c r="F106" s="33"/>
      <c r="G106" s="33"/>
    </row>
    <row r="107" spans="2:7" ht="15.75" x14ac:dyDescent="0.25">
      <c r="B107" s="118"/>
      <c r="C107" s="118"/>
      <c r="D107" s="118"/>
      <c r="E107" s="33"/>
      <c r="F107" s="33"/>
      <c r="G107" s="33"/>
    </row>
    <row r="108" spans="2:7" ht="15.75" x14ac:dyDescent="0.25">
      <c r="B108" s="118"/>
      <c r="C108" s="118"/>
      <c r="D108" s="118"/>
      <c r="E108" s="33"/>
      <c r="F108" s="33"/>
      <c r="G108" s="33"/>
    </row>
    <row r="109" spans="2:7" ht="15.75" x14ac:dyDescent="0.25">
      <c r="B109" s="118"/>
      <c r="C109" s="118"/>
      <c r="D109" s="118"/>
      <c r="E109" s="33"/>
      <c r="F109" s="33"/>
      <c r="G109" s="33"/>
    </row>
    <row r="110" spans="2:7" ht="15.75" x14ac:dyDescent="0.25">
      <c r="B110" s="118"/>
      <c r="C110" s="118"/>
      <c r="D110" s="118"/>
      <c r="E110" s="33"/>
      <c r="F110" s="33"/>
      <c r="G110" s="33"/>
    </row>
    <row r="111" spans="2:7" ht="15.75" x14ac:dyDescent="0.25">
      <c r="B111" s="118"/>
      <c r="C111" s="118"/>
      <c r="D111" s="118"/>
      <c r="E111" s="33"/>
      <c r="F111" s="33"/>
      <c r="G111" s="33"/>
    </row>
    <row r="112" spans="2:7" ht="15.75" x14ac:dyDescent="0.25">
      <c r="B112" s="118"/>
      <c r="C112" s="118"/>
      <c r="D112" s="118"/>
      <c r="E112" s="33"/>
      <c r="F112" s="33"/>
      <c r="G112" s="33"/>
    </row>
    <row r="113" spans="2:7" ht="15.75" x14ac:dyDescent="0.25">
      <c r="B113" s="118"/>
      <c r="C113" s="118"/>
      <c r="D113" s="118"/>
      <c r="E113" s="33"/>
      <c r="F113" s="33"/>
      <c r="G113" s="33"/>
    </row>
    <row r="114" spans="2:7" ht="15.75" x14ac:dyDescent="0.25">
      <c r="B114" s="118"/>
      <c r="C114" s="118"/>
      <c r="D114" s="118"/>
      <c r="E114" s="33"/>
      <c r="F114" s="33"/>
      <c r="G114" s="33"/>
    </row>
    <row r="115" spans="2:7" ht="15.75" x14ac:dyDescent="0.25">
      <c r="B115" s="118"/>
      <c r="C115" s="118"/>
      <c r="D115" s="118"/>
      <c r="E115" s="33"/>
      <c r="F115" s="33"/>
      <c r="G115" s="33"/>
    </row>
    <row r="116" spans="2:7" ht="15.75" x14ac:dyDescent="0.25">
      <c r="B116" s="118"/>
      <c r="C116" s="118"/>
      <c r="D116" s="118"/>
      <c r="E116" s="33"/>
      <c r="F116" s="33"/>
      <c r="G116" s="33"/>
    </row>
    <row r="117" spans="2:7" ht="15.75" x14ac:dyDescent="0.25">
      <c r="B117" s="118"/>
      <c r="C117" s="118"/>
      <c r="D117" s="118"/>
      <c r="E117" s="33"/>
      <c r="F117" s="33"/>
      <c r="G117" s="33"/>
    </row>
    <row r="118" spans="2:7" ht="15.75" x14ac:dyDescent="0.25">
      <c r="B118" s="118"/>
      <c r="C118" s="118"/>
      <c r="D118" s="118"/>
      <c r="E118" s="33"/>
      <c r="F118" s="33"/>
      <c r="G118" s="33"/>
    </row>
    <row r="119" spans="2:7" ht="15.75" x14ac:dyDescent="0.25">
      <c r="B119" s="118"/>
      <c r="C119" s="118"/>
      <c r="D119" s="118"/>
      <c r="E119" s="33"/>
      <c r="F119" s="33"/>
      <c r="G119" s="33"/>
    </row>
    <row r="120" spans="2:7" ht="15.75" x14ac:dyDescent="0.25">
      <c r="B120" s="118"/>
      <c r="C120" s="118"/>
      <c r="D120" s="118"/>
      <c r="E120" s="33"/>
      <c r="F120" s="33"/>
      <c r="G120" s="33"/>
    </row>
    <row r="121" spans="2:7" ht="15.75" x14ac:dyDescent="0.25">
      <c r="B121" s="118"/>
      <c r="C121" s="118"/>
      <c r="D121" s="118"/>
      <c r="E121" s="33"/>
      <c r="F121" s="33"/>
      <c r="G121" s="33"/>
    </row>
    <row r="122" spans="2:7" ht="15.75" x14ac:dyDescent="0.25">
      <c r="B122" s="118"/>
      <c r="C122" s="118"/>
      <c r="D122" s="118"/>
      <c r="E122" s="33"/>
      <c r="F122" s="33"/>
      <c r="G122" s="33"/>
    </row>
  </sheetData>
  <mergeCells count="7">
    <mergeCell ref="A1:G1"/>
    <mergeCell ref="A2:G2"/>
    <mergeCell ref="B4:G4"/>
    <mergeCell ref="B6:B7"/>
    <mergeCell ref="F16:G16"/>
    <mergeCell ref="D6:D7"/>
    <mergeCell ref="C6:C7"/>
  </mergeCells>
  <pageMargins left="0.51181102362204722" right="0.51181102362204722" top="1.3779527559055118" bottom="0.59055118110236227" header="0.31496062992125984" footer="0.31496062992125984"/>
  <pageSetup paperSize="9" scale="95" orientation="landscape" r:id="rId1"/>
  <headerFooter>
    <oddHeader>&amp;L                                                                              &amp;G&amp;C&amp;"Vivaldi,Regular"&amp;20Estado do Rio Grande do Sul
&amp;18Prefeitura Municipal de Chuvisca
&amp;16Secretaria Municipal da Fazenda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44</vt:i4>
      </vt:variant>
    </vt:vector>
  </HeadingPairs>
  <TitlesOfParts>
    <vt:vector size="44" baseType="lpstr">
      <vt:lpstr>CADASTRO BASE RECEITA </vt:lpstr>
      <vt:lpstr>Cresc. Arrec. Transf. Const.</vt:lpstr>
      <vt:lpstr>CRESCIMENTO MÉDIO DE ARRECADAÇÃ</vt:lpstr>
      <vt:lpstr>TAXA DE  CRESC. REC. PROP. </vt:lpstr>
      <vt:lpstr>Proj. Retorno e Retenção Fundeb</vt:lpstr>
      <vt:lpstr>Parâmetros</vt:lpstr>
      <vt:lpstr>ORCAMENTO RECEITA ANALITICO</vt:lpstr>
      <vt:lpstr>MEMORIA DE CALCULO DA RECEITA</vt:lpstr>
      <vt:lpstr>RECEITA PARA INVESTIMENTOS </vt:lpstr>
      <vt:lpstr>CADASTRO BASE ORÇ. DESPESA</vt:lpstr>
      <vt:lpstr>CRESCIMENTO MED DA DESPESA O.U.</vt:lpstr>
      <vt:lpstr>MEDIA DE AUMENTOS 97 A 2012</vt:lpstr>
      <vt:lpstr>Pasep</vt:lpstr>
      <vt:lpstr>Dem. de gastos do Legislativo</vt:lpstr>
      <vt:lpstr>PTD </vt:lpstr>
      <vt:lpstr>Parâmetros financeiros Despesa</vt:lpstr>
      <vt:lpstr>ORÇAMENTO LEG.</vt:lpstr>
      <vt:lpstr>ORÇAM. PODER EXEC. ANALITICO</vt:lpstr>
      <vt:lpstr>ORÇ. PODER EXECUTIVO SINTETICO</vt:lpstr>
      <vt:lpstr>RECEITA E DESP. POR RECURSO</vt:lpstr>
      <vt:lpstr>COMPATIBILIDADE PPA E LDO</vt:lpstr>
      <vt:lpstr>RESUMO DE DESPESA POR ORG. E UN</vt:lpstr>
      <vt:lpstr>ANEXO I ART.2ºLOA </vt:lpstr>
      <vt:lpstr>ART. 3º LOA</vt:lpstr>
      <vt:lpstr>ART.4º ORC FISC E SEG SOC</vt:lpstr>
      <vt:lpstr>RESULTADO NOMINAL</vt:lpstr>
      <vt:lpstr>Dem. Comp Orça. com Metas Fisc</vt:lpstr>
      <vt:lpstr>Demonst. gastos com saude</vt:lpstr>
      <vt:lpstr>Dem evolucao rec. por fonte</vt:lpstr>
      <vt:lpstr>DEM. DE REN. REC REMARG. EXPANS</vt:lpstr>
      <vt:lpstr>DEM. GASTOS PESSOAL</vt:lpstr>
      <vt:lpstr>DEM. REUNCIA RECEITA</vt:lpstr>
      <vt:lpstr>FUNDO DE SAUDE</vt:lpstr>
      <vt:lpstr>FUNDO DE ASSISTENCIA SOCIAL</vt:lpstr>
      <vt:lpstr>FMCA</vt:lpstr>
      <vt:lpstr>FMAG</vt:lpstr>
      <vt:lpstr>FMMAMB</vt:lpstr>
      <vt:lpstr>FHISC</vt:lpstr>
      <vt:lpstr>DEM. DA DIVIDA FUNDADA</vt:lpstr>
      <vt:lpstr>RELAÇÃO DE ORDENS PRECATORIAS</vt:lpstr>
      <vt:lpstr>NOTA EXPLICATIVA</vt:lpstr>
      <vt:lpstr>Plan2</vt:lpstr>
      <vt:lpstr>Plan12</vt:lpstr>
      <vt:lpstr>Plan1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</dc:creator>
  <cp:lastModifiedBy>Mauro</cp:lastModifiedBy>
  <cp:lastPrinted>2015-12-15T16:00:23Z</cp:lastPrinted>
  <dcterms:created xsi:type="dcterms:W3CDTF">2009-10-13T16:35:29Z</dcterms:created>
  <dcterms:modified xsi:type="dcterms:W3CDTF">2016-11-19T21:37:46Z</dcterms:modified>
</cp:coreProperties>
</file>